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drawings/drawing1.xml" ContentType="application/vnd.openxmlformats-officedocument.drawing+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https://wales365uk-my.sharepoint.com/personal/phil_mahoney_gov_wales/Documents/Profile/Documents/"/>
    </mc:Choice>
  </mc:AlternateContent>
  <xr:revisionPtr revIDLastSave="0" documentId="8_{9AF501CF-97A2-406D-9736-503FD67E27E3}" xr6:coauthVersionLast="47" xr6:coauthVersionMax="47" xr10:uidLastSave="{00000000-0000-0000-0000-000000000000}"/>
  <bookViews>
    <workbookView xWindow="360" yWindow="0" windowWidth="18840" windowHeight="11400" tabRatio="793" xr2:uid="{38C1A0E4-4CA2-439F-81BA-D92327DBC82C}"/>
  </bookViews>
  <sheets>
    <sheet name="Introduction" sheetId="10" r:id="rId1"/>
    <sheet name="Version Log" sheetId="27" state="hidden" r:id="rId2"/>
    <sheet name="Summary results" sheetId="18" r:id="rId3"/>
    <sheet name="Site Information" sheetId="28" r:id="rId4"/>
    <sheet name="Buildings - Grid Electricity" sheetId="4" r:id="rId5"/>
    <sheet name="Buildings - Heat &amp; Fuels" sheetId="30" r:id="rId6"/>
    <sheet name="Buildings - Water" sheetId="31" r:id="rId7"/>
    <sheet name="Medical gases (NHS only)" sheetId="24" r:id="rId8"/>
    <sheet name="Fleet &amp; stationary assets" sheetId="23" r:id="rId9"/>
    <sheet name="Business travel, commute, home" sheetId="19" r:id="rId10"/>
    <sheet name="Waste" sheetId="12" r:id="rId11"/>
    <sheet name="Supply chain" sheetId="5" r:id="rId12"/>
    <sheet name="Land use &amp; agriculture" sheetId="11" r:id="rId13"/>
    <sheet name="Renewables" sheetId="14" r:id="rId14"/>
    <sheet name="Totals" sheetId="25" state="hidden" r:id="rId15"/>
    <sheet name="TotalsRenewables" sheetId="29" state="hidden" r:id="rId16"/>
    <sheet name="Lists" sheetId="8" state="hidden" r:id="rId17"/>
    <sheet name="Emission factors" sheetId="17" r:id="rId18"/>
    <sheet name="Land Emission Factors" sheetId="22" r:id="rId19"/>
    <sheet name="Benchmarking data" sheetId="21" r:id="rId20"/>
    <sheet name="Errors" sheetId="26" r:id="rId21"/>
  </sheets>
  <definedNames>
    <definedName name="_ftnref1" localSheetId="19">'Benchmarking data'!$B$12</definedName>
    <definedName name="_Toc103010521" localSheetId="19">'Benchmarking data'!$C$43</definedName>
    <definedName name="Aethercomments">Introduction!$B$49:$D$53</definedName>
    <definedName name="Aggregates">Lists!$V$25:$W$25</definedName>
    <definedName name="AGRIC">Lists!$AP$26:$AP$28</definedName>
    <definedName name="Agriculture">Lists!$S$4:$S$5</definedName>
    <definedName name="Allfleetfuel">Lists!$Q$36:$Q$42</definedName>
    <definedName name="Anatomicalwaste">Lists!$V$26</definedName>
    <definedName name="Asbestos">Lists!$V$27</definedName>
    <definedName name="Asphalt">Lists!$V$28:$W$28</definedName>
    <definedName name="Averageconstruction">Lists!$V$29</definedName>
    <definedName name="Batteries">Lists!$V$30:$W$30</definedName>
    <definedName name="Biodieselcategory1">Lists!$P$79:$P$80</definedName>
    <definedName name="Biodieselunits">Lists!$O$58:$O$59</definedName>
    <definedName name="Bioenergycategory1">Lists!$P$65:$P$67</definedName>
    <definedName name="Bioenergyunits">Lists!$O$71:$O$72</definedName>
    <definedName name="Biopetrolcategory1">Lists!$P$76</definedName>
    <definedName name="Biopetrolunits">Lists!$O$61:$O$62</definedName>
    <definedName name="BoundaryInfo">Introduction!$B$19:$D$36</definedName>
    <definedName name="Bricks">Lists!$V$31:$W$31</definedName>
    <definedName name="Buildingcategory">Lists!$O$251:$O$267</definedName>
    <definedName name="Buildingcategory_long">Lists!$P$251:$P$377</definedName>
    <definedName name="Buildings">Lists!$O$15:$O$22</definedName>
    <definedName name="Buildingsownership">Lists!$O$4:$O$9</definedName>
    <definedName name="Buildingtype">Lists!$Q$251:$Q$377</definedName>
    <definedName name="Businesstravel">Lists!$AE$4:$AE$9</definedName>
    <definedName name="Cattle">Lists!$S$20:$S$21</definedName>
    <definedName name="CHPplant">Lists!$O$24:$O$28</definedName>
    <definedName name="Clinicalwaste">Lists!$V$32</definedName>
    <definedName name="Clothing">Lists!$V$33:$X$33</definedName>
    <definedName name="Coalcategory1">Lists!$P$83</definedName>
    <definedName name="Coalunits">Lists!$O$80:$O$81</definedName>
    <definedName name="Commercialandindustrialwaste">Lists!$V$34:$X$34</definedName>
    <definedName name="Commuting">Lists!$AF$4:$AF$6</definedName>
    <definedName name="Concrete">Lists!$V$35:$W$35</definedName>
    <definedName name="Dieselcategory1">Lists!$P$50:$P$51</definedName>
    <definedName name="Dieselunits">Lists!$O$50:$O$51</definedName>
    <definedName name="Ease">Lists!$D$4:$D$10</definedName>
    <definedName name="Equipmentfuel">Lists!$Q$45:$Q$51</definedName>
    <definedName name="F_gases">Lists!$O$88:$O$248</definedName>
    <definedName name="F_GasUnits">Lists!$P$88</definedName>
    <definedName name="FarmlandSoils">Lists!$S$28:$S$29</definedName>
    <definedName name="Farmlandsoilsunits">Lists!$S$16:$S$17</definedName>
    <definedName name="Fgas">Lists!$O$88:$O$248</definedName>
    <definedName name="fgasunits">Lists!$P$88</definedName>
    <definedName name="FireandRescueService">Lists!$H$93:$H$95</definedName>
    <definedName name="Fleetandequipmentfuel">Lists!$Q$4:$Q$8</definedName>
    <definedName name="Fleetdistance">Lists!$R$4:$R$6</definedName>
    <definedName name="Flightcategory1">Lists!$AF$50:$AF$52</definedName>
    <definedName name="Flightdomestic">Lists!$AG$50</definedName>
    <definedName name="Flightlonghaul">Lists!$AH$50:$AH$52</definedName>
    <definedName name="Flightshorthaul">Lists!$AH$50:$AH$52</definedName>
    <definedName name="Flightunits">Lists!$AE$50:$AE$51</definedName>
    <definedName name="Gasoilcategory1">Lists!$P$46</definedName>
    <definedName name="Gasoilunits">Lists!$O$46:$O$47</definedName>
    <definedName name="Generatorfuel">Lists!$Q$53:$Q$58</definedName>
    <definedName name="Gridelectricitycategory1">Lists!$P$58</definedName>
    <definedName name="Gridelectricityunits">Lists!$O$64</definedName>
    <definedName name="HealthBoardorTrust">Lists!$H$52:$H$64</definedName>
    <definedName name="Heatandsteamcategory1">Lists!$P$61:$P$62</definedName>
    <definedName name="Heatandsteamunits">Lists!$O$67</definedName>
    <definedName name="HGVfuel">Lists!$Q$33:$Q$34</definedName>
    <definedName name="HGVsize">Lists!$R$31:$R$33</definedName>
    <definedName name="HGVsizefuel">Lists!$Q$33</definedName>
    <definedName name="HGVunits">Lists!$R$65:$R$66</definedName>
    <definedName name="Hirecaraverage">Lists!$AG$21:$AG$26</definedName>
    <definedName name="Hirecarcategory1">Lists!$AF$21:$AF$24</definedName>
    <definedName name="Hirecarlarge">Lists!$AG$21:$AG$26</definedName>
    <definedName name="Hirecarmedium">Lists!$AG$21:$AG$26</definedName>
    <definedName name="Hirecarsmall">Lists!$AG$21:$AG$26</definedName>
    <definedName name="Hirecarunits">Lists!$AE$21:$AE$22</definedName>
    <definedName name="Homeworking">Lists!$AG$4</definedName>
    <definedName name="Householdresidualwaste">Lists!$V$36:$W$36</definedName>
    <definedName name="Infectiouswaste">Lists!$V$37</definedName>
    <definedName name="Insulation">Lists!$V$38:$W$38</definedName>
    <definedName name="Kerosenecategory1">Lists!$P$42</definedName>
    <definedName name="Keroseneunits">Lists!$O$42:$O$43</definedName>
    <definedName name="landuse">Lists!$L$4:$L$9</definedName>
    <definedName name="landusetypes">Lists!$L$3</definedName>
    <definedName name="Livestock">Lists!$S$20:$S$25</definedName>
    <definedName name="Livestockunits">Lists!$S$14</definedName>
    <definedName name="LocalAuthority">Lists!$H$22:$H$51</definedName>
    <definedName name="LPGcategory1">Lists!$P$37</definedName>
    <definedName name="LPGunits">Lists!$O$37:$O$38</definedName>
    <definedName name="Medicalcontaminatedsharpswaste">Lists!$V$39</definedName>
    <definedName name="Medicalgas">Lists!$P$92:$P$97</definedName>
    <definedName name="Medicalgasunits">Lists!$P$100</definedName>
    <definedName name="Medicinalwaste">Lists!$V$40</definedName>
    <definedName name="Metals">Lists!$V$41:$W$41</definedName>
    <definedName name="Methdologytier2">Lists!$B$16</definedName>
    <definedName name="Methodologyall">Lists!$B$4:$B$6</definedName>
    <definedName name="Methodologytier">Lists!$BA$4:$BC$29</definedName>
    <definedName name="Methodologytier1">Lists!$B$9</definedName>
    <definedName name="Methodologytier23">Lists!$B$19:$B$20</definedName>
    <definedName name="Methodologytier3">Lists!$B$23</definedName>
    <definedName name="Mineraloil">Lists!$V$42:$W$42</definedName>
    <definedName name="Mixedglass">Lists!$V$43</definedName>
    <definedName name="Mixedmetalcans">Lists!$V$44</definedName>
    <definedName name="Mixedpaper">Lists!$V$45:$W$45</definedName>
    <definedName name="Mixedplastics">Lists!$V$46</definedName>
    <definedName name="Mixedrecycling">Lists!$V$47</definedName>
    <definedName name="MixedWEEE">Lists!$V$48:$X$48</definedName>
    <definedName name="Motorbikeaverage">Lists!$AG$29</definedName>
    <definedName name="Motorbikecategory1">Lists!$AF$29:$AF$32</definedName>
    <definedName name="motorbikelarge">Lists!$AG$29</definedName>
    <definedName name="Motorbikemedium">Lists!$AG$29</definedName>
    <definedName name="Motorbikesmall">Lists!$AG$29</definedName>
    <definedName name="Motorbikeunits">Lists!$AE$29:$AE$30</definedName>
    <definedName name="Municipalwaste">Lists!$V$4:$V$17</definedName>
    <definedName name="NationalParkAuthority">Lists!$H$65:$H$67</definedName>
    <definedName name="Naturalgascategory1">Lists!$P$33</definedName>
    <definedName name="Naturalgasunits">Lists!$O$33:$O$34</definedName>
    <definedName name="Noninfectiousoffensivewaste">Lists!$V$49</definedName>
    <definedName name="Offsiteheat">Lists!$AL$17:$AL$18</definedName>
    <definedName name="Onsiteandoffsiteelectricity">Lists!$AL$21:$AL$22</definedName>
    <definedName name="Onsiteheat">Lists!$AL$4:$AL$5</definedName>
    <definedName name="Onsiterenewables">Lists!$AL$4:$AL$5</definedName>
    <definedName name="Organicfoodanddrink">Lists!$V$50:$Y$50</definedName>
    <definedName name="Organicgarden">Lists!$V$51:$Y$51</definedName>
    <definedName name="Organicmixed">Lists!$V$52:$Y$52</definedName>
    <definedName name="OrganisationalInfo">Introduction!$B$7:$D$16</definedName>
    <definedName name="Organisationalwaste">Lists!$U$4:$U$22</definedName>
    <definedName name="Organisations">Lists!$H$22:$H$107</definedName>
    <definedName name="Organisationwastetype">Lists!$U$4:$U$20</definedName>
    <definedName name="OrgType">Lists!$G$4:$G$12</definedName>
    <definedName name="Other">Lists!$H$68:$H$85</definedName>
    <definedName name="Othergases">Lists!$O$84:$O$85</definedName>
    <definedName name="Peerreview">Introduction!$B$42:$K$45</definedName>
    <definedName name="Petrolcategory1">Lists!$P$54:$P$55</definedName>
    <definedName name="Petrolunits">Lists!$O$54:$O$55</definedName>
    <definedName name="Plasterboard">Lists!$V$53:$W$53</definedName>
    <definedName name="Poolcarfuel">Lists!$Q$15:$Q$21</definedName>
    <definedName name="PoolcarSize">Lists!$R$15</definedName>
    <definedName name="Poolcarsizefuel">Lists!$R$37:$R$42</definedName>
    <definedName name="Poolcarunits">Lists!$R$57:$R$58</definedName>
    <definedName name="Privatecaraverage">Lists!$AG$13:$AG$18</definedName>
    <definedName name="Privatecarcategory1">Lists!$AF$13:$AF$16</definedName>
    <definedName name="Privatecarlarge">Lists!$AG$13:$AG$18</definedName>
    <definedName name="Privatecarmedium">Lists!$AG$13:$AG$18</definedName>
    <definedName name="Privatecarsmall">Lists!$AG$13:$AG$18</definedName>
    <definedName name="Privatecarunits">Lists!$AE$13:$AE$14</definedName>
    <definedName name="Projectwaste">Lists!$W$4:$W$17</definedName>
    <definedName name="Publictransportbus">Lists!$AH$35:$AH$36</definedName>
    <definedName name="Publictransportcategory1">Lists!$AF$35:$AF$38</definedName>
    <definedName name="Publictransportferry">Lists!$AJ$35:$AJ$36</definedName>
    <definedName name="Publictransportrail">Lists!$AI$35:$AI$38</definedName>
    <definedName name="Publictransporttaxi">Lists!$AG$35:$AG$36</definedName>
    <definedName name="Publictransportunits">Lists!$AE$35:$AE$36</definedName>
    <definedName name="Purchasedrenewableelectricityagreement">Lists!$AM$17:$AM$21</definedName>
    <definedName name="Purchasedrenewableheatagreement">Lists!$AM$9:$AM$11</definedName>
    <definedName name="Purchasedrenewables">Lists!$AM$4:$AM$5</definedName>
    <definedName name="Regions">Lists!$G$15:$G$19</definedName>
    <definedName name="RenewableCHPelectricitytechnology">Lists!$AL$33:$AL$34</definedName>
    <definedName name="RenewableCHPheattechnology">Lists!$AL$14:$AL$15</definedName>
    <definedName name="Renewableelectricity">Lists!$AL$26:$AL$30</definedName>
    <definedName name="Renewableelectricityownership">Lists!$AL$36:$AL$41</definedName>
    <definedName name="Renewableelectricitytechnology">Lists!$AL$26:$AL$30</definedName>
    <definedName name="Renewableheat">Lists!$AL$7:$AL$12</definedName>
    <definedName name="Renewableheattechnology">Lists!$AL$7:$AL$12</definedName>
    <definedName name="Renewables">Lists!$AL$4:$AL$5</definedName>
    <definedName name="ReportingComments">Introduction!$B$39:$K$39</definedName>
    <definedName name="Reportingyear">Lists!$I$4:$I$5</definedName>
    <definedName name="RSD">Lists!$C$4:$C$15</definedName>
    <definedName name="Sheep">Lists!$S$25</definedName>
    <definedName name="SICProductCategories">Lists!$AU$3:$AU$112</definedName>
    <definedName name="SICProductCodeLookup">Lists!$AU$3:$AW$112</definedName>
    <definedName name="soil">Lists!$M$4:$M$5</definedName>
    <definedName name="Streetlighting">Lists!$P$15</definedName>
    <definedName name="SupplyChain_Tier2RSD">Lists!$B$27:$B$29</definedName>
    <definedName name="Supplychaingroup">Lists!$AP$4:$AP$23</definedName>
    <definedName name="Typeoflighting">Lists!$P$4:$P$6</definedName>
    <definedName name="TypeOrganisation">Lists!$G$22:$G$107</definedName>
    <definedName name="Tyres">Lists!$V$55:$W$55</definedName>
    <definedName name="UniveristyorCollege">Lists!$H$86:$H$95</definedName>
    <definedName name="vanaverage">Lists!$AJ$13:$AJ$17</definedName>
    <definedName name="vanbiodiesel">Lists!$AJ$13</definedName>
    <definedName name="vanbiopetrol">Lists!$AJ$13</definedName>
    <definedName name="vancategory1">Lists!$AI$13</definedName>
    <definedName name="Vancategory2">Lists!$AJ$13:$AJ$17</definedName>
    <definedName name="vanfuel">Lists!$Q$24:$Q$30</definedName>
    <definedName name="Vansize">Lists!$R$24</definedName>
    <definedName name="Vansizefuel">Lists!$R$46:$R$50</definedName>
    <definedName name="Vanunits">Lists!$R$61:$R$62</definedName>
    <definedName name="Vehicles">Lists!$AE$4:$AE$8</definedName>
    <definedName name="Version">Introduction!$E$1</definedName>
    <definedName name="Version_Number">Introduction!$F$1</definedName>
    <definedName name="WasteSoils">Lists!$V$54:$W$54</definedName>
    <definedName name="Wastesource">Lists!$U$3:$U$5</definedName>
    <definedName name="Wasteunits">Lists!$X$4:$X$5</definedName>
    <definedName name="Watercategory1">Lists!$P$70:$P$73</definedName>
    <definedName name="Waterunits">Lists!$O$76:$O$77</definedName>
    <definedName name="WelshGovernment">Lists!$H$96</definedName>
    <definedName name="Wood">Lists!$V$56:$Y$56</definedName>
    <definedName name="Yesno">Lists!$E$4:$E$5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8" i="4" l="1"/>
  <c r="AA9" i="4"/>
  <c r="AA10" i="4"/>
  <c r="AA11" i="4"/>
  <c r="AA12" i="4"/>
  <c r="AA13" i="4"/>
  <c r="AA14" i="4"/>
  <c r="AA15" i="4"/>
  <c r="AA16" i="4"/>
  <c r="AA17" i="4"/>
  <c r="AA18" i="4"/>
  <c r="AA19" i="4"/>
  <c r="AA20" i="4"/>
  <c r="AA21" i="4"/>
  <c r="AA22" i="4"/>
  <c r="AA23" i="4"/>
  <c r="AA24" i="4"/>
  <c r="AA25" i="4"/>
  <c r="AA26" i="4"/>
  <c r="AA27" i="4"/>
  <c r="AA28" i="4"/>
  <c r="AA29" i="4"/>
  <c r="AA30" i="4"/>
  <c r="AA31" i="4"/>
  <c r="AA32" i="4"/>
  <c r="AA33" i="4"/>
  <c r="AA34" i="4"/>
  <c r="AA35" i="4"/>
  <c r="AA36" i="4"/>
  <c r="AA37" i="4"/>
  <c r="AA38" i="4"/>
  <c r="AA39" i="4"/>
  <c r="AA40" i="4"/>
  <c r="AA41" i="4"/>
  <c r="AA42" i="4"/>
  <c r="AA43" i="4"/>
  <c r="AA44" i="4"/>
  <c r="AA45" i="4"/>
  <c r="AA46" i="4"/>
  <c r="AA47" i="4"/>
  <c r="AA48" i="4"/>
  <c r="AA49" i="4"/>
  <c r="AA50" i="4"/>
  <c r="AA51" i="4"/>
  <c r="AA52" i="4"/>
  <c r="AA53" i="4"/>
  <c r="AA54" i="4"/>
  <c r="AA55" i="4"/>
  <c r="AA56" i="4"/>
  <c r="AA57" i="4"/>
  <c r="AA58" i="4"/>
  <c r="AA59" i="4"/>
  <c r="AA60" i="4"/>
  <c r="AA61" i="4"/>
  <c r="AA62" i="4"/>
  <c r="AA63" i="4"/>
  <c r="AA64" i="4"/>
  <c r="AA65" i="4"/>
  <c r="AA66" i="4"/>
  <c r="AA67" i="4"/>
  <c r="AA68" i="4"/>
  <c r="AA69" i="4"/>
  <c r="AA70" i="4"/>
  <c r="AA71" i="4"/>
  <c r="AA72" i="4"/>
  <c r="AA73" i="4"/>
  <c r="AA74" i="4"/>
  <c r="AA75" i="4"/>
  <c r="AA76" i="4"/>
  <c r="AA77" i="4"/>
  <c r="AA78" i="4"/>
  <c r="AA79" i="4"/>
  <c r="AA80" i="4"/>
  <c r="AA81" i="4"/>
  <c r="AA82" i="4"/>
  <c r="AA83" i="4"/>
  <c r="AA84" i="4"/>
  <c r="AA85" i="4"/>
  <c r="AA86" i="4"/>
  <c r="AA87" i="4"/>
  <c r="AA88" i="4"/>
  <c r="AA89" i="4"/>
  <c r="AA90" i="4"/>
  <c r="AA91" i="4"/>
  <c r="AA92" i="4"/>
  <c r="AA93" i="4"/>
  <c r="AA94" i="4"/>
  <c r="AA95" i="4"/>
  <c r="AA96" i="4"/>
  <c r="AA97" i="4"/>
  <c r="AA98" i="4"/>
  <c r="AA99" i="4"/>
  <c r="AA100" i="4"/>
  <c r="AA101" i="4"/>
  <c r="AA102" i="4"/>
  <c r="AA103" i="4"/>
  <c r="AA104" i="4"/>
  <c r="AA105" i="4"/>
  <c r="AA106" i="4"/>
  <c r="AA107" i="4"/>
  <c r="AA108" i="4"/>
  <c r="AA109" i="4"/>
  <c r="AA110" i="4"/>
  <c r="AA111" i="4"/>
  <c r="AA112" i="4"/>
  <c r="AA113" i="4"/>
  <c r="AA114" i="4"/>
  <c r="AA115" i="4"/>
  <c r="AA116" i="4"/>
  <c r="AA117" i="4"/>
  <c r="AA118" i="4"/>
  <c r="AA119" i="4"/>
  <c r="AA120" i="4"/>
  <c r="AA121" i="4"/>
  <c r="AA122" i="4"/>
  <c r="AA123" i="4"/>
  <c r="AA124" i="4"/>
  <c r="AA125" i="4"/>
  <c r="AA126" i="4"/>
  <c r="AA127" i="4"/>
  <c r="AA128" i="4"/>
  <c r="AA129" i="4"/>
  <c r="AA130" i="4"/>
  <c r="AA131" i="4"/>
  <c r="AA132" i="4"/>
  <c r="AA133" i="4"/>
  <c r="AA134" i="4"/>
  <c r="AA135" i="4"/>
  <c r="AA136" i="4"/>
  <c r="AA137" i="4"/>
  <c r="AA138" i="4"/>
  <c r="AA139" i="4"/>
  <c r="AA140" i="4"/>
  <c r="AA141" i="4"/>
  <c r="AA142" i="4"/>
  <c r="AA143" i="4"/>
  <c r="AA144" i="4"/>
  <c r="AA145" i="4"/>
  <c r="AA146" i="4"/>
  <c r="AA147" i="4"/>
  <c r="AA148" i="4"/>
  <c r="AA149" i="4"/>
  <c r="AA150" i="4"/>
  <c r="AA151" i="4"/>
  <c r="AA152" i="4"/>
  <c r="AA153" i="4"/>
  <c r="AA154" i="4"/>
  <c r="AA155" i="4"/>
  <c r="AA156" i="4"/>
  <c r="AA157" i="4"/>
  <c r="AA158" i="4"/>
  <c r="AA159" i="4"/>
  <c r="AA160" i="4"/>
  <c r="AA161" i="4"/>
  <c r="AA162" i="4"/>
  <c r="AA163" i="4"/>
  <c r="AA164" i="4"/>
  <c r="AA165" i="4"/>
  <c r="AA166" i="4"/>
  <c r="AA167" i="4"/>
  <c r="AA168" i="4"/>
  <c r="AA169" i="4"/>
  <c r="AA170" i="4"/>
  <c r="AA171" i="4"/>
  <c r="AA172" i="4"/>
  <c r="AA173" i="4"/>
  <c r="AA174" i="4"/>
  <c r="AA175" i="4"/>
  <c r="AA176" i="4"/>
  <c r="AA177" i="4"/>
  <c r="AA178" i="4"/>
  <c r="AA179" i="4"/>
  <c r="AA180" i="4"/>
  <c r="AA181" i="4"/>
  <c r="AA182" i="4"/>
  <c r="AA183" i="4"/>
  <c r="AA184" i="4"/>
  <c r="AA185" i="4"/>
  <c r="AA186" i="4"/>
  <c r="AA187" i="4"/>
  <c r="AA188" i="4"/>
  <c r="AA189" i="4"/>
  <c r="AA190" i="4"/>
  <c r="AA191" i="4"/>
  <c r="AA192" i="4"/>
  <c r="AA193" i="4"/>
  <c r="AA194" i="4"/>
  <c r="AA195" i="4"/>
  <c r="AA196" i="4"/>
  <c r="AA197" i="4"/>
  <c r="AA198" i="4"/>
  <c r="AA199" i="4"/>
  <c r="AA200" i="4"/>
  <c r="AA201" i="4"/>
  <c r="AA202" i="4"/>
  <c r="AA203" i="4"/>
  <c r="AA204" i="4"/>
  <c r="AA205" i="4"/>
  <c r="AA206" i="4"/>
  <c r="AA207" i="4"/>
  <c r="AA208" i="4"/>
  <c r="AA209" i="4"/>
  <c r="AA210" i="4"/>
  <c r="AA211" i="4"/>
  <c r="AA212" i="4"/>
  <c r="AA213" i="4"/>
  <c r="AA214" i="4"/>
  <c r="AA215" i="4"/>
  <c r="AA216" i="4"/>
  <c r="AA217" i="4"/>
  <c r="AA218" i="4"/>
  <c r="AA219" i="4"/>
  <c r="AA220" i="4"/>
  <c r="AA221" i="4"/>
  <c r="AA222" i="4"/>
  <c r="AA223" i="4"/>
  <c r="AA224" i="4"/>
  <c r="AA225" i="4"/>
  <c r="AA226" i="4"/>
  <c r="AA227" i="4"/>
  <c r="AA228" i="4"/>
  <c r="AA229" i="4"/>
  <c r="AA230" i="4"/>
  <c r="AA231" i="4"/>
  <c r="AA232" i="4"/>
  <c r="AA233" i="4"/>
  <c r="AA234" i="4"/>
  <c r="AA235" i="4"/>
  <c r="AA236" i="4"/>
  <c r="AA237" i="4"/>
  <c r="AA238" i="4"/>
  <c r="AA239" i="4"/>
  <c r="AA240" i="4"/>
  <c r="AA241" i="4"/>
  <c r="AA242" i="4"/>
  <c r="AA243" i="4"/>
  <c r="AA244" i="4"/>
  <c r="AA245" i="4"/>
  <c r="AA246" i="4"/>
  <c r="AA247" i="4"/>
  <c r="AA248" i="4"/>
  <c r="AA249" i="4"/>
  <c r="AA250" i="4"/>
  <c r="AA251" i="4"/>
  <c r="AA252" i="4"/>
  <c r="AA253" i="4"/>
  <c r="AA254" i="4"/>
  <c r="AA255" i="4"/>
  <c r="AA256" i="4"/>
  <c r="AA257" i="4"/>
  <c r="AA258" i="4"/>
  <c r="AA259" i="4"/>
  <c r="AA260" i="4"/>
  <c r="AA261" i="4"/>
  <c r="AA262" i="4"/>
  <c r="AA263" i="4"/>
  <c r="AA264" i="4"/>
  <c r="AA265" i="4"/>
  <c r="AA266" i="4"/>
  <c r="AA267" i="4"/>
  <c r="AA268" i="4"/>
  <c r="AA269" i="4"/>
  <c r="AA270" i="4"/>
  <c r="AA271" i="4"/>
  <c r="AA272" i="4"/>
  <c r="AA273" i="4"/>
  <c r="AA274" i="4"/>
  <c r="AA275" i="4"/>
  <c r="AA276" i="4"/>
  <c r="AA277" i="4"/>
  <c r="AA278" i="4"/>
  <c r="AA279" i="4"/>
  <c r="AA280" i="4"/>
  <c r="AA281" i="4"/>
  <c r="AA282" i="4"/>
  <c r="AA283" i="4"/>
  <c r="AA284" i="4"/>
  <c r="AA285" i="4"/>
  <c r="AA286" i="4"/>
  <c r="AA287" i="4"/>
  <c r="AA288" i="4"/>
  <c r="AA289" i="4"/>
  <c r="AA290" i="4"/>
  <c r="AA291" i="4"/>
  <c r="AA292" i="4"/>
  <c r="AA293" i="4"/>
  <c r="AA294" i="4"/>
  <c r="AA295" i="4"/>
  <c r="AA296" i="4"/>
  <c r="AA297" i="4"/>
  <c r="AA298" i="4"/>
  <c r="AA299" i="4"/>
  <c r="AA300" i="4"/>
  <c r="AA301" i="4"/>
  <c r="AA302" i="4"/>
  <c r="AA303" i="4"/>
  <c r="AA304" i="4"/>
  <c r="AA305" i="4"/>
  <c r="AA306" i="4"/>
  <c r="AA307" i="4"/>
  <c r="AA308" i="4"/>
  <c r="AA309" i="4"/>
  <c r="AA310" i="4"/>
  <c r="AA311" i="4"/>
  <c r="AA312" i="4"/>
  <c r="AA313" i="4"/>
  <c r="AA314" i="4"/>
  <c r="AA315" i="4"/>
  <c r="AA316" i="4"/>
  <c r="AA317" i="4"/>
  <c r="AA318" i="4"/>
  <c r="AA319" i="4"/>
  <c r="AA320" i="4"/>
  <c r="AA321" i="4"/>
  <c r="AA322" i="4"/>
  <c r="AA323" i="4"/>
  <c r="AA324" i="4"/>
  <c r="AA325" i="4"/>
  <c r="AA326" i="4"/>
  <c r="AA327" i="4"/>
  <c r="AA328" i="4"/>
  <c r="AA329" i="4"/>
  <c r="AA330" i="4"/>
  <c r="AA331" i="4"/>
  <c r="AA332" i="4"/>
  <c r="AA333" i="4"/>
  <c r="AA334" i="4"/>
  <c r="AA335" i="4"/>
  <c r="AA336" i="4"/>
  <c r="AA337" i="4"/>
  <c r="AA338" i="4"/>
  <c r="AA339" i="4"/>
  <c r="AA340" i="4"/>
  <c r="Z8" i="4" a="1"/>
  <c r="Z8" i="4" s="1"/>
  <c r="Z9" i="4" a="1"/>
  <c r="Z9" i="4" s="1"/>
  <c r="Z10" i="4" a="1"/>
  <c r="Z10" i="4" s="1"/>
  <c r="Z11" i="4" a="1"/>
  <c r="Z11" i="4"/>
  <c r="Z12" i="4" a="1"/>
  <c r="Z12" i="4" s="1"/>
  <c r="Z13" i="4" a="1"/>
  <c r="Z13" i="4" s="1"/>
  <c r="Z14" i="4" a="1"/>
  <c r="Z14" i="4" s="1"/>
  <c r="Z15" i="4" a="1"/>
  <c r="Z15" i="4"/>
  <c r="Z16" i="4" a="1"/>
  <c r="Z16" i="4" s="1"/>
  <c r="Z17" i="4" a="1"/>
  <c r="Z17" i="4" s="1"/>
  <c r="Z18" i="4" a="1"/>
  <c r="Z18" i="4" s="1"/>
  <c r="Z19" i="4" a="1"/>
  <c r="Z19" i="4"/>
  <c r="Z20" i="4" a="1"/>
  <c r="Z20" i="4" s="1"/>
  <c r="Z21" i="4" a="1"/>
  <c r="Z21" i="4" s="1"/>
  <c r="Z22" i="4" a="1"/>
  <c r="Z22" i="4" s="1"/>
  <c r="Z23" i="4" a="1"/>
  <c r="Z23" i="4"/>
  <c r="Z24" i="4" a="1"/>
  <c r="Z24" i="4" s="1"/>
  <c r="Z25" i="4" a="1"/>
  <c r="Z25" i="4" s="1"/>
  <c r="Z26" i="4" a="1"/>
  <c r="Z26" i="4" s="1"/>
  <c r="Z27" i="4" a="1"/>
  <c r="Z27" i="4"/>
  <c r="Z28" i="4" a="1"/>
  <c r="Z28" i="4" s="1"/>
  <c r="Z29" i="4" a="1"/>
  <c r="Z29" i="4" s="1"/>
  <c r="Z30" i="4" a="1"/>
  <c r="Z30" i="4" s="1"/>
  <c r="Z31" i="4" a="1"/>
  <c r="Z31" i="4"/>
  <c r="Z32" i="4" a="1"/>
  <c r="Z32" i="4" s="1"/>
  <c r="Z33" i="4" a="1"/>
  <c r="Z33" i="4" s="1"/>
  <c r="Z34" i="4" a="1"/>
  <c r="Z34" i="4" s="1"/>
  <c r="Z35" i="4" a="1"/>
  <c r="Z35" i="4"/>
  <c r="Z36" i="4" a="1"/>
  <c r="Z36" i="4" s="1"/>
  <c r="Z37" i="4" a="1"/>
  <c r="Z37" i="4" s="1"/>
  <c r="Z38" i="4" a="1"/>
  <c r="Z38" i="4" s="1"/>
  <c r="Z39" i="4" a="1"/>
  <c r="Z39" i="4"/>
  <c r="Z40" i="4" a="1"/>
  <c r="Z40" i="4" s="1"/>
  <c r="Z41" i="4" a="1"/>
  <c r="Z41" i="4" s="1"/>
  <c r="Z42" i="4" a="1"/>
  <c r="Z42" i="4" s="1"/>
  <c r="Z43" i="4" a="1"/>
  <c r="Z43" i="4"/>
  <c r="Z44" i="4" a="1"/>
  <c r="Z44" i="4" s="1"/>
  <c r="Z45" i="4" a="1"/>
  <c r="Z45" i="4" s="1"/>
  <c r="Z46" i="4" a="1"/>
  <c r="Z46" i="4" s="1"/>
  <c r="Z47" i="4" a="1"/>
  <c r="Z47" i="4"/>
  <c r="Z48" i="4" a="1"/>
  <c r="Z48" i="4" s="1"/>
  <c r="Z49" i="4" a="1"/>
  <c r="Z49" i="4" s="1"/>
  <c r="Z50" i="4" a="1"/>
  <c r="Z50" i="4" s="1"/>
  <c r="Z51" i="4" a="1"/>
  <c r="Z51" i="4"/>
  <c r="Z52" i="4" a="1"/>
  <c r="Z52" i="4" s="1"/>
  <c r="Z53" i="4" a="1"/>
  <c r="Z53" i="4" s="1"/>
  <c r="Z54" i="4" a="1"/>
  <c r="Z54" i="4" s="1"/>
  <c r="Z55" i="4" a="1"/>
  <c r="Z55" i="4"/>
  <c r="Z56" i="4" a="1"/>
  <c r="Z56" i="4" s="1"/>
  <c r="Z57" i="4" a="1"/>
  <c r="Z57" i="4" s="1"/>
  <c r="Z58" i="4" a="1"/>
  <c r="Z58" i="4" s="1"/>
  <c r="Z59" i="4" a="1"/>
  <c r="Z59" i="4"/>
  <c r="Z60" i="4" a="1"/>
  <c r="Z60" i="4" s="1"/>
  <c r="Z61" i="4" a="1"/>
  <c r="Z61" i="4" s="1"/>
  <c r="Z62" i="4" a="1"/>
  <c r="Z62" i="4" s="1"/>
  <c r="Z63" i="4" a="1"/>
  <c r="Z63" i="4"/>
  <c r="Z64" i="4" a="1"/>
  <c r="Z64" i="4" s="1"/>
  <c r="Z65" i="4" a="1"/>
  <c r="Z65" i="4" s="1"/>
  <c r="Z66" i="4" a="1"/>
  <c r="Z66" i="4" s="1"/>
  <c r="Z67" i="4" a="1"/>
  <c r="Z67" i="4"/>
  <c r="Z68" i="4" a="1"/>
  <c r="Z68" i="4" s="1"/>
  <c r="Z69" i="4" a="1"/>
  <c r="Z69" i="4" s="1"/>
  <c r="Z70" i="4" a="1"/>
  <c r="Z70" i="4" s="1"/>
  <c r="Z71" i="4" a="1"/>
  <c r="Z71" i="4"/>
  <c r="Z72" i="4" a="1"/>
  <c r="Z72" i="4" s="1"/>
  <c r="Z73" i="4" a="1"/>
  <c r="Z73" i="4" s="1"/>
  <c r="Z74" i="4" a="1"/>
  <c r="Z74" i="4" s="1"/>
  <c r="Z75" i="4" a="1"/>
  <c r="Z75" i="4"/>
  <c r="Z76" i="4" a="1"/>
  <c r="Z76" i="4" s="1"/>
  <c r="Z77" i="4" a="1"/>
  <c r="Z77" i="4" s="1"/>
  <c r="Z78" i="4" a="1"/>
  <c r="Z78" i="4" s="1"/>
  <c r="Z79" i="4" a="1"/>
  <c r="Z79" i="4"/>
  <c r="Z80" i="4" a="1"/>
  <c r="Z80" i="4" s="1"/>
  <c r="Z81" i="4" a="1"/>
  <c r="Z81" i="4" s="1"/>
  <c r="Z82" i="4" a="1"/>
  <c r="Z82" i="4" s="1"/>
  <c r="Z83" i="4" a="1"/>
  <c r="Z83" i="4"/>
  <c r="Z84" i="4" a="1"/>
  <c r="Z84" i="4" s="1"/>
  <c r="Z85" i="4" a="1"/>
  <c r="Z85" i="4" s="1"/>
  <c r="Z86" i="4" a="1"/>
  <c r="Z86" i="4" s="1"/>
  <c r="Z87" i="4" a="1"/>
  <c r="Z87" i="4"/>
  <c r="Z88" i="4" a="1"/>
  <c r="Z88" i="4" s="1"/>
  <c r="Z89" i="4" a="1"/>
  <c r="Z89" i="4" s="1"/>
  <c r="Z90" i="4" a="1"/>
  <c r="Z90" i="4" s="1"/>
  <c r="Z91" i="4" a="1"/>
  <c r="Z91" i="4"/>
  <c r="Z92" i="4" a="1"/>
  <c r="Z92" i="4" s="1"/>
  <c r="Z93" i="4" a="1"/>
  <c r="Z93" i="4" s="1"/>
  <c r="Z94" i="4" a="1"/>
  <c r="Z94" i="4" s="1"/>
  <c r="Z95" i="4" a="1"/>
  <c r="Z95" i="4"/>
  <c r="Z96" i="4" a="1"/>
  <c r="Z96" i="4" s="1"/>
  <c r="Z97" i="4" a="1"/>
  <c r="Z97" i="4" s="1"/>
  <c r="Z98" i="4" a="1"/>
  <c r="Z98" i="4" s="1"/>
  <c r="Z99" i="4" a="1"/>
  <c r="Z99" i="4"/>
  <c r="Z100" i="4" a="1"/>
  <c r="Z100" i="4" s="1"/>
  <c r="Z101" i="4" a="1"/>
  <c r="Z101" i="4" s="1"/>
  <c r="Z102" i="4" a="1"/>
  <c r="Z102" i="4" s="1"/>
  <c r="Z103" i="4" a="1"/>
  <c r="Z103" i="4"/>
  <c r="Z104" i="4" a="1"/>
  <c r="Z104" i="4" s="1"/>
  <c r="Z105" i="4" a="1"/>
  <c r="Z105" i="4" s="1"/>
  <c r="Z106" i="4" a="1"/>
  <c r="Z106" i="4" s="1"/>
  <c r="Z107" i="4" a="1"/>
  <c r="Z107" i="4"/>
  <c r="Z108" i="4" a="1"/>
  <c r="Z108" i="4" s="1"/>
  <c r="Z109" i="4" a="1"/>
  <c r="Z109" i="4" s="1"/>
  <c r="Z110" i="4" a="1"/>
  <c r="Z110" i="4" s="1"/>
  <c r="Z111" i="4" a="1"/>
  <c r="Z111" i="4"/>
  <c r="Z112" i="4" a="1"/>
  <c r="Z112" i="4" s="1"/>
  <c r="Z113" i="4" a="1"/>
  <c r="Z113" i="4" s="1"/>
  <c r="Z114" i="4" a="1"/>
  <c r="Z114" i="4" s="1"/>
  <c r="Z115" i="4" a="1"/>
  <c r="Z115" i="4"/>
  <c r="Z116" i="4" a="1"/>
  <c r="Z116" i="4" s="1"/>
  <c r="Z117" i="4" a="1"/>
  <c r="Z117" i="4" s="1"/>
  <c r="Z118" i="4" a="1"/>
  <c r="Z118" i="4" s="1"/>
  <c r="Z119" i="4" a="1"/>
  <c r="Z119" i="4"/>
  <c r="Z120" i="4" a="1"/>
  <c r="Z120" i="4" s="1"/>
  <c r="Z121" i="4" a="1"/>
  <c r="Z121" i="4" s="1"/>
  <c r="Z122" i="4" a="1"/>
  <c r="Z122" i="4" s="1"/>
  <c r="Z123" i="4" a="1"/>
  <c r="Z123" i="4"/>
  <c r="Z124" i="4" a="1"/>
  <c r="Z124" i="4" s="1"/>
  <c r="Z125" i="4" a="1"/>
  <c r="Z125" i="4" s="1"/>
  <c r="Z126" i="4" a="1"/>
  <c r="Z126" i="4" s="1"/>
  <c r="Z127" i="4" a="1"/>
  <c r="Z127" i="4"/>
  <c r="Z128" i="4" a="1"/>
  <c r="Z128" i="4" s="1"/>
  <c r="Z129" i="4" a="1"/>
  <c r="Z129" i="4" s="1"/>
  <c r="Z130" i="4" a="1"/>
  <c r="Z130" i="4" s="1"/>
  <c r="Z131" i="4" a="1"/>
  <c r="Z131" i="4"/>
  <c r="Z132" i="4" a="1"/>
  <c r="Z132" i="4" s="1"/>
  <c r="Z133" i="4" a="1"/>
  <c r="Z133" i="4" s="1"/>
  <c r="Z134" i="4" a="1"/>
  <c r="Z134" i="4" s="1"/>
  <c r="Z135" i="4" a="1"/>
  <c r="Z135" i="4"/>
  <c r="Z136" i="4" a="1"/>
  <c r="Z136" i="4" s="1"/>
  <c r="Z137" i="4" a="1"/>
  <c r="Z137" i="4" s="1"/>
  <c r="Z138" i="4" a="1"/>
  <c r="Z138" i="4" s="1"/>
  <c r="Z139" i="4" a="1"/>
  <c r="Z139" i="4"/>
  <c r="Z140" i="4" a="1"/>
  <c r="Z140" i="4" s="1"/>
  <c r="Z141" i="4" a="1"/>
  <c r="Z141" i="4" s="1"/>
  <c r="Z142" i="4" a="1"/>
  <c r="Z142" i="4" s="1"/>
  <c r="Z143" i="4" a="1"/>
  <c r="Z143" i="4"/>
  <c r="Z144" i="4" a="1"/>
  <c r="Z144" i="4" s="1"/>
  <c r="Z145" i="4" a="1"/>
  <c r="Z145" i="4" s="1"/>
  <c r="Z146" i="4" a="1"/>
  <c r="Z146" i="4" s="1"/>
  <c r="Z147" i="4" a="1"/>
  <c r="Z147" i="4"/>
  <c r="Z148" i="4" a="1"/>
  <c r="Z148" i="4" s="1"/>
  <c r="Z149" i="4" a="1"/>
  <c r="Z149" i="4" s="1"/>
  <c r="Z150" i="4" a="1"/>
  <c r="Z150" i="4" s="1"/>
  <c r="Z151" i="4" a="1"/>
  <c r="Z151" i="4"/>
  <c r="Z152" i="4" a="1"/>
  <c r="Z152" i="4" s="1"/>
  <c r="Z153" i="4" a="1"/>
  <c r="Z153" i="4" s="1"/>
  <c r="Z154" i="4" a="1"/>
  <c r="Z154" i="4" s="1"/>
  <c r="Z155" i="4" a="1"/>
  <c r="Z155" i="4"/>
  <c r="Z156" i="4" a="1"/>
  <c r="Z156" i="4" s="1"/>
  <c r="Z157" i="4" a="1"/>
  <c r="Z157" i="4" s="1"/>
  <c r="Z158" i="4" a="1"/>
  <c r="Z158" i="4" s="1"/>
  <c r="Z159" i="4" a="1"/>
  <c r="Z159" i="4"/>
  <c r="Z160" i="4" a="1"/>
  <c r="Z160" i="4" s="1"/>
  <c r="Z161" i="4" a="1"/>
  <c r="Z161" i="4" s="1"/>
  <c r="Z162" i="4" a="1"/>
  <c r="Z162" i="4" s="1"/>
  <c r="Z163" i="4" a="1"/>
  <c r="Z163" i="4"/>
  <c r="Z164" i="4" a="1"/>
  <c r="Z164" i="4" s="1"/>
  <c r="Z165" i="4" a="1"/>
  <c r="Z165" i="4" s="1"/>
  <c r="Z166" i="4" a="1"/>
  <c r="Z166" i="4" s="1"/>
  <c r="Z167" i="4" a="1"/>
  <c r="Z167" i="4"/>
  <c r="Z168" i="4" a="1"/>
  <c r="Z168" i="4" s="1"/>
  <c r="Z169" i="4" a="1"/>
  <c r="Z169" i="4" s="1"/>
  <c r="Z170" i="4" a="1"/>
  <c r="Z170" i="4" s="1"/>
  <c r="Z171" i="4" a="1"/>
  <c r="Z171" i="4"/>
  <c r="Z172" i="4" a="1"/>
  <c r="Z172" i="4" s="1"/>
  <c r="Z173" i="4" a="1"/>
  <c r="Z173" i="4" s="1"/>
  <c r="Z174" i="4" a="1"/>
  <c r="Z174" i="4" s="1"/>
  <c r="Z175" i="4" a="1"/>
  <c r="Z175" i="4"/>
  <c r="Z176" i="4" a="1"/>
  <c r="Z176" i="4" s="1"/>
  <c r="Z177" i="4" a="1"/>
  <c r="Z177" i="4" s="1"/>
  <c r="Z178" i="4" a="1"/>
  <c r="Z178" i="4" s="1"/>
  <c r="Z179" i="4" a="1"/>
  <c r="Z179" i="4"/>
  <c r="Z180" i="4" a="1"/>
  <c r="Z180" i="4" s="1"/>
  <c r="Z181" i="4" a="1"/>
  <c r="Z181" i="4" s="1"/>
  <c r="Z182" i="4" a="1"/>
  <c r="Z182" i="4" s="1"/>
  <c r="Z183" i="4" a="1"/>
  <c r="Z183" i="4"/>
  <c r="Z184" i="4" a="1"/>
  <c r="Z184" i="4" s="1"/>
  <c r="Z185" i="4" a="1"/>
  <c r="Z185" i="4" s="1"/>
  <c r="Z186" i="4" a="1"/>
  <c r="Z186" i="4" s="1"/>
  <c r="Z187" i="4" a="1"/>
  <c r="Z187" i="4"/>
  <c r="Z188" i="4" a="1"/>
  <c r="Z188" i="4" s="1"/>
  <c r="Z189" i="4" a="1"/>
  <c r="Z189" i="4" s="1"/>
  <c r="Z190" i="4" a="1"/>
  <c r="Z190" i="4" s="1"/>
  <c r="Z191" i="4" a="1"/>
  <c r="Z191" i="4"/>
  <c r="Z192" i="4" a="1"/>
  <c r="Z192" i="4" s="1"/>
  <c r="Z193" i="4" a="1"/>
  <c r="Z193" i="4" s="1"/>
  <c r="Z194" i="4" a="1"/>
  <c r="Z194" i="4" s="1"/>
  <c r="Z195" i="4" a="1"/>
  <c r="Z195" i="4"/>
  <c r="Z196" i="4" a="1"/>
  <c r="Z196" i="4" s="1"/>
  <c r="Z197" i="4" a="1"/>
  <c r="Z197" i="4" s="1"/>
  <c r="Z198" i="4" a="1"/>
  <c r="Z198" i="4" s="1"/>
  <c r="Z199" i="4" a="1"/>
  <c r="Z199" i="4"/>
  <c r="Z200" i="4" a="1"/>
  <c r="Z200" i="4" s="1"/>
  <c r="Z201" i="4" a="1"/>
  <c r="Z201" i="4" s="1"/>
  <c r="Z202" i="4" a="1"/>
  <c r="Z202" i="4" s="1"/>
  <c r="Z203" i="4" a="1"/>
  <c r="Z203" i="4"/>
  <c r="Z204" i="4" a="1"/>
  <c r="Z204" i="4" s="1"/>
  <c r="Z205" i="4" a="1"/>
  <c r="Z205" i="4" s="1"/>
  <c r="Z206" i="4" a="1"/>
  <c r="Z206" i="4" s="1"/>
  <c r="Z207" i="4" a="1"/>
  <c r="Z207" i="4"/>
  <c r="Z208" i="4" a="1"/>
  <c r="Z208" i="4" s="1"/>
  <c r="Z209" i="4" a="1"/>
  <c r="Z209" i="4" s="1"/>
  <c r="Z210" i="4" a="1"/>
  <c r="Z210" i="4" s="1"/>
  <c r="Z211" i="4" a="1"/>
  <c r="Z211" i="4"/>
  <c r="Z212" i="4" a="1"/>
  <c r="Z212" i="4" s="1"/>
  <c r="Z213" i="4" a="1"/>
  <c r="Z213" i="4" s="1"/>
  <c r="Z214" i="4" a="1"/>
  <c r="Z214" i="4" s="1"/>
  <c r="Z215" i="4" a="1"/>
  <c r="Z215" i="4"/>
  <c r="Z216" i="4" a="1"/>
  <c r="Z216" i="4" s="1"/>
  <c r="Z217" i="4" a="1"/>
  <c r="Z217" i="4" s="1"/>
  <c r="Z218" i="4" a="1"/>
  <c r="Z218" i="4" s="1"/>
  <c r="Z219" i="4" a="1"/>
  <c r="Z219" i="4"/>
  <c r="Z220" i="4" a="1"/>
  <c r="Z220" i="4" s="1"/>
  <c r="Z221" i="4" a="1"/>
  <c r="Z221" i="4" s="1"/>
  <c r="Z222" i="4" a="1"/>
  <c r="Z222" i="4" s="1"/>
  <c r="Z223" i="4" a="1"/>
  <c r="Z223" i="4"/>
  <c r="Z224" i="4" a="1"/>
  <c r="Z224" i="4" s="1"/>
  <c r="Z225" i="4" a="1"/>
  <c r="Z225" i="4" s="1"/>
  <c r="Z226" i="4" a="1"/>
  <c r="Z226" i="4" s="1"/>
  <c r="Z227" i="4" a="1"/>
  <c r="Z227" i="4"/>
  <c r="Z228" i="4" a="1"/>
  <c r="Z228" i="4" s="1"/>
  <c r="Z229" i="4" a="1"/>
  <c r="Z229" i="4" s="1"/>
  <c r="Z230" i="4" a="1"/>
  <c r="Z230" i="4" s="1"/>
  <c r="Z231" i="4" a="1"/>
  <c r="Z231" i="4"/>
  <c r="Z232" i="4" a="1"/>
  <c r="Z232" i="4" s="1"/>
  <c r="Z233" i="4" a="1"/>
  <c r="Z233" i="4" s="1"/>
  <c r="Z234" i="4" a="1"/>
  <c r="Z234" i="4" s="1"/>
  <c r="Z235" i="4" a="1"/>
  <c r="Z235" i="4"/>
  <c r="Z236" i="4" a="1"/>
  <c r="Z236" i="4" s="1"/>
  <c r="Z237" i="4" a="1"/>
  <c r="Z237" i="4" s="1"/>
  <c r="Z238" i="4" a="1"/>
  <c r="Z238" i="4" s="1"/>
  <c r="Z239" i="4" a="1"/>
  <c r="Z239" i="4"/>
  <c r="Z240" i="4" a="1"/>
  <c r="Z240" i="4" s="1"/>
  <c r="Z241" i="4" a="1"/>
  <c r="Z241" i="4" s="1"/>
  <c r="Z242" i="4" a="1"/>
  <c r="Z242" i="4" s="1"/>
  <c r="Z243" i="4" a="1"/>
  <c r="Z243" i="4"/>
  <c r="Z244" i="4" a="1"/>
  <c r="Z244" i="4" s="1"/>
  <c r="Z245" i="4" a="1"/>
  <c r="Z245" i="4" s="1"/>
  <c r="Z246" i="4" a="1"/>
  <c r="Z246" i="4" s="1"/>
  <c r="Z247" i="4" a="1"/>
  <c r="Z247" i="4"/>
  <c r="Z248" i="4" a="1"/>
  <c r="Z248" i="4" s="1"/>
  <c r="Z249" i="4" a="1"/>
  <c r="Z249" i="4" s="1"/>
  <c r="Z250" i="4" a="1"/>
  <c r="Z250" i="4" s="1"/>
  <c r="Z251" i="4" a="1"/>
  <c r="Z251" i="4"/>
  <c r="Z252" i="4" a="1"/>
  <c r="Z252" i="4" s="1"/>
  <c r="Z253" i="4" a="1"/>
  <c r="Z253" i="4" s="1"/>
  <c r="Z254" i="4" a="1"/>
  <c r="Z254" i="4" s="1"/>
  <c r="Z255" i="4" a="1"/>
  <c r="Z255" i="4"/>
  <c r="Z256" i="4" a="1"/>
  <c r="Z256" i="4" s="1"/>
  <c r="Z257" i="4" a="1"/>
  <c r="Z257" i="4" s="1"/>
  <c r="Z258" i="4" a="1"/>
  <c r="Z258" i="4" s="1"/>
  <c r="Z259" i="4" a="1"/>
  <c r="Z259" i="4"/>
  <c r="Z260" i="4" a="1"/>
  <c r="Z260" i="4" s="1"/>
  <c r="Z261" i="4" a="1"/>
  <c r="Z261" i="4" s="1"/>
  <c r="Z262" i="4" a="1"/>
  <c r="Z262" i="4" s="1"/>
  <c r="Z263" i="4" a="1"/>
  <c r="Z263" i="4"/>
  <c r="Z264" i="4" a="1"/>
  <c r="Z264" i="4" s="1"/>
  <c r="Z265" i="4" a="1"/>
  <c r="Z265" i="4" s="1"/>
  <c r="Z266" i="4" a="1"/>
  <c r="Z266" i="4" s="1"/>
  <c r="Z267" i="4" a="1"/>
  <c r="Z267" i="4"/>
  <c r="Z268" i="4" a="1"/>
  <c r="Z268" i="4" s="1"/>
  <c r="Z269" i="4" a="1"/>
  <c r="Z269" i="4" s="1"/>
  <c r="Z270" i="4" a="1"/>
  <c r="Z270" i="4" s="1"/>
  <c r="Z271" i="4" a="1"/>
  <c r="Z271" i="4"/>
  <c r="Z272" i="4" a="1"/>
  <c r="Z272" i="4" s="1"/>
  <c r="Z273" i="4" a="1"/>
  <c r="Z273" i="4" s="1"/>
  <c r="Z274" i="4" a="1"/>
  <c r="Z274" i="4" s="1"/>
  <c r="Z275" i="4" a="1"/>
  <c r="Z275" i="4"/>
  <c r="Z276" i="4" a="1"/>
  <c r="Z276" i="4" s="1"/>
  <c r="Z277" i="4" a="1"/>
  <c r="Z277" i="4" s="1"/>
  <c r="Z278" i="4" a="1"/>
  <c r="Z278" i="4" s="1"/>
  <c r="Z279" i="4" a="1"/>
  <c r="Z279" i="4"/>
  <c r="Z280" i="4" a="1"/>
  <c r="Z280" i="4" s="1"/>
  <c r="Z281" i="4" a="1"/>
  <c r="Z281" i="4" s="1"/>
  <c r="Z282" i="4" a="1"/>
  <c r="Z282" i="4" s="1"/>
  <c r="Z283" i="4" a="1"/>
  <c r="Z283" i="4"/>
  <c r="Z284" i="4" a="1"/>
  <c r="Z284" i="4" s="1"/>
  <c r="Z285" i="4" a="1"/>
  <c r="Z285" i="4" s="1"/>
  <c r="Z286" i="4" a="1"/>
  <c r="Z286" i="4" s="1"/>
  <c r="Z287" i="4" a="1"/>
  <c r="Z287" i="4"/>
  <c r="Z288" i="4" a="1"/>
  <c r="Z288" i="4" s="1"/>
  <c r="Z289" i="4" a="1"/>
  <c r="Z289" i="4" s="1"/>
  <c r="Z290" i="4" a="1"/>
  <c r="Z290" i="4" s="1"/>
  <c r="Z291" i="4" a="1"/>
  <c r="Z291" i="4"/>
  <c r="Z292" i="4" a="1"/>
  <c r="Z292" i="4" s="1"/>
  <c r="Z293" i="4" a="1"/>
  <c r="Z293" i="4" s="1"/>
  <c r="Z294" i="4" a="1"/>
  <c r="Z294" i="4" s="1"/>
  <c r="Z295" i="4" a="1"/>
  <c r="Z295" i="4"/>
  <c r="Z296" i="4" a="1"/>
  <c r="Z296" i="4" s="1"/>
  <c r="Z297" i="4" a="1"/>
  <c r="Z297" i="4" s="1"/>
  <c r="Z298" i="4" a="1"/>
  <c r="Z298" i="4" s="1"/>
  <c r="Z299" i="4" a="1"/>
  <c r="Z299" i="4"/>
  <c r="Z300" i="4" a="1"/>
  <c r="Z300" i="4" s="1"/>
  <c r="Z301" i="4" a="1"/>
  <c r="Z301" i="4" s="1"/>
  <c r="Z302" i="4" a="1"/>
  <c r="Z302" i="4" s="1"/>
  <c r="Z303" i="4" a="1"/>
  <c r="Z303" i="4"/>
  <c r="Z304" i="4" a="1"/>
  <c r="Z304" i="4" s="1"/>
  <c r="Z305" i="4" a="1"/>
  <c r="Z305" i="4" s="1"/>
  <c r="Z306" i="4" a="1"/>
  <c r="Z306" i="4" s="1"/>
  <c r="Z307" i="4" a="1"/>
  <c r="Z307" i="4"/>
  <c r="Z308" i="4" a="1"/>
  <c r="Z308" i="4" s="1"/>
  <c r="Z309" i="4" a="1"/>
  <c r="Z309" i="4" s="1"/>
  <c r="Z310" i="4" a="1"/>
  <c r="Z310" i="4" s="1"/>
  <c r="Z311" i="4" a="1"/>
  <c r="Z311" i="4"/>
  <c r="Z312" i="4" a="1"/>
  <c r="Z312" i="4" s="1"/>
  <c r="Z313" i="4" a="1"/>
  <c r="Z313" i="4" s="1"/>
  <c r="Z314" i="4" a="1"/>
  <c r="Z314" i="4" s="1"/>
  <c r="Z315" i="4" a="1"/>
  <c r="Z315" i="4"/>
  <c r="Z316" i="4" a="1"/>
  <c r="Z316" i="4" s="1"/>
  <c r="Z317" i="4" a="1"/>
  <c r="Z317" i="4" s="1"/>
  <c r="Z318" i="4" a="1"/>
  <c r="Z318" i="4" s="1"/>
  <c r="Z319" i="4" a="1"/>
  <c r="Z319" i="4"/>
  <c r="Z320" i="4" a="1"/>
  <c r="Z320" i="4" s="1"/>
  <c r="Z321" i="4" a="1"/>
  <c r="Z321" i="4" s="1"/>
  <c r="Z322" i="4" a="1"/>
  <c r="Z322" i="4" s="1"/>
  <c r="Z323" i="4" a="1"/>
  <c r="Z323" i="4"/>
  <c r="Z324" i="4" a="1"/>
  <c r="Z324" i="4" s="1"/>
  <c r="Z325" i="4" a="1"/>
  <c r="Z325" i="4" s="1"/>
  <c r="Z326" i="4" a="1"/>
  <c r="Z326" i="4" s="1"/>
  <c r="Z327" i="4" a="1"/>
  <c r="Z327" i="4"/>
  <c r="Z328" i="4" a="1"/>
  <c r="Z328" i="4" s="1"/>
  <c r="Z329" i="4" a="1"/>
  <c r="Z329" i="4" s="1"/>
  <c r="Z330" i="4" a="1"/>
  <c r="Z330" i="4" s="1"/>
  <c r="Z331" i="4" a="1"/>
  <c r="Z331" i="4"/>
  <c r="Z332" i="4" a="1"/>
  <c r="Z332" i="4" s="1"/>
  <c r="Z333" i="4" a="1"/>
  <c r="Z333" i="4" s="1"/>
  <c r="Z334" i="4" a="1"/>
  <c r="Z334" i="4" s="1"/>
  <c r="Z335" i="4" a="1"/>
  <c r="Z335" i="4"/>
  <c r="Z336" i="4" a="1"/>
  <c r="Z336" i="4" s="1"/>
  <c r="Z337" i="4" a="1"/>
  <c r="Z337" i="4" s="1"/>
  <c r="Z338" i="4" a="1"/>
  <c r="Z338" i="4" s="1"/>
  <c r="Z339" i="4" a="1"/>
  <c r="Z339" i="4"/>
  <c r="Z340" i="4" a="1"/>
  <c r="Z340" i="4" s="1"/>
  <c r="E8" i="26"/>
  <c r="D8" i="26"/>
  <c r="B8" i="26"/>
  <c r="D7" i="26"/>
  <c r="E7" i="26" s="1"/>
  <c r="B7" i="26"/>
  <c r="D6" i="26"/>
  <c r="AA285" i="30"/>
  <c r="AA286" i="30"/>
  <c r="AA287" i="30"/>
  <c r="AA288" i="30"/>
  <c r="AA289" i="30"/>
  <c r="AA290" i="30"/>
  <c r="AA291" i="30"/>
  <c r="AA292" i="30"/>
  <c r="AA293" i="30"/>
  <c r="AA294" i="30"/>
  <c r="AA295" i="30"/>
  <c r="AA296" i="30"/>
  <c r="AA297" i="30"/>
  <c r="AA298" i="30"/>
  <c r="AA299" i="30"/>
  <c r="AA300" i="30"/>
  <c r="Z285" i="30" a="1"/>
  <c r="Z285" i="30" s="1"/>
  <c r="Z286" i="30" a="1"/>
  <c r="Z286" i="30" s="1"/>
  <c r="Z287" i="30" a="1"/>
  <c r="Z287" i="30" s="1"/>
  <c r="Z288" i="30" a="1"/>
  <c r="Z288" i="30"/>
  <c r="Z289" i="30" a="1"/>
  <c r="Z289" i="30" s="1"/>
  <c r="Z290" i="30" a="1"/>
  <c r="Z290" i="30" s="1"/>
  <c r="Z291" i="30" a="1"/>
  <c r="Z291" i="30" s="1"/>
  <c r="Z292" i="30" a="1"/>
  <c r="Z292" i="30"/>
  <c r="Z293" i="30" a="1"/>
  <c r="Z293" i="30" s="1"/>
  <c r="Z294" i="30" a="1"/>
  <c r="Z294" i="30" s="1"/>
  <c r="Z295" i="30" a="1"/>
  <c r="Z295" i="30" s="1"/>
  <c r="Z296" i="30" a="1"/>
  <c r="Z296" i="30"/>
  <c r="Z297" i="30" a="1"/>
  <c r="Z297" i="30" s="1"/>
  <c r="Z298" i="30" a="1"/>
  <c r="Z298" i="30" s="1"/>
  <c r="Z299" i="30" a="1"/>
  <c r="Z299" i="30" s="1"/>
  <c r="AA10" i="30"/>
  <c r="AA11" i="30"/>
  <c r="AA12" i="30"/>
  <c r="AA13" i="30"/>
  <c r="AA14" i="30"/>
  <c r="AA15" i="30"/>
  <c r="AA16" i="30"/>
  <c r="AA17" i="30"/>
  <c r="AA18" i="30"/>
  <c r="AA19" i="30"/>
  <c r="AA20" i="30"/>
  <c r="AA21" i="30"/>
  <c r="AA22" i="30"/>
  <c r="AA23" i="30"/>
  <c r="AA24" i="30"/>
  <c r="AA25" i="30"/>
  <c r="AA26" i="30"/>
  <c r="AA27" i="30"/>
  <c r="AA28" i="30"/>
  <c r="AA29" i="30"/>
  <c r="AA30" i="30"/>
  <c r="AA31" i="30"/>
  <c r="AA32" i="30"/>
  <c r="AA33" i="30"/>
  <c r="AA34" i="30"/>
  <c r="AA35" i="30"/>
  <c r="AA36" i="30"/>
  <c r="AA37" i="30"/>
  <c r="AA38" i="30"/>
  <c r="AA39" i="30"/>
  <c r="AA40" i="30"/>
  <c r="AA41" i="30"/>
  <c r="AA42" i="30"/>
  <c r="AA43" i="30"/>
  <c r="AA44" i="30"/>
  <c r="AA45" i="30"/>
  <c r="AA46" i="30"/>
  <c r="AA47" i="30"/>
  <c r="AA48" i="30"/>
  <c r="AA49" i="30"/>
  <c r="AA50" i="30"/>
  <c r="AA51" i="30"/>
  <c r="AA52" i="30"/>
  <c r="AA53" i="30"/>
  <c r="AA54" i="30"/>
  <c r="AA55" i="30"/>
  <c r="AA56" i="30"/>
  <c r="AA57" i="30"/>
  <c r="AA58" i="30"/>
  <c r="AA59" i="30"/>
  <c r="AA60" i="30"/>
  <c r="AA61" i="30"/>
  <c r="AA62" i="30"/>
  <c r="AA63" i="30"/>
  <c r="AA64" i="30"/>
  <c r="AA65" i="30"/>
  <c r="AA66" i="30"/>
  <c r="AA67" i="30"/>
  <c r="AA68" i="30"/>
  <c r="AA69" i="30"/>
  <c r="AA70" i="30"/>
  <c r="AA71" i="30"/>
  <c r="AA72" i="30"/>
  <c r="AA73" i="30"/>
  <c r="AA74" i="30"/>
  <c r="AA75" i="30"/>
  <c r="AA76" i="30"/>
  <c r="AA77" i="30"/>
  <c r="AA78" i="30"/>
  <c r="AA79" i="30"/>
  <c r="AA80" i="30"/>
  <c r="AA81" i="30"/>
  <c r="AA82" i="30"/>
  <c r="AA83" i="30"/>
  <c r="AA84" i="30"/>
  <c r="AA85" i="30"/>
  <c r="AA86" i="30"/>
  <c r="AA87" i="30"/>
  <c r="AA88" i="30"/>
  <c r="AA89" i="30"/>
  <c r="AA90" i="30"/>
  <c r="AA91" i="30"/>
  <c r="AA92" i="30"/>
  <c r="AA93" i="30"/>
  <c r="AA94" i="30"/>
  <c r="AA95" i="30"/>
  <c r="AA96" i="30"/>
  <c r="AA97" i="30"/>
  <c r="AA98" i="30"/>
  <c r="AA99" i="30"/>
  <c r="AA100" i="30"/>
  <c r="AA101" i="30"/>
  <c r="AA102" i="30"/>
  <c r="AA103" i="30"/>
  <c r="AA104" i="30"/>
  <c r="AA105" i="30"/>
  <c r="AA106" i="30"/>
  <c r="AA107" i="30"/>
  <c r="AA108" i="30"/>
  <c r="AA109" i="30"/>
  <c r="AA110" i="30"/>
  <c r="AA111" i="30"/>
  <c r="AA112" i="30"/>
  <c r="AA113" i="30"/>
  <c r="AA114" i="30"/>
  <c r="AA115" i="30"/>
  <c r="AA116" i="30"/>
  <c r="AA117" i="30"/>
  <c r="AA118" i="30"/>
  <c r="AA119" i="30"/>
  <c r="AA120" i="30"/>
  <c r="AA121" i="30"/>
  <c r="AA122" i="30"/>
  <c r="AA123" i="30"/>
  <c r="AA124" i="30"/>
  <c r="AA125" i="30"/>
  <c r="AA126" i="30"/>
  <c r="AA127" i="30"/>
  <c r="AA128" i="30"/>
  <c r="AA129" i="30"/>
  <c r="AA130" i="30"/>
  <c r="AA131" i="30"/>
  <c r="AA132" i="30"/>
  <c r="AA133" i="30"/>
  <c r="AA134" i="30"/>
  <c r="AA135" i="30"/>
  <c r="AA136" i="30"/>
  <c r="AA137" i="30"/>
  <c r="AA138" i="30"/>
  <c r="AA139" i="30"/>
  <c r="AA140" i="30"/>
  <c r="AA141" i="30"/>
  <c r="AA142" i="30"/>
  <c r="AA143" i="30"/>
  <c r="AA144" i="30"/>
  <c r="AA145" i="30"/>
  <c r="AA146" i="30"/>
  <c r="AA147" i="30"/>
  <c r="AA148" i="30"/>
  <c r="AA149" i="30"/>
  <c r="AA150" i="30"/>
  <c r="AA151" i="30"/>
  <c r="AA152" i="30"/>
  <c r="AA153" i="30"/>
  <c r="AA154" i="30"/>
  <c r="AA155" i="30"/>
  <c r="AA156" i="30"/>
  <c r="AA157" i="30"/>
  <c r="AA158" i="30"/>
  <c r="AA159" i="30"/>
  <c r="AA160" i="30"/>
  <c r="AA161" i="30"/>
  <c r="AA162" i="30"/>
  <c r="AA163" i="30"/>
  <c r="AA164" i="30"/>
  <c r="AA165" i="30"/>
  <c r="AA166" i="30"/>
  <c r="AA167" i="30"/>
  <c r="AA168" i="30"/>
  <c r="AA169" i="30"/>
  <c r="AA170" i="30"/>
  <c r="AA171" i="30"/>
  <c r="AA172" i="30"/>
  <c r="AA173" i="30"/>
  <c r="AA174" i="30"/>
  <c r="AA175" i="30"/>
  <c r="AA176" i="30"/>
  <c r="AA177" i="30"/>
  <c r="AA178" i="30"/>
  <c r="AA179" i="30"/>
  <c r="AA180" i="30"/>
  <c r="AA181" i="30"/>
  <c r="AA182" i="30"/>
  <c r="Z10" i="30" a="1"/>
  <c r="Z10" i="30"/>
  <c r="Z11" i="30" a="1"/>
  <c r="Z11" i="30"/>
  <c r="Z12" i="30" a="1"/>
  <c r="Z12" i="30"/>
  <c r="Z13" i="30" a="1"/>
  <c r="Z13" i="30"/>
  <c r="Z14" i="30" a="1"/>
  <c r="Z14" i="30"/>
  <c r="Z15" i="30" a="1"/>
  <c r="Z15" i="30"/>
  <c r="Z16" i="30" a="1"/>
  <c r="Z16" i="30"/>
  <c r="Z17" i="30" a="1"/>
  <c r="Z17" i="30"/>
  <c r="Z18" i="30" a="1"/>
  <c r="Z18" i="30"/>
  <c r="Z19" i="30" a="1"/>
  <c r="Z19" i="30" s="1"/>
  <c r="Z20" i="30" a="1"/>
  <c r="Z20" i="30"/>
  <c r="Z21" i="30" a="1"/>
  <c r="Z21" i="30"/>
  <c r="Z22" i="30" a="1"/>
  <c r="Z22" i="30"/>
  <c r="Z23" i="30" a="1"/>
  <c r="Z23" i="30" s="1"/>
  <c r="Z24" i="30" a="1"/>
  <c r="Z24" i="30"/>
  <c r="Z25" i="30" a="1"/>
  <c r="Z25" i="30"/>
  <c r="Z26" i="30" a="1"/>
  <c r="Z26" i="30"/>
  <c r="Z27" i="30" a="1"/>
  <c r="Z27" i="30" s="1"/>
  <c r="Z28" i="30" a="1"/>
  <c r="Z28" i="30"/>
  <c r="Z29" i="30" a="1"/>
  <c r="Z29" i="30"/>
  <c r="Z30" i="30" a="1"/>
  <c r="Z30" i="30"/>
  <c r="Z31" i="30" a="1"/>
  <c r="Z31" i="30" s="1"/>
  <c r="Z32" i="30" a="1"/>
  <c r="Z32" i="30"/>
  <c r="Z33" i="30" a="1"/>
  <c r="Z33" i="30"/>
  <c r="Z34" i="30" a="1"/>
  <c r="Z34" i="30"/>
  <c r="Z35" i="30" a="1"/>
  <c r="Z35" i="30" s="1"/>
  <c r="Z36" i="30" a="1"/>
  <c r="Z36" i="30"/>
  <c r="Z37" i="30" a="1"/>
  <c r="Z37" i="30"/>
  <c r="Z38" i="30" a="1"/>
  <c r="Z38" i="30"/>
  <c r="Z39" i="30" a="1"/>
  <c r="Z39" i="30" s="1"/>
  <c r="Z40" i="30" a="1"/>
  <c r="Z40" i="30"/>
  <c r="Z41" i="30" a="1"/>
  <c r="Z41" i="30"/>
  <c r="Z42" i="30" a="1"/>
  <c r="Z42" i="30"/>
  <c r="Z43" i="30" a="1"/>
  <c r="Z43" i="30" s="1"/>
  <c r="Z44" i="30" a="1"/>
  <c r="Z44" i="30"/>
  <c r="Z45" i="30" a="1"/>
  <c r="Z45" i="30"/>
  <c r="Z46" i="30" a="1"/>
  <c r="Z46" i="30"/>
  <c r="Z47" i="30" a="1"/>
  <c r="Z47" i="30" s="1"/>
  <c r="Z48" i="30" a="1"/>
  <c r="Z48" i="30"/>
  <c r="Z49" i="30" a="1"/>
  <c r="Z49" i="30"/>
  <c r="Z50" i="30" a="1"/>
  <c r="Z50" i="30"/>
  <c r="Z51" i="30" a="1"/>
  <c r="Z51" i="30" s="1"/>
  <c r="Z52" i="30" a="1"/>
  <c r="Z52" i="30"/>
  <c r="Z53" i="30" a="1"/>
  <c r="Z53" i="30"/>
  <c r="Z54" i="30" a="1"/>
  <c r="Z54" i="30"/>
  <c r="Z55" i="30" a="1"/>
  <c r="Z55" i="30" s="1"/>
  <c r="Z56" i="30" a="1"/>
  <c r="Z56" i="30"/>
  <c r="Z57" i="30" a="1"/>
  <c r="Z57" i="30"/>
  <c r="Z58" i="30" a="1"/>
  <c r="Z58" i="30"/>
  <c r="Z59" i="30" a="1"/>
  <c r="Z59" i="30" s="1"/>
  <c r="Z60" i="30" a="1"/>
  <c r="Z60" i="30"/>
  <c r="Z61" i="30" a="1"/>
  <c r="Z61" i="30"/>
  <c r="Z62" i="30" a="1"/>
  <c r="Z62" i="30" s="1"/>
  <c r="Z63" i="30" a="1"/>
  <c r="Z63" i="30" s="1"/>
  <c r="Z64" i="30" a="1"/>
  <c r="Z64" i="30"/>
  <c r="Z65" i="30" a="1"/>
  <c r="Z65" i="30"/>
  <c r="Z66" i="30" a="1"/>
  <c r="Z66" i="30" s="1"/>
  <c r="Z67" i="30" a="1"/>
  <c r="Z67" i="30" s="1"/>
  <c r="Z68" i="30" a="1"/>
  <c r="Z68" i="30"/>
  <c r="Z69" i="30" a="1"/>
  <c r="Z69" i="30"/>
  <c r="Z70" i="30" a="1"/>
  <c r="Z70" i="30" s="1"/>
  <c r="Z71" i="30" a="1"/>
  <c r="Z71" i="30" s="1"/>
  <c r="Z72" i="30" a="1"/>
  <c r="Z72" i="30"/>
  <c r="Z73" i="30" a="1"/>
  <c r="Z73" i="30"/>
  <c r="Z74" i="30" a="1"/>
  <c r="Z74" i="30" s="1"/>
  <c r="Z75" i="30" a="1"/>
  <c r="Z75" i="30" s="1"/>
  <c r="Z76" i="30" a="1"/>
  <c r="Z76" i="30"/>
  <c r="Z77" i="30" a="1"/>
  <c r="Z77" i="30"/>
  <c r="Z78" i="30" a="1"/>
  <c r="Z78" i="30" s="1"/>
  <c r="Z79" i="30" a="1"/>
  <c r="Z79" i="30" s="1"/>
  <c r="Z80" i="30" a="1"/>
  <c r="Z80" i="30"/>
  <c r="Z81" i="30" a="1"/>
  <c r="Z81" i="30"/>
  <c r="Z82" i="30" a="1"/>
  <c r="Z82" i="30" s="1"/>
  <c r="Z83" i="30" a="1"/>
  <c r="Z83" i="30" s="1"/>
  <c r="Z84" i="30" a="1"/>
  <c r="Z84" i="30"/>
  <c r="Z85" i="30" a="1"/>
  <c r="Z85" i="30"/>
  <c r="Z86" i="30" a="1"/>
  <c r="Z86" i="30" s="1"/>
  <c r="Z87" i="30" a="1"/>
  <c r="Z87" i="30" s="1"/>
  <c r="Z88" i="30" a="1"/>
  <c r="Z88" i="30"/>
  <c r="Z89" i="30" a="1"/>
  <c r="Z89" i="30"/>
  <c r="Z90" i="30" a="1"/>
  <c r="Z90" i="30" s="1"/>
  <c r="Z91" i="30" a="1"/>
  <c r="Z91" i="30" s="1"/>
  <c r="Z92" i="30" a="1"/>
  <c r="Z92" i="30"/>
  <c r="Z93" i="30" a="1"/>
  <c r="Z93" i="30"/>
  <c r="Z94" i="30" a="1"/>
  <c r="Z94" i="30" s="1"/>
  <c r="Z95" i="30" a="1"/>
  <c r="Z95" i="30" s="1"/>
  <c r="Z96" i="30" a="1"/>
  <c r="Z96" i="30"/>
  <c r="Z97" i="30" a="1"/>
  <c r="Z97" i="30"/>
  <c r="Z98" i="30" a="1"/>
  <c r="Z98" i="30" s="1"/>
  <c r="Z99" i="30" a="1"/>
  <c r="Z99" i="30" s="1"/>
  <c r="Z100" i="30" a="1"/>
  <c r="Z100" i="30"/>
  <c r="Z101" i="30" a="1"/>
  <c r="Z101" i="30"/>
  <c r="Z102" i="30" a="1"/>
  <c r="Z102" i="30" s="1"/>
  <c r="Z103" i="30" a="1"/>
  <c r="Z103" i="30" s="1"/>
  <c r="Z104" i="30" a="1"/>
  <c r="Z104" i="30"/>
  <c r="Z105" i="30" a="1"/>
  <c r="Z105" i="30"/>
  <c r="Z106" i="30" a="1"/>
  <c r="Z106" i="30" s="1"/>
  <c r="Z107" i="30" a="1"/>
  <c r="Z107" i="30" s="1"/>
  <c r="Z108" i="30" a="1"/>
  <c r="Z108" i="30"/>
  <c r="Z109" i="30" a="1"/>
  <c r="Z109" i="30"/>
  <c r="Z110" i="30" a="1"/>
  <c r="Z110" i="30" s="1"/>
  <c r="Z111" i="30" a="1"/>
  <c r="Z111" i="30" s="1"/>
  <c r="Z112" i="30" a="1"/>
  <c r="Z112" i="30"/>
  <c r="Z113" i="30" a="1"/>
  <c r="Z113" i="30"/>
  <c r="Z114" i="30" a="1"/>
  <c r="Z114" i="30" s="1"/>
  <c r="Z115" i="30" a="1"/>
  <c r="Z115" i="30" s="1"/>
  <c r="Z116" i="30" a="1"/>
  <c r="Z116" i="30"/>
  <c r="Z117" i="30" a="1"/>
  <c r="Z117" i="30"/>
  <c r="Z118" i="30" a="1"/>
  <c r="Z118" i="30" s="1"/>
  <c r="Z119" i="30" a="1"/>
  <c r="Z119" i="30" s="1"/>
  <c r="Z120" i="30" a="1"/>
  <c r="Z120" i="30"/>
  <c r="Z121" i="30" a="1"/>
  <c r="Z121" i="30"/>
  <c r="Z122" i="30" a="1"/>
  <c r="Z122" i="30" s="1"/>
  <c r="Z123" i="30" a="1"/>
  <c r="Z123" i="30" s="1"/>
  <c r="Z124" i="30" a="1"/>
  <c r="Z124" i="30" s="1"/>
  <c r="Z125" i="30" a="1"/>
  <c r="Z125" i="30"/>
  <c r="Z126" i="30" a="1"/>
  <c r="Z126" i="30" s="1"/>
  <c r="Z127" i="30" a="1"/>
  <c r="Z127" i="30" s="1"/>
  <c r="Z128" i="30" a="1"/>
  <c r="Z128" i="30" s="1"/>
  <c r="Z129" i="30" a="1"/>
  <c r="Z129" i="30"/>
  <c r="Z130" i="30" a="1"/>
  <c r="Z130" i="30" s="1"/>
  <c r="Z131" i="30" a="1"/>
  <c r="Z131" i="30" s="1"/>
  <c r="Z132" i="30" a="1"/>
  <c r="Z132" i="30" s="1"/>
  <c r="Z133" i="30" a="1"/>
  <c r="Z133" i="30"/>
  <c r="Z134" i="30" a="1"/>
  <c r="Z134" i="30" s="1"/>
  <c r="Z135" i="30" a="1"/>
  <c r="Z135" i="30" s="1"/>
  <c r="Z136" i="30" a="1"/>
  <c r="Z136" i="30" s="1"/>
  <c r="Z137" i="30" a="1"/>
  <c r="Z137" i="30"/>
  <c r="Z138" i="30" a="1"/>
  <c r="Z138" i="30" s="1"/>
  <c r="Z139" i="30" a="1"/>
  <c r="Z139" i="30" s="1"/>
  <c r="Z140" i="30" a="1"/>
  <c r="Z140" i="30" s="1"/>
  <c r="Z141" i="30" a="1"/>
  <c r="Z141" i="30"/>
  <c r="Z142" i="30" a="1"/>
  <c r="Z142" i="30" s="1"/>
  <c r="Z143" i="30" a="1"/>
  <c r="Z143" i="30" s="1"/>
  <c r="Z144" i="30" a="1"/>
  <c r="Z144" i="30" s="1"/>
  <c r="Z145" i="30" a="1"/>
  <c r="Z145" i="30"/>
  <c r="Z146" i="30" a="1"/>
  <c r="Z146" i="30" s="1"/>
  <c r="Z147" i="30" a="1"/>
  <c r="Z147" i="30" s="1"/>
  <c r="Z148" i="30" a="1"/>
  <c r="Z148" i="30" s="1"/>
  <c r="Z149" i="30" a="1"/>
  <c r="Z149" i="30"/>
  <c r="Z150" i="30" a="1"/>
  <c r="Z150" i="30" s="1"/>
  <c r="Z151" i="30" a="1"/>
  <c r="Z151" i="30" s="1"/>
  <c r="Z152" i="30" a="1"/>
  <c r="Z152" i="30" s="1"/>
  <c r="Z153" i="30" a="1"/>
  <c r="Z153" i="30"/>
  <c r="Z154" i="30" a="1"/>
  <c r="Z154" i="30" s="1"/>
  <c r="Z155" i="30" a="1"/>
  <c r="Z155" i="30" s="1"/>
  <c r="Z156" i="30" a="1"/>
  <c r="Z156" i="30" s="1"/>
  <c r="Z157" i="30" a="1"/>
  <c r="Z157" i="30"/>
  <c r="Z158" i="30" a="1"/>
  <c r="Z158" i="30" s="1"/>
  <c r="Z159" i="30" a="1"/>
  <c r="Z159" i="30" s="1"/>
  <c r="Z160" i="30" a="1"/>
  <c r="Z160" i="30" s="1"/>
  <c r="Z161" i="30" a="1"/>
  <c r="Z161" i="30"/>
  <c r="Z162" i="30" a="1"/>
  <c r="Z162" i="30" s="1"/>
  <c r="Z163" i="30" a="1"/>
  <c r="Z163" i="30" s="1"/>
  <c r="Z164" i="30" a="1"/>
  <c r="Z164" i="30" s="1"/>
  <c r="Z165" i="30" a="1"/>
  <c r="Z165" i="30"/>
  <c r="Z166" i="30" a="1"/>
  <c r="Z166" i="30" s="1"/>
  <c r="Z167" i="30" a="1"/>
  <c r="Z167" i="30" s="1"/>
  <c r="Z168" i="30" a="1"/>
  <c r="Z168" i="30" s="1"/>
  <c r="Z169" i="30" a="1"/>
  <c r="Z169" i="30"/>
  <c r="Z170" i="30" a="1"/>
  <c r="Z170" i="30" s="1"/>
  <c r="Z171" i="30" a="1"/>
  <c r="Z171" i="30" s="1"/>
  <c r="Z172" i="30" a="1"/>
  <c r="Z172" i="30" s="1"/>
  <c r="Z173" i="30" a="1"/>
  <c r="Z173" i="30"/>
  <c r="Z174" i="30" a="1"/>
  <c r="Z174" i="30" s="1"/>
  <c r="Z175" i="30" a="1"/>
  <c r="Z175" i="30" s="1"/>
  <c r="Z176" i="30" a="1"/>
  <c r="Z176" i="30" s="1"/>
  <c r="Z177" i="30" a="1"/>
  <c r="Z177" i="30"/>
  <c r="Z178" i="30" a="1"/>
  <c r="Z178" i="30" s="1"/>
  <c r="Z179" i="30" a="1"/>
  <c r="Z179" i="30" s="1"/>
  <c r="Z180" i="30" a="1"/>
  <c r="Z180" i="30" s="1"/>
  <c r="Z181" i="30" a="1"/>
  <c r="Z181" i="30"/>
  <c r="Z182" i="30" a="1"/>
  <c r="Z182" i="30" s="1"/>
  <c r="R188" i="17" l="1"/>
  <c r="R181" i="17"/>
  <c r="R159" i="17"/>
  <c r="R153" i="17"/>
  <c r="R147" i="17"/>
  <c r="R204" i="17"/>
  <c r="R196" i="17"/>
  <c r="R175" i="17"/>
  <c r="K54" i="12" a="1"/>
  <c r="K54" i="12" s="1"/>
  <c r="K55" i="12" a="1"/>
  <c r="K55" i="12" s="1"/>
  <c r="K56" i="12" a="1"/>
  <c r="K56" i="12" s="1"/>
  <c r="K57" i="12" a="1"/>
  <c r="K57" i="12" s="1"/>
  <c r="K58" i="12" a="1"/>
  <c r="K58" i="12" s="1"/>
  <c r="K59" i="12" a="1"/>
  <c r="K59" i="12" s="1"/>
  <c r="K60" i="12" a="1"/>
  <c r="K60" i="12" s="1"/>
  <c r="K61" i="12" a="1"/>
  <c r="K61" i="12" s="1"/>
  <c r="K62" i="12" a="1"/>
  <c r="K62" i="12" s="1"/>
  <c r="K63" i="12" a="1"/>
  <c r="K63" i="12" s="1"/>
  <c r="K64" i="12" a="1"/>
  <c r="K64" i="12" s="1"/>
  <c r="K65" i="12" a="1"/>
  <c r="K65" i="12" s="1"/>
  <c r="K66" i="12" a="1"/>
  <c r="K66" i="12" s="1"/>
  <c r="K67" i="12" a="1"/>
  <c r="K67" i="12" s="1"/>
  <c r="K68" i="12" a="1"/>
  <c r="K68" i="12" s="1"/>
  <c r="K69" i="12" a="1"/>
  <c r="K69" i="12" s="1"/>
  <c r="K70" i="12" a="1"/>
  <c r="K70" i="12" s="1"/>
  <c r="K71" i="12" a="1"/>
  <c r="K71" i="12" s="1"/>
  <c r="K72" i="12" a="1"/>
  <c r="K72" i="12" s="1"/>
  <c r="K73" i="12" a="1"/>
  <c r="K73" i="12" s="1"/>
  <c r="K74" i="12" a="1"/>
  <c r="K74" i="12" s="1"/>
  <c r="K75" i="12" a="1"/>
  <c r="K75" i="12" s="1"/>
  <c r="K76" i="12" a="1"/>
  <c r="K76" i="12" s="1"/>
  <c r="K77" i="12" a="1"/>
  <c r="K77" i="12" s="1"/>
  <c r="K78" i="12" a="1"/>
  <c r="K78" i="12" s="1"/>
  <c r="K79" i="12" a="1"/>
  <c r="K79" i="12" s="1"/>
  <c r="K80" i="12" a="1"/>
  <c r="K80" i="12" s="1"/>
  <c r="J53" i="12" a="1"/>
  <c r="J53" i="12" s="1"/>
  <c r="J54" i="12" a="1"/>
  <c r="J54" i="12" s="1"/>
  <c r="J55" i="12" a="1"/>
  <c r="J55" i="12" s="1"/>
  <c r="J56" i="12" a="1"/>
  <c r="J56" i="12" s="1"/>
  <c r="J57" i="12" a="1"/>
  <c r="J57" i="12" s="1"/>
  <c r="J58" i="12" a="1"/>
  <c r="J58" i="12" s="1"/>
  <c r="J59" i="12" a="1"/>
  <c r="J59" i="12" s="1"/>
  <c r="J60" i="12" a="1"/>
  <c r="J60" i="12" s="1"/>
  <c r="J61" i="12" a="1"/>
  <c r="J61" i="12" s="1"/>
  <c r="J62" i="12" a="1"/>
  <c r="J62" i="12" s="1"/>
  <c r="J63" i="12" a="1"/>
  <c r="J63" i="12" s="1"/>
  <c r="J64" i="12" a="1"/>
  <c r="J64" i="12" s="1"/>
  <c r="J65" i="12" a="1"/>
  <c r="J65" i="12" s="1"/>
  <c r="J66" i="12" a="1"/>
  <c r="J66" i="12" s="1"/>
  <c r="J67" i="12" a="1"/>
  <c r="J67" i="12" s="1"/>
  <c r="J68" i="12" a="1"/>
  <c r="J68" i="12" s="1"/>
  <c r="J69" i="12" a="1"/>
  <c r="J69" i="12" s="1"/>
  <c r="J70" i="12" a="1"/>
  <c r="J70" i="12" s="1"/>
  <c r="J71" i="12" a="1"/>
  <c r="J71" i="12" s="1"/>
  <c r="J72" i="12" a="1"/>
  <c r="J72" i="12" s="1"/>
  <c r="J73" i="12" a="1"/>
  <c r="J73" i="12" s="1"/>
  <c r="J74" i="12" a="1"/>
  <c r="J74" i="12" s="1"/>
  <c r="J75" i="12" a="1"/>
  <c r="J75" i="12" s="1"/>
  <c r="J76" i="12" a="1"/>
  <c r="J76" i="12" s="1"/>
  <c r="J77" i="12" a="1"/>
  <c r="J77" i="12" s="1"/>
  <c r="J78" i="12" a="1"/>
  <c r="J78" i="12" s="1"/>
  <c r="J79" i="12" a="1"/>
  <c r="J79" i="12" s="1"/>
  <c r="J80" i="12" a="1"/>
  <c r="J80" i="12" s="1"/>
  <c r="W305" i="30" a="1"/>
  <c r="W305" i="30" s="1"/>
  <c r="T305" i="30" a="1"/>
  <c r="T305" i="30" s="1"/>
  <c r="S305" i="30" a="1"/>
  <c r="S305" i="30" s="1"/>
  <c r="R305" i="30" a="1"/>
  <c r="R305" i="30" s="1"/>
  <c r="Q305" i="30" a="1"/>
  <c r="Q305" i="30" s="1"/>
  <c r="P305" i="30" a="1"/>
  <c r="P305" i="30" s="1"/>
  <c r="P306" i="30" a="1"/>
  <c r="P306" i="30" s="1"/>
  <c r="P307" i="30" a="1"/>
  <c r="P307" i="30" s="1"/>
  <c r="P308" i="30" a="1"/>
  <c r="P308" i="30" s="1"/>
  <c r="P309" i="30" a="1"/>
  <c r="P309" i="30" s="1"/>
  <c r="P310" i="30" a="1"/>
  <c r="P310" i="30" s="1"/>
  <c r="P311" i="30" a="1"/>
  <c r="P311" i="30" s="1"/>
  <c r="P312" i="30" a="1"/>
  <c r="P312" i="30" s="1"/>
  <c r="P313" i="30" a="1"/>
  <c r="P313" i="30" s="1"/>
  <c r="P314" i="30" a="1"/>
  <c r="P314" i="30" s="1"/>
  <c r="P315" i="30" a="1"/>
  <c r="P315" i="30" s="1"/>
  <c r="P316" i="30" a="1"/>
  <c r="P316" i="30" s="1"/>
  <c r="P317" i="30" a="1"/>
  <c r="P317" i="30" s="1"/>
  <c r="P318" i="30" a="1"/>
  <c r="P318" i="30" s="1"/>
  <c r="P319" i="30" a="1"/>
  <c r="P319" i="30" s="1"/>
  <c r="P320" i="30" a="1"/>
  <c r="P320" i="30" s="1"/>
  <c r="P321" i="30" a="1"/>
  <c r="P321" i="30" s="1"/>
  <c r="L305" i="30" a="1"/>
  <c r="L305" i="30" s="1"/>
  <c r="L306" i="30" a="1"/>
  <c r="L306" i="30" s="1"/>
  <c r="L307" i="30" a="1"/>
  <c r="L307" i="30" s="1"/>
  <c r="L308" i="30" a="1"/>
  <c r="L308" i="30" s="1"/>
  <c r="L309" i="30" a="1"/>
  <c r="L309" i="30" s="1"/>
  <c r="L310" i="30" a="1"/>
  <c r="L310" i="30" s="1"/>
  <c r="L311" i="30" a="1"/>
  <c r="L311" i="30" s="1"/>
  <c r="L312" i="30" a="1"/>
  <c r="L312" i="30" s="1"/>
  <c r="L313" i="30" a="1"/>
  <c r="L313" i="30" s="1"/>
  <c r="L314" i="30" a="1"/>
  <c r="L314" i="30" s="1"/>
  <c r="L315" i="30" a="1"/>
  <c r="L315" i="30" s="1"/>
  <c r="L316" i="30" a="1"/>
  <c r="L316" i="30" s="1"/>
  <c r="L317" i="30" a="1"/>
  <c r="L317" i="30" s="1"/>
  <c r="L318" i="30" a="1"/>
  <c r="L318" i="30" s="1"/>
  <c r="L319" i="30" a="1"/>
  <c r="L319" i="30" s="1"/>
  <c r="L320" i="30" a="1"/>
  <c r="L320" i="30" s="1"/>
  <c r="L321" i="30" a="1"/>
  <c r="L321" i="30" s="1"/>
  <c r="I7" i="24" a="1"/>
  <c r="I7" i="24" s="1"/>
  <c r="E7" i="4"/>
  <c r="Y1054" i="25"/>
  <c r="Y1055" i="25"/>
  <c r="Y1056" i="25"/>
  <c r="Y1057" i="25"/>
  <c r="Y1058" i="25"/>
  <c r="X1054" i="25"/>
  <c r="X1055" i="25"/>
  <c r="X1056" i="25"/>
  <c r="X1057" i="25"/>
  <c r="X1058" i="25"/>
  <c r="X1059" i="25"/>
  <c r="X1060" i="25"/>
  <c r="S1054" i="25"/>
  <c r="S1055" i="25"/>
  <c r="S1056" i="25"/>
  <c r="S1057" i="25"/>
  <c r="S1058" i="25"/>
  <c r="S1059" i="25"/>
  <c r="S1060" i="25"/>
  <c r="R1054" i="25"/>
  <c r="R1055" i="25"/>
  <c r="R1056" i="25"/>
  <c r="R1057" i="25"/>
  <c r="R1058" i="25"/>
  <c r="R1059" i="25"/>
  <c r="R1060" i="25"/>
  <c r="Q1054" i="25"/>
  <c r="Q1055" i="25"/>
  <c r="Q1056" i="25"/>
  <c r="Q1057" i="25"/>
  <c r="Q1058" i="25"/>
  <c r="Q1059" i="25"/>
  <c r="Q1060" i="25"/>
  <c r="P1054" i="25"/>
  <c r="P1055" i="25"/>
  <c r="P1056" i="25"/>
  <c r="P1057" i="25"/>
  <c r="P1058" i="25"/>
  <c r="P1059" i="25"/>
  <c r="P1060" i="25"/>
  <c r="N1054" i="25"/>
  <c r="N1055" i="25"/>
  <c r="N1056" i="25"/>
  <c r="N1057" i="25"/>
  <c r="N1058" i="25"/>
  <c r="N1059" i="25"/>
  <c r="N1060" i="25"/>
  <c r="M1054" i="25"/>
  <c r="M1055" i="25"/>
  <c r="M1056" i="25"/>
  <c r="M1057" i="25"/>
  <c r="M1058" i="25"/>
  <c r="M1059" i="25"/>
  <c r="M1060" i="25"/>
  <c r="I1054" i="25"/>
  <c r="I1055" i="25"/>
  <c r="I1056" i="25"/>
  <c r="H1054" i="25"/>
  <c r="H1055" i="25"/>
  <c r="H1056" i="25"/>
  <c r="E1054" i="25"/>
  <c r="E1055" i="25"/>
  <c r="E1056" i="25"/>
  <c r="D1054" i="25"/>
  <c r="D1055" i="25"/>
  <c r="D1056" i="25"/>
  <c r="X10" i="30" a="1"/>
  <c r="X10" i="30" s="1"/>
  <c r="X11" i="30" a="1"/>
  <c r="X11" i="30" s="1"/>
  <c r="X12" i="30" a="1"/>
  <c r="X12" i="30" s="1"/>
  <c r="X13" i="30" a="1"/>
  <c r="X13" i="30" s="1"/>
  <c r="X14" i="30" a="1"/>
  <c r="X14" i="30" s="1"/>
  <c r="X15" i="30" a="1"/>
  <c r="X15" i="30" s="1"/>
  <c r="X16" i="30" a="1"/>
  <c r="X16" i="30" s="1"/>
  <c r="X17" i="30" a="1"/>
  <c r="X17" i="30" s="1"/>
  <c r="X18" i="30" a="1"/>
  <c r="X18" i="30" s="1"/>
  <c r="X19" i="30" a="1"/>
  <c r="X19" i="30" s="1"/>
  <c r="X20" i="30" a="1"/>
  <c r="X20" i="30" s="1"/>
  <c r="X21" i="30" a="1"/>
  <c r="X21" i="30" s="1"/>
  <c r="X22" i="30" a="1"/>
  <c r="X22" i="30" s="1"/>
  <c r="X23" i="30" a="1"/>
  <c r="X23" i="30" s="1"/>
  <c r="X24" i="30" a="1"/>
  <c r="X24" i="30" s="1"/>
  <c r="X25" i="30" a="1"/>
  <c r="X25" i="30" s="1"/>
  <c r="X26" i="30" a="1"/>
  <c r="X26" i="30" s="1"/>
  <c r="X27" i="30" a="1"/>
  <c r="X27" i="30" s="1"/>
  <c r="X28" i="30" a="1"/>
  <c r="X28" i="30" s="1"/>
  <c r="X29" i="30" a="1"/>
  <c r="X29" i="30" s="1"/>
  <c r="X30" i="30" a="1"/>
  <c r="X30" i="30" s="1"/>
  <c r="X31" i="30" a="1"/>
  <c r="X31" i="30" s="1"/>
  <c r="X32" i="30" a="1"/>
  <c r="X32" i="30" s="1"/>
  <c r="X33" i="30" a="1"/>
  <c r="X33" i="30" s="1"/>
  <c r="X34" i="30" a="1"/>
  <c r="X34" i="30" s="1"/>
  <c r="X35" i="30" a="1"/>
  <c r="X35" i="30" s="1"/>
  <c r="X36" i="30" a="1"/>
  <c r="X36" i="30" s="1"/>
  <c r="X37" i="30" a="1"/>
  <c r="X37" i="30" s="1"/>
  <c r="X38" i="30" a="1"/>
  <c r="X38" i="30" s="1"/>
  <c r="X39" i="30" a="1"/>
  <c r="X39" i="30" s="1"/>
  <c r="X40" i="30" a="1"/>
  <c r="X40" i="30" s="1"/>
  <c r="X41" i="30" a="1"/>
  <c r="X41" i="30" s="1"/>
  <c r="X42" i="30" a="1"/>
  <c r="X42" i="30" s="1"/>
  <c r="X43" i="30" a="1"/>
  <c r="X43" i="30" s="1"/>
  <c r="X44" i="30" a="1"/>
  <c r="X44" i="30" s="1"/>
  <c r="X45" i="30" a="1"/>
  <c r="X45" i="30" s="1"/>
  <c r="X46" i="30" a="1"/>
  <c r="X46" i="30" s="1"/>
  <c r="X47" i="30" a="1"/>
  <c r="X47" i="30" s="1"/>
  <c r="X48" i="30" a="1"/>
  <c r="X48" i="30" s="1"/>
  <c r="X49" i="30" a="1"/>
  <c r="X49" i="30" s="1"/>
  <c r="X50" i="30" a="1"/>
  <c r="X50" i="30" s="1"/>
  <c r="X51" i="30" a="1"/>
  <c r="X51" i="30" s="1"/>
  <c r="X52" i="30" a="1"/>
  <c r="X52" i="30" s="1"/>
  <c r="X53" i="30" a="1"/>
  <c r="X53" i="30" s="1"/>
  <c r="X54" i="30" a="1"/>
  <c r="X54" i="30" s="1"/>
  <c r="X55" i="30" a="1"/>
  <c r="X55" i="30" s="1"/>
  <c r="X56" i="30" a="1"/>
  <c r="X56" i="30" s="1"/>
  <c r="X57" i="30" a="1"/>
  <c r="X57" i="30" s="1"/>
  <c r="X58" i="30" a="1"/>
  <c r="X58" i="30" s="1"/>
  <c r="X59" i="30" a="1"/>
  <c r="X59" i="30" s="1"/>
  <c r="X60" i="30" a="1"/>
  <c r="X60" i="30" s="1"/>
  <c r="X61" i="30" a="1"/>
  <c r="X61" i="30" s="1"/>
  <c r="X62" i="30" a="1"/>
  <c r="X62" i="30" s="1"/>
  <c r="X63" i="30" a="1"/>
  <c r="X63" i="30" s="1"/>
  <c r="X64" i="30" a="1"/>
  <c r="X64" i="30" s="1"/>
  <c r="X65" i="30" a="1"/>
  <c r="X65" i="30" s="1"/>
  <c r="X66" i="30" a="1"/>
  <c r="X66" i="30" s="1"/>
  <c r="X67" i="30" a="1"/>
  <c r="X67" i="30" s="1"/>
  <c r="X68" i="30" a="1"/>
  <c r="X68" i="30" s="1"/>
  <c r="X69" i="30" a="1"/>
  <c r="X69" i="30" s="1"/>
  <c r="X70" i="30" a="1"/>
  <c r="X70" i="30" s="1"/>
  <c r="X71" i="30" a="1"/>
  <c r="X71" i="30" s="1"/>
  <c r="X72" i="30" a="1"/>
  <c r="X72" i="30" s="1"/>
  <c r="X73" i="30" a="1"/>
  <c r="X73" i="30" s="1"/>
  <c r="X74" i="30" a="1"/>
  <c r="X74" i="30" s="1"/>
  <c r="X75" i="30" a="1"/>
  <c r="X75" i="30" s="1"/>
  <c r="X76" i="30" a="1"/>
  <c r="X76" i="30" s="1"/>
  <c r="X77" i="30" a="1"/>
  <c r="X77" i="30" s="1"/>
  <c r="X78" i="30" a="1"/>
  <c r="X78" i="30" s="1"/>
  <c r="X79" i="30" a="1"/>
  <c r="X79" i="30" s="1"/>
  <c r="X80" i="30" a="1"/>
  <c r="X80" i="30" s="1"/>
  <c r="X81" i="30" a="1"/>
  <c r="X81" i="30" s="1"/>
  <c r="X82" i="30" a="1"/>
  <c r="X82" i="30" s="1"/>
  <c r="X83" i="30" a="1"/>
  <c r="X83" i="30" s="1"/>
  <c r="X84" i="30" a="1"/>
  <c r="X84" i="30" s="1"/>
  <c r="X85" i="30" a="1"/>
  <c r="X85" i="30" s="1"/>
  <c r="X86" i="30" a="1"/>
  <c r="X86" i="30" s="1"/>
  <c r="X87" i="30" a="1"/>
  <c r="X87" i="30" s="1"/>
  <c r="X88" i="30" a="1"/>
  <c r="X88" i="30" s="1"/>
  <c r="X89" i="30" a="1"/>
  <c r="X89" i="30" s="1"/>
  <c r="X90" i="30" a="1"/>
  <c r="X90" i="30" s="1"/>
  <c r="X91" i="30" a="1"/>
  <c r="X91" i="30" s="1"/>
  <c r="X92" i="30" a="1"/>
  <c r="X92" i="30" s="1"/>
  <c r="X93" i="30" a="1"/>
  <c r="X93" i="30" s="1"/>
  <c r="X94" i="30" a="1"/>
  <c r="X94" i="30" s="1"/>
  <c r="X95" i="30" a="1"/>
  <c r="X95" i="30" s="1"/>
  <c r="X96" i="30" a="1"/>
  <c r="X96" i="30" s="1"/>
  <c r="X97" i="30" a="1"/>
  <c r="X97" i="30" s="1"/>
  <c r="X98" i="30" a="1"/>
  <c r="X98" i="30" s="1"/>
  <c r="X99" i="30" a="1"/>
  <c r="X99" i="30" s="1"/>
  <c r="X100" i="30" a="1"/>
  <c r="X100" i="30" s="1"/>
  <c r="X101" i="30" a="1"/>
  <c r="X101" i="30" s="1"/>
  <c r="X102" i="30" a="1"/>
  <c r="X102" i="30" s="1"/>
  <c r="X103" i="30" a="1"/>
  <c r="X103" i="30" s="1"/>
  <c r="X104" i="30" a="1"/>
  <c r="X104" i="30" s="1"/>
  <c r="X105" i="30" a="1"/>
  <c r="X105" i="30" s="1"/>
  <c r="X106" i="30" a="1"/>
  <c r="X106" i="30" s="1"/>
  <c r="X107" i="30" a="1"/>
  <c r="X107" i="30" s="1"/>
  <c r="X108" i="30" a="1"/>
  <c r="X108" i="30" s="1"/>
  <c r="X109" i="30" a="1"/>
  <c r="X109" i="30" s="1"/>
  <c r="X110" i="30" a="1"/>
  <c r="X110" i="30" s="1"/>
  <c r="X111" i="30" a="1"/>
  <c r="X111" i="30" s="1"/>
  <c r="X112" i="30" a="1"/>
  <c r="X112" i="30" s="1"/>
  <c r="X113" i="30" a="1"/>
  <c r="X113" i="30" s="1"/>
  <c r="X114" i="30" a="1"/>
  <c r="X114" i="30" s="1"/>
  <c r="X115" i="30" a="1"/>
  <c r="X115" i="30" s="1"/>
  <c r="X116" i="30" a="1"/>
  <c r="X116" i="30" s="1"/>
  <c r="X117" i="30" a="1"/>
  <c r="X117" i="30" s="1"/>
  <c r="X118" i="30" a="1"/>
  <c r="X118" i="30" s="1"/>
  <c r="X119" i="30" a="1"/>
  <c r="X119" i="30" s="1"/>
  <c r="X120" i="30" a="1"/>
  <c r="X120" i="30" s="1"/>
  <c r="X121" i="30" a="1"/>
  <c r="X121" i="30" s="1"/>
  <c r="X122" i="30" a="1"/>
  <c r="X122" i="30" s="1"/>
  <c r="X123" i="30" a="1"/>
  <c r="X123" i="30" s="1"/>
  <c r="X124" i="30" a="1"/>
  <c r="X124" i="30" s="1"/>
  <c r="X125" i="30" a="1"/>
  <c r="X125" i="30" s="1"/>
  <c r="X126" i="30" a="1"/>
  <c r="X126" i="30" s="1"/>
  <c r="X127" i="30" a="1"/>
  <c r="X127" i="30" s="1"/>
  <c r="X128" i="30" a="1"/>
  <c r="X128" i="30" s="1"/>
  <c r="X129" i="30" a="1"/>
  <c r="X129" i="30" s="1"/>
  <c r="X130" i="30" a="1"/>
  <c r="X130" i="30" s="1"/>
  <c r="X131" i="30" a="1"/>
  <c r="X131" i="30" s="1"/>
  <c r="X132" i="30" a="1"/>
  <c r="X132" i="30" s="1"/>
  <c r="X133" i="30" a="1"/>
  <c r="X133" i="30" s="1"/>
  <c r="X134" i="30" a="1"/>
  <c r="X134" i="30" s="1"/>
  <c r="X135" i="30" a="1"/>
  <c r="X135" i="30" s="1"/>
  <c r="X136" i="30" a="1"/>
  <c r="X136" i="30" s="1"/>
  <c r="X137" i="30" a="1"/>
  <c r="X137" i="30" s="1"/>
  <c r="X138" i="30" a="1"/>
  <c r="X138" i="30" s="1"/>
  <c r="X139" i="30" a="1"/>
  <c r="X139" i="30" s="1"/>
  <c r="X140" i="30" a="1"/>
  <c r="X140" i="30" s="1"/>
  <c r="X141" i="30" a="1"/>
  <c r="X141" i="30" s="1"/>
  <c r="X142" i="30" a="1"/>
  <c r="X142" i="30" s="1"/>
  <c r="X143" i="30" a="1"/>
  <c r="X143" i="30" s="1"/>
  <c r="X144" i="30" a="1"/>
  <c r="X144" i="30" s="1"/>
  <c r="X145" i="30" a="1"/>
  <c r="X145" i="30" s="1"/>
  <c r="X146" i="30" a="1"/>
  <c r="X146" i="30" s="1"/>
  <c r="X147" i="30" a="1"/>
  <c r="X147" i="30" s="1"/>
  <c r="X148" i="30" a="1"/>
  <c r="X148" i="30" s="1"/>
  <c r="X149" i="30" a="1"/>
  <c r="X149" i="30" s="1"/>
  <c r="X150" i="30" a="1"/>
  <c r="X150" i="30" s="1"/>
  <c r="X151" i="30" a="1"/>
  <c r="X151" i="30" s="1"/>
  <c r="X152" i="30" a="1"/>
  <c r="X152" i="30" s="1"/>
  <c r="X153" i="30" a="1"/>
  <c r="X153" i="30" s="1"/>
  <c r="X154" i="30" a="1"/>
  <c r="X154" i="30" s="1"/>
  <c r="X155" i="30" a="1"/>
  <c r="X155" i="30" s="1"/>
  <c r="X156" i="30" a="1"/>
  <c r="X156" i="30" s="1"/>
  <c r="X157" i="30" a="1"/>
  <c r="X157" i="30" s="1"/>
  <c r="X158" i="30" a="1"/>
  <c r="X158" i="30" s="1"/>
  <c r="X159" i="30" a="1"/>
  <c r="X159" i="30" s="1"/>
  <c r="X160" i="30" a="1"/>
  <c r="X160" i="30" s="1"/>
  <c r="X161" i="30" a="1"/>
  <c r="X161" i="30" s="1"/>
  <c r="X162" i="30" a="1"/>
  <c r="X162" i="30" s="1"/>
  <c r="X163" i="30" a="1"/>
  <c r="X163" i="30" s="1"/>
  <c r="X164" i="30" a="1"/>
  <c r="X164" i="30" s="1"/>
  <c r="X165" i="30" a="1"/>
  <c r="X165" i="30" s="1"/>
  <c r="X166" i="30" a="1"/>
  <c r="X166" i="30" s="1"/>
  <c r="X167" i="30" a="1"/>
  <c r="X167" i="30" s="1"/>
  <c r="X168" i="30" a="1"/>
  <c r="X168" i="30" s="1"/>
  <c r="X169" i="30" a="1"/>
  <c r="X169" i="30" s="1"/>
  <c r="X170" i="30" a="1"/>
  <c r="X170" i="30" s="1"/>
  <c r="X171" i="30" a="1"/>
  <c r="X171" i="30" s="1"/>
  <c r="X172" i="30" a="1"/>
  <c r="X172" i="30" s="1"/>
  <c r="X173" i="30" a="1"/>
  <c r="X173" i="30" s="1"/>
  <c r="X174" i="30" a="1"/>
  <c r="X174" i="30" s="1"/>
  <c r="X175" i="30" a="1"/>
  <c r="X175" i="30" s="1"/>
  <c r="X176" i="30" a="1"/>
  <c r="X176" i="30" s="1"/>
  <c r="X177" i="30" a="1"/>
  <c r="X177" i="30" s="1"/>
  <c r="X178" i="30" a="1"/>
  <c r="X178" i="30" s="1"/>
  <c r="X179" i="30" a="1"/>
  <c r="X179" i="30" s="1"/>
  <c r="X180" i="30" a="1"/>
  <c r="X180" i="30" s="1"/>
  <c r="X181" i="30" a="1"/>
  <c r="X181" i="30" s="1"/>
  <c r="X182" i="30" a="1"/>
  <c r="X182" i="30" s="1"/>
  <c r="X183" i="30" a="1"/>
  <c r="X183" i="30" s="1"/>
  <c r="X184" i="30" a="1"/>
  <c r="X184" i="30" s="1"/>
  <c r="X185" i="30" a="1"/>
  <c r="X185" i="30" s="1"/>
  <c r="X186" i="30" a="1"/>
  <c r="X186" i="30" s="1"/>
  <c r="X187" i="30" a="1"/>
  <c r="X187" i="30" s="1"/>
  <c r="X188" i="30" a="1"/>
  <c r="X188" i="30" s="1"/>
  <c r="X189" i="30" a="1"/>
  <c r="X189" i="30" s="1"/>
  <c r="X190" i="30" a="1"/>
  <c r="X190" i="30" s="1"/>
  <c r="X191" i="30" a="1"/>
  <c r="X191" i="30" s="1"/>
  <c r="X192" i="30" a="1"/>
  <c r="X192" i="30" s="1"/>
  <c r="X193" i="30" a="1"/>
  <c r="X193" i="30" s="1"/>
  <c r="X194" i="30" a="1"/>
  <c r="X194" i="30" s="1"/>
  <c r="X195" i="30" a="1"/>
  <c r="X195" i="30" s="1"/>
  <c r="X196" i="30" a="1"/>
  <c r="X196" i="30" s="1"/>
  <c r="X197" i="30" a="1"/>
  <c r="X197" i="30" s="1"/>
  <c r="X198" i="30" a="1"/>
  <c r="X198" i="30" s="1"/>
  <c r="X199" i="30" a="1"/>
  <c r="X199" i="30" s="1"/>
  <c r="X200" i="30" a="1"/>
  <c r="X200" i="30" s="1"/>
  <c r="X201" i="30" a="1"/>
  <c r="X201" i="30" s="1"/>
  <c r="X202" i="30" a="1"/>
  <c r="X202" i="30" s="1"/>
  <c r="X203" i="30" a="1"/>
  <c r="X203" i="30" s="1"/>
  <c r="X204" i="30" a="1"/>
  <c r="X204" i="30" s="1"/>
  <c r="X205" i="30" a="1"/>
  <c r="X205" i="30" s="1"/>
  <c r="X206" i="30" a="1"/>
  <c r="X206" i="30" s="1"/>
  <c r="X207" i="30" a="1"/>
  <c r="X207" i="30" s="1"/>
  <c r="X208" i="30" a="1"/>
  <c r="X208" i="30" s="1"/>
  <c r="X209" i="30" a="1"/>
  <c r="X209" i="30" s="1"/>
  <c r="X210" i="30" a="1"/>
  <c r="X210" i="30" s="1"/>
  <c r="X211" i="30" a="1"/>
  <c r="X211" i="30" s="1"/>
  <c r="X212" i="30" a="1"/>
  <c r="X212" i="30" s="1"/>
  <c r="X213" i="30" a="1"/>
  <c r="X213" i="30" s="1"/>
  <c r="X214" i="30" a="1"/>
  <c r="X214" i="30" s="1"/>
  <c r="X215" i="30" a="1"/>
  <c r="X215" i="30" s="1"/>
  <c r="X216" i="30" a="1"/>
  <c r="X216" i="30" s="1"/>
  <c r="X217" i="30" a="1"/>
  <c r="X217" i="30" s="1"/>
  <c r="X218" i="30" a="1"/>
  <c r="X218" i="30" s="1"/>
  <c r="X219" i="30" a="1"/>
  <c r="X219" i="30" s="1"/>
  <c r="X220" i="30" a="1"/>
  <c r="X220" i="30" s="1"/>
  <c r="X221" i="30" a="1"/>
  <c r="X221" i="30" s="1"/>
  <c r="X222" i="30" a="1"/>
  <c r="X222" i="30" s="1"/>
  <c r="X223" i="30" a="1"/>
  <c r="X223" i="30" s="1"/>
  <c r="X224" i="30" a="1"/>
  <c r="X224" i="30" s="1"/>
  <c r="X225" i="30" a="1"/>
  <c r="X225" i="30" s="1"/>
  <c r="X226" i="30" a="1"/>
  <c r="X226" i="30" s="1"/>
  <c r="X227" i="30" a="1"/>
  <c r="X227" i="30" s="1"/>
  <c r="X228" i="30" a="1"/>
  <c r="X228" i="30" s="1"/>
  <c r="X229" i="30" a="1"/>
  <c r="X229" i="30" s="1"/>
  <c r="X230" i="30" a="1"/>
  <c r="X230" i="30" s="1"/>
  <c r="X231" i="30" a="1"/>
  <c r="X231" i="30" s="1"/>
  <c r="X232" i="30" a="1"/>
  <c r="X232" i="30" s="1"/>
  <c r="X233" i="30" a="1"/>
  <c r="X233" i="30" s="1"/>
  <c r="X234" i="30" a="1"/>
  <c r="X234" i="30" s="1"/>
  <c r="X235" i="30" a="1"/>
  <c r="X235" i="30" s="1"/>
  <c r="X236" i="30" a="1"/>
  <c r="X236" i="30" s="1"/>
  <c r="X237" i="30" a="1"/>
  <c r="X237" i="30" s="1"/>
  <c r="X238" i="30" a="1"/>
  <c r="X238" i="30" s="1"/>
  <c r="X239" i="30" a="1"/>
  <c r="X239" i="30" s="1"/>
  <c r="X240" i="30" a="1"/>
  <c r="X240" i="30" s="1"/>
  <c r="X241" i="30" a="1"/>
  <c r="X241" i="30" s="1"/>
  <c r="X242" i="30" a="1"/>
  <c r="X242" i="30" s="1"/>
  <c r="X243" i="30" a="1"/>
  <c r="X243" i="30" s="1"/>
  <c r="X244" i="30" a="1"/>
  <c r="X244" i="30" s="1"/>
  <c r="X245" i="30" a="1"/>
  <c r="X245" i="30" s="1"/>
  <c r="X246" i="30" a="1"/>
  <c r="X246" i="30" s="1"/>
  <c r="X247" i="30" a="1"/>
  <c r="X247" i="30" s="1"/>
  <c r="X248" i="30" a="1"/>
  <c r="X248" i="30" s="1"/>
  <c r="X249" i="30" a="1"/>
  <c r="X249" i="30" s="1"/>
  <c r="X250" i="30" a="1"/>
  <c r="X250" i="30" s="1"/>
  <c r="X251" i="30" a="1"/>
  <c r="X251" i="30" s="1"/>
  <c r="X252" i="30" a="1"/>
  <c r="X252" i="30" s="1"/>
  <c r="X253" i="30" a="1"/>
  <c r="X253" i="30" s="1"/>
  <c r="X254" i="30" a="1"/>
  <c r="X254" i="30" s="1"/>
  <c r="X255" i="30" a="1"/>
  <c r="X255" i="30" s="1"/>
  <c r="X256" i="30" a="1"/>
  <c r="X256" i="30" s="1"/>
  <c r="X257" i="30" a="1"/>
  <c r="X257" i="30" s="1"/>
  <c r="X258" i="30" a="1"/>
  <c r="X258" i="30" s="1"/>
  <c r="X259" i="30" a="1"/>
  <c r="X259" i="30" s="1"/>
  <c r="X260" i="30" a="1"/>
  <c r="X260" i="30" s="1"/>
  <c r="X261" i="30" a="1"/>
  <c r="X261" i="30" s="1"/>
  <c r="X262" i="30" a="1"/>
  <c r="X262" i="30" s="1"/>
  <c r="X263" i="30" a="1"/>
  <c r="X263" i="30" s="1"/>
  <c r="X264" i="30" a="1"/>
  <c r="X264" i="30" s="1"/>
  <c r="X265" i="30" a="1"/>
  <c r="X265" i="30" s="1"/>
  <c r="X266" i="30" a="1"/>
  <c r="X266" i="30" s="1"/>
  <c r="X267" i="30" a="1"/>
  <c r="X267" i="30" s="1"/>
  <c r="X268" i="30" a="1"/>
  <c r="X268" i="30" s="1"/>
  <c r="X269" i="30" a="1"/>
  <c r="X269" i="30" s="1"/>
  <c r="X270" i="30" a="1"/>
  <c r="X270" i="30" s="1"/>
  <c r="X271" i="30" a="1"/>
  <c r="X271" i="30" s="1"/>
  <c r="X272" i="30" a="1"/>
  <c r="X272" i="30" s="1"/>
  <c r="X273" i="30" a="1"/>
  <c r="X273" i="30" s="1"/>
  <c r="X274" i="30" a="1"/>
  <c r="X274" i="30" s="1"/>
  <c r="X275" i="30" a="1"/>
  <c r="X275" i="30" s="1"/>
  <c r="X276" i="30" a="1"/>
  <c r="X276" i="30" s="1"/>
  <c r="X277" i="30" a="1"/>
  <c r="X277" i="30" s="1"/>
  <c r="X278" i="30" a="1"/>
  <c r="X278" i="30" s="1"/>
  <c r="X279" i="30" a="1"/>
  <c r="X279" i="30" s="1"/>
  <c r="X280" i="30" a="1"/>
  <c r="X280" i="30" s="1"/>
  <c r="X281" i="30" a="1"/>
  <c r="X281" i="30" s="1"/>
  <c r="X282" i="30" a="1"/>
  <c r="X282" i="30" s="1"/>
  <c r="X283" i="30" a="1"/>
  <c r="X283" i="30" s="1"/>
  <c r="X284" i="30" a="1"/>
  <c r="X284" i="30" s="1"/>
  <c r="X285" i="30" a="1"/>
  <c r="X285" i="30" s="1"/>
  <c r="AG1054" i="25" s="1"/>
  <c r="X286" i="30" a="1"/>
  <c r="X286" i="30" s="1"/>
  <c r="AG1055" i="25" s="1"/>
  <c r="X287" i="30" a="1"/>
  <c r="X287" i="30" s="1"/>
  <c r="AG1056" i="25" s="1"/>
  <c r="X288" i="30" a="1"/>
  <c r="X288" i="30" s="1"/>
  <c r="AG1057" i="25" s="1"/>
  <c r="X289" i="30" a="1"/>
  <c r="X289" i="30" s="1"/>
  <c r="AG1058" i="25" s="1"/>
  <c r="X290" i="30" a="1"/>
  <c r="X290" i="30" s="1"/>
  <c r="AG1059" i="25" s="1"/>
  <c r="X291" i="30" a="1"/>
  <c r="X291" i="30" s="1"/>
  <c r="AG1060" i="25" s="1"/>
  <c r="X292" i="30" a="1"/>
  <c r="X292" i="30" s="1"/>
  <c r="X293" i="30" a="1"/>
  <c r="X293" i="30" s="1"/>
  <c r="X294" i="30" a="1"/>
  <c r="X294" i="30" s="1"/>
  <c r="X295" i="30" a="1"/>
  <c r="X295" i="30" s="1"/>
  <c r="X296" i="30" a="1"/>
  <c r="X296" i="30" s="1"/>
  <c r="X297" i="30" a="1"/>
  <c r="X297" i="30" s="1"/>
  <c r="X298" i="30" a="1"/>
  <c r="X298" i="30" s="1"/>
  <c r="X299" i="30" a="1"/>
  <c r="X299" i="30" s="1"/>
  <c r="X300" i="30" a="1"/>
  <c r="X300" i="30" s="1"/>
  <c r="U10" i="30" a="1"/>
  <c r="U10" i="30" s="1"/>
  <c r="U11" i="30" a="1"/>
  <c r="U11" i="30" s="1"/>
  <c r="U12" i="30" a="1"/>
  <c r="U12" i="30" s="1"/>
  <c r="U13" i="30" a="1"/>
  <c r="U13" i="30" s="1"/>
  <c r="U14" i="30" a="1"/>
  <c r="U14" i="30" s="1"/>
  <c r="U15" i="30" a="1"/>
  <c r="U15" i="30" s="1"/>
  <c r="U16" i="30" a="1"/>
  <c r="U16" i="30" s="1"/>
  <c r="U17" i="30" a="1"/>
  <c r="U17" i="30" s="1"/>
  <c r="U18" i="30" a="1"/>
  <c r="U18" i="30" s="1"/>
  <c r="U19" i="30" a="1"/>
  <c r="U19" i="30" s="1"/>
  <c r="U20" i="30" a="1"/>
  <c r="U20" i="30" s="1"/>
  <c r="U21" i="30" a="1"/>
  <c r="U21" i="30" s="1"/>
  <c r="U22" i="30" a="1"/>
  <c r="U22" i="30" s="1"/>
  <c r="U23" i="30" a="1"/>
  <c r="U23" i="30" s="1"/>
  <c r="U24" i="30" a="1"/>
  <c r="U24" i="30" s="1"/>
  <c r="U25" i="30" a="1"/>
  <c r="U25" i="30" s="1"/>
  <c r="U26" i="30" a="1"/>
  <c r="U26" i="30" s="1"/>
  <c r="U27" i="30" a="1"/>
  <c r="U27" i="30" s="1"/>
  <c r="U28" i="30" a="1"/>
  <c r="U28" i="30" s="1"/>
  <c r="U29" i="30" a="1"/>
  <c r="U29" i="30" s="1"/>
  <c r="U30" i="30" a="1"/>
  <c r="U30" i="30" s="1"/>
  <c r="U31" i="30" a="1"/>
  <c r="U31" i="30" s="1"/>
  <c r="U32" i="30" a="1"/>
  <c r="U32" i="30" s="1"/>
  <c r="U33" i="30" a="1"/>
  <c r="U33" i="30" s="1"/>
  <c r="U34" i="30" a="1"/>
  <c r="U34" i="30" s="1"/>
  <c r="U35" i="30" a="1"/>
  <c r="U35" i="30" s="1"/>
  <c r="U36" i="30" a="1"/>
  <c r="U36" i="30" s="1"/>
  <c r="U37" i="30" a="1"/>
  <c r="U37" i="30" s="1"/>
  <c r="U38" i="30" a="1"/>
  <c r="U38" i="30" s="1"/>
  <c r="U39" i="30" a="1"/>
  <c r="U39" i="30" s="1"/>
  <c r="U40" i="30" a="1"/>
  <c r="U40" i="30" s="1"/>
  <c r="U41" i="30" a="1"/>
  <c r="U41" i="30" s="1"/>
  <c r="U42" i="30" a="1"/>
  <c r="U42" i="30" s="1"/>
  <c r="U43" i="30" a="1"/>
  <c r="U43" i="30" s="1"/>
  <c r="U44" i="30" a="1"/>
  <c r="U44" i="30" s="1"/>
  <c r="U45" i="30" a="1"/>
  <c r="U45" i="30" s="1"/>
  <c r="U46" i="30" a="1"/>
  <c r="U46" i="30" s="1"/>
  <c r="U47" i="30" a="1"/>
  <c r="U47" i="30" s="1"/>
  <c r="U48" i="30" a="1"/>
  <c r="U48" i="30" s="1"/>
  <c r="U49" i="30" a="1"/>
  <c r="U49" i="30" s="1"/>
  <c r="U50" i="30" a="1"/>
  <c r="U50" i="30" s="1"/>
  <c r="U51" i="30" a="1"/>
  <c r="U51" i="30" s="1"/>
  <c r="U52" i="30" a="1"/>
  <c r="U52" i="30" s="1"/>
  <c r="U53" i="30" a="1"/>
  <c r="U53" i="30" s="1"/>
  <c r="U54" i="30" a="1"/>
  <c r="U54" i="30" s="1"/>
  <c r="U55" i="30" a="1"/>
  <c r="U55" i="30" s="1"/>
  <c r="U56" i="30" a="1"/>
  <c r="U56" i="30" s="1"/>
  <c r="U57" i="30" a="1"/>
  <c r="U57" i="30" s="1"/>
  <c r="U58" i="30" a="1"/>
  <c r="U58" i="30" s="1"/>
  <c r="U59" i="30" a="1"/>
  <c r="U59" i="30" s="1"/>
  <c r="U60" i="30" a="1"/>
  <c r="U60" i="30" s="1"/>
  <c r="U61" i="30" a="1"/>
  <c r="U61" i="30" s="1"/>
  <c r="U62" i="30" a="1"/>
  <c r="U62" i="30" s="1"/>
  <c r="U63" i="30" a="1"/>
  <c r="U63" i="30" s="1"/>
  <c r="U64" i="30" a="1"/>
  <c r="U64" i="30" s="1"/>
  <c r="U65" i="30" a="1"/>
  <c r="U65" i="30" s="1"/>
  <c r="U66" i="30" a="1"/>
  <c r="U66" i="30" s="1"/>
  <c r="U67" i="30" a="1"/>
  <c r="U67" i="30" s="1"/>
  <c r="U68" i="30" a="1"/>
  <c r="U68" i="30" s="1"/>
  <c r="U69" i="30" a="1"/>
  <c r="U69" i="30" s="1"/>
  <c r="U70" i="30" a="1"/>
  <c r="U70" i="30" s="1"/>
  <c r="U71" i="30" a="1"/>
  <c r="U71" i="30" s="1"/>
  <c r="U72" i="30" a="1"/>
  <c r="U72" i="30" s="1"/>
  <c r="U73" i="30" a="1"/>
  <c r="U73" i="30" s="1"/>
  <c r="U74" i="30" a="1"/>
  <c r="U74" i="30" s="1"/>
  <c r="U75" i="30" a="1"/>
  <c r="U75" i="30" s="1"/>
  <c r="U76" i="30" a="1"/>
  <c r="U76" i="30" s="1"/>
  <c r="U77" i="30" a="1"/>
  <c r="U77" i="30" s="1"/>
  <c r="U78" i="30" a="1"/>
  <c r="U78" i="30" s="1"/>
  <c r="U79" i="30" a="1"/>
  <c r="U79" i="30" s="1"/>
  <c r="U80" i="30" a="1"/>
  <c r="U80" i="30" s="1"/>
  <c r="U81" i="30" a="1"/>
  <c r="U81" i="30" s="1"/>
  <c r="U82" i="30" a="1"/>
  <c r="U82" i="30" s="1"/>
  <c r="U83" i="30" a="1"/>
  <c r="U83" i="30" s="1"/>
  <c r="U84" i="30" a="1"/>
  <c r="U84" i="30" s="1"/>
  <c r="U85" i="30" a="1"/>
  <c r="U85" i="30" s="1"/>
  <c r="U86" i="30" a="1"/>
  <c r="U86" i="30" s="1"/>
  <c r="U87" i="30" a="1"/>
  <c r="U87" i="30" s="1"/>
  <c r="U88" i="30" a="1"/>
  <c r="U88" i="30" s="1"/>
  <c r="U89" i="30" a="1"/>
  <c r="U89" i="30" s="1"/>
  <c r="U90" i="30" a="1"/>
  <c r="U90" i="30" s="1"/>
  <c r="U91" i="30" a="1"/>
  <c r="U91" i="30" s="1"/>
  <c r="U92" i="30" a="1"/>
  <c r="U92" i="30" s="1"/>
  <c r="U93" i="30" a="1"/>
  <c r="U93" i="30" s="1"/>
  <c r="U94" i="30" a="1"/>
  <c r="U94" i="30" s="1"/>
  <c r="U95" i="30" a="1"/>
  <c r="U95" i="30" s="1"/>
  <c r="U96" i="30" a="1"/>
  <c r="U96" i="30" s="1"/>
  <c r="U97" i="30" a="1"/>
  <c r="U97" i="30" s="1"/>
  <c r="U98" i="30" a="1"/>
  <c r="U98" i="30" s="1"/>
  <c r="U99" i="30" a="1"/>
  <c r="U99" i="30" s="1"/>
  <c r="U100" i="30" a="1"/>
  <c r="U100" i="30" s="1"/>
  <c r="U101" i="30" a="1"/>
  <c r="U101" i="30" s="1"/>
  <c r="U102" i="30" a="1"/>
  <c r="U102" i="30" s="1"/>
  <c r="U103" i="30" a="1"/>
  <c r="U103" i="30" s="1"/>
  <c r="U104" i="30" a="1"/>
  <c r="U104" i="30" s="1"/>
  <c r="U105" i="30" a="1"/>
  <c r="U105" i="30" s="1"/>
  <c r="U106" i="30" a="1"/>
  <c r="U106" i="30" s="1"/>
  <c r="U107" i="30" a="1"/>
  <c r="U107" i="30" s="1"/>
  <c r="U108" i="30" a="1"/>
  <c r="U108" i="30" s="1"/>
  <c r="U109" i="30" a="1"/>
  <c r="U109" i="30" s="1"/>
  <c r="U110" i="30" a="1"/>
  <c r="U110" i="30" s="1"/>
  <c r="U111" i="30" a="1"/>
  <c r="U111" i="30" s="1"/>
  <c r="U112" i="30" a="1"/>
  <c r="U112" i="30" s="1"/>
  <c r="U113" i="30" a="1"/>
  <c r="U113" i="30" s="1"/>
  <c r="U114" i="30" a="1"/>
  <c r="U114" i="30" s="1"/>
  <c r="U115" i="30" a="1"/>
  <c r="U115" i="30" s="1"/>
  <c r="U116" i="30" a="1"/>
  <c r="U116" i="30" s="1"/>
  <c r="U117" i="30" a="1"/>
  <c r="U117" i="30" s="1"/>
  <c r="U118" i="30" a="1"/>
  <c r="U118" i="30" s="1"/>
  <c r="U119" i="30" a="1"/>
  <c r="U119" i="30" s="1"/>
  <c r="U120" i="30" a="1"/>
  <c r="U120" i="30" s="1"/>
  <c r="U121" i="30" a="1"/>
  <c r="U121" i="30" s="1"/>
  <c r="U122" i="30" a="1"/>
  <c r="U122" i="30" s="1"/>
  <c r="U123" i="30" a="1"/>
  <c r="U123" i="30" s="1"/>
  <c r="U124" i="30" a="1"/>
  <c r="U124" i="30" s="1"/>
  <c r="U125" i="30" a="1"/>
  <c r="U125" i="30" s="1"/>
  <c r="U126" i="30" a="1"/>
  <c r="U126" i="30" s="1"/>
  <c r="U127" i="30" a="1"/>
  <c r="U127" i="30" s="1"/>
  <c r="U128" i="30" a="1"/>
  <c r="U128" i="30" s="1"/>
  <c r="U129" i="30" a="1"/>
  <c r="U129" i="30" s="1"/>
  <c r="U130" i="30" a="1"/>
  <c r="U130" i="30" s="1"/>
  <c r="U131" i="30" a="1"/>
  <c r="U131" i="30" s="1"/>
  <c r="U132" i="30" a="1"/>
  <c r="U132" i="30" s="1"/>
  <c r="U133" i="30" a="1"/>
  <c r="U133" i="30" s="1"/>
  <c r="U134" i="30" a="1"/>
  <c r="U134" i="30" s="1"/>
  <c r="U135" i="30" a="1"/>
  <c r="U135" i="30" s="1"/>
  <c r="U136" i="30" a="1"/>
  <c r="U136" i="30" s="1"/>
  <c r="U137" i="30" a="1"/>
  <c r="U137" i="30" s="1"/>
  <c r="U138" i="30" a="1"/>
  <c r="U138" i="30" s="1"/>
  <c r="U139" i="30" a="1"/>
  <c r="U139" i="30" s="1"/>
  <c r="U140" i="30" a="1"/>
  <c r="U140" i="30" s="1"/>
  <c r="U141" i="30" a="1"/>
  <c r="U141" i="30" s="1"/>
  <c r="U142" i="30" a="1"/>
  <c r="U142" i="30" s="1"/>
  <c r="U143" i="30" a="1"/>
  <c r="U143" i="30" s="1"/>
  <c r="U144" i="30" a="1"/>
  <c r="U144" i="30" s="1"/>
  <c r="U145" i="30" a="1"/>
  <c r="U145" i="30" s="1"/>
  <c r="U146" i="30" a="1"/>
  <c r="U146" i="30" s="1"/>
  <c r="U147" i="30" a="1"/>
  <c r="U147" i="30" s="1"/>
  <c r="U148" i="30" a="1"/>
  <c r="U148" i="30" s="1"/>
  <c r="U149" i="30" a="1"/>
  <c r="U149" i="30" s="1"/>
  <c r="U150" i="30" a="1"/>
  <c r="U150" i="30" s="1"/>
  <c r="U151" i="30" a="1"/>
  <c r="U151" i="30" s="1"/>
  <c r="U152" i="30" a="1"/>
  <c r="U152" i="30" s="1"/>
  <c r="U153" i="30" a="1"/>
  <c r="U153" i="30" s="1"/>
  <c r="U154" i="30" a="1"/>
  <c r="U154" i="30" s="1"/>
  <c r="U155" i="30" a="1"/>
  <c r="U155" i="30" s="1"/>
  <c r="U156" i="30" a="1"/>
  <c r="U156" i="30" s="1"/>
  <c r="U157" i="30" a="1"/>
  <c r="U157" i="30" s="1"/>
  <c r="U158" i="30" a="1"/>
  <c r="U158" i="30" s="1"/>
  <c r="U159" i="30" a="1"/>
  <c r="U159" i="30" s="1"/>
  <c r="U160" i="30" a="1"/>
  <c r="U160" i="30" s="1"/>
  <c r="U161" i="30" a="1"/>
  <c r="U161" i="30" s="1"/>
  <c r="U162" i="30" a="1"/>
  <c r="U162" i="30" s="1"/>
  <c r="U163" i="30" a="1"/>
  <c r="U163" i="30" s="1"/>
  <c r="U164" i="30" a="1"/>
  <c r="U164" i="30" s="1"/>
  <c r="U165" i="30" a="1"/>
  <c r="U165" i="30" s="1"/>
  <c r="U166" i="30" a="1"/>
  <c r="U166" i="30" s="1"/>
  <c r="U167" i="30" a="1"/>
  <c r="U167" i="30" s="1"/>
  <c r="U168" i="30" a="1"/>
  <c r="U168" i="30" s="1"/>
  <c r="U169" i="30" a="1"/>
  <c r="U169" i="30" s="1"/>
  <c r="U170" i="30" a="1"/>
  <c r="U170" i="30" s="1"/>
  <c r="U171" i="30" a="1"/>
  <c r="U171" i="30" s="1"/>
  <c r="U172" i="30" a="1"/>
  <c r="U172" i="30" s="1"/>
  <c r="U173" i="30" a="1"/>
  <c r="U173" i="30" s="1"/>
  <c r="U174" i="30" a="1"/>
  <c r="U174" i="30" s="1"/>
  <c r="U175" i="30" a="1"/>
  <c r="U175" i="30" s="1"/>
  <c r="U176" i="30" a="1"/>
  <c r="U176" i="30" s="1"/>
  <c r="U177" i="30" a="1"/>
  <c r="U177" i="30" s="1"/>
  <c r="U178" i="30" a="1"/>
  <c r="U178" i="30" s="1"/>
  <c r="U179" i="30" a="1"/>
  <c r="U179" i="30" s="1"/>
  <c r="U180" i="30" a="1"/>
  <c r="U180" i="30" s="1"/>
  <c r="U181" i="30" a="1"/>
  <c r="U181" i="30" s="1"/>
  <c r="U182" i="30" a="1"/>
  <c r="U182" i="30" s="1"/>
  <c r="U183" i="30" a="1"/>
  <c r="U183" i="30" s="1"/>
  <c r="U184" i="30" a="1"/>
  <c r="U184" i="30" s="1"/>
  <c r="U185" i="30" a="1"/>
  <c r="U185" i="30" s="1"/>
  <c r="U186" i="30" a="1"/>
  <c r="U186" i="30" s="1"/>
  <c r="U187" i="30" a="1"/>
  <c r="U187" i="30" s="1"/>
  <c r="U188" i="30" a="1"/>
  <c r="U188" i="30" s="1"/>
  <c r="U189" i="30" a="1"/>
  <c r="U189" i="30" s="1"/>
  <c r="U190" i="30" a="1"/>
  <c r="U190" i="30" s="1"/>
  <c r="U191" i="30" a="1"/>
  <c r="U191" i="30" s="1"/>
  <c r="U192" i="30" a="1"/>
  <c r="U192" i="30" s="1"/>
  <c r="U193" i="30" a="1"/>
  <c r="U193" i="30" s="1"/>
  <c r="U194" i="30" a="1"/>
  <c r="U194" i="30" s="1"/>
  <c r="U195" i="30" a="1"/>
  <c r="U195" i="30" s="1"/>
  <c r="U196" i="30" a="1"/>
  <c r="U196" i="30" s="1"/>
  <c r="U197" i="30" a="1"/>
  <c r="U197" i="30" s="1"/>
  <c r="U198" i="30" a="1"/>
  <c r="U198" i="30" s="1"/>
  <c r="U199" i="30" a="1"/>
  <c r="U199" i="30" s="1"/>
  <c r="U200" i="30" a="1"/>
  <c r="U200" i="30" s="1"/>
  <c r="U201" i="30" a="1"/>
  <c r="U201" i="30" s="1"/>
  <c r="U202" i="30" a="1"/>
  <c r="U202" i="30" s="1"/>
  <c r="U203" i="30" a="1"/>
  <c r="U203" i="30" s="1"/>
  <c r="U204" i="30" a="1"/>
  <c r="U204" i="30" s="1"/>
  <c r="U205" i="30" a="1"/>
  <c r="U205" i="30" s="1"/>
  <c r="U206" i="30" a="1"/>
  <c r="U206" i="30" s="1"/>
  <c r="U207" i="30" a="1"/>
  <c r="U207" i="30" s="1"/>
  <c r="U208" i="30" a="1"/>
  <c r="U208" i="30" s="1"/>
  <c r="U209" i="30" a="1"/>
  <c r="U209" i="30" s="1"/>
  <c r="U210" i="30" a="1"/>
  <c r="U210" i="30" s="1"/>
  <c r="U211" i="30" a="1"/>
  <c r="U211" i="30" s="1"/>
  <c r="U212" i="30" a="1"/>
  <c r="U212" i="30" s="1"/>
  <c r="U213" i="30" a="1"/>
  <c r="U213" i="30" s="1"/>
  <c r="U214" i="30" a="1"/>
  <c r="U214" i="30" s="1"/>
  <c r="U215" i="30" a="1"/>
  <c r="U215" i="30" s="1"/>
  <c r="U216" i="30" a="1"/>
  <c r="U216" i="30" s="1"/>
  <c r="U217" i="30" a="1"/>
  <c r="U217" i="30" s="1"/>
  <c r="U218" i="30" a="1"/>
  <c r="U218" i="30" s="1"/>
  <c r="U219" i="30" a="1"/>
  <c r="U219" i="30" s="1"/>
  <c r="U220" i="30" a="1"/>
  <c r="U220" i="30" s="1"/>
  <c r="U221" i="30" a="1"/>
  <c r="U221" i="30" s="1"/>
  <c r="U222" i="30" a="1"/>
  <c r="U222" i="30" s="1"/>
  <c r="U223" i="30" a="1"/>
  <c r="U223" i="30" s="1"/>
  <c r="U224" i="30" a="1"/>
  <c r="U224" i="30" s="1"/>
  <c r="U225" i="30" a="1"/>
  <c r="U225" i="30" s="1"/>
  <c r="U226" i="30" a="1"/>
  <c r="U226" i="30" s="1"/>
  <c r="U227" i="30" a="1"/>
  <c r="U227" i="30" s="1"/>
  <c r="U228" i="30" a="1"/>
  <c r="U228" i="30" s="1"/>
  <c r="U229" i="30" a="1"/>
  <c r="U229" i="30" s="1"/>
  <c r="U230" i="30" a="1"/>
  <c r="U230" i="30" s="1"/>
  <c r="U231" i="30" a="1"/>
  <c r="U231" i="30" s="1"/>
  <c r="U232" i="30" a="1"/>
  <c r="U232" i="30" s="1"/>
  <c r="U233" i="30" a="1"/>
  <c r="U233" i="30" s="1"/>
  <c r="U234" i="30" a="1"/>
  <c r="U234" i="30" s="1"/>
  <c r="U235" i="30" a="1"/>
  <c r="U235" i="30" s="1"/>
  <c r="U236" i="30" a="1"/>
  <c r="U236" i="30" s="1"/>
  <c r="U237" i="30" a="1"/>
  <c r="U237" i="30" s="1"/>
  <c r="U238" i="30" a="1"/>
  <c r="U238" i="30" s="1"/>
  <c r="U239" i="30" a="1"/>
  <c r="U239" i="30" s="1"/>
  <c r="U240" i="30" a="1"/>
  <c r="U240" i="30" s="1"/>
  <c r="U241" i="30" a="1"/>
  <c r="U241" i="30" s="1"/>
  <c r="U242" i="30" a="1"/>
  <c r="U242" i="30" s="1"/>
  <c r="U243" i="30" a="1"/>
  <c r="U243" i="30" s="1"/>
  <c r="U244" i="30" a="1"/>
  <c r="U244" i="30" s="1"/>
  <c r="U245" i="30" a="1"/>
  <c r="U245" i="30" s="1"/>
  <c r="U246" i="30" a="1"/>
  <c r="U246" i="30" s="1"/>
  <c r="U247" i="30" a="1"/>
  <c r="U247" i="30" s="1"/>
  <c r="U248" i="30" a="1"/>
  <c r="U248" i="30" s="1"/>
  <c r="U249" i="30" a="1"/>
  <c r="U249" i="30" s="1"/>
  <c r="U250" i="30" a="1"/>
  <c r="U250" i="30" s="1"/>
  <c r="U251" i="30" a="1"/>
  <c r="U251" i="30" s="1"/>
  <c r="U252" i="30" a="1"/>
  <c r="U252" i="30" s="1"/>
  <c r="U253" i="30" a="1"/>
  <c r="U253" i="30" s="1"/>
  <c r="U254" i="30" a="1"/>
  <c r="U254" i="30" s="1"/>
  <c r="U255" i="30" a="1"/>
  <c r="U255" i="30" s="1"/>
  <c r="U256" i="30" a="1"/>
  <c r="U256" i="30" s="1"/>
  <c r="U257" i="30" a="1"/>
  <c r="U257" i="30" s="1"/>
  <c r="U258" i="30" a="1"/>
  <c r="U258" i="30" s="1"/>
  <c r="U259" i="30" a="1"/>
  <c r="U259" i="30" s="1"/>
  <c r="U260" i="30" a="1"/>
  <c r="U260" i="30" s="1"/>
  <c r="U261" i="30" a="1"/>
  <c r="U261" i="30" s="1"/>
  <c r="U262" i="30" a="1"/>
  <c r="U262" i="30" s="1"/>
  <c r="U263" i="30" a="1"/>
  <c r="U263" i="30" s="1"/>
  <c r="U264" i="30" a="1"/>
  <c r="U264" i="30" s="1"/>
  <c r="U265" i="30" a="1"/>
  <c r="U265" i="30" s="1"/>
  <c r="U266" i="30" a="1"/>
  <c r="U266" i="30" s="1"/>
  <c r="U267" i="30" a="1"/>
  <c r="U267" i="30" s="1"/>
  <c r="U268" i="30" a="1"/>
  <c r="U268" i="30" s="1"/>
  <c r="U269" i="30" a="1"/>
  <c r="U269" i="30" s="1"/>
  <c r="U270" i="30" a="1"/>
  <c r="U270" i="30" s="1"/>
  <c r="U271" i="30" a="1"/>
  <c r="U271" i="30" s="1"/>
  <c r="U272" i="30" a="1"/>
  <c r="U272" i="30" s="1"/>
  <c r="U273" i="30" a="1"/>
  <c r="U273" i="30" s="1"/>
  <c r="U274" i="30" a="1"/>
  <c r="U274" i="30" s="1"/>
  <c r="U275" i="30" a="1"/>
  <c r="U275" i="30" s="1"/>
  <c r="U276" i="30" a="1"/>
  <c r="U276" i="30" s="1"/>
  <c r="U277" i="30" a="1"/>
  <c r="U277" i="30" s="1"/>
  <c r="U278" i="30" a="1"/>
  <c r="U278" i="30" s="1"/>
  <c r="U279" i="30" a="1"/>
  <c r="U279" i="30" s="1"/>
  <c r="U280" i="30" a="1"/>
  <c r="U280" i="30" s="1"/>
  <c r="U281" i="30" a="1"/>
  <c r="U281" i="30" s="1"/>
  <c r="U282" i="30" a="1"/>
  <c r="U282" i="30" s="1"/>
  <c r="U283" i="30" a="1"/>
  <c r="U283" i="30" s="1"/>
  <c r="U284" i="30" a="1"/>
  <c r="U284" i="30" s="1"/>
  <c r="U285" i="30" a="1"/>
  <c r="U285" i="30" s="1"/>
  <c r="AD1054" i="25" s="1"/>
  <c r="U286" i="30" a="1"/>
  <c r="U286" i="30" s="1"/>
  <c r="AD1055" i="25" s="1"/>
  <c r="U287" i="30" a="1"/>
  <c r="U287" i="30" s="1"/>
  <c r="AD1056" i="25" s="1"/>
  <c r="U288" i="30" a="1"/>
  <c r="U288" i="30" s="1"/>
  <c r="AD1057" i="25" s="1"/>
  <c r="U289" i="30" a="1"/>
  <c r="U289" i="30" s="1"/>
  <c r="AD1058" i="25" s="1"/>
  <c r="U290" i="30" a="1"/>
  <c r="U290" i="30" s="1"/>
  <c r="AD1059" i="25" s="1"/>
  <c r="U291" i="30" a="1"/>
  <c r="U291" i="30" s="1"/>
  <c r="AD1060" i="25" s="1"/>
  <c r="U292" i="30" a="1"/>
  <c r="U292" i="30" s="1"/>
  <c r="U293" i="30" a="1"/>
  <c r="U293" i="30" s="1"/>
  <c r="U294" i="30" a="1"/>
  <c r="U294" i="30" s="1"/>
  <c r="U295" i="30" a="1"/>
  <c r="U295" i="30" s="1"/>
  <c r="U296" i="30" a="1"/>
  <c r="U296" i="30" s="1"/>
  <c r="U297" i="30" a="1"/>
  <c r="U297" i="30" s="1"/>
  <c r="U298" i="30" a="1"/>
  <c r="U298" i="30" s="1"/>
  <c r="U299" i="30" a="1"/>
  <c r="U299" i="30" s="1"/>
  <c r="U300" i="30" a="1"/>
  <c r="U300" i="30" s="1"/>
  <c r="T10" i="30" a="1"/>
  <c r="T10" i="30" s="1"/>
  <c r="T11" i="30" a="1"/>
  <c r="T11" i="30" s="1"/>
  <c r="T12" i="30" a="1"/>
  <c r="T12" i="30" s="1"/>
  <c r="T13" i="30" a="1"/>
  <c r="T13" i="30" s="1"/>
  <c r="T14" i="30" a="1"/>
  <c r="T14" i="30" s="1"/>
  <c r="T15" i="30" a="1"/>
  <c r="T15" i="30" s="1"/>
  <c r="T16" i="30" a="1"/>
  <c r="T16" i="30" s="1"/>
  <c r="T17" i="30" a="1"/>
  <c r="T17" i="30" s="1"/>
  <c r="T18" i="30" a="1"/>
  <c r="T18" i="30" s="1"/>
  <c r="T19" i="30" a="1"/>
  <c r="T19" i="30" s="1"/>
  <c r="T20" i="30" a="1"/>
  <c r="T20" i="30" s="1"/>
  <c r="T21" i="30" a="1"/>
  <c r="T21" i="30" s="1"/>
  <c r="T22" i="30" a="1"/>
  <c r="T22" i="30" s="1"/>
  <c r="T23" i="30" a="1"/>
  <c r="T23" i="30" s="1"/>
  <c r="T24" i="30" a="1"/>
  <c r="T24" i="30" s="1"/>
  <c r="T25" i="30" a="1"/>
  <c r="T25" i="30" s="1"/>
  <c r="T26" i="30" a="1"/>
  <c r="T26" i="30" s="1"/>
  <c r="T27" i="30" a="1"/>
  <c r="T27" i="30" s="1"/>
  <c r="T28" i="30" a="1"/>
  <c r="T28" i="30" s="1"/>
  <c r="T29" i="30" a="1"/>
  <c r="T29" i="30" s="1"/>
  <c r="T30" i="30" a="1"/>
  <c r="T30" i="30" s="1"/>
  <c r="T31" i="30" a="1"/>
  <c r="T31" i="30" s="1"/>
  <c r="T32" i="30" a="1"/>
  <c r="T32" i="30" s="1"/>
  <c r="T33" i="30" a="1"/>
  <c r="T33" i="30" s="1"/>
  <c r="T34" i="30" a="1"/>
  <c r="T34" i="30" s="1"/>
  <c r="T35" i="30" a="1"/>
  <c r="T35" i="30" s="1"/>
  <c r="T36" i="30" a="1"/>
  <c r="T36" i="30" s="1"/>
  <c r="T37" i="30" a="1"/>
  <c r="T37" i="30" s="1"/>
  <c r="T38" i="30" a="1"/>
  <c r="T38" i="30" s="1"/>
  <c r="T39" i="30" a="1"/>
  <c r="T39" i="30" s="1"/>
  <c r="T40" i="30" a="1"/>
  <c r="T40" i="30" s="1"/>
  <c r="T41" i="30" a="1"/>
  <c r="T41" i="30" s="1"/>
  <c r="T42" i="30" a="1"/>
  <c r="T42" i="30" s="1"/>
  <c r="T43" i="30" a="1"/>
  <c r="T43" i="30" s="1"/>
  <c r="T44" i="30" a="1"/>
  <c r="T44" i="30" s="1"/>
  <c r="T45" i="30" a="1"/>
  <c r="T45" i="30" s="1"/>
  <c r="T46" i="30" a="1"/>
  <c r="T46" i="30" s="1"/>
  <c r="T47" i="30" a="1"/>
  <c r="T47" i="30" s="1"/>
  <c r="T48" i="30" a="1"/>
  <c r="T48" i="30" s="1"/>
  <c r="T49" i="30" a="1"/>
  <c r="T49" i="30" s="1"/>
  <c r="T50" i="30" a="1"/>
  <c r="T50" i="30" s="1"/>
  <c r="T51" i="30" a="1"/>
  <c r="T51" i="30" s="1"/>
  <c r="T52" i="30" a="1"/>
  <c r="T52" i="30" s="1"/>
  <c r="T53" i="30" a="1"/>
  <c r="T53" i="30" s="1"/>
  <c r="T54" i="30" a="1"/>
  <c r="T54" i="30" s="1"/>
  <c r="T55" i="30" a="1"/>
  <c r="T55" i="30" s="1"/>
  <c r="T56" i="30" a="1"/>
  <c r="T56" i="30" s="1"/>
  <c r="T57" i="30" a="1"/>
  <c r="T57" i="30" s="1"/>
  <c r="T58" i="30" a="1"/>
  <c r="T58" i="30" s="1"/>
  <c r="T59" i="30" a="1"/>
  <c r="T59" i="30" s="1"/>
  <c r="T60" i="30" a="1"/>
  <c r="T60" i="30" s="1"/>
  <c r="T61" i="30" a="1"/>
  <c r="T61" i="30" s="1"/>
  <c r="T62" i="30" a="1"/>
  <c r="T62" i="30" s="1"/>
  <c r="T63" i="30" a="1"/>
  <c r="T63" i="30" s="1"/>
  <c r="T64" i="30" a="1"/>
  <c r="T64" i="30" s="1"/>
  <c r="T65" i="30" a="1"/>
  <c r="T65" i="30" s="1"/>
  <c r="T66" i="30" a="1"/>
  <c r="T66" i="30" s="1"/>
  <c r="T67" i="30" a="1"/>
  <c r="T67" i="30" s="1"/>
  <c r="T68" i="30" a="1"/>
  <c r="T68" i="30" s="1"/>
  <c r="T69" i="30" a="1"/>
  <c r="T69" i="30" s="1"/>
  <c r="T70" i="30" a="1"/>
  <c r="T70" i="30" s="1"/>
  <c r="T71" i="30" a="1"/>
  <c r="T71" i="30" s="1"/>
  <c r="T72" i="30" a="1"/>
  <c r="T72" i="30" s="1"/>
  <c r="T73" i="30" a="1"/>
  <c r="T73" i="30" s="1"/>
  <c r="T74" i="30" a="1"/>
  <c r="T74" i="30" s="1"/>
  <c r="T75" i="30" a="1"/>
  <c r="T75" i="30" s="1"/>
  <c r="T76" i="30" a="1"/>
  <c r="T76" i="30" s="1"/>
  <c r="T77" i="30" a="1"/>
  <c r="T77" i="30" s="1"/>
  <c r="T78" i="30" a="1"/>
  <c r="T78" i="30" s="1"/>
  <c r="T79" i="30" a="1"/>
  <c r="T79" i="30" s="1"/>
  <c r="T80" i="30" a="1"/>
  <c r="T80" i="30" s="1"/>
  <c r="T81" i="30" a="1"/>
  <c r="T81" i="30" s="1"/>
  <c r="T82" i="30" a="1"/>
  <c r="T82" i="30" s="1"/>
  <c r="T83" i="30" a="1"/>
  <c r="T83" i="30" s="1"/>
  <c r="T84" i="30" a="1"/>
  <c r="T84" i="30" s="1"/>
  <c r="T85" i="30" a="1"/>
  <c r="T85" i="30" s="1"/>
  <c r="T86" i="30" a="1"/>
  <c r="T86" i="30" s="1"/>
  <c r="T87" i="30" a="1"/>
  <c r="T87" i="30" s="1"/>
  <c r="T88" i="30" a="1"/>
  <c r="T88" i="30" s="1"/>
  <c r="T89" i="30" a="1"/>
  <c r="T89" i="30" s="1"/>
  <c r="T90" i="30" a="1"/>
  <c r="T90" i="30" s="1"/>
  <c r="T91" i="30" a="1"/>
  <c r="T91" i="30" s="1"/>
  <c r="T92" i="30" a="1"/>
  <c r="T92" i="30" s="1"/>
  <c r="T93" i="30" a="1"/>
  <c r="T93" i="30" s="1"/>
  <c r="T94" i="30" a="1"/>
  <c r="T94" i="30" s="1"/>
  <c r="T95" i="30" a="1"/>
  <c r="T95" i="30" s="1"/>
  <c r="T96" i="30" a="1"/>
  <c r="T96" i="30" s="1"/>
  <c r="T97" i="30" a="1"/>
  <c r="T97" i="30" s="1"/>
  <c r="T98" i="30" a="1"/>
  <c r="T98" i="30" s="1"/>
  <c r="T99" i="30" a="1"/>
  <c r="T99" i="30" s="1"/>
  <c r="T100" i="30" a="1"/>
  <c r="T100" i="30" s="1"/>
  <c r="T101" i="30" a="1"/>
  <c r="T101" i="30" s="1"/>
  <c r="T102" i="30" a="1"/>
  <c r="T102" i="30" s="1"/>
  <c r="T103" i="30" a="1"/>
  <c r="T103" i="30" s="1"/>
  <c r="T104" i="30" a="1"/>
  <c r="T104" i="30" s="1"/>
  <c r="T105" i="30" a="1"/>
  <c r="T105" i="30" s="1"/>
  <c r="T106" i="30" a="1"/>
  <c r="T106" i="30" s="1"/>
  <c r="T107" i="30" a="1"/>
  <c r="T107" i="30" s="1"/>
  <c r="T108" i="30" a="1"/>
  <c r="T108" i="30" s="1"/>
  <c r="T109" i="30" a="1"/>
  <c r="T109" i="30" s="1"/>
  <c r="T110" i="30" a="1"/>
  <c r="T110" i="30" s="1"/>
  <c r="T111" i="30" a="1"/>
  <c r="T111" i="30" s="1"/>
  <c r="T112" i="30" a="1"/>
  <c r="T112" i="30" s="1"/>
  <c r="T113" i="30" a="1"/>
  <c r="T113" i="30" s="1"/>
  <c r="T114" i="30" a="1"/>
  <c r="T114" i="30" s="1"/>
  <c r="T115" i="30" a="1"/>
  <c r="T115" i="30" s="1"/>
  <c r="T116" i="30" a="1"/>
  <c r="T116" i="30" s="1"/>
  <c r="T117" i="30" a="1"/>
  <c r="T117" i="30" s="1"/>
  <c r="T118" i="30" a="1"/>
  <c r="T118" i="30" s="1"/>
  <c r="T119" i="30" a="1"/>
  <c r="T119" i="30" s="1"/>
  <c r="T120" i="30" a="1"/>
  <c r="T120" i="30" s="1"/>
  <c r="T121" i="30" a="1"/>
  <c r="T121" i="30" s="1"/>
  <c r="T122" i="30" a="1"/>
  <c r="T122" i="30" s="1"/>
  <c r="T123" i="30" a="1"/>
  <c r="T123" i="30" s="1"/>
  <c r="T124" i="30" a="1"/>
  <c r="T124" i="30" s="1"/>
  <c r="T125" i="30" a="1"/>
  <c r="T125" i="30" s="1"/>
  <c r="T126" i="30" a="1"/>
  <c r="T126" i="30" s="1"/>
  <c r="T127" i="30" a="1"/>
  <c r="T127" i="30" s="1"/>
  <c r="T128" i="30" a="1"/>
  <c r="T128" i="30" s="1"/>
  <c r="T129" i="30" a="1"/>
  <c r="T129" i="30" s="1"/>
  <c r="T130" i="30" a="1"/>
  <c r="T130" i="30" s="1"/>
  <c r="T131" i="30" a="1"/>
  <c r="T131" i="30" s="1"/>
  <c r="T132" i="30" a="1"/>
  <c r="T132" i="30" s="1"/>
  <c r="T133" i="30" a="1"/>
  <c r="T133" i="30" s="1"/>
  <c r="T134" i="30" a="1"/>
  <c r="T134" i="30" s="1"/>
  <c r="T135" i="30" a="1"/>
  <c r="T135" i="30" s="1"/>
  <c r="T136" i="30" a="1"/>
  <c r="T136" i="30" s="1"/>
  <c r="T137" i="30" a="1"/>
  <c r="T137" i="30" s="1"/>
  <c r="T138" i="30" a="1"/>
  <c r="T138" i="30" s="1"/>
  <c r="T139" i="30" a="1"/>
  <c r="T139" i="30" s="1"/>
  <c r="T140" i="30" a="1"/>
  <c r="T140" i="30" s="1"/>
  <c r="T141" i="30" a="1"/>
  <c r="T141" i="30" s="1"/>
  <c r="T142" i="30" a="1"/>
  <c r="T142" i="30" s="1"/>
  <c r="T143" i="30" a="1"/>
  <c r="T143" i="30" s="1"/>
  <c r="T144" i="30" a="1"/>
  <c r="T144" i="30" s="1"/>
  <c r="T145" i="30" a="1"/>
  <c r="T145" i="30" s="1"/>
  <c r="T146" i="30" a="1"/>
  <c r="T146" i="30" s="1"/>
  <c r="T147" i="30" a="1"/>
  <c r="T147" i="30" s="1"/>
  <c r="T148" i="30" a="1"/>
  <c r="T148" i="30" s="1"/>
  <c r="T149" i="30" a="1"/>
  <c r="T149" i="30" s="1"/>
  <c r="T150" i="30" a="1"/>
  <c r="T150" i="30" s="1"/>
  <c r="T151" i="30" a="1"/>
  <c r="T151" i="30" s="1"/>
  <c r="T152" i="30" a="1"/>
  <c r="T152" i="30" s="1"/>
  <c r="T153" i="30" a="1"/>
  <c r="T153" i="30" s="1"/>
  <c r="T154" i="30" a="1"/>
  <c r="T154" i="30" s="1"/>
  <c r="T155" i="30" a="1"/>
  <c r="T155" i="30" s="1"/>
  <c r="T156" i="30" a="1"/>
  <c r="T156" i="30" s="1"/>
  <c r="T157" i="30" a="1"/>
  <c r="T157" i="30" s="1"/>
  <c r="T158" i="30" a="1"/>
  <c r="T158" i="30" s="1"/>
  <c r="T159" i="30" a="1"/>
  <c r="T159" i="30" s="1"/>
  <c r="T160" i="30" a="1"/>
  <c r="T160" i="30" s="1"/>
  <c r="T161" i="30" a="1"/>
  <c r="T161" i="30" s="1"/>
  <c r="T162" i="30" a="1"/>
  <c r="T162" i="30" s="1"/>
  <c r="T163" i="30" a="1"/>
  <c r="T163" i="30" s="1"/>
  <c r="T164" i="30" a="1"/>
  <c r="T164" i="30" s="1"/>
  <c r="T165" i="30" a="1"/>
  <c r="T165" i="30" s="1"/>
  <c r="T166" i="30" a="1"/>
  <c r="T166" i="30" s="1"/>
  <c r="T167" i="30" a="1"/>
  <c r="T167" i="30" s="1"/>
  <c r="T168" i="30" a="1"/>
  <c r="T168" i="30" s="1"/>
  <c r="T169" i="30" a="1"/>
  <c r="T169" i="30" s="1"/>
  <c r="T170" i="30" a="1"/>
  <c r="T170" i="30" s="1"/>
  <c r="T171" i="30" a="1"/>
  <c r="T171" i="30" s="1"/>
  <c r="T172" i="30" a="1"/>
  <c r="T172" i="30" s="1"/>
  <c r="T173" i="30" a="1"/>
  <c r="T173" i="30" s="1"/>
  <c r="T174" i="30" a="1"/>
  <c r="T174" i="30" s="1"/>
  <c r="T175" i="30" a="1"/>
  <c r="T175" i="30" s="1"/>
  <c r="T176" i="30" a="1"/>
  <c r="T176" i="30" s="1"/>
  <c r="T177" i="30" a="1"/>
  <c r="T177" i="30" s="1"/>
  <c r="T178" i="30" a="1"/>
  <c r="T178" i="30" s="1"/>
  <c r="T179" i="30" a="1"/>
  <c r="T179" i="30" s="1"/>
  <c r="T180" i="30" a="1"/>
  <c r="T180" i="30" s="1"/>
  <c r="T181" i="30" a="1"/>
  <c r="T181" i="30" s="1"/>
  <c r="T182" i="30" a="1"/>
  <c r="T182" i="30" s="1"/>
  <c r="T183" i="30" a="1"/>
  <c r="T183" i="30" s="1"/>
  <c r="T184" i="30" a="1"/>
  <c r="T184" i="30" s="1"/>
  <c r="T185" i="30" a="1"/>
  <c r="T185" i="30" s="1"/>
  <c r="T186" i="30" a="1"/>
  <c r="T186" i="30" s="1"/>
  <c r="T187" i="30" a="1"/>
  <c r="T187" i="30" s="1"/>
  <c r="T188" i="30" a="1"/>
  <c r="T188" i="30" s="1"/>
  <c r="T189" i="30" a="1"/>
  <c r="T189" i="30" s="1"/>
  <c r="T190" i="30" a="1"/>
  <c r="T190" i="30" s="1"/>
  <c r="T191" i="30" a="1"/>
  <c r="T191" i="30" s="1"/>
  <c r="T192" i="30" a="1"/>
  <c r="T192" i="30" s="1"/>
  <c r="T193" i="30" a="1"/>
  <c r="T193" i="30" s="1"/>
  <c r="T194" i="30" a="1"/>
  <c r="T194" i="30" s="1"/>
  <c r="T195" i="30" a="1"/>
  <c r="T195" i="30" s="1"/>
  <c r="T196" i="30" a="1"/>
  <c r="T196" i="30" s="1"/>
  <c r="T197" i="30" a="1"/>
  <c r="T197" i="30" s="1"/>
  <c r="T198" i="30" a="1"/>
  <c r="T198" i="30" s="1"/>
  <c r="T199" i="30" a="1"/>
  <c r="T199" i="30" s="1"/>
  <c r="T200" i="30" a="1"/>
  <c r="T200" i="30" s="1"/>
  <c r="T201" i="30" a="1"/>
  <c r="T201" i="30" s="1"/>
  <c r="T202" i="30" a="1"/>
  <c r="T202" i="30" s="1"/>
  <c r="T203" i="30" a="1"/>
  <c r="T203" i="30" s="1"/>
  <c r="T204" i="30" a="1"/>
  <c r="T204" i="30" s="1"/>
  <c r="T205" i="30" a="1"/>
  <c r="T205" i="30" s="1"/>
  <c r="T206" i="30" a="1"/>
  <c r="T206" i="30" s="1"/>
  <c r="T207" i="30" a="1"/>
  <c r="T207" i="30" s="1"/>
  <c r="T208" i="30" a="1"/>
  <c r="T208" i="30" s="1"/>
  <c r="T209" i="30" a="1"/>
  <c r="T209" i="30" s="1"/>
  <c r="T210" i="30" a="1"/>
  <c r="T210" i="30" s="1"/>
  <c r="T211" i="30" a="1"/>
  <c r="T211" i="30" s="1"/>
  <c r="T212" i="30" a="1"/>
  <c r="T212" i="30" s="1"/>
  <c r="T213" i="30" a="1"/>
  <c r="T213" i="30" s="1"/>
  <c r="T214" i="30" a="1"/>
  <c r="T214" i="30" s="1"/>
  <c r="T215" i="30" a="1"/>
  <c r="T215" i="30" s="1"/>
  <c r="T216" i="30" a="1"/>
  <c r="T216" i="30" s="1"/>
  <c r="T217" i="30" a="1"/>
  <c r="T217" i="30" s="1"/>
  <c r="T218" i="30" a="1"/>
  <c r="T218" i="30" s="1"/>
  <c r="T219" i="30" a="1"/>
  <c r="T219" i="30" s="1"/>
  <c r="T220" i="30" a="1"/>
  <c r="T220" i="30" s="1"/>
  <c r="T221" i="30" a="1"/>
  <c r="T221" i="30" s="1"/>
  <c r="T222" i="30" a="1"/>
  <c r="T222" i="30" s="1"/>
  <c r="T223" i="30" a="1"/>
  <c r="T223" i="30" s="1"/>
  <c r="T224" i="30" a="1"/>
  <c r="T224" i="30" s="1"/>
  <c r="T225" i="30" a="1"/>
  <c r="T225" i="30" s="1"/>
  <c r="T226" i="30" a="1"/>
  <c r="T226" i="30" s="1"/>
  <c r="T227" i="30" a="1"/>
  <c r="T227" i="30" s="1"/>
  <c r="T228" i="30" a="1"/>
  <c r="T228" i="30" s="1"/>
  <c r="T229" i="30" a="1"/>
  <c r="T229" i="30" s="1"/>
  <c r="T230" i="30" a="1"/>
  <c r="T230" i="30" s="1"/>
  <c r="T231" i="30" a="1"/>
  <c r="T231" i="30" s="1"/>
  <c r="T232" i="30" a="1"/>
  <c r="T232" i="30" s="1"/>
  <c r="T233" i="30" a="1"/>
  <c r="T233" i="30" s="1"/>
  <c r="T234" i="30" a="1"/>
  <c r="T234" i="30" s="1"/>
  <c r="T235" i="30" a="1"/>
  <c r="T235" i="30" s="1"/>
  <c r="T236" i="30" a="1"/>
  <c r="T236" i="30" s="1"/>
  <c r="T237" i="30" a="1"/>
  <c r="T237" i="30" s="1"/>
  <c r="T238" i="30" a="1"/>
  <c r="T238" i="30" s="1"/>
  <c r="T239" i="30" a="1"/>
  <c r="T239" i="30" s="1"/>
  <c r="T240" i="30" a="1"/>
  <c r="T240" i="30" s="1"/>
  <c r="T241" i="30" a="1"/>
  <c r="T241" i="30" s="1"/>
  <c r="T242" i="30" a="1"/>
  <c r="T242" i="30" s="1"/>
  <c r="T243" i="30" a="1"/>
  <c r="T243" i="30" s="1"/>
  <c r="T244" i="30" a="1"/>
  <c r="T244" i="30" s="1"/>
  <c r="T245" i="30" a="1"/>
  <c r="T245" i="30" s="1"/>
  <c r="T246" i="30" a="1"/>
  <c r="T246" i="30" s="1"/>
  <c r="T247" i="30" a="1"/>
  <c r="T247" i="30" s="1"/>
  <c r="T248" i="30" a="1"/>
  <c r="T248" i="30" s="1"/>
  <c r="T249" i="30" a="1"/>
  <c r="T249" i="30" s="1"/>
  <c r="T250" i="30" a="1"/>
  <c r="T250" i="30" s="1"/>
  <c r="T251" i="30" a="1"/>
  <c r="T251" i="30" s="1"/>
  <c r="T252" i="30" a="1"/>
  <c r="T252" i="30" s="1"/>
  <c r="T253" i="30" a="1"/>
  <c r="T253" i="30" s="1"/>
  <c r="T254" i="30" a="1"/>
  <c r="T254" i="30" s="1"/>
  <c r="T255" i="30" a="1"/>
  <c r="T255" i="30" s="1"/>
  <c r="T256" i="30" a="1"/>
  <c r="T256" i="30" s="1"/>
  <c r="T257" i="30" a="1"/>
  <c r="T257" i="30" s="1"/>
  <c r="T258" i="30" a="1"/>
  <c r="T258" i="30" s="1"/>
  <c r="T259" i="30" a="1"/>
  <c r="T259" i="30" s="1"/>
  <c r="T260" i="30" a="1"/>
  <c r="T260" i="30" s="1"/>
  <c r="T261" i="30" a="1"/>
  <c r="T261" i="30" s="1"/>
  <c r="T262" i="30" a="1"/>
  <c r="T262" i="30" s="1"/>
  <c r="T263" i="30" a="1"/>
  <c r="T263" i="30" s="1"/>
  <c r="T264" i="30" a="1"/>
  <c r="T264" i="30" s="1"/>
  <c r="T265" i="30" a="1"/>
  <c r="T265" i="30" s="1"/>
  <c r="T266" i="30" a="1"/>
  <c r="T266" i="30" s="1"/>
  <c r="T267" i="30" a="1"/>
  <c r="T267" i="30" s="1"/>
  <c r="T268" i="30" a="1"/>
  <c r="T268" i="30" s="1"/>
  <c r="T269" i="30" a="1"/>
  <c r="T269" i="30" s="1"/>
  <c r="T270" i="30" a="1"/>
  <c r="T270" i="30" s="1"/>
  <c r="T271" i="30" a="1"/>
  <c r="T271" i="30" s="1"/>
  <c r="T272" i="30" a="1"/>
  <c r="T272" i="30" s="1"/>
  <c r="T273" i="30" a="1"/>
  <c r="T273" i="30" s="1"/>
  <c r="T274" i="30" a="1"/>
  <c r="T274" i="30" s="1"/>
  <c r="T275" i="30" a="1"/>
  <c r="T275" i="30" s="1"/>
  <c r="T276" i="30" a="1"/>
  <c r="T276" i="30" s="1"/>
  <c r="T277" i="30" a="1"/>
  <c r="T277" i="30" s="1"/>
  <c r="T278" i="30" a="1"/>
  <c r="T278" i="30" s="1"/>
  <c r="T279" i="30" a="1"/>
  <c r="T279" i="30" s="1"/>
  <c r="T280" i="30" a="1"/>
  <c r="T280" i="30" s="1"/>
  <c r="T281" i="30" a="1"/>
  <c r="T281" i="30" s="1"/>
  <c r="T282" i="30" a="1"/>
  <c r="T282" i="30" s="1"/>
  <c r="T283" i="30" a="1"/>
  <c r="T283" i="30" s="1"/>
  <c r="T284" i="30" a="1"/>
  <c r="T284" i="30" s="1"/>
  <c r="AC1053" i="25" s="1"/>
  <c r="T285" i="30" a="1"/>
  <c r="T285" i="30" s="1"/>
  <c r="AC1054" i="25" s="1"/>
  <c r="T286" i="30" a="1"/>
  <c r="T286" i="30" s="1"/>
  <c r="AC1055" i="25" s="1"/>
  <c r="T287" i="30" a="1"/>
  <c r="T287" i="30" s="1"/>
  <c r="AC1056" i="25" s="1"/>
  <c r="T288" i="30" a="1"/>
  <c r="T288" i="30" s="1"/>
  <c r="AC1057" i="25" s="1"/>
  <c r="T289" i="30" a="1"/>
  <c r="T289" i="30" s="1"/>
  <c r="AC1058" i="25" s="1"/>
  <c r="T290" i="30" a="1"/>
  <c r="T290" i="30" s="1"/>
  <c r="AC1059" i="25" s="1"/>
  <c r="T291" i="30" a="1"/>
  <c r="T291" i="30" s="1"/>
  <c r="AC1060" i="25" s="1"/>
  <c r="T292" i="30" a="1"/>
  <c r="T292" i="30" s="1"/>
  <c r="T293" i="30" a="1"/>
  <c r="T293" i="30" s="1"/>
  <c r="T294" i="30" a="1"/>
  <c r="T294" i="30" s="1"/>
  <c r="T295" i="30" a="1"/>
  <c r="T295" i="30" s="1"/>
  <c r="T296" i="30" a="1"/>
  <c r="T296" i="30" s="1"/>
  <c r="T297" i="30" a="1"/>
  <c r="T297" i="30" s="1"/>
  <c r="T298" i="30" a="1"/>
  <c r="T298" i="30" s="1"/>
  <c r="T299" i="30" a="1"/>
  <c r="T299" i="30" s="1"/>
  <c r="T300" i="30" a="1"/>
  <c r="T300" i="30" s="1"/>
  <c r="S10" i="30" a="1"/>
  <c r="S10" i="30" s="1"/>
  <c r="S11" i="30" a="1"/>
  <c r="S11" i="30" s="1"/>
  <c r="S12" i="30" a="1"/>
  <c r="S12" i="30" s="1"/>
  <c r="S13" i="30" a="1"/>
  <c r="S13" i="30" s="1"/>
  <c r="S14" i="30" a="1"/>
  <c r="S14" i="30" s="1"/>
  <c r="S15" i="30" a="1"/>
  <c r="S15" i="30" s="1"/>
  <c r="S16" i="30" a="1"/>
  <c r="S16" i="30" s="1"/>
  <c r="S17" i="30" a="1"/>
  <c r="S17" i="30" s="1"/>
  <c r="S18" i="30" a="1"/>
  <c r="S18" i="30" s="1"/>
  <c r="S19" i="30" a="1"/>
  <c r="S19" i="30" s="1"/>
  <c r="S20" i="30" a="1"/>
  <c r="S20" i="30" s="1"/>
  <c r="S21" i="30" a="1"/>
  <c r="S21" i="30" s="1"/>
  <c r="S22" i="30" a="1"/>
  <c r="S22" i="30" s="1"/>
  <c r="S23" i="30" a="1"/>
  <c r="S23" i="30" s="1"/>
  <c r="S24" i="30" a="1"/>
  <c r="S24" i="30" s="1"/>
  <c r="S25" i="30" a="1"/>
  <c r="S25" i="30" s="1"/>
  <c r="S26" i="30" a="1"/>
  <c r="S26" i="30" s="1"/>
  <c r="S27" i="30" a="1"/>
  <c r="S27" i="30" s="1"/>
  <c r="S28" i="30" a="1"/>
  <c r="S28" i="30" s="1"/>
  <c r="S29" i="30" a="1"/>
  <c r="S29" i="30" s="1"/>
  <c r="S30" i="30" a="1"/>
  <c r="S30" i="30" s="1"/>
  <c r="S31" i="30" a="1"/>
  <c r="S31" i="30" s="1"/>
  <c r="S32" i="30" a="1"/>
  <c r="S32" i="30" s="1"/>
  <c r="S33" i="30" a="1"/>
  <c r="S33" i="30" s="1"/>
  <c r="S34" i="30" a="1"/>
  <c r="S34" i="30" s="1"/>
  <c r="S35" i="30" a="1"/>
  <c r="S35" i="30" s="1"/>
  <c r="S36" i="30" a="1"/>
  <c r="S36" i="30" s="1"/>
  <c r="S37" i="30" a="1"/>
  <c r="S37" i="30" s="1"/>
  <c r="S38" i="30" a="1"/>
  <c r="S38" i="30" s="1"/>
  <c r="S39" i="30" a="1"/>
  <c r="S39" i="30" s="1"/>
  <c r="S40" i="30" a="1"/>
  <c r="S40" i="30" s="1"/>
  <c r="S41" i="30" a="1"/>
  <c r="S41" i="30" s="1"/>
  <c r="S42" i="30" a="1"/>
  <c r="S42" i="30" s="1"/>
  <c r="S43" i="30" a="1"/>
  <c r="S43" i="30" s="1"/>
  <c r="S44" i="30" a="1"/>
  <c r="S44" i="30" s="1"/>
  <c r="S45" i="30" a="1"/>
  <c r="S45" i="30" s="1"/>
  <c r="S46" i="30" a="1"/>
  <c r="S46" i="30" s="1"/>
  <c r="S47" i="30" a="1"/>
  <c r="S47" i="30" s="1"/>
  <c r="S48" i="30" a="1"/>
  <c r="S48" i="30" s="1"/>
  <c r="S49" i="30" a="1"/>
  <c r="S49" i="30" s="1"/>
  <c r="S50" i="30" a="1"/>
  <c r="S50" i="30" s="1"/>
  <c r="S51" i="30" a="1"/>
  <c r="S51" i="30" s="1"/>
  <c r="S52" i="30" a="1"/>
  <c r="S52" i="30" s="1"/>
  <c r="S53" i="30" a="1"/>
  <c r="S53" i="30" s="1"/>
  <c r="S54" i="30" a="1"/>
  <c r="S54" i="30" s="1"/>
  <c r="S55" i="30" a="1"/>
  <c r="S55" i="30" s="1"/>
  <c r="S56" i="30" a="1"/>
  <c r="S56" i="30" s="1"/>
  <c r="S57" i="30" a="1"/>
  <c r="S57" i="30" s="1"/>
  <c r="S58" i="30" a="1"/>
  <c r="S58" i="30" s="1"/>
  <c r="S59" i="30" a="1"/>
  <c r="S59" i="30" s="1"/>
  <c r="S60" i="30" a="1"/>
  <c r="S60" i="30" s="1"/>
  <c r="S61" i="30" a="1"/>
  <c r="S61" i="30" s="1"/>
  <c r="S62" i="30" a="1"/>
  <c r="S62" i="30" s="1"/>
  <c r="S63" i="30" a="1"/>
  <c r="S63" i="30" s="1"/>
  <c r="S64" i="30" a="1"/>
  <c r="S64" i="30" s="1"/>
  <c r="S65" i="30" a="1"/>
  <c r="S65" i="30" s="1"/>
  <c r="S66" i="30" a="1"/>
  <c r="S66" i="30" s="1"/>
  <c r="S67" i="30" a="1"/>
  <c r="S67" i="30" s="1"/>
  <c r="S68" i="30" a="1"/>
  <c r="S68" i="30" s="1"/>
  <c r="S69" i="30" a="1"/>
  <c r="S69" i="30" s="1"/>
  <c r="S70" i="30" a="1"/>
  <c r="S70" i="30" s="1"/>
  <c r="S71" i="30" a="1"/>
  <c r="S71" i="30" s="1"/>
  <c r="S72" i="30" a="1"/>
  <c r="S72" i="30" s="1"/>
  <c r="S73" i="30" a="1"/>
  <c r="S73" i="30" s="1"/>
  <c r="S74" i="30" a="1"/>
  <c r="S74" i="30" s="1"/>
  <c r="S75" i="30" a="1"/>
  <c r="S75" i="30" s="1"/>
  <c r="S76" i="30" a="1"/>
  <c r="S76" i="30" s="1"/>
  <c r="S77" i="30" a="1"/>
  <c r="S77" i="30" s="1"/>
  <c r="S78" i="30" a="1"/>
  <c r="S78" i="30" s="1"/>
  <c r="S79" i="30" a="1"/>
  <c r="S79" i="30" s="1"/>
  <c r="S80" i="30" a="1"/>
  <c r="S80" i="30" s="1"/>
  <c r="S81" i="30" a="1"/>
  <c r="S81" i="30" s="1"/>
  <c r="S82" i="30" a="1"/>
  <c r="S82" i="30" s="1"/>
  <c r="S83" i="30" a="1"/>
  <c r="S83" i="30" s="1"/>
  <c r="S84" i="30" a="1"/>
  <c r="S84" i="30" s="1"/>
  <c r="S85" i="30" a="1"/>
  <c r="S85" i="30" s="1"/>
  <c r="S86" i="30" a="1"/>
  <c r="S86" i="30" s="1"/>
  <c r="S87" i="30" a="1"/>
  <c r="S87" i="30" s="1"/>
  <c r="S88" i="30" a="1"/>
  <c r="S88" i="30" s="1"/>
  <c r="S89" i="30" a="1"/>
  <c r="S89" i="30" s="1"/>
  <c r="S90" i="30" a="1"/>
  <c r="S90" i="30" s="1"/>
  <c r="S91" i="30" a="1"/>
  <c r="S91" i="30" s="1"/>
  <c r="S92" i="30" a="1"/>
  <c r="S92" i="30" s="1"/>
  <c r="S93" i="30" a="1"/>
  <c r="S93" i="30" s="1"/>
  <c r="S94" i="30" a="1"/>
  <c r="S94" i="30" s="1"/>
  <c r="S95" i="30" a="1"/>
  <c r="S95" i="30" s="1"/>
  <c r="S96" i="30" a="1"/>
  <c r="S96" i="30" s="1"/>
  <c r="S97" i="30" a="1"/>
  <c r="S97" i="30" s="1"/>
  <c r="S98" i="30" a="1"/>
  <c r="S98" i="30" s="1"/>
  <c r="S99" i="30" a="1"/>
  <c r="S99" i="30" s="1"/>
  <c r="S100" i="30" a="1"/>
  <c r="S100" i="30" s="1"/>
  <c r="S101" i="30" a="1"/>
  <c r="S101" i="30" s="1"/>
  <c r="S102" i="30" a="1"/>
  <c r="S102" i="30" s="1"/>
  <c r="S103" i="30" a="1"/>
  <c r="S103" i="30" s="1"/>
  <c r="S104" i="30" a="1"/>
  <c r="S104" i="30" s="1"/>
  <c r="S105" i="30" a="1"/>
  <c r="S105" i="30" s="1"/>
  <c r="S106" i="30" a="1"/>
  <c r="S106" i="30" s="1"/>
  <c r="S107" i="30" a="1"/>
  <c r="S107" i="30" s="1"/>
  <c r="S108" i="30" a="1"/>
  <c r="S108" i="30" s="1"/>
  <c r="S109" i="30" a="1"/>
  <c r="S109" i="30" s="1"/>
  <c r="S110" i="30" a="1"/>
  <c r="S110" i="30" s="1"/>
  <c r="S111" i="30" a="1"/>
  <c r="S111" i="30" s="1"/>
  <c r="S112" i="30" a="1"/>
  <c r="S112" i="30" s="1"/>
  <c r="S113" i="30" a="1"/>
  <c r="S113" i="30" s="1"/>
  <c r="S114" i="30" a="1"/>
  <c r="S114" i="30" s="1"/>
  <c r="S115" i="30" a="1"/>
  <c r="S115" i="30" s="1"/>
  <c r="S116" i="30" a="1"/>
  <c r="S116" i="30" s="1"/>
  <c r="S117" i="30" a="1"/>
  <c r="S117" i="30" s="1"/>
  <c r="S118" i="30" a="1"/>
  <c r="S118" i="30" s="1"/>
  <c r="S119" i="30" a="1"/>
  <c r="S119" i="30" s="1"/>
  <c r="S120" i="30" a="1"/>
  <c r="S120" i="30" s="1"/>
  <c r="S121" i="30" a="1"/>
  <c r="S121" i="30" s="1"/>
  <c r="S122" i="30" a="1"/>
  <c r="S122" i="30" s="1"/>
  <c r="S123" i="30" a="1"/>
  <c r="S123" i="30" s="1"/>
  <c r="S124" i="30" a="1"/>
  <c r="S124" i="30" s="1"/>
  <c r="S125" i="30" a="1"/>
  <c r="S125" i="30" s="1"/>
  <c r="S126" i="30" a="1"/>
  <c r="S126" i="30" s="1"/>
  <c r="S127" i="30" a="1"/>
  <c r="S127" i="30" s="1"/>
  <c r="S128" i="30" a="1"/>
  <c r="S128" i="30" s="1"/>
  <c r="S129" i="30" a="1"/>
  <c r="S129" i="30" s="1"/>
  <c r="S130" i="30" a="1"/>
  <c r="S130" i="30" s="1"/>
  <c r="S131" i="30" a="1"/>
  <c r="S131" i="30" s="1"/>
  <c r="S132" i="30" a="1"/>
  <c r="S132" i="30" s="1"/>
  <c r="S133" i="30" a="1"/>
  <c r="S133" i="30" s="1"/>
  <c r="S134" i="30" a="1"/>
  <c r="S134" i="30" s="1"/>
  <c r="S135" i="30" a="1"/>
  <c r="S135" i="30" s="1"/>
  <c r="S136" i="30" a="1"/>
  <c r="S136" i="30" s="1"/>
  <c r="S137" i="30" a="1"/>
  <c r="S137" i="30" s="1"/>
  <c r="S138" i="30" a="1"/>
  <c r="S138" i="30" s="1"/>
  <c r="S139" i="30" a="1"/>
  <c r="S139" i="30" s="1"/>
  <c r="S140" i="30" a="1"/>
  <c r="S140" i="30" s="1"/>
  <c r="S141" i="30" a="1"/>
  <c r="S141" i="30" s="1"/>
  <c r="S142" i="30" a="1"/>
  <c r="S142" i="30" s="1"/>
  <c r="S143" i="30" a="1"/>
  <c r="S143" i="30" s="1"/>
  <c r="S144" i="30" a="1"/>
  <c r="S144" i="30" s="1"/>
  <c r="S145" i="30" a="1"/>
  <c r="S145" i="30" s="1"/>
  <c r="S146" i="30" a="1"/>
  <c r="S146" i="30" s="1"/>
  <c r="S147" i="30" a="1"/>
  <c r="S147" i="30" s="1"/>
  <c r="S148" i="30" a="1"/>
  <c r="S148" i="30" s="1"/>
  <c r="S149" i="30" a="1"/>
  <c r="S149" i="30" s="1"/>
  <c r="S150" i="30" a="1"/>
  <c r="S150" i="30" s="1"/>
  <c r="S151" i="30" a="1"/>
  <c r="S151" i="30" s="1"/>
  <c r="S152" i="30" a="1"/>
  <c r="S152" i="30" s="1"/>
  <c r="S153" i="30" a="1"/>
  <c r="S153" i="30" s="1"/>
  <c r="S154" i="30" a="1"/>
  <c r="S154" i="30" s="1"/>
  <c r="S155" i="30" a="1"/>
  <c r="S155" i="30" s="1"/>
  <c r="S156" i="30" a="1"/>
  <c r="S156" i="30" s="1"/>
  <c r="S157" i="30" a="1"/>
  <c r="S157" i="30" s="1"/>
  <c r="S158" i="30" a="1"/>
  <c r="S158" i="30" s="1"/>
  <c r="S159" i="30" a="1"/>
  <c r="S159" i="30" s="1"/>
  <c r="S160" i="30" a="1"/>
  <c r="S160" i="30" s="1"/>
  <c r="S161" i="30" a="1"/>
  <c r="S161" i="30" s="1"/>
  <c r="S162" i="30" a="1"/>
  <c r="S162" i="30" s="1"/>
  <c r="S163" i="30" a="1"/>
  <c r="S163" i="30" s="1"/>
  <c r="S164" i="30" a="1"/>
  <c r="S164" i="30" s="1"/>
  <c r="S165" i="30" a="1"/>
  <c r="S165" i="30" s="1"/>
  <c r="S166" i="30" a="1"/>
  <c r="S166" i="30" s="1"/>
  <c r="S167" i="30" a="1"/>
  <c r="S167" i="30" s="1"/>
  <c r="S168" i="30" a="1"/>
  <c r="S168" i="30" s="1"/>
  <c r="S169" i="30" a="1"/>
  <c r="S169" i="30" s="1"/>
  <c r="S170" i="30" a="1"/>
  <c r="S170" i="30" s="1"/>
  <c r="S171" i="30" a="1"/>
  <c r="S171" i="30" s="1"/>
  <c r="S172" i="30" a="1"/>
  <c r="S172" i="30" s="1"/>
  <c r="S173" i="30" a="1"/>
  <c r="S173" i="30" s="1"/>
  <c r="S174" i="30" a="1"/>
  <c r="S174" i="30" s="1"/>
  <c r="S175" i="30" a="1"/>
  <c r="S175" i="30" s="1"/>
  <c r="S176" i="30" a="1"/>
  <c r="S176" i="30" s="1"/>
  <c r="S177" i="30" a="1"/>
  <c r="S177" i="30" s="1"/>
  <c r="S178" i="30" a="1"/>
  <c r="S178" i="30" s="1"/>
  <c r="S179" i="30" a="1"/>
  <c r="S179" i="30" s="1"/>
  <c r="S180" i="30" a="1"/>
  <c r="S180" i="30" s="1"/>
  <c r="S181" i="30" a="1"/>
  <c r="S181" i="30" s="1"/>
  <c r="S182" i="30" a="1"/>
  <c r="S182" i="30" s="1"/>
  <c r="S183" i="30" a="1"/>
  <c r="S183" i="30" s="1"/>
  <c r="S184" i="30" a="1"/>
  <c r="S184" i="30" s="1"/>
  <c r="S185" i="30" a="1"/>
  <c r="S185" i="30" s="1"/>
  <c r="S186" i="30" a="1"/>
  <c r="S186" i="30" s="1"/>
  <c r="S187" i="30" a="1"/>
  <c r="S187" i="30" s="1"/>
  <c r="S188" i="30" a="1"/>
  <c r="S188" i="30" s="1"/>
  <c r="S189" i="30" a="1"/>
  <c r="S189" i="30" s="1"/>
  <c r="S190" i="30" a="1"/>
  <c r="S190" i="30" s="1"/>
  <c r="S191" i="30" a="1"/>
  <c r="S191" i="30" s="1"/>
  <c r="S192" i="30" a="1"/>
  <c r="S192" i="30" s="1"/>
  <c r="S193" i="30" a="1"/>
  <c r="S193" i="30" s="1"/>
  <c r="S194" i="30" a="1"/>
  <c r="S194" i="30" s="1"/>
  <c r="S195" i="30" a="1"/>
  <c r="S195" i="30" s="1"/>
  <c r="S196" i="30" a="1"/>
  <c r="S196" i="30" s="1"/>
  <c r="S197" i="30" a="1"/>
  <c r="S197" i="30" s="1"/>
  <c r="S198" i="30" a="1"/>
  <c r="S198" i="30" s="1"/>
  <c r="S199" i="30" a="1"/>
  <c r="S199" i="30" s="1"/>
  <c r="S200" i="30" a="1"/>
  <c r="S200" i="30" s="1"/>
  <c r="S201" i="30" a="1"/>
  <c r="S201" i="30" s="1"/>
  <c r="S202" i="30" a="1"/>
  <c r="S202" i="30" s="1"/>
  <c r="S203" i="30" a="1"/>
  <c r="S203" i="30" s="1"/>
  <c r="S204" i="30" a="1"/>
  <c r="S204" i="30" s="1"/>
  <c r="S205" i="30" a="1"/>
  <c r="S205" i="30" s="1"/>
  <c r="S206" i="30" a="1"/>
  <c r="S206" i="30" s="1"/>
  <c r="S207" i="30" a="1"/>
  <c r="S207" i="30" s="1"/>
  <c r="S208" i="30" a="1"/>
  <c r="S208" i="30" s="1"/>
  <c r="S209" i="30" a="1"/>
  <c r="S209" i="30" s="1"/>
  <c r="S210" i="30" a="1"/>
  <c r="S210" i="30" s="1"/>
  <c r="S211" i="30" a="1"/>
  <c r="S211" i="30" s="1"/>
  <c r="S212" i="30" a="1"/>
  <c r="S212" i="30" s="1"/>
  <c r="S213" i="30" a="1"/>
  <c r="S213" i="30" s="1"/>
  <c r="S214" i="30" a="1"/>
  <c r="S214" i="30" s="1"/>
  <c r="S215" i="30" a="1"/>
  <c r="S215" i="30" s="1"/>
  <c r="S216" i="30" a="1"/>
  <c r="S216" i="30" s="1"/>
  <c r="S217" i="30" a="1"/>
  <c r="S217" i="30" s="1"/>
  <c r="S218" i="30" a="1"/>
  <c r="S218" i="30" s="1"/>
  <c r="S219" i="30" a="1"/>
  <c r="S219" i="30" s="1"/>
  <c r="S220" i="30" a="1"/>
  <c r="S220" i="30" s="1"/>
  <c r="S221" i="30" a="1"/>
  <c r="S221" i="30" s="1"/>
  <c r="S222" i="30" a="1"/>
  <c r="S222" i="30" s="1"/>
  <c r="S223" i="30" a="1"/>
  <c r="S223" i="30" s="1"/>
  <c r="S224" i="30" a="1"/>
  <c r="S224" i="30" s="1"/>
  <c r="S225" i="30" a="1"/>
  <c r="S225" i="30" s="1"/>
  <c r="S226" i="30" a="1"/>
  <c r="S226" i="30" s="1"/>
  <c r="S227" i="30" a="1"/>
  <c r="S227" i="30" s="1"/>
  <c r="S228" i="30" a="1"/>
  <c r="S228" i="30" s="1"/>
  <c r="S229" i="30" a="1"/>
  <c r="S229" i="30" s="1"/>
  <c r="S230" i="30" a="1"/>
  <c r="S230" i="30" s="1"/>
  <c r="S231" i="30" a="1"/>
  <c r="S231" i="30" s="1"/>
  <c r="S232" i="30" a="1"/>
  <c r="S232" i="30" s="1"/>
  <c r="S233" i="30" a="1"/>
  <c r="S233" i="30" s="1"/>
  <c r="S234" i="30" a="1"/>
  <c r="S234" i="30" s="1"/>
  <c r="S235" i="30" a="1"/>
  <c r="S235" i="30" s="1"/>
  <c r="S236" i="30" a="1"/>
  <c r="S236" i="30" s="1"/>
  <c r="S237" i="30" a="1"/>
  <c r="S237" i="30" s="1"/>
  <c r="S238" i="30" a="1"/>
  <c r="S238" i="30" s="1"/>
  <c r="S239" i="30" a="1"/>
  <c r="S239" i="30" s="1"/>
  <c r="S240" i="30" a="1"/>
  <c r="S240" i="30" s="1"/>
  <c r="S241" i="30" a="1"/>
  <c r="S241" i="30" s="1"/>
  <c r="S242" i="30" a="1"/>
  <c r="S242" i="30" s="1"/>
  <c r="S243" i="30" a="1"/>
  <c r="S243" i="30" s="1"/>
  <c r="S244" i="30" a="1"/>
  <c r="S244" i="30" s="1"/>
  <c r="S245" i="30" a="1"/>
  <c r="S245" i="30" s="1"/>
  <c r="S246" i="30" a="1"/>
  <c r="S246" i="30" s="1"/>
  <c r="S247" i="30" a="1"/>
  <c r="S247" i="30" s="1"/>
  <c r="S248" i="30" a="1"/>
  <c r="S248" i="30" s="1"/>
  <c r="S249" i="30" a="1"/>
  <c r="S249" i="30" s="1"/>
  <c r="S250" i="30" a="1"/>
  <c r="S250" i="30" s="1"/>
  <c r="S251" i="30" a="1"/>
  <c r="S251" i="30" s="1"/>
  <c r="S252" i="30" a="1"/>
  <c r="S252" i="30" s="1"/>
  <c r="S253" i="30" a="1"/>
  <c r="S253" i="30" s="1"/>
  <c r="S254" i="30" a="1"/>
  <c r="S254" i="30" s="1"/>
  <c r="S255" i="30" a="1"/>
  <c r="S255" i="30" s="1"/>
  <c r="S256" i="30" a="1"/>
  <c r="S256" i="30" s="1"/>
  <c r="S257" i="30" a="1"/>
  <c r="S257" i="30" s="1"/>
  <c r="S258" i="30" a="1"/>
  <c r="S258" i="30" s="1"/>
  <c r="S259" i="30" a="1"/>
  <c r="S259" i="30" s="1"/>
  <c r="S260" i="30" a="1"/>
  <c r="S260" i="30" s="1"/>
  <c r="S261" i="30" a="1"/>
  <c r="S261" i="30" s="1"/>
  <c r="S262" i="30" a="1"/>
  <c r="S262" i="30" s="1"/>
  <c r="S263" i="30" a="1"/>
  <c r="S263" i="30" s="1"/>
  <c r="S264" i="30" a="1"/>
  <c r="S264" i="30" s="1"/>
  <c r="S265" i="30" a="1"/>
  <c r="S265" i="30" s="1"/>
  <c r="S266" i="30" a="1"/>
  <c r="S266" i="30" s="1"/>
  <c r="S267" i="30" a="1"/>
  <c r="S267" i="30" s="1"/>
  <c r="S268" i="30" a="1"/>
  <c r="S268" i="30" s="1"/>
  <c r="S269" i="30" a="1"/>
  <c r="S269" i="30" s="1"/>
  <c r="S270" i="30" a="1"/>
  <c r="S270" i="30" s="1"/>
  <c r="S271" i="30" a="1"/>
  <c r="S271" i="30" s="1"/>
  <c r="S272" i="30" a="1"/>
  <c r="S272" i="30" s="1"/>
  <c r="S273" i="30" a="1"/>
  <c r="S273" i="30" s="1"/>
  <c r="S274" i="30" a="1"/>
  <c r="S274" i="30" s="1"/>
  <c r="S275" i="30" a="1"/>
  <c r="S275" i="30" s="1"/>
  <c r="S276" i="30" a="1"/>
  <c r="S276" i="30" s="1"/>
  <c r="S277" i="30" a="1"/>
  <c r="S277" i="30" s="1"/>
  <c r="S278" i="30" a="1"/>
  <c r="S278" i="30" s="1"/>
  <c r="S279" i="30" a="1"/>
  <c r="S279" i="30" s="1"/>
  <c r="S280" i="30" a="1"/>
  <c r="S280" i="30" s="1"/>
  <c r="S281" i="30" a="1"/>
  <c r="S281" i="30" s="1"/>
  <c r="S282" i="30" a="1"/>
  <c r="S282" i="30" s="1"/>
  <c r="S283" i="30" a="1"/>
  <c r="S283" i="30" s="1"/>
  <c r="S284" i="30" a="1"/>
  <c r="S284" i="30" s="1"/>
  <c r="S285" i="30" a="1"/>
  <c r="S285" i="30" s="1"/>
  <c r="AB1054" i="25" s="1"/>
  <c r="S286" i="30" a="1"/>
  <c r="S286" i="30" s="1"/>
  <c r="AB1055" i="25" s="1"/>
  <c r="S287" i="30" a="1"/>
  <c r="S287" i="30" s="1"/>
  <c r="AB1056" i="25" s="1"/>
  <c r="S288" i="30" a="1"/>
  <c r="S288" i="30" s="1"/>
  <c r="AB1057" i="25" s="1"/>
  <c r="S289" i="30" a="1"/>
  <c r="S289" i="30" s="1"/>
  <c r="AB1058" i="25" s="1"/>
  <c r="S290" i="30" a="1"/>
  <c r="S290" i="30" s="1"/>
  <c r="AB1059" i="25" s="1"/>
  <c r="S291" i="30" a="1"/>
  <c r="S291" i="30" s="1"/>
  <c r="AB1060" i="25" s="1"/>
  <c r="S292" i="30" a="1"/>
  <c r="S292" i="30" s="1"/>
  <c r="S293" i="30" a="1"/>
  <c r="S293" i="30" s="1"/>
  <c r="S294" i="30" a="1"/>
  <c r="S294" i="30" s="1"/>
  <c r="S295" i="30" a="1"/>
  <c r="S295" i="30" s="1"/>
  <c r="S296" i="30" a="1"/>
  <c r="S296" i="30" s="1"/>
  <c r="S297" i="30" a="1"/>
  <c r="S297" i="30" s="1"/>
  <c r="S298" i="30" a="1"/>
  <c r="S298" i="30" s="1"/>
  <c r="S299" i="30" a="1"/>
  <c r="S299" i="30" s="1"/>
  <c r="S300" i="30" a="1"/>
  <c r="S300" i="30" s="1"/>
  <c r="R10" i="30" a="1"/>
  <c r="R10" i="30" s="1"/>
  <c r="R11" i="30" a="1"/>
  <c r="R11" i="30" s="1"/>
  <c r="R12" i="30" a="1"/>
  <c r="R12" i="30" s="1"/>
  <c r="R13" i="30" a="1"/>
  <c r="R13" i="30" s="1"/>
  <c r="R14" i="30" a="1"/>
  <c r="R14" i="30" s="1"/>
  <c r="R15" i="30" a="1"/>
  <c r="R15" i="30" s="1"/>
  <c r="R16" i="30" a="1"/>
  <c r="R16" i="30" s="1"/>
  <c r="R17" i="30" a="1"/>
  <c r="R17" i="30" s="1"/>
  <c r="R18" i="30" a="1"/>
  <c r="R18" i="30" s="1"/>
  <c r="R19" i="30" a="1"/>
  <c r="R19" i="30" s="1"/>
  <c r="R20" i="30" a="1"/>
  <c r="R20" i="30" s="1"/>
  <c r="R21" i="30" a="1"/>
  <c r="R21" i="30" s="1"/>
  <c r="R22" i="30" a="1"/>
  <c r="R22" i="30" s="1"/>
  <c r="R23" i="30" a="1"/>
  <c r="R23" i="30" s="1"/>
  <c r="R24" i="30" a="1"/>
  <c r="R24" i="30" s="1"/>
  <c r="R25" i="30" a="1"/>
  <c r="R25" i="30" s="1"/>
  <c r="R26" i="30" a="1"/>
  <c r="R26" i="30" s="1"/>
  <c r="R27" i="30" a="1"/>
  <c r="R27" i="30" s="1"/>
  <c r="R28" i="30" a="1"/>
  <c r="R28" i="30" s="1"/>
  <c r="R29" i="30" a="1"/>
  <c r="R29" i="30" s="1"/>
  <c r="R30" i="30" a="1"/>
  <c r="R30" i="30" s="1"/>
  <c r="R31" i="30" a="1"/>
  <c r="R31" i="30" s="1"/>
  <c r="R32" i="30" a="1"/>
  <c r="R32" i="30" s="1"/>
  <c r="R33" i="30" a="1"/>
  <c r="R33" i="30" s="1"/>
  <c r="R34" i="30" a="1"/>
  <c r="R34" i="30" s="1"/>
  <c r="R35" i="30" a="1"/>
  <c r="R35" i="30" s="1"/>
  <c r="R36" i="30" a="1"/>
  <c r="R36" i="30" s="1"/>
  <c r="R37" i="30" a="1"/>
  <c r="R37" i="30" s="1"/>
  <c r="R38" i="30" a="1"/>
  <c r="R38" i="30" s="1"/>
  <c r="R39" i="30" a="1"/>
  <c r="R39" i="30" s="1"/>
  <c r="R40" i="30" a="1"/>
  <c r="R40" i="30" s="1"/>
  <c r="R41" i="30" a="1"/>
  <c r="R41" i="30" s="1"/>
  <c r="R42" i="30" a="1"/>
  <c r="R42" i="30" s="1"/>
  <c r="R43" i="30" a="1"/>
  <c r="R43" i="30" s="1"/>
  <c r="R44" i="30" a="1"/>
  <c r="R44" i="30" s="1"/>
  <c r="R45" i="30" a="1"/>
  <c r="R45" i="30" s="1"/>
  <c r="R46" i="30" a="1"/>
  <c r="R46" i="30" s="1"/>
  <c r="R47" i="30" a="1"/>
  <c r="R47" i="30" s="1"/>
  <c r="R48" i="30" a="1"/>
  <c r="R48" i="30" s="1"/>
  <c r="R49" i="30" a="1"/>
  <c r="R49" i="30" s="1"/>
  <c r="R50" i="30" a="1"/>
  <c r="R50" i="30" s="1"/>
  <c r="R51" i="30" a="1"/>
  <c r="R51" i="30" s="1"/>
  <c r="R52" i="30" a="1"/>
  <c r="R52" i="30" s="1"/>
  <c r="R53" i="30" a="1"/>
  <c r="R53" i="30" s="1"/>
  <c r="R54" i="30" a="1"/>
  <c r="R54" i="30" s="1"/>
  <c r="R55" i="30" a="1"/>
  <c r="R55" i="30" s="1"/>
  <c r="R56" i="30" a="1"/>
  <c r="R56" i="30" s="1"/>
  <c r="R57" i="30" a="1"/>
  <c r="R57" i="30" s="1"/>
  <c r="R58" i="30" a="1"/>
  <c r="R58" i="30" s="1"/>
  <c r="R59" i="30" a="1"/>
  <c r="R59" i="30" s="1"/>
  <c r="R60" i="30" a="1"/>
  <c r="R60" i="30" s="1"/>
  <c r="R61" i="30" a="1"/>
  <c r="R61" i="30" s="1"/>
  <c r="R62" i="30" a="1"/>
  <c r="R62" i="30" s="1"/>
  <c r="R63" i="30" a="1"/>
  <c r="R63" i="30" s="1"/>
  <c r="R64" i="30" a="1"/>
  <c r="R64" i="30" s="1"/>
  <c r="R65" i="30" a="1"/>
  <c r="R65" i="30" s="1"/>
  <c r="R66" i="30" a="1"/>
  <c r="R66" i="30" s="1"/>
  <c r="R67" i="30" a="1"/>
  <c r="R67" i="30" s="1"/>
  <c r="R68" i="30" a="1"/>
  <c r="R68" i="30" s="1"/>
  <c r="R69" i="30" a="1"/>
  <c r="R69" i="30" s="1"/>
  <c r="R70" i="30" a="1"/>
  <c r="R70" i="30" s="1"/>
  <c r="R71" i="30" a="1"/>
  <c r="R71" i="30" s="1"/>
  <c r="R72" i="30" a="1"/>
  <c r="R72" i="30" s="1"/>
  <c r="R73" i="30" a="1"/>
  <c r="R73" i="30" s="1"/>
  <c r="R74" i="30" a="1"/>
  <c r="R74" i="30" s="1"/>
  <c r="R75" i="30" a="1"/>
  <c r="R75" i="30" s="1"/>
  <c r="R76" i="30" a="1"/>
  <c r="R76" i="30" s="1"/>
  <c r="R77" i="30" a="1"/>
  <c r="R77" i="30" s="1"/>
  <c r="R78" i="30" a="1"/>
  <c r="R78" i="30" s="1"/>
  <c r="R79" i="30" a="1"/>
  <c r="R79" i="30" s="1"/>
  <c r="R80" i="30" a="1"/>
  <c r="R80" i="30" s="1"/>
  <c r="R81" i="30" a="1"/>
  <c r="R81" i="30" s="1"/>
  <c r="R82" i="30" a="1"/>
  <c r="R82" i="30" s="1"/>
  <c r="R83" i="30" a="1"/>
  <c r="R83" i="30" s="1"/>
  <c r="R84" i="30" a="1"/>
  <c r="R84" i="30" s="1"/>
  <c r="R85" i="30" a="1"/>
  <c r="R85" i="30" s="1"/>
  <c r="R86" i="30" a="1"/>
  <c r="R86" i="30" s="1"/>
  <c r="R87" i="30" a="1"/>
  <c r="R87" i="30" s="1"/>
  <c r="R88" i="30" a="1"/>
  <c r="R88" i="30" s="1"/>
  <c r="R89" i="30" a="1"/>
  <c r="R89" i="30" s="1"/>
  <c r="R90" i="30" a="1"/>
  <c r="R90" i="30" s="1"/>
  <c r="R91" i="30" a="1"/>
  <c r="R91" i="30" s="1"/>
  <c r="R92" i="30" a="1"/>
  <c r="R92" i="30" s="1"/>
  <c r="R93" i="30" a="1"/>
  <c r="R93" i="30" s="1"/>
  <c r="R94" i="30" a="1"/>
  <c r="R94" i="30" s="1"/>
  <c r="R95" i="30" a="1"/>
  <c r="R95" i="30" s="1"/>
  <c r="R96" i="30" a="1"/>
  <c r="R96" i="30" s="1"/>
  <c r="R97" i="30" a="1"/>
  <c r="R97" i="30" s="1"/>
  <c r="R98" i="30" a="1"/>
  <c r="R98" i="30" s="1"/>
  <c r="R99" i="30" a="1"/>
  <c r="R99" i="30" s="1"/>
  <c r="R100" i="30" a="1"/>
  <c r="R100" i="30" s="1"/>
  <c r="R101" i="30" a="1"/>
  <c r="R101" i="30" s="1"/>
  <c r="R102" i="30" a="1"/>
  <c r="R102" i="30" s="1"/>
  <c r="R103" i="30" a="1"/>
  <c r="R103" i="30" s="1"/>
  <c r="R104" i="30" a="1"/>
  <c r="R104" i="30" s="1"/>
  <c r="R105" i="30" a="1"/>
  <c r="R105" i="30" s="1"/>
  <c r="R106" i="30" a="1"/>
  <c r="R106" i="30" s="1"/>
  <c r="R107" i="30" a="1"/>
  <c r="R107" i="30" s="1"/>
  <c r="R108" i="30" a="1"/>
  <c r="R108" i="30" s="1"/>
  <c r="R109" i="30" a="1"/>
  <c r="R109" i="30" s="1"/>
  <c r="R110" i="30" a="1"/>
  <c r="R110" i="30" s="1"/>
  <c r="R111" i="30" a="1"/>
  <c r="R111" i="30" s="1"/>
  <c r="R112" i="30" a="1"/>
  <c r="R112" i="30" s="1"/>
  <c r="R113" i="30" a="1"/>
  <c r="R113" i="30" s="1"/>
  <c r="R114" i="30" a="1"/>
  <c r="R114" i="30" s="1"/>
  <c r="R115" i="30" a="1"/>
  <c r="R115" i="30" s="1"/>
  <c r="R116" i="30" a="1"/>
  <c r="R116" i="30" s="1"/>
  <c r="R117" i="30" a="1"/>
  <c r="R117" i="30" s="1"/>
  <c r="R118" i="30" a="1"/>
  <c r="R118" i="30" s="1"/>
  <c r="R119" i="30" a="1"/>
  <c r="R119" i="30" s="1"/>
  <c r="R120" i="30" a="1"/>
  <c r="R120" i="30" s="1"/>
  <c r="R121" i="30" a="1"/>
  <c r="R121" i="30" s="1"/>
  <c r="R122" i="30" a="1"/>
  <c r="R122" i="30" s="1"/>
  <c r="R123" i="30" a="1"/>
  <c r="R123" i="30" s="1"/>
  <c r="R124" i="30" a="1"/>
  <c r="R124" i="30" s="1"/>
  <c r="R125" i="30" a="1"/>
  <c r="R125" i="30" s="1"/>
  <c r="R126" i="30" a="1"/>
  <c r="R126" i="30" s="1"/>
  <c r="R127" i="30" a="1"/>
  <c r="R127" i="30" s="1"/>
  <c r="R128" i="30" a="1"/>
  <c r="R128" i="30" s="1"/>
  <c r="R129" i="30" a="1"/>
  <c r="R129" i="30" s="1"/>
  <c r="R130" i="30" a="1"/>
  <c r="R130" i="30" s="1"/>
  <c r="R131" i="30" a="1"/>
  <c r="R131" i="30" s="1"/>
  <c r="R132" i="30" a="1"/>
  <c r="R132" i="30" s="1"/>
  <c r="R133" i="30" a="1"/>
  <c r="R133" i="30" s="1"/>
  <c r="R134" i="30" a="1"/>
  <c r="R134" i="30" s="1"/>
  <c r="R135" i="30" a="1"/>
  <c r="R135" i="30" s="1"/>
  <c r="R136" i="30" a="1"/>
  <c r="R136" i="30" s="1"/>
  <c r="R137" i="30" a="1"/>
  <c r="R137" i="30" s="1"/>
  <c r="R138" i="30" a="1"/>
  <c r="R138" i="30" s="1"/>
  <c r="R139" i="30" a="1"/>
  <c r="R139" i="30" s="1"/>
  <c r="R140" i="30" a="1"/>
  <c r="R140" i="30" s="1"/>
  <c r="R141" i="30" a="1"/>
  <c r="R141" i="30" s="1"/>
  <c r="R142" i="30" a="1"/>
  <c r="R142" i="30" s="1"/>
  <c r="R143" i="30" a="1"/>
  <c r="R143" i="30" s="1"/>
  <c r="R144" i="30" a="1"/>
  <c r="R144" i="30" s="1"/>
  <c r="R145" i="30" a="1"/>
  <c r="R145" i="30" s="1"/>
  <c r="R146" i="30" a="1"/>
  <c r="R146" i="30" s="1"/>
  <c r="R147" i="30" a="1"/>
  <c r="R147" i="30" s="1"/>
  <c r="R148" i="30" a="1"/>
  <c r="R148" i="30" s="1"/>
  <c r="R149" i="30" a="1"/>
  <c r="R149" i="30" s="1"/>
  <c r="R150" i="30" a="1"/>
  <c r="R150" i="30" s="1"/>
  <c r="R151" i="30" a="1"/>
  <c r="R151" i="30" s="1"/>
  <c r="R152" i="30" a="1"/>
  <c r="R152" i="30" s="1"/>
  <c r="R153" i="30" a="1"/>
  <c r="R153" i="30" s="1"/>
  <c r="R154" i="30" a="1"/>
  <c r="R154" i="30" s="1"/>
  <c r="R155" i="30" a="1"/>
  <c r="R155" i="30" s="1"/>
  <c r="R156" i="30" a="1"/>
  <c r="R156" i="30" s="1"/>
  <c r="R157" i="30" a="1"/>
  <c r="R157" i="30" s="1"/>
  <c r="R158" i="30" a="1"/>
  <c r="R158" i="30" s="1"/>
  <c r="R159" i="30" a="1"/>
  <c r="R159" i="30" s="1"/>
  <c r="R160" i="30" a="1"/>
  <c r="R160" i="30" s="1"/>
  <c r="R161" i="30" a="1"/>
  <c r="R161" i="30" s="1"/>
  <c r="R162" i="30" a="1"/>
  <c r="R162" i="30" s="1"/>
  <c r="R163" i="30" a="1"/>
  <c r="R163" i="30" s="1"/>
  <c r="R164" i="30" a="1"/>
  <c r="R164" i="30" s="1"/>
  <c r="R165" i="30" a="1"/>
  <c r="R165" i="30" s="1"/>
  <c r="R166" i="30" a="1"/>
  <c r="R166" i="30" s="1"/>
  <c r="R167" i="30" a="1"/>
  <c r="R167" i="30" s="1"/>
  <c r="R168" i="30" a="1"/>
  <c r="R168" i="30" s="1"/>
  <c r="R169" i="30" a="1"/>
  <c r="R169" i="30" s="1"/>
  <c r="R170" i="30" a="1"/>
  <c r="R170" i="30" s="1"/>
  <c r="R171" i="30" a="1"/>
  <c r="R171" i="30" s="1"/>
  <c r="R172" i="30" a="1"/>
  <c r="R172" i="30" s="1"/>
  <c r="R173" i="30" a="1"/>
  <c r="R173" i="30" s="1"/>
  <c r="R174" i="30" a="1"/>
  <c r="R174" i="30" s="1"/>
  <c r="R175" i="30" a="1"/>
  <c r="R175" i="30" s="1"/>
  <c r="R176" i="30" a="1"/>
  <c r="R176" i="30" s="1"/>
  <c r="R177" i="30" a="1"/>
  <c r="R177" i="30" s="1"/>
  <c r="R178" i="30" a="1"/>
  <c r="R178" i="30" s="1"/>
  <c r="R179" i="30" a="1"/>
  <c r="R179" i="30" s="1"/>
  <c r="R180" i="30" a="1"/>
  <c r="R180" i="30" s="1"/>
  <c r="R181" i="30" a="1"/>
  <c r="R181" i="30" s="1"/>
  <c r="R182" i="30" a="1"/>
  <c r="R182" i="30" s="1"/>
  <c r="R183" i="30" a="1"/>
  <c r="R183" i="30" s="1"/>
  <c r="R184" i="30" a="1"/>
  <c r="R184" i="30" s="1"/>
  <c r="R185" i="30" a="1"/>
  <c r="R185" i="30" s="1"/>
  <c r="R186" i="30" a="1"/>
  <c r="R186" i="30" s="1"/>
  <c r="R187" i="30" a="1"/>
  <c r="R187" i="30" s="1"/>
  <c r="R188" i="30" a="1"/>
  <c r="R188" i="30" s="1"/>
  <c r="R189" i="30" a="1"/>
  <c r="R189" i="30" s="1"/>
  <c r="R190" i="30" a="1"/>
  <c r="R190" i="30" s="1"/>
  <c r="R191" i="30" a="1"/>
  <c r="R191" i="30" s="1"/>
  <c r="R192" i="30" a="1"/>
  <c r="R192" i="30" s="1"/>
  <c r="R193" i="30" a="1"/>
  <c r="R193" i="30" s="1"/>
  <c r="R194" i="30" a="1"/>
  <c r="R194" i="30" s="1"/>
  <c r="R195" i="30" a="1"/>
  <c r="R195" i="30" s="1"/>
  <c r="R196" i="30" a="1"/>
  <c r="R196" i="30" s="1"/>
  <c r="R197" i="30" a="1"/>
  <c r="R197" i="30" s="1"/>
  <c r="R198" i="30" a="1"/>
  <c r="R198" i="30" s="1"/>
  <c r="R199" i="30" a="1"/>
  <c r="R199" i="30" s="1"/>
  <c r="R200" i="30" a="1"/>
  <c r="R200" i="30" s="1"/>
  <c r="R201" i="30" a="1"/>
  <c r="R201" i="30" s="1"/>
  <c r="R202" i="30" a="1"/>
  <c r="R202" i="30" s="1"/>
  <c r="R203" i="30" a="1"/>
  <c r="R203" i="30" s="1"/>
  <c r="R204" i="30" a="1"/>
  <c r="R204" i="30" s="1"/>
  <c r="R205" i="30" a="1"/>
  <c r="R205" i="30" s="1"/>
  <c r="R206" i="30" a="1"/>
  <c r="R206" i="30" s="1"/>
  <c r="R207" i="30" a="1"/>
  <c r="R207" i="30" s="1"/>
  <c r="R208" i="30" a="1"/>
  <c r="R208" i="30" s="1"/>
  <c r="R209" i="30" a="1"/>
  <c r="R209" i="30" s="1"/>
  <c r="R210" i="30" a="1"/>
  <c r="R210" i="30" s="1"/>
  <c r="R211" i="30" a="1"/>
  <c r="R211" i="30" s="1"/>
  <c r="R212" i="30" a="1"/>
  <c r="R212" i="30" s="1"/>
  <c r="R213" i="30" a="1"/>
  <c r="R213" i="30" s="1"/>
  <c r="R214" i="30" a="1"/>
  <c r="R214" i="30" s="1"/>
  <c r="R215" i="30" a="1"/>
  <c r="R215" i="30" s="1"/>
  <c r="R216" i="30" a="1"/>
  <c r="R216" i="30" s="1"/>
  <c r="R217" i="30" a="1"/>
  <c r="R217" i="30" s="1"/>
  <c r="R218" i="30" a="1"/>
  <c r="R218" i="30" s="1"/>
  <c r="R219" i="30" a="1"/>
  <c r="R219" i="30" s="1"/>
  <c r="R220" i="30" a="1"/>
  <c r="R220" i="30" s="1"/>
  <c r="R221" i="30" a="1"/>
  <c r="R221" i="30" s="1"/>
  <c r="R222" i="30" a="1"/>
  <c r="R222" i="30" s="1"/>
  <c r="R223" i="30" a="1"/>
  <c r="R223" i="30" s="1"/>
  <c r="R224" i="30" a="1"/>
  <c r="R224" i="30" s="1"/>
  <c r="R225" i="30" a="1"/>
  <c r="R225" i="30" s="1"/>
  <c r="R226" i="30" a="1"/>
  <c r="R226" i="30" s="1"/>
  <c r="R227" i="30" a="1"/>
  <c r="R227" i="30" s="1"/>
  <c r="R228" i="30" a="1"/>
  <c r="R228" i="30" s="1"/>
  <c r="R229" i="30" a="1"/>
  <c r="R229" i="30" s="1"/>
  <c r="R230" i="30" a="1"/>
  <c r="R230" i="30" s="1"/>
  <c r="R231" i="30" a="1"/>
  <c r="R231" i="30" s="1"/>
  <c r="R232" i="30" a="1"/>
  <c r="R232" i="30" s="1"/>
  <c r="R233" i="30" a="1"/>
  <c r="R233" i="30" s="1"/>
  <c r="R234" i="30" a="1"/>
  <c r="R234" i="30" s="1"/>
  <c r="R235" i="30" a="1"/>
  <c r="R235" i="30" s="1"/>
  <c r="R236" i="30" a="1"/>
  <c r="R236" i="30" s="1"/>
  <c r="R237" i="30" a="1"/>
  <c r="R237" i="30" s="1"/>
  <c r="R238" i="30" a="1"/>
  <c r="R238" i="30" s="1"/>
  <c r="R239" i="30" a="1"/>
  <c r="R239" i="30" s="1"/>
  <c r="R240" i="30" a="1"/>
  <c r="R240" i="30" s="1"/>
  <c r="R241" i="30" a="1"/>
  <c r="R241" i="30" s="1"/>
  <c r="R242" i="30" a="1"/>
  <c r="R242" i="30" s="1"/>
  <c r="R243" i="30" a="1"/>
  <c r="R243" i="30" s="1"/>
  <c r="R244" i="30" a="1"/>
  <c r="R244" i="30" s="1"/>
  <c r="R245" i="30" a="1"/>
  <c r="R245" i="30" s="1"/>
  <c r="R246" i="30" a="1"/>
  <c r="R246" i="30" s="1"/>
  <c r="R247" i="30" a="1"/>
  <c r="R247" i="30" s="1"/>
  <c r="R248" i="30" a="1"/>
  <c r="R248" i="30" s="1"/>
  <c r="R249" i="30" a="1"/>
  <c r="R249" i="30" s="1"/>
  <c r="R250" i="30" a="1"/>
  <c r="R250" i="30" s="1"/>
  <c r="R251" i="30" a="1"/>
  <c r="R251" i="30" s="1"/>
  <c r="R252" i="30" a="1"/>
  <c r="R252" i="30" s="1"/>
  <c r="R253" i="30" a="1"/>
  <c r="R253" i="30" s="1"/>
  <c r="R254" i="30" a="1"/>
  <c r="R254" i="30" s="1"/>
  <c r="R255" i="30" a="1"/>
  <c r="R255" i="30" s="1"/>
  <c r="R256" i="30" a="1"/>
  <c r="R256" i="30" s="1"/>
  <c r="R257" i="30" a="1"/>
  <c r="R257" i="30" s="1"/>
  <c r="R258" i="30" a="1"/>
  <c r="R258" i="30" s="1"/>
  <c r="R259" i="30" a="1"/>
  <c r="R259" i="30" s="1"/>
  <c r="R260" i="30" a="1"/>
  <c r="R260" i="30" s="1"/>
  <c r="R261" i="30" a="1"/>
  <c r="R261" i="30" s="1"/>
  <c r="R262" i="30" a="1"/>
  <c r="R262" i="30" s="1"/>
  <c r="R263" i="30" a="1"/>
  <c r="R263" i="30" s="1"/>
  <c r="R264" i="30" a="1"/>
  <c r="R264" i="30" s="1"/>
  <c r="R265" i="30" a="1"/>
  <c r="R265" i="30" s="1"/>
  <c r="R266" i="30" a="1"/>
  <c r="R266" i="30" s="1"/>
  <c r="R267" i="30" a="1"/>
  <c r="R267" i="30" s="1"/>
  <c r="R268" i="30" a="1"/>
  <c r="R268" i="30" s="1"/>
  <c r="R269" i="30" a="1"/>
  <c r="R269" i="30" s="1"/>
  <c r="R270" i="30" a="1"/>
  <c r="R270" i="30" s="1"/>
  <c r="R271" i="30" a="1"/>
  <c r="R271" i="30" s="1"/>
  <c r="R272" i="30" a="1"/>
  <c r="R272" i="30" s="1"/>
  <c r="R273" i="30" a="1"/>
  <c r="R273" i="30" s="1"/>
  <c r="R274" i="30" a="1"/>
  <c r="R274" i="30" s="1"/>
  <c r="R275" i="30" a="1"/>
  <c r="R275" i="30" s="1"/>
  <c r="R276" i="30" a="1"/>
  <c r="R276" i="30" s="1"/>
  <c r="R277" i="30" a="1"/>
  <c r="R277" i="30" s="1"/>
  <c r="R278" i="30" a="1"/>
  <c r="R278" i="30" s="1"/>
  <c r="R279" i="30" a="1"/>
  <c r="R279" i="30" s="1"/>
  <c r="R280" i="30" a="1"/>
  <c r="R280" i="30" s="1"/>
  <c r="R281" i="30" a="1"/>
  <c r="R281" i="30" s="1"/>
  <c r="R282" i="30" a="1"/>
  <c r="R282" i="30" s="1"/>
  <c r="R283" i="30" a="1"/>
  <c r="R283" i="30" s="1"/>
  <c r="R284" i="30" a="1"/>
  <c r="R284" i="30" s="1"/>
  <c r="R285" i="30" a="1"/>
  <c r="R285" i="30" s="1"/>
  <c r="AA1054" i="25" s="1"/>
  <c r="R286" i="30" a="1"/>
  <c r="R286" i="30" s="1"/>
  <c r="AA1055" i="25" s="1"/>
  <c r="R287" i="30" a="1"/>
  <c r="R287" i="30" s="1"/>
  <c r="AA1056" i="25" s="1"/>
  <c r="R288" i="30" a="1"/>
  <c r="R288" i="30" s="1"/>
  <c r="AA1057" i="25" s="1"/>
  <c r="R289" i="30" a="1"/>
  <c r="R289" i="30" s="1"/>
  <c r="AA1058" i="25" s="1"/>
  <c r="R290" i="30" a="1"/>
  <c r="R290" i="30" s="1"/>
  <c r="AA1059" i="25" s="1"/>
  <c r="R291" i="30" a="1"/>
  <c r="R291" i="30" s="1"/>
  <c r="AA1060" i="25" s="1"/>
  <c r="R292" i="30" a="1"/>
  <c r="R292" i="30" s="1"/>
  <c r="R293" i="30" a="1"/>
  <c r="R293" i="30" s="1"/>
  <c r="R294" i="30" a="1"/>
  <c r="R294" i="30" s="1"/>
  <c r="R295" i="30" a="1"/>
  <c r="R295" i="30" s="1"/>
  <c r="R296" i="30" a="1"/>
  <c r="R296" i="30" s="1"/>
  <c r="R297" i="30" a="1"/>
  <c r="R297" i="30" s="1"/>
  <c r="R298" i="30" a="1"/>
  <c r="R298" i="30" s="1"/>
  <c r="R299" i="30" a="1"/>
  <c r="R299" i="30" s="1"/>
  <c r="R300" i="30" a="1"/>
  <c r="R300" i="30" s="1"/>
  <c r="Q10" i="30" a="1"/>
  <c r="Q10" i="30" s="1"/>
  <c r="Q11" i="30" a="1"/>
  <c r="Q11" i="30" s="1"/>
  <c r="Q12" i="30" a="1"/>
  <c r="Q12" i="30" s="1"/>
  <c r="Q13" i="30" a="1"/>
  <c r="Q13" i="30" s="1"/>
  <c r="Q14" i="30" a="1"/>
  <c r="Q14" i="30" s="1"/>
  <c r="Q15" i="30" a="1"/>
  <c r="Q15" i="30" s="1"/>
  <c r="Q16" i="30" a="1"/>
  <c r="Q16" i="30" s="1"/>
  <c r="Q17" i="30" a="1"/>
  <c r="Q17" i="30" s="1"/>
  <c r="Q18" i="30" a="1"/>
  <c r="Q18" i="30" s="1"/>
  <c r="Q19" i="30" a="1"/>
  <c r="Q19" i="30" s="1"/>
  <c r="Q20" i="30" a="1"/>
  <c r="Q20" i="30" s="1"/>
  <c r="Q21" i="30" a="1"/>
  <c r="Q21" i="30" s="1"/>
  <c r="Q22" i="30" a="1"/>
  <c r="Q22" i="30" s="1"/>
  <c r="Q23" i="30" a="1"/>
  <c r="Q23" i="30" s="1"/>
  <c r="Q24" i="30" a="1"/>
  <c r="Q24" i="30" s="1"/>
  <c r="Q25" i="30" a="1"/>
  <c r="Q25" i="30" s="1"/>
  <c r="Q26" i="30" a="1"/>
  <c r="Q26" i="30" s="1"/>
  <c r="Q27" i="30" a="1"/>
  <c r="Q27" i="30" s="1"/>
  <c r="Q28" i="30" a="1"/>
  <c r="Q28" i="30" s="1"/>
  <c r="Q29" i="30" a="1"/>
  <c r="Q29" i="30" s="1"/>
  <c r="Q30" i="30" a="1"/>
  <c r="Q30" i="30" s="1"/>
  <c r="Q31" i="30" a="1"/>
  <c r="Q31" i="30" s="1"/>
  <c r="Q32" i="30" a="1"/>
  <c r="Q32" i="30" s="1"/>
  <c r="Q33" i="30" a="1"/>
  <c r="Q33" i="30" s="1"/>
  <c r="Q34" i="30" a="1"/>
  <c r="Q34" i="30" s="1"/>
  <c r="Q35" i="30" a="1"/>
  <c r="Q35" i="30" s="1"/>
  <c r="Q36" i="30" a="1"/>
  <c r="Q36" i="30" s="1"/>
  <c r="Q37" i="30" a="1"/>
  <c r="Q37" i="30" s="1"/>
  <c r="Q38" i="30" a="1"/>
  <c r="Q38" i="30" s="1"/>
  <c r="Q39" i="30" a="1"/>
  <c r="Q39" i="30" s="1"/>
  <c r="Q40" i="30" a="1"/>
  <c r="Q40" i="30" s="1"/>
  <c r="Q41" i="30" a="1"/>
  <c r="Q41" i="30" s="1"/>
  <c r="Q42" i="30" a="1"/>
  <c r="Q42" i="30" s="1"/>
  <c r="Q43" i="30" a="1"/>
  <c r="Q43" i="30" s="1"/>
  <c r="Q44" i="30" a="1"/>
  <c r="Q44" i="30" s="1"/>
  <c r="Q45" i="30" a="1"/>
  <c r="Q45" i="30" s="1"/>
  <c r="Q46" i="30" a="1"/>
  <c r="Q46" i="30" s="1"/>
  <c r="Q47" i="30" a="1"/>
  <c r="Q47" i="30" s="1"/>
  <c r="Q48" i="30" a="1"/>
  <c r="Q48" i="30" s="1"/>
  <c r="Q49" i="30" a="1"/>
  <c r="Q49" i="30" s="1"/>
  <c r="Q50" i="30" a="1"/>
  <c r="Q50" i="30" s="1"/>
  <c r="Q51" i="30" a="1"/>
  <c r="Q51" i="30" s="1"/>
  <c r="Q52" i="30" a="1"/>
  <c r="Q52" i="30" s="1"/>
  <c r="Q53" i="30" a="1"/>
  <c r="Q53" i="30" s="1"/>
  <c r="Q54" i="30" a="1"/>
  <c r="Q54" i="30" s="1"/>
  <c r="Q55" i="30" a="1"/>
  <c r="Q55" i="30" s="1"/>
  <c r="Q56" i="30" a="1"/>
  <c r="Q56" i="30" s="1"/>
  <c r="Q57" i="30" a="1"/>
  <c r="Q57" i="30" s="1"/>
  <c r="Q58" i="30" a="1"/>
  <c r="Q58" i="30" s="1"/>
  <c r="Q59" i="30" a="1"/>
  <c r="Q59" i="30" s="1"/>
  <c r="Q60" i="30" a="1"/>
  <c r="Q60" i="30" s="1"/>
  <c r="Q61" i="30" a="1"/>
  <c r="Q61" i="30" s="1"/>
  <c r="Q62" i="30" a="1"/>
  <c r="Q62" i="30" s="1"/>
  <c r="Q63" i="30" a="1"/>
  <c r="Q63" i="30" s="1"/>
  <c r="Q64" i="30" a="1"/>
  <c r="Q64" i="30" s="1"/>
  <c r="Q65" i="30" a="1"/>
  <c r="Q65" i="30" s="1"/>
  <c r="Q66" i="30" a="1"/>
  <c r="Q66" i="30" s="1"/>
  <c r="Q67" i="30" a="1"/>
  <c r="Q67" i="30" s="1"/>
  <c r="Q68" i="30" a="1"/>
  <c r="Q68" i="30" s="1"/>
  <c r="Q69" i="30" a="1"/>
  <c r="Q69" i="30" s="1"/>
  <c r="Q70" i="30" a="1"/>
  <c r="Q70" i="30" s="1"/>
  <c r="Q71" i="30" a="1"/>
  <c r="Q71" i="30" s="1"/>
  <c r="Q72" i="30" a="1"/>
  <c r="Q72" i="30" s="1"/>
  <c r="Q73" i="30" a="1"/>
  <c r="Q73" i="30" s="1"/>
  <c r="Q74" i="30" a="1"/>
  <c r="Q74" i="30" s="1"/>
  <c r="Q75" i="30" a="1"/>
  <c r="Q75" i="30" s="1"/>
  <c r="Q76" i="30" a="1"/>
  <c r="Q76" i="30" s="1"/>
  <c r="Q77" i="30" a="1"/>
  <c r="Q77" i="30" s="1"/>
  <c r="Q78" i="30" a="1"/>
  <c r="Q78" i="30" s="1"/>
  <c r="Q79" i="30" a="1"/>
  <c r="Q79" i="30" s="1"/>
  <c r="Q80" i="30" a="1"/>
  <c r="Q80" i="30" s="1"/>
  <c r="Q81" i="30" a="1"/>
  <c r="Q81" i="30" s="1"/>
  <c r="Q82" i="30" a="1"/>
  <c r="Q82" i="30" s="1"/>
  <c r="Q83" i="30" a="1"/>
  <c r="Q83" i="30" s="1"/>
  <c r="Q84" i="30" a="1"/>
  <c r="Q84" i="30" s="1"/>
  <c r="Q85" i="30" a="1"/>
  <c r="Q85" i="30" s="1"/>
  <c r="Q86" i="30" a="1"/>
  <c r="Q86" i="30" s="1"/>
  <c r="Q87" i="30" a="1"/>
  <c r="Q87" i="30" s="1"/>
  <c r="Q88" i="30" a="1"/>
  <c r="Q88" i="30" s="1"/>
  <c r="Q89" i="30" a="1"/>
  <c r="Q89" i="30" s="1"/>
  <c r="Q90" i="30" a="1"/>
  <c r="Q90" i="30" s="1"/>
  <c r="Q91" i="30" a="1"/>
  <c r="Q91" i="30" s="1"/>
  <c r="Q92" i="30" a="1"/>
  <c r="Q92" i="30" s="1"/>
  <c r="Q93" i="30" a="1"/>
  <c r="Q93" i="30" s="1"/>
  <c r="Q94" i="30" a="1"/>
  <c r="Q94" i="30" s="1"/>
  <c r="Q95" i="30" a="1"/>
  <c r="Q95" i="30" s="1"/>
  <c r="Q96" i="30" a="1"/>
  <c r="Q96" i="30" s="1"/>
  <c r="Q97" i="30" a="1"/>
  <c r="Q97" i="30" s="1"/>
  <c r="Q98" i="30" a="1"/>
  <c r="Q98" i="30" s="1"/>
  <c r="Q99" i="30" a="1"/>
  <c r="Q99" i="30" s="1"/>
  <c r="Q100" i="30" a="1"/>
  <c r="Q100" i="30" s="1"/>
  <c r="Q101" i="30" a="1"/>
  <c r="Q101" i="30" s="1"/>
  <c r="Q102" i="30" a="1"/>
  <c r="Q102" i="30" s="1"/>
  <c r="Q103" i="30" a="1"/>
  <c r="Q103" i="30" s="1"/>
  <c r="Q104" i="30" a="1"/>
  <c r="Q104" i="30" s="1"/>
  <c r="Q105" i="30" a="1"/>
  <c r="Q105" i="30" s="1"/>
  <c r="Q106" i="30" a="1"/>
  <c r="Q106" i="30" s="1"/>
  <c r="Q107" i="30" a="1"/>
  <c r="Q107" i="30" s="1"/>
  <c r="Q108" i="30" a="1"/>
  <c r="Q108" i="30" s="1"/>
  <c r="Q109" i="30" a="1"/>
  <c r="Q109" i="30" s="1"/>
  <c r="Q110" i="30" a="1"/>
  <c r="Q110" i="30" s="1"/>
  <c r="Q111" i="30" a="1"/>
  <c r="Q111" i="30" s="1"/>
  <c r="Q112" i="30" a="1"/>
  <c r="Q112" i="30" s="1"/>
  <c r="Q113" i="30" a="1"/>
  <c r="Q113" i="30" s="1"/>
  <c r="Q114" i="30" a="1"/>
  <c r="Q114" i="30" s="1"/>
  <c r="Q115" i="30" a="1"/>
  <c r="Q115" i="30" s="1"/>
  <c r="Q116" i="30" a="1"/>
  <c r="Q116" i="30" s="1"/>
  <c r="Q117" i="30" a="1"/>
  <c r="Q117" i="30" s="1"/>
  <c r="Q118" i="30" a="1"/>
  <c r="Q118" i="30" s="1"/>
  <c r="Q119" i="30" a="1"/>
  <c r="Q119" i="30" s="1"/>
  <c r="Q120" i="30" a="1"/>
  <c r="Q120" i="30" s="1"/>
  <c r="Q121" i="30" a="1"/>
  <c r="Q121" i="30" s="1"/>
  <c r="Q122" i="30" a="1"/>
  <c r="Q122" i="30" s="1"/>
  <c r="Q123" i="30" a="1"/>
  <c r="Q123" i="30" s="1"/>
  <c r="Q124" i="30" a="1"/>
  <c r="Q124" i="30" s="1"/>
  <c r="Q125" i="30" a="1"/>
  <c r="Q125" i="30" s="1"/>
  <c r="Q126" i="30" a="1"/>
  <c r="Q126" i="30" s="1"/>
  <c r="Q127" i="30" a="1"/>
  <c r="Q127" i="30" s="1"/>
  <c r="Q128" i="30" a="1"/>
  <c r="Q128" i="30" s="1"/>
  <c r="Q129" i="30" a="1"/>
  <c r="Q129" i="30" s="1"/>
  <c r="Q130" i="30" a="1"/>
  <c r="Q130" i="30" s="1"/>
  <c r="Q131" i="30" a="1"/>
  <c r="Q131" i="30" s="1"/>
  <c r="Q132" i="30" a="1"/>
  <c r="Q132" i="30" s="1"/>
  <c r="Q133" i="30" a="1"/>
  <c r="Q133" i="30" s="1"/>
  <c r="Q134" i="30" a="1"/>
  <c r="Q134" i="30" s="1"/>
  <c r="Q135" i="30" a="1"/>
  <c r="Q135" i="30" s="1"/>
  <c r="Q136" i="30" a="1"/>
  <c r="Q136" i="30" s="1"/>
  <c r="Q137" i="30" a="1"/>
  <c r="Q137" i="30" s="1"/>
  <c r="Q138" i="30" a="1"/>
  <c r="Q138" i="30" s="1"/>
  <c r="Q139" i="30" a="1"/>
  <c r="Q139" i="30" s="1"/>
  <c r="Q140" i="30" a="1"/>
  <c r="Q140" i="30" s="1"/>
  <c r="Q141" i="30" a="1"/>
  <c r="Q141" i="30" s="1"/>
  <c r="Q142" i="30" a="1"/>
  <c r="Q142" i="30" s="1"/>
  <c r="Q143" i="30" a="1"/>
  <c r="Q143" i="30" s="1"/>
  <c r="Q144" i="30" a="1"/>
  <c r="Q144" i="30" s="1"/>
  <c r="Q145" i="30" a="1"/>
  <c r="Q145" i="30" s="1"/>
  <c r="Q146" i="30" a="1"/>
  <c r="Q146" i="30" s="1"/>
  <c r="Q147" i="30" a="1"/>
  <c r="Q147" i="30" s="1"/>
  <c r="Q148" i="30" a="1"/>
  <c r="Q148" i="30" s="1"/>
  <c r="Q149" i="30" a="1"/>
  <c r="Q149" i="30" s="1"/>
  <c r="Q150" i="30" a="1"/>
  <c r="Q150" i="30" s="1"/>
  <c r="Q151" i="30" a="1"/>
  <c r="Q151" i="30" s="1"/>
  <c r="Q152" i="30" a="1"/>
  <c r="Q152" i="30" s="1"/>
  <c r="Q153" i="30" a="1"/>
  <c r="Q153" i="30" s="1"/>
  <c r="Q154" i="30" a="1"/>
  <c r="Q154" i="30" s="1"/>
  <c r="Q155" i="30" a="1"/>
  <c r="Q155" i="30" s="1"/>
  <c r="Q156" i="30" a="1"/>
  <c r="Q156" i="30" s="1"/>
  <c r="Q157" i="30" a="1"/>
  <c r="Q157" i="30" s="1"/>
  <c r="Q158" i="30" a="1"/>
  <c r="Q158" i="30" s="1"/>
  <c r="Q159" i="30" a="1"/>
  <c r="Q159" i="30" s="1"/>
  <c r="Q160" i="30" a="1"/>
  <c r="Q160" i="30" s="1"/>
  <c r="Q161" i="30" a="1"/>
  <c r="Q161" i="30" s="1"/>
  <c r="Q162" i="30" a="1"/>
  <c r="Q162" i="30" s="1"/>
  <c r="Q163" i="30" a="1"/>
  <c r="Q163" i="30" s="1"/>
  <c r="Q164" i="30" a="1"/>
  <c r="Q164" i="30" s="1"/>
  <c r="Q165" i="30" a="1"/>
  <c r="Q165" i="30" s="1"/>
  <c r="Q166" i="30" a="1"/>
  <c r="Q166" i="30" s="1"/>
  <c r="Q167" i="30" a="1"/>
  <c r="Q167" i="30" s="1"/>
  <c r="Q168" i="30" a="1"/>
  <c r="Q168" i="30" s="1"/>
  <c r="Q169" i="30" a="1"/>
  <c r="Q169" i="30" s="1"/>
  <c r="Q170" i="30" a="1"/>
  <c r="Q170" i="30" s="1"/>
  <c r="Q171" i="30" a="1"/>
  <c r="Q171" i="30" s="1"/>
  <c r="Q172" i="30" a="1"/>
  <c r="Q172" i="30" s="1"/>
  <c r="Q173" i="30" a="1"/>
  <c r="Q173" i="30" s="1"/>
  <c r="Q174" i="30" a="1"/>
  <c r="Q174" i="30" s="1"/>
  <c r="Q175" i="30" a="1"/>
  <c r="Q175" i="30" s="1"/>
  <c r="Q176" i="30" a="1"/>
  <c r="Q176" i="30" s="1"/>
  <c r="Q177" i="30" a="1"/>
  <c r="Q177" i="30" s="1"/>
  <c r="Q178" i="30" a="1"/>
  <c r="Q178" i="30" s="1"/>
  <c r="Q179" i="30" a="1"/>
  <c r="Q179" i="30" s="1"/>
  <c r="Q180" i="30" a="1"/>
  <c r="Q180" i="30" s="1"/>
  <c r="Q181" i="30" a="1"/>
  <c r="Q181" i="30" s="1"/>
  <c r="Q182" i="30" a="1"/>
  <c r="Q182" i="30" s="1"/>
  <c r="Q183" i="30" a="1"/>
  <c r="Q183" i="30" s="1"/>
  <c r="Q184" i="30" a="1"/>
  <c r="Q184" i="30" s="1"/>
  <c r="Q185" i="30" a="1"/>
  <c r="Q185" i="30" s="1"/>
  <c r="Q186" i="30" a="1"/>
  <c r="Q186" i="30" s="1"/>
  <c r="Q187" i="30" a="1"/>
  <c r="Q187" i="30" s="1"/>
  <c r="Q188" i="30" a="1"/>
  <c r="Q188" i="30" s="1"/>
  <c r="Q189" i="30" a="1"/>
  <c r="Q189" i="30" s="1"/>
  <c r="Q190" i="30" a="1"/>
  <c r="Q190" i="30" s="1"/>
  <c r="Q191" i="30" a="1"/>
  <c r="Q191" i="30" s="1"/>
  <c r="Q192" i="30" a="1"/>
  <c r="Q192" i="30" s="1"/>
  <c r="Q193" i="30" a="1"/>
  <c r="Q193" i="30" s="1"/>
  <c r="Q194" i="30" a="1"/>
  <c r="Q194" i="30" s="1"/>
  <c r="Q195" i="30" a="1"/>
  <c r="Q195" i="30" s="1"/>
  <c r="Q196" i="30" a="1"/>
  <c r="Q196" i="30" s="1"/>
  <c r="Q197" i="30" a="1"/>
  <c r="Q197" i="30" s="1"/>
  <c r="Q198" i="30" a="1"/>
  <c r="Q198" i="30" s="1"/>
  <c r="Q199" i="30" a="1"/>
  <c r="Q199" i="30" s="1"/>
  <c r="Q200" i="30" a="1"/>
  <c r="Q200" i="30" s="1"/>
  <c r="Q201" i="30" a="1"/>
  <c r="Q201" i="30" s="1"/>
  <c r="Q202" i="30" a="1"/>
  <c r="Q202" i="30" s="1"/>
  <c r="Q203" i="30" a="1"/>
  <c r="Q203" i="30" s="1"/>
  <c r="Q204" i="30" a="1"/>
  <c r="Q204" i="30" s="1"/>
  <c r="Q205" i="30" a="1"/>
  <c r="Q205" i="30" s="1"/>
  <c r="Q206" i="30" a="1"/>
  <c r="Q206" i="30" s="1"/>
  <c r="Q207" i="30" a="1"/>
  <c r="Q207" i="30" s="1"/>
  <c r="Q208" i="30" a="1"/>
  <c r="Q208" i="30" s="1"/>
  <c r="Q209" i="30" a="1"/>
  <c r="Q209" i="30" s="1"/>
  <c r="Q210" i="30" a="1"/>
  <c r="Q210" i="30" s="1"/>
  <c r="Q211" i="30" a="1"/>
  <c r="Q211" i="30" s="1"/>
  <c r="Q212" i="30" a="1"/>
  <c r="Q212" i="30" s="1"/>
  <c r="Q213" i="30" a="1"/>
  <c r="Q213" i="30" s="1"/>
  <c r="Q214" i="30" a="1"/>
  <c r="Q214" i="30" s="1"/>
  <c r="Q215" i="30" a="1"/>
  <c r="Q215" i="30" s="1"/>
  <c r="Q216" i="30" a="1"/>
  <c r="Q216" i="30" s="1"/>
  <c r="Q217" i="30" a="1"/>
  <c r="Q217" i="30" s="1"/>
  <c r="Q218" i="30" a="1"/>
  <c r="Q218" i="30" s="1"/>
  <c r="Q219" i="30" a="1"/>
  <c r="Q219" i="30" s="1"/>
  <c r="Q220" i="30" a="1"/>
  <c r="Q220" i="30" s="1"/>
  <c r="Q221" i="30" a="1"/>
  <c r="Q221" i="30" s="1"/>
  <c r="Q222" i="30" a="1"/>
  <c r="Q222" i="30" s="1"/>
  <c r="Q223" i="30" a="1"/>
  <c r="Q223" i="30" s="1"/>
  <c r="Q224" i="30" a="1"/>
  <c r="Q224" i="30" s="1"/>
  <c r="Q225" i="30" a="1"/>
  <c r="Q225" i="30" s="1"/>
  <c r="Q226" i="30" a="1"/>
  <c r="Q226" i="30" s="1"/>
  <c r="Q227" i="30" a="1"/>
  <c r="Q227" i="30" s="1"/>
  <c r="Q228" i="30" a="1"/>
  <c r="Q228" i="30" s="1"/>
  <c r="Q229" i="30" a="1"/>
  <c r="Q229" i="30" s="1"/>
  <c r="Q230" i="30" a="1"/>
  <c r="Q230" i="30" s="1"/>
  <c r="Q231" i="30" a="1"/>
  <c r="Q231" i="30" s="1"/>
  <c r="Q232" i="30" a="1"/>
  <c r="Q232" i="30" s="1"/>
  <c r="Q233" i="30" a="1"/>
  <c r="Q233" i="30" s="1"/>
  <c r="Q234" i="30" a="1"/>
  <c r="Q234" i="30" s="1"/>
  <c r="Q235" i="30" a="1"/>
  <c r="Q235" i="30" s="1"/>
  <c r="Q236" i="30" a="1"/>
  <c r="Q236" i="30" s="1"/>
  <c r="Q237" i="30" a="1"/>
  <c r="Q237" i="30" s="1"/>
  <c r="Q238" i="30" a="1"/>
  <c r="Q238" i="30" s="1"/>
  <c r="Q239" i="30" a="1"/>
  <c r="Q239" i="30" s="1"/>
  <c r="Q240" i="30" a="1"/>
  <c r="Q240" i="30" s="1"/>
  <c r="Q241" i="30" a="1"/>
  <c r="Q241" i="30" s="1"/>
  <c r="Q242" i="30" a="1"/>
  <c r="Q242" i="30" s="1"/>
  <c r="Q243" i="30" a="1"/>
  <c r="Q243" i="30" s="1"/>
  <c r="Q244" i="30" a="1"/>
  <c r="Q244" i="30" s="1"/>
  <c r="Q245" i="30" a="1"/>
  <c r="Q245" i="30" s="1"/>
  <c r="Q246" i="30" a="1"/>
  <c r="Q246" i="30" s="1"/>
  <c r="Q247" i="30" a="1"/>
  <c r="Q247" i="30" s="1"/>
  <c r="Q248" i="30" a="1"/>
  <c r="Q248" i="30" s="1"/>
  <c r="Q249" i="30" a="1"/>
  <c r="Q249" i="30" s="1"/>
  <c r="Q250" i="30" a="1"/>
  <c r="Q250" i="30" s="1"/>
  <c r="Q251" i="30" a="1"/>
  <c r="Q251" i="30" s="1"/>
  <c r="Q252" i="30" a="1"/>
  <c r="Q252" i="30" s="1"/>
  <c r="Q253" i="30" a="1"/>
  <c r="Q253" i="30" s="1"/>
  <c r="Q254" i="30" a="1"/>
  <c r="Q254" i="30" s="1"/>
  <c r="Q255" i="30" a="1"/>
  <c r="Q255" i="30" s="1"/>
  <c r="Q256" i="30" a="1"/>
  <c r="Q256" i="30" s="1"/>
  <c r="Q257" i="30" a="1"/>
  <c r="Q257" i="30" s="1"/>
  <c r="Q258" i="30" a="1"/>
  <c r="Q258" i="30" s="1"/>
  <c r="Q259" i="30" a="1"/>
  <c r="Q259" i="30" s="1"/>
  <c r="Q260" i="30" a="1"/>
  <c r="Q260" i="30" s="1"/>
  <c r="Q261" i="30" a="1"/>
  <c r="Q261" i="30" s="1"/>
  <c r="Q262" i="30" a="1"/>
  <c r="Q262" i="30" s="1"/>
  <c r="Q263" i="30" a="1"/>
  <c r="Q263" i="30" s="1"/>
  <c r="Q264" i="30" a="1"/>
  <c r="Q264" i="30" s="1"/>
  <c r="Q265" i="30" a="1"/>
  <c r="Q265" i="30" s="1"/>
  <c r="Q266" i="30" a="1"/>
  <c r="Q266" i="30" s="1"/>
  <c r="Q267" i="30" a="1"/>
  <c r="Q267" i="30" s="1"/>
  <c r="Q268" i="30" a="1"/>
  <c r="Q268" i="30" s="1"/>
  <c r="Q269" i="30" a="1"/>
  <c r="Q269" i="30" s="1"/>
  <c r="Q270" i="30" a="1"/>
  <c r="Q270" i="30" s="1"/>
  <c r="Q271" i="30" a="1"/>
  <c r="Q271" i="30" s="1"/>
  <c r="Q272" i="30" a="1"/>
  <c r="Q272" i="30" s="1"/>
  <c r="Q273" i="30" a="1"/>
  <c r="Q273" i="30" s="1"/>
  <c r="Q274" i="30" a="1"/>
  <c r="Q274" i="30" s="1"/>
  <c r="Q275" i="30" a="1"/>
  <c r="Q275" i="30" s="1"/>
  <c r="Q276" i="30" a="1"/>
  <c r="Q276" i="30" s="1"/>
  <c r="Q277" i="30" a="1"/>
  <c r="Q277" i="30" s="1"/>
  <c r="Q278" i="30" a="1"/>
  <c r="Q278" i="30" s="1"/>
  <c r="Q279" i="30" a="1"/>
  <c r="Q279" i="30" s="1"/>
  <c r="Q280" i="30" a="1"/>
  <c r="Q280" i="30" s="1"/>
  <c r="Q281" i="30" a="1"/>
  <c r="Q281" i="30" s="1"/>
  <c r="Q282" i="30" a="1"/>
  <c r="Q282" i="30" s="1"/>
  <c r="Q283" i="30" a="1"/>
  <c r="Q283" i="30" s="1"/>
  <c r="Q284" i="30" a="1"/>
  <c r="Q284" i="30" s="1"/>
  <c r="Z1053" i="25" s="1"/>
  <c r="Q285" i="30" a="1"/>
  <c r="Q285" i="30" s="1"/>
  <c r="Z1054" i="25" s="1"/>
  <c r="Q286" i="30" a="1"/>
  <c r="Q286" i="30" s="1"/>
  <c r="Z1055" i="25" s="1"/>
  <c r="Q287" i="30" a="1"/>
  <c r="Q287" i="30" s="1"/>
  <c r="Z1056" i="25" s="1"/>
  <c r="Q288" i="30" a="1"/>
  <c r="Q288" i="30" s="1"/>
  <c r="Z1057" i="25" s="1"/>
  <c r="Q289" i="30" a="1"/>
  <c r="Q289" i="30" s="1"/>
  <c r="Z1058" i="25" s="1"/>
  <c r="Q290" i="30" a="1"/>
  <c r="Q290" i="30" s="1"/>
  <c r="Z1059" i="25" s="1"/>
  <c r="Q291" i="30" a="1"/>
  <c r="Q291" i="30" s="1"/>
  <c r="Z1060" i="25" s="1"/>
  <c r="Q292" i="30" a="1"/>
  <c r="Q292" i="30" s="1"/>
  <c r="Q293" i="30" a="1"/>
  <c r="Q293" i="30" s="1"/>
  <c r="Q294" i="30" a="1"/>
  <c r="Q294" i="30" s="1"/>
  <c r="Q295" i="30" a="1"/>
  <c r="Q295" i="30" s="1"/>
  <c r="Q296" i="30" a="1"/>
  <c r="Q296" i="30" s="1"/>
  <c r="Q297" i="30" a="1"/>
  <c r="Q297" i="30" s="1"/>
  <c r="Q298" i="30" a="1"/>
  <c r="Q298" i="30" s="1"/>
  <c r="Q299" i="30" a="1"/>
  <c r="Q299" i="30" s="1"/>
  <c r="Q300" i="30" a="1"/>
  <c r="Q300" i="30" s="1"/>
  <c r="R100" i="25"/>
  <c r="R101" i="25"/>
  <c r="R102" i="25"/>
  <c r="R103" i="25"/>
  <c r="R104" i="25"/>
  <c r="R105" i="25"/>
  <c r="R106" i="25"/>
  <c r="R107" i="25"/>
  <c r="R108" i="25"/>
  <c r="R109" i="25"/>
  <c r="R110" i="25"/>
  <c r="R111" i="25"/>
  <c r="R112" i="25"/>
  <c r="R113" i="25"/>
  <c r="R114" i="25"/>
  <c r="R115" i="25"/>
  <c r="R116" i="25"/>
  <c r="R117" i="25"/>
  <c r="R118" i="25"/>
  <c r="R119" i="25"/>
  <c r="R120" i="25"/>
  <c r="R121" i="25"/>
  <c r="R122" i="25"/>
  <c r="R123" i="25"/>
  <c r="R124" i="25"/>
  <c r="R125" i="25"/>
  <c r="R126" i="25"/>
  <c r="R127" i="25"/>
  <c r="R128" i="25"/>
  <c r="R129" i="25"/>
  <c r="R130" i="25"/>
  <c r="R131" i="25"/>
  <c r="R132" i="25"/>
  <c r="R133" i="25"/>
  <c r="R134" i="25"/>
  <c r="R135" i="25"/>
  <c r="R136" i="25"/>
  <c r="R137" i="25"/>
  <c r="R138" i="25"/>
  <c r="R139" i="25"/>
  <c r="R140" i="25"/>
  <c r="R141" i="25"/>
  <c r="R142" i="25"/>
  <c r="R143" i="25"/>
  <c r="R144" i="25"/>
  <c r="R145" i="25"/>
  <c r="R146" i="25"/>
  <c r="R147" i="25"/>
  <c r="R148" i="25"/>
  <c r="R149" i="25"/>
  <c r="R150" i="25"/>
  <c r="R151" i="25"/>
  <c r="R152" i="25"/>
  <c r="R153" i="25"/>
  <c r="R154" i="25"/>
  <c r="R155" i="25"/>
  <c r="R156" i="25"/>
  <c r="R157" i="25"/>
  <c r="R158" i="25"/>
  <c r="R159" i="25"/>
  <c r="R160" i="25"/>
  <c r="R161" i="25"/>
  <c r="R162" i="25"/>
  <c r="R163" i="25"/>
  <c r="R164" i="25"/>
  <c r="R165" i="25"/>
  <c r="R166" i="25"/>
  <c r="R167" i="25"/>
  <c r="R168" i="25"/>
  <c r="R169" i="25"/>
  <c r="R170" i="25"/>
  <c r="R171" i="25"/>
  <c r="R172" i="25"/>
  <c r="R173" i="25"/>
  <c r="R174" i="25"/>
  <c r="R175" i="25"/>
  <c r="R176" i="25"/>
  <c r="R177" i="25"/>
  <c r="R178" i="25"/>
  <c r="R179" i="25"/>
  <c r="R180" i="25"/>
  <c r="R181" i="25"/>
  <c r="R182" i="25"/>
  <c r="R183" i="25"/>
  <c r="R184" i="25"/>
  <c r="R185" i="25"/>
  <c r="R186" i="25"/>
  <c r="R187" i="25"/>
  <c r="R188" i="25"/>
  <c r="R189" i="25"/>
  <c r="R190" i="25"/>
  <c r="R191" i="25"/>
  <c r="R192" i="25"/>
  <c r="R193" i="25"/>
  <c r="R194" i="25"/>
  <c r="R195" i="25"/>
  <c r="R196" i="25"/>
  <c r="R197" i="25"/>
  <c r="R198" i="25"/>
  <c r="R199" i="25"/>
  <c r="R200" i="25"/>
  <c r="R201" i="25"/>
  <c r="R202" i="25"/>
  <c r="R203" i="25"/>
  <c r="R204" i="25"/>
  <c r="R205" i="25"/>
  <c r="R206" i="25"/>
  <c r="R207" i="25"/>
  <c r="R208" i="25"/>
  <c r="R209" i="25"/>
  <c r="R210" i="25"/>
  <c r="R211" i="25"/>
  <c r="R212" i="25"/>
  <c r="R213" i="25"/>
  <c r="R214" i="25"/>
  <c r="R215" i="25"/>
  <c r="R216" i="25"/>
  <c r="R217" i="25"/>
  <c r="R218" i="25"/>
  <c r="R219" i="25"/>
  <c r="R220" i="25"/>
  <c r="R221" i="25"/>
  <c r="R222" i="25"/>
  <c r="R223" i="25"/>
  <c r="R224" i="25"/>
  <c r="R225" i="25"/>
  <c r="R226" i="25"/>
  <c r="R227" i="25"/>
  <c r="R228" i="25"/>
  <c r="R229" i="25"/>
  <c r="R230" i="25"/>
  <c r="R231" i="25"/>
  <c r="R232" i="25"/>
  <c r="R233" i="25"/>
  <c r="R234" i="25"/>
  <c r="R235" i="25"/>
  <c r="R236" i="25"/>
  <c r="R237" i="25"/>
  <c r="R238" i="25"/>
  <c r="R239" i="25"/>
  <c r="R240" i="25"/>
  <c r="R241" i="25"/>
  <c r="R242" i="25"/>
  <c r="R243" i="25"/>
  <c r="R244" i="25"/>
  <c r="R245" i="25"/>
  <c r="R246" i="25"/>
  <c r="R247" i="25"/>
  <c r="R248" i="25"/>
  <c r="R249" i="25"/>
  <c r="R250" i="25"/>
  <c r="R251" i="25"/>
  <c r="R252" i="25"/>
  <c r="R253" i="25"/>
  <c r="R254" i="25"/>
  <c r="R255" i="25"/>
  <c r="R256" i="25"/>
  <c r="R257" i="25"/>
  <c r="R258" i="25"/>
  <c r="R259" i="25"/>
  <c r="R260" i="25"/>
  <c r="R261" i="25"/>
  <c r="R262" i="25"/>
  <c r="R263" i="25"/>
  <c r="R264" i="25"/>
  <c r="R265" i="25"/>
  <c r="R266" i="25"/>
  <c r="R267" i="25"/>
  <c r="R268" i="25"/>
  <c r="R269" i="25"/>
  <c r="R270" i="25"/>
  <c r="R271" i="25"/>
  <c r="R272" i="25"/>
  <c r="R273" i="25"/>
  <c r="R274" i="25"/>
  <c r="R275" i="25"/>
  <c r="R276" i="25"/>
  <c r="R277" i="25"/>
  <c r="R278" i="25"/>
  <c r="R279" i="25"/>
  <c r="R280" i="25"/>
  <c r="R281" i="25"/>
  <c r="R282" i="25"/>
  <c r="R283" i="25"/>
  <c r="R284" i="25"/>
  <c r="R285" i="25"/>
  <c r="R286" i="25"/>
  <c r="R287" i="25"/>
  <c r="R288" i="25"/>
  <c r="R289" i="25"/>
  <c r="R290" i="25"/>
  <c r="R291" i="25"/>
  <c r="R292" i="25"/>
  <c r="R293" i="25"/>
  <c r="R294" i="25"/>
  <c r="R295" i="25"/>
  <c r="R296" i="25"/>
  <c r="R297" i="25"/>
  <c r="R298" i="25"/>
  <c r="R299" i="25"/>
  <c r="R300" i="25"/>
  <c r="R301" i="25"/>
  <c r="R302" i="25"/>
  <c r="R303" i="25"/>
  <c r="R304" i="25"/>
  <c r="R305" i="25"/>
  <c r="R306" i="25"/>
  <c r="R307" i="25"/>
  <c r="R308" i="25"/>
  <c r="R309" i="25"/>
  <c r="R310" i="25"/>
  <c r="R311" i="25"/>
  <c r="R312" i="25"/>
  <c r="R313" i="25"/>
  <c r="R314" i="25"/>
  <c r="R315" i="25"/>
  <c r="R316" i="25"/>
  <c r="R317" i="25"/>
  <c r="R318" i="25"/>
  <c r="R319" i="25"/>
  <c r="R320" i="25"/>
  <c r="R321" i="25"/>
  <c r="R322" i="25"/>
  <c r="R323" i="25"/>
  <c r="R324" i="25"/>
  <c r="R325" i="25"/>
  <c r="R326" i="25"/>
  <c r="R327" i="25"/>
  <c r="R328" i="25"/>
  <c r="R329" i="25"/>
  <c r="R330" i="25"/>
  <c r="R331" i="25"/>
  <c r="R332" i="25"/>
  <c r="R333" i="25"/>
  <c r="R334" i="25"/>
  <c r="R335" i="25"/>
  <c r="R336" i="25"/>
  <c r="R337" i="25"/>
  <c r="R338" i="25"/>
  <c r="R339" i="25"/>
  <c r="R340" i="25"/>
  <c r="R341" i="25"/>
  <c r="R342" i="25"/>
  <c r="R343" i="25"/>
  <c r="R344" i="25"/>
  <c r="R345" i="25"/>
  <c r="R346" i="25"/>
  <c r="R347" i="25"/>
  <c r="R348" i="25"/>
  <c r="R349" i="25"/>
  <c r="R350" i="25"/>
  <c r="R351" i="25"/>
  <c r="R352" i="25"/>
  <c r="R353" i="25"/>
  <c r="R354" i="25"/>
  <c r="R355" i="25"/>
  <c r="R356" i="25"/>
  <c r="R357" i="25"/>
  <c r="R358" i="25"/>
  <c r="R359" i="25"/>
  <c r="R360" i="25"/>
  <c r="R361" i="25"/>
  <c r="R362" i="25"/>
  <c r="R363" i="25"/>
  <c r="R364" i="25"/>
  <c r="R365" i="25"/>
  <c r="R366" i="25"/>
  <c r="R367" i="25"/>
  <c r="R368" i="25"/>
  <c r="R369" i="25"/>
  <c r="R370" i="25"/>
  <c r="R371" i="25"/>
  <c r="R372" i="25"/>
  <c r="R373" i="25"/>
  <c r="R374" i="25"/>
  <c r="R375" i="25"/>
  <c r="R376" i="25"/>
  <c r="R377" i="25"/>
  <c r="R378" i="25"/>
  <c r="R379" i="25"/>
  <c r="R380" i="25"/>
  <c r="R381" i="25"/>
  <c r="R382" i="25"/>
  <c r="R383" i="25"/>
  <c r="R384" i="25"/>
  <c r="R385" i="25"/>
  <c r="R386" i="25"/>
  <c r="R387" i="25"/>
  <c r="R388" i="25"/>
  <c r="R389" i="25"/>
  <c r="R390" i="25"/>
  <c r="R391" i="25"/>
  <c r="R392" i="25"/>
  <c r="R393" i="25"/>
  <c r="R394" i="25"/>
  <c r="R395" i="25"/>
  <c r="R396" i="25"/>
  <c r="R397" i="25"/>
  <c r="R398" i="25"/>
  <c r="R399" i="25"/>
  <c r="R400" i="25"/>
  <c r="R401" i="25"/>
  <c r="R402" i="25"/>
  <c r="R403" i="25"/>
  <c r="R404" i="25"/>
  <c r="R405" i="25"/>
  <c r="R406" i="25"/>
  <c r="R407" i="25"/>
  <c r="R408" i="25"/>
  <c r="R409" i="25"/>
  <c r="R410" i="25"/>
  <c r="R411" i="25"/>
  <c r="R412" i="25"/>
  <c r="R413" i="25"/>
  <c r="R414" i="25"/>
  <c r="R415" i="25"/>
  <c r="R416" i="25"/>
  <c r="R417" i="25"/>
  <c r="R418" i="25"/>
  <c r="R419" i="25"/>
  <c r="R420" i="25"/>
  <c r="R421" i="25"/>
  <c r="R422" i="25"/>
  <c r="R423" i="25"/>
  <c r="R424" i="25"/>
  <c r="R425" i="25"/>
  <c r="R426" i="25"/>
  <c r="R427" i="25"/>
  <c r="R428" i="25"/>
  <c r="R429" i="25"/>
  <c r="R430" i="25"/>
  <c r="R431" i="25"/>
  <c r="R432" i="25"/>
  <c r="R433" i="25"/>
  <c r="R434" i="25"/>
  <c r="R435" i="25"/>
  <c r="R436" i="25"/>
  <c r="R437" i="25"/>
  <c r="R438" i="25"/>
  <c r="R439" i="25"/>
  <c r="R440" i="25"/>
  <c r="R441" i="25"/>
  <c r="R442" i="25"/>
  <c r="R443" i="25"/>
  <c r="R444" i="25"/>
  <c r="R445" i="25"/>
  <c r="R446" i="25"/>
  <c r="R447" i="25"/>
  <c r="R448" i="25"/>
  <c r="R449" i="25"/>
  <c r="R450" i="25"/>
  <c r="R451" i="25"/>
  <c r="R452" i="25"/>
  <c r="R453" i="25"/>
  <c r="R454" i="25"/>
  <c r="R455" i="25"/>
  <c r="R456" i="25"/>
  <c r="R457" i="25"/>
  <c r="R458" i="25"/>
  <c r="R459" i="25"/>
  <c r="R460" i="25"/>
  <c r="R461" i="25"/>
  <c r="R462" i="25"/>
  <c r="R463" i="25"/>
  <c r="R464" i="25"/>
  <c r="R465" i="25"/>
  <c r="R466" i="25"/>
  <c r="R467" i="25"/>
  <c r="R468" i="25"/>
  <c r="R469" i="25"/>
  <c r="R470" i="25"/>
  <c r="R471" i="25"/>
  <c r="R472" i="25"/>
  <c r="R473" i="25"/>
  <c r="R474" i="25"/>
  <c r="R475" i="25"/>
  <c r="R476" i="25"/>
  <c r="R477" i="25"/>
  <c r="R478" i="25"/>
  <c r="R479" i="25"/>
  <c r="R480" i="25"/>
  <c r="R481" i="25"/>
  <c r="R482" i="25"/>
  <c r="R483" i="25"/>
  <c r="R484" i="25"/>
  <c r="R485" i="25"/>
  <c r="R486" i="25"/>
  <c r="R487" i="25"/>
  <c r="R488" i="25"/>
  <c r="R489" i="25"/>
  <c r="R490" i="25"/>
  <c r="R491" i="25"/>
  <c r="R492" i="25"/>
  <c r="R493" i="25"/>
  <c r="R494" i="25"/>
  <c r="R495" i="25"/>
  <c r="R496" i="25"/>
  <c r="R497" i="25"/>
  <c r="R498" i="25"/>
  <c r="R499" i="25"/>
  <c r="L100" i="25"/>
  <c r="L101" i="25"/>
  <c r="L102" i="25"/>
  <c r="L103" i="25"/>
  <c r="L104" i="25"/>
  <c r="L105" i="25"/>
  <c r="L106" i="25"/>
  <c r="L107" i="25"/>
  <c r="L108" i="25"/>
  <c r="L109" i="25"/>
  <c r="L110" i="25"/>
  <c r="L111" i="25"/>
  <c r="L112" i="25"/>
  <c r="L113" i="25"/>
  <c r="L114" i="25"/>
  <c r="L115" i="25"/>
  <c r="L116" i="25"/>
  <c r="L117" i="25"/>
  <c r="L118" i="25"/>
  <c r="L119" i="25"/>
  <c r="L120" i="25"/>
  <c r="L121" i="25"/>
  <c r="L122" i="25"/>
  <c r="L123" i="25"/>
  <c r="L124" i="25"/>
  <c r="L125" i="25"/>
  <c r="L126" i="25"/>
  <c r="L127" i="25"/>
  <c r="L128" i="25"/>
  <c r="L129" i="25"/>
  <c r="L130" i="25"/>
  <c r="L131" i="25"/>
  <c r="L132" i="25"/>
  <c r="L133" i="25"/>
  <c r="L134" i="25"/>
  <c r="L135" i="25"/>
  <c r="L136" i="25"/>
  <c r="L137" i="25"/>
  <c r="L138" i="25"/>
  <c r="L139" i="25"/>
  <c r="L140" i="25"/>
  <c r="L141" i="25"/>
  <c r="L142" i="25"/>
  <c r="L143" i="25"/>
  <c r="L144" i="25"/>
  <c r="L145" i="25"/>
  <c r="L146" i="25"/>
  <c r="L147" i="25"/>
  <c r="L148" i="25"/>
  <c r="L149" i="25"/>
  <c r="L150" i="25"/>
  <c r="L151" i="25"/>
  <c r="L152" i="25"/>
  <c r="L153" i="25"/>
  <c r="L154" i="25"/>
  <c r="L155" i="25"/>
  <c r="L156" i="25"/>
  <c r="L157" i="25"/>
  <c r="L158" i="25"/>
  <c r="L159" i="25"/>
  <c r="L160" i="25"/>
  <c r="L161" i="25"/>
  <c r="L162" i="25"/>
  <c r="L163" i="25"/>
  <c r="L164" i="25"/>
  <c r="L165" i="25"/>
  <c r="L166" i="25"/>
  <c r="L167" i="25"/>
  <c r="L168" i="25"/>
  <c r="L169" i="25"/>
  <c r="L170" i="25"/>
  <c r="L171" i="25"/>
  <c r="L172" i="25"/>
  <c r="L173" i="25"/>
  <c r="L174" i="25"/>
  <c r="L175" i="25"/>
  <c r="L176" i="25"/>
  <c r="L177" i="25"/>
  <c r="L178" i="25"/>
  <c r="L179" i="25"/>
  <c r="L180" i="25"/>
  <c r="L181" i="25"/>
  <c r="L182" i="25"/>
  <c r="L183" i="25"/>
  <c r="L184" i="25"/>
  <c r="L185" i="25"/>
  <c r="L186" i="25"/>
  <c r="L187" i="25"/>
  <c r="L188" i="25"/>
  <c r="L189" i="25"/>
  <c r="L190" i="25"/>
  <c r="L191" i="25"/>
  <c r="L192" i="25"/>
  <c r="L193" i="25"/>
  <c r="L194" i="25"/>
  <c r="L195" i="25"/>
  <c r="L196" i="25"/>
  <c r="L197" i="25"/>
  <c r="L198" i="25"/>
  <c r="L199" i="25"/>
  <c r="L200" i="25"/>
  <c r="L201" i="25"/>
  <c r="L202" i="25"/>
  <c r="L203" i="25"/>
  <c r="L204" i="25"/>
  <c r="L205" i="25"/>
  <c r="L206" i="25"/>
  <c r="L207" i="25"/>
  <c r="L208" i="25"/>
  <c r="L209" i="25"/>
  <c r="L210" i="25"/>
  <c r="L211" i="25"/>
  <c r="L212" i="25"/>
  <c r="L213" i="25"/>
  <c r="L214" i="25"/>
  <c r="L215" i="25"/>
  <c r="L216" i="25"/>
  <c r="L217" i="25"/>
  <c r="L218" i="25"/>
  <c r="L219" i="25"/>
  <c r="L220" i="25"/>
  <c r="L221" i="25"/>
  <c r="L222" i="25"/>
  <c r="L223" i="25"/>
  <c r="L224" i="25"/>
  <c r="L225" i="25"/>
  <c r="L226" i="25"/>
  <c r="L227" i="25"/>
  <c r="L228" i="25"/>
  <c r="L229" i="25"/>
  <c r="L230" i="25"/>
  <c r="L231" i="25"/>
  <c r="L232" i="25"/>
  <c r="L233" i="25"/>
  <c r="L234" i="25"/>
  <c r="L235" i="25"/>
  <c r="L236" i="25"/>
  <c r="L237" i="25"/>
  <c r="L238" i="25"/>
  <c r="L239" i="25"/>
  <c r="L240" i="25"/>
  <c r="L241" i="25"/>
  <c r="L242" i="25"/>
  <c r="L243" i="25"/>
  <c r="L244" i="25"/>
  <c r="L245" i="25"/>
  <c r="L246" i="25"/>
  <c r="L247" i="25"/>
  <c r="L248" i="25"/>
  <c r="L249" i="25"/>
  <c r="L250" i="25"/>
  <c r="L251" i="25"/>
  <c r="L252" i="25"/>
  <c r="L253" i="25"/>
  <c r="L254" i="25"/>
  <c r="L255" i="25"/>
  <c r="L256" i="25"/>
  <c r="L257" i="25"/>
  <c r="L258" i="25"/>
  <c r="L259" i="25"/>
  <c r="L260" i="25"/>
  <c r="L261" i="25"/>
  <c r="L262" i="25"/>
  <c r="L263" i="25"/>
  <c r="L264" i="25"/>
  <c r="L265" i="25"/>
  <c r="L266" i="25"/>
  <c r="L267" i="25"/>
  <c r="L268" i="25"/>
  <c r="L269" i="25"/>
  <c r="L270" i="25"/>
  <c r="L271" i="25"/>
  <c r="L272" i="25"/>
  <c r="L273" i="25"/>
  <c r="L274" i="25"/>
  <c r="L275" i="25"/>
  <c r="L276" i="25"/>
  <c r="L277" i="25"/>
  <c r="L278" i="25"/>
  <c r="L279" i="25"/>
  <c r="L280" i="25"/>
  <c r="L281" i="25"/>
  <c r="L282" i="25"/>
  <c r="L283" i="25"/>
  <c r="L284" i="25"/>
  <c r="L285" i="25"/>
  <c r="L286" i="25"/>
  <c r="L287" i="25"/>
  <c r="L288" i="25"/>
  <c r="L289" i="25"/>
  <c r="L290" i="25"/>
  <c r="L291" i="25"/>
  <c r="L292" i="25"/>
  <c r="L293" i="25"/>
  <c r="L294" i="25"/>
  <c r="L295" i="25"/>
  <c r="L296" i="25"/>
  <c r="L297" i="25"/>
  <c r="L298" i="25"/>
  <c r="L299" i="25"/>
  <c r="L300" i="25"/>
  <c r="L301" i="25"/>
  <c r="L302" i="25"/>
  <c r="L303" i="25"/>
  <c r="L304" i="25"/>
  <c r="L305" i="25"/>
  <c r="L306" i="25"/>
  <c r="L307" i="25"/>
  <c r="L308" i="25"/>
  <c r="L309" i="25"/>
  <c r="L310" i="25"/>
  <c r="L311" i="25"/>
  <c r="L312" i="25"/>
  <c r="L313" i="25"/>
  <c r="L314" i="25"/>
  <c r="L315" i="25"/>
  <c r="L316" i="25"/>
  <c r="L317" i="25"/>
  <c r="L318" i="25"/>
  <c r="L319" i="25"/>
  <c r="L320" i="25"/>
  <c r="L321" i="25"/>
  <c r="L322" i="25"/>
  <c r="L323" i="25"/>
  <c r="L324" i="25"/>
  <c r="L325" i="25"/>
  <c r="L326" i="25"/>
  <c r="L327" i="25"/>
  <c r="L328" i="25"/>
  <c r="L329" i="25"/>
  <c r="L330" i="25"/>
  <c r="L331" i="25"/>
  <c r="L332" i="25"/>
  <c r="L333" i="25"/>
  <c r="L334" i="25"/>
  <c r="L335" i="25"/>
  <c r="L336" i="25"/>
  <c r="L337" i="25"/>
  <c r="L338" i="25"/>
  <c r="L339" i="25"/>
  <c r="L340" i="25"/>
  <c r="L341" i="25"/>
  <c r="L342" i="25"/>
  <c r="L343" i="25"/>
  <c r="L344" i="25"/>
  <c r="L345" i="25"/>
  <c r="L346" i="25"/>
  <c r="L347" i="25"/>
  <c r="L348" i="25"/>
  <c r="L349" i="25"/>
  <c r="L350" i="25"/>
  <c r="L351" i="25"/>
  <c r="L352" i="25"/>
  <c r="L353" i="25"/>
  <c r="L354" i="25"/>
  <c r="L355" i="25"/>
  <c r="L356" i="25"/>
  <c r="L357" i="25"/>
  <c r="L358" i="25"/>
  <c r="L359" i="25"/>
  <c r="L360" i="25"/>
  <c r="L361" i="25"/>
  <c r="L362" i="25"/>
  <c r="L363" i="25"/>
  <c r="L364" i="25"/>
  <c r="L365" i="25"/>
  <c r="L366" i="25"/>
  <c r="L367" i="25"/>
  <c r="L368" i="25"/>
  <c r="L369" i="25"/>
  <c r="L370" i="25"/>
  <c r="L371" i="25"/>
  <c r="L372" i="25"/>
  <c r="L373" i="25"/>
  <c r="L374" i="25"/>
  <c r="L375" i="25"/>
  <c r="L376" i="25"/>
  <c r="L377" i="25"/>
  <c r="L378" i="25"/>
  <c r="L379" i="25"/>
  <c r="L380" i="25"/>
  <c r="L381" i="25"/>
  <c r="L382" i="25"/>
  <c r="L383" i="25"/>
  <c r="L384" i="25"/>
  <c r="L385" i="25"/>
  <c r="L386" i="25"/>
  <c r="L387" i="25"/>
  <c r="L388" i="25"/>
  <c r="L389" i="25"/>
  <c r="L390" i="25"/>
  <c r="L391" i="25"/>
  <c r="L392" i="25"/>
  <c r="L393" i="25"/>
  <c r="L394" i="25"/>
  <c r="L395" i="25"/>
  <c r="L396" i="25"/>
  <c r="L397" i="25"/>
  <c r="L398" i="25"/>
  <c r="L399" i="25"/>
  <c r="L400" i="25"/>
  <c r="L401" i="25"/>
  <c r="L402" i="25"/>
  <c r="L403" i="25"/>
  <c r="L404" i="25"/>
  <c r="L405" i="25"/>
  <c r="L406" i="25"/>
  <c r="L407" i="25"/>
  <c r="L408" i="25"/>
  <c r="L409" i="25"/>
  <c r="L410" i="25"/>
  <c r="L411" i="25"/>
  <c r="L412" i="25"/>
  <c r="L413" i="25"/>
  <c r="L414" i="25"/>
  <c r="L415" i="25"/>
  <c r="L416" i="25"/>
  <c r="L417" i="25"/>
  <c r="L418" i="25"/>
  <c r="L419" i="25"/>
  <c r="L420" i="25"/>
  <c r="L421" i="25"/>
  <c r="L422" i="25"/>
  <c r="L423" i="25"/>
  <c r="L424" i="25"/>
  <c r="L425" i="25"/>
  <c r="L426" i="25"/>
  <c r="L427" i="25"/>
  <c r="L428" i="25"/>
  <c r="L429" i="25"/>
  <c r="L430" i="25"/>
  <c r="L431" i="25"/>
  <c r="L432" i="25"/>
  <c r="L433" i="25"/>
  <c r="L434" i="25"/>
  <c r="L435" i="25"/>
  <c r="L436" i="25"/>
  <c r="L437" i="25"/>
  <c r="L438" i="25"/>
  <c r="L439" i="25"/>
  <c r="L440" i="25"/>
  <c r="L441" i="25"/>
  <c r="L442" i="25"/>
  <c r="L443" i="25"/>
  <c r="L444" i="25"/>
  <c r="L445" i="25"/>
  <c r="L446" i="25"/>
  <c r="L447" i="25"/>
  <c r="L448" i="25"/>
  <c r="L449" i="25"/>
  <c r="L450" i="25"/>
  <c r="L451" i="25"/>
  <c r="L452" i="25"/>
  <c r="L453" i="25"/>
  <c r="L454" i="25"/>
  <c r="L455" i="25"/>
  <c r="L456" i="25"/>
  <c r="L457" i="25"/>
  <c r="L458" i="25"/>
  <c r="L459" i="25"/>
  <c r="L460" i="25"/>
  <c r="L461" i="25"/>
  <c r="L462" i="25"/>
  <c r="L463" i="25"/>
  <c r="L464" i="25"/>
  <c r="L465" i="25"/>
  <c r="L466" i="25"/>
  <c r="L467" i="25"/>
  <c r="L468" i="25"/>
  <c r="L469" i="25"/>
  <c r="L470" i="25"/>
  <c r="L471" i="25"/>
  <c r="L472" i="25"/>
  <c r="L473" i="25"/>
  <c r="L474" i="25"/>
  <c r="L475" i="25"/>
  <c r="L476" i="25"/>
  <c r="L477" i="25"/>
  <c r="L478" i="25"/>
  <c r="L479" i="25"/>
  <c r="L480" i="25"/>
  <c r="L481" i="25"/>
  <c r="L482" i="25"/>
  <c r="L483" i="25"/>
  <c r="L484" i="25"/>
  <c r="L485" i="25"/>
  <c r="L486" i="25"/>
  <c r="L487" i="25"/>
  <c r="L488" i="25"/>
  <c r="L489" i="25"/>
  <c r="L490" i="25"/>
  <c r="L491" i="25"/>
  <c r="L492" i="25"/>
  <c r="L493" i="25"/>
  <c r="L494" i="25"/>
  <c r="L495" i="25"/>
  <c r="L496" i="25"/>
  <c r="L497" i="25"/>
  <c r="L498" i="25"/>
  <c r="L499" i="25"/>
  <c r="L500" i="25"/>
  <c r="L501" i="25"/>
  <c r="K100" i="25"/>
  <c r="K101" i="25"/>
  <c r="K102" i="25"/>
  <c r="K103" i="25"/>
  <c r="K104" i="25"/>
  <c r="K105" i="25"/>
  <c r="K106" i="25"/>
  <c r="K107" i="25"/>
  <c r="K108" i="25"/>
  <c r="K109" i="25"/>
  <c r="K110" i="25"/>
  <c r="K111" i="25"/>
  <c r="K112" i="25"/>
  <c r="K113" i="25"/>
  <c r="K114" i="25"/>
  <c r="K115" i="25"/>
  <c r="K116" i="25"/>
  <c r="K117" i="25"/>
  <c r="K118" i="25"/>
  <c r="K119" i="25"/>
  <c r="K120" i="25"/>
  <c r="K121" i="25"/>
  <c r="K122" i="25"/>
  <c r="K123" i="25"/>
  <c r="K124" i="25"/>
  <c r="K125" i="25"/>
  <c r="K126" i="25"/>
  <c r="K127" i="25"/>
  <c r="K128" i="25"/>
  <c r="K129" i="25"/>
  <c r="K130" i="25"/>
  <c r="K131" i="25"/>
  <c r="K132" i="25"/>
  <c r="K133" i="25"/>
  <c r="K134" i="25"/>
  <c r="K135" i="25"/>
  <c r="K136" i="25"/>
  <c r="K137" i="25"/>
  <c r="K138" i="25"/>
  <c r="K139" i="25"/>
  <c r="K140" i="25"/>
  <c r="K141" i="25"/>
  <c r="K142" i="25"/>
  <c r="K143" i="25"/>
  <c r="K144" i="25"/>
  <c r="K145" i="25"/>
  <c r="K146" i="25"/>
  <c r="K147" i="25"/>
  <c r="K148" i="25"/>
  <c r="K149" i="25"/>
  <c r="K150" i="25"/>
  <c r="K151" i="25"/>
  <c r="K152" i="25"/>
  <c r="K153" i="25"/>
  <c r="K154" i="25"/>
  <c r="K155" i="25"/>
  <c r="K156" i="25"/>
  <c r="K157" i="25"/>
  <c r="K158" i="25"/>
  <c r="K159" i="25"/>
  <c r="K160" i="25"/>
  <c r="K161" i="25"/>
  <c r="K162" i="25"/>
  <c r="K163" i="25"/>
  <c r="K164" i="25"/>
  <c r="K165" i="25"/>
  <c r="K166" i="25"/>
  <c r="K167" i="25"/>
  <c r="K168" i="25"/>
  <c r="K169" i="25"/>
  <c r="K170" i="25"/>
  <c r="K171" i="25"/>
  <c r="K172" i="25"/>
  <c r="K173" i="25"/>
  <c r="K174" i="25"/>
  <c r="K175" i="25"/>
  <c r="K176" i="25"/>
  <c r="K177" i="25"/>
  <c r="K178" i="25"/>
  <c r="K179" i="25"/>
  <c r="K180" i="25"/>
  <c r="K181" i="25"/>
  <c r="K182" i="25"/>
  <c r="K183" i="25"/>
  <c r="K184" i="25"/>
  <c r="K185" i="25"/>
  <c r="K186" i="25"/>
  <c r="K187" i="25"/>
  <c r="K188" i="25"/>
  <c r="K189" i="25"/>
  <c r="K190" i="25"/>
  <c r="K191" i="25"/>
  <c r="K192" i="25"/>
  <c r="K193" i="25"/>
  <c r="K194" i="25"/>
  <c r="K195" i="25"/>
  <c r="K196" i="25"/>
  <c r="K197" i="25"/>
  <c r="K198" i="25"/>
  <c r="K199" i="25"/>
  <c r="K200" i="25"/>
  <c r="K201" i="25"/>
  <c r="K202" i="25"/>
  <c r="K203" i="25"/>
  <c r="K204" i="25"/>
  <c r="K205" i="25"/>
  <c r="K206" i="25"/>
  <c r="K207" i="25"/>
  <c r="K208" i="25"/>
  <c r="K209" i="25"/>
  <c r="K210" i="25"/>
  <c r="K211" i="25"/>
  <c r="K212" i="25"/>
  <c r="K213" i="25"/>
  <c r="K214" i="25"/>
  <c r="K215" i="25"/>
  <c r="K216" i="25"/>
  <c r="K217" i="25"/>
  <c r="K218" i="25"/>
  <c r="K219" i="25"/>
  <c r="K220" i="25"/>
  <c r="K221" i="25"/>
  <c r="K222" i="25"/>
  <c r="K223" i="25"/>
  <c r="K224" i="25"/>
  <c r="K225" i="25"/>
  <c r="K226" i="25"/>
  <c r="K227" i="25"/>
  <c r="K228" i="25"/>
  <c r="K229" i="25"/>
  <c r="K230" i="25"/>
  <c r="K231" i="25"/>
  <c r="K232" i="25"/>
  <c r="K233" i="25"/>
  <c r="K234" i="25"/>
  <c r="K235" i="25"/>
  <c r="K236" i="25"/>
  <c r="K237" i="25"/>
  <c r="K238" i="25"/>
  <c r="K239" i="25"/>
  <c r="K240" i="25"/>
  <c r="K241" i="25"/>
  <c r="K242" i="25"/>
  <c r="K243" i="25"/>
  <c r="K244" i="25"/>
  <c r="K245" i="25"/>
  <c r="K246" i="25"/>
  <c r="K247" i="25"/>
  <c r="K248" i="25"/>
  <c r="K249" i="25"/>
  <c r="K250" i="25"/>
  <c r="K251" i="25"/>
  <c r="K252" i="25"/>
  <c r="K253" i="25"/>
  <c r="K254" i="25"/>
  <c r="K255" i="25"/>
  <c r="K256" i="25"/>
  <c r="K257" i="25"/>
  <c r="K258" i="25"/>
  <c r="K259" i="25"/>
  <c r="K260" i="25"/>
  <c r="K261" i="25"/>
  <c r="K262" i="25"/>
  <c r="K263" i="25"/>
  <c r="K264" i="25"/>
  <c r="K265" i="25"/>
  <c r="K266" i="25"/>
  <c r="K267" i="25"/>
  <c r="K268" i="25"/>
  <c r="K269" i="25"/>
  <c r="K270" i="25"/>
  <c r="K271" i="25"/>
  <c r="K272" i="25"/>
  <c r="K273" i="25"/>
  <c r="K274" i="25"/>
  <c r="K275" i="25"/>
  <c r="K276" i="25"/>
  <c r="K277" i="25"/>
  <c r="K278" i="25"/>
  <c r="K279" i="25"/>
  <c r="K280" i="25"/>
  <c r="K281" i="25"/>
  <c r="K282" i="25"/>
  <c r="K283" i="25"/>
  <c r="K284" i="25"/>
  <c r="K285" i="25"/>
  <c r="K286" i="25"/>
  <c r="K287" i="25"/>
  <c r="K288" i="25"/>
  <c r="K289" i="25"/>
  <c r="K290" i="25"/>
  <c r="K291" i="25"/>
  <c r="K292" i="25"/>
  <c r="K293" i="25"/>
  <c r="K294" i="25"/>
  <c r="K295" i="25"/>
  <c r="K296" i="25"/>
  <c r="K297" i="25"/>
  <c r="K298" i="25"/>
  <c r="K299" i="25"/>
  <c r="K300" i="25"/>
  <c r="K301" i="25"/>
  <c r="K302" i="25"/>
  <c r="K303" i="25"/>
  <c r="K304" i="25"/>
  <c r="K305" i="25"/>
  <c r="K306" i="25"/>
  <c r="K307" i="25"/>
  <c r="K308" i="25"/>
  <c r="K309" i="25"/>
  <c r="K310" i="25"/>
  <c r="K311" i="25"/>
  <c r="K312" i="25"/>
  <c r="K313" i="25"/>
  <c r="K314" i="25"/>
  <c r="K315" i="25"/>
  <c r="K316" i="25"/>
  <c r="K317" i="25"/>
  <c r="K318" i="25"/>
  <c r="K319" i="25"/>
  <c r="K320" i="25"/>
  <c r="K321" i="25"/>
  <c r="K322" i="25"/>
  <c r="K323" i="25"/>
  <c r="K324" i="25"/>
  <c r="K325" i="25"/>
  <c r="K326" i="25"/>
  <c r="K327" i="25"/>
  <c r="K328" i="25"/>
  <c r="K329" i="25"/>
  <c r="K330" i="25"/>
  <c r="K331" i="25"/>
  <c r="K332" i="25"/>
  <c r="K333" i="25"/>
  <c r="K334" i="25"/>
  <c r="K335" i="25"/>
  <c r="K336" i="25"/>
  <c r="K337" i="25"/>
  <c r="K338" i="25"/>
  <c r="K339" i="25"/>
  <c r="K340" i="25"/>
  <c r="K341" i="25"/>
  <c r="K342" i="25"/>
  <c r="K343" i="25"/>
  <c r="K344" i="25"/>
  <c r="K345" i="25"/>
  <c r="K346" i="25"/>
  <c r="K347" i="25"/>
  <c r="K348" i="25"/>
  <c r="K349" i="25"/>
  <c r="K350" i="25"/>
  <c r="K351" i="25"/>
  <c r="K352" i="25"/>
  <c r="K353" i="25"/>
  <c r="K354" i="25"/>
  <c r="K355" i="25"/>
  <c r="K356" i="25"/>
  <c r="K357" i="25"/>
  <c r="K358" i="25"/>
  <c r="K359" i="25"/>
  <c r="K360" i="25"/>
  <c r="K361" i="25"/>
  <c r="K362" i="25"/>
  <c r="K363" i="25"/>
  <c r="K364" i="25"/>
  <c r="K365" i="25"/>
  <c r="K366" i="25"/>
  <c r="K367" i="25"/>
  <c r="K368" i="25"/>
  <c r="K369" i="25"/>
  <c r="K370" i="25"/>
  <c r="K371" i="25"/>
  <c r="K372" i="25"/>
  <c r="K373" i="25"/>
  <c r="K374" i="25"/>
  <c r="K375" i="25"/>
  <c r="K376" i="25"/>
  <c r="K377" i="25"/>
  <c r="K378" i="25"/>
  <c r="K379" i="25"/>
  <c r="K380" i="25"/>
  <c r="K381" i="25"/>
  <c r="K382" i="25"/>
  <c r="K383" i="25"/>
  <c r="K384" i="25"/>
  <c r="K385" i="25"/>
  <c r="K386" i="25"/>
  <c r="K387" i="25"/>
  <c r="K388" i="25"/>
  <c r="K389" i="25"/>
  <c r="K390" i="25"/>
  <c r="K391" i="25"/>
  <c r="K392" i="25"/>
  <c r="K393" i="25"/>
  <c r="K394" i="25"/>
  <c r="K395" i="25"/>
  <c r="K396" i="25"/>
  <c r="K397" i="25"/>
  <c r="K398" i="25"/>
  <c r="K399" i="25"/>
  <c r="K400" i="25"/>
  <c r="K401" i="25"/>
  <c r="K402" i="25"/>
  <c r="K403" i="25"/>
  <c r="K404" i="25"/>
  <c r="K405" i="25"/>
  <c r="K406" i="25"/>
  <c r="K407" i="25"/>
  <c r="K408" i="25"/>
  <c r="K409" i="25"/>
  <c r="K410" i="25"/>
  <c r="K411" i="25"/>
  <c r="K412" i="25"/>
  <c r="K413" i="25"/>
  <c r="K414" i="25"/>
  <c r="K415" i="25"/>
  <c r="K416" i="25"/>
  <c r="K417" i="25"/>
  <c r="K418" i="25"/>
  <c r="K419" i="25"/>
  <c r="K420" i="25"/>
  <c r="K421" i="25"/>
  <c r="K422" i="25"/>
  <c r="K423" i="25"/>
  <c r="K424" i="25"/>
  <c r="K425" i="25"/>
  <c r="K426" i="25"/>
  <c r="K427" i="25"/>
  <c r="K428" i="25"/>
  <c r="K429" i="25"/>
  <c r="K430" i="25"/>
  <c r="K431" i="25"/>
  <c r="K432" i="25"/>
  <c r="K433" i="25"/>
  <c r="K434" i="25"/>
  <c r="K435" i="25"/>
  <c r="K436" i="25"/>
  <c r="K437" i="25"/>
  <c r="K438" i="25"/>
  <c r="K439" i="25"/>
  <c r="K440" i="25"/>
  <c r="K441" i="25"/>
  <c r="K442" i="25"/>
  <c r="K443" i="25"/>
  <c r="K444" i="25"/>
  <c r="K445" i="25"/>
  <c r="K446" i="25"/>
  <c r="K447" i="25"/>
  <c r="K448" i="25"/>
  <c r="K449" i="25"/>
  <c r="K450" i="25"/>
  <c r="K451" i="25"/>
  <c r="K452" i="25"/>
  <c r="K453" i="25"/>
  <c r="K454" i="25"/>
  <c r="K455" i="25"/>
  <c r="K456" i="25"/>
  <c r="K457" i="25"/>
  <c r="K458" i="25"/>
  <c r="K459" i="25"/>
  <c r="K460" i="25"/>
  <c r="K461" i="25"/>
  <c r="K462" i="25"/>
  <c r="K463" i="25"/>
  <c r="K464" i="25"/>
  <c r="K465" i="25"/>
  <c r="K466" i="25"/>
  <c r="K467" i="25"/>
  <c r="K468" i="25"/>
  <c r="K469" i="25"/>
  <c r="K470" i="25"/>
  <c r="K471" i="25"/>
  <c r="K472" i="25"/>
  <c r="K473" i="25"/>
  <c r="K474" i="25"/>
  <c r="K475" i="25"/>
  <c r="K476" i="25"/>
  <c r="K477" i="25"/>
  <c r="K478" i="25"/>
  <c r="K479" i="25"/>
  <c r="K480" i="25"/>
  <c r="K481" i="25"/>
  <c r="K482" i="25"/>
  <c r="K483" i="25"/>
  <c r="K484" i="25"/>
  <c r="K485" i="25"/>
  <c r="K486" i="25"/>
  <c r="K487" i="25"/>
  <c r="K488" i="25"/>
  <c r="K489" i="25"/>
  <c r="K490" i="25"/>
  <c r="K491" i="25"/>
  <c r="K492" i="25"/>
  <c r="K493" i="25"/>
  <c r="K494" i="25"/>
  <c r="K495" i="25"/>
  <c r="K496" i="25"/>
  <c r="K497" i="25"/>
  <c r="K498" i="25"/>
  <c r="K499" i="25"/>
  <c r="K500" i="25"/>
  <c r="K501" i="25"/>
  <c r="J100" i="25"/>
  <c r="J101" i="25"/>
  <c r="J102" i="25"/>
  <c r="J103" i="25"/>
  <c r="J104" i="25"/>
  <c r="J105" i="25"/>
  <c r="J106" i="25"/>
  <c r="J107" i="25"/>
  <c r="J108" i="25"/>
  <c r="J109" i="25"/>
  <c r="J110" i="25"/>
  <c r="J111" i="25"/>
  <c r="J112" i="25"/>
  <c r="J113" i="25"/>
  <c r="J114" i="25"/>
  <c r="J115" i="25"/>
  <c r="J116" i="25"/>
  <c r="J117" i="25"/>
  <c r="J118" i="25"/>
  <c r="J119" i="25"/>
  <c r="J120" i="25"/>
  <c r="J121" i="25"/>
  <c r="J122" i="25"/>
  <c r="J123" i="25"/>
  <c r="J124" i="25"/>
  <c r="J125" i="25"/>
  <c r="J126" i="25"/>
  <c r="J127" i="25"/>
  <c r="J128" i="25"/>
  <c r="J129" i="25"/>
  <c r="J130" i="25"/>
  <c r="J131" i="25"/>
  <c r="J132" i="25"/>
  <c r="J133" i="25"/>
  <c r="J134" i="25"/>
  <c r="J135" i="25"/>
  <c r="J136" i="25"/>
  <c r="J137" i="25"/>
  <c r="J138" i="25"/>
  <c r="J139" i="25"/>
  <c r="J140" i="25"/>
  <c r="J141" i="25"/>
  <c r="J142" i="25"/>
  <c r="J143" i="25"/>
  <c r="J144" i="25"/>
  <c r="J145" i="25"/>
  <c r="J146" i="25"/>
  <c r="J147" i="25"/>
  <c r="J148" i="25"/>
  <c r="J149" i="25"/>
  <c r="J150" i="25"/>
  <c r="J151" i="25"/>
  <c r="J152" i="25"/>
  <c r="J153" i="25"/>
  <c r="J154" i="25"/>
  <c r="J155" i="25"/>
  <c r="J156" i="25"/>
  <c r="J157" i="25"/>
  <c r="J158" i="25"/>
  <c r="J159" i="25"/>
  <c r="J160" i="25"/>
  <c r="J161" i="25"/>
  <c r="J162" i="25"/>
  <c r="J163" i="25"/>
  <c r="J164" i="25"/>
  <c r="J165" i="25"/>
  <c r="J166" i="25"/>
  <c r="J167" i="25"/>
  <c r="J168" i="25"/>
  <c r="J169" i="25"/>
  <c r="J170" i="25"/>
  <c r="J171" i="25"/>
  <c r="J172" i="25"/>
  <c r="J173" i="25"/>
  <c r="J174" i="25"/>
  <c r="J175" i="25"/>
  <c r="J176" i="25"/>
  <c r="J177" i="25"/>
  <c r="J178" i="25"/>
  <c r="J179" i="25"/>
  <c r="J180" i="25"/>
  <c r="J181" i="25"/>
  <c r="J182" i="25"/>
  <c r="J183" i="25"/>
  <c r="J184" i="25"/>
  <c r="J185" i="25"/>
  <c r="J186" i="25"/>
  <c r="J187" i="25"/>
  <c r="J188" i="25"/>
  <c r="J189" i="25"/>
  <c r="J190" i="25"/>
  <c r="J191" i="25"/>
  <c r="J192" i="25"/>
  <c r="J193" i="25"/>
  <c r="J194" i="25"/>
  <c r="J195" i="25"/>
  <c r="J196" i="25"/>
  <c r="J197" i="25"/>
  <c r="J198" i="25"/>
  <c r="J199" i="25"/>
  <c r="J200" i="25"/>
  <c r="J201" i="25"/>
  <c r="J202" i="25"/>
  <c r="J203" i="25"/>
  <c r="J204" i="25"/>
  <c r="J205" i="25"/>
  <c r="J206" i="25"/>
  <c r="J207" i="25"/>
  <c r="J208" i="25"/>
  <c r="J209" i="25"/>
  <c r="J210" i="25"/>
  <c r="J211" i="25"/>
  <c r="J212" i="25"/>
  <c r="J213" i="25"/>
  <c r="J214" i="25"/>
  <c r="J215" i="25"/>
  <c r="J216" i="25"/>
  <c r="J217" i="25"/>
  <c r="J218" i="25"/>
  <c r="J219" i="25"/>
  <c r="J220" i="25"/>
  <c r="J221" i="25"/>
  <c r="J222" i="25"/>
  <c r="J223" i="25"/>
  <c r="J224" i="25"/>
  <c r="J225" i="25"/>
  <c r="J226" i="25"/>
  <c r="J227" i="25"/>
  <c r="J228" i="25"/>
  <c r="J229" i="25"/>
  <c r="J230" i="25"/>
  <c r="J231" i="25"/>
  <c r="J232" i="25"/>
  <c r="J233" i="25"/>
  <c r="J234" i="25"/>
  <c r="J235" i="25"/>
  <c r="J236" i="25"/>
  <c r="J237" i="25"/>
  <c r="J238" i="25"/>
  <c r="J239" i="25"/>
  <c r="J240" i="25"/>
  <c r="J241" i="25"/>
  <c r="J242" i="25"/>
  <c r="J243" i="25"/>
  <c r="J244" i="25"/>
  <c r="J245" i="25"/>
  <c r="J246" i="25"/>
  <c r="J247" i="25"/>
  <c r="J248" i="25"/>
  <c r="J249" i="25"/>
  <c r="J250" i="25"/>
  <c r="J251" i="25"/>
  <c r="J252" i="25"/>
  <c r="J253" i="25"/>
  <c r="J254" i="25"/>
  <c r="J255" i="25"/>
  <c r="J256" i="25"/>
  <c r="J257" i="25"/>
  <c r="J258" i="25"/>
  <c r="J259" i="25"/>
  <c r="J260" i="25"/>
  <c r="J261" i="25"/>
  <c r="J262" i="25"/>
  <c r="J263" i="25"/>
  <c r="J264" i="25"/>
  <c r="J265" i="25"/>
  <c r="J266" i="25"/>
  <c r="J267" i="25"/>
  <c r="J268" i="25"/>
  <c r="J269" i="25"/>
  <c r="J270" i="25"/>
  <c r="J271" i="25"/>
  <c r="J272" i="25"/>
  <c r="J273" i="25"/>
  <c r="J274" i="25"/>
  <c r="J275" i="25"/>
  <c r="J276" i="25"/>
  <c r="J277" i="25"/>
  <c r="J278" i="25"/>
  <c r="J279" i="25"/>
  <c r="J280" i="25"/>
  <c r="J281" i="25"/>
  <c r="J282" i="25"/>
  <c r="J283" i="25"/>
  <c r="J284" i="25"/>
  <c r="J285" i="25"/>
  <c r="J286" i="25"/>
  <c r="J287" i="25"/>
  <c r="J288" i="25"/>
  <c r="J289" i="25"/>
  <c r="J290" i="25"/>
  <c r="J291" i="25"/>
  <c r="J292" i="25"/>
  <c r="J293" i="25"/>
  <c r="J294" i="25"/>
  <c r="J295" i="25"/>
  <c r="J296" i="25"/>
  <c r="J297" i="25"/>
  <c r="J298" i="25"/>
  <c r="J299" i="25"/>
  <c r="J300" i="25"/>
  <c r="J301" i="25"/>
  <c r="J302" i="25"/>
  <c r="J303" i="25"/>
  <c r="J304" i="25"/>
  <c r="J305" i="25"/>
  <c r="J306" i="25"/>
  <c r="J307" i="25"/>
  <c r="J308" i="25"/>
  <c r="J309" i="25"/>
  <c r="J310" i="25"/>
  <c r="J311" i="25"/>
  <c r="J312" i="25"/>
  <c r="J313" i="25"/>
  <c r="J314" i="25"/>
  <c r="J315" i="25"/>
  <c r="J316" i="25"/>
  <c r="J317" i="25"/>
  <c r="J318" i="25"/>
  <c r="J319" i="25"/>
  <c r="J320" i="25"/>
  <c r="J321" i="25"/>
  <c r="J322" i="25"/>
  <c r="J323" i="25"/>
  <c r="J324" i="25"/>
  <c r="J325" i="25"/>
  <c r="J326" i="25"/>
  <c r="J327" i="25"/>
  <c r="J328" i="25"/>
  <c r="J329" i="25"/>
  <c r="J330" i="25"/>
  <c r="J331" i="25"/>
  <c r="J332" i="25"/>
  <c r="J333" i="25"/>
  <c r="J334" i="25"/>
  <c r="J335" i="25"/>
  <c r="J336" i="25"/>
  <c r="J337" i="25"/>
  <c r="J338" i="25"/>
  <c r="J339" i="25"/>
  <c r="J340" i="25"/>
  <c r="J341" i="25"/>
  <c r="J342" i="25"/>
  <c r="J343" i="25"/>
  <c r="J344" i="25"/>
  <c r="J345" i="25"/>
  <c r="J346" i="25"/>
  <c r="J347" i="25"/>
  <c r="J348" i="25"/>
  <c r="J349" i="25"/>
  <c r="J350" i="25"/>
  <c r="J351" i="25"/>
  <c r="J352" i="25"/>
  <c r="J353" i="25"/>
  <c r="J354" i="25"/>
  <c r="J355" i="25"/>
  <c r="J356" i="25"/>
  <c r="J357" i="25"/>
  <c r="J358" i="25"/>
  <c r="J359" i="25"/>
  <c r="J360" i="25"/>
  <c r="J361" i="25"/>
  <c r="J362" i="25"/>
  <c r="J363" i="25"/>
  <c r="J364" i="25"/>
  <c r="J365" i="25"/>
  <c r="J366" i="25"/>
  <c r="J367" i="25"/>
  <c r="J368" i="25"/>
  <c r="J369" i="25"/>
  <c r="J370" i="25"/>
  <c r="J371" i="25"/>
  <c r="J372" i="25"/>
  <c r="J373" i="25"/>
  <c r="J374" i="25"/>
  <c r="J375" i="25"/>
  <c r="J376" i="25"/>
  <c r="J377" i="25"/>
  <c r="J378" i="25"/>
  <c r="J379" i="25"/>
  <c r="J380" i="25"/>
  <c r="J381" i="25"/>
  <c r="J382" i="25"/>
  <c r="J383" i="25"/>
  <c r="J384" i="25"/>
  <c r="J385" i="25"/>
  <c r="J386" i="25"/>
  <c r="J387" i="25"/>
  <c r="J388" i="25"/>
  <c r="J389" i="25"/>
  <c r="J390" i="25"/>
  <c r="J391" i="25"/>
  <c r="J392" i="25"/>
  <c r="J393" i="25"/>
  <c r="J394" i="25"/>
  <c r="J395" i="25"/>
  <c r="J396" i="25"/>
  <c r="J397" i="25"/>
  <c r="J398" i="25"/>
  <c r="J399" i="25"/>
  <c r="J400" i="25"/>
  <c r="J401" i="25"/>
  <c r="J402" i="25"/>
  <c r="J403" i="25"/>
  <c r="J404" i="25"/>
  <c r="J405" i="25"/>
  <c r="J406" i="25"/>
  <c r="J407" i="25"/>
  <c r="J408" i="25"/>
  <c r="J409" i="25"/>
  <c r="J410" i="25"/>
  <c r="J411" i="25"/>
  <c r="J412" i="25"/>
  <c r="J413" i="25"/>
  <c r="J414" i="25"/>
  <c r="J415" i="25"/>
  <c r="J416" i="25"/>
  <c r="J417" i="25"/>
  <c r="J418" i="25"/>
  <c r="J419" i="25"/>
  <c r="J420" i="25"/>
  <c r="J421" i="25"/>
  <c r="J422" i="25"/>
  <c r="J423" i="25"/>
  <c r="J424" i="25"/>
  <c r="J425" i="25"/>
  <c r="J426" i="25"/>
  <c r="J427" i="25"/>
  <c r="J428" i="25"/>
  <c r="J429" i="25"/>
  <c r="J430" i="25"/>
  <c r="J431" i="25"/>
  <c r="J432" i="25"/>
  <c r="J433" i="25"/>
  <c r="J434" i="25"/>
  <c r="J435" i="25"/>
  <c r="J436" i="25"/>
  <c r="J437" i="25"/>
  <c r="J438" i="25"/>
  <c r="J439" i="25"/>
  <c r="J440" i="25"/>
  <c r="J441" i="25"/>
  <c r="J442" i="25"/>
  <c r="J443" i="25"/>
  <c r="J444" i="25"/>
  <c r="J445" i="25"/>
  <c r="J446" i="25"/>
  <c r="J447" i="25"/>
  <c r="J448" i="25"/>
  <c r="J449" i="25"/>
  <c r="J450" i="25"/>
  <c r="J451" i="25"/>
  <c r="J452" i="25"/>
  <c r="J453" i="25"/>
  <c r="J454" i="25"/>
  <c r="J455" i="25"/>
  <c r="J456" i="25"/>
  <c r="J457" i="25"/>
  <c r="J458" i="25"/>
  <c r="J459" i="25"/>
  <c r="J460" i="25"/>
  <c r="J461" i="25"/>
  <c r="J462" i="25"/>
  <c r="J463" i="25"/>
  <c r="J464" i="25"/>
  <c r="J465" i="25"/>
  <c r="J466" i="25"/>
  <c r="J467" i="25"/>
  <c r="J468" i="25"/>
  <c r="J469" i="25"/>
  <c r="J470" i="25"/>
  <c r="J471" i="25"/>
  <c r="J472" i="25"/>
  <c r="J473" i="25"/>
  <c r="J474" i="25"/>
  <c r="J475" i="25"/>
  <c r="J476" i="25"/>
  <c r="J477" i="25"/>
  <c r="J478" i="25"/>
  <c r="J479" i="25"/>
  <c r="J480" i="25"/>
  <c r="J481" i="25"/>
  <c r="J482" i="25"/>
  <c r="J483" i="25"/>
  <c r="J484" i="25"/>
  <c r="J485" i="25"/>
  <c r="J486" i="25"/>
  <c r="J487" i="25"/>
  <c r="J488" i="25"/>
  <c r="J489" i="25"/>
  <c r="J490" i="25"/>
  <c r="J491" i="25"/>
  <c r="J492" i="25"/>
  <c r="J493" i="25"/>
  <c r="J494" i="25"/>
  <c r="J495" i="25"/>
  <c r="J496" i="25"/>
  <c r="J497" i="25"/>
  <c r="J498" i="25"/>
  <c r="J499" i="25"/>
  <c r="H100" i="25"/>
  <c r="H101" i="25"/>
  <c r="H102" i="25"/>
  <c r="H103" i="25"/>
  <c r="H104" i="25"/>
  <c r="H105" i="25"/>
  <c r="H106" i="25"/>
  <c r="H107" i="25"/>
  <c r="H108" i="25"/>
  <c r="H109" i="25"/>
  <c r="H110" i="25"/>
  <c r="H111" i="25"/>
  <c r="H112" i="25"/>
  <c r="H113" i="25"/>
  <c r="H114" i="25"/>
  <c r="H115" i="25"/>
  <c r="H116" i="25"/>
  <c r="H117" i="25"/>
  <c r="H118" i="25"/>
  <c r="H119" i="25"/>
  <c r="H120" i="25"/>
  <c r="H121" i="25"/>
  <c r="H122" i="25"/>
  <c r="H123" i="25"/>
  <c r="H124" i="25"/>
  <c r="H125" i="25"/>
  <c r="H126" i="25"/>
  <c r="H127" i="25"/>
  <c r="H128" i="25"/>
  <c r="H129" i="25"/>
  <c r="H130" i="25"/>
  <c r="H131" i="25"/>
  <c r="H132" i="25"/>
  <c r="H133" i="25"/>
  <c r="H134" i="25"/>
  <c r="H135" i="25"/>
  <c r="H136" i="25"/>
  <c r="H137" i="25"/>
  <c r="H138" i="25"/>
  <c r="H139" i="25"/>
  <c r="H140" i="25"/>
  <c r="H141" i="25"/>
  <c r="H142" i="25"/>
  <c r="H143" i="25"/>
  <c r="H144" i="25"/>
  <c r="H145" i="25"/>
  <c r="H146" i="25"/>
  <c r="H147" i="25"/>
  <c r="H148" i="25"/>
  <c r="H149" i="25"/>
  <c r="H150" i="25"/>
  <c r="H151" i="25"/>
  <c r="H152" i="25"/>
  <c r="H153" i="25"/>
  <c r="H154" i="25"/>
  <c r="H155" i="25"/>
  <c r="H156" i="25"/>
  <c r="H157" i="25"/>
  <c r="H158" i="25"/>
  <c r="H159" i="25"/>
  <c r="H160" i="25"/>
  <c r="H161" i="25"/>
  <c r="H162" i="25"/>
  <c r="H163" i="25"/>
  <c r="H164" i="25"/>
  <c r="H165" i="25"/>
  <c r="H166" i="25"/>
  <c r="H167" i="25"/>
  <c r="H168" i="25"/>
  <c r="H169" i="25"/>
  <c r="H170" i="25"/>
  <c r="H171" i="25"/>
  <c r="H172" i="25"/>
  <c r="H173" i="25"/>
  <c r="H174" i="25"/>
  <c r="H175" i="25"/>
  <c r="H176" i="25"/>
  <c r="H177" i="25"/>
  <c r="H178" i="25"/>
  <c r="H179" i="25"/>
  <c r="H180" i="25"/>
  <c r="H181" i="25"/>
  <c r="H182" i="25"/>
  <c r="H183" i="25"/>
  <c r="H184" i="25"/>
  <c r="H185" i="25"/>
  <c r="H186" i="25"/>
  <c r="H187" i="25"/>
  <c r="H188" i="25"/>
  <c r="H189" i="25"/>
  <c r="H190" i="25"/>
  <c r="H191" i="25"/>
  <c r="H192" i="25"/>
  <c r="H193" i="25"/>
  <c r="H194" i="25"/>
  <c r="H195" i="25"/>
  <c r="H196" i="25"/>
  <c r="H197" i="25"/>
  <c r="H198" i="25"/>
  <c r="H199" i="25"/>
  <c r="H200" i="25"/>
  <c r="H201" i="25"/>
  <c r="H202" i="25"/>
  <c r="H203" i="25"/>
  <c r="H204" i="25"/>
  <c r="H205" i="25"/>
  <c r="H206" i="25"/>
  <c r="H207" i="25"/>
  <c r="H208" i="25"/>
  <c r="H209" i="25"/>
  <c r="H210" i="25"/>
  <c r="H211" i="25"/>
  <c r="H212" i="25"/>
  <c r="H213" i="25"/>
  <c r="H214" i="25"/>
  <c r="H215" i="25"/>
  <c r="H216" i="25"/>
  <c r="H217" i="25"/>
  <c r="H218" i="25"/>
  <c r="H219" i="25"/>
  <c r="H220" i="25"/>
  <c r="H221" i="25"/>
  <c r="H222" i="25"/>
  <c r="H223" i="25"/>
  <c r="H224" i="25"/>
  <c r="H225" i="25"/>
  <c r="H226" i="25"/>
  <c r="H227" i="25"/>
  <c r="H228" i="25"/>
  <c r="H229" i="25"/>
  <c r="H230" i="25"/>
  <c r="H231" i="25"/>
  <c r="H232" i="25"/>
  <c r="H233" i="25"/>
  <c r="H234" i="25"/>
  <c r="H235" i="25"/>
  <c r="H236" i="25"/>
  <c r="H237" i="25"/>
  <c r="H238" i="25"/>
  <c r="H239" i="25"/>
  <c r="H240" i="25"/>
  <c r="H241" i="25"/>
  <c r="H242" i="25"/>
  <c r="H243" i="25"/>
  <c r="H244" i="25"/>
  <c r="H245" i="25"/>
  <c r="H246" i="25"/>
  <c r="H247" i="25"/>
  <c r="H248" i="25"/>
  <c r="H249" i="25"/>
  <c r="H250" i="25"/>
  <c r="H251" i="25"/>
  <c r="H252" i="25"/>
  <c r="H253" i="25"/>
  <c r="H254" i="25"/>
  <c r="H255" i="25"/>
  <c r="H256" i="25"/>
  <c r="H257" i="25"/>
  <c r="H258" i="25"/>
  <c r="H259" i="25"/>
  <c r="H260" i="25"/>
  <c r="H261" i="25"/>
  <c r="H262" i="25"/>
  <c r="H263" i="25"/>
  <c r="H264" i="25"/>
  <c r="H265" i="25"/>
  <c r="H266" i="25"/>
  <c r="H267" i="25"/>
  <c r="H268" i="25"/>
  <c r="H269" i="25"/>
  <c r="H270" i="25"/>
  <c r="H271" i="25"/>
  <c r="H272" i="25"/>
  <c r="H273" i="25"/>
  <c r="H274" i="25"/>
  <c r="H275" i="25"/>
  <c r="H276" i="25"/>
  <c r="H277" i="25"/>
  <c r="H278" i="25"/>
  <c r="H279" i="25"/>
  <c r="H280" i="25"/>
  <c r="H281" i="25"/>
  <c r="H282" i="25"/>
  <c r="H283" i="25"/>
  <c r="H284" i="25"/>
  <c r="H285" i="25"/>
  <c r="H286" i="25"/>
  <c r="H287" i="25"/>
  <c r="H288" i="25"/>
  <c r="H289" i="25"/>
  <c r="H290" i="25"/>
  <c r="H291" i="25"/>
  <c r="H292" i="25"/>
  <c r="H293" i="25"/>
  <c r="H294" i="25"/>
  <c r="H295" i="25"/>
  <c r="H296" i="25"/>
  <c r="H297" i="25"/>
  <c r="H298" i="25"/>
  <c r="H299" i="25"/>
  <c r="H300" i="25"/>
  <c r="H301" i="25"/>
  <c r="H302" i="25"/>
  <c r="H303" i="25"/>
  <c r="H304" i="25"/>
  <c r="H305" i="25"/>
  <c r="H306" i="25"/>
  <c r="H307" i="25"/>
  <c r="H308" i="25"/>
  <c r="H309" i="25"/>
  <c r="H310" i="25"/>
  <c r="H311" i="25"/>
  <c r="H312" i="25"/>
  <c r="H313" i="25"/>
  <c r="H314" i="25"/>
  <c r="H315" i="25"/>
  <c r="H316" i="25"/>
  <c r="H317" i="25"/>
  <c r="H318" i="25"/>
  <c r="H319" i="25"/>
  <c r="H320" i="25"/>
  <c r="H321" i="25"/>
  <c r="H322" i="25"/>
  <c r="H323" i="25"/>
  <c r="H324" i="25"/>
  <c r="H325" i="25"/>
  <c r="H326" i="25"/>
  <c r="H327" i="25"/>
  <c r="H328" i="25"/>
  <c r="H329" i="25"/>
  <c r="H330" i="25"/>
  <c r="H331" i="25"/>
  <c r="H332" i="25"/>
  <c r="H333" i="25"/>
  <c r="H334" i="25"/>
  <c r="H335" i="25"/>
  <c r="H336" i="25"/>
  <c r="H337" i="25"/>
  <c r="H338" i="25"/>
  <c r="H339" i="25"/>
  <c r="H340" i="25"/>
  <c r="H341" i="25"/>
  <c r="H342" i="25"/>
  <c r="H343" i="25"/>
  <c r="H344" i="25"/>
  <c r="H345" i="25"/>
  <c r="H346" i="25"/>
  <c r="H347" i="25"/>
  <c r="H348" i="25"/>
  <c r="H349" i="25"/>
  <c r="H350" i="25"/>
  <c r="H351" i="25"/>
  <c r="H352" i="25"/>
  <c r="H353" i="25"/>
  <c r="H354" i="25"/>
  <c r="H355" i="25"/>
  <c r="H356" i="25"/>
  <c r="H357" i="25"/>
  <c r="H358" i="25"/>
  <c r="H359" i="25"/>
  <c r="H360" i="25"/>
  <c r="H361" i="25"/>
  <c r="H362" i="25"/>
  <c r="H363" i="25"/>
  <c r="H364" i="25"/>
  <c r="H365" i="25"/>
  <c r="H366" i="25"/>
  <c r="H367" i="25"/>
  <c r="H368" i="25"/>
  <c r="H369" i="25"/>
  <c r="H370" i="25"/>
  <c r="H371" i="25"/>
  <c r="H372" i="25"/>
  <c r="H373" i="25"/>
  <c r="H374" i="25"/>
  <c r="H375" i="25"/>
  <c r="H376" i="25"/>
  <c r="H377" i="25"/>
  <c r="H378" i="25"/>
  <c r="H379" i="25"/>
  <c r="H380" i="25"/>
  <c r="H381" i="25"/>
  <c r="H382" i="25"/>
  <c r="H383" i="25"/>
  <c r="H384" i="25"/>
  <c r="H385" i="25"/>
  <c r="H386" i="25"/>
  <c r="H387" i="25"/>
  <c r="H388" i="25"/>
  <c r="H389" i="25"/>
  <c r="H390" i="25"/>
  <c r="H391" i="25"/>
  <c r="H392" i="25"/>
  <c r="H393" i="25"/>
  <c r="H394" i="25"/>
  <c r="H395" i="25"/>
  <c r="H396" i="25"/>
  <c r="H397" i="25"/>
  <c r="H398" i="25"/>
  <c r="H399" i="25"/>
  <c r="H400" i="25"/>
  <c r="H401" i="25"/>
  <c r="H402" i="25"/>
  <c r="H403" i="25"/>
  <c r="H404" i="25"/>
  <c r="H405" i="25"/>
  <c r="H406" i="25"/>
  <c r="H407" i="25"/>
  <c r="H408" i="25"/>
  <c r="H409" i="25"/>
  <c r="H410" i="25"/>
  <c r="H411" i="25"/>
  <c r="H412" i="25"/>
  <c r="H413" i="25"/>
  <c r="H414" i="25"/>
  <c r="H415" i="25"/>
  <c r="H416" i="25"/>
  <c r="H417" i="25"/>
  <c r="H418" i="25"/>
  <c r="H419" i="25"/>
  <c r="H420" i="25"/>
  <c r="H421" i="25"/>
  <c r="H422" i="25"/>
  <c r="H423" i="25"/>
  <c r="H424" i="25"/>
  <c r="H425" i="25"/>
  <c r="H426" i="25"/>
  <c r="H427" i="25"/>
  <c r="H428" i="25"/>
  <c r="H429" i="25"/>
  <c r="H430" i="25"/>
  <c r="H431" i="25"/>
  <c r="H432" i="25"/>
  <c r="H433" i="25"/>
  <c r="H434" i="25"/>
  <c r="H435" i="25"/>
  <c r="H436" i="25"/>
  <c r="H437" i="25"/>
  <c r="H438" i="25"/>
  <c r="H439" i="25"/>
  <c r="H440" i="25"/>
  <c r="H441" i="25"/>
  <c r="H442" i="25"/>
  <c r="H443" i="25"/>
  <c r="H444" i="25"/>
  <c r="H445" i="25"/>
  <c r="H446" i="25"/>
  <c r="H447" i="25"/>
  <c r="H448" i="25"/>
  <c r="H449" i="25"/>
  <c r="H450" i="25"/>
  <c r="H451" i="25"/>
  <c r="H452" i="25"/>
  <c r="H453" i="25"/>
  <c r="H454" i="25"/>
  <c r="H455" i="25"/>
  <c r="H456" i="25"/>
  <c r="H457" i="25"/>
  <c r="H458" i="25"/>
  <c r="H459" i="25"/>
  <c r="H460" i="25"/>
  <c r="H461" i="25"/>
  <c r="H462" i="25"/>
  <c r="H463" i="25"/>
  <c r="H464" i="25"/>
  <c r="H465" i="25"/>
  <c r="H466" i="25"/>
  <c r="H467" i="25"/>
  <c r="H468" i="25"/>
  <c r="H469" i="25"/>
  <c r="H470" i="25"/>
  <c r="H471" i="25"/>
  <c r="H472" i="25"/>
  <c r="H473" i="25"/>
  <c r="H474" i="25"/>
  <c r="H475" i="25"/>
  <c r="H476" i="25"/>
  <c r="H477" i="25"/>
  <c r="H478" i="25"/>
  <c r="H479" i="25"/>
  <c r="H480" i="25"/>
  <c r="H481" i="25"/>
  <c r="H482" i="25"/>
  <c r="H483" i="25"/>
  <c r="H484" i="25"/>
  <c r="H485" i="25"/>
  <c r="H486" i="25"/>
  <c r="H487" i="25"/>
  <c r="H488" i="25"/>
  <c r="H489" i="25"/>
  <c r="H490" i="25"/>
  <c r="H491" i="25"/>
  <c r="H492" i="25"/>
  <c r="H493" i="25"/>
  <c r="H494" i="25"/>
  <c r="H495" i="25"/>
  <c r="H496" i="25"/>
  <c r="H497" i="25"/>
  <c r="H498" i="25"/>
  <c r="H499" i="25"/>
  <c r="E99" i="25"/>
  <c r="E100" i="25"/>
  <c r="E101" i="25"/>
  <c r="E102" i="25"/>
  <c r="E103" i="25"/>
  <c r="E104" i="25"/>
  <c r="E105" i="25"/>
  <c r="E106" i="25"/>
  <c r="E107" i="25"/>
  <c r="E108" i="25"/>
  <c r="E109" i="25"/>
  <c r="E110" i="25"/>
  <c r="E111" i="25"/>
  <c r="E112" i="25"/>
  <c r="E113" i="25"/>
  <c r="E114" i="25"/>
  <c r="E115" i="25"/>
  <c r="E116" i="25"/>
  <c r="E117" i="25"/>
  <c r="E118" i="25"/>
  <c r="E119" i="25"/>
  <c r="E120" i="25"/>
  <c r="E121" i="25"/>
  <c r="E122" i="25"/>
  <c r="E123" i="25"/>
  <c r="E124" i="25"/>
  <c r="E125" i="25"/>
  <c r="E126" i="25"/>
  <c r="E127" i="25"/>
  <c r="E128" i="25"/>
  <c r="E129" i="25"/>
  <c r="E130" i="25"/>
  <c r="E131" i="25"/>
  <c r="E132" i="25"/>
  <c r="E133" i="25"/>
  <c r="E134" i="25"/>
  <c r="E135" i="25"/>
  <c r="E136" i="25"/>
  <c r="E137" i="25"/>
  <c r="E138" i="25"/>
  <c r="E139" i="25"/>
  <c r="E140" i="25"/>
  <c r="E141" i="25"/>
  <c r="E142" i="25"/>
  <c r="E143" i="25"/>
  <c r="E144" i="25"/>
  <c r="E145" i="25"/>
  <c r="E146" i="25"/>
  <c r="E147" i="25"/>
  <c r="E148" i="25"/>
  <c r="E149" i="25"/>
  <c r="E150" i="25"/>
  <c r="E151" i="25"/>
  <c r="E152" i="25"/>
  <c r="E153" i="25"/>
  <c r="E154" i="25"/>
  <c r="E155" i="25"/>
  <c r="E156" i="25"/>
  <c r="E157" i="25"/>
  <c r="E158" i="25"/>
  <c r="E159" i="25"/>
  <c r="E160" i="25"/>
  <c r="E161" i="25"/>
  <c r="E162" i="25"/>
  <c r="E163" i="25"/>
  <c r="E164" i="25"/>
  <c r="E165" i="25"/>
  <c r="E166" i="25"/>
  <c r="E167" i="25"/>
  <c r="E168" i="25"/>
  <c r="E169" i="25"/>
  <c r="E170" i="25"/>
  <c r="E171" i="25"/>
  <c r="E172" i="25"/>
  <c r="E173" i="25"/>
  <c r="E174" i="25"/>
  <c r="E175" i="25"/>
  <c r="E176" i="25"/>
  <c r="E177" i="25"/>
  <c r="E178" i="25"/>
  <c r="E179" i="25"/>
  <c r="E180" i="25"/>
  <c r="E181" i="25"/>
  <c r="E182" i="25"/>
  <c r="E183" i="25"/>
  <c r="E184" i="25"/>
  <c r="E185" i="25"/>
  <c r="E186" i="25"/>
  <c r="E187" i="25"/>
  <c r="E188" i="25"/>
  <c r="E189" i="25"/>
  <c r="E190" i="25"/>
  <c r="E191" i="25"/>
  <c r="E192" i="25"/>
  <c r="E193" i="25"/>
  <c r="E194" i="25"/>
  <c r="E195" i="25"/>
  <c r="E196" i="25"/>
  <c r="E197" i="25"/>
  <c r="E198" i="25"/>
  <c r="E199" i="25"/>
  <c r="E200" i="25"/>
  <c r="E201" i="25"/>
  <c r="E202" i="25"/>
  <c r="E203" i="25"/>
  <c r="E204" i="25"/>
  <c r="E205" i="25"/>
  <c r="E206" i="25"/>
  <c r="E207" i="25"/>
  <c r="E208" i="25"/>
  <c r="E209" i="25"/>
  <c r="E210" i="25"/>
  <c r="E211" i="25"/>
  <c r="E212" i="25"/>
  <c r="E213" i="25"/>
  <c r="E214" i="25"/>
  <c r="E215" i="25"/>
  <c r="E216" i="25"/>
  <c r="E217" i="25"/>
  <c r="E218" i="25"/>
  <c r="E219" i="25"/>
  <c r="E220" i="25"/>
  <c r="E221" i="25"/>
  <c r="E222" i="25"/>
  <c r="E223" i="25"/>
  <c r="E224" i="25"/>
  <c r="E225" i="25"/>
  <c r="E226" i="25"/>
  <c r="E227" i="25"/>
  <c r="E228" i="25"/>
  <c r="E229" i="25"/>
  <c r="E230" i="25"/>
  <c r="E231" i="25"/>
  <c r="E232" i="25"/>
  <c r="E233" i="25"/>
  <c r="E234" i="25"/>
  <c r="E235" i="25"/>
  <c r="E236" i="25"/>
  <c r="E237" i="25"/>
  <c r="E238" i="25"/>
  <c r="E239" i="25"/>
  <c r="E240" i="25"/>
  <c r="E241" i="25"/>
  <c r="E242" i="25"/>
  <c r="E243" i="25"/>
  <c r="E244" i="25"/>
  <c r="E245" i="25"/>
  <c r="E246" i="25"/>
  <c r="E247" i="25"/>
  <c r="E248" i="25"/>
  <c r="E249" i="25"/>
  <c r="E250" i="25"/>
  <c r="E251" i="25"/>
  <c r="E252" i="25"/>
  <c r="E253" i="25"/>
  <c r="E254" i="25"/>
  <c r="E255" i="25"/>
  <c r="E256" i="25"/>
  <c r="E257" i="25"/>
  <c r="E258" i="25"/>
  <c r="E259" i="25"/>
  <c r="E260" i="25"/>
  <c r="E261" i="25"/>
  <c r="E262" i="25"/>
  <c r="E263" i="25"/>
  <c r="E264" i="25"/>
  <c r="E265" i="25"/>
  <c r="E266" i="25"/>
  <c r="E267" i="25"/>
  <c r="E268" i="25"/>
  <c r="E269" i="25"/>
  <c r="E270" i="25"/>
  <c r="E271" i="25"/>
  <c r="E272" i="25"/>
  <c r="E273" i="25"/>
  <c r="E274" i="25"/>
  <c r="E275" i="25"/>
  <c r="E276" i="25"/>
  <c r="E277" i="25"/>
  <c r="E278" i="25"/>
  <c r="E279" i="25"/>
  <c r="E280" i="25"/>
  <c r="E281" i="25"/>
  <c r="E282" i="25"/>
  <c r="E283" i="25"/>
  <c r="E284" i="25"/>
  <c r="E285" i="25"/>
  <c r="E286" i="25"/>
  <c r="E287" i="25"/>
  <c r="E288" i="25"/>
  <c r="E289" i="25"/>
  <c r="E290" i="25"/>
  <c r="E291" i="25"/>
  <c r="E292" i="25"/>
  <c r="E293" i="25"/>
  <c r="E294" i="25"/>
  <c r="E295" i="25"/>
  <c r="E296" i="25"/>
  <c r="E297" i="25"/>
  <c r="E298" i="25"/>
  <c r="E299" i="25"/>
  <c r="E300" i="25"/>
  <c r="E301" i="25"/>
  <c r="E302" i="25"/>
  <c r="E303" i="25"/>
  <c r="E304" i="25"/>
  <c r="E305" i="25"/>
  <c r="E306" i="25"/>
  <c r="E307" i="25"/>
  <c r="E308" i="25"/>
  <c r="E309" i="25"/>
  <c r="E310" i="25"/>
  <c r="E311" i="25"/>
  <c r="E312" i="25"/>
  <c r="E313" i="25"/>
  <c r="E314" i="25"/>
  <c r="E315" i="25"/>
  <c r="E316" i="25"/>
  <c r="E317" i="25"/>
  <c r="E318" i="25"/>
  <c r="E319" i="25"/>
  <c r="E320" i="25"/>
  <c r="E321" i="25"/>
  <c r="E322" i="25"/>
  <c r="E323" i="25"/>
  <c r="E324" i="25"/>
  <c r="E325" i="25"/>
  <c r="E326" i="25"/>
  <c r="E327" i="25"/>
  <c r="E328" i="25"/>
  <c r="E329" i="25"/>
  <c r="E330" i="25"/>
  <c r="E331" i="25"/>
  <c r="E332" i="25"/>
  <c r="E333" i="25"/>
  <c r="E334" i="25"/>
  <c r="E335" i="25"/>
  <c r="E336" i="25"/>
  <c r="E337" i="25"/>
  <c r="E338" i="25"/>
  <c r="E339" i="25"/>
  <c r="E340" i="25"/>
  <c r="E341" i="25"/>
  <c r="E342" i="25"/>
  <c r="E343" i="25"/>
  <c r="E344" i="25"/>
  <c r="E345" i="25"/>
  <c r="E346" i="25"/>
  <c r="E347" i="25"/>
  <c r="E348" i="25"/>
  <c r="E349" i="25"/>
  <c r="E350" i="25"/>
  <c r="E351" i="25"/>
  <c r="E352" i="25"/>
  <c r="E353" i="25"/>
  <c r="E354" i="25"/>
  <c r="E355" i="25"/>
  <c r="E356" i="25"/>
  <c r="E357" i="25"/>
  <c r="E358" i="25"/>
  <c r="E359" i="25"/>
  <c r="E360" i="25"/>
  <c r="E361" i="25"/>
  <c r="E362" i="25"/>
  <c r="E363" i="25"/>
  <c r="E364" i="25"/>
  <c r="E365" i="25"/>
  <c r="E366" i="25"/>
  <c r="E367" i="25"/>
  <c r="E368" i="25"/>
  <c r="E369" i="25"/>
  <c r="E370" i="25"/>
  <c r="E371" i="25"/>
  <c r="E372" i="25"/>
  <c r="E373" i="25"/>
  <c r="E374" i="25"/>
  <c r="E375" i="25"/>
  <c r="E376" i="25"/>
  <c r="E377" i="25"/>
  <c r="E378" i="25"/>
  <c r="E379" i="25"/>
  <c r="E380" i="25"/>
  <c r="E381" i="25"/>
  <c r="E382" i="25"/>
  <c r="E383" i="25"/>
  <c r="E384" i="25"/>
  <c r="E385" i="25"/>
  <c r="E386" i="25"/>
  <c r="E387" i="25"/>
  <c r="E388" i="25"/>
  <c r="E389" i="25"/>
  <c r="E390" i="25"/>
  <c r="E391" i="25"/>
  <c r="E392" i="25"/>
  <c r="E393" i="25"/>
  <c r="E394" i="25"/>
  <c r="E395" i="25"/>
  <c r="E396" i="25"/>
  <c r="E397" i="25"/>
  <c r="E398" i="25"/>
  <c r="E399" i="25"/>
  <c r="E400" i="25"/>
  <c r="E401" i="25"/>
  <c r="E402" i="25"/>
  <c r="E403" i="25"/>
  <c r="E404" i="25"/>
  <c r="E405" i="25"/>
  <c r="E406" i="25"/>
  <c r="E407" i="25"/>
  <c r="E408" i="25"/>
  <c r="E409" i="25"/>
  <c r="E410" i="25"/>
  <c r="E411" i="25"/>
  <c r="E412" i="25"/>
  <c r="E413" i="25"/>
  <c r="E414" i="25"/>
  <c r="E415" i="25"/>
  <c r="E416" i="25"/>
  <c r="E417" i="25"/>
  <c r="E418" i="25"/>
  <c r="E419" i="25"/>
  <c r="E420" i="25"/>
  <c r="E421" i="25"/>
  <c r="E422" i="25"/>
  <c r="E423" i="25"/>
  <c r="E424" i="25"/>
  <c r="E425" i="25"/>
  <c r="E426" i="25"/>
  <c r="E427" i="25"/>
  <c r="E428" i="25"/>
  <c r="E429" i="25"/>
  <c r="E430" i="25"/>
  <c r="E431" i="25"/>
  <c r="E432" i="25"/>
  <c r="E433" i="25"/>
  <c r="E434" i="25"/>
  <c r="E435" i="25"/>
  <c r="E436" i="25"/>
  <c r="E437" i="25"/>
  <c r="E438" i="25"/>
  <c r="E439" i="25"/>
  <c r="E440" i="25"/>
  <c r="E441" i="25"/>
  <c r="E442" i="25"/>
  <c r="E443" i="25"/>
  <c r="E444" i="25"/>
  <c r="E445" i="25"/>
  <c r="E446" i="25"/>
  <c r="E447" i="25"/>
  <c r="E448" i="25"/>
  <c r="E449" i="25"/>
  <c r="E450" i="25"/>
  <c r="E451" i="25"/>
  <c r="E452" i="25"/>
  <c r="E453" i="25"/>
  <c r="E454" i="25"/>
  <c r="E455" i="25"/>
  <c r="E456" i="25"/>
  <c r="E457" i="25"/>
  <c r="E458" i="25"/>
  <c r="E459" i="25"/>
  <c r="E460" i="25"/>
  <c r="E461" i="25"/>
  <c r="E462" i="25"/>
  <c r="E463" i="25"/>
  <c r="E464" i="25"/>
  <c r="E465" i="25"/>
  <c r="E466" i="25"/>
  <c r="E467" i="25"/>
  <c r="E468" i="25"/>
  <c r="E469" i="25"/>
  <c r="E470" i="25"/>
  <c r="E471" i="25"/>
  <c r="E472" i="25"/>
  <c r="E473" i="25"/>
  <c r="E474" i="25"/>
  <c r="E475" i="25"/>
  <c r="E476" i="25"/>
  <c r="E477" i="25"/>
  <c r="E478" i="25"/>
  <c r="E479" i="25"/>
  <c r="E480" i="25"/>
  <c r="E481" i="25"/>
  <c r="E482" i="25"/>
  <c r="E483" i="25"/>
  <c r="E484" i="25"/>
  <c r="E485" i="25"/>
  <c r="E486" i="25"/>
  <c r="E487" i="25"/>
  <c r="E488" i="25"/>
  <c r="E489" i="25"/>
  <c r="E490" i="25"/>
  <c r="E491" i="25"/>
  <c r="E492" i="25"/>
  <c r="E493" i="25"/>
  <c r="E494" i="25"/>
  <c r="E495" i="25"/>
  <c r="E496" i="25"/>
  <c r="E497" i="25"/>
  <c r="E498" i="25"/>
  <c r="E499" i="25"/>
  <c r="E500" i="25"/>
  <c r="E501" i="25"/>
  <c r="E502" i="25"/>
  <c r="E503" i="25"/>
  <c r="E504" i="25"/>
  <c r="E505" i="25"/>
  <c r="E506" i="25"/>
  <c r="E507" i="25"/>
  <c r="E508" i="25"/>
  <c r="E509" i="25"/>
  <c r="E510" i="25"/>
  <c r="E511" i="25"/>
  <c r="E512" i="25"/>
  <c r="E513" i="25"/>
  <c r="E514" i="25"/>
  <c r="E515" i="25"/>
  <c r="E516" i="25"/>
  <c r="E517" i="25"/>
  <c r="E518" i="25"/>
  <c r="E519" i="25"/>
  <c r="E520" i="25"/>
  <c r="E521" i="25"/>
  <c r="E522" i="25"/>
  <c r="E523" i="25"/>
  <c r="E524" i="25"/>
  <c r="E525" i="25"/>
  <c r="E526" i="25"/>
  <c r="E527" i="25"/>
  <c r="E528" i="25"/>
  <c r="E529" i="25"/>
  <c r="E530" i="25"/>
  <c r="E531" i="25"/>
  <c r="E532" i="25"/>
  <c r="E533" i="25"/>
  <c r="E534" i="25"/>
  <c r="E535" i="25"/>
  <c r="E536" i="25"/>
  <c r="E537" i="25"/>
  <c r="E538" i="25"/>
  <c r="E539" i="25"/>
  <c r="E540" i="25"/>
  <c r="E541" i="25"/>
  <c r="E542" i="25"/>
  <c r="E543" i="25"/>
  <c r="E544" i="25"/>
  <c r="E545" i="25"/>
  <c r="E546" i="25"/>
  <c r="E547" i="25"/>
  <c r="E548" i="25"/>
  <c r="E549" i="25"/>
  <c r="E550" i="25"/>
  <c r="E551" i="25"/>
  <c r="E552" i="25"/>
  <c r="E553" i="25"/>
  <c r="E554" i="25"/>
  <c r="E555" i="25"/>
  <c r="E556" i="25"/>
  <c r="E557" i="25"/>
  <c r="E558" i="25"/>
  <c r="E559" i="25"/>
  <c r="E560" i="25"/>
  <c r="E561" i="25"/>
  <c r="E562" i="25"/>
  <c r="E563" i="25"/>
  <c r="E564" i="25"/>
  <c r="E565" i="25"/>
  <c r="E566" i="25"/>
  <c r="E567" i="25"/>
  <c r="E568" i="25"/>
  <c r="E569" i="25"/>
  <c r="E570" i="25"/>
  <c r="E571" i="25"/>
  <c r="E572" i="25"/>
  <c r="E573" i="25"/>
  <c r="E574" i="25"/>
  <c r="E575" i="25"/>
  <c r="E576" i="25"/>
  <c r="E577" i="25"/>
  <c r="E578" i="25"/>
  <c r="E579" i="25"/>
  <c r="E580" i="25"/>
  <c r="E581" i="25"/>
  <c r="E582" i="25"/>
  <c r="E583" i="25"/>
  <c r="E584" i="25"/>
  <c r="E585" i="25"/>
  <c r="E586" i="25"/>
  <c r="E587" i="25"/>
  <c r="E588" i="25"/>
  <c r="E589" i="25"/>
  <c r="E590" i="25"/>
  <c r="E591" i="25"/>
  <c r="E592" i="25"/>
  <c r="E593" i="25"/>
  <c r="E594" i="25"/>
  <c r="E595" i="25"/>
  <c r="E596" i="25"/>
  <c r="E597" i="25"/>
  <c r="E598" i="25"/>
  <c r="E599" i="25"/>
  <c r="E600" i="25"/>
  <c r="E601" i="25"/>
  <c r="E602" i="25"/>
  <c r="E603" i="25"/>
  <c r="E604" i="25"/>
  <c r="E605" i="25"/>
  <c r="E606" i="25"/>
  <c r="E607" i="25"/>
  <c r="E608" i="25"/>
  <c r="E609" i="25"/>
  <c r="E610" i="25"/>
  <c r="E611" i="25"/>
  <c r="E612" i="25"/>
  <c r="E613" i="25"/>
  <c r="E614" i="25"/>
  <c r="E615" i="25"/>
  <c r="E616" i="25"/>
  <c r="E617" i="25"/>
  <c r="E618" i="25"/>
  <c r="E619" i="25"/>
  <c r="E620" i="25"/>
  <c r="E621" i="25"/>
  <c r="E622" i="25"/>
  <c r="E623" i="25"/>
  <c r="E624" i="25"/>
  <c r="E625" i="25"/>
  <c r="E626" i="25"/>
  <c r="E627" i="25"/>
  <c r="E628" i="25"/>
  <c r="E629" i="25"/>
  <c r="E630" i="25"/>
  <c r="E631" i="25"/>
  <c r="E632" i="25"/>
  <c r="E633" i="25"/>
  <c r="E634" i="25"/>
  <c r="E635" i="25"/>
  <c r="E636" i="25"/>
  <c r="E637" i="25"/>
  <c r="E638" i="25"/>
  <c r="E639" i="25"/>
  <c r="E640" i="25"/>
  <c r="E641" i="25"/>
  <c r="E642" i="25"/>
  <c r="E643" i="25"/>
  <c r="E644" i="25"/>
  <c r="E645" i="25"/>
  <c r="E646" i="25"/>
  <c r="E647" i="25"/>
  <c r="E648" i="25"/>
  <c r="E649" i="25"/>
  <c r="E650" i="25"/>
  <c r="E651" i="25"/>
  <c r="E652" i="25"/>
  <c r="E653" i="25"/>
  <c r="E654" i="25"/>
  <c r="E655" i="25"/>
  <c r="E656" i="25"/>
  <c r="E657" i="25"/>
  <c r="E658" i="25"/>
  <c r="E659" i="25"/>
  <c r="E660" i="25"/>
  <c r="E661" i="25"/>
  <c r="E662" i="25"/>
  <c r="E663" i="25"/>
  <c r="E664" i="25"/>
  <c r="E665" i="25"/>
  <c r="E666" i="25"/>
  <c r="E667" i="25"/>
  <c r="E668" i="25"/>
  <c r="E669" i="25"/>
  <c r="E670" i="25"/>
  <c r="E671" i="25"/>
  <c r="E672" i="25"/>
  <c r="E673" i="25"/>
  <c r="E674" i="25"/>
  <c r="E675" i="25"/>
  <c r="E676" i="25"/>
  <c r="E677" i="25"/>
  <c r="E678" i="25"/>
  <c r="E679" i="25"/>
  <c r="E680" i="25"/>
  <c r="E681" i="25"/>
  <c r="E682" i="25"/>
  <c r="E683" i="25"/>
  <c r="E684" i="25"/>
  <c r="E685" i="25"/>
  <c r="E686" i="25"/>
  <c r="E687" i="25"/>
  <c r="E688" i="25"/>
  <c r="E689" i="25"/>
  <c r="E690" i="25"/>
  <c r="E691" i="25"/>
  <c r="E692" i="25"/>
  <c r="E693" i="25"/>
  <c r="E694" i="25"/>
  <c r="E695" i="25"/>
  <c r="E696" i="25"/>
  <c r="E697" i="25"/>
  <c r="E698" i="25"/>
  <c r="E699" i="25"/>
  <c r="E700" i="25"/>
  <c r="E701" i="25"/>
  <c r="E702" i="25"/>
  <c r="E703" i="25"/>
  <c r="E704" i="25"/>
  <c r="E705" i="25"/>
  <c r="E706" i="25"/>
  <c r="E707" i="25"/>
  <c r="E708" i="25"/>
  <c r="E709" i="25"/>
  <c r="E710" i="25"/>
  <c r="E711" i="25"/>
  <c r="E712" i="25"/>
  <c r="E713" i="25"/>
  <c r="E714" i="25"/>
  <c r="E715" i="25"/>
  <c r="E716" i="25"/>
  <c r="E717" i="25"/>
  <c r="E718" i="25"/>
  <c r="E719" i="25"/>
  <c r="E720" i="25"/>
  <c r="E721" i="25"/>
  <c r="E722" i="25"/>
  <c r="E723" i="25"/>
  <c r="E724" i="25"/>
  <c r="E725" i="25"/>
  <c r="E726" i="25"/>
  <c r="E727" i="25"/>
  <c r="E728" i="25"/>
  <c r="E729" i="25"/>
  <c r="E730" i="25"/>
  <c r="E731" i="25"/>
  <c r="E732" i="25"/>
  <c r="E733" i="25"/>
  <c r="E734" i="25"/>
  <c r="E735" i="25"/>
  <c r="E736" i="25"/>
  <c r="E737" i="25"/>
  <c r="E738" i="25"/>
  <c r="E739" i="25"/>
  <c r="E740" i="25"/>
  <c r="E741" i="25"/>
  <c r="E742" i="25"/>
  <c r="E743" i="25"/>
  <c r="E744" i="25"/>
  <c r="E745" i="25"/>
  <c r="E746" i="25"/>
  <c r="E747" i="25"/>
  <c r="E748" i="25"/>
  <c r="E749" i="25"/>
  <c r="E750" i="25"/>
  <c r="E751" i="25"/>
  <c r="E752" i="25"/>
  <c r="E753" i="25"/>
  <c r="E754" i="25"/>
  <c r="E755" i="25"/>
  <c r="E756" i="25"/>
  <c r="E757" i="25"/>
  <c r="E758" i="25"/>
  <c r="E759" i="25"/>
  <c r="E760" i="25"/>
  <c r="E761" i="25"/>
  <c r="E762" i="25"/>
  <c r="E763" i="25"/>
  <c r="E764" i="25"/>
  <c r="E765" i="25"/>
  <c r="E766" i="25"/>
  <c r="E767" i="25"/>
  <c r="E768" i="25"/>
  <c r="E769" i="25"/>
  <c r="E770" i="25"/>
  <c r="E771" i="25"/>
  <c r="E772" i="25"/>
  <c r="E773" i="25"/>
  <c r="E774" i="25"/>
  <c r="E775" i="25"/>
  <c r="E776" i="25"/>
  <c r="E777" i="25"/>
  <c r="E778" i="25"/>
  <c r="E779" i="25"/>
  <c r="E780" i="25"/>
  <c r="E781" i="25"/>
  <c r="E782" i="25"/>
  <c r="E783" i="25"/>
  <c r="E784" i="25"/>
  <c r="E785" i="25"/>
  <c r="E786" i="25"/>
  <c r="E787" i="25"/>
  <c r="E788" i="25"/>
  <c r="E789" i="25"/>
  <c r="E790" i="25"/>
  <c r="E791" i="25"/>
  <c r="E792" i="25"/>
  <c r="E793" i="25"/>
  <c r="E794" i="25"/>
  <c r="E795" i="25"/>
  <c r="E796" i="25"/>
  <c r="E797" i="25"/>
  <c r="E798" i="25"/>
  <c r="E799" i="25"/>
  <c r="E800" i="25"/>
  <c r="E801" i="25"/>
  <c r="E802" i="25"/>
  <c r="E803" i="25"/>
  <c r="E804" i="25"/>
  <c r="E805" i="25"/>
  <c r="E806" i="25"/>
  <c r="E807" i="25"/>
  <c r="E808" i="25"/>
  <c r="E809" i="25"/>
  <c r="E810" i="25"/>
  <c r="E811" i="25"/>
  <c r="E812" i="25"/>
  <c r="E813" i="25"/>
  <c r="E814" i="25"/>
  <c r="E815" i="25"/>
  <c r="E816" i="25"/>
  <c r="E817" i="25"/>
  <c r="E818" i="25"/>
  <c r="E819" i="25"/>
  <c r="E820" i="25"/>
  <c r="E821" i="25"/>
  <c r="E822" i="25"/>
  <c r="E823" i="25"/>
  <c r="E824" i="25"/>
  <c r="E825" i="25"/>
  <c r="E826" i="25"/>
  <c r="E827" i="25"/>
  <c r="E828" i="25"/>
  <c r="E829" i="25"/>
  <c r="E830" i="25"/>
  <c r="E831" i="25"/>
  <c r="E832" i="25"/>
  <c r="E833" i="25"/>
  <c r="E834" i="25"/>
  <c r="E835" i="25"/>
  <c r="E836" i="25"/>
  <c r="E837" i="25"/>
  <c r="E838" i="25"/>
  <c r="E839" i="25"/>
  <c r="E840" i="25"/>
  <c r="E841" i="25"/>
  <c r="E842" i="25"/>
  <c r="E843" i="25"/>
  <c r="E844" i="25"/>
  <c r="E845" i="25"/>
  <c r="E846" i="25"/>
  <c r="E847" i="25"/>
  <c r="E848" i="25"/>
  <c r="E849" i="25"/>
  <c r="E850" i="25"/>
  <c r="E851" i="25"/>
  <c r="E852" i="25"/>
  <c r="E853" i="25"/>
  <c r="E854" i="25"/>
  <c r="E855" i="25"/>
  <c r="E856" i="25"/>
  <c r="E857" i="25"/>
  <c r="E858" i="25"/>
  <c r="E859" i="25"/>
  <c r="E860" i="25"/>
  <c r="E861" i="25"/>
  <c r="E862" i="25"/>
  <c r="E863" i="25"/>
  <c r="E864" i="25"/>
  <c r="E865" i="25"/>
  <c r="E866" i="25"/>
  <c r="E867" i="25"/>
  <c r="E868" i="25"/>
  <c r="E869" i="25"/>
  <c r="E870" i="25"/>
  <c r="E871" i="25"/>
  <c r="E872" i="25"/>
  <c r="E873" i="25"/>
  <c r="E874" i="25"/>
  <c r="E875" i="25"/>
  <c r="E876" i="25"/>
  <c r="E877" i="25"/>
  <c r="E878" i="25"/>
  <c r="E879" i="25"/>
  <c r="E880" i="25"/>
  <c r="E881" i="25"/>
  <c r="E882" i="25"/>
  <c r="E883" i="25"/>
  <c r="E884" i="25"/>
  <c r="E885" i="25"/>
  <c r="E886" i="25"/>
  <c r="E887" i="25"/>
  <c r="E888" i="25"/>
  <c r="E889" i="25"/>
  <c r="E890" i="25"/>
  <c r="E891" i="25"/>
  <c r="E892" i="25"/>
  <c r="E893" i="25"/>
  <c r="E894" i="25"/>
  <c r="E895" i="25"/>
  <c r="E896" i="25"/>
  <c r="E897" i="25"/>
  <c r="E898" i="25"/>
  <c r="E899" i="25"/>
  <c r="E900" i="25"/>
  <c r="E901" i="25"/>
  <c r="E902" i="25"/>
  <c r="E903" i="25"/>
  <c r="E904" i="25"/>
  <c r="E905" i="25"/>
  <c r="E906" i="25"/>
  <c r="E907" i="25"/>
  <c r="E908" i="25"/>
  <c r="E909" i="25"/>
  <c r="E910" i="25"/>
  <c r="E911" i="25"/>
  <c r="E912" i="25"/>
  <c r="E913" i="25"/>
  <c r="E914" i="25"/>
  <c r="E915" i="25"/>
  <c r="E916" i="25"/>
  <c r="E917" i="25"/>
  <c r="E918" i="25"/>
  <c r="E919" i="25"/>
  <c r="E920" i="25"/>
  <c r="E921" i="25"/>
  <c r="E922" i="25"/>
  <c r="E923" i="25"/>
  <c r="E924" i="25"/>
  <c r="E925" i="25"/>
  <c r="E926" i="25"/>
  <c r="E927" i="25"/>
  <c r="E928" i="25"/>
  <c r="E929" i="25"/>
  <c r="E930" i="25"/>
  <c r="E931" i="25"/>
  <c r="E932" i="25"/>
  <c r="E933" i="25"/>
  <c r="E934" i="25"/>
  <c r="E935" i="25"/>
  <c r="E936" i="25"/>
  <c r="E937" i="25"/>
  <c r="E938" i="25"/>
  <c r="E939" i="25"/>
  <c r="E940" i="25"/>
  <c r="E941" i="25"/>
  <c r="E942" i="25"/>
  <c r="E943" i="25"/>
  <c r="E944" i="25"/>
  <c r="E945" i="25"/>
  <c r="E946" i="25"/>
  <c r="E947" i="25"/>
  <c r="E948" i="25"/>
  <c r="E949" i="25"/>
  <c r="E950" i="25"/>
  <c r="E951" i="25"/>
  <c r="E952" i="25"/>
  <c r="E953" i="25"/>
  <c r="E954" i="25"/>
  <c r="E955" i="25"/>
  <c r="E956" i="25"/>
  <c r="E957" i="25"/>
  <c r="E958" i="25"/>
  <c r="E959" i="25"/>
  <c r="E960" i="25"/>
  <c r="E961" i="25"/>
  <c r="E962" i="25"/>
  <c r="E963" i="25"/>
  <c r="E964" i="25"/>
  <c r="E965" i="25"/>
  <c r="E966" i="25"/>
  <c r="E967" i="25"/>
  <c r="E968" i="25"/>
  <c r="E969" i="25"/>
  <c r="E970" i="25"/>
  <c r="E971" i="25"/>
  <c r="E972" i="25"/>
  <c r="E973" i="25"/>
  <c r="E974" i="25"/>
  <c r="E975" i="25"/>
  <c r="E976" i="25"/>
  <c r="E977" i="25"/>
  <c r="E978" i="25"/>
  <c r="E979" i="25"/>
  <c r="E980" i="25"/>
  <c r="E981" i="25"/>
  <c r="E982" i="25"/>
  <c r="E983" i="25"/>
  <c r="E984" i="25"/>
  <c r="E985" i="25"/>
  <c r="E986" i="25"/>
  <c r="E987" i="25"/>
  <c r="E988" i="25"/>
  <c r="E989" i="25"/>
  <c r="E990" i="25"/>
  <c r="E991" i="25"/>
  <c r="E992" i="25"/>
  <c r="E993" i="25"/>
  <c r="E994" i="25"/>
  <c r="E995" i="25"/>
  <c r="E996" i="25"/>
  <c r="E997" i="25"/>
  <c r="E998" i="25"/>
  <c r="E999" i="25"/>
  <c r="E1000" i="25"/>
  <c r="E1001" i="25"/>
  <c r="E1002" i="25"/>
  <c r="E1003" i="25"/>
  <c r="E1004" i="25"/>
  <c r="E1005" i="25"/>
  <c r="E1006" i="25"/>
  <c r="E1007" i="25"/>
  <c r="E1008" i="25"/>
  <c r="E1009" i="25"/>
  <c r="E1010" i="25"/>
  <c r="E1011" i="25"/>
  <c r="E1012" i="25"/>
  <c r="E1013" i="25"/>
  <c r="E1014" i="25"/>
  <c r="E1015" i="25"/>
  <c r="E1016" i="25"/>
  <c r="E1017" i="25"/>
  <c r="E1018" i="25"/>
  <c r="E1019" i="25"/>
  <c r="E1020" i="25"/>
  <c r="E1021" i="25"/>
  <c r="E1022" i="25"/>
  <c r="E1023" i="25"/>
  <c r="E1024" i="25"/>
  <c r="E1025" i="25"/>
  <c r="E1026" i="25"/>
  <c r="E1027" i="25"/>
  <c r="E1028" i="25"/>
  <c r="E1029" i="25"/>
  <c r="E1030" i="25"/>
  <c r="E1031" i="25"/>
  <c r="E1032" i="25"/>
  <c r="E1033" i="25"/>
  <c r="E1034" i="25"/>
  <c r="E1035" i="25"/>
  <c r="E1036" i="25"/>
  <c r="E1037" i="25"/>
  <c r="E1038" i="25"/>
  <c r="E1039" i="25"/>
  <c r="E1040" i="25"/>
  <c r="E1041" i="25"/>
  <c r="E1042" i="25"/>
  <c r="E1043" i="25"/>
  <c r="E1044" i="25"/>
  <c r="E1045" i="25"/>
  <c r="E1046" i="25"/>
  <c r="E1047" i="25"/>
  <c r="E1048" i="25"/>
  <c r="E1049" i="25"/>
  <c r="E1050" i="25"/>
  <c r="E1051" i="25"/>
  <c r="E1052" i="25"/>
  <c r="E1053" i="25"/>
  <c r="E1057" i="25"/>
  <c r="E1058" i="25"/>
  <c r="E1059" i="25"/>
  <c r="E1060" i="25"/>
  <c r="E1061" i="25"/>
  <c r="E1062" i="25"/>
  <c r="E1063" i="25"/>
  <c r="E1064" i="25"/>
  <c r="E1065" i="25"/>
  <c r="E1066" i="25"/>
  <c r="E1067" i="25"/>
  <c r="E1068" i="25"/>
  <c r="E1069" i="25"/>
  <c r="E1070" i="25"/>
  <c r="E1071" i="25"/>
  <c r="E1072" i="25"/>
  <c r="E1073" i="25"/>
  <c r="E1074" i="25"/>
  <c r="E1075" i="25"/>
  <c r="E1076" i="25"/>
  <c r="E1077" i="25"/>
  <c r="E1078" i="25"/>
  <c r="E1079" i="25"/>
  <c r="E1080" i="25"/>
  <c r="E1081" i="25"/>
  <c r="E1082" i="25"/>
  <c r="E1083" i="25"/>
  <c r="E1084" i="25"/>
  <c r="E1085" i="25"/>
  <c r="E1086" i="25"/>
  <c r="E1087" i="25"/>
  <c r="E1088" i="25"/>
  <c r="E1089" i="25"/>
  <c r="E1090" i="25"/>
  <c r="E1091" i="25"/>
  <c r="E1092" i="25"/>
  <c r="E1093" i="25"/>
  <c r="E1094" i="25"/>
  <c r="E1095" i="25"/>
  <c r="E1096" i="25"/>
  <c r="E1097" i="25"/>
  <c r="E1098" i="25"/>
  <c r="E1099" i="25"/>
  <c r="E1100" i="25"/>
  <c r="E1101" i="25"/>
  <c r="E1102" i="25"/>
  <c r="E1103" i="25"/>
  <c r="E1104" i="25"/>
  <c r="E1105" i="25"/>
  <c r="E1106" i="25"/>
  <c r="E1107" i="25"/>
  <c r="E1108" i="25"/>
  <c r="E1109" i="25"/>
  <c r="E1110" i="25"/>
  <c r="E1111" i="25"/>
  <c r="E1112" i="25"/>
  <c r="E1113" i="25"/>
  <c r="E1114" i="25"/>
  <c r="E1115" i="25"/>
  <c r="E1116" i="25"/>
  <c r="E1117" i="25"/>
  <c r="E1118" i="25"/>
  <c r="E1119" i="25"/>
  <c r="E1120" i="25"/>
  <c r="E1121" i="25"/>
  <c r="E1122" i="25"/>
  <c r="E1123" i="25"/>
  <c r="E1124" i="25"/>
  <c r="E1125" i="25"/>
  <c r="E1126" i="25"/>
  <c r="E1127" i="25"/>
  <c r="E1128" i="25"/>
  <c r="E1129" i="25"/>
  <c r="E1130" i="25"/>
  <c r="E1131" i="25"/>
  <c r="E1132" i="25"/>
  <c r="E1133" i="25"/>
  <c r="E1134" i="25"/>
  <c r="E1135" i="25"/>
  <c r="E1136" i="25"/>
  <c r="E1137" i="25"/>
  <c r="E1138" i="25"/>
  <c r="E1139" i="25"/>
  <c r="E1140" i="25"/>
  <c r="E1141" i="25"/>
  <c r="E1142" i="25"/>
  <c r="E1143" i="25"/>
  <c r="E1144" i="25"/>
  <c r="E1145" i="25"/>
  <c r="E1146" i="25"/>
  <c r="E1147" i="25"/>
  <c r="E1148" i="25"/>
  <c r="E1149" i="25"/>
  <c r="E1150" i="25"/>
  <c r="E1151" i="25"/>
  <c r="E1152" i="25"/>
  <c r="E1153" i="25"/>
  <c r="E1154" i="25"/>
  <c r="E1155" i="25"/>
  <c r="E1156" i="25"/>
  <c r="E1157" i="25"/>
  <c r="E1158" i="25"/>
  <c r="E1159" i="25"/>
  <c r="E1160" i="25"/>
  <c r="E1161" i="25"/>
  <c r="E1162" i="25"/>
  <c r="E1163" i="25"/>
  <c r="E1164" i="25"/>
  <c r="E1165" i="25"/>
  <c r="E1166" i="25"/>
  <c r="E1167" i="25"/>
  <c r="E1168" i="25"/>
  <c r="E1169" i="25"/>
  <c r="E1170" i="25"/>
  <c r="E1171" i="25"/>
  <c r="E1172" i="25"/>
  <c r="E1173" i="25"/>
  <c r="E1174" i="25"/>
  <c r="E1175" i="25"/>
  <c r="E1176" i="25"/>
  <c r="E1177" i="25"/>
  <c r="E1178" i="25"/>
  <c r="E1179" i="25"/>
  <c r="E1180" i="25"/>
  <c r="E1181" i="25"/>
  <c r="E1182" i="25"/>
  <c r="E1183" i="25"/>
  <c r="E1184" i="25"/>
  <c r="E1185" i="25"/>
  <c r="E1186" i="25"/>
  <c r="E1187" i="25"/>
  <c r="E1188" i="25"/>
  <c r="E1189" i="25"/>
  <c r="E1190" i="25"/>
  <c r="E1191" i="25"/>
  <c r="E1192" i="25"/>
  <c r="E1193" i="25"/>
  <c r="E1194" i="25"/>
  <c r="E1195" i="25"/>
  <c r="E1196" i="25"/>
  <c r="E1197" i="25"/>
  <c r="E1198" i="25"/>
  <c r="E1199" i="25"/>
  <c r="E1200" i="25"/>
  <c r="E1201" i="25"/>
  <c r="E1202" i="25"/>
  <c r="E1203" i="25"/>
  <c r="E1204" i="25"/>
  <c r="E1205" i="25"/>
  <c r="E1206" i="25"/>
  <c r="E1207" i="25"/>
  <c r="E1208" i="25"/>
  <c r="E1209" i="25"/>
  <c r="E1210" i="25"/>
  <c r="E1211" i="25"/>
  <c r="E1212" i="25"/>
  <c r="E1213" i="25"/>
  <c r="E1214" i="25"/>
  <c r="E1215" i="25"/>
  <c r="E1216" i="25"/>
  <c r="E1217" i="25"/>
  <c r="E1218" i="25"/>
  <c r="E1219" i="25"/>
  <c r="E1220" i="25"/>
  <c r="E1221" i="25"/>
  <c r="E1222" i="25"/>
  <c r="E1223" i="25"/>
  <c r="E1224" i="25"/>
  <c r="E1225" i="25"/>
  <c r="E1226" i="25"/>
  <c r="E1227" i="25"/>
  <c r="E1228" i="25"/>
  <c r="E1229" i="25"/>
  <c r="E1230" i="25"/>
  <c r="E1231" i="25"/>
  <c r="E1232" i="25"/>
  <c r="E1233" i="25"/>
  <c r="E1234" i="25"/>
  <c r="E1235" i="25"/>
  <c r="E1236" i="25"/>
  <c r="E1237" i="25"/>
  <c r="E1238" i="25"/>
  <c r="E1239" i="25"/>
  <c r="E1240" i="25"/>
  <c r="E1241" i="25"/>
  <c r="E1242" i="25"/>
  <c r="E1243" i="25"/>
  <c r="E1244" i="25"/>
  <c r="E1245" i="25"/>
  <c r="E1246" i="25"/>
  <c r="E1247" i="25"/>
  <c r="E1248" i="25"/>
  <c r="E1249" i="25"/>
  <c r="E1250" i="25"/>
  <c r="E1251" i="25"/>
  <c r="E1252" i="25"/>
  <c r="E1253" i="25"/>
  <c r="E1254" i="25"/>
  <c r="E1255" i="25"/>
  <c r="E1256" i="25"/>
  <c r="E1257" i="25"/>
  <c r="E1258" i="25"/>
  <c r="E1259" i="25"/>
  <c r="E1260" i="25"/>
  <c r="E1261" i="25"/>
  <c r="E1262" i="25"/>
  <c r="E1263" i="25"/>
  <c r="E1264" i="25"/>
  <c r="E1265" i="25"/>
  <c r="E1266" i="25"/>
  <c r="E1267" i="25"/>
  <c r="E1268" i="25"/>
  <c r="E1269" i="25"/>
  <c r="E1270" i="25"/>
  <c r="E1271" i="25"/>
  <c r="E1272" i="25"/>
  <c r="E1273" i="25"/>
  <c r="E1274" i="25"/>
  <c r="E1275" i="25"/>
  <c r="E1276" i="25"/>
  <c r="E1277" i="25"/>
  <c r="E1278" i="25"/>
  <c r="E1279" i="25"/>
  <c r="E1280" i="25"/>
  <c r="E1281" i="25"/>
  <c r="E1282" i="25"/>
  <c r="E1283" i="25"/>
  <c r="E1284" i="25"/>
  <c r="E1285" i="25"/>
  <c r="E1286" i="25"/>
  <c r="E1287" i="25"/>
  <c r="E1288" i="25"/>
  <c r="E1289" i="25"/>
  <c r="E1290" i="25"/>
  <c r="E1291" i="25"/>
  <c r="E1292" i="25"/>
  <c r="E1293" i="25"/>
  <c r="E1294" i="25"/>
  <c r="E1295" i="25"/>
  <c r="E1296" i="25"/>
  <c r="E1297" i="25"/>
  <c r="E1298" i="25"/>
  <c r="E1299" i="25"/>
  <c r="E1300" i="25"/>
  <c r="E1301" i="25"/>
  <c r="E1302" i="25"/>
  <c r="E1303" i="25"/>
  <c r="E1304" i="25"/>
  <c r="E1305" i="25"/>
  <c r="E1306" i="25"/>
  <c r="E1307" i="25"/>
  <c r="E1308" i="25"/>
  <c r="E1309" i="25"/>
  <c r="E1310" i="25"/>
  <c r="E1311" i="25"/>
  <c r="E1312" i="25"/>
  <c r="E1313" i="25"/>
  <c r="E1314" i="25"/>
  <c r="E1315" i="25"/>
  <c r="E1316" i="25"/>
  <c r="E1317" i="25"/>
  <c r="E1318" i="25"/>
  <c r="E1319" i="25"/>
  <c r="E1320" i="25"/>
  <c r="E1321" i="25"/>
  <c r="E1322" i="25"/>
  <c r="E1323" i="25"/>
  <c r="E1324" i="25"/>
  <c r="E1325" i="25"/>
  <c r="E1326" i="25"/>
  <c r="E1327" i="25"/>
  <c r="E1328" i="25"/>
  <c r="E1329" i="25"/>
  <c r="E1330" i="25"/>
  <c r="E1331" i="25"/>
  <c r="E1332" i="25"/>
  <c r="E1333" i="25"/>
  <c r="E1334" i="25"/>
  <c r="E1335" i="25"/>
  <c r="E1336" i="25"/>
  <c r="E1337" i="25"/>
  <c r="E1338" i="25"/>
  <c r="E1339" i="25"/>
  <c r="E1340" i="25"/>
  <c r="E1341" i="25"/>
  <c r="E1342" i="25"/>
  <c r="E1343" i="25"/>
  <c r="E1344" i="25"/>
  <c r="E1345" i="25"/>
  <c r="E1346" i="25"/>
  <c r="E1347" i="25"/>
  <c r="E1348" i="25"/>
  <c r="E1349" i="25"/>
  <c r="E1350" i="25"/>
  <c r="E1351" i="25"/>
  <c r="E1352" i="25"/>
  <c r="E1353" i="25"/>
  <c r="E1354" i="25"/>
  <c r="E1355" i="25"/>
  <c r="E1356" i="25"/>
  <c r="E1357" i="25"/>
  <c r="E1358" i="25"/>
  <c r="E1359" i="25"/>
  <c r="E1360" i="25"/>
  <c r="E1361" i="25"/>
  <c r="E1362" i="25"/>
  <c r="E1363" i="25"/>
  <c r="E1364" i="25"/>
  <c r="E1365" i="25"/>
  <c r="E1366" i="25"/>
  <c r="E1367" i="25"/>
  <c r="E1368" i="25"/>
  <c r="E1369" i="25"/>
  <c r="E1370" i="25"/>
  <c r="E1371" i="25"/>
  <c r="E1372" i="25"/>
  <c r="E1373" i="25"/>
  <c r="E1374" i="25"/>
  <c r="E1375" i="25"/>
  <c r="E1376" i="25"/>
  <c r="E1377" i="25"/>
  <c r="E1378" i="25"/>
  <c r="E1379" i="25"/>
  <c r="E1380" i="25"/>
  <c r="E1381" i="25"/>
  <c r="E1382" i="25"/>
  <c r="E1383" i="25"/>
  <c r="E1384" i="25"/>
  <c r="E1385" i="25"/>
  <c r="E1386" i="25"/>
  <c r="E1387" i="25"/>
  <c r="E1388" i="25"/>
  <c r="E1389" i="25"/>
  <c r="E1390" i="25"/>
  <c r="E1391" i="25"/>
  <c r="E1392" i="25"/>
  <c r="E1393" i="25"/>
  <c r="E1394" i="25"/>
  <c r="E1395" i="25"/>
  <c r="E1396" i="25"/>
  <c r="E1397" i="25"/>
  <c r="E1398" i="25"/>
  <c r="E1399" i="25"/>
  <c r="E1400" i="25"/>
  <c r="E1401" i="25"/>
  <c r="E1402" i="25"/>
  <c r="E1403" i="25"/>
  <c r="E1404" i="25"/>
  <c r="E1405" i="25"/>
  <c r="E1406" i="25"/>
  <c r="E1407" i="25"/>
  <c r="E1408" i="25"/>
  <c r="E1409" i="25"/>
  <c r="E1410" i="25"/>
  <c r="E1411" i="25"/>
  <c r="E1412" i="25"/>
  <c r="E1413" i="25"/>
  <c r="E1414" i="25"/>
  <c r="E1415" i="25"/>
  <c r="E1416" i="25"/>
  <c r="E1417" i="25"/>
  <c r="E1418" i="25"/>
  <c r="E1419" i="25"/>
  <c r="E1420" i="25"/>
  <c r="E1421" i="25"/>
  <c r="E1422" i="25"/>
  <c r="E1423" i="25"/>
  <c r="E1424" i="25"/>
  <c r="E1425" i="25"/>
  <c r="E1426" i="25"/>
  <c r="E1427" i="25"/>
  <c r="E1428" i="25"/>
  <c r="E1429" i="25"/>
  <c r="E1430" i="25"/>
  <c r="E1431" i="25"/>
  <c r="E1432" i="25"/>
  <c r="E1433" i="25"/>
  <c r="E1434" i="25"/>
  <c r="E1435" i="25"/>
  <c r="E1436" i="25"/>
  <c r="E1437" i="25"/>
  <c r="E1438" i="25"/>
  <c r="E1439" i="25"/>
  <c r="E1440" i="25"/>
  <c r="E1441" i="25"/>
  <c r="E1442" i="25"/>
  <c r="E1443" i="25"/>
  <c r="E1444" i="25"/>
  <c r="E1445" i="25"/>
  <c r="E1446" i="25"/>
  <c r="E1447" i="25"/>
  <c r="E1448" i="25"/>
  <c r="E1449" i="25"/>
  <c r="E1450" i="25"/>
  <c r="E1451" i="25"/>
  <c r="E1452" i="25"/>
  <c r="E1453" i="25"/>
  <c r="E1454" i="25"/>
  <c r="E1455" i="25"/>
  <c r="E1456" i="25"/>
  <c r="E1457" i="25"/>
  <c r="E1458" i="25"/>
  <c r="E1459" i="25"/>
  <c r="E1460" i="25"/>
  <c r="E1461" i="25"/>
  <c r="E1462" i="25"/>
  <c r="E1463" i="25"/>
  <c r="E1464" i="25"/>
  <c r="E1465" i="25"/>
  <c r="E1466" i="25"/>
  <c r="E1467" i="25"/>
  <c r="E1468" i="25"/>
  <c r="E1469" i="25"/>
  <c r="E1470" i="25"/>
  <c r="E1471" i="25"/>
  <c r="E1472" i="25"/>
  <c r="E1473" i="25"/>
  <c r="E1474" i="25"/>
  <c r="E1475" i="25"/>
  <c r="E1476" i="25"/>
  <c r="E1477" i="25"/>
  <c r="E1478" i="25"/>
  <c r="E1479" i="25"/>
  <c r="E1480" i="25"/>
  <c r="E1481" i="25"/>
  <c r="E1482" i="25"/>
  <c r="E1483" i="25"/>
  <c r="E1484" i="25"/>
  <c r="E1485" i="25"/>
  <c r="E1486" i="25"/>
  <c r="E1487" i="25"/>
  <c r="E1488" i="25"/>
  <c r="E1489" i="25"/>
  <c r="E1490" i="25"/>
  <c r="E1491" i="25"/>
  <c r="E1492" i="25"/>
  <c r="E1493" i="25"/>
  <c r="E1494" i="25"/>
  <c r="E1495" i="25"/>
  <c r="E1496" i="25"/>
  <c r="E1497" i="25"/>
  <c r="E1498" i="25"/>
  <c r="E1499" i="25"/>
  <c r="E1500" i="25"/>
  <c r="E1501" i="25"/>
  <c r="E1502" i="25"/>
  <c r="E1503" i="25"/>
  <c r="E1504" i="25"/>
  <c r="E1505" i="25"/>
  <c r="E1506" i="25"/>
  <c r="E1507" i="25"/>
  <c r="E1508" i="25"/>
  <c r="E1509" i="25"/>
  <c r="E1510" i="25"/>
  <c r="E1511" i="25"/>
  <c r="E1512" i="25"/>
  <c r="E1513" i="25"/>
  <c r="E1514" i="25"/>
  <c r="E1515" i="25"/>
  <c r="E1516" i="25"/>
  <c r="E1517" i="25"/>
  <c r="E1518" i="25"/>
  <c r="E1519" i="25"/>
  <c r="E1520" i="25"/>
  <c r="E1521" i="25"/>
  <c r="E1522" i="25"/>
  <c r="E1523" i="25"/>
  <c r="E1524" i="25"/>
  <c r="E1525" i="25"/>
  <c r="E1526" i="25"/>
  <c r="E1527" i="25"/>
  <c r="E1528" i="25"/>
  <c r="E1529" i="25"/>
  <c r="E1530" i="25"/>
  <c r="E1531" i="25"/>
  <c r="E1532" i="25"/>
  <c r="E1533" i="25"/>
  <c r="E1534" i="25"/>
  <c r="E1535" i="25"/>
  <c r="E1536" i="25"/>
  <c r="E1537" i="25"/>
  <c r="E1538" i="25"/>
  <c r="E1539" i="25"/>
  <c r="E1540" i="25"/>
  <c r="E1541" i="25"/>
  <c r="E1542" i="25"/>
  <c r="E1543" i="25"/>
  <c r="E1544" i="25"/>
  <c r="E1545" i="25"/>
  <c r="E1546" i="25"/>
  <c r="E1547" i="25"/>
  <c r="E1548" i="25"/>
  <c r="E1549" i="25"/>
  <c r="E1550" i="25"/>
  <c r="E1551" i="25"/>
  <c r="E1552" i="25"/>
  <c r="E1553" i="25"/>
  <c r="E1554" i="25"/>
  <c r="E1555" i="25"/>
  <c r="E1556" i="25"/>
  <c r="E1557" i="25"/>
  <c r="E1558" i="25"/>
  <c r="E1559" i="25"/>
  <c r="E1560" i="25"/>
  <c r="E1561" i="25"/>
  <c r="E1562" i="25"/>
  <c r="E1563" i="25"/>
  <c r="E1564" i="25"/>
  <c r="E1565" i="25"/>
  <c r="E1566" i="25"/>
  <c r="E1567" i="25"/>
  <c r="E1568" i="25"/>
  <c r="E1569" i="25"/>
  <c r="E1570" i="25"/>
  <c r="E1571" i="25"/>
  <c r="E1572" i="25"/>
  <c r="E1573" i="25"/>
  <c r="E1574" i="25"/>
  <c r="E1575" i="25"/>
  <c r="E1576" i="25"/>
  <c r="E1577" i="25"/>
  <c r="E1578" i="25"/>
  <c r="E1579" i="25"/>
  <c r="E1580" i="25"/>
  <c r="E1581" i="25"/>
  <c r="E1582" i="25"/>
  <c r="E1583" i="25"/>
  <c r="E1584" i="25"/>
  <c r="E1585" i="25"/>
  <c r="E1586" i="25"/>
  <c r="E1587" i="25"/>
  <c r="E1588" i="25"/>
  <c r="E1589" i="25"/>
  <c r="E1590" i="25"/>
  <c r="E1591" i="25"/>
  <c r="E1592" i="25"/>
  <c r="E1593" i="25"/>
  <c r="E1594" i="25"/>
  <c r="E1595" i="25"/>
  <c r="E1596" i="25"/>
  <c r="E1597" i="25"/>
  <c r="E1598" i="25"/>
  <c r="E1599" i="25"/>
  <c r="E1600" i="25"/>
  <c r="E1601" i="25"/>
  <c r="E1602" i="25"/>
  <c r="E1603" i="25"/>
  <c r="E1604" i="25"/>
  <c r="E1605" i="25"/>
  <c r="E1606" i="25"/>
  <c r="E1607" i="25"/>
  <c r="E1608" i="25"/>
  <c r="E1609" i="25"/>
  <c r="E1610" i="25"/>
  <c r="E1611" i="25"/>
  <c r="E1612" i="25"/>
  <c r="E1613" i="25"/>
  <c r="E1614" i="25"/>
  <c r="E1615" i="25"/>
  <c r="E1616" i="25"/>
  <c r="E1617" i="25"/>
  <c r="E1618" i="25"/>
  <c r="E1619" i="25"/>
  <c r="E1620" i="25"/>
  <c r="E1621" i="25"/>
  <c r="E1622" i="25"/>
  <c r="E1623" i="25"/>
  <c r="E1624" i="25"/>
  <c r="E1625" i="25"/>
  <c r="E1626" i="25"/>
  <c r="E1627" i="25"/>
  <c r="E1628" i="25"/>
  <c r="E1629" i="25"/>
  <c r="E1630" i="25"/>
  <c r="E1631" i="25"/>
  <c r="E1632" i="25"/>
  <c r="E1633" i="25"/>
  <c r="E1634" i="25"/>
  <c r="E1635" i="25"/>
  <c r="E1636" i="25"/>
  <c r="E1637" i="25"/>
  <c r="E1638" i="25"/>
  <c r="E1639" i="25"/>
  <c r="E1640" i="25"/>
  <c r="E1641" i="25"/>
  <c r="E1642" i="25"/>
  <c r="E1643" i="25"/>
  <c r="E1644" i="25"/>
  <c r="E1645" i="25"/>
  <c r="E1646" i="25"/>
  <c r="E1647" i="25"/>
  <c r="E1648" i="25"/>
  <c r="E1649" i="25"/>
  <c r="E1650" i="25"/>
  <c r="E1651" i="25"/>
  <c r="E1652" i="25"/>
  <c r="E1653" i="25"/>
  <c r="E1654" i="25"/>
  <c r="E1655" i="25"/>
  <c r="E1656" i="25"/>
  <c r="E1657" i="25"/>
  <c r="E1658" i="25"/>
  <c r="E1659" i="25"/>
  <c r="E1660" i="25"/>
  <c r="E1661" i="25"/>
  <c r="E1662" i="25"/>
  <c r="E1663" i="25"/>
  <c r="E1664" i="25"/>
  <c r="E1665" i="25"/>
  <c r="E1666" i="25"/>
  <c r="E1667" i="25"/>
  <c r="E1668" i="25"/>
  <c r="E1669" i="25"/>
  <c r="E1670" i="25"/>
  <c r="E1671" i="25"/>
  <c r="E1672" i="25"/>
  <c r="E1673" i="25"/>
  <c r="E1674" i="25"/>
  <c r="E1675" i="25"/>
  <c r="E1676" i="25"/>
  <c r="E1677" i="25"/>
  <c r="E1678" i="25"/>
  <c r="E1679" i="25"/>
  <c r="E1680" i="25"/>
  <c r="E1681" i="25"/>
  <c r="E1682" i="25"/>
  <c r="E1683" i="25"/>
  <c r="E1684" i="25"/>
  <c r="E1685" i="25"/>
  <c r="E1686" i="25"/>
  <c r="E1687" i="25"/>
  <c r="E1688" i="25"/>
  <c r="E1689" i="25"/>
  <c r="E1690" i="25"/>
  <c r="E1691" i="25"/>
  <c r="E1692" i="25"/>
  <c r="E1693" i="25"/>
  <c r="E1694" i="25"/>
  <c r="E1695" i="25"/>
  <c r="E1696" i="25"/>
  <c r="E1697" i="25"/>
  <c r="E1698" i="25"/>
  <c r="E1699" i="25"/>
  <c r="E1700" i="25"/>
  <c r="E1701" i="25"/>
  <c r="E1702" i="25"/>
  <c r="E1703" i="25"/>
  <c r="E1704" i="25"/>
  <c r="E1705" i="25"/>
  <c r="E1706" i="25"/>
  <c r="E1707" i="25"/>
  <c r="E1708" i="25"/>
  <c r="E1709" i="25"/>
  <c r="E1710" i="25"/>
  <c r="E1711" i="25"/>
  <c r="E1712" i="25"/>
  <c r="E1713" i="25"/>
  <c r="E1714" i="25"/>
  <c r="E1715" i="25"/>
  <c r="E1716" i="25"/>
  <c r="E1717" i="25"/>
  <c r="E1718" i="25"/>
  <c r="E1719" i="25"/>
  <c r="E1720" i="25"/>
  <c r="E1721" i="25"/>
  <c r="E1722" i="25"/>
  <c r="E1723" i="25"/>
  <c r="E1724" i="25"/>
  <c r="E1725" i="25"/>
  <c r="E1726" i="25"/>
  <c r="E1727" i="25"/>
  <c r="E1728" i="25"/>
  <c r="E1729" i="25"/>
  <c r="D99" i="25"/>
  <c r="D100" i="25"/>
  <c r="D101" i="25"/>
  <c r="D102" i="25"/>
  <c r="D103" i="25"/>
  <c r="D104" i="25"/>
  <c r="B104" i="25" s="1"/>
  <c r="D105" i="25"/>
  <c r="D106" i="25"/>
  <c r="D107" i="25"/>
  <c r="D108" i="25"/>
  <c r="D109" i="25"/>
  <c r="D110" i="25"/>
  <c r="D111" i="25"/>
  <c r="D112" i="25"/>
  <c r="B112" i="25" s="1"/>
  <c r="D113" i="25"/>
  <c r="D114" i="25"/>
  <c r="D115" i="25"/>
  <c r="D116" i="25"/>
  <c r="D117" i="25"/>
  <c r="D118" i="25"/>
  <c r="D119" i="25"/>
  <c r="D120" i="25"/>
  <c r="B120" i="25" s="1"/>
  <c r="D121" i="25"/>
  <c r="D122" i="25"/>
  <c r="D123" i="25"/>
  <c r="D124" i="25"/>
  <c r="D125" i="25"/>
  <c r="D126" i="25"/>
  <c r="D127" i="25"/>
  <c r="D128" i="25"/>
  <c r="B128" i="25" s="1"/>
  <c r="D129" i="25"/>
  <c r="D130" i="25"/>
  <c r="D131" i="25"/>
  <c r="D132" i="25"/>
  <c r="D133" i="25"/>
  <c r="D134" i="25"/>
  <c r="D135" i="25"/>
  <c r="D136" i="25"/>
  <c r="B136" i="25" s="1"/>
  <c r="D137" i="25"/>
  <c r="D138" i="25"/>
  <c r="D139" i="25"/>
  <c r="D140" i="25"/>
  <c r="D141" i="25"/>
  <c r="D142" i="25"/>
  <c r="D143" i="25"/>
  <c r="D144" i="25"/>
  <c r="B144" i="25" s="1"/>
  <c r="D145" i="25"/>
  <c r="D146" i="25"/>
  <c r="D147" i="25"/>
  <c r="D148" i="25"/>
  <c r="D149" i="25"/>
  <c r="D150" i="25"/>
  <c r="D151" i="25"/>
  <c r="D152" i="25"/>
  <c r="B152" i="25" s="1"/>
  <c r="D153" i="25"/>
  <c r="D154" i="25"/>
  <c r="D155" i="25"/>
  <c r="D156" i="25"/>
  <c r="D157" i="25"/>
  <c r="D158" i="25"/>
  <c r="D159" i="25"/>
  <c r="D160" i="25"/>
  <c r="B160" i="25" s="1"/>
  <c r="D161" i="25"/>
  <c r="D162" i="25"/>
  <c r="D163" i="25"/>
  <c r="D164" i="25"/>
  <c r="D165" i="25"/>
  <c r="D166" i="25"/>
  <c r="D167" i="25"/>
  <c r="D168" i="25"/>
  <c r="B168" i="25" s="1"/>
  <c r="D169" i="25"/>
  <c r="D170" i="25"/>
  <c r="D171" i="25"/>
  <c r="D172" i="25"/>
  <c r="D173" i="25"/>
  <c r="D174" i="25"/>
  <c r="D175" i="25"/>
  <c r="D176" i="25"/>
  <c r="B176" i="25" s="1"/>
  <c r="D177" i="25"/>
  <c r="D178" i="25"/>
  <c r="D179" i="25"/>
  <c r="D180" i="25"/>
  <c r="D181" i="25"/>
  <c r="D182" i="25"/>
  <c r="D183" i="25"/>
  <c r="D184" i="25"/>
  <c r="B184" i="25" s="1"/>
  <c r="D185" i="25"/>
  <c r="D186" i="25"/>
  <c r="D187" i="25"/>
  <c r="D188" i="25"/>
  <c r="D189" i="25"/>
  <c r="D190" i="25"/>
  <c r="D191" i="25"/>
  <c r="D192" i="25"/>
  <c r="B192" i="25" s="1"/>
  <c r="D193" i="25"/>
  <c r="D194" i="25"/>
  <c r="D195" i="25"/>
  <c r="D196" i="25"/>
  <c r="D197" i="25"/>
  <c r="D198" i="25"/>
  <c r="D199" i="25"/>
  <c r="D200" i="25"/>
  <c r="B200" i="25" s="1"/>
  <c r="D201" i="25"/>
  <c r="D202" i="25"/>
  <c r="D203" i="25"/>
  <c r="D204" i="25"/>
  <c r="D205" i="25"/>
  <c r="D206" i="25"/>
  <c r="D207" i="25"/>
  <c r="D208" i="25"/>
  <c r="B208" i="25" s="1"/>
  <c r="D209" i="25"/>
  <c r="D210" i="25"/>
  <c r="D211" i="25"/>
  <c r="D212" i="25"/>
  <c r="D213" i="25"/>
  <c r="D214" i="25"/>
  <c r="D215" i="25"/>
  <c r="D216" i="25"/>
  <c r="B216" i="25" s="1"/>
  <c r="D217" i="25"/>
  <c r="D218" i="25"/>
  <c r="D219" i="25"/>
  <c r="D220" i="25"/>
  <c r="D221" i="25"/>
  <c r="D222" i="25"/>
  <c r="D223" i="25"/>
  <c r="D224" i="25"/>
  <c r="B224" i="25" s="1"/>
  <c r="D225" i="25"/>
  <c r="D226" i="25"/>
  <c r="D227" i="25"/>
  <c r="D228" i="25"/>
  <c r="D229" i="25"/>
  <c r="D230" i="25"/>
  <c r="D231" i="25"/>
  <c r="D232" i="25"/>
  <c r="D233" i="25"/>
  <c r="D234" i="25"/>
  <c r="D235" i="25"/>
  <c r="D236" i="25"/>
  <c r="D237" i="25"/>
  <c r="D238" i="25"/>
  <c r="D239" i="25"/>
  <c r="D240" i="25"/>
  <c r="B240" i="25" s="1"/>
  <c r="D241" i="25"/>
  <c r="D242" i="25"/>
  <c r="D243" i="25"/>
  <c r="D244" i="25"/>
  <c r="D245" i="25"/>
  <c r="D246" i="25"/>
  <c r="D247" i="25"/>
  <c r="D248" i="25"/>
  <c r="B248" i="25" s="1"/>
  <c r="D249" i="25"/>
  <c r="D250" i="25"/>
  <c r="D251" i="25"/>
  <c r="D252" i="25"/>
  <c r="D253" i="25"/>
  <c r="D254" i="25"/>
  <c r="D255" i="25"/>
  <c r="D256" i="25"/>
  <c r="B256" i="25" s="1"/>
  <c r="D257" i="25"/>
  <c r="D258" i="25"/>
  <c r="D259" i="25"/>
  <c r="D260" i="25"/>
  <c r="D261" i="25"/>
  <c r="D262" i="25"/>
  <c r="D263" i="25"/>
  <c r="D264" i="25"/>
  <c r="B264" i="25" s="1"/>
  <c r="D265" i="25"/>
  <c r="D266" i="25"/>
  <c r="D267" i="25"/>
  <c r="D268" i="25"/>
  <c r="D269" i="25"/>
  <c r="D270" i="25"/>
  <c r="D271" i="25"/>
  <c r="D272" i="25"/>
  <c r="B272" i="25" s="1"/>
  <c r="D273" i="25"/>
  <c r="D274" i="25"/>
  <c r="D275" i="25"/>
  <c r="D276" i="25"/>
  <c r="D277" i="25"/>
  <c r="D278" i="25"/>
  <c r="D279" i="25"/>
  <c r="D280" i="25"/>
  <c r="B280" i="25" s="1"/>
  <c r="D281" i="25"/>
  <c r="D282" i="25"/>
  <c r="D283" i="25"/>
  <c r="D284" i="25"/>
  <c r="D285" i="25"/>
  <c r="D286" i="25"/>
  <c r="D287" i="25"/>
  <c r="D288" i="25"/>
  <c r="B288" i="25" s="1"/>
  <c r="D289" i="25"/>
  <c r="D290" i="25"/>
  <c r="D291" i="25"/>
  <c r="D292" i="25"/>
  <c r="D293" i="25"/>
  <c r="D294" i="25"/>
  <c r="D295" i="25"/>
  <c r="D296" i="25"/>
  <c r="D297" i="25"/>
  <c r="D298" i="25"/>
  <c r="D299" i="25"/>
  <c r="D300" i="25"/>
  <c r="D301" i="25"/>
  <c r="D302" i="25"/>
  <c r="D303" i="25"/>
  <c r="D304" i="25"/>
  <c r="B304" i="25" s="1"/>
  <c r="D305" i="25"/>
  <c r="D306" i="25"/>
  <c r="D307" i="25"/>
  <c r="D308" i="25"/>
  <c r="D309" i="25"/>
  <c r="D310" i="25"/>
  <c r="D311" i="25"/>
  <c r="D312" i="25"/>
  <c r="B312" i="25" s="1"/>
  <c r="D313" i="25"/>
  <c r="D314" i="25"/>
  <c r="D315" i="25"/>
  <c r="D316" i="25"/>
  <c r="D317" i="25"/>
  <c r="D318" i="25"/>
  <c r="D319" i="25"/>
  <c r="D320" i="25"/>
  <c r="B320" i="25" s="1"/>
  <c r="D321" i="25"/>
  <c r="D322" i="25"/>
  <c r="D323" i="25"/>
  <c r="D324" i="25"/>
  <c r="D325" i="25"/>
  <c r="D326" i="25"/>
  <c r="D327" i="25"/>
  <c r="D328" i="25"/>
  <c r="B328" i="25" s="1"/>
  <c r="D329" i="25"/>
  <c r="D330" i="25"/>
  <c r="D331" i="25"/>
  <c r="D332" i="25"/>
  <c r="D333" i="25"/>
  <c r="D334" i="25"/>
  <c r="D335" i="25"/>
  <c r="D336" i="25"/>
  <c r="B336" i="25" s="1"/>
  <c r="D337" i="25"/>
  <c r="D338" i="25"/>
  <c r="D339" i="25"/>
  <c r="D340" i="25"/>
  <c r="D341" i="25"/>
  <c r="D342" i="25"/>
  <c r="D343" i="25"/>
  <c r="D344" i="25"/>
  <c r="B344" i="25" s="1"/>
  <c r="D345" i="25"/>
  <c r="D346" i="25"/>
  <c r="D347" i="25"/>
  <c r="D348" i="25"/>
  <c r="D349" i="25"/>
  <c r="D350" i="25"/>
  <c r="D351" i="25"/>
  <c r="D352" i="25"/>
  <c r="B352" i="25" s="1"/>
  <c r="D353" i="25"/>
  <c r="D354" i="25"/>
  <c r="D355" i="25"/>
  <c r="D356" i="25"/>
  <c r="D357" i="25"/>
  <c r="D358" i="25"/>
  <c r="D359" i="25"/>
  <c r="D360" i="25"/>
  <c r="B360" i="25" s="1"/>
  <c r="D361" i="25"/>
  <c r="D362" i="25"/>
  <c r="D363" i="25"/>
  <c r="D364" i="25"/>
  <c r="D365" i="25"/>
  <c r="D366" i="25"/>
  <c r="D367" i="25"/>
  <c r="D368" i="25"/>
  <c r="B368" i="25" s="1"/>
  <c r="D369" i="25"/>
  <c r="D370" i="25"/>
  <c r="D371" i="25"/>
  <c r="D372" i="25"/>
  <c r="D373" i="25"/>
  <c r="D374" i="25"/>
  <c r="D375" i="25"/>
  <c r="D376" i="25"/>
  <c r="B376" i="25" s="1"/>
  <c r="D377" i="25"/>
  <c r="D378" i="25"/>
  <c r="D379" i="25"/>
  <c r="D380" i="25"/>
  <c r="D381" i="25"/>
  <c r="D382" i="25"/>
  <c r="D383" i="25"/>
  <c r="D384" i="25"/>
  <c r="B384" i="25" s="1"/>
  <c r="D385" i="25"/>
  <c r="D386" i="25"/>
  <c r="D387" i="25"/>
  <c r="D388" i="25"/>
  <c r="D389" i="25"/>
  <c r="D390" i="25"/>
  <c r="D391" i="25"/>
  <c r="D392" i="25"/>
  <c r="B392" i="25" s="1"/>
  <c r="D393" i="25"/>
  <c r="D394" i="25"/>
  <c r="D395" i="25"/>
  <c r="D396" i="25"/>
  <c r="D397" i="25"/>
  <c r="D398" i="25"/>
  <c r="D399" i="25"/>
  <c r="D400" i="25"/>
  <c r="B400" i="25" s="1"/>
  <c r="D401" i="25"/>
  <c r="D402" i="25"/>
  <c r="D403" i="25"/>
  <c r="D404" i="25"/>
  <c r="D405" i="25"/>
  <c r="D406" i="25"/>
  <c r="D407" i="25"/>
  <c r="D408" i="25"/>
  <c r="B408" i="25" s="1"/>
  <c r="D409" i="25"/>
  <c r="D410" i="25"/>
  <c r="D411" i="25"/>
  <c r="D412" i="25"/>
  <c r="D413" i="25"/>
  <c r="D414" i="25"/>
  <c r="D415" i="25"/>
  <c r="D416" i="25"/>
  <c r="B416" i="25" s="1"/>
  <c r="D417" i="25"/>
  <c r="D418" i="25"/>
  <c r="D419" i="25"/>
  <c r="D420" i="25"/>
  <c r="D421" i="25"/>
  <c r="D422" i="25"/>
  <c r="D423" i="25"/>
  <c r="D424" i="25"/>
  <c r="D425" i="25"/>
  <c r="D426" i="25"/>
  <c r="D427" i="25"/>
  <c r="D428" i="25"/>
  <c r="D429" i="25"/>
  <c r="D430" i="25"/>
  <c r="D431" i="25"/>
  <c r="D432" i="25"/>
  <c r="B432" i="25" s="1"/>
  <c r="D433" i="25"/>
  <c r="D434" i="25"/>
  <c r="D435" i="25"/>
  <c r="D436" i="25"/>
  <c r="D437" i="25"/>
  <c r="D438" i="25"/>
  <c r="D439" i="25"/>
  <c r="D440" i="25"/>
  <c r="B440" i="25" s="1"/>
  <c r="D441" i="25"/>
  <c r="D442" i="25"/>
  <c r="D443" i="25"/>
  <c r="D444" i="25"/>
  <c r="D445" i="25"/>
  <c r="D446" i="25"/>
  <c r="D447" i="25"/>
  <c r="D448" i="25"/>
  <c r="B448" i="25" s="1"/>
  <c r="D449" i="25"/>
  <c r="D450" i="25"/>
  <c r="D451" i="25"/>
  <c r="D452" i="25"/>
  <c r="D453" i="25"/>
  <c r="D454" i="25"/>
  <c r="D455" i="25"/>
  <c r="D456" i="25"/>
  <c r="B456" i="25" s="1"/>
  <c r="D457" i="25"/>
  <c r="D458" i="25"/>
  <c r="D459" i="25"/>
  <c r="D460" i="25"/>
  <c r="D461" i="25"/>
  <c r="D462" i="25"/>
  <c r="D463" i="25"/>
  <c r="D464" i="25"/>
  <c r="B464" i="25" s="1"/>
  <c r="D465" i="25"/>
  <c r="D466" i="25"/>
  <c r="D467" i="25"/>
  <c r="D468" i="25"/>
  <c r="D469" i="25"/>
  <c r="D470" i="25"/>
  <c r="D471" i="25"/>
  <c r="D472" i="25"/>
  <c r="B472" i="25" s="1"/>
  <c r="D473" i="25"/>
  <c r="D474" i="25"/>
  <c r="D475" i="25"/>
  <c r="D476" i="25"/>
  <c r="D477" i="25"/>
  <c r="D478" i="25"/>
  <c r="D479" i="25"/>
  <c r="D480" i="25"/>
  <c r="B480" i="25" s="1"/>
  <c r="D481" i="25"/>
  <c r="D482" i="25"/>
  <c r="D483" i="25"/>
  <c r="D484" i="25"/>
  <c r="D485" i="25"/>
  <c r="D486" i="25"/>
  <c r="D487" i="25"/>
  <c r="D488" i="25"/>
  <c r="D489" i="25"/>
  <c r="D490" i="25"/>
  <c r="D491" i="25"/>
  <c r="D492" i="25"/>
  <c r="D493" i="25"/>
  <c r="D494" i="25"/>
  <c r="D495" i="25"/>
  <c r="D496" i="25"/>
  <c r="B496" i="25" s="1"/>
  <c r="D497" i="25"/>
  <c r="D498" i="25"/>
  <c r="D499" i="25"/>
  <c r="D500" i="25"/>
  <c r="D501" i="25"/>
  <c r="D502" i="25"/>
  <c r="D503" i="25"/>
  <c r="D504" i="25"/>
  <c r="D505" i="25"/>
  <c r="D506" i="25"/>
  <c r="D507" i="25"/>
  <c r="D508" i="25"/>
  <c r="D509" i="25"/>
  <c r="D510" i="25"/>
  <c r="D511" i="25"/>
  <c r="D512" i="25"/>
  <c r="D513" i="25"/>
  <c r="D514" i="25"/>
  <c r="D515" i="25"/>
  <c r="D516" i="25"/>
  <c r="D517" i="25"/>
  <c r="D518" i="25"/>
  <c r="D519" i="25"/>
  <c r="D520" i="25"/>
  <c r="D521" i="25"/>
  <c r="D522" i="25"/>
  <c r="D523" i="25"/>
  <c r="D524" i="25"/>
  <c r="D525" i="25"/>
  <c r="D526" i="25"/>
  <c r="D527" i="25"/>
  <c r="D528" i="25"/>
  <c r="D529" i="25"/>
  <c r="D530" i="25"/>
  <c r="D531" i="25"/>
  <c r="D532" i="25"/>
  <c r="D533" i="25"/>
  <c r="D534" i="25"/>
  <c r="D535" i="25"/>
  <c r="D536" i="25"/>
  <c r="D537" i="25"/>
  <c r="D538" i="25"/>
  <c r="D539" i="25"/>
  <c r="D540" i="25"/>
  <c r="D541" i="25"/>
  <c r="D542" i="25"/>
  <c r="D543" i="25"/>
  <c r="D544" i="25"/>
  <c r="D545" i="25"/>
  <c r="D546" i="25"/>
  <c r="D547" i="25"/>
  <c r="D548" i="25"/>
  <c r="D549" i="25"/>
  <c r="D550" i="25"/>
  <c r="D551" i="25"/>
  <c r="D552" i="25"/>
  <c r="D553" i="25"/>
  <c r="D554" i="25"/>
  <c r="D555" i="25"/>
  <c r="D556" i="25"/>
  <c r="D557" i="25"/>
  <c r="D558" i="25"/>
  <c r="D559" i="25"/>
  <c r="D560" i="25"/>
  <c r="D561" i="25"/>
  <c r="D562" i="25"/>
  <c r="D563" i="25"/>
  <c r="D564" i="25"/>
  <c r="D565" i="25"/>
  <c r="D566" i="25"/>
  <c r="D567" i="25"/>
  <c r="D568" i="25"/>
  <c r="D569" i="25"/>
  <c r="D570" i="25"/>
  <c r="D571" i="25"/>
  <c r="D572" i="25"/>
  <c r="D573" i="25"/>
  <c r="D574" i="25"/>
  <c r="D575" i="25"/>
  <c r="D576" i="25"/>
  <c r="D577" i="25"/>
  <c r="D578" i="25"/>
  <c r="D579" i="25"/>
  <c r="D580" i="25"/>
  <c r="D581" i="25"/>
  <c r="D582" i="25"/>
  <c r="D583" i="25"/>
  <c r="D584" i="25"/>
  <c r="D585" i="25"/>
  <c r="D586" i="25"/>
  <c r="D587" i="25"/>
  <c r="D588" i="25"/>
  <c r="D589" i="25"/>
  <c r="D590" i="25"/>
  <c r="D591" i="25"/>
  <c r="D592" i="25"/>
  <c r="D593" i="25"/>
  <c r="D594" i="25"/>
  <c r="D595" i="25"/>
  <c r="D596" i="25"/>
  <c r="D597" i="25"/>
  <c r="D598" i="25"/>
  <c r="D599" i="25"/>
  <c r="D600" i="25"/>
  <c r="D601" i="25"/>
  <c r="D602" i="25"/>
  <c r="D603" i="25"/>
  <c r="D604" i="25"/>
  <c r="D605" i="25"/>
  <c r="D606" i="25"/>
  <c r="D607" i="25"/>
  <c r="D608" i="25"/>
  <c r="D609" i="25"/>
  <c r="D610" i="25"/>
  <c r="D611" i="25"/>
  <c r="D612" i="25"/>
  <c r="D613" i="25"/>
  <c r="D614" i="25"/>
  <c r="D615" i="25"/>
  <c r="D616" i="25"/>
  <c r="D617" i="25"/>
  <c r="D618" i="25"/>
  <c r="D619" i="25"/>
  <c r="D620" i="25"/>
  <c r="D621" i="25"/>
  <c r="D622" i="25"/>
  <c r="D623" i="25"/>
  <c r="D624" i="25"/>
  <c r="D625" i="25"/>
  <c r="D626" i="25"/>
  <c r="D627" i="25"/>
  <c r="D628" i="25"/>
  <c r="D629" i="25"/>
  <c r="D630" i="25"/>
  <c r="D631" i="25"/>
  <c r="D632" i="25"/>
  <c r="D633" i="25"/>
  <c r="D634" i="25"/>
  <c r="D635" i="25"/>
  <c r="D636" i="25"/>
  <c r="D637" i="25"/>
  <c r="D638" i="25"/>
  <c r="D639" i="25"/>
  <c r="D640" i="25"/>
  <c r="D641" i="25"/>
  <c r="D642" i="25"/>
  <c r="D643" i="25"/>
  <c r="D644" i="25"/>
  <c r="D645" i="25"/>
  <c r="D646" i="25"/>
  <c r="D647" i="25"/>
  <c r="D648" i="25"/>
  <c r="D649" i="25"/>
  <c r="D650" i="25"/>
  <c r="D651" i="25"/>
  <c r="D652" i="25"/>
  <c r="D653" i="25"/>
  <c r="D654" i="25"/>
  <c r="D655" i="25"/>
  <c r="D656" i="25"/>
  <c r="D657" i="25"/>
  <c r="D658" i="25"/>
  <c r="D659" i="25"/>
  <c r="D660" i="25"/>
  <c r="D661" i="25"/>
  <c r="D662" i="25"/>
  <c r="D663" i="25"/>
  <c r="D664" i="25"/>
  <c r="D665" i="25"/>
  <c r="D666" i="25"/>
  <c r="D667" i="25"/>
  <c r="D668" i="25"/>
  <c r="D669" i="25"/>
  <c r="D670" i="25"/>
  <c r="D671" i="25"/>
  <c r="D672" i="25"/>
  <c r="D673" i="25"/>
  <c r="D674" i="25"/>
  <c r="D675" i="25"/>
  <c r="D676" i="25"/>
  <c r="D677" i="25"/>
  <c r="D678" i="25"/>
  <c r="D679" i="25"/>
  <c r="D680" i="25"/>
  <c r="D681" i="25"/>
  <c r="D682" i="25"/>
  <c r="D683" i="25"/>
  <c r="D684" i="25"/>
  <c r="D685" i="25"/>
  <c r="D686" i="25"/>
  <c r="D687" i="25"/>
  <c r="D688" i="25"/>
  <c r="D689" i="25"/>
  <c r="D690" i="25"/>
  <c r="D691" i="25"/>
  <c r="D692" i="25"/>
  <c r="D693" i="25"/>
  <c r="D694" i="25"/>
  <c r="D695" i="25"/>
  <c r="D696" i="25"/>
  <c r="D697" i="25"/>
  <c r="D698" i="25"/>
  <c r="D699" i="25"/>
  <c r="D700" i="25"/>
  <c r="D701" i="25"/>
  <c r="D702" i="25"/>
  <c r="D703" i="25"/>
  <c r="D704" i="25"/>
  <c r="D705" i="25"/>
  <c r="D706" i="25"/>
  <c r="D707" i="25"/>
  <c r="D708" i="25"/>
  <c r="D709" i="25"/>
  <c r="D710" i="25"/>
  <c r="D711" i="25"/>
  <c r="D712" i="25"/>
  <c r="D713" i="25"/>
  <c r="D714" i="25"/>
  <c r="D715" i="25"/>
  <c r="D716" i="25"/>
  <c r="D717" i="25"/>
  <c r="D718" i="25"/>
  <c r="D719" i="25"/>
  <c r="D720" i="25"/>
  <c r="D721" i="25"/>
  <c r="D722" i="25"/>
  <c r="D723" i="25"/>
  <c r="D724" i="25"/>
  <c r="D725" i="25"/>
  <c r="D726" i="25"/>
  <c r="D727" i="25"/>
  <c r="D728" i="25"/>
  <c r="D729" i="25"/>
  <c r="D730" i="25"/>
  <c r="D731" i="25"/>
  <c r="D732" i="25"/>
  <c r="D733" i="25"/>
  <c r="D734" i="25"/>
  <c r="D735" i="25"/>
  <c r="D736" i="25"/>
  <c r="D737" i="25"/>
  <c r="D738" i="25"/>
  <c r="D739" i="25"/>
  <c r="D740" i="25"/>
  <c r="D741" i="25"/>
  <c r="D742" i="25"/>
  <c r="D743" i="25"/>
  <c r="D744" i="25"/>
  <c r="D745" i="25"/>
  <c r="D746" i="25"/>
  <c r="D747" i="25"/>
  <c r="D748" i="25"/>
  <c r="D749" i="25"/>
  <c r="D750" i="25"/>
  <c r="D751" i="25"/>
  <c r="D752" i="25"/>
  <c r="D753" i="25"/>
  <c r="D754" i="25"/>
  <c r="D755" i="25"/>
  <c r="D756" i="25"/>
  <c r="D757" i="25"/>
  <c r="D758" i="25"/>
  <c r="D759" i="25"/>
  <c r="D760" i="25"/>
  <c r="D761" i="25"/>
  <c r="D762" i="25"/>
  <c r="D763" i="25"/>
  <c r="D764" i="25"/>
  <c r="D765" i="25"/>
  <c r="D766" i="25"/>
  <c r="D767" i="25"/>
  <c r="D768" i="25"/>
  <c r="D769" i="25"/>
  <c r="D770" i="25"/>
  <c r="D771" i="25"/>
  <c r="D772" i="25"/>
  <c r="D773" i="25"/>
  <c r="D774" i="25"/>
  <c r="D775" i="25"/>
  <c r="D776" i="25"/>
  <c r="D777" i="25"/>
  <c r="D778" i="25"/>
  <c r="D779" i="25"/>
  <c r="D780" i="25"/>
  <c r="D781" i="25"/>
  <c r="D782" i="25"/>
  <c r="D783" i="25"/>
  <c r="D784" i="25"/>
  <c r="D785" i="25"/>
  <c r="D786" i="25"/>
  <c r="D787" i="25"/>
  <c r="D788" i="25"/>
  <c r="D789" i="25"/>
  <c r="D790" i="25"/>
  <c r="D791" i="25"/>
  <c r="D792" i="25"/>
  <c r="D793" i="25"/>
  <c r="D794" i="25"/>
  <c r="D795" i="25"/>
  <c r="D796" i="25"/>
  <c r="D797" i="25"/>
  <c r="D798" i="25"/>
  <c r="D799" i="25"/>
  <c r="D800" i="25"/>
  <c r="D801" i="25"/>
  <c r="D802" i="25"/>
  <c r="D803" i="25"/>
  <c r="D804" i="25"/>
  <c r="D805" i="25"/>
  <c r="D806" i="25"/>
  <c r="D807" i="25"/>
  <c r="D808" i="25"/>
  <c r="D809" i="25"/>
  <c r="D810" i="25"/>
  <c r="D811" i="25"/>
  <c r="D812" i="25"/>
  <c r="D813" i="25"/>
  <c r="D814" i="25"/>
  <c r="D815" i="25"/>
  <c r="D816" i="25"/>
  <c r="D817" i="25"/>
  <c r="D818" i="25"/>
  <c r="D819" i="25"/>
  <c r="D820" i="25"/>
  <c r="D821" i="25"/>
  <c r="D822" i="25"/>
  <c r="D823" i="25"/>
  <c r="D824" i="25"/>
  <c r="D825" i="25"/>
  <c r="D826" i="25"/>
  <c r="D827" i="25"/>
  <c r="D828" i="25"/>
  <c r="D829" i="25"/>
  <c r="D830" i="25"/>
  <c r="D831" i="25"/>
  <c r="D832" i="25"/>
  <c r="D833" i="25"/>
  <c r="D834" i="25"/>
  <c r="D835" i="25"/>
  <c r="D836" i="25"/>
  <c r="D837" i="25"/>
  <c r="D838" i="25"/>
  <c r="D839" i="25"/>
  <c r="D840" i="25"/>
  <c r="D841" i="25"/>
  <c r="D842" i="25"/>
  <c r="D843" i="25"/>
  <c r="D844" i="25"/>
  <c r="D845" i="25"/>
  <c r="D846" i="25"/>
  <c r="D847" i="25"/>
  <c r="D848" i="25"/>
  <c r="D849" i="25"/>
  <c r="D850" i="25"/>
  <c r="D851" i="25"/>
  <c r="D852" i="25"/>
  <c r="D853" i="25"/>
  <c r="D854" i="25"/>
  <c r="D855" i="25"/>
  <c r="D856" i="25"/>
  <c r="D857" i="25"/>
  <c r="D858" i="25"/>
  <c r="D859" i="25"/>
  <c r="D860" i="25"/>
  <c r="D861" i="25"/>
  <c r="D862" i="25"/>
  <c r="D863" i="25"/>
  <c r="D864" i="25"/>
  <c r="D865" i="25"/>
  <c r="D866" i="25"/>
  <c r="D867" i="25"/>
  <c r="D868" i="25"/>
  <c r="D869" i="25"/>
  <c r="D870" i="25"/>
  <c r="D871" i="25"/>
  <c r="D872" i="25"/>
  <c r="D873" i="25"/>
  <c r="D874" i="25"/>
  <c r="D875" i="25"/>
  <c r="D876" i="25"/>
  <c r="D877" i="25"/>
  <c r="D878" i="25"/>
  <c r="D879" i="25"/>
  <c r="D880" i="25"/>
  <c r="D881" i="25"/>
  <c r="D882" i="25"/>
  <c r="D883" i="25"/>
  <c r="D884" i="25"/>
  <c r="D885" i="25"/>
  <c r="D886" i="25"/>
  <c r="D887" i="25"/>
  <c r="D888" i="25"/>
  <c r="D889" i="25"/>
  <c r="D890" i="25"/>
  <c r="D891" i="25"/>
  <c r="D892" i="25"/>
  <c r="D893" i="25"/>
  <c r="D894" i="25"/>
  <c r="D895" i="25"/>
  <c r="D896" i="25"/>
  <c r="D897" i="25"/>
  <c r="D898" i="25"/>
  <c r="D899" i="25"/>
  <c r="D900" i="25"/>
  <c r="D901" i="25"/>
  <c r="D902" i="25"/>
  <c r="D903" i="25"/>
  <c r="D904" i="25"/>
  <c r="D905" i="25"/>
  <c r="D906" i="25"/>
  <c r="D907" i="25"/>
  <c r="D908" i="25"/>
  <c r="D909" i="25"/>
  <c r="D910" i="25"/>
  <c r="D911" i="25"/>
  <c r="D912" i="25"/>
  <c r="D913" i="25"/>
  <c r="D914" i="25"/>
  <c r="D915" i="25"/>
  <c r="D916" i="25"/>
  <c r="D917" i="25"/>
  <c r="D918" i="25"/>
  <c r="D919" i="25"/>
  <c r="D920" i="25"/>
  <c r="D921" i="25"/>
  <c r="D922" i="25"/>
  <c r="D923" i="25"/>
  <c r="D924" i="25"/>
  <c r="D925" i="25"/>
  <c r="D926" i="25"/>
  <c r="D927" i="25"/>
  <c r="D928" i="25"/>
  <c r="D929" i="25"/>
  <c r="D930" i="25"/>
  <c r="D931" i="25"/>
  <c r="D932" i="25"/>
  <c r="D933" i="25"/>
  <c r="D934" i="25"/>
  <c r="D935" i="25"/>
  <c r="D936" i="25"/>
  <c r="D937" i="25"/>
  <c r="D938" i="25"/>
  <c r="D939" i="25"/>
  <c r="D940" i="25"/>
  <c r="D941" i="25"/>
  <c r="D942" i="25"/>
  <c r="D943" i="25"/>
  <c r="D944" i="25"/>
  <c r="D945" i="25"/>
  <c r="D946" i="25"/>
  <c r="D947" i="25"/>
  <c r="D948" i="25"/>
  <c r="D949" i="25"/>
  <c r="D950" i="25"/>
  <c r="D951" i="25"/>
  <c r="D952" i="25"/>
  <c r="D953" i="25"/>
  <c r="D954" i="25"/>
  <c r="D955" i="25"/>
  <c r="D956" i="25"/>
  <c r="D957" i="25"/>
  <c r="D958" i="25"/>
  <c r="D959" i="25"/>
  <c r="D960" i="25"/>
  <c r="D961" i="25"/>
  <c r="D962" i="25"/>
  <c r="D963" i="25"/>
  <c r="D964" i="25"/>
  <c r="D965" i="25"/>
  <c r="D966" i="25"/>
  <c r="D967" i="25"/>
  <c r="D968" i="25"/>
  <c r="D969" i="25"/>
  <c r="D970" i="25"/>
  <c r="D971" i="25"/>
  <c r="D972" i="25"/>
  <c r="D973" i="25"/>
  <c r="D974" i="25"/>
  <c r="D975" i="25"/>
  <c r="D976" i="25"/>
  <c r="D977" i="25"/>
  <c r="D978" i="25"/>
  <c r="D979" i="25"/>
  <c r="D980" i="25"/>
  <c r="D981" i="25"/>
  <c r="D982" i="25"/>
  <c r="D983" i="25"/>
  <c r="D984" i="25"/>
  <c r="D985" i="25"/>
  <c r="D986" i="25"/>
  <c r="D987" i="25"/>
  <c r="D988" i="25"/>
  <c r="D989" i="25"/>
  <c r="D990" i="25"/>
  <c r="D991" i="25"/>
  <c r="D992" i="25"/>
  <c r="D993" i="25"/>
  <c r="D994" i="25"/>
  <c r="D995" i="25"/>
  <c r="D996" i="25"/>
  <c r="D997" i="25"/>
  <c r="D998" i="25"/>
  <c r="D999" i="25"/>
  <c r="D1000" i="25"/>
  <c r="D1001" i="25"/>
  <c r="D1002" i="25"/>
  <c r="D1003" i="25"/>
  <c r="D1004" i="25"/>
  <c r="D1005" i="25"/>
  <c r="D1006" i="25"/>
  <c r="D1007" i="25"/>
  <c r="D1008" i="25"/>
  <c r="D1009" i="25"/>
  <c r="D1010" i="25"/>
  <c r="D1011" i="25"/>
  <c r="D1012" i="25"/>
  <c r="D1013" i="25"/>
  <c r="D1014" i="25"/>
  <c r="D1015" i="25"/>
  <c r="D1016" i="25"/>
  <c r="D1017" i="25"/>
  <c r="D1018" i="25"/>
  <c r="D1019" i="25"/>
  <c r="D1020" i="25"/>
  <c r="D1021" i="25"/>
  <c r="D1022" i="25"/>
  <c r="D1023" i="25"/>
  <c r="D1024" i="25"/>
  <c r="D1025" i="25"/>
  <c r="D1026" i="25"/>
  <c r="D1027" i="25"/>
  <c r="D1028" i="25"/>
  <c r="D1029" i="25"/>
  <c r="D1030" i="25"/>
  <c r="D1031" i="25"/>
  <c r="D1032" i="25"/>
  <c r="D1033" i="25"/>
  <c r="D1034" i="25"/>
  <c r="D1035" i="25"/>
  <c r="D1036" i="25"/>
  <c r="D1037" i="25"/>
  <c r="D1038" i="25"/>
  <c r="D1039" i="25"/>
  <c r="D1040" i="25"/>
  <c r="D1041" i="25"/>
  <c r="D1042" i="25"/>
  <c r="D1043" i="25"/>
  <c r="D1044" i="25"/>
  <c r="D1045" i="25"/>
  <c r="D1046" i="25"/>
  <c r="D1047" i="25"/>
  <c r="D1048" i="25"/>
  <c r="D1049" i="25"/>
  <c r="D1050" i="25"/>
  <c r="D1051" i="25"/>
  <c r="D1052" i="25"/>
  <c r="D1053" i="25"/>
  <c r="D1057" i="25"/>
  <c r="D1058" i="25"/>
  <c r="B1058" i="25" s="1"/>
  <c r="D1059" i="25"/>
  <c r="B1059" i="25" s="1"/>
  <c r="D1060" i="25"/>
  <c r="B1060" i="25" s="1"/>
  <c r="D1061" i="25"/>
  <c r="B1061" i="25" s="1"/>
  <c r="D1062" i="25"/>
  <c r="B1062" i="25" s="1"/>
  <c r="D1063" i="25"/>
  <c r="B1063" i="25" s="1"/>
  <c r="D1064" i="25"/>
  <c r="B1064" i="25" s="1"/>
  <c r="D1065" i="25"/>
  <c r="D1066" i="25"/>
  <c r="B1066" i="25" s="1"/>
  <c r="D1067" i="25"/>
  <c r="B1067" i="25" s="1"/>
  <c r="D1068" i="25"/>
  <c r="B1068" i="25" s="1"/>
  <c r="D1069" i="25"/>
  <c r="B1069" i="25" s="1"/>
  <c r="D1070" i="25"/>
  <c r="B1070" i="25" s="1"/>
  <c r="D1071" i="25"/>
  <c r="B1071" i="25" s="1"/>
  <c r="D1072" i="25"/>
  <c r="B1072" i="25" s="1"/>
  <c r="D1073" i="25"/>
  <c r="D1074" i="25"/>
  <c r="B1074" i="25" s="1"/>
  <c r="D1075" i="25"/>
  <c r="B1075" i="25" s="1"/>
  <c r="D1076" i="25"/>
  <c r="B1076" i="25" s="1"/>
  <c r="D1077" i="25"/>
  <c r="B1077" i="25" s="1"/>
  <c r="D1078" i="25"/>
  <c r="B1078" i="25" s="1"/>
  <c r="D1079" i="25"/>
  <c r="B1079" i="25" s="1"/>
  <c r="D1080" i="25"/>
  <c r="B1080" i="25" s="1"/>
  <c r="D1081" i="25"/>
  <c r="D1082" i="25"/>
  <c r="B1082" i="25" s="1"/>
  <c r="D1083" i="25"/>
  <c r="B1083" i="25" s="1"/>
  <c r="D1084" i="25"/>
  <c r="B1084" i="25" s="1"/>
  <c r="D1085" i="25"/>
  <c r="B1085" i="25" s="1"/>
  <c r="D1086" i="25"/>
  <c r="B1086" i="25" s="1"/>
  <c r="D1087" i="25"/>
  <c r="B1087" i="25" s="1"/>
  <c r="D1088" i="25"/>
  <c r="B1088" i="25" s="1"/>
  <c r="D1089" i="25"/>
  <c r="D1090" i="25"/>
  <c r="B1090" i="25" s="1"/>
  <c r="D1091" i="25"/>
  <c r="B1091" i="25" s="1"/>
  <c r="D1092" i="25"/>
  <c r="B1092" i="25" s="1"/>
  <c r="D1093" i="25"/>
  <c r="B1093" i="25" s="1"/>
  <c r="D1094" i="25"/>
  <c r="B1094" i="25" s="1"/>
  <c r="D1095" i="25"/>
  <c r="B1095" i="25" s="1"/>
  <c r="D1096" i="25"/>
  <c r="B1096" i="25" s="1"/>
  <c r="D1097" i="25"/>
  <c r="D1098" i="25"/>
  <c r="B1098" i="25" s="1"/>
  <c r="D1099" i="25"/>
  <c r="B1099" i="25" s="1"/>
  <c r="D1100" i="25"/>
  <c r="B1100" i="25" s="1"/>
  <c r="D1101" i="25"/>
  <c r="B1101" i="25" s="1"/>
  <c r="D1102" i="25"/>
  <c r="B1102" i="25" s="1"/>
  <c r="D1103" i="25"/>
  <c r="B1103" i="25" s="1"/>
  <c r="D1104" i="25"/>
  <c r="B1104" i="25" s="1"/>
  <c r="D1105" i="25"/>
  <c r="D1106" i="25"/>
  <c r="B1106" i="25" s="1"/>
  <c r="D1107" i="25"/>
  <c r="B1107" i="25" s="1"/>
  <c r="D1108" i="25"/>
  <c r="B1108" i="25" s="1"/>
  <c r="D1109" i="25"/>
  <c r="B1109" i="25" s="1"/>
  <c r="D1110" i="25"/>
  <c r="B1110" i="25" s="1"/>
  <c r="D1111" i="25"/>
  <c r="B1111" i="25" s="1"/>
  <c r="D1112" i="25"/>
  <c r="B1112" i="25" s="1"/>
  <c r="D1113" i="25"/>
  <c r="D1114" i="25"/>
  <c r="B1114" i="25" s="1"/>
  <c r="D1115" i="25"/>
  <c r="B1115" i="25" s="1"/>
  <c r="D1116" i="25"/>
  <c r="B1116" i="25" s="1"/>
  <c r="D1117" i="25"/>
  <c r="B1117" i="25" s="1"/>
  <c r="D1118" i="25"/>
  <c r="B1118" i="25" s="1"/>
  <c r="D1119" i="25"/>
  <c r="B1119" i="25" s="1"/>
  <c r="D1120" i="25"/>
  <c r="B1120" i="25" s="1"/>
  <c r="D1121" i="25"/>
  <c r="D1122" i="25"/>
  <c r="B1122" i="25" s="1"/>
  <c r="D1123" i="25"/>
  <c r="B1123" i="25" s="1"/>
  <c r="D1124" i="25"/>
  <c r="B1124" i="25" s="1"/>
  <c r="D1125" i="25"/>
  <c r="B1125" i="25" s="1"/>
  <c r="D1126" i="25"/>
  <c r="B1126" i="25" s="1"/>
  <c r="D1127" i="25"/>
  <c r="B1127" i="25" s="1"/>
  <c r="D1128" i="25"/>
  <c r="B1128" i="25" s="1"/>
  <c r="D1129" i="25"/>
  <c r="D1130" i="25"/>
  <c r="B1130" i="25" s="1"/>
  <c r="D1131" i="25"/>
  <c r="B1131" i="25" s="1"/>
  <c r="D1132" i="25"/>
  <c r="B1132" i="25" s="1"/>
  <c r="D1133" i="25"/>
  <c r="B1133" i="25" s="1"/>
  <c r="D1134" i="25"/>
  <c r="B1134" i="25" s="1"/>
  <c r="D1135" i="25"/>
  <c r="B1135" i="25" s="1"/>
  <c r="D1136" i="25"/>
  <c r="B1136" i="25" s="1"/>
  <c r="D1137" i="25"/>
  <c r="D1138" i="25"/>
  <c r="B1138" i="25" s="1"/>
  <c r="D1139" i="25"/>
  <c r="B1139" i="25" s="1"/>
  <c r="D1140" i="25"/>
  <c r="B1140" i="25" s="1"/>
  <c r="D1141" i="25"/>
  <c r="B1141" i="25" s="1"/>
  <c r="D1142" i="25"/>
  <c r="B1142" i="25" s="1"/>
  <c r="D1143" i="25"/>
  <c r="B1143" i="25" s="1"/>
  <c r="D1144" i="25"/>
  <c r="B1144" i="25" s="1"/>
  <c r="D1145" i="25"/>
  <c r="D1146" i="25"/>
  <c r="B1146" i="25" s="1"/>
  <c r="D1147" i="25"/>
  <c r="B1147" i="25" s="1"/>
  <c r="D1148" i="25"/>
  <c r="B1148" i="25" s="1"/>
  <c r="D1149" i="25"/>
  <c r="B1149" i="25" s="1"/>
  <c r="D1150" i="25"/>
  <c r="B1150" i="25" s="1"/>
  <c r="D1151" i="25"/>
  <c r="B1151" i="25" s="1"/>
  <c r="D1152" i="25"/>
  <c r="B1152" i="25" s="1"/>
  <c r="D1153" i="25"/>
  <c r="D1154" i="25"/>
  <c r="B1154" i="25" s="1"/>
  <c r="D1155" i="25"/>
  <c r="B1155" i="25" s="1"/>
  <c r="D1156" i="25"/>
  <c r="B1156" i="25" s="1"/>
  <c r="D1157" i="25"/>
  <c r="B1157" i="25" s="1"/>
  <c r="D1158" i="25"/>
  <c r="B1158" i="25" s="1"/>
  <c r="D1159" i="25"/>
  <c r="B1159" i="25" s="1"/>
  <c r="D1160" i="25"/>
  <c r="B1160" i="25" s="1"/>
  <c r="D1161" i="25"/>
  <c r="D1162" i="25"/>
  <c r="B1162" i="25" s="1"/>
  <c r="D1163" i="25"/>
  <c r="B1163" i="25" s="1"/>
  <c r="D1164" i="25"/>
  <c r="B1164" i="25" s="1"/>
  <c r="D1165" i="25"/>
  <c r="B1165" i="25" s="1"/>
  <c r="D1166" i="25"/>
  <c r="B1166" i="25" s="1"/>
  <c r="D1167" i="25"/>
  <c r="B1167" i="25" s="1"/>
  <c r="D1168" i="25"/>
  <c r="B1168" i="25" s="1"/>
  <c r="D1169" i="25"/>
  <c r="D1170" i="25"/>
  <c r="B1170" i="25" s="1"/>
  <c r="D1171" i="25"/>
  <c r="B1171" i="25" s="1"/>
  <c r="D1172" i="25"/>
  <c r="B1172" i="25" s="1"/>
  <c r="D1173" i="25"/>
  <c r="B1173" i="25" s="1"/>
  <c r="D1174" i="25"/>
  <c r="B1174" i="25" s="1"/>
  <c r="D1175" i="25"/>
  <c r="B1175" i="25" s="1"/>
  <c r="D1176" i="25"/>
  <c r="B1176" i="25" s="1"/>
  <c r="D1177" i="25"/>
  <c r="D1178" i="25"/>
  <c r="B1178" i="25" s="1"/>
  <c r="D1179" i="25"/>
  <c r="B1179" i="25" s="1"/>
  <c r="D1180" i="25"/>
  <c r="B1180" i="25" s="1"/>
  <c r="D1181" i="25"/>
  <c r="B1181" i="25" s="1"/>
  <c r="D1182" i="25"/>
  <c r="B1182" i="25" s="1"/>
  <c r="D1183" i="25"/>
  <c r="B1183" i="25" s="1"/>
  <c r="D1184" i="25"/>
  <c r="B1184" i="25" s="1"/>
  <c r="D1185" i="25"/>
  <c r="D1186" i="25"/>
  <c r="B1186" i="25" s="1"/>
  <c r="D1187" i="25"/>
  <c r="B1187" i="25" s="1"/>
  <c r="D1188" i="25"/>
  <c r="B1188" i="25" s="1"/>
  <c r="D1189" i="25"/>
  <c r="B1189" i="25" s="1"/>
  <c r="D1190" i="25"/>
  <c r="B1190" i="25" s="1"/>
  <c r="D1191" i="25"/>
  <c r="B1191" i="25" s="1"/>
  <c r="D1192" i="25"/>
  <c r="B1192" i="25" s="1"/>
  <c r="D1193" i="25"/>
  <c r="D1194" i="25"/>
  <c r="B1194" i="25" s="1"/>
  <c r="D1195" i="25"/>
  <c r="B1195" i="25" s="1"/>
  <c r="D1196" i="25"/>
  <c r="B1196" i="25" s="1"/>
  <c r="D1197" i="25"/>
  <c r="B1197" i="25" s="1"/>
  <c r="D1198" i="25"/>
  <c r="B1198" i="25" s="1"/>
  <c r="D1199" i="25"/>
  <c r="B1199" i="25" s="1"/>
  <c r="D1200" i="25"/>
  <c r="B1200" i="25" s="1"/>
  <c r="D1201" i="25"/>
  <c r="D1202" i="25"/>
  <c r="B1202" i="25" s="1"/>
  <c r="D1203" i="25"/>
  <c r="B1203" i="25" s="1"/>
  <c r="D1204" i="25"/>
  <c r="B1204" i="25" s="1"/>
  <c r="D1205" i="25"/>
  <c r="B1205" i="25" s="1"/>
  <c r="D1206" i="25"/>
  <c r="B1206" i="25" s="1"/>
  <c r="D1207" i="25"/>
  <c r="B1207" i="25" s="1"/>
  <c r="D1208" i="25"/>
  <c r="B1208" i="25" s="1"/>
  <c r="D1209" i="25"/>
  <c r="D1210" i="25"/>
  <c r="B1210" i="25" s="1"/>
  <c r="D1211" i="25"/>
  <c r="B1211" i="25" s="1"/>
  <c r="D1212" i="25"/>
  <c r="B1212" i="25" s="1"/>
  <c r="D1213" i="25"/>
  <c r="B1213" i="25" s="1"/>
  <c r="D1214" i="25"/>
  <c r="B1214" i="25" s="1"/>
  <c r="D1215" i="25"/>
  <c r="B1215" i="25" s="1"/>
  <c r="D1216" i="25"/>
  <c r="B1216" i="25" s="1"/>
  <c r="D1217" i="25"/>
  <c r="D1218" i="25"/>
  <c r="B1218" i="25" s="1"/>
  <c r="D1219" i="25"/>
  <c r="B1219" i="25" s="1"/>
  <c r="D1220" i="25"/>
  <c r="B1220" i="25" s="1"/>
  <c r="D1221" i="25"/>
  <c r="B1221" i="25" s="1"/>
  <c r="D1222" i="25"/>
  <c r="B1222" i="25" s="1"/>
  <c r="D1223" i="25"/>
  <c r="B1223" i="25" s="1"/>
  <c r="D1224" i="25"/>
  <c r="B1224" i="25" s="1"/>
  <c r="D1225" i="25"/>
  <c r="D1226" i="25"/>
  <c r="B1226" i="25" s="1"/>
  <c r="D1227" i="25"/>
  <c r="B1227" i="25" s="1"/>
  <c r="D1228" i="25"/>
  <c r="B1228" i="25" s="1"/>
  <c r="D1229" i="25"/>
  <c r="B1229" i="25" s="1"/>
  <c r="D1230" i="25"/>
  <c r="B1230" i="25" s="1"/>
  <c r="D1231" i="25"/>
  <c r="B1231" i="25" s="1"/>
  <c r="D1232" i="25"/>
  <c r="B1232" i="25" s="1"/>
  <c r="D1233" i="25"/>
  <c r="D1234" i="25"/>
  <c r="B1234" i="25" s="1"/>
  <c r="D1235" i="25"/>
  <c r="B1235" i="25" s="1"/>
  <c r="D1236" i="25"/>
  <c r="B1236" i="25" s="1"/>
  <c r="D1237" i="25"/>
  <c r="B1237" i="25" s="1"/>
  <c r="D1238" i="25"/>
  <c r="B1238" i="25" s="1"/>
  <c r="D1239" i="25"/>
  <c r="B1239" i="25" s="1"/>
  <c r="D1240" i="25"/>
  <c r="B1240" i="25" s="1"/>
  <c r="D1241" i="25"/>
  <c r="D1242" i="25"/>
  <c r="B1242" i="25" s="1"/>
  <c r="D1243" i="25"/>
  <c r="B1243" i="25" s="1"/>
  <c r="D1244" i="25"/>
  <c r="B1244" i="25" s="1"/>
  <c r="D1245" i="25"/>
  <c r="B1245" i="25" s="1"/>
  <c r="D1246" i="25"/>
  <c r="B1246" i="25" s="1"/>
  <c r="D1247" i="25"/>
  <c r="B1247" i="25" s="1"/>
  <c r="D1248" i="25"/>
  <c r="B1248" i="25" s="1"/>
  <c r="D1249" i="25"/>
  <c r="D1250" i="25"/>
  <c r="B1250" i="25" s="1"/>
  <c r="D1251" i="25"/>
  <c r="B1251" i="25" s="1"/>
  <c r="D1252" i="25"/>
  <c r="B1252" i="25" s="1"/>
  <c r="D1253" i="25"/>
  <c r="B1253" i="25" s="1"/>
  <c r="D1254" i="25"/>
  <c r="B1254" i="25" s="1"/>
  <c r="D1255" i="25"/>
  <c r="B1255" i="25" s="1"/>
  <c r="D1256" i="25"/>
  <c r="B1256" i="25" s="1"/>
  <c r="D1257" i="25"/>
  <c r="D1258" i="25"/>
  <c r="B1258" i="25" s="1"/>
  <c r="D1259" i="25"/>
  <c r="B1259" i="25" s="1"/>
  <c r="D1260" i="25"/>
  <c r="B1260" i="25" s="1"/>
  <c r="D1261" i="25"/>
  <c r="B1261" i="25" s="1"/>
  <c r="D1262" i="25"/>
  <c r="B1262" i="25" s="1"/>
  <c r="D1263" i="25"/>
  <c r="B1263" i="25" s="1"/>
  <c r="D1264" i="25"/>
  <c r="B1264" i="25" s="1"/>
  <c r="D1265" i="25"/>
  <c r="D1266" i="25"/>
  <c r="B1266" i="25" s="1"/>
  <c r="D1267" i="25"/>
  <c r="B1267" i="25" s="1"/>
  <c r="D1268" i="25"/>
  <c r="B1268" i="25" s="1"/>
  <c r="D1269" i="25"/>
  <c r="B1269" i="25" s="1"/>
  <c r="D1270" i="25"/>
  <c r="B1270" i="25" s="1"/>
  <c r="D1271" i="25"/>
  <c r="B1271" i="25" s="1"/>
  <c r="D1272" i="25"/>
  <c r="B1272" i="25" s="1"/>
  <c r="D1273" i="25"/>
  <c r="D1274" i="25"/>
  <c r="B1274" i="25" s="1"/>
  <c r="D1275" i="25"/>
  <c r="B1275" i="25" s="1"/>
  <c r="D1276" i="25"/>
  <c r="B1276" i="25" s="1"/>
  <c r="D1277" i="25"/>
  <c r="B1277" i="25" s="1"/>
  <c r="D1278" i="25"/>
  <c r="B1278" i="25" s="1"/>
  <c r="D1279" i="25"/>
  <c r="B1279" i="25" s="1"/>
  <c r="D1280" i="25"/>
  <c r="B1280" i="25" s="1"/>
  <c r="D1281" i="25"/>
  <c r="D1282" i="25"/>
  <c r="B1282" i="25" s="1"/>
  <c r="D1283" i="25"/>
  <c r="B1283" i="25" s="1"/>
  <c r="D1284" i="25"/>
  <c r="B1284" i="25" s="1"/>
  <c r="D1285" i="25"/>
  <c r="B1285" i="25" s="1"/>
  <c r="D1286" i="25"/>
  <c r="B1286" i="25" s="1"/>
  <c r="D1287" i="25"/>
  <c r="B1287" i="25" s="1"/>
  <c r="D1288" i="25"/>
  <c r="B1288" i="25" s="1"/>
  <c r="D1289" i="25"/>
  <c r="D1290" i="25"/>
  <c r="B1290" i="25" s="1"/>
  <c r="D1291" i="25"/>
  <c r="B1291" i="25" s="1"/>
  <c r="D1292" i="25"/>
  <c r="B1292" i="25" s="1"/>
  <c r="D1293" i="25"/>
  <c r="B1293" i="25" s="1"/>
  <c r="D1294" i="25"/>
  <c r="B1294" i="25" s="1"/>
  <c r="D1295" i="25"/>
  <c r="B1295" i="25" s="1"/>
  <c r="D1296" i="25"/>
  <c r="B1296" i="25" s="1"/>
  <c r="D1297" i="25"/>
  <c r="D1298" i="25"/>
  <c r="B1298" i="25" s="1"/>
  <c r="D1299" i="25"/>
  <c r="B1299" i="25" s="1"/>
  <c r="D1300" i="25"/>
  <c r="B1300" i="25" s="1"/>
  <c r="D1301" i="25"/>
  <c r="B1301" i="25" s="1"/>
  <c r="D1302" i="25"/>
  <c r="B1302" i="25" s="1"/>
  <c r="D1303" i="25"/>
  <c r="B1303" i="25" s="1"/>
  <c r="D1304" i="25"/>
  <c r="B1304" i="25" s="1"/>
  <c r="D1305" i="25"/>
  <c r="D1306" i="25"/>
  <c r="B1306" i="25" s="1"/>
  <c r="D1307" i="25"/>
  <c r="B1307" i="25" s="1"/>
  <c r="D1308" i="25"/>
  <c r="B1308" i="25" s="1"/>
  <c r="D1309" i="25"/>
  <c r="B1309" i="25" s="1"/>
  <c r="D1310" i="25"/>
  <c r="B1310" i="25" s="1"/>
  <c r="D1311" i="25"/>
  <c r="B1311" i="25" s="1"/>
  <c r="D1312" i="25"/>
  <c r="B1312" i="25" s="1"/>
  <c r="D1313" i="25"/>
  <c r="D1314" i="25"/>
  <c r="B1314" i="25" s="1"/>
  <c r="D1315" i="25"/>
  <c r="B1315" i="25" s="1"/>
  <c r="D1316" i="25"/>
  <c r="B1316" i="25" s="1"/>
  <c r="D1317" i="25"/>
  <c r="B1317" i="25" s="1"/>
  <c r="D1318" i="25"/>
  <c r="B1318" i="25" s="1"/>
  <c r="D1319" i="25"/>
  <c r="B1319" i="25" s="1"/>
  <c r="D1320" i="25"/>
  <c r="B1320" i="25" s="1"/>
  <c r="D1321" i="25"/>
  <c r="D1322" i="25"/>
  <c r="B1322" i="25" s="1"/>
  <c r="D1323" i="25"/>
  <c r="B1323" i="25" s="1"/>
  <c r="D1324" i="25"/>
  <c r="B1324" i="25" s="1"/>
  <c r="D1325" i="25"/>
  <c r="B1325" i="25" s="1"/>
  <c r="D1326" i="25"/>
  <c r="B1326" i="25" s="1"/>
  <c r="D1327" i="25"/>
  <c r="B1327" i="25" s="1"/>
  <c r="D1328" i="25"/>
  <c r="B1328" i="25" s="1"/>
  <c r="D1329" i="25"/>
  <c r="D1330" i="25"/>
  <c r="B1330" i="25" s="1"/>
  <c r="D1331" i="25"/>
  <c r="B1331" i="25" s="1"/>
  <c r="D1332" i="25"/>
  <c r="B1332" i="25" s="1"/>
  <c r="D1333" i="25"/>
  <c r="B1333" i="25" s="1"/>
  <c r="D1334" i="25"/>
  <c r="B1334" i="25" s="1"/>
  <c r="D1335" i="25"/>
  <c r="B1335" i="25" s="1"/>
  <c r="D1336" i="25"/>
  <c r="B1336" i="25" s="1"/>
  <c r="D1337" i="25"/>
  <c r="D1338" i="25"/>
  <c r="B1338" i="25" s="1"/>
  <c r="D1339" i="25"/>
  <c r="B1339" i="25" s="1"/>
  <c r="D1340" i="25"/>
  <c r="B1340" i="25" s="1"/>
  <c r="D1341" i="25"/>
  <c r="B1341" i="25" s="1"/>
  <c r="D1342" i="25"/>
  <c r="B1342" i="25" s="1"/>
  <c r="D1343" i="25"/>
  <c r="B1343" i="25" s="1"/>
  <c r="D1344" i="25"/>
  <c r="B1344" i="25" s="1"/>
  <c r="D1345" i="25"/>
  <c r="D1346" i="25"/>
  <c r="B1346" i="25" s="1"/>
  <c r="D1347" i="25"/>
  <c r="B1347" i="25" s="1"/>
  <c r="D1348" i="25"/>
  <c r="B1348" i="25" s="1"/>
  <c r="D1349" i="25"/>
  <c r="B1349" i="25" s="1"/>
  <c r="D1350" i="25"/>
  <c r="B1350" i="25" s="1"/>
  <c r="D1351" i="25"/>
  <c r="B1351" i="25" s="1"/>
  <c r="D1352" i="25"/>
  <c r="B1352" i="25" s="1"/>
  <c r="D1353" i="25"/>
  <c r="D1354" i="25"/>
  <c r="B1354" i="25" s="1"/>
  <c r="D1355" i="25"/>
  <c r="B1355" i="25" s="1"/>
  <c r="D1356" i="25"/>
  <c r="B1356" i="25" s="1"/>
  <c r="D1357" i="25"/>
  <c r="B1357" i="25" s="1"/>
  <c r="D1358" i="25"/>
  <c r="B1358" i="25" s="1"/>
  <c r="D1359" i="25"/>
  <c r="B1359" i="25" s="1"/>
  <c r="D1360" i="25"/>
  <c r="B1360" i="25" s="1"/>
  <c r="D1361" i="25"/>
  <c r="D1362" i="25"/>
  <c r="B1362" i="25" s="1"/>
  <c r="D1363" i="25"/>
  <c r="B1363" i="25" s="1"/>
  <c r="D1364" i="25"/>
  <c r="B1364" i="25" s="1"/>
  <c r="D1365" i="25"/>
  <c r="B1365" i="25" s="1"/>
  <c r="D1366" i="25"/>
  <c r="B1366" i="25" s="1"/>
  <c r="D1367" i="25"/>
  <c r="B1367" i="25" s="1"/>
  <c r="D1368" i="25"/>
  <c r="B1368" i="25" s="1"/>
  <c r="D1369" i="25"/>
  <c r="D1370" i="25"/>
  <c r="B1370" i="25" s="1"/>
  <c r="D1371" i="25"/>
  <c r="B1371" i="25" s="1"/>
  <c r="D1372" i="25"/>
  <c r="B1372" i="25" s="1"/>
  <c r="D1373" i="25"/>
  <c r="B1373" i="25" s="1"/>
  <c r="D1374" i="25"/>
  <c r="B1374" i="25" s="1"/>
  <c r="D1375" i="25"/>
  <c r="B1375" i="25" s="1"/>
  <c r="D1376" i="25"/>
  <c r="B1376" i="25" s="1"/>
  <c r="D1377" i="25"/>
  <c r="D1378" i="25"/>
  <c r="B1378" i="25" s="1"/>
  <c r="D1379" i="25"/>
  <c r="B1379" i="25" s="1"/>
  <c r="D1380" i="25"/>
  <c r="B1380" i="25" s="1"/>
  <c r="D1381" i="25"/>
  <c r="B1381" i="25" s="1"/>
  <c r="D1382" i="25"/>
  <c r="B1382" i="25" s="1"/>
  <c r="D1383" i="25"/>
  <c r="B1383" i="25" s="1"/>
  <c r="D1384" i="25"/>
  <c r="B1384" i="25" s="1"/>
  <c r="D1385" i="25"/>
  <c r="D1386" i="25"/>
  <c r="B1386" i="25" s="1"/>
  <c r="D1387" i="25"/>
  <c r="B1387" i="25" s="1"/>
  <c r="D1388" i="25"/>
  <c r="B1388" i="25" s="1"/>
  <c r="D1389" i="25"/>
  <c r="B1389" i="25" s="1"/>
  <c r="D1390" i="25"/>
  <c r="B1390" i="25" s="1"/>
  <c r="D1391" i="25"/>
  <c r="B1391" i="25" s="1"/>
  <c r="D1392" i="25"/>
  <c r="B1392" i="25" s="1"/>
  <c r="D1393" i="25"/>
  <c r="D1394" i="25"/>
  <c r="B1394" i="25" s="1"/>
  <c r="D1395" i="25"/>
  <c r="B1395" i="25" s="1"/>
  <c r="D1396" i="25"/>
  <c r="B1396" i="25" s="1"/>
  <c r="D1397" i="25"/>
  <c r="B1397" i="25" s="1"/>
  <c r="D1398" i="25"/>
  <c r="B1398" i="25" s="1"/>
  <c r="D1399" i="25"/>
  <c r="B1399" i="25" s="1"/>
  <c r="D1400" i="25"/>
  <c r="B1400" i="25" s="1"/>
  <c r="D1401" i="25"/>
  <c r="D1402" i="25"/>
  <c r="B1402" i="25" s="1"/>
  <c r="D1403" i="25"/>
  <c r="B1403" i="25" s="1"/>
  <c r="D1404" i="25"/>
  <c r="B1404" i="25" s="1"/>
  <c r="D1405" i="25"/>
  <c r="B1405" i="25" s="1"/>
  <c r="D1406" i="25"/>
  <c r="B1406" i="25" s="1"/>
  <c r="D1407" i="25"/>
  <c r="B1407" i="25" s="1"/>
  <c r="D1408" i="25"/>
  <c r="B1408" i="25" s="1"/>
  <c r="D1409" i="25"/>
  <c r="D1410" i="25"/>
  <c r="B1410" i="25" s="1"/>
  <c r="D1411" i="25"/>
  <c r="B1411" i="25" s="1"/>
  <c r="D1412" i="25"/>
  <c r="B1412" i="25" s="1"/>
  <c r="D1413" i="25"/>
  <c r="B1413" i="25" s="1"/>
  <c r="D1414" i="25"/>
  <c r="B1414" i="25" s="1"/>
  <c r="D1415" i="25"/>
  <c r="B1415" i="25" s="1"/>
  <c r="D1416" i="25"/>
  <c r="B1416" i="25" s="1"/>
  <c r="D1417" i="25"/>
  <c r="D1418" i="25"/>
  <c r="B1418" i="25" s="1"/>
  <c r="D1419" i="25"/>
  <c r="B1419" i="25" s="1"/>
  <c r="D1420" i="25"/>
  <c r="B1420" i="25" s="1"/>
  <c r="D1421" i="25"/>
  <c r="B1421" i="25" s="1"/>
  <c r="D1422" i="25"/>
  <c r="B1422" i="25" s="1"/>
  <c r="D1423" i="25"/>
  <c r="B1423" i="25" s="1"/>
  <c r="D1424" i="25"/>
  <c r="B1424" i="25" s="1"/>
  <c r="D1425" i="25"/>
  <c r="D1426" i="25"/>
  <c r="B1426" i="25" s="1"/>
  <c r="D1427" i="25"/>
  <c r="B1427" i="25" s="1"/>
  <c r="D1428" i="25"/>
  <c r="B1428" i="25" s="1"/>
  <c r="D1429" i="25"/>
  <c r="B1429" i="25" s="1"/>
  <c r="D1430" i="25"/>
  <c r="B1430" i="25" s="1"/>
  <c r="D1431" i="25"/>
  <c r="B1431" i="25" s="1"/>
  <c r="D1432" i="25"/>
  <c r="B1432" i="25" s="1"/>
  <c r="D1433" i="25"/>
  <c r="D1434" i="25"/>
  <c r="B1434" i="25" s="1"/>
  <c r="D1435" i="25"/>
  <c r="B1435" i="25" s="1"/>
  <c r="D1436" i="25"/>
  <c r="B1436" i="25" s="1"/>
  <c r="D1437" i="25"/>
  <c r="B1437" i="25" s="1"/>
  <c r="D1438" i="25"/>
  <c r="B1438" i="25" s="1"/>
  <c r="D1439" i="25"/>
  <c r="B1439" i="25" s="1"/>
  <c r="D1440" i="25"/>
  <c r="B1440" i="25" s="1"/>
  <c r="D1441" i="25"/>
  <c r="D1442" i="25"/>
  <c r="B1442" i="25" s="1"/>
  <c r="D1443" i="25"/>
  <c r="B1443" i="25" s="1"/>
  <c r="D1444" i="25"/>
  <c r="B1444" i="25" s="1"/>
  <c r="D1445" i="25"/>
  <c r="B1445" i="25" s="1"/>
  <c r="D1446" i="25"/>
  <c r="B1446" i="25" s="1"/>
  <c r="D1447" i="25"/>
  <c r="B1447" i="25" s="1"/>
  <c r="D1448" i="25"/>
  <c r="B1448" i="25" s="1"/>
  <c r="D1449" i="25"/>
  <c r="D1450" i="25"/>
  <c r="B1450" i="25" s="1"/>
  <c r="D1451" i="25"/>
  <c r="B1451" i="25" s="1"/>
  <c r="D1452" i="25"/>
  <c r="B1452" i="25" s="1"/>
  <c r="D1453" i="25"/>
  <c r="B1453" i="25" s="1"/>
  <c r="D1454" i="25"/>
  <c r="B1454" i="25" s="1"/>
  <c r="D1455" i="25"/>
  <c r="B1455" i="25" s="1"/>
  <c r="D1456" i="25"/>
  <c r="B1456" i="25" s="1"/>
  <c r="D1457" i="25"/>
  <c r="D1458" i="25"/>
  <c r="B1458" i="25" s="1"/>
  <c r="D1459" i="25"/>
  <c r="B1459" i="25" s="1"/>
  <c r="D1460" i="25"/>
  <c r="B1460" i="25" s="1"/>
  <c r="D1461" i="25"/>
  <c r="B1461" i="25" s="1"/>
  <c r="D1462" i="25"/>
  <c r="B1462" i="25" s="1"/>
  <c r="D1463" i="25"/>
  <c r="B1463" i="25" s="1"/>
  <c r="D1464" i="25"/>
  <c r="B1464" i="25" s="1"/>
  <c r="D1465" i="25"/>
  <c r="D1466" i="25"/>
  <c r="B1466" i="25" s="1"/>
  <c r="D1467" i="25"/>
  <c r="B1467" i="25" s="1"/>
  <c r="D1468" i="25"/>
  <c r="B1468" i="25" s="1"/>
  <c r="D1469" i="25"/>
  <c r="B1469" i="25" s="1"/>
  <c r="D1470" i="25"/>
  <c r="B1470" i="25" s="1"/>
  <c r="D1471" i="25"/>
  <c r="B1471" i="25" s="1"/>
  <c r="D1472" i="25"/>
  <c r="B1472" i="25" s="1"/>
  <c r="D1473" i="25"/>
  <c r="D1474" i="25"/>
  <c r="B1474" i="25" s="1"/>
  <c r="D1475" i="25"/>
  <c r="B1475" i="25" s="1"/>
  <c r="D1476" i="25"/>
  <c r="B1476" i="25" s="1"/>
  <c r="D1477" i="25"/>
  <c r="B1477" i="25" s="1"/>
  <c r="D1478" i="25"/>
  <c r="B1478" i="25" s="1"/>
  <c r="D1479" i="25"/>
  <c r="B1479" i="25" s="1"/>
  <c r="D1480" i="25"/>
  <c r="B1480" i="25" s="1"/>
  <c r="D1481" i="25"/>
  <c r="D1482" i="25"/>
  <c r="B1482" i="25" s="1"/>
  <c r="D1483" i="25"/>
  <c r="B1483" i="25" s="1"/>
  <c r="D1484" i="25"/>
  <c r="B1484" i="25" s="1"/>
  <c r="D1485" i="25"/>
  <c r="B1485" i="25" s="1"/>
  <c r="D1486" i="25"/>
  <c r="B1486" i="25" s="1"/>
  <c r="D1487" i="25"/>
  <c r="B1487" i="25" s="1"/>
  <c r="D1488" i="25"/>
  <c r="B1488" i="25" s="1"/>
  <c r="D1489" i="25"/>
  <c r="D1490" i="25"/>
  <c r="B1490" i="25" s="1"/>
  <c r="D1491" i="25"/>
  <c r="B1491" i="25" s="1"/>
  <c r="D1492" i="25"/>
  <c r="B1492" i="25" s="1"/>
  <c r="D1493" i="25"/>
  <c r="B1493" i="25" s="1"/>
  <c r="D1494" i="25"/>
  <c r="B1494" i="25" s="1"/>
  <c r="D1495" i="25"/>
  <c r="B1495" i="25" s="1"/>
  <c r="D1496" i="25"/>
  <c r="B1496" i="25" s="1"/>
  <c r="D1497" i="25"/>
  <c r="D1498" i="25"/>
  <c r="B1498" i="25" s="1"/>
  <c r="D1499" i="25"/>
  <c r="B1499" i="25" s="1"/>
  <c r="D1500" i="25"/>
  <c r="B1500" i="25" s="1"/>
  <c r="D1501" i="25"/>
  <c r="B1501" i="25" s="1"/>
  <c r="D1502" i="25"/>
  <c r="B1502" i="25" s="1"/>
  <c r="D1503" i="25"/>
  <c r="B1503" i="25" s="1"/>
  <c r="D1504" i="25"/>
  <c r="B1504" i="25" s="1"/>
  <c r="D1505" i="25"/>
  <c r="D1506" i="25"/>
  <c r="B1506" i="25" s="1"/>
  <c r="D1507" i="25"/>
  <c r="B1507" i="25" s="1"/>
  <c r="D1508" i="25"/>
  <c r="B1508" i="25" s="1"/>
  <c r="D1509" i="25"/>
  <c r="B1509" i="25" s="1"/>
  <c r="D1510" i="25"/>
  <c r="B1510" i="25" s="1"/>
  <c r="D1511" i="25"/>
  <c r="B1511" i="25" s="1"/>
  <c r="D1512" i="25"/>
  <c r="B1512" i="25" s="1"/>
  <c r="D1513" i="25"/>
  <c r="D1514" i="25"/>
  <c r="B1514" i="25" s="1"/>
  <c r="D1515" i="25"/>
  <c r="B1515" i="25" s="1"/>
  <c r="D1516" i="25"/>
  <c r="B1516" i="25" s="1"/>
  <c r="D1517" i="25"/>
  <c r="B1517" i="25" s="1"/>
  <c r="D1518" i="25"/>
  <c r="B1518" i="25" s="1"/>
  <c r="D1519" i="25"/>
  <c r="B1519" i="25" s="1"/>
  <c r="D1520" i="25"/>
  <c r="B1520" i="25" s="1"/>
  <c r="D1521" i="25"/>
  <c r="D1522" i="25"/>
  <c r="B1522" i="25" s="1"/>
  <c r="D1523" i="25"/>
  <c r="B1523" i="25" s="1"/>
  <c r="D1524" i="25"/>
  <c r="B1524" i="25" s="1"/>
  <c r="D1525" i="25"/>
  <c r="B1525" i="25" s="1"/>
  <c r="D1526" i="25"/>
  <c r="B1526" i="25" s="1"/>
  <c r="D1527" i="25"/>
  <c r="B1527" i="25" s="1"/>
  <c r="D1528" i="25"/>
  <c r="B1528" i="25" s="1"/>
  <c r="D1529" i="25"/>
  <c r="D1530" i="25"/>
  <c r="B1530" i="25" s="1"/>
  <c r="D1531" i="25"/>
  <c r="B1531" i="25" s="1"/>
  <c r="D1532" i="25"/>
  <c r="B1532" i="25" s="1"/>
  <c r="D1533" i="25"/>
  <c r="B1533" i="25" s="1"/>
  <c r="D1534" i="25"/>
  <c r="B1534" i="25" s="1"/>
  <c r="D1535" i="25"/>
  <c r="B1535" i="25" s="1"/>
  <c r="D1536" i="25"/>
  <c r="B1536" i="25" s="1"/>
  <c r="D1537" i="25"/>
  <c r="D1538" i="25"/>
  <c r="B1538" i="25" s="1"/>
  <c r="D1539" i="25"/>
  <c r="B1539" i="25" s="1"/>
  <c r="D1540" i="25"/>
  <c r="B1540" i="25" s="1"/>
  <c r="D1541" i="25"/>
  <c r="B1541" i="25" s="1"/>
  <c r="D1542" i="25"/>
  <c r="B1542" i="25" s="1"/>
  <c r="D1543" i="25"/>
  <c r="B1543" i="25" s="1"/>
  <c r="D1544" i="25"/>
  <c r="B1544" i="25" s="1"/>
  <c r="D1545" i="25"/>
  <c r="D1546" i="25"/>
  <c r="B1546" i="25" s="1"/>
  <c r="D1547" i="25"/>
  <c r="B1547" i="25" s="1"/>
  <c r="D1548" i="25"/>
  <c r="B1548" i="25" s="1"/>
  <c r="D1549" i="25"/>
  <c r="B1549" i="25" s="1"/>
  <c r="D1550" i="25"/>
  <c r="B1550" i="25" s="1"/>
  <c r="D1551" i="25"/>
  <c r="B1551" i="25" s="1"/>
  <c r="D1552" i="25"/>
  <c r="B1552" i="25" s="1"/>
  <c r="D1553" i="25"/>
  <c r="D1554" i="25"/>
  <c r="B1554" i="25" s="1"/>
  <c r="D1555" i="25"/>
  <c r="B1555" i="25" s="1"/>
  <c r="D1556" i="25"/>
  <c r="B1556" i="25" s="1"/>
  <c r="D1557" i="25"/>
  <c r="B1557" i="25" s="1"/>
  <c r="D1558" i="25"/>
  <c r="B1558" i="25" s="1"/>
  <c r="D1559" i="25"/>
  <c r="B1559" i="25" s="1"/>
  <c r="D1560" i="25"/>
  <c r="B1560" i="25" s="1"/>
  <c r="D1561" i="25"/>
  <c r="D1562" i="25"/>
  <c r="B1562" i="25" s="1"/>
  <c r="D1563" i="25"/>
  <c r="B1563" i="25" s="1"/>
  <c r="D1564" i="25"/>
  <c r="B1564" i="25" s="1"/>
  <c r="D1565" i="25"/>
  <c r="B1565" i="25" s="1"/>
  <c r="D1566" i="25"/>
  <c r="B1566" i="25" s="1"/>
  <c r="D1567" i="25"/>
  <c r="B1567" i="25" s="1"/>
  <c r="D1568" i="25"/>
  <c r="B1568" i="25" s="1"/>
  <c r="D1569" i="25"/>
  <c r="D1570" i="25"/>
  <c r="B1570" i="25" s="1"/>
  <c r="D1571" i="25"/>
  <c r="B1571" i="25" s="1"/>
  <c r="D1572" i="25"/>
  <c r="B1572" i="25" s="1"/>
  <c r="D1573" i="25"/>
  <c r="B1573" i="25" s="1"/>
  <c r="D1574" i="25"/>
  <c r="B1574" i="25" s="1"/>
  <c r="D1575" i="25"/>
  <c r="B1575" i="25" s="1"/>
  <c r="D1576" i="25"/>
  <c r="B1576" i="25" s="1"/>
  <c r="D1577" i="25"/>
  <c r="D1578" i="25"/>
  <c r="B1578" i="25" s="1"/>
  <c r="D1579" i="25"/>
  <c r="B1579" i="25" s="1"/>
  <c r="D1580" i="25"/>
  <c r="B1580" i="25" s="1"/>
  <c r="D1581" i="25"/>
  <c r="B1581" i="25" s="1"/>
  <c r="D1582" i="25"/>
  <c r="B1582" i="25" s="1"/>
  <c r="D1583" i="25"/>
  <c r="B1583" i="25" s="1"/>
  <c r="D1584" i="25"/>
  <c r="B1584" i="25" s="1"/>
  <c r="D1585" i="25"/>
  <c r="D1586" i="25"/>
  <c r="B1586" i="25" s="1"/>
  <c r="D1587" i="25"/>
  <c r="B1587" i="25" s="1"/>
  <c r="D1588" i="25"/>
  <c r="B1588" i="25" s="1"/>
  <c r="D1589" i="25"/>
  <c r="B1589" i="25" s="1"/>
  <c r="D1590" i="25"/>
  <c r="B1590" i="25" s="1"/>
  <c r="D1591" i="25"/>
  <c r="B1591" i="25" s="1"/>
  <c r="D1592" i="25"/>
  <c r="B1592" i="25" s="1"/>
  <c r="D1593" i="25"/>
  <c r="D1594" i="25"/>
  <c r="B1594" i="25" s="1"/>
  <c r="D1595" i="25"/>
  <c r="B1595" i="25" s="1"/>
  <c r="D1596" i="25"/>
  <c r="B1596" i="25" s="1"/>
  <c r="D1597" i="25"/>
  <c r="B1597" i="25" s="1"/>
  <c r="D1598" i="25"/>
  <c r="B1598" i="25" s="1"/>
  <c r="D1599" i="25"/>
  <c r="B1599" i="25" s="1"/>
  <c r="D1600" i="25"/>
  <c r="B1600" i="25" s="1"/>
  <c r="D1601" i="25"/>
  <c r="D1602" i="25"/>
  <c r="B1602" i="25" s="1"/>
  <c r="D1603" i="25"/>
  <c r="B1603" i="25" s="1"/>
  <c r="D1604" i="25"/>
  <c r="B1604" i="25" s="1"/>
  <c r="D1605" i="25"/>
  <c r="B1605" i="25" s="1"/>
  <c r="D1606" i="25"/>
  <c r="B1606" i="25" s="1"/>
  <c r="D1607" i="25"/>
  <c r="B1607" i="25" s="1"/>
  <c r="D1608" i="25"/>
  <c r="B1608" i="25" s="1"/>
  <c r="D1609" i="25"/>
  <c r="D1610" i="25"/>
  <c r="B1610" i="25" s="1"/>
  <c r="D1611" i="25"/>
  <c r="B1611" i="25" s="1"/>
  <c r="D1612" i="25"/>
  <c r="B1612" i="25" s="1"/>
  <c r="D1613" i="25"/>
  <c r="B1613" i="25" s="1"/>
  <c r="D1614" i="25"/>
  <c r="B1614" i="25" s="1"/>
  <c r="D1615" i="25"/>
  <c r="B1615" i="25" s="1"/>
  <c r="D1616" i="25"/>
  <c r="B1616" i="25" s="1"/>
  <c r="D1617" i="25"/>
  <c r="D1618" i="25"/>
  <c r="B1618" i="25" s="1"/>
  <c r="D1619" i="25"/>
  <c r="B1619" i="25" s="1"/>
  <c r="D1620" i="25"/>
  <c r="B1620" i="25" s="1"/>
  <c r="D1621" i="25"/>
  <c r="B1621" i="25" s="1"/>
  <c r="D1622" i="25"/>
  <c r="B1622" i="25" s="1"/>
  <c r="D1623" i="25"/>
  <c r="B1623" i="25" s="1"/>
  <c r="D1624" i="25"/>
  <c r="B1624" i="25" s="1"/>
  <c r="D1625" i="25"/>
  <c r="D1626" i="25"/>
  <c r="B1626" i="25" s="1"/>
  <c r="D1627" i="25"/>
  <c r="B1627" i="25" s="1"/>
  <c r="D1628" i="25"/>
  <c r="B1628" i="25" s="1"/>
  <c r="D1629" i="25"/>
  <c r="B1629" i="25" s="1"/>
  <c r="D1630" i="25"/>
  <c r="B1630" i="25" s="1"/>
  <c r="D1631" i="25"/>
  <c r="B1631" i="25" s="1"/>
  <c r="D1632" i="25"/>
  <c r="B1632" i="25" s="1"/>
  <c r="D1633" i="25"/>
  <c r="D1634" i="25"/>
  <c r="B1634" i="25" s="1"/>
  <c r="D1635" i="25"/>
  <c r="B1635" i="25" s="1"/>
  <c r="D1636" i="25"/>
  <c r="B1636" i="25" s="1"/>
  <c r="D1637" i="25"/>
  <c r="B1637" i="25" s="1"/>
  <c r="D1638" i="25"/>
  <c r="B1638" i="25" s="1"/>
  <c r="D1639" i="25"/>
  <c r="B1639" i="25" s="1"/>
  <c r="D1640" i="25"/>
  <c r="B1640" i="25" s="1"/>
  <c r="D1641" i="25"/>
  <c r="D1642" i="25"/>
  <c r="B1642" i="25" s="1"/>
  <c r="D1643" i="25"/>
  <c r="B1643" i="25" s="1"/>
  <c r="D1644" i="25"/>
  <c r="B1644" i="25" s="1"/>
  <c r="D1645" i="25"/>
  <c r="B1645" i="25" s="1"/>
  <c r="D1646" i="25"/>
  <c r="B1646" i="25" s="1"/>
  <c r="D1647" i="25"/>
  <c r="B1647" i="25" s="1"/>
  <c r="D1648" i="25"/>
  <c r="B1648" i="25" s="1"/>
  <c r="D1649" i="25"/>
  <c r="D1650" i="25"/>
  <c r="B1650" i="25" s="1"/>
  <c r="D1651" i="25"/>
  <c r="B1651" i="25" s="1"/>
  <c r="D1652" i="25"/>
  <c r="B1652" i="25" s="1"/>
  <c r="D1653" i="25"/>
  <c r="B1653" i="25" s="1"/>
  <c r="D1654" i="25"/>
  <c r="B1654" i="25" s="1"/>
  <c r="D1655" i="25"/>
  <c r="B1655" i="25" s="1"/>
  <c r="D1656" i="25"/>
  <c r="B1656" i="25" s="1"/>
  <c r="D1657" i="25"/>
  <c r="D1658" i="25"/>
  <c r="B1658" i="25" s="1"/>
  <c r="D1659" i="25"/>
  <c r="B1659" i="25" s="1"/>
  <c r="D1660" i="25"/>
  <c r="B1660" i="25" s="1"/>
  <c r="D1661" i="25"/>
  <c r="B1661" i="25" s="1"/>
  <c r="D1662" i="25"/>
  <c r="B1662" i="25" s="1"/>
  <c r="D1663" i="25"/>
  <c r="B1663" i="25" s="1"/>
  <c r="D1664" i="25"/>
  <c r="B1664" i="25" s="1"/>
  <c r="D1665" i="25"/>
  <c r="D1666" i="25"/>
  <c r="B1666" i="25" s="1"/>
  <c r="D1667" i="25"/>
  <c r="B1667" i="25" s="1"/>
  <c r="D1668" i="25"/>
  <c r="B1668" i="25" s="1"/>
  <c r="D1669" i="25"/>
  <c r="B1669" i="25" s="1"/>
  <c r="D1670" i="25"/>
  <c r="B1670" i="25" s="1"/>
  <c r="D1671" i="25"/>
  <c r="B1671" i="25" s="1"/>
  <c r="D1672" i="25"/>
  <c r="B1672" i="25" s="1"/>
  <c r="D1673" i="25"/>
  <c r="D1674" i="25"/>
  <c r="B1674" i="25" s="1"/>
  <c r="D1675" i="25"/>
  <c r="B1675" i="25" s="1"/>
  <c r="D1676" i="25"/>
  <c r="B1676" i="25" s="1"/>
  <c r="D1677" i="25"/>
  <c r="B1677" i="25" s="1"/>
  <c r="D1678" i="25"/>
  <c r="B1678" i="25" s="1"/>
  <c r="D1679" i="25"/>
  <c r="B1679" i="25" s="1"/>
  <c r="D1680" i="25"/>
  <c r="B1680" i="25" s="1"/>
  <c r="D1681" i="25"/>
  <c r="D1682" i="25"/>
  <c r="B1682" i="25" s="1"/>
  <c r="D1683" i="25"/>
  <c r="B1683" i="25" s="1"/>
  <c r="D1684" i="25"/>
  <c r="B1684" i="25" s="1"/>
  <c r="D1685" i="25"/>
  <c r="B1685" i="25" s="1"/>
  <c r="D1686" i="25"/>
  <c r="B1686" i="25" s="1"/>
  <c r="D1687" i="25"/>
  <c r="B1687" i="25" s="1"/>
  <c r="D1688" i="25"/>
  <c r="B1688" i="25" s="1"/>
  <c r="D1689" i="25"/>
  <c r="D1690" i="25"/>
  <c r="B1690" i="25" s="1"/>
  <c r="D1691" i="25"/>
  <c r="B1691" i="25" s="1"/>
  <c r="D1692" i="25"/>
  <c r="B1692" i="25" s="1"/>
  <c r="D1693" i="25"/>
  <c r="B1693" i="25" s="1"/>
  <c r="D1694" i="25"/>
  <c r="B1694" i="25" s="1"/>
  <c r="D1695" i="25"/>
  <c r="B1695" i="25" s="1"/>
  <c r="D1696" i="25"/>
  <c r="B1696" i="25" s="1"/>
  <c r="D1697" i="25"/>
  <c r="D1698" i="25"/>
  <c r="B1698" i="25" s="1"/>
  <c r="D1699" i="25"/>
  <c r="B1699" i="25" s="1"/>
  <c r="D1700" i="25"/>
  <c r="B1700" i="25" s="1"/>
  <c r="D1701" i="25"/>
  <c r="B1701" i="25" s="1"/>
  <c r="D1702" i="25"/>
  <c r="B1702" i="25" s="1"/>
  <c r="D1703" i="25"/>
  <c r="B1703" i="25" s="1"/>
  <c r="D1704" i="25"/>
  <c r="B1704" i="25" s="1"/>
  <c r="D1705" i="25"/>
  <c r="D1706" i="25"/>
  <c r="B1706" i="25" s="1"/>
  <c r="D1707" i="25"/>
  <c r="B1707" i="25" s="1"/>
  <c r="D1708" i="25"/>
  <c r="B1708" i="25" s="1"/>
  <c r="D1709" i="25"/>
  <c r="B1709" i="25" s="1"/>
  <c r="D1710" i="25"/>
  <c r="B1710" i="25" s="1"/>
  <c r="D1711" i="25"/>
  <c r="B1711" i="25" s="1"/>
  <c r="D1712" i="25"/>
  <c r="B1712" i="25" s="1"/>
  <c r="D1713" i="25"/>
  <c r="D1714" i="25"/>
  <c r="B1714" i="25" s="1"/>
  <c r="D1715" i="25"/>
  <c r="B1715" i="25" s="1"/>
  <c r="D1716" i="25"/>
  <c r="B1716" i="25" s="1"/>
  <c r="D1717" i="25"/>
  <c r="B1717" i="25" s="1"/>
  <c r="D1718" i="25"/>
  <c r="B1718" i="25" s="1"/>
  <c r="D1719" i="25"/>
  <c r="B1719" i="25" s="1"/>
  <c r="D1720" i="25"/>
  <c r="B1720" i="25" s="1"/>
  <c r="D1721" i="25"/>
  <c r="D1722" i="25"/>
  <c r="B1722" i="25" s="1"/>
  <c r="D1723" i="25"/>
  <c r="B1723" i="25" s="1"/>
  <c r="D1724" i="25"/>
  <c r="B1724" i="25" s="1"/>
  <c r="D1725" i="25"/>
  <c r="B1725" i="25" s="1"/>
  <c r="D1726" i="25"/>
  <c r="B1726" i="25" s="1"/>
  <c r="D1727" i="25"/>
  <c r="B1727" i="25" s="1"/>
  <c r="D1728" i="25"/>
  <c r="B1728" i="25" s="1"/>
  <c r="D1729" i="25"/>
  <c r="B107" i="25"/>
  <c r="B115" i="25"/>
  <c r="B123" i="25"/>
  <c r="B131" i="25"/>
  <c r="B139" i="25"/>
  <c r="B147" i="25"/>
  <c r="B155" i="25"/>
  <c r="B163" i="25"/>
  <c r="B171" i="25"/>
  <c r="B179" i="25"/>
  <c r="B187" i="25"/>
  <c r="B195" i="25"/>
  <c r="B203" i="25"/>
  <c r="B211" i="25"/>
  <c r="B219" i="25"/>
  <c r="B227" i="25"/>
  <c r="B235" i="25"/>
  <c r="B243" i="25"/>
  <c r="B251" i="25"/>
  <c r="B259" i="25"/>
  <c r="B267" i="25"/>
  <c r="B275" i="25"/>
  <c r="B283" i="25"/>
  <c r="B291" i="25"/>
  <c r="B299" i="25"/>
  <c r="B307" i="25"/>
  <c r="B315" i="25"/>
  <c r="B323" i="25"/>
  <c r="B331" i="25"/>
  <c r="B339" i="25"/>
  <c r="B347" i="25"/>
  <c r="B355" i="25"/>
  <c r="B363" i="25"/>
  <c r="B371" i="25"/>
  <c r="B379" i="25"/>
  <c r="B387" i="25"/>
  <c r="B395" i="25"/>
  <c r="B403" i="25"/>
  <c r="B411" i="25"/>
  <c r="B419" i="25"/>
  <c r="B427" i="25"/>
  <c r="B435" i="25"/>
  <c r="B443" i="25"/>
  <c r="B451" i="25"/>
  <c r="B459" i="25"/>
  <c r="B467" i="25"/>
  <c r="B475" i="25"/>
  <c r="B483" i="25"/>
  <c r="B491" i="25"/>
  <c r="B499" i="25"/>
  <c r="B100" i="25"/>
  <c r="B102" i="25"/>
  <c r="B103" i="25"/>
  <c r="B105" i="25"/>
  <c r="B108" i="25"/>
  <c r="B111" i="25"/>
  <c r="B113" i="25"/>
  <c r="B116" i="25"/>
  <c r="B118" i="25"/>
  <c r="B119" i="25"/>
  <c r="B121" i="25"/>
  <c r="B124" i="25"/>
  <c r="B127" i="25"/>
  <c r="B129" i="25"/>
  <c r="B132" i="25"/>
  <c r="B134" i="25"/>
  <c r="B135" i="25"/>
  <c r="B137" i="25"/>
  <c r="B140" i="25"/>
  <c r="B143" i="25"/>
  <c r="B145" i="25"/>
  <c r="B148" i="25"/>
  <c r="B150" i="25"/>
  <c r="B151" i="25"/>
  <c r="B153" i="25"/>
  <c r="B156" i="25"/>
  <c r="B159" i="25"/>
  <c r="B161" i="25"/>
  <c r="B164" i="25"/>
  <c r="B166" i="25"/>
  <c r="B167" i="25"/>
  <c r="B169" i="25"/>
  <c r="B172" i="25"/>
  <c r="B175" i="25"/>
  <c r="B177" i="25"/>
  <c r="B180" i="25"/>
  <c r="B182" i="25"/>
  <c r="B183" i="25"/>
  <c r="B185" i="25"/>
  <c r="B188" i="25"/>
  <c r="B191" i="25"/>
  <c r="B193" i="25"/>
  <c r="B196" i="25"/>
  <c r="B198" i="25"/>
  <c r="B199" i="25"/>
  <c r="B201" i="25"/>
  <c r="B204" i="25"/>
  <c r="B207" i="25"/>
  <c r="B209" i="25"/>
  <c r="B212" i="25"/>
  <c r="B214" i="25"/>
  <c r="B215" i="25"/>
  <c r="B217" i="25"/>
  <c r="B220" i="25"/>
  <c r="B223" i="25"/>
  <c r="B225" i="25"/>
  <c r="B228" i="25"/>
  <c r="B230" i="25"/>
  <c r="B231" i="25"/>
  <c r="B232" i="25"/>
  <c r="B233" i="25"/>
  <c r="B236" i="25"/>
  <c r="B239" i="25"/>
  <c r="B241" i="25"/>
  <c r="B244" i="25"/>
  <c r="B246" i="25"/>
  <c r="B247" i="25"/>
  <c r="B249" i="25"/>
  <c r="B252" i="25"/>
  <c r="B255" i="25"/>
  <c r="B257" i="25"/>
  <c r="B260" i="25"/>
  <c r="B262" i="25"/>
  <c r="B263" i="25"/>
  <c r="B265" i="25"/>
  <c r="B268" i="25"/>
  <c r="B271" i="25"/>
  <c r="B273" i="25"/>
  <c r="B276" i="25"/>
  <c r="B278" i="25"/>
  <c r="B279" i="25"/>
  <c r="B281" i="25"/>
  <c r="B284" i="25"/>
  <c r="B287" i="25"/>
  <c r="B289" i="25"/>
  <c r="B292" i="25"/>
  <c r="B294" i="25"/>
  <c r="B295" i="25"/>
  <c r="B296" i="25"/>
  <c r="B297" i="25"/>
  <c r="B300" i="25"/>
  <c r="B303" i="25"/>
  <c r="B305" i="25"/>
  <c r="B308" i="25"/>
  <c r="B311" i="25"/>
  <c r="B313" i="25"/>
  <c r="B316" i="25"/>
  <c r="B319" i="25"/>
  <c r="B321" i="25"/>
  <c r="B324" i="25"/>
  <c r="B327" i="25"/>
  <c r="B329" i="25"/>
  <c r="B332" i="25"/>
  <c r="B335" i="25"/>
  <c r="B337" i="25"/>
  <c r="B340" i="25"/>
  <c r="B343" i="25"/>
  <c r="B345" i="25"/>
  <c r="B348" i="25"/>
  <c r="B351" i="25"/>
  <c r="B353" i="25"/>
  <c r="B356" i="25"/>
  <c r="B359" i="25"/>
  <c r="B361" i="25"/>
  <c r="B364" i="25"/>
  <c r="B367" i="25"/>
  <c r="B369" i="25"/>
  <c r="B372" i="25"/>
  <c r="B375" i="25"/>
  <c r="B377" i="25"/>
  <c r="B380" i="25"/>
  <c r="B383" i="25"/>
  <c r="B385" i="25"/>
  <c r="B388" i="25"/>
  <c r="B391" i="25"/>
  <c r="B393" i="25"/>
  <c r="B396" i="25"/>
  <c r="B399" i="25"/>
  <c r="B401" i="25"/>
  <c r="B404" i="25"/>
  <c r="B407" i="25"/>
  <c r="B409" i="25"/>
  <c r="B412" i="25"/>
  <c r="B415" i="25"/>
  <c r="B417" i="25"/>
  <c r="B420" i="25"/>
  <c r="B423" i="25"/>
  <c r="B424" i="25"/>
  <c r="B425" i="25"/>
  <c r="B428" i="25"/>
  <c r="B430" i="25"/>
  <c r="B431" i="25"/>
  <c r="B433" i="25"/>
  <c r="B436" i="25"/>
  <c r="B439" i="25"/>
  <c r="B441" i="25"/>
  <c r="B444" i="25"/>
  <c r="B446" i="25"/>
  <c r="B447" i="25"/>
  <c r="B449" i="25"/>
  <c r="B452" i="25"/>
  <c r="B455" i="25"/>
  <c r="B457" i="25"/>
  <c r="B460" i="25"/>
  <c r="B462" i="25"/>
  <c r="B463" i="25"/>
  <c r="B465" i="25"/>
  <c r="B468" i="25"/>
  <c r="B471" i="25"/>
  <c r="B473" i="25"/>
  <c r="B476" i="25"/>
  <c r="B478" i="25"/>
  <c r="B479" i="25"/>
  <c r="B481" i="25"/>
  <c r="B484" i="25"/>
  <c r="B487" i="25"/>
  <c r="B488" i="25"/>
  <c r="B489" i="25"/>
  <c r="B492" i="25"/>
  <c r="B494" i="25"/>
  <c r="B495" i="25"/>
  <c r="B497" i="25"/>
  <c r="Y948" i="25"/>
  <c r="X948" i="25"/>
  <c r="R948" i="25"/>
  <c r="R949" i="25"/>
  <c r="R950" i="25"/>
  <c r="R951" i="25"/>
  <c r="R952" i="25"/>
  <c r="R953" i="25"/>
  <c r="R954" i="25"/>
  <c r="R955" i="25"/>
  <c r="R956" i="25"/>
  <c r="R957" i="25"/>
  <c r="R958" i="25"/>
  <c r="R959" i="25"/>
  <c r="R960" i="25"/>
  <c r="R961" i="25"/>
  <c r="R962" i="25"/>
  <c r="R963" i="25"/>
  <c r="R964" i="25"/>
  <c r="R965" i="25"/>
  <c r="R966" i="25"/>
  <c r="R967" i="25"/>
  <c r="R968" i="25"/>
  <c r="R969" i="25"/>
  <c r="R970" i="25"/>
  <c r="R971" i="25"/>
  <c r="R972" i="25"/>
  <c r="R973" i="25"/>
  <c r="R974" i="25"/>
  <c r="R975" i="25"/>
  <c r="R976" i="25"/>
  <c r="R977" i="25"/>
  <c r="R978" i="25"/>
  <c r="R979" i="25"/>
  <c r="R980" i="25"/>
  <c r="R981" i="25"/>
  <c r="R982" i="25"/>
  <c r="R983" i="25"/>
  <c r="R984" i="25"/>
  <c r="R985" i="25"/>
  <c r="R986" i="25"/>
  <c r="R987" i="25"/>
  <c r="R988" i="25"/>
  <c r="R989" i="25"/>
  <c r="R990" i="25"/>
  <c r="R991" i="25"/>
  <c r="R992" i="25"/>
  <c r="R993" i="25"/>
  <c r="R994" i="25"/>
  <c r="R995" i="25"/>
  <c r="R996" i="25"/>
  <c r="R997" i="25"/>
  <c r="R998" i="25"/>
  <c r="R999" i="25"/>
  <c r="R1000" i="25"/>
  <c r="R1001" i="25"/>
  <c r="R1002" i="25"/>
  <c r="R1003" i="25"/>
  <c r="R1004" i="25"/>
  <c r="R1005" i="25"/>
  <c r="R1006" i="25"/>
  <c r="R1007" i="25"/>
  <c r="R1008" i="25"/>
  <c r="R1009" i="25"/>
  <c r="R1010" i="25"/>
  <c r="R1011" i="25"/>
  <c r="R1012" i="25"/>
  <c r="R1013" i="25"/>
  <c r="R1014" i="25"/>
  <c r="R1015" i="25"/>
  <c r="R1016" i="25"/>
  <c r="R1017" i="25"/>
  <c r="R1018" i="25"/>
  <c r="R1019" i="25"/>
  <c r="R1020" i="25"/>
  <c r="R1021" i="25"/>
  <c r="R1022" i="25"/>
  <c r="R1023" i="25"/>
  <c r="R1024" i="25"/>
  <c r="R1025" i="25"/>
  <c r="R1026" i="25"/>
  <c r="R1027" i="25"/>
  <c r="R1028" i="25"/>
  <c r="R1029" i="25"/>
  <c r="R1030" i="25"/>
  <c r="R1031" i="25"/>
  <c r="R1032" i="25"/>
  <c r="R1033" i="25"/>
  <c r="R1034" i="25"/>
  <c r="R1035" i="25"/>
  <c r="R1036" i="25"/>
  <c r="R1037" i="25"/>
  <c r="R1038" i="25"/>
  <c r="R1039" i="25"/>
  <c r="R1040" i="25"/>
  <c r="R1041" i="25"/>
  <c r="R1042" i="25"/>
  <c r="R1043" i="25"/>
  <c r="R1044" i="25"/>
  <c r="R1045" i="25"/>
  <c r="R1046" i="25"/>
  <c r="R1047" i="25"/>
  <c r="R1048" i="25"/>
  <c r="R1049" i="25"/>
  <c r="R1050" i="25"/>
  <c r="R1051" i="25"/>
  <c r="R1052" i="25"/>
  <c r="R1053" i="25"/>
  <c r="R1061" i="25"/>
  <c r="R1062" i="25"/>
  <c r="R1063" i="25"/>
  <c r="R1064" i="25"/>
  <c r="R1065" i="25"/>
  <c r="R1066" i="25"/>
  <c r="R1067" i="25"/>
  <c r="R1068" i="25"/>
  <c r="R1069" i="25"/>
  <c r="R1070" i="25"/>
  <c r="R1071" i="25"/>
  <c r="R1072" i="25"/>
  <c r="R1073" i="25"/>
  <c r="R1074" i="25"/>
  <c r="R1075" i="25"/>
  <c r="R1076" i="25"/>
  <c r="R1077" i="25"/>
  <c r="R1078" i="25"/>
  <c r="R1079" i="25"/>
  <c r="R1080" i="25"/>
  <c r="R1081" i="25"/>
  <c r="R1082" i="25"/>
  <c r="R1083" i="25"/>
  <c r="R1084" i="25"/>
  <c r="R1085" i="25"/>
  <c r="R1086" i="25"/>
  <c r="R1087" i="25"/>
  <c r="R1088" i="25"/>
  <c r="R1089" i="25"/>
  <c r="R1090" i="25"/>
  <c r="R1091" i="25"/>
  <c r="R1092" i="25"/>
  <c r="R1093" i="25"/>
  <c r="R1094" i="25"/>
  <c r="R1095" i="25"/>
  <c r="R1096" i="25"/>
  <c r="R1097" i="25"/>
  <c r="R1098" i="25"/>
  <c r="R1099" i="25"/>
  <c r="R1100" i="25"/>
  <c r="R1101" i="25"/>
  <c r="R1102" i="25"/>
  <c r="R1103" i="25"/>
  <c r="R1104" i="25"/>
  <c r="R1105" i="25"/>
  <c r="R1106" i="25"/>
  <c r="R1107" i="25"/>
  <c r="R1108" i="25"/>
  <c r="R1109" i="25"/>
  <c r="R1110" i="25"/>
  <c r="R1111" i="25"/>
  <c r="R1112" i="25"/>
  <c r="R1113" i="25"/>
  <c r="R1114" i="25"/>
  <c r="R1115" i="25"/>
  <c r="R1116" i="25"/>
  <c r="R1117" i="25"/>
  <c r="R1118" i="25"/>
  <c r="R1119" i="25"/>
  <c r="R1120" i="25"/>
  <c r="R1121" i="25"/>
  <c r="R1122" i="25"/>
  <c r="R1123" i="25"/>
  <c r="R1124" i="25"/>
  <c r="R1125" i="25"/>
  <c r="R1126" i="25"/>
  <c r="R1127" i="25"/>
  <c r="R1128" i="25"/>
  <c r="R1129" i="25"/>
  <c r="R1130" i="25"/>
  <c r="R1131" i="25"/>
  <c r="R1132" i="25"/>
  <c r="R1133" i="25"/>
  <c r="R1134" i="25"/>
  <c r="R1135" i="25"/>
  <c r="R1136" i="25"/>
  <c r="R1137" i="25"/>
  <c r="R1138" i="25"/>
  <c r="R1139" i="25"/>
  <c r="R1140" i="25"/>
  <c r="R1141" i="25"/>
  <c r="R1142" i="25"/>
  <c r="R1143" i="25"/>
  <c r="R1144" i="25"/>
  <c r="R1145" i="25"/>
  <c r="R1146" i="25"/>
  <c r="R1147" i="25"/>
  <c r="R1148" i="25"/>
  <c r="R1149" i="25"/>
  <c r="R1150" i="25"/>
  <c r="R1151" i="25"/>
  <c r="R1152" i="25"/>
  <c r="R1153" i="25"/>
  <c r="R1154" i="25"/>
  <c r="R1155" i="25"/>
  <c r="R1156" i="25"/>
  <c r="R1157" i="25"/>
  <c r="R1158" i="25"/>
  <c r="R1159" i="25"/>
  <c r="R1160" i="25"/>
  <c r="R1161" i="25"/>
  <c r="R1162" i="25"/>
  <c r="R1163" i="25"/>
  <c r="R1164" i="25"/>
  <c r="R1165" i="25"/>
  <c r="R1166" i="25"/>
  <c r="R1167" i="25"/>
  <c r="R1168" i="25"/>
  <c r="R1169" i="25"/>
  <c r="R1170" i="25"/>
  <c r="R1171" i="25"/>
  <c r="R1172" i="25"/>
  <c r="R1173" i="25"/>
  <c r="R1174" i="25"/>
  <c r="R1175" i="25"/>
  <c r="R1176" i="25"/>
  <c r="R1177" i="25"/>
  <c r="R1178" i="25"/>
  <c r="R1179" i="25"/>
  <c r="R1180" i="25"/>
  <c r="R1181" i="25"/>
  <c r="R1182" i="25"/>
  <c r="R1183" i="25"/>
  <c r="R1184" i="25"/>
  <c r="R1185" i="25"/>
  <c r="R1186" i="25"/>
  <c r="R1187" i="25"/>
  <c r="R1188" i="25"/>
  <c r="R1189" i="25"/>
  <c r="R1190" i="25"/>
  <c r="R1191" i="25"/>
  <c r="R1192" i="25"/>
  <c r="R1193" i="25"/>
  <c r="R1194" i="25"/>
  <c r="R1195" i="25"/>
  <c r="R1196" i="25"/>
  <c r="R1197" i="25"/>
  <c r="R1198" i="25"/>
  <c r="R1199" i="25"/>
  <c r="R1200" i="25"/>
  <c r="R1201" i="25"/>
  <c r="R1202" i="25"/>
  <c r="R1203" i="25"/>
  <c r="R1204" i="25"/>
  <c r="R1205" i="25"/>
  <c r="R1206" i="25"/>
  <c r="R1207" i="25"/>
  <c r="R1208" i="25"/>
  <c r="R1209" i="25"/>
  <c r="R1210" i="25"/>
  <c r="R1211" i="25"/>
  <c r="R1212" i="25"/>
  <c r="R1213" i="25"/>
  <c r="R1214" i="25"/>
  <c r="R1215" i="25"/>
  <c r="R1216" i="25"/>
  <c r="R1217" i="25"/>
  <c r="R1218" i="25"/>
  <c r="R1219" i="25"/>
  <c r="R1220" i="25"/>
  <c r="R1221" i="25"/>
  <c r="R1222" i="25"/>
  <c r="R1223" i="25"/>
  <c r="R1224" i="25"/>
  <c r="R1225" i="25"/>
  <c r="R1226" i="25"/>
  <c r="R1227" i="25"/>
  <c r="R1228" i="25"/>
  <c r="R1229" i="25"/>
  <c r="R1230" i="25"/>
  <c r="R1231" i="25"/>
  <c r="R1232" i="25"/>
  <c r="R1233" i="25"/>
  <c r="R1234" i="25"/>
  <c r="R1235" i="25"/>
  <c r="R1236" i="25"/>
  <c r="R1237" i="25"/>
  <c r="R1238" i="25"/>
  <c r="R1239" i="25"/>
  <c r="R1240" i="25"/>
  <c r="R1241" i="25"/>
  <c r="R1242" i="25"/>
  <c r="R1243" i="25"/>
  <c r="R1244" i="25"/>
  <c r="R1245" i="25"/>
  <c r="R1246" i="25"/>
  <c r="R1247" i="25"/>
  <c r="R1248" i="25"/>
  <c r="R1249" i="25"/>
  <c r="R1250" i="25"/>
  <c r="R1251" i="25"/>
  <c r="R1262" i="25"/>
  <c r="R1263" i="25"/>
  <c r="R1264" i="25"/>
  <c r="R1265" i="25"/>
  <c r="R1266" i="25"/>
  <c r="R1267" i="25"/>
  <c r="R1268" i="25"/>
  <c r="R1269" i="25"/>
  <c r="R1270" i="25"/>
  <c r="R1271" i="25"/>
  <c r="R1272" i="25"/>
  <c r="R1273" i="25"/>
  <c r="R1274" i="25"/>
  <c r="R1275" i="25"/>
  <c r="R1276" i="25"/>
  <c r="R1277" i="25"/>
  <c r="R1278" i="25"/>
  <c r="R1279" i="25"/>
  <c r="R1280" i="25"/>
  <c r="R1281" i="25"/>
  <c r="R1282" i="25"/>
  <c r="R1283" i="25"/>
  <c r="R1284" i="25"/>
  <c r="R1285" i="25"/>
  <c r="R1286" i="25"/>
  <c r="R1287" i="25"/>
  <c r="R1288" i="25"/>
  <c r="R1289" i="25"/>
  <c r="R1290" i="25"/>
  <c r="R1291" i="25"/>
  <c r="R1292" i="25"/>
  <c r="R1293" i="25"/>
  <c r="R1294" i="25"/>
  <c r="R1295" i="25"/>
  <c r="R1296" i="25"/>
  <c r="R1297" i="25"/>
  <c r="R1298" i="25"/>
  <c r="R1299" i="25"/>
  <c r="R1300" i="25"/>
  <c r="R1301" i="25"/>
  <c r="R1302" i="25"/>
  <c r="R1303" i="25"/>
  <c r="R1304" i="25"/>
  <c r="R1305" i="25"/>
  <c r="R1306" i="25"/>
  <c r="R1307" i="25"/>
  <c r="R1308" i="25"/>
  <c r="R1309" i="25"/>
  <c r="R1310" i="25"/>
  <c r="R1311" i="25"/>
  <c r="R1312" i="25"/>
  <c r="R1313" i="25"/>
  <c r="R1314" i="25"/>
  <c r="R1315" i="25"/>
  <c r="R1316" i="25"/>
  <c r="R1317" i="25"/>
  <c r="R1318" i="25"/>
  <c r="R1319" i="25"/>
  <c r="R1320" i="25"/>
  <c r="R1321" i="25"/>
  <c r="R1322" i="25"/>
  <c r="R1323" i="25"/>
  <c r="R1324" i="25"/>
  <c r="R1325" i="25"/>
  <c r="R1326" i="25"/>
  <c r="R1327" i="25"/>
  <c r="R1328" i="25"/>
  <c r="R1329" i="25"/>
  <c r="R1330" i="25"/>
  <c r="R1331" i="25"/>
  <c r="R1332" i="25"/>
  <c r="R1333" i="25"/>
  <c r="R1334" i="25"/>
  <c r="R1335" i="25"/>
  <c r="R1336" i="25"/>
  <c r="R1337" i="25"/>
  <c r="R1338" i="25"/>
  <c r="R1339" i="25"/>
  <c r="R1340" i="25"/>
  <c r="R1341" i="25"/>
  <c r="R1342" i="25"/>
  <c r="R1343" i="25"/>
  <c r="R1344" i="25"/>
  <c r="R1345" i="25"/>
  <c r="R1346" i="25"/>
  <c r="R1347" i="25"/>
  <c r="R1348" i="25"/>
  <c r="R1349" i="25"/>
  <c r="R1350" i="25"/>
  <c r="R1351" i="25"/>
  <c r="R1352" i="25"/>
  <c r="R1353" i="25"/>
  <c r="R1354" i="25"/>
  <c r="R1355" i="25"/>
  <c r="R1356" i="25"/>
  <c r="R1357" i="25"/>
  <c r="R1358" i="25"/>
  <c r="R1359" i="25"/>
  <c r="R1360" i="25"/>
  <c r="R1361" i="25"/>
  <c r="R1362" i="25"/>
  <c r="R1363" i="25"/>
  <c r="R1364" i="25"/>
  <c r="R1365" i="25"/>
  <c r="R1366" i="25"/>
  <c r="R1367" i="25"/>
  <c r="R1368" i="25"/>
  <c r="R1369" i="25"/>
  <c r="R1370" i="25"/>
  <c r="R1371" i="25"/>
  <c r="R1372" i="25"/>
  <c r="R1373" i="25"/>
  <c r="R1374" i="25"/>
  <c r="R1375" i="25"/>
  <c r="R1376" i="25"/>
  <c r="R1377" i="25"/>
  <c r="R1378" i="25"/>
  <c r="R1379" i="25"/>
  <c r="R1380" i="25"/>
  <c r="R1381" i="25"/>
  <c r="R1382" i="25"/>
  <c r="R1383" i="25"/>
  <c r="R1384" i="25"/>
  <c r="R1385" i="25"/>
  <c r="R1386" i="25"/>
  <c r="R1387" i="25"/>
  <c r="R1388" i="25"/>
  <c r="R1389" i="25"/>
  <c r="R1390" i="25"/>
  <c r="R1391" i="25"/>
  <c r="R1392" i="25"/>
  <c r="R1393" i="25"/>
  <c r="R1394" i="25"/>
  <c r="R1395" i="25"/>
  <c r="R1396" i="25"/>
  <c r="R1397" i="25"/>
  <c r="R1398" i="25"/>
  <c r="R1399" i="25"/>
  <c r="R1400" i="25"/>
  <c r="R1401" i="25"/>
  <c r="R1402" i="25"/>
  <c r="R1403" i="25"/>
  <c r="R1404" i="25"/>
  <c r="R1405" i="25"/>
  <c r="R1406" i="25"/>
  <c r="R1407" i="25"/>
  <c r="R1408" i="25"/>
  <c r="R1409" i="25"/>
  <c r="R1410" i="25"/>
  <c r="R1411" i="25"/>
  <c r="R1412" i="25"/>
  <c r="R1413" i="25"/>
  <c r="R1414" i="25"/>
  <c r="R1415" i="25"/>
  <c r="R1416" i="25"/>
  <c r="R1417" i="25"/>
  <c r="R1418" i="25"/>
  <c r="R1419" i="25"/>
  <c r="R1420" i="25"/>
  <c r="R1421" i="25"/>
  <c r="R1422" i="25"/>
  <c r="R1423" i="25"/>
  <c r="R1424" i="25"/>
  <c r="R1425" i="25"/>
  <c r="R1426" i="25"/>
  <c r="R1427" i="25"/>
  <c r="R1428" i="25"/>
  <c r="R1429" i="25"/>
  <c r="R1430" i="25"/>
  <c r="R1431" i="25"/>
  <c r="R1432" i="25"/>
  <c r="R1433" i="25"/>
  <c r="R1434" i="25"/>
  <c r="R1435" i="25"/>
  <c r="R1436" i="25"/>
  <c r="R1437" i="25"/>
  <c r="R1438" i="25"/>
  <c r="R1439" i="25"/>
  <c r="R1440" i="25"/>
  <c r="R1441" i="25"/>
  <c r="R1442" i="25"/>
  <c r="R1443" i="25"/>
  <c r="R1444" i="25"/>
  <c r="R1445" i="25"/>
  <c r="R1446" i="25"/>
  <c r="R1447" i="25"/>
  <c r="R1448" i="25"/>
  <c r="R1449" i="25"/>
  <c r="R1450" i="25"/>
  <c r="R1451" i="25"/>
  <c r="R1452" i="25"/>
  <c r="R1453" i="25"/>
  <c r="R1454" i="25"/>
  <c r="R1455" i="25"/>
  <c r="R1456" i="25"/>
  <c r="R1457" i="25"/>
  <c r="R1458" i="25"/>
  <c r="R1459" i="25"/>
  <c r="R1460" i="25"/>
  <c r="R1461" i="25"/>
  <c r="R1462" i="25"/>
  <c r="R1463" i="25"/>
  <c r="R1464" i="25"/>
  <c r="R1465" i="25"/>
  <c r="R1466" i="25"/>
  <c r="R1467" i="25"/>
  <c r="R1468" i="25"/>
  <c r="R1469" i="25"/>
  <c r="R1470" i="25"/>
  <c r="R1471" i="25"/>
  <c r="R1472" i="25"/>
  <c r="R1473" i="25"/>
  <c r="R1474" i="25"/>
  <c r="R1475" i="25"/>
  <c r="R1476" i="25"/>
  <c r="R1477" i="25"/>
  <c r="R1478" i="25"/>
  <c r="R1479" i="25"/>
  <c r="R1480" i="25"/>
  <c r="R1481" i="25"/>
  <c r="R1482" i="25"/>
  <c r="R1483" i="25"/>
  <c r="R1484" i="25"/>
  <c r="R1485" i="25"/>
  <c r="R1486" i="25"/>
  <c r="R1487" i="25"/>
  <c r="R1488" i="25"/>
  <c r="R1489" i="25"/>
  <c r="R1490" i="25"/>
  <c r="R1491" i="25"/>
  <c r="R1492" i="25"/>
  <c r="R1493" i="25"/>
  <c r="R1494" i="25"/>
  <c r="R1495" i="25"/>
  <c r="R1496" i="25"/>
  <c r="R1497" i="25"/>
  <c r="R1498" i="25"/>
  <c r="R1499" i="25"/>
  <c r="R1500" i="25"/>
  <c r="R1501" i="25"/>
  <c r="R1502" i="25"/>
  <c r="R1503" i="25"/>
  <c r="R1504" i="25"/>
  <c r="R1505" i="25"/>
  <c r="R1506" i="25"/>
  <c r="R1507" i="25"/>
  <c r="R1508" i="25"/>
  <c r="R1509" i="25"/>
  <c r="R1510" i="25"/>
  <c r="R1511" i="25"/>
  <c r="R1512" i="25"/>
  <c r="R1513" i="25"/>
  <c r="R1514" i="25"/>
  <c r="R1515" i="25"/>
  <c r="R1516" i="25"/>
  <c r="R1517" i="25"/>
  <c r="R1518" i="25"/>
  <c r="R1519" i="25"/>
  <c r="R1520" i="25"/>
  <c r="R1521" i="25"/>
  <c r="R1522" i="25"/>
  <c r="R1523" i="25"/>
  <c r="R1524" i="25"/>
  <c r="R1525" i="25"/>
  <c r="R1526" i="25"/>
  <c r="R1527" i="25"/>
  <c r="R1528" i="25"/>
  <c r="R1529" i="25"/>
  <c r="R1530" i="25"/>
  <c r="R1531" i="25"/>
  <c r="R1532" i="25"/>
  <c r="R1533" i="25"/>
  <c r="R1534" i="25"/>
  <c r="R1535" i="25"/>
  <c r="R1536" i="25"/>
  <c r="R1537" i="25"/>
  <c r="R1538" i="25"/>
  <c r="R1539" i="25"/>
  <c r="R1540" i="25"/>
  <c r="R1541" i="25"/>
  <c r="R1542" i="25"/>
  <c r="R1543" i="25"/>
  <c r="R1544" i="25"/>
  <c r="R1545" i="25"/>
  <c r="R1546" i="25"/>
  <c r="R1547" i="25"/>
  <c r="R1548" i="25"/>
  <c r="R1549" i="25"/>
  <c r="R1550" i="25"/>
  <c r="R1551" i="25"/>
  <c r="R1552" i="25"/>
  <c r="R1553" i="25"/>
  <c r="R1554" i="25"/>
  <c r="R1555" i="25"/>
  <c r="R1556" i="25"/>
  <c r="R1557" i="25"/>
  <c r="R1558" i="25"/>
  <c r="R1559" i="25"/>
  <c r="R1560" i="25"/>
  <c r="R1561" i="25"/>
  <c r="R1562" i="25"/>
  <c r="R1563" i="25"/>
  <c r="R1564" i="25"/>
  <c r="R1565" i="25"/>
  <c r="R1566" i="25"/>
  <c r="R1567" i="25"/>
  <c r="R1568" i="25"/>
  <c r="R1569" i="25"/>
  <c r="R1570" i="25"/>
  <c r="R1571" i="25"/>
  <c r="R1572" i="25"/>
  <c r="R1573" i="25"/>
  <c r="R1574" i="25"/>
  <c r="R1575" i="25"/>
  <c r="R1576" i="25"/>
  <c r="R1577" i="25"/>
  <c r="R1578" i="25"/>
  <c r="R1579" i="25"/>
  <c r="R1580" i="25"/>
  <c r="R1581" i="25"/>
  <c r="R1582" i="25"/>
  <c r="R1583" i="25"/>
  <c r="R1584" i="25"/>
  <c r="R1585" i="25"/>
  <c r="R1586" i="25"/>
  <c r="R1587" i="25"/>
  <c r="R1588" i="25"/>
  <c r="R1589" i="25"/>
  <c r="R1590" i="25"/>
  <c r="R1591" i="25"/>
  <c r="R1592" i="25"/>
  <c r="R1593" i="25"/>
  <c r="R1594" i="25"/>
  <c r="R1595" i="25"/>
  <c r="R1596" i="25"/>
  <c r="R1597" i="25"/>
  <c r="R1598" i="25"/>
  <c r="R1599" i="25"/>
  <c r="R1600" i="25"/>
  <c r="R1601" i="25"/>
  <c r="R1602" i="25"/>
  <c r="R1603" i="25"/>
  <c r="R1604" i="25"/>
  <c r="R1605" i="25"/>
  <c r="R1606" i="25"/>
  <c r="R1607" i="25"/>
  <c r="R1608" i="25"/>
  <c r="R1609" i="25"/>
  <c r="R1610" i="25"/>
  <c r="R1611" i="25"/>
  <c r="R1612" i="25"/>
  <c r="R1613" i="25"/>
  <c r="R1614" i="25"/>
  <c r="R1615" i="25"/>
  <c r="R1616" i="25"/>
  <c r="R1617" i="25"/>
  <c r="R1618" i="25"/>
  <c r="R1619" i="25"/>
  <c r="R1620" i="25"/>
  <c r="R1621" i="25"/>
  <c r="R1622" i="25"/>
  <c r="R1623" i="25"/>
  <c r="R1624" i="25"/>
  <c r="R1625" i="25"/>
  <c r="R1626" i="25"/>
  <c r="R1627" i="25"/>
  <c r="R1628" i="25"/>
  <c r="R1629" i="25"/>
  <c r="R1630" i="25"/>
  <c r="R1631" i="25"/>
  <c r="R1632" i="25"/>
  <c r="R1633" i="25"/>
  <c r="R1634" i="25"/>
  <c r="R1635" i="25"/>
  <c r="R1636" i="25"/>
  <c r="R1637" i="25"/>
  <c r="R1638" i="25"/>
  <c r="R1639" i="25"/>
  <c r="R1640" i="25"/>
  <c r="R1641" i="25"/>
  <c r="R1642" i="25"/>
  <c r="R1643" i="25"/>
  <c r="R1644" i="25"/>
  <c r="R1645" i="25"/>
  <c r="R1646" i="25"/>
  <c r="R1647" i="25"/>
  <c r="R1648" i="25"/>
  <c r="R1649" i="25"/>
  <c r="R1650" i="25"/>
  <c r="R1651" i="25"/>
  <c r="R1652" i="25"/>
  <c r="R1653" i="25"/>
  <c r="R1654" i="25"/>
  <c r="R1655" i="25"/>
  <c r="R1656" i="25"/>
  <c r="R1657" i="25"/>
  <c r="R1658" i="25"/>
  <c r="R1659" i="25"/>
  <c r="R1660" i="25"/>
  <c r="R1661" i="25"/>
  <c r="R1662" i="25"/>
  <c r="R1663" i="25"/>
  <c r="R1664" i="25"/>
  <c r="R1665" i="25"/>
  <c r="R1666" i="25"/>
  <c r="R1667" i="25"/>
  <c r="R1668" i="25"/>
  <c r="R1669" i="25"/>
  <c r="R1670" i="25"/>
  <c r="R1671" i="25"/>
  <c r="R1672" i="25"/>
  <c r="R1673" i="25"/>
  <c r="R1674" i="25"/>
  <c r="R1675" i="25"/>
  <c r="R1676" i="25"/>
  <c r="R1677" i="25"/>
  <c r="R1678" i="25"/>
  <c r="R1679" i="25"/>
  <c r="R1680" i="25"/>
  <c r="R1681" i="25"/>
  <c r="R1682" i="25"/>
  <c r="R1683" i="25"/>
  <c r="R1684" i="25"/>
  <c r="R1685" i="25"/>
  <c r="R1686" i="25"/>
  <c r="R1687" i="25"/>
  <c r="R1688" i="25"/>
  <c r="R1689" i="25"/>
  <c r="R1690" i="25"/>
  <c r="R1691" i="25"/>
  <c r="R1692" i="25"/>
  <c r="R1693" i="25"/>
  <c r="R1694" i="25"/>
  <c r="R1695" i="25"/>
  <c r="R1696" i="25"/>
  <c r="R1697" i="25"/>
  <c r="R1698" i="25"/>
  <c r="R1699" i="25"/>
  <c r="R1700" i="25"/>
  <c r="R1701" i="25"/>
  <c r="R1702" i="25"/>
  <c r="R1703" i="25"/>
  <c r="R1704" i="25"/>
  <c r="R1705" i="25"/>
  <c r="R1706" i="25"/>
  <c r="R1707" i="25"/>
  <c r="R1708" i="25"/>
  <c r="R1709" i="25"/>
  <c r="R1710" i="25"/>
  <c r="R1711" i="25"/>
  <c r="R1712" i="25"/>
  <c r="R1713" i="25"/>
  <c r="R1714" i="25"/>
  <c r="R1715" i="25"/>
  <c r="R1716" i="25"/>
  <c r="R1717" i="25"/>
  <c r="R1718" i="25"/>
  <c r="R1719" i="25"/>
  <c r="R1720" i="25"/>
  <c r="R1721" i="25"/>
  <c r="R1722" i="25"/>
  <c r="R1723" i="25"/>
  <c r="R1724" i="25"/>
  <c r="R1725" i="25"/>
  <c r="R1726" i="25"/>
  <c r="R1727" i="25"/>
  <c r="R1728" i="25"/>
  <c r="R1729" i="25"/>
  <c r="P948" i="25"/>
  <c r="Y503" i="25"/>
  <c r="Y504" i="25"/>
  <c r="Y505" i="25"/>
  <c r="Y506" i="25"/>
  <c r="Y507" i="25"/>
  <c r="Y508" i="25"/>
  <c r="Y509" i="25"/>
  <c r="Y510" i="25"/>
  <c r="Y511" i="25"/>
  <c r="Y512" i="25"/>
  <c r="Y513" i="25"/>
  <c r="Y514" i="25"/>
  <c r="Y515" i="25"/>
  <c r="Y516" i="25"/>
  <c r="Y517" i="25"/>
  <c r="Y518" i="25"/>
  <c r="Y519" i="25"/>
  <c r="Y520" i="25"/>
  <c r="Y521" i="25"/>
  <c r="Y522" i="25"/>
  <c r="Y523" i="25"/>
  <c r="Y524" i="25"/>
  <c r="Y525" i="25"/>
  <c r="Y526" i="25"/>
  <c r="Y527" i="25"/>
  <c r="Y528" i="25"/>
  <c r="Y529" i="25"/>
  <c r="Y530" i="25"/>
  <c r="Y531" i="25"/>
  <c r="Y532" i="25"/>
  <c r="Y533" i="25"/>
  <c r="Y534" i="25"/>
  <c r="Y535" i="25"/>
  <c r="Y536" i="25"/>
  <c r="Y537" i="25"/>
  <c r="Y538" i="25"/>
  <c r="Y539" i="25"/>
  <c r="Y540" i="25"/>
  <c r="Y541" i="25"/>
  <c r="Y542" i="25"/>
  <c r="Y543" i="25"/>
  <c r="Y544" i="25"/>
  <c r="Y545" i="25"/>
  <c r="Y546" i="25"/>
  <c r="Y547" i="25"/>
  <c r="Y548" i="25"/>
  <c r="Y549" i="25"/>
  <c r="Y550" i="25"/>
  <c r="Y551" i="25"/>
  <c r="Y552" i="25"/>
  <c r="Y553" i="25"/>
  <c r="Y554" i="25"/>
  <c r="Y555" i="25"/>
  <c r="Y556" i="25"/>
  <c r="Y557" i="25"/>
  <c r="Y558" i="25"/>
  <c r="Y559" i="25"/>
  <c r="Y560" i="25"/>
  <c r="Y561" i="25"/>
  <c r="Y562" i="25"/>
  <c r="Y563" i="25"/>
  <c r="Y564" i="25"/>
  <c r="Y565" i="25"/>
  <c r="Y566" i="25"/>
  <c r="Y567" i="25"/>
  <c r="Y568" i="25"/>
  <c r="Y569" i="25"/>
  <c r="Y570" i="25"/>
  <c r="Y571" i="25"/>
  <c r="Y572" i="25"/>
  <c r="Y573" i="25"/>
  <c r="Y574" i="25"/>
  <c r="Y575" i="25"/>
  <c r="Y576" i="25"/>
  <c r="Y577" i="25"/>
  <c r="Y578" i="25"/>
  <c r="Y579" i="25"/>
  <c r="Y580" i="25"/>
  <c r="Y581" i="25"/>
  <c r="Y582" i="25"/>
  <c r="Y583" i="25"/>
  <c r="Y584" i="25"/>
  <c r="Y585" i="25"/>
  <c r="Y586" i="25"/>
  <c r="Y587" i="25"/>
  <c r="Y588" i="25"/>
  <c r="Y589" i="25"/>
  <c r="Y590" i="25"/>
  <c r="Y591" i="25"/>
  <c r="Y592" i="25"/>
  <c r="Y593" i="25"/>
  <c r="Y594" i="25"/>
  <c r="Y595" i="25"/>
  <c r="Y596" i="25"/>
  <c r="Y597" i="25"/>
  <c r="Y598" i="25"/>
  <c r="Y599" i="25"/>
  <c r="Y600" i="25"/>
  <c r="Y601" i="25"/>
  <c r="Y602" i="25"/>
  <c r="Y603" i="25"/>
  <c r="Y604" i="25"/>
  <c r="Y605" i="25"/>
  <c r="Y606" i="25"/>
  <c r="Y607" i="25"/>
  <c r="Y608" i="25"/>
  <c r="Y609" i="25"/>
  <c r="Y610" i="25"/>
  <c r="Y611" i="25"/>
  <c r="Y612" i="25"/>
  <c r="Y613" i="25"/>
  <c r="Y614" i="25"/>
  <c r="Y615" i="25"/>
  <c r="Y616" i="25"/>
  <c r="Y617" i="25"/>
  <c r="Y618" i="25"/>
  <c r="Y619" i="25"/>
  <c r="Y620" i="25"/>
  <c r="Y621" i="25"/>
  <c r="Y622" i="25"/>
  <c r="Y623" i="25"/>
  <c r="Y624" i="25"/>
  <c r="Y625" i="25"/>
  <c r="Y626" i="25"/>
  <c r="Y627" i="25"/>
  <c r="Y628" i="25"/>
  <c r="Y629" i="25"/>
  <c r="Y630" i="25"/>
  <c r="Y631" i="25"/>
  <c r="Y632" i="25"/>
  <c r="Y633" i="25"/>
  <c r="Y634" i="25"/>
  <c r="Y635" i="25"/>
  <c r="Y636" i="25"/>
  <c r="Y637" i="25"/>
  <c r="Y638" i="25"/>
  <c r="Y639" i="25"/>
  <c r="Y640" i="25"/>
  <c r="Y641" i="25"/>
  <c r="Y642" i="25"/>
  <c r="Y643" i="25"/>
  <c r="Y644" i="25"/>
  <c r="Y645" i="25"/>
  <c r="Y646" i="25"/>
  <c r="Y647" i="25"/>
  <c r="Y648" i="25"/>
  <c r="Y649" i="25"/>
  <c r="Y650" i="25"/>
  <c r="Y651" i="25"/>
  <c r="Y652" i="25"/>
  <c r="Y653" i="25"/>
  <c r="Y654" i="25"/>
  <c r="Y655" i="25"/>
  <c r="Y656" i="25"/>
  <c r="Y657" i="25"/>
  <c r="Y658" i="25"/>
  <c r="Y659" i="25"/>
  <c r="Y660" i="25"/>
  <c r="Y661" i="25"/>
  <c r="Y662" i="25"/>
  <c r="Y663" i="25"/>
  <c r="Y664" i="25"/>
  <c r="Y665" i="25"/>
  <c r="Y666" i="25"/>
  <c r="Y667" i="25"/>
  <c r="Y668" i="25"/>
  <c r="Y669" i="25"/>
  <c r="Y670" i="25"/>
  <c r="Y671" i="25"/>
  <c r="Y672" i="25"/>
  <c r="Y673" i="25"/>
  <c r="Y674" i="25"/>
  <c r="Y675" i="25"/>
  <c r="Y676" i="25"/>
  <c r="Y677" i="25"/>
  <c r="Y678" i="25"/>
  <c r="Y679" i="25"/>
  <c r="Y680" i="25"/>
  <c r="Y681" i="25"/>
  <c r="Y682" i="25"/>
  <c r="Y683" i="25"/>
  <c r="Y684" i="25"/>
  <c r="Y685" i="25"/>
  <c r="Y686" i="25"/>
  <c r="Y687" i="25"/>
  <c r="Y688" i="25"/>
  <c r="Y689" i="25"/>
  <c r="Y690" i="25"/>
  <c r="Y691" i="25"/>
  <c r="Y692" i="25"/>
  <c r="Y693" i="25"/>
  <c r="Y694" i="25"/>
  <c r="Y695" i="25"/>
  <c r="Y696" i="25"/>
  <c r="Y697" i="25"/>
  <c r="Y698" i="25"/>
  <c r="Y699" i="25"/>
  <c r="Y700" i="25"/>
  <c r="Y701" i="25"/>
  <c r="Y702" i="25"/>
  <c r="Y703" i="25"/>
  <c r="Y704" i="25"/>
  <c r="Y705" i="25"/>
  <c r="Y706" i="25"/>
  <c r="Y707" i="25"/>
  <c r="Y708" i="25"/>
  <c r="Y709" i="25"/>
  <c r="Y710" i="25"/>
  <c r="Y711" i="25"/>
  <c r="Y712" i="25"/>
  <c r="Y713" i="25"/>
  <c r="Y714" i="25"/>
  <c r="Y715" i="25"/>
  <c r="Y716" i="25"/>
  <c r="Y717" i="25"/>
  <c r="Y718" i="25"/>
  <c r="Y719" i="25"/>
  <c r="Y720" i="25"/>
  <c r="Y721" i="25"/>
  <c r="Y722" i="25"/>
  <c r="Y723" i="25"/>
  <c r="Y724" i="25"/>
  <c r="Y725" i="25"/>
  <c r="Y726" i="25"/>
  <c r="Y727" i="25"/>
  <c r="Y728" i="25"/>
  <c r="Y729" i="25"/>
  <c r="Y730" i="25"/>
  <c r="Y731" i="25"/>
  <c r="Y732" i="25"/>
  <c r="Y733" i="25"/>
  <c r="Y734" i="25"/>
  <c r="Y735" i="25"/>
  <c r="Y736" i="25"/>
  <c r="Y737" i="25"/>
  <c r="Y738" i="25"/>
  <c r="Y739" i="25"/>
  <c r="Y740" i="25"/>
  <c r="Y741" i="25"/>
  <c r="Y742" i="25"/>
  <c r="Y743" i="25"/>
  <c r="Y744" i="25"/>
  <c r="Y745" i="25"/>
  <c r="Y746" i="25"/>
  <c r="Y747" i="25"/>
  <c r="Y748" i="25"/>
  <c r="Y749" i="25"/>
  <c r="Y750" i="25"/>
  <c r="Y751" i="25"/>
  <c r="Y752" i="25"/>
  <c r="Y753" i="25"/>
  <c r="Y754" i="25"/>
  <c r="Y755" i="25"/>
  <c r="Y756" i="25"/>
  <c r="Y757" i="25"/>
  <c r="Y758" i="25"/>
  <c r="Y759" i="25"/>
  <c r="Y760" i="25"/>
  <c r="Y761" i="25"/>
  <c r="Y762" i="25"/>
  <c r="Y763" i="25"/>
  <c r="Y764" i="25"/>
  <c r="Y765" i="25"/>
  <c r="Y766" i="25"/>
  <c r="Y767" i="25"/>
  <c r="Y768" i="25"/>
  <c r="Y769" i="25"/>
  <c r="Y770" i="25"/>
  <c r="Y771" i="25"/>
  <c r="Y772" i="25"/>
  <c r="Y773" i="25"/>
  <c r="Y774" i="25"/>
  <c r="Y775" i="25"/>
  <c r="Y776" i="25"/>
  <c r="Y777" i="25"/>
  <c r="Y778" i="25"/>
  <c r="Y779" i="25"/>
  <c r="Y780" i="25"/>
  <c r="Y781" i="25"/>
  <c r="Y782" i="25"/>
  <c r="Y783" i="25"/>
  <c r="Y784" i="25"/>
  <c r="Y785" i="25"/>
  <c r="Y786" i="25"/>
  <c r="Y787" i="25"/>
  <c r="Y788" i="25"/>
  <c r="Y789" i="25"/>
  <c r="Y790" i="25"/>
  <c r="Y791" i="25"/>
  <c r="Y792" i="25"/>
  <c r="Y793" i="25"/>
  <c r="Y794" i="25"/>
  <c r="Y795" i="25"/>
  <c r="Y796" i="25"/>
  <c r="Y797" i="25"/>
  <c r="Y798" i="25"/>
  <c r="Y799" i="25"/>
  <c r="Y800" i="25"/>
  <c r="Y801" i="25"/>
  <c r="Y802" i="25"/>
  <c r="Y803" i="25"/>
  <c r="Y804" i="25"/>
  <c r="Y805" i="25"/>
  <c r="Y806" i="25"/>
  <c r="Y807" i="25"/>
  <c r="Y808" i="25"/>
  <c r="Y809" i="25"/>
  <c r="Y810" i="25"/>
  <c r="Y811" i="25"/>
  <c r="Y812" i="25"/>
  <c r="Y813" i="25"/>
  <c r="Y814" i="25"/>
  <c r="Y815" i="25"/>
  <c r="Y816" i="25"/>
  <c r="Y817" i="25"/>
  <c r="Y818" i="25"/>
  <c r="Y819" i="25"/>
  <c r="Y820" i="25"/>
  <c r="Y821" i="25"/>
  <c r="Y822" i="25"/>
  <c r="Y823" i="25"/>
  <c r="Y824" i="25"/>
  <c r="Y825" i="25"/>
  <c r="Y826" i="25"/>
  <c r="Y827" i="25"/>
  <c r="Y828" i="25"/>
  <c r="Y829" i="25"/>
  <c r="Y830" i="25"/>
  <c r="Y831" i="25"/>
  <c r="Y832" i="25"/>
  <c r="Y833" i="25"/>
  <c r="Y834" i="25"/>
  <c r="Y835" i="25"/>
  <c r="Y836" i="25"/>
  <c r="Y837" i="25"/>
  <c r="Y838" i="25"/>
  <c r="X503" i="25"/>
  <c r="X504" i="25"/>
  <c r="X505" i="25"/>
  <c r="X506" i="25"/>
  <c r="X507" i="25"/>
  <c r="X508" i="25"/>
  <c r="X509" i="25"/>
  <c r="X510" i="25"/>
  <c r="X511" i="25"/>
  <c r="X512" i="25"/>
  <c r="X513" i="25"/>
  <c r="X514" i="25"/>
  <c r="X515" i="25"/>
  <c r="X516" i="25"/>
  <c r="X517" i="25"/>
  <c r="X518" i="25"/>
  <c r="X519" i="25"/>
  <c r="X520" i="25"/>
  <c r="X521" i="25"/>
  <c r="X522" i="25"/>
  <c r="X523" i="25"/>
  <c r="X524" i="25"/>
  <c r="X525" i="25"/>
  <c r="X526" i="25"/>
  <c r="X527" i="25"/>
  <c r="X528" i="25"/>
  <c r="X529" i="25"/>
  <c r="X530" i="25"/>
  <c r="X531" i="25"/>
  <c r="X532" i="25"/>
  <c r="X533" i="25"/>
  <c r="X534" i="25"/>
  <c r="X535" i="25"/>
  <c r="X536" i="25"/>
  <c r="X537" i="25"/>
  <c r="X538" i="25"/>
  <c r="X539" i="25"/>
  <c r="X540" i="25"/>
  <c r="X541" i="25"/>
  <c r="X542" i="25"/>
  <c r="X543" i="25"/>
  <c r="X544" i="25"/>
  <c r="X545" i="25"/>
  <c r="X546" i="25"/>
  <c r="X547" i="25"/>
  <c r="X548" i="25"/>
  <c r="X549" i="25"/>
  <c r="X550" i="25"/>
  <c r="X551" i="25"/>
  <c r="X552" i="25"/>
  <c r="X553" i="25"/>
  <c r="X554" i="25"/>
  <c r="X555" i="25"/>
  <c r="X556" i="25"/>
  <c r="X557" i="25"/>
  <c r="X558" i="25"/>
  <c r="X559" i="25"/>
  <c r="X560" i="25"/>
  <c r="X561" i="25"/>
  <c r="X562" i="25"/>
  <c r="X563" i="25"/>
  <c r="X564" i="25"/>
  <c r="X565" i="25"/>
  <c r="X566" i="25"/>
  <c r="X567" i="25"/>
  <c r="X568" i="25"/>
  <c r="X569" i="25"/>
  <c r="X570" i="25"/>
  <c r="X571" i="25"/>
  <c r="X572" i="25"/>
  <c r="X573" i="25"/>
  <c r="X574" i="25"/>
  <c r="X575" i="25"/>
  <c r="X576" i="25"/>
  <c r="X577" i="25"/>
  <c r="X578" i="25"/>
  <c r="X579" i="25"/>
  <c r="X580" i="25"/>
  <c r="X581" i="25"/>
  <c r="X582" i="25"/>
  <c r="X583" i="25"/>
  <c r="X584" i="25"/>
  <c r="X585" i="25"/>
  <c r="X586" i="25"/>
  <c r="X587" i="25"/>
  <c r="X588" i="25"/>
  <c r="X589" i="25"/>
  <c r="X590" i="25"/>
  <c r="X591" i="25"/>
  <c r="X592" i="25"/>
  <c r="X593" i="25"/>
  <c r="X594" i="25"/>
  <c r="X595" i="25"/>
  <c r="X596" i="25"/>
  <c r="X597" i="25"/>
  <c r="X598" i="25"/>
  <c r="X599" i="25"/>
  <c r="X600" i="25"/>
  <c r="X601" i="25"/>
  <c r="X602" i="25"/>
  <c r="X603" i="25"/>
  <c r="X604" i="25"/>
  <c r="X605" i="25"/>
  <c r="X606" i="25"/>
  <c r="X607" i="25"/>
  <c r="X608" i="25"/>
  <c r="X609" i="25"/>
  <c r="X610" i="25"/>
  <c r="X611" i="25"/>
  <c r="X612" i="25"/>
  <c r="X613" i="25"/>
  <c r="X614" i="25"/>
  <c r="X615" i="25"/>
  <c r="X616" i="25"/>
  <c r="X617" i="25"/>
  <c r="X618" i="25"/>
  <c r="X619" i="25"/>
  <c r="X620" i="25"/>
  <c r="X621" i="25"/>
  <c r="X622" i="25"/>
  <c r="X623" i="25"/>
  <c r="X624" i="25"/>
  <c r="X625" i="25"/>
  <c r="X626" i="25"/>
  <c r="X627" i="25"/>
  <c r="X628" i="25"/>
  <c r="X629" i="25"/>
  <c r="X630" i="25"/>
  <c r="X631" i="25"/>
  <c r="X632" i="25"/>
  <c r="X633" i="25"/>
  <c r="X634" i="25"/>
  <c r="X635" i="25"/>
  <c r="X636" i="25"/>
  <c r="X637" i="25"/>
  <c r="X638" i="25"/>
  <c r="X639" i="25"/>
  <c r="X640" i="25"/>
  <c r="X641" i="25"/>
  <c r="X642" i="25"/>
  <c r="X643" i="25"/>
  <c r="X644" i="25"/>
  <c r="X645" i="25"/>
  <c r="X646" i="25"/>
  <c r="X647" i="25"/>
  <c r="X648" i="25"/>
  <c r="X649" i="25"/>
  <c r="X650" i="25"/>
  <c r="X651" i="25"/>
  <c r="X652" i="25"/>
  <c r="X653" i="25"/>
  <c r="X654" i="25"/>
  <c r="X655" i="25"/>
  <c r="X656" i="25"/>
  <c r="X657" i="25"/>
  <c r="X658" i="25"/>
  <c r="X659" i="25"/>
  <c r="X660" i="25"/>
  <c r="X661" i="25"/>
  <c r="X662" i="25"/>
  <c r="X663" i="25"/>
  <c r="X664" i="25"/>
  <c r="X665" i="25"/>
  <c r="X666" i="25"/>
  <c r="X667" i="25"/>
  <c r="X668" i="25"/>
  <c r="X669" i="25"/>
  <c r="X670" i="25"/>
  <c r="X671" i="25"/>
  <c r="X672" i="25"/>
  <c r="X673" i="25"/>
  <c r="X674" i="25"/>
  <c r="X675" i="25"/>
  <c r="X676" i="25"/>
  <c r="X677" i="25"/>
  <c r="X678" i="25"/>
  <c r="X679" i="25"/>
  <c r="X680" i="25"/>
  <c r="X681" i="25"/>
  <c r="X682" i="25"/>
  <c r="X683" i="25"/>
  <c r="X684" i="25"/>
  <c r="X685" i="25"/>
  <c r="X686" i="25"/>
  <c r="X687" i="25"/>
  <c r="X688" i="25"/>
  <c r="X689" i="25"/>
  <c r="X690" i="25"/>
  <c r="X691" i="25"/>
  <c r="X692" i="25"/>
  <c r="X693" i="25"/>
  <c r="X694" i="25"/>
  <c r="X695" i="25"/>
  <c r="X696" i="25"/>
  <c r="X697" i="25"/>
  <c r="X698" i="25"/>
  <c r="X699" i="25"/>
  <c r="X700" i="25"/>
  <c r="X701" i="25"/>
  <c r="X702" i="25"/>
  <c r="X703" i="25"/>
  <c r="X704" i="25"/>
  <c r="X705" i="25"/>
  <c r="X706" i="25"/>
  <c r="X707" i="25"/>
  <c r="X708" i="25"/>
  <c r="X709" i="25"/>
  <c r="X710" i="25"/>
  <c r="X711" i="25"/>
  <c r="X712" i="25"/>
  <c r="X713" i="25"/>
  <c r="X714" i="25"/>
  <c r="X715" i="25"/>
  <c r="X716" i="25"/>
  <c r="X717" i="25"/>
  <c r="X718" i="25"/>
  <c r="X719" i="25"/>
  <c r="X720" i="25"/>
  <c r="X721" i="25"/>
  <c r="X722" i="25"/>
  <c r="X723" i="25"/>
  <c r="X724" i="25"/>
  <c r="X725" i="25"/>
  <c r="X726" i="25"/>
  <c r="X727" i="25"/>
  <c r="X728" i="25"/>
  <c r="X729" i="25"/>
  <c r="X730" i="25"/>
  <c r="X731" i="25"/>
  <c r="X732" i="25"/>
  <c r="X733" i="25"/>
  <c r="X734" i="25"/>
  <c r="X735" i="25"/>
  <c r="X736" i="25"/>
  <c r="X737" i="25"/>
  <c r="X738" i="25"/>
  <c r="X739" i="25"/>
  <c r="X740" i="25"/>
  <c r="X741" i="25"/>
  <c r="X742" i="25"/>
  <c r="X743" i="25"/>
  <c r="X744" i="25"/>
  <c r="X745" i="25"/>
  <c r="X746" i="25"/>
  <c r="X747" i="25"/>
  <c r="X748" i="25"/>
  <c r="X749" i="25"/>
  <c r="X750" i="25"/>
  <c r="X751" i="25"/>
  <c r="X752" i="25"/>
  <c r="X753" i="25"/>
  <c r="X754" i="25"/>
  <c r="X755" i="25"/>
  <c r="X756" i="25"/>
  <c r="X757" i="25"/>
  <c r="X758" i="25"/>
  <c r="X759" i="25"/>
  <c r="X760" i="25"/>
  <c r="X761" i="25"/>
  <c r="X762" i="25"/>
  <c r="X763" i="25"/>
  <c r="X764" i="25"/>
  <c r="X765" i="25"/>
  <c r="X766" i="25"/>
  <c r="X767" i="25"/>
  <c r="X768" i="25"/>
  <c r="X769" i="25"/>
  <c r="X770" i="25"/>
  <c r="X771" i="25"/>
  <c r="X772" i="25"/>
  <c r="X773" i="25"/>
  <c r="X774" i="25"/>
  <c r="X775" i="25"/>
  <c r="X776" i="25"/>
  <c r="X777" i="25"/>
  <c r="X778" i="25"/>
  <c r="X779" i="25"/>
  <c r="X780" i="25"/>
  <c r="X781" i="25"/>
  <c r="X782" i="25"/>
  <c r="X783" i="25"/>
  <c r="X784" i="25"/>
  <c r="X785" i="25"/>
  <c r="X786" i="25"/>
  <c r="X787" i="25"/>
  <c r="X788" i="25"/>
  <c r="X789" i="25"/>
  <c r="X790" i="25"/>
  <c r="X791" i="25"/>
  <c r="X792" i="25"/>
  <c r="X793" i="25"/>
  <c r="X794" i="25"/>
  <c r="X795" i="25"/>
  <c r="X796" i="25"/>
  <c r="X797" i="25"/>
  <c r="X798" i="25"/>
  <c r="X799" i="25"/>
  <c r="X800" i="25"/>
  <c r="X801" i="25"/>
  <c r="X802" i="25"/>
  <c r="X803" i="25"/>
  <c r="X804" i="25"/>
  <c r="X805" i="25"/>
  <c r="X806" i="25"/>
  <c r="X807" i="25"/>
  <c r="X808" i="25"/>
  <c r="X809" i="25"/>
  <c r="X810" i="25"/>
  <c r="X811" i="25"/>
  <c r="X812" i="25"/>
  <c r="X813" i="25"/>
  <c r="X814" i="25"/>
  <c r="X815" i="25"/>
  <c r="X816" i="25"/>
  <c r="X817" i="25"/>
  <c r="X818" i="25"/>
  <c r="X819" i="25"/>
  <c r="X820" i="25"/>
  <c r="X821" i="25"/>
  <c r="X822" i="25"/>
  <c r="X823" i="25"/>
  <c r="X824" i="25"/>
  <c r="X825" i="25"/>
  <c r="X826" i="25"/>
  <c r="X827" i="25"/>
  <c r="X828" i="25"/>
  <c r="X829" i="25"/>
  <c r="X830" i="25"/>
  <c r="X831" i="25"/>
  <c r="X832" i="25"/>
  <c r="X833" i="25"/>
  <c r="X834" i="25"/>
  <c r="X835" i="25"/>
  <c r="X836" i="25"/>
  <c r="X837" i="25"/>
  <c r="X838" i="25"/>
  <c r="R503" i="25"/>
  <c r="R504" i="25"/>
  <c r="R505" i="25"/>
  <c r="R506" i="25"/>
  <c r="R507" i="25"/>
  <c r="R508" i="25"/>
  <c r="R509" i="25"/>
  <c r="R510" i="25"/>
  <c r="R511" i="25"/>
  <c r="R512" i="25"/>
  <c r="R513" i="25"/>
  <c r="R514" i="25"/>
  <c r="R515" i="25"/>
  <c r="R516" i="25"/>
  <c r="R517" i="25"/>
  <c r="R518" i="25"/>
  <c r="R519" i="25"/>
  <c r="R520" i="25"/>
  <c r="R521" i="25"/>
  <c r="R522" i="25"/>
  <c r="R523" i="25"/>
  <c r="R524" i="25"/>
  <c r="R525" i="25"/>
  <c r="R526" i="25"/>
  <c r="R527" i="25"/>
  <c r="R528" i="25"/>
  <c r="R529" i="25"/>
  <c r="R530" i="25"/>
  <c r="R531" i="25"/>
  <c r="R532" i="25"/>
  <c r="R533" i="25"/>
  <c r="R534" i="25"/>
  <c r="R535" i="25"/>
  <c r="R536" i="25"/>
  <c r="R537" i="25"/>
  <c r="R538" i="25"/>
  <c r="R539" i="25"/>
  <c r="R540" i="25"/>
  <c r="R541" i="25"/>
  <c r="R542" i="25"/>
  <c r="R543" i="25"/>
  <c r="R544" i="25"/>
  <c r="R545" i="25"/>
  <c r="R546" i="25"/>
  <c r="R547" i="25"/>
  <c r="R548" i="25"/>
  <c r="R549" i="25"/>
  <c r="R550" i="25"/>
  <c r="R551" i="25"/>
  <c r="R552" i="25"/>
  <c r="R553" i="25"/>
  <c r="R554" i="25"/>
  <c r="R555" i="25"/>
  <c r="R556" i="25"/>
  <c r="R557" i="25"/>
  <c r="R558" i="25"/>
  <c r="R559" i="25"/>
  <c r="R560" i="25"/>
  <c r="R561" i="25"/>
  <c r="R562" i="25"/>
  <c r="R563" i="25"/>
  <c r="R564" i="25"/>
  <c r="R565" i="25"/>
  <c r="R566" i="25"/>
  <c r="R567" i="25"/>
  <c r="R568" i="25"/>
  <c r="R569" i="25"/>
  <c r="R570" i="25"/>
  <c r="R571" i="25"/>
  <c r="R572" i="25"/>
  <c r="R573" i="25"/>
  <c r="R574" i="25"/>
  <c r="R575" i="25"/>
  <c r="R576" i="25"/>
  <c r="R577" i="25"/>
  <c r="R578" i="25"/>
  <c r="R579" i="25"/>
  <c r="R580" i="25"/>
  <c r="R581" i="25"/>
  <c r="R582" i="25"/>
  <c r="R583" i="25"/>
  <c r="R584" i="25"/>
  <c r="R585" i="25"/>
  <c r="R586" i="25"/>
  <c r="R587" i="25"/>
  <c r="R588" i="25"/>
  <c r="R589" i="25"/>
  <c r="R590" i="25"/>
  <c r="R591" i="25"/>
  <c r="R592" i="25"/>
  <c r="R593" i="25"/>
  <c r="R594" i="25"/>
  <c r="R595" i="25"/>
  <c r="R596" i="25"/>
  <c r="R597" i="25"/>
  <c r="R598" i="25"/>
  <c r="R599" i="25"/>
  <c r="R600" i="25"/>
  <c r="R601" i="25"/>
  <c r="R602" i="25"/>
  <c r="R603" i="25"/>
  <c r="R604" i="25"/>
  <c r="R605" i="25"/>
  <c r="R606" i="25"/>
  <c r="R607" i="25"/>
  <c r="R608" i="25"/>
  <c r="R609" i="25"/>
  <c r="R610" i="25"/>
  <c r="R611" i="25"/>
  <c r="R612" i="25"/>
  <c r="R613" i="25"/>
  <c r="R614" i="25"/>
  <c r="R615" i="25"/>
  <c r="R616" i="25"/>
  <c r="R617" i="25"/>
  <c r="R618" i="25"/>
  <c r="R619" i="25"/>
  <c r="R620" i="25"/>
  <c r="R621" i="25"/>
  <c r="R622" i="25"/>
  <c r="R623" i="25"/>
  <c r="R624" i="25"/>
  <c r="R625" i="25"/>
  <c r="R626" i="25"/>
  <c r="R627" i="25"/>
  <c r="R628" i="25"/>
  <c r="R629" i="25"/>
  <c r="R630" i="25"/>
  <c r="R631" i="25"/>
  <c r="R632" i="25"/>
  <c r="R633" i="25"/>
  <c r="R634" i="25"/>
  <c r="R635" i="25"/>
  <c r="R636" i="25"/>
  <c r="R637" i="25"/>
  <c r="R638" i="25"/>
  <c r="R639" i="25"/>
  <c r="R640" i="25"/>
  <c r="R641" i="25"/>
  <c r="R642" i="25"/>
  <c r="R643" i="25"/>
  <c r="R644" i="25"/>
  <c r="R645" i="25"/>
  <c r="R646" i="25"/>
  <c r="R647" i="25"/>
  <c r="R648" i="25"/>
  <c r="R649" i="25"/>
  <c r="R650" i="25"/>
  <c r="R651" i="25"/>
  <c r="R652" i="25"/>
  <c r="R653" i="25"/>
  <c r="R654" i="25"/>
  <c r="R655" i="25"/>
  <c r="R656" i="25"/>
  <c r="R657" i="25"/>
  <c r="R658" i="25"/>
  <c r="R659" i="25"/>
  <c r="R660" i="25"/>
  <c r="R661" i="25"/>
  <c r="R662" i="25"/>
  <c r="R663" i="25"/>
  <c r="R664" i="25"/>
  <c r="R665" i="25"/>
  <c r="R666" i="25"/>
  <c r="R667" i="25"/>
  <c r="R668" i="25"/>
  <c r="R669" i="25"/>
  <c r="R670" i="25"/>
  <c r="R671" i="25"/>
  <c r="R672" i="25"/>
  <c r="R673" i="25"/>
  <c r="R674" i="25"/>
  <c r="R675" i="25"/>
  <c r="R676" i="25"/>
  <c r="R677" i="25"/>
  <c r="R678" i="25"/>
  <c r="R679" i="25"/>
  <c r="R680" i="25"/>
  <c r="R681" i="25"/>
  <c r="R682" i="25"/>
  <c r="R683" i="25"/>
  <c r="R684" i="25"/>
  <c r="R685" i="25"/>
  <c r="R686" i="25"/>
  <c r="R687" i="25"/>
  <c r="R688" i="25"/>
  <c r="R689" i="25"/>
  <c r="R690" i="25"/>
  <c r="R691" i="25"/>
  <c r="R692" i="25"/>
  <c r="R693" i="25"/>
  <c r="R694" i="25"/>
  <c r="R695" i="25"/>
  <c r="R696" i="25"/>
  <c r="R697" i="25"/>
  <c r="R698" i="25"/>
  <c r="R699" i="25"/>
  <c r="R700" i="25"/>
  <c r="R701" i="25"/>
  <c r="R702" i="25"/>
  <c r="R703" i="25"/>
  <c r="R704" i="25"/>
  <c r="R705" i="25"/>
  <c r="R706" i="25"/>
  <c r="R707" i="25"/>
  <c r="R708" i="25"/>
  <c r="R709" i="25"/>
  <c r="R710" i="25"/>
  <c r="R711" i="25"/>
  <c r="R712" i="25"/>
  <c r="R713" i="25"/>
  <c r="R714" i="25"/>
  <c r="R715" i="25"/>
  <c r="R716" i="25"/>
  <c r="R717" i="25"/>
  <c r="R718" i="25"/>
  <c r="R719" i="25"/>
  <c r="R720" i="25"/>
  <c r="R721" i="25"/>
  <c r="R722" i="25"/>
  <c r="R723" i="25"/>
  <c r="R724" i="25"/>
  <c r="R725" i="25"/>
  <c r="R726" i="25"/>
  <c r="R727" i="25"/>
  <c r="R728" i="25"/>
  <c r="R729" i="25"/>
  <c r="R730" i="25"/>
  <c r="R731" i="25"/>
  <c r="R732" i="25"/>
  <c r="R733" i="25"/>
  <c r="R734" i="25"/>
  <c r="R735" i="25"/>
  <c r="R736" i="25"/>
  <c r="R737" i="25"/>
  <c r="R738" i="25"/>
  <c r="R739" i="25"/>
  <c r="R740" i="25"/>
  <c r="R741" i="25"/>
  <c r="R742" i="25"/>
  <c r="R743" i="25"/>
  <c r="R744" i="25"/>
  <c r="R745" i="25"/>
  <c r="R746" i="25"/>
  <c r="R747" i="25"/>
  <c r="R748" i="25"/>
  <c r="R749" i="25"/>
  <c r="R750" i="25"/>
  <c r="R751" i="25"/>
  <c r="R752" i="25"/>
  <c r="R753" i="25"/>
  <c r="R754" i="25"/>
  <c r="R755" i="25"/>
  <c r="R756" i="25"/>
  <c r="R757" i="25"/>
  <c r="R758" i="25"/>
  <c r="R759" i="25"/>
  <c r="R760" i="25"/>
  <c r="R761" i="25"/>
  <c r="R762" i="25"/>
  <c r="R763" i="25"/>
  <c r="R764" i="25"/>
  <c r="R765" i="25"/>
  <c r="R766" i="25"/>
  <c r="R767" i="25"/>
  <c r="R768" i="25"/>
  <c r="R769" i="25"/>
  <c r="R770" i="25"/>
  <c r="R771" i="25"/>
  <c r="R772" i="25"/>
  <c r="R773" i="25"/>
  <c r="R774" i="25"/>
  <c r="R775" i="25"/>
  <c r="R776" i="25"/>
  <c r="R777" i="25"/>
  <c r="R778" i="25"/>
  <c r="R779" i="25"/>
  <c r="R780" i="25"/>
  <c r="R781" i="25"/>
  <c r="R782" i="25"/>
  <c r="R783" i="25"/>
  <c r="R784" i="25"/>
  <c r="R785" i="25"/>
  <c r="R786" i="25"/>
  <c r="R787" i="25"/>
  <c r="R788" i="25"/>
  <c r="R789" i="25"/>
  <c r="R790" i="25"/>
  <c r="R791" i="25"/>
  <c r="R792" i="25"/>
  <c r="R793" i="25"/>
  <c r="R794" i="25"/>
  <c r="R795" i="25"/>
  <c r="R796" i="25"/>
  <c r="R797" i="25"/>
  <c r="R798" i="25"/>
  <c r="R799" i="25"/>
  <c r="R800" i="25"/>
  <c r="R801" i="25"/>
  <c r="R802" i="25"/>
  <c r="R803" i="25"/>
  <c r="R804" i="25"/>
  <c r="R805" i="25"/>
  <c r="R806" i="25"/>
  <c r="R807" i="25"/>
  <c r="R808" i="25"/>
  <c r="R809" i="25"/>
  <c r="R810" i="25"/>
  <c r="R811" i="25"/>
  <c r="R812" i="25"/>
  <c r="R813" i="25"/>
  <c r="R814" i="25"/>
  <c r="R815" i="25"/>
  <c r="R816" i="25"/>
  <c r="R817" i="25"/>
  <c r="R818" i="25"/>
  <c r="R819" i="25"/>
  <c r="R820" i="25"/>
  <c r="R821" i="25"/>
  <c r="R822" i="25"/>
  <c r="R823" i="25"/>
  <c r="R824" i="25"/>
  <c r="R825" i="25"/>
  <c r="R826" i="25"/>
  <c r="R827" i="25"/>
  <c r="R828" i="25"/>
  <c r="R829" i="25"/>
  <c r="R830" i="25"/>
  <c r="R831" i="25"/>
  <c r="R832" i="25"/>
  <c r="R833" i="25"/>
  <c r="R834" i="25"/>
  <c r="R835" i="25"/>
  <c r="R836" i="25"/>
  <c r="R837" i="25"/>
  <c r="R838" i="25"/>
  <c r="P503" i="25"/>
  <c r="P504" i="25"/>
  <c r="P505" i="25"/>
  <c r="P506" i="25"/>
  <c r="P507" i="25"/>
  <c r="P508" i="25"/>
  <c r="P509" i="25"/>
  <c r="P510" i="25"/>
  <c r="P511" i="25"/>
  <c r="P512" i="25"/>
  <c r="P513" i="25"/>
  <c r="P514" i="25"/>
  <c r="P515" i="25"/>
  <c r="P516" i="25"/>
  <c r="P517" i="25"/>
  <c r="P518" i="25"/>
  <c r="P519" i="25"/>
  <c r="P520" i="25"/>
  <c r="P521" i="25"/>
  <c r="P522" i="25"/>
  <c r="P523" i="25"/>
  <c r="P524" i="25"/>
  <c r="P525" i="25"/>
  <c r="P526" i="25"/>
  <c r="P527" i="25"/>
  <c r="P528" i="25"/>
  <c r="P529" i="25"/>
  <c r="P530" i="25"/>
  <c r="P531" i="25"/>
  <c r="P532" i="25"/>
  <c r="P533" i="25"/>
  <c r="P534" i="25"/>
  <c r="P535" i="25"/>
  <c r="P536" i="25"/>
  <c r="P537" i="25"/>
  <c r="P538" i="25"/>
  <c r="P539" i="25"/>
  <c r="P540" i="25"/>
  <c r="P541" i="25"/>
  <c r="P542" i="25"/>
  <c r="P543" i="25"/>
  <c r="P544" i="25"/>
  <c r="P545" i="25"/>
  <c r="P546" i="25"/>
  <c r="P547" i="25"/>
  <c r="P548" i="25"/>
  <c r="P549" i="25"/>
  <c r="P550" i="25"/>
  <c r="P551" i="25"/>
  <c r="P552" i="25"/>
  <c r="P553" i="25"/>
  <c r="P554" i="25"/>
  <c r="P555" i="25"/>
  <c r="P556" i="25"/>
  <c r="P557" i="25"/>
  <c r="P558" i="25"/>
  <c r="P559" i="25"/>
  <c r="P560" i="25"/>
  <c r="P561" i="25"/>
  <c r="P562" i="25"/>
  <c r="P563" i="25"/>
  <c r="P564" i="25"/>
  <c r="P565" i="25"/>
  <c r="P566" i="25"/>
  <c r="P567" i="25"/>
  <c r="P568" i="25"/>
  <c r="P569" i="25"/>
  <c r="P570" i="25"/>
  <c r="P571" i="25"/>
  <c r="P572" i="25"/>
  <c r="P573" i="25"/>
  <c r="P574" i="25"/>
  <c r="P575" i="25"/>
  <c r="P576" i="25"/>
  <c r="P577" i="25"/>
  <c r="P578" i="25"/>
  <c r="P579" i="25"/>
  <c r="P580" i="25"/>
  <c r="P581" i="25"/>
  <c r="P582" i="25"/>
  <c r="P583" i="25"/>
  <c r="P584" i="25"/>
  <c r="P585" i="25"/>
  <c r="P586" i="25"/>
  <c r="P587" i="25"/>
  <c r="P588" i="25"/>
  <c r="P589" i="25"/>
  <c r="P590" i="25"/>
  <c r="P591" i="25"/>
  <c r="P592" i="25"/>
  <c r="P593" i="25"/>
  <c r="P594" i="25"/>
  <c r="P595" i="25"/>
  <c r="P596" i="25"/>
  <c r="P597" i="25"/>
  <c r="P598" i="25"/>
  <c r="P599" i="25"/>
  <c r="P600" i="25"/>
  <c r="P601" i="25"/>
  <c r="P602" i="25"/>
  <c r="P603" i="25"/>
  <c r="P604" i="25"/>
  <c r="P605" i="25"/>
  <c r="P606" i="25"/>
  <c r="P607" i="25"/>
  <c r="P608" i="25"/>
  <c r="P609" i="25"/>
  <c r="P610" i="25"/>
  <c r="P611" i="25"/>
  <c r="P612" i="25"/>
  <c r="P613" i="25"/>
  <c r="P614" i="25"/>
  <c r="P615" i="25"/>
  <c r="P616" i="25"/>
  <c r="P617" i="25"/>
  <c r="P618" i="25"/>
  <c r="P619" i="25"/>
  <c r="P620" i="25"/>
  <c r="P621" i="25"/>
  <c r="P622" i="25"/>
  <c r="P623" i="25"/>
  <c r="P624" i="25"/>
  <c r="P625" i="25"/>
  <c r="P626" i="25"/>
  <c r="P627" i="25"/>
  <c r="P628" i="25"/>
  <c r="P629" i="25"/>
  <c r="P630" i="25"/>
  <c r="P631" i="25"/>
  <c r="P632" i="25"/>
  <c r="P633" i="25"/>
  <c r="P634" i="25"/>
  <c r="P635" i="25"/>
  <c r="P636" i="25"/>
  <c r="P637" i="25"/>
  <c r="P638" i="25"/>
  <c r="P639" i="25"/>
  <c r="P640" i="25"/>
  <c r="P641" i="25"/>
  <c r="P642" i="25"/>
  <c r="P643" i="25"/>
  <c r="P644" i="25"/>
  <c r="P645" i="25"/>
  <c r="P646" i="25"/>
  <c r="P647" i="25"/>
  <c r="P648" i="25"/>
  <c r="P649" i="25"/>
  <c r="P650" i="25"/>
  <c r="P651" i="25"/>
  <c r="P652" i="25"/>
  <c r="P653" i="25"/>
  <c r="P654" i="25"/>
  <c r="P655" i="25"/>
  <c r="P656" i="25"/>
  <c r="P657" i="25"/>
  <c r="P658" i="25"/>
  <c r="P659" i="25"/>
  <c r="P660" i="25"/>
  <c r="P661" i="25"/>
  <c r="P662" i="25"/>
  <c r="P663" i="25"/>
  <c r="P664" i="25"/>
  <c r="P665" i="25"/>
  <c r="P666" i="25"/>
  <c r="P667" i="25"/>
  <c r="P668" i="25"/>
  <c r="P669" i="25"/>
  <c r="P670" i="25"/>
  <c r="P671" i="25"/>
  <c r="P672" i="25"/>
  <c r="P673" i="25"/>
  <c r="P674" i="25"/>
  <c r="P675" i="25"/>
  <c r="P676" i="25"/>
  <c r="P677" i="25"/>
  <c r="P678" i="25"/>
  <c r="P679" i="25"/>
  <c r="P680" i="25"/>
  <c r="P681" i="25"/>
  <c r="P682" i="25"/>
  <c r="P683" i="25"/>
  <c r="P684" i="25"/>
  <c r="P685" i="25"/>
  <c r="P686" i="25"/>
  <c r="P687" i="25"/>
  <c r="P688" i="25"/>
  <c r="P689" i="25"/>
  <c r="P690" i="25"/>
  <c r="P691" i="25"/>
  <c r="P692" i="25"/>
  <c r="P693" i="25"/>
  <c r="P694" i="25"/>
  <c r="P695" i="25"/>
  <c r="P696" i="25"/>
  <c r="P697" i="25"/>
  <c r="P698" i="25"/>
  <c r="P699" i="25"/>
  <c r="P700" i="25"/>
  <c r="P701" i="25"/>
  <c r="P702" i="25"/>
  <c r="P703" i="25"/>
  <c r="P704" i="25"/>
  <c r="P705" i="25"/>
  <c r="P706" i="25"/>
  <c r="P707" i="25"/>
  <c r="P708" i="25"/>
  <c r="P709" i="25"/>
  <c r="P710" i="25"/>
  <c r="P711" i="25"/>
  <c r="P712" i="25"/>
  <c r="P713" i="25"/>
  <c r="P714" i="25"/>
  <c r="P715" i="25"/>
  <c r="P716" i="25"/>
  <c r="P717" i="25"/>
  <c r="P718" i="25"/>
  <c r="P719" i="25"/>
  <c r="P720" i="25"/>
  <c r="P721" i="25"/>
  <c r="P722" i="25"/>
  <c r="P723" i="25"/>
  <c r="P724" i="25"/>
  <c r="P725" i="25"/>
  <c r="P726" i="25"/>
  <c r="P727" i="25"/>
  <c r="P728" i="25"/>
  <c r="P729" i="25"/>
  <c r="P730" i="25"/>
  <c r="P731" i="25"/>
  <c r="P732" i="25"/>
  <c r="P733" i="25"/>
  <c r="P734" i="25"/>
  <c r="P735" i="25"/>
  <c r="P736" i="25"/>
  <c r="P737" i="25"/>
  <c r="P738" i="25"/>
  <c r="P739" i="25"/>
  <c r="P740" i="25"/>
  <c r="P741" i="25"/>
  <c r="P742" i="25"/>
  <c r="P743" i="25"/>
  <c r="P744" i="25"/>
  <c r="P745" i="25"/>
  <c r="P746" i="25"/>
  <c r="P747" i="25"/>
  <c r="P748" i="25"/>
  <c r="P749" i="25"/>
  <c r="P750" i="25"/>
  <c r="P751" i="25"/>
  <c r="P752" i="25"/>
  <c r="P753" i="25"/>
  <c r="P754" i="25"/>
  <c r="P755" i="25"/>
  <c r="P756" i="25"/>
  <c r="P757" i="25"/>
  <c r="P758" i="25"/>
  <c r="P759" i="25"/>
  <c r="P760" i="25"/>
  <c r="P761" i="25"/>
  <c r="P762" i="25"/>
  <c r="P763" i="25"/>
  <c r="P764" i="25"/>
  <c r="P765" i="25"/>
  <c r="P766" i="25"/>
  <c r="P767" i="25"/>
  <c r="P768" i="25"/>
  <c r="P769" i="25"/>
  <c r="P770" i="25"/>
  <c r="P771" i="25"/>
  <c r="P772" i="25"/>
  <c r="P773" i="25"/>
  <c r="P774" i="25"/>
  <c r="P775" i="25"/>
  <c r="P776" i="25"/>
  <c r="P777" i="25"/>
  <c r="P778" i="25"/>
  <c r="P779" i="25"/>
  <c r="P780" i="25"/>
  <c r="P781" i="25"/>
  <c r="P782" i="25"/>
  <c r="P783" i="25"/>
  <c r="P784" i="25"/>
  <c r="P785" i="25"/>
  <c r="P786" i="25"/>
  <c r="P787" i="25"/>
  <c r="P788" i="25"/>
  <c r="P789" i="25"/>
  <c r="P790" i="25"/>
  <c r="P791" i="25"/>
  <c r="P792" i="25"/>
  <c r="P793" i="25"/>
  <c r="P794" i="25"/>
  <c r="P795" i="25"/>
  <c r="P796" i="25"/>
  <c r="P797" i="25"/>
  <c r="P798" i="25"/>
  <c r="P799" i="25"/>
  <c r="P800" i="25"/>
  <c r="P801" i="25"/>
  <c r="P802" i="25"/>
  <c r="P803" i="25"/>
  <c r="P804" i="25"/>
  <c r="P805" i="25"/>
  <c r="P806" i="25"/>
  <c r="P807" i="25"/>
  <c r="P808" i="25"/>
  <c r="P809" i="25"/>
  <c r="P810" i="25"/>
  <c r="P811" i="25"/>
  <c r="P812" i="25"/>
  <c r="P813" i="25"/>
  <c r="P814" i="25"/>
  <c r="P815" i="25"/>
  <c r="P816" i="25"/>
  <c r="P817" i="25"/>
  <c r="P818" i="25"/>
  <c r="P819" i="25"/>
  <c r="P820" i="25"/>
  <c r="P821" i="25"/>
  <c r="P822" i="25"/>
  <c r="P823" i="25"/>
  <c r="P824" i="25"/>
  <c r="P825" i="25"/>
  <c r="P826" i="25"/>
  <c r="P827" i="25"/>
  <c r="P828" i="25"/>
  <c r="P829" i="25"/>
  <c r="P830" i="25"/>
  <c r="P831" i="25"/>
  <c r="P832" i="25"/>
  <c r="P833" i="25"/>
  <c r="P834" i="25"/>
  <c r="P835" i="25"/>
  <c r="P836" i="25"/>
  <c r="P837" i="25"/>
  <c r="P838" i="25"/>
  <c r="I530" i="25"/>
  <c r="I531" i="25"/>
  <c r="I532" i="25"/>
  <c r="I533" i="25"/>
  <c r="I534" i="25"/>
  <c r="I535" i="25"/>
  <c r="I536" i="25"/>
  <c r="I537" i="25"/>
  <c r="I538" i="25"/>
  <c r="I539" i="25"/>
  <c r="I540" i="25"/>
  <c r="I541" i="25"/>
  <c r="I542" i="25"/>
  <c r="I543" i="25"/>
  <c r="I544" i="25"/>
  <c r="I545" i="25"/>
  <c r="I546" i="25"/>
  <c r="I547" i="25"/>
  <c r="I548" i="25"/>
  <c r="I549" i="25"/>
  <c r="I550" i="25"/>
  <c r="I551" i="25"/>
  <c r="I552" i="25"/>
  <c r="I553" i="25"/>
  <c r="I554" i="25"/>
  <c r="I555" i="25"/>
  <c r="I556" i="25"/>
  <c r="I557" i="25"/>
  <c r="I558" i="25"/>
  <c r="I559" i="25"/>
  <c r="I560" i="25"/>
  <c r="I561" i="25"/>
  <c r="I562" i="25"/>
  <c r="I563" i="25"/>
  <c r="I564" i="25"/>
  <c r="I565" i="25"/>
  <c r="I566" i="25"/>
  <c r="I567" i="25"/>
  <c r="I568" i="25"/>
  <c r="I569" i="25"/>
  <c r="I570" i="25"/>
  <c r="I571" i="25"/>
  <c r="I572" i="25"/>
  <c r="I573" i="25"/>
  <c r="I574" i="25"/>
  <c r="I575" i="25"/>
  <c r="I576" i="25"/>
  <c r="I577" i="25"/>
  <c r="I578" i="25"/>
  <c r="I579" i="25"/>
  <c r="I580" i="25"/>
  <c r="I581" i="25"/>
  <c r="I582" i="25"/>
  <c r="I583" i="25"/>
  <c r="I584" i="25"/>
  <c r="I585" i="25"/>
  <c r="I586" i="25"/>
  <c r="I587" i="25"/>
  <c r="I588" i="25"/>
  <c r="I589" i="25"/>
  <c r="I590" i="25"/>
  <c r="I591" i="25"/>
  <c r="I592" i="25"/>
  <c r="I593" i="25"/>
  <c r="I594" i="25"/>
  <c r="I595" i="25"/>
  <c r="I596" i="25"/>
  <c r="I597" i="25"/>
  <c r="I598" i="25"/>
  <c r="I599" i="25"/>
  <c r="I600" i="25"/>
  <c r="I601" i="25"/>
  <c r="I602" i="25"/>
  <c r="I603" i="25"/>
  <c r="I604" i="25"/>
  <c r="I605" i="25"/>
  <c r="I606" i="25"/>
  <c r="I607" i="25"/>
  <c r="I608" i="25"/>
  <c r="I609" i="25"/>
  <c r="I610" i="25"/>
  <c r="I611" i="25"/>
  <c r="I612" i="25"/>
  <c r="I613" i="25"/>
  <c r="I614" i="25"/>
  <c r="I615" i="25"/>
  <c r="I616" i="25"/>
  <c r="I617" i="25"/>
  <c r="I618" i="25"/>
  <c r="I619" i="25"/>
  <c r="I620" i="25"/>
  <c r="I621" i="25"/>
  <c r="I622" i="25"/>
  <c r="I623" i="25"/>
  <c r="I624" i="25"/>
  <c r="I625" i="25"/>
  <c r="I626" i="25"/>
  <c r="I627" i="25"/>
  <c r="I628" i="25"/>
  <c r="I629" i="25"/>
  <c r="I630" i="25"/>
  <c r="I631" i="25"/>
  <c r="I632" i="25"/>
  <c r="I633" i="25"/>
  <c r="I634" i="25"/>
  <c r="I635" i="25"/>
  <c r="I636" i="25"/>
  <c r="I637" i="25"/>
  <c r="I638" i="25"/>
  <c r="I639" i="25"/>
  <c r="I640" i="25"/>
  <c r="I641" i="25"/>
  <c r="I642" i="25"/>
  <c r="I643" i="25"/>
  <c r="I644" i="25"/>
  <c r="I645" i="25"/>
  <c r="I646" i="25"/>
  <c r="I647" i="25"/>
  <c r="I648" i="25"/>
  <c r="I649" i="25"/>
  <c r="I650" i="25"/>
  <c r="I651" i="25"/>
  <c r="I652" i="25"/>
  <c r="I653" i="25"/>
  <c r="I654" i="25"/>
  <c r="I655" i="25"/>
  <c r="I656" i="25"/>
  <c r="I657" i="25"/>
  <c r="I658" i="25"/>
  <c r="I659" i="25"/>
  <c r="I660" i="25"/>
  <c r="I661" i="25"/>
  <c r="I662" i="25"/>
  <c r="I663" i="25"/>
  <c r="I664" i="25"/>
  <c r="I665" i="25"/>
  <c r="I666" i="25"/>
  <c r="I667" i="25"/>
  <c r="I668" i="25"/>
  <c r="I669" i="25"/>
  <c r="I670" i="25"/>
  <c r="I671" i="25"/>
  <c r="I672" i="25"/>
  <c r="I673" i="25"/>
  <c r="I674" i="25"/>
  <c r="I675" i="25"/>
  <c r="I676" i="25"/>
  <c r="I677" i="25"/>
  <c r="I678" i="25"/>
  <c r="I679" i="25"/>
  <c r="I680" i="25"/>
  <c r="I681" i="25"/>
  <c r="I682" i="25"/>
  <c r="I683" i="25"/>
  <c r="I684" i="25"/>
  <c r="I685" i="25"/>
  <c r="I686" i="25"/>
  <c r="I687" i="25"/>
  <c r="I688" i="25"/>
  <c r="I689" i="25"/>
  <c r="I690" i="25"/>
  <c r="I691" i="25"/>
  <c r="I692" i="25"/>
  <c r="I693" i="25"/>
  <c r="I694" i="25"/>
  <c r="I695" i="25"/>
  <c r="I696" i="25"/>
  <c r="I697" i="25"/>
  <c r="I698" i="25"/>
  <c r="I699" i="25"/>
  <c r="I700" i="25"/>
  <c r="I701" i="25"/>
  <c r="I702" i="25"/>
  <c r="I703" i="25"/>
  <c r="I704" i="25"/>
  <c r="I705" i="25"/>
  <c r="I706" i="25"/>
  <c r="I707" i="25"/>
  <c r="I708" i="25"/>
  <c r="I709" i="25"/>
  <c r="I710" i="25"/>
  <c r="I711" i="25"/>
  <c r="I712" i="25"/>
  <c r="I713" i="25"/>
  <c r="I714" i="25"/>
  <c r="I715" i="25"/>
  <c r="I716" i="25"/>
  <c r="I717" i="25"/>
  <c r="I718" i="25"/>
  <c r="I719" i="25"/>
  <c r="I720" i="25"/>
  <c r="I721" i="25"/>
  <c r="I722" i="25"/>
  <c r="I723" i="25"/>
  <c r="I724" i="25"/>
  <c r="I725" i="25"/>
  <c r="I726" i="25"/>
  <c r="I727" i="25"/>
  <c r="I728" i="25"/>
  <c r="I729" i="25"/>
  <c r="I730" i="25"/>
  <c r="I731" i="25"/>
  <c r="I732" i="25"/>
  <c r="I733" i="25"/>
  <c r="I734" i="25"/>
  <c r="I735" i="25"/>
  <c r="I736" i="25"/>
  <c r="I737" i="25"/>
  <c r="I738" i="25"/>
  <c r="I739" i="25"/>
  <c r="I740" i="25"/>
  <c r="I741" i="25"/>
  <c r="I742" i="25"/>
  <c r="I743" i="25"/>
  <c r="I744" i="25"/>
  <c r="I745" i="25"/>
  <c r="I746" i="25"/>
  <c r="I747" i="25"/>
  <c r="I748" i="25"/>
  <c r="I749" i="25"/>
  <c r="I750" i="25"/>
  <c r="I751" i="25"/>
  <c r="I752" i="25"/>
  <c r="I753" i="25"/>
  <c r="I754" i="25"/>
  <c r="I755" i="25"/>
  <c r="I756" i="25"/>
  <c r="I757" i="25"/>
  <c r="I758" i="25"/>
  <c r="I759" i="25"/>
  <c r="I760" i="25"/>
  <c r="I761" i="25"/>
  <c r="I762" i="25"/>
  <c r="I763" i="25"/>
  <c r="I764" i="25"/>
  <c r="I765" i="25"/>
  <c r="I766" i="25"/>
  <c r="I767" i="25"/>
  <c r="I768" i="25"/>
  <c r="I769" i="25"/>
  <c r="I770" i="25"/>
  <c r="I771" i="25"/>
  <c r="I772" i="25"/>
  <c r="I773" i="25"/>
  <c r="I774" i="25"/>
  <c r="I775" i="25"/>
  <c r="I776" i="25"/>
  <c r="I777" i="25"/>
  <c r="I778" i="25"/>
  <c r="I779" i="25"/>
  <c r="I780" i="25"/>
  <c r="I781" i="25"/>
  <c r="I782" i="25"/>
  <c r="I783" i="25"/>
  <c r="I784" i="25"/>
  <c r="I785" i="25"/>
  <c r="I786" i="25"/>
  <c r="I787" i="25"/>
  <c r="I788" i="25"/>
  <c r="I789" i="25"/>
  <c r="I790" i="25"/>
  <c r="I791" i="25"/>
  <c r="I792" i="25"/>
  <c r="I793" i="25"/>
  <c r="I794" i="25"/>
  <c r="I795" i="25"/>
  <c r="I796" i="25"/>
  <c r="I797" i="25"/>
  <c r="I798" i="25"/>
  <c r="I799" i="25"/>
  <c r="I800" i="25"/>
  <c r="I801" i="25"/>
  <c r="I802" i="25"/>
  <c r="I803" i="25"/>
  <c r="I804" i="25"/>
  <c r="I805" i="25"/>
  <c r="I806" i="25"/>
  <c r="I807" i="25"/>
  <c r="I808" i="25"/>
  <c r="I809" i="25"/>
  <c r="I810" i="25"/>
  <c r="I811" i="25"/>
  <c r="I812" i="25"/>
  <c r="I813" i="25"/>
  <c r="I814" i="25"/>
  <c r="I815" i="25"/>
  <c r="I816" i="25"/>
  <c r="I817" i="25"/>
  <c r="I818" i="25"/>
  <c r="I819" i="25"/>
  <c r="I820" i="25"/>
  <c r="I821" i="25"/>
  <c r="I822" i="25"/>
  <c r="I823" i="25"/>
  <c r="I824" i="25"/>
  <c r="I825" i="25"/>
  <c r="I826" i="25"/>
  <c r="I827" i="25"/>
  <c r="I828" i="25"/>
  <c r="I829" i="25"/>
  <c r="I830" i="25"/>
  <c r="I831" i="25"/>
  <c r="I832" i="25"/>
  <c r="I833" i="25"/>
  <c r="I834" i="25"/>
  <c r="I835" i="25"/>
  <c r="I836" i="25"/>
  <c r="I837" i="25"/>
  <c r="H800" i="25"/>
  <c r="H801" i="25"/>
  <c r="H802" i="25"/>
  <c r="H803" i="25"/>
  <c r="H804" i="25"/>
  <c r="H805" i="25"/>
  <c r="H806" i="25"/>
  <c r="H807" i="25"/>
  <c r="H808" i="25"/>
  <c r="H809" i="25"/>
  <c r="H810" i="25"/>
  <c r="H811" i="25"/>
  <c r="H812" i="25"/>
  <c r="H813" i="25"/>
  <c r="H814" i="25"/>
  <c r="H815" i="25"/>
  <c r="H816" i="25"/>
  <c r="H817" i="25"/>
  <c r="H818" i="25"/>
  <c r="H819" i="25"/>
  <c r="H820" i="25"/>
  <c r="H821" i="25"/>
  <c r="H822" i="25"/>
  <c r="H823" i="25"/>
  <c r="H824" i="25"/>
  <c r="H825" i="25"/>
  <c r="H826" i="25"/>
  <c r="H827" i="25"/>
  <c r="H828" i="25"/>
  <c r="H829" i="25"/>
  <c r="H830" i="25"/>
  <c r="H831" i="25"/>
  <c r="H832" i="25"/>
  <c r="H833" i="25"/>
  <c r="H834" i="25"/>
  <c r="H835" i="25"/>
  <c r="H836" i="25"/>
  <c r="B803" i="25"/>
  <c r="B811" i="25"/>
  <c r="B819" i="25"/>
  <c r="B827" i="25"/>
  <c r="B835" i="25"/>
  <c r="H530" i="25"/>
  <c r="H531" i="25"/>
  <c r="H532" i="25"/>
  <c r="H533" i="25"/>
  <c r="H534" i="25"/>
  <c r="H535" i="25"/>
  <c r="H536" i="25"/>
  <c r="H537" i="25"/>
  <c r="H538" i="25"/>
  <c r="H539" i="25"/>
  <c r="H540" i="25"/>
  <c r="H541" i="25"/>
  <c r="H542" i="25"/>
  <c r="H543" i="25"/>
  <c r="H544" i="25"/>
  <c r="H545" i="25"/>
  <c r="H546" i="25"/>
  <c r="H547" i="25"/>
  <c r="H548" i="25"/>
  <c r="H549" i="25"/>
  <c r="H550" i="25"/>
  <c r="H551" i="25"/>
  <c r="H552" i="25"/>
  <c r="H553" i="25"/>
  <c r="H554" i="25"/>
  <c r="H555" i="25"/>
  <c r="H556" i="25"/>
  <c r="H557" i="25"/>
  <c r="H558" i="25"/>
  <c r="H559" i="25"/>
  <c r="H560" i="25"/>
  <c r="H561" i="25"/>
  <c r="H562" i="25"/>
  <c r="H563" i="25"/>
  <c r="H564" i="25"/>
  <c r="H565" i="25"/>
  <c r="H566" i="25"/>
  <c r="H567" i="25"/>
  <c r="H568" i="25"/>
  <c r="H569" i="25"/>
  <c r="H570" i="25"/>
  <c r="H571" i="25"/>
  <c r="H572" i="25"/>
  <c r="H573" i="25"/>
  <c r="H574" i="25"/>
  <c r="H575" i="25"/>
  <c r="H576" i="25"/>
  <c r="H577" i="25"/>
  <c r="H578" i="25"/>
  <c r="H579" i="25"/>
  <c r="H580" i="25"/>
  <c r="H581" i="25"/>
  <c r="H582" i="25"/>
  <c r="H583" i="25"/>
  <c r="H584" i="25"/>
  <c r="H585" i="25"/>
  <c r="H586" i="25"/>
  <c r="H587" i="25"/>
  <c r="H588" i="25"/>
  <c r="H589" i="25"/>
  <c r="H590" i="25"/>
  <c r="H591" i="25"/>
  <c r="H592" i="25"/>
  <c r="H593" i="25"/>
  <c r="H594" i="25"/>
  <c r="H595" i="25"/>
  <c r="H596" i="25"/>
  <c r="H597" i="25"/>
  <c r="H598" i="25"/>
  <c r="H599" i="25"/>
  <c r="H600" i="25"/>
  <c r="H601" i="25"/>
  <c r="H602" i="25"/>
  <c r="H603" i="25"/>
  <c r="H604" i="25"/>
  <c r="H605" i="25"/>
  <c r="H606" i="25"/>
  <c r="H607" i="25"/>
  <c r="H608" i="25"/>
  <c r="H609" i="25"/>
  <c r="H610" i="25"/>
  <c r="H611" i="25"/>
  <c r="H612" i="25"/>
  <c r="H613" i="25"/>
  <c r="H614" i="25"/>
  <c r="H615" i="25"/>
  <c r="H616" i="25"/>
  <c r="H617" i="25"/>
  <c r="H618" i="25"/>
  <c r="H619" i="25"/>
  <c r="H620" i="25"/>
  <c r="H621" i="25"/>
  <c r="H622" i="25"/>
  <c r="H623" i="25"/>
  <c r="H624" i="25"/>
  <c r="H625" i="25"/>
  <c r="H626" i="25"/>
  <c r="H627" i="25"/>
  <c r="H628" i="25"/>
  <c r="H629" i="25"/>
  <c r="H630" i="25"/>
  <c r="H631" i="25"/>
  <c r="H632" i="25"/>
  <c r="H633" i="25"/>
  <c r="H634" i="25"/>
  <c r="H635" i="25"/>
  <c r="H636" i="25"/>
  <c r="H637" i="25"/>
  <c r="H638" i="25"/>
  <c r="H639" i="25"/>
  <c r="H640" i="25"/>
  <c r="H641" i="25"/>
  <c r="H642" i="25"/>
  <c r="H643" i="25"/>
  <c r="H644" i="25"/>
  <c r="H645" i="25"/>
  <c r="H646" i="25"/>
  <c r="H647" i="25"/>
  <c r="H648" i="25"/>
  <c r="H649" i="25"/>
  <c r="H650" i="25"/>
  <c r="H651" i="25"/>
  <c r="H652" i="25"/>
  <c r="H653" i="25"/>
  <c r="H654" i="25"/>
  <c r="H655" i="25"/>
  <c r="H656" i="25"/>
  <c r="H657" i="25"/>
  <c r="H658" i="25"/>
  <c r="H659" i="25"/>
  <c r="H660" i="25"/>
  <c r="H661" i="25"/>
  <c r="H662" i="25"/>
  <c r="H663" i="25"/>
  <c r="H664" i="25"/>
  <c r="H665" i="25"/>
  <c r="H666" i="25"/>
  <c r="H667" i="25"/>
  <c r="H668" i="25"/>
  <c r="H669" i="25"/>
  <c r="H670" i="25"/>
  <c r="H671" i="25"/>
  <c r="H672" i="25"/>
  <c r="H673" i="25"/>
  <c r="H674" i="25"/>
  <c r="H675" i="25"/>
  <c r="H676" i="25"/>
  <c r="H677" i="25"/>
  <c r="H678" i="25"/>
  <c r="H679" i="25"/>
  <c r="H680" i="25"/>
  <c r="H681" i="25"/>
  <c r="H682" i="25"/>
  <c r="H683" i="25"/>
  <c r="H684" i="25"/>
  <c r="H685" i="25"/>
  <c r="H686" i="25"/>
  <c r="H687" i="25"/>
  <c r="H688" i="25"/>
  <c r="H689" i="25"/>
  <c r="H690" i="25"/>
  <c r="H691" i="25"/>
  <c r="H692" i="25"/>
  <c r="H693" i="25"/>
  <c r="H694" i="25"/>
  <c r="H695" i="25"/>
  <c r="H696" i="25"/>
  <c r="H697" i="25"/>
  <c r="H698" i="25"/>
  <c r="H699" i="25"/>
  <c r="H700" i="25"/>
  <c r="H701" i="25"/>
  <c r="H702" i="25"/>
  <c r="H703" i="25"/>
  <c r="H704" i="25"/>
  <c r="H705" i="25"/>
  <c r="H706" i="25"/>
  <c r="H707" i="25"/>
  <c r="H708" i="25"/>
  <c r="H709" i="25"/>
  <c r="H710" i="25"/>
  <c r="H711" i="25"/>
  <c r="H712" i="25"/>
  <c r="H713" i="25"/>
  <c r="H714" i="25"/>
  <c r="H715" i="25"/>
  <c r="H716" i="25"/>
  <c r="H717" i="25"/>
  <c r="H718" i="25"/>
  <c r="H719" i="25"/>
  <c r="H720" i="25"/>
  <c r="H721" i="25"/>
  <c r="H722" i="25"/>
  <c r="H723" i="25"/>
  <c r="H724" i="25"/>
  <c r="H725" i="25"/>
  <c r="H726" i="25"/>
  <c r="H727" i="25"/>
  <c r="H728" i="25"/>
  <c r="H729" i="25"/>
  <c r="H730" i="25"/>
  <c r="H731" i="25"/>
  <c r="H732" i="25"/>
  <c r="H733" i="25"/>
  <c r="H734" i="25"/>
  <c r="H735" i="25"/>
  <c r="H736" i="25"/>
  <c r="H737" i="25"/>
  <c r="H738" i="25"/>
  <c r="H739" i="25"/>
  <c r="H740" i="25"/>
  <c r="H741" i="25"/>
  <c r="H742" i="25"/>
  <c r="H743" i="25"/>
  <c r="H744" i="25"/>
  <c r="H745" i="25"/>
  <c r="H746" i="25"/>
  <c r="H747" i="25"/>
  <c r="H748" i="25"/>
  <c r="H749" i="25"/>
  <c r="H750" i="25"/>
  <c r="H751" i="25"/>
  <c r="H752" i="25"/>
  <c r="H753" i="25"/>
  <c r="H754" i="25"/>
  <c r="H755" i="25"/>
  <c r="H756" i="25"/>
  <c r="H757" i="25"/>
  <c r="H758" i="25"/>
  <c r="H759" i="25"/>
  <c r="H760" i="25"/>
  <c r="H761" i="25"/>
  <c r="H762" i="25"/>
  <c r="H763" i="25"/>
  <c r="H764" i="25"/>
  <c r="H765" i="25"/>
  <c r="H766" i="25"/>
  <c r="H767" i="25"/>
  <c r="H768" i="25"/>
  <c r="H769" i="25"/>
  <c r="H770" i="25"/>
  <c r="H771" i="25"/>
  <c r="H772" i="25"/>
  <c r="H773" i="25"/>
  <c r="H774" i="25"/>
  <c r="H775" i="25"/>
  <c r="H776" i="25"/>
  <c r="H777" i="25"/>
  <c r="H778" i="25"/>
  <c r="H779" i="25"/>
  <c r="H780" i="25"/>
  <c r="H781" i="25"/>
  <c r="H782" i="25"/>
  <c r="H783" i="25"/>
  <c r="H784" i="25"/>
  <c r="H785" i="25"/>
  <c r="H786" i="25"/>
  <c r="H787" i="25"/>
  <c r="H788" i="25"/>
  <c r="H789" i="25"/>
  <c r="H790" i="25"/>
  <c r="H791" i="25"/>
  <c r="H792" i="25"/>
  <c r="H793" i="25"/>
  <c r="H794" i="25"/>
  <c r="H795" i="25"/>
  <c r="H796" i="25"/>
  <c r="H797" i="25"/>
  <c r="H798" i="25"/>
  <c r="H799" i="25"/>
  <c r="H837" i="25"/>
  <c r="I503" i="25"/>
  <c r="I504" i="25"/>
  <c r="I505" i="25"/>
  <c r="I506" i="25"/>
  <c r="I507" i="25"/>
  <c r="I508" i="25"/>
  <c r="I509" i="25"/>
  <c r="I510" i="25"/>
  <c r="I511" i="25"/>
  <c r="I512" i="25"/>
  <c r="I513" i="25"/>
  <c r="I514" i="25"/>
  <c r="I515" i="25"/>
  <c r="I516" i="25"/>
  <c r="I517" i="25"/>
  <c r="I518" i="25"/>
  <c r="I519" i="25"/>
  <c r="I520" i="25"/>
  <c r="I521" i="25"/>
  <c r="I522" i="25"/>
  <c r="I523" i="25"/>
  <c r="I524" i="25"/>
  <c r="I525" i="25"/>
  <c r="I526" i="25"/>
  <c r="I527" i="25"/>
  <c r="I528" i="25"/>
  <c r="I529" i="25"/>
  <c r="I838" i="25"/>
  <c r="H503" i="25"/>
  <c r="H504" i="25"/>
  <c r="H505" i="25"/>
  <c r="H506" i="25"/>
  <c r="H507" i="25"/>
  <c r="H508" i="25"/>
  <c r="H509" i="25"/>
  <c r="H510" i="25"/>
  <c r="H511" i="25"/>
  <c r="H512" i="25"/>
  <c r="H513" i="25"/>
  <c r="H514" i="25"/>
  <c r="H515" i="25"/>
  <c r="H516" i="25"/>
  <c r="H517" i="25"/>
  <c r="H518" i="25"/>
  <c r="H519" i="25"/>
  <c r="H520" i="25"/>
  <c r="H521" i="25"/>
  <c r="H522" i="25"/>
  <c r="H523" i="25"/>
  <c r="H524" i="25"/>
  <c r="H525" i="25"/>
  <c r="H526" i="25"/>
  <c r="H527" i="25"/>
  <c r="H528" i="25"/>
  <c r="H529" i="25"/>
  <c r="H838" i="25"/>
  <c r="H948" i="25"/>
  <c r="U231" i="5"/>
  <c r="U232" i="5"/>
  <c r="U233" i="5"/>
  <c r="U234" i="5"/>
  <c r="U235" i="5"/>
  <c r="U236" i="5"/>
  <c r="U237" i="5"/>
  <c r="U238" i="5"/>
  <c r="U239" i="5"/>
  <c r="U240" i="5"/>
  <c r="U241" i="5"/>
  <c r="U242" i="5"/>
  <c r="U243" i="5"/>
  <c r="U244" i="5"/>
  <c r="U245" i="5"/>
  <c r="U246" i="5"/>
  <c r="U247" i="5"/>
  <c r="U248" i="5"/>
  <c r="U249" i="5"/>
  <c r="U250" i="5"/>
  <c r="U251" i="5"/>
  <c r="U252" i="5"/>
  <c r="U253" i="5"/>
  <c r="U254" i="5"/>
  <c r="U255" i="5"/>
  <c r="U256" i="5"/>
  <c r="U257" i="5"/>
  <c r="U258" i="5"/>
  <c r="U259" i="5"/>
  <c r="U260" i="5"/>
  <c r="U261" i="5"/>
  <c r="U262" i="5"/>
  <c r="U263" i="5"/>
  <c r="U264" i="5"/>
  <c r="U265" i="5"/>
  <c r="U266" i="5"/>
  <c r="U267" i="5"/>
  <c r="U268" i="5"/>
  <c r="U269" i="5"/>
  <c r="U270" i="5"/>
  <c r="U271" i="5"/>
  <c r="U272" i="5"/>
  <c r="U273" i="5"/>
  <c r="U274" i="5"/>
  <c r="U275" i="5"/>
  <c r="U276" i="5"/>
  <c r="U277" i="5"/>
  <c r="U278" i="5"/>
  <c r="U279" i="5"/>
  <c r="U280" i="5"/>
  <c r="U281" i="5"/>
  <c r="U282" i="5"/>
  <c r="U283" i="5"/>
  <c r="U284" i="5"/>
  <c r="U285" i="5"/>
  <c r="U286" i="5"/>
  <c r="U287" i="5"/>
  <c r="U288" i="5"/>
  <c r="U289" i="5"/>
  <c r="U290" i="5"/>
  <c r="U291" i="5"/>
  <c r="U292" i="5"/>
  <c r="U293" i="5"/>
  <c r="U294" i="5"/>
  <c r="U295" i="5"/>
  <c r="U296" i="5"/>
  <c r="U297" i="5"/>
  <c r="U298" i="5"/>
  <c r="U299" i="5"/>
  <c r="U300" i="5"/>
  <c r="U301" i="5"/>
  <c r="U302" i="5"/>
  <c r="U303" i="5"/>
  <c r="U304" i="5"/>
  <c r="U305" i="5"/>
  <c r="U306" i="5"/>
  <c r="U307" i="5"/>
  <c r="U308" i="5"/>
  <c r="U309" i="5"/>
  <c r="U310" i="5"/>
  <c r="U311" i="5"/>
  <c r="U312" i="5"/>
  <c r="U313" i="5"/>
  <c r="U314" i="5"/>
  <c r="U315" i="5"/>
  <c r="U316" i="5"/>
  <c r="U317" i="5"/>
  <c r="U318" i="5"/>
  <c r="U319" i="5"/>
  <c r="U320" i="5"/>
  <c r="U321" i="5"/>
  <c r="U322" i="5"/>
  <c r="U323" i="5"/>
  <c r="U324" i="5"/>
  <c r="U325" i="5"/>
  <c r="U326" i="5"/>
  <c r="U327" i="5"/>
  <c r="U328" i="5"/>
  <c r="U329" i="5"/>
  <c r="T231" i="5"/>
  <c r="T232" i="5"/>
  <c r="T233" i="5"/>
  <c r="T234" i="5"/>
  <c r="T235" i="5"/>
  <c r="T236" i="5"/>
  <c r="T237" i="5"/>
  <c r="T238" i="5"/>
  <c r="T239" i="5"/>
  <c r="T240" i="5"/>
  <c r="T241" i="5"/>
  <c r="T242" i="5"/>
  <c r="T243" i="5"/>
  <c r="T244" i="5"/>
  <c r="T245" i="5"/>
  <c r="T246" i="5"/>
  <c r="T247" i="5"/>
  <c r="T248" i="5"/>
  <c r="T249" i="5"/>
  <c r="T250" i="5"/>
  <c r="T251" i="5"/>
  <c r="T252" i="5"/>
  <c r="T253" i="5"/>
  <c r="T254" i="5"/>
  <c r="T255" i="5"/>
  <c r="T256" i="5"/>
  <c r="T257" i="5"/>
  <c r="T258" i="5"/>
  <c r="T259" i="5"/>
  <c r="T260" i="5"/>
  <c r="T261" i="5"/>
  <c r="T262" i="5"/>
  <c r="T263" i="5"/>
  <c r="T264" i="5"/>
  <c r="T265" i="5"/>
  <c r="T266" i="5"/>
  <c r="T267" i="5"/>
  <c r="T268" i="5"/>
  <c r="T269" i="5"/>
  <c r="T270" i="5"/>
  <c r="T271" i="5"/>
  <c r="T272" i="5"/>
  <c r="T273" i="5"/>
  <c r="T274" i="5"/>
  <c r="T275" i="5"/>
  <c r="T276" i="5"/>
  <c r="T277" i="5"/>
  <c r="T278" i="5"/>
  <c r="T279" i="5"/>
  <c r="T280" i="5"/>
  <c r="T281" i="5"/>
  <c r="T282" i="5"/>
  <c r="T283" i="5"/>
  <c r="T284" i="5"/>
  <c r="T285" i="5"/>
  <c r="T286" i="5"/>
  <c r="T287" i="5"/>
  <c r="T288" i="5"/>
  <c r="T289" i="5"/>
  <c r="T290" i="5"/>
  <c r="T291" i="5"/>
  <c r="T292" i="5"/>
  <c r="T293" i="5"/>
  <c r="T294" i="5"/>
  <c r="T295" i="5"/>
  <c r="T296" i="5"/>
  <c r="T297" i="5"/>
  <c r="T298" i="5"/>
  <c r="T299" i="5"/>
  <c r="T300" i="5"/>
  <c r="T301" i="5"/>
  <c r="T302" i="5"/>
  <c r="T303" i="5"/>
  <c r="T304" i="5"/>
  <c r="T305" i="5"/>
  <c r="T306" i="5"/>
  <c r="T307" i="5"/>
  <c r="T308" i="5"/>
  <c r="T309" i="5"/>
  <c r="T310" i="5"/>
  <c r="T311" i="5"/>
  <c r="T312" i="5"/>
  <c r="T313" i="5"/>
  <c r="T314" i="5"/>
  <c r="T315" i="5"/>
  <c r="T316" i="5"/>
  <c r="T317" i="5"/>
  <c r="T318" i="5"/>
  <c r="T319" i="5"/>
  <c r="T320" i="5"/>
  <c r="T321" i="5"/>
  <c r="T322" i="5"/>
  <c r="T323" i="5"/>
  <c r="T324" i="5"/>
  <c r="T325" i="5"/>
  <c r="T326" i="5"/>
  <c r="T327" i="5"/>
  <c r="T328" i="5"/>
  <c r="T329" i="5"/>
  <c r="Q231" i="5"/>
  <c r="Q232" i="5"/>
  <c r="Q233" i="5"/>
  <c r="Q234" i="5"/>
  <c r="Q235" i="5"/>
  <c r="Q236" i="5"/>
  <c r="Q237" i="5"/>
  <c r="Q238" i="5"/>
  <c r="Q239" i="5"/>
  <c r="Q240" i="5"/>
  <c r="Q241" i="5"/>
  <c r="Q242" i="5"/>
  <c r="Q243" i="5"/>
  <c r="Q244" i="5"/>
  <c r="Q245" i="5"/>
  <c r="Q246" i="5"/>
  <c r="Q247" i="5"/>
  <c r="Q248" i="5"/>
  <c r="Q249" i="5"/>
  <c r="Q250" i="5"/>
  <c r="Q251" i="5"/>
  <c r="Q252" i="5"/>
  <c r="Q253" i="5"/>
  <c r="Q254" i="5"/>
  <c r="Q255" i="5"/>
  <c r="Q256" i="5"/>
  <c r="Q257" i="5"/>
  <c r="Q258" i="5"/>
  <c r="Q259" i="5"/>
  <c r="Q260" i="5"/>
  <c r="Q261" i="5"/>
  <c r="Q262" i="5"/>
  <c r="Q263" i="5"/>
  <c r="Q264" i="5"/>
  <c r="Q265" i="5"/>
  <c r="Q266" i="5"/>
  <c r="Q267" i="5"/>
  <c r="Q268" i="5"/>
  <c r="Q269" i="5"/>
  <c r="Q270" i="5"/>
  <c r="Q271" i="5"/>
  <c r="Q272" i="5"/>
  <c r="Q273" i="5"/>
  <c r="Q274" i="5"/>
  <c r="Q275" i="5"/>
  <c r="Q276" i="5"/>
  <c r="Q277" i="5"/>
  <c r="Q278" i="5"/>
  <c r="Q279" i="5"/>
  <c r="Q280" i="5"/>
  <c r="Q281" i="5"/>
  <c r="Q282" i="5"/>
  <c r="Q283" i="5"/>
  <c r="Q284" i="5"/>
  <c r="Q285" i="5"/>
  <c r="Q286" i="5"/>
  <c r="Q287" i="5"/>
  <c r="Q288" i="5"/>
  <c r="Q289" i="5"/>
  <c r="Q290" i="5"/>
  <c r="Q291" i="5"/>
  <c r="Q292" i="5"/>
  <c r="Q293" i="5"/>
  <c r="Q294" i="5"/>
  <c r="Q295" i="5"/>
  <c r="Q296" i="5"/>
  <c r="Q297" i="5"/>
  <c r="Q298" i="5"/>
  <c r="Q299" i="5"/>
  <c r="Q300" i="5"/>
  <c r="Q301" i="5"/>
  <c r="Q302" i="5"/>
  <c r="Q303" i="5"/>
  <c r="Q304" i="5"/>
  <c r="Q305" i="5"/>
  <c r="Q306" i="5"/>
  <c r="Q307" i="5"/>
  <c r="Q308" i="5"/>
  <c r="Q309" i="5"/>
  <c r="Q310" i="5"/>
  <c r="Q311" i="5"/>
  <c r="Q312" i="5"/>
  <c r="Q313" i="5"/>
  <c r="Q314" i="5"/>
  <c r="Q315" i="5"/>
  <c r="Q316" i="5"/>
  <c r="Q317" i="5"/>
  <c r="Q318" i="5"/>
  <c r="Q319" i="5"/>
  <c r="Q320" i="5"/>
  <c r="Q321" i="5"/>
  <c r="Q322" i="5"/>
  <c r="Q323" i="5"/>
  <c r="Q324" i="5"/>
  <c r="Q325" i="5"/>
  <c r="Q326" i="5"/>
  <c r="Q327" i="5"/>
  <c r="Q328" i="5"/>
  <c r="Q329" i="5"/>
  <c r="K229" i="5"/>
  <c r="K230" i="5"/>
  <c r="K231" i="5"/>
  <c r="K232" i="5"/>
  <c r="K233" i="5"/>
  <c r="K234" i="5"/>
  <c r="K235" i="5"/>
  <c r="K236" i="5"/>
  <c r="K237" i="5"/>
  <c r="K238" i="5"/>
  <c r="K239" i="5"/>
  <c r="K240" i="5"/>
  <c r="K241" i="5"/>
  <c r="K242" i="5"/>
  <c r="K243" i="5"/>
  <c r="K244" i="5"/>
  <c r="K245" i="5"/>
  <c r="K246" i="5"/>
  <c r="K247" i="5"/>
  <c r="K248" i="5"/>
  <c r="K249" i="5"/>
  <c r="K250" i="5"/>
  <c r="K251" i="5"/>
  <c r="K252" i="5"/>
  <c r="K253" i="5"/>
  <c r="K254" i="5"/>
  <c r="K255" i="5"/>
  <c r="K256" i="5"/>
  <c r="K257" i="5"/>
  <c r="K258" i="5"/>
  <c r="K259" i="5"/>
  <c r="K260" i="5"/>
  <c r="K261" i="5"/>
  <c r="K262" i="5"/>
  <c r="K263" i="5"/>
  <c r="K264" i="5"/>
  <c r="K265" i="5"/>
  <c r="K266" i="5"/>
  <c r="K267" i="5"/>
  <c r="K268" i="5"/>
  <c r="K269" i="5"/>
  <c r="K270" i="5"/>
  <c r="K271" i="5"/>
  <c r="K272" i="5"/>
  <c r="K273" i="5"/>
  <c r="K274" i="5"/>
  <c r="K275" i="5"/>
  <c r="K276" i="5"/>
  <c r="K277" i="5"/>
  <c r="K278" i="5"/>
  <c r="K279" i="5"/>
  <c r="K280" i="5"/>
  <c r="K281" i="5"/>
  <c r="K282" i="5"/>
  <c r="K283" i="5"/>
  <c r="K284" i="5"/>
  <c r="K285" i="5"/>
  <c r="K286" i="5"/>
  <c r="K287" i="5"/>
  <c r="K288" i="5"/>
  <c r="K289" i="5"/>
  <c r="K290" i="5"/>
  <c r="K291" i="5"/>
  <c r="K292" i="5"/>
  <c r="K293" i="5"/>
  <c r="K294" i="5"/>
  <c r="K295" i="5"/>
  <c r="K296" i="5"/>
  <c r="K297" i="5"/>
  <c r="K298" i="5"/>
  <c r="K299" i="5"/>
  <c r="K300" i="5"/>
  <c r="K301" i="5"/>
  <c r="K302" i="5"/>
  <c r="K303" i="5"/>
  <c r="K304" i="5"/>
  <c r="K305" i="5"/>
  <c r="K306" i="5"/>
  <c r="K307" i="5"/>
  <c r="K308" i="5"/>
  <c r="K309" i="5"/>
  <c r="K310" i="5"/>
  <c r="K311" i="5"/>
  <c r="K312" i="5"/>
  <c r="K313" i="5"/>
  <c r="K314" i="5"/>
  <c r="K315" i="5"/>
  <c r="K316" i="5"/>
  <c r="K317" i="5"/>
  <c r="K318" i="5"/>
  <c r="K319" i="5"/>
  <c r="K320" i="5"/>
  <c r="K321" i="5"/>
  <c r="K322" i="5"/>
  <c r="K323" i="5"/>
  <c r="K324" i="5"/>
  <c r="K325" i="5"/>
  <c r="K326" i="5"/>
  <c r="K327" i="5"/>
  <c r="K328" i="5"/>
  <c r="K329" i="5"/>
  <c r="C312" i="5"/>
  <c r="C313" i="5"/>
  <c r="C314" i="5"/>
  <c r="C315" i="5"/>
  <c r="C316" i="5"/>
  <c r="C317" i="5"/>
  <c r="C318" i="5"/>
  <c r="C319" i="5"/>
  <c r="C320" i="5"/>
  <c r="C321" i="5"/>
  <c r="C322" i="5"/>
  <c r="C323" i="5"/>
  <c r="C324" i="5"/>
  <c r="C325" i="5"/>
  <c r="C326" i="5"/>
  <c r="C327" i="5"/>
  <c r="C328" i="5"/>
  <c r="C329" i="5"/>
  <c r="B313" i="5"/>
  <c r="B314" i="5"/>
  <c r="B315" i="5"/>
  <c r="B316" i="5"/>
  <c r="B317" i="5"/>
  <c r="B318" i="5"/>
  <c r="B319" i="5"/>
  <c r="B320" i="5"/>
  <c r="B321" i="5"/>
  <c r="B322" i="5"/>
  <c r="B323" i="5"/>
  <c r="B324" i="5"/>
  <c r="B325" i="5"/>
  <c r="B326" i="5"/>
  <c r="B327" i="5"/>
  <c r="B328" i="5"/>
  <c r="B329" i="5"/>
  <c r="I313" i="5"/>
  <c r="I314" i="5"/>
  <c r="I315" i="5"/>
  <c r="I316" i="5"/>
  <c r="I317" i="5"/>
  <c r="I318" i="5"/>
  <c r="I319" i="5"/>
  <c r="I320" i="5"/>
  <c r="I321" i="5"/>
  <c r="I322" i="5"/>
  <c r="I323" i="5"/>
  <c r="I324" i="5"/>
  <c r="I325" i="5"/>
  <c r="I326" i="5"/>
  <c r="I327" i="5"/>
  <c r="I328" i="5"/>
  <c r="I329" i="5"/>
  <c r="C232" i="5"/>
  <c r="C233" i="5"/>
  <c r="C234" i="5"/>
  <c r="C235" i="5"/>
  <c r="C236" i="5"/>
  <c r="C237" i="5"/>
  <c r="C238" i="5"/>
  <c r="C239" i="5"/>
  <c r="C240" i="5"/>
  <c r="C241" i="5"/>
  <c r="C242" i="5"/>
  <c r="C243" i="5"/>
  <c r="C244" i="5"/>
  <c r="C245" i="5"/>
  <c r="C246" i="5"/>
  <c r="C247" i="5"/>
  <c r="C248" i="5"/>
  <c r="C249" i="5"/>
  <c r="C250" i="5"/>
  <c r="C251" i="5"/>
  <c r="C252" i="5"/>
  <c r="C253" i="5"/>
  <c r="C254" i="5"/>
  <c r="C255" i="5"/>
  <c r="C256" i="5"/>
  <c r="C257" i="5"/>
  <c r="C258" i="5"/>
  <c r="C259" i="5"/>
  <c r="C260" i="5"/>
  <c r="C261" i="5"/>
  <c r="C262" i="5"/>
  <c r="C263" i="5"/>
  <c r="C264" i="5"/>
  <c r="C265" i="5"/>
  <c r="C266" i="5"/>
  <c r="C267" i="5"/>
  <c r="C268" i="5"/>
  <c r="C269" i="5"/>
  <c r="C270" i="5"/>
  <c r="C271" i="5"/>
  <c r="C272" i="5"/>
  <c r="C273" i="5"/>
  <c r="C274" i="5"/>
  <c r="C275" i="5"/>
  <c r="C276" i="5"/>
  <c r="C277" i="5"/>
  <c r="C278" i="5"/>
  <c r="C279" i="5"/>
  <c r="C280" i="5"/>
  <c r="C281" i="5"/>
  <c r="C282" i="5"/>
  <c r="C283" i="5"/>
  <c r="C284" i="5"/>
  <c r="C285" i="5"/>
  <c r="C286" i="5"/>
  <c r="C287" i="5"/>
  <c r="C288" i="5"/>
  <c r="C289" i="5"/>
  <c r="C290" i="5"/>
  <c r="C291" i="5"/>
  <c r="C292" i="5"/>
  <c r="C293" i="5"/>
  <c r="C294" i="5"/>
  <c r="C295" i="5"/>
  <c r="C296" i="5"/>
  <c r="C297" i="5"/>
  <c r="C298" i="5"/>
  <c r="C299" i="5"/>
  <c r="C300" i="5"/>
  <c r="C301" i="5"/>
  <c r="C302" i="5"/>
  <c r="C303" i="5"/>
  <c r="C304" i="5"/>
  <c r="C305" i="5"/>
  <c r="C306" i="5"/>
  <c r="C307" i="5"/>
  <c r="C308" i="5"/>
  <c r="C309" i="5"/>
  <c r="C310" i="5"/>
  <c r="C311" i="5"/>
  <c r="B233" i="5"/>
  <c r="B234" i="5"/>
  <c r="B235" i="5"/>
  <c r="B236" i="5"/>
  <c r="B237" i="5"/>
  <c r="B238" i="5"/>
  <c r="B239" i="5"/>
  <c r="B240" i="5"/>
  <c r="B241" i="5"/>
  <c r="B242" i="5"/>
  <c r="B243" i="5"/>
  <c r="B244" i="5"/>
  <c r="B245" i="5"/>
  <c r="B246" i="5"/>
  <c r="B247" i="5"/>
  <c r="B248" i="5"/>
  <c r="B249" i="5"/>
  <c r="B250" i="5"/>
  <c r="B251" i="5"/>
  <c r="B252" i="5"/>
  <c r="B253" i="5"/>
  <c r="B254" i="5"/>
  <c r="B255" i="5"/>
  <c r="B256" i="5"/>
  <c r="B257" i="5"/>
  <c r="B258" i="5"/>
  <c r="B259" i="5"/>
  <c r="B260" i="5"/>
  <c r="B261" i="5"/>
  <c r="B262" i="5"/>
  <c r="B263" i="5"/>
  <c r="B264" i="5"/>
  <c r="B265" i="5"/>
  <c r="B266" i="5"/>
  <c r="B267" i="5"/>
  <c r="B268" i="5"/>
  <c r="B269" i="5"/>
  <c r="B270" i="5"/>
  <c r="B271" i="5"/>
  <c r="B272" i="5"/>
  <c r="B273" i="5"/>
  <c r="B274" i="5"/>
  <c r="B275" i="5"/>
  <c r="B276" i="5"/>
  <c r="B277" i="5"/>
  <c r="B278" i="5"/>
  <c r="B279" i="5"/>
  <c r="B280" i="5"/>
  <c r="B281" i="5"/>
  <c r="B282" i="5"/>
  <c r="B283" i="5"/>
  <c r="B284" i="5"/>
  <c r="B285" i="5"/>
  <c r="B286" i="5"/>
  <c r="B287" i="5"/>
  <c r="B288" i="5"/>
  <c r="B289" i="5"/>
  <c r="B290" i="5"/>
  <c r="B291" i="5"/>
  <c r="B292" i="5"/>
  <c r="B293" i="5"/>
  <c r="B294" i="5"/>
  <c r="B295" i="5"/>
  <c r="B296" i="5"/>
  <c r="B297" i="5"/>
  <c r="B298" i="5"/>
  <c r="B299" i="5"/>
  <c r="B300" i="5"/>
  <c r="B301" i="5"/>
  <c r="B302" i="5"/>
  <c r="B303" i="5"/>
  <c r="B304" i="5"/>
  <c r="B305" i="5"/>
  <c r="B306" i="5"/>
  <c r="B307" i="5"/>
  <c r="B308" i="5"/>
  <c r="B309" i="5"/>
  <c r="B310" i="5"/>
  <c r="B311" i="5"/>
  <c r="B312" i="5"/>
  <c r="I233" i="5"/>
  <c r="I234" i="5"/>
  <c r="I235" i="5"/>
  <c r="I236" i="5"/>
  <c r="I237" i="5"/>
  <c r="I238" i="5"/>
  <c r="I239" i="5"/>
  <c r="I240" i="5"/>
  <c r="I241" i="5"/>
  <c r="I242" i="5"/>
  <c r="I243" i="5"/>
  <c r="I244" i="5"/>
  <c r="I245" i="5"/>
  <c r="I246" i="5"/>
  <c r="I247" i="5"/>
  <c r="I248" i="5"/>
  <c r="I249" i="5"/>
  <c r="I250" i="5"/>
  <c r="I251" i="5"/>
  <c r="I252" i="5"/>
  <c r="I253" i="5"/>
  <c r="I254" i="5"/>
  <c r="I255" i="5"/>
  <c r="I256" i="5"/>
  <c r="I257" i="5"/>
  <c r="I258" i="5"/>
  <c r="I259" i="5"/>
  <c r="I260" i="5"/>
  <c r="I261" i="5"/>
  <c r="I262" i="5"/>
  <c r="I263" i="5"/>
  <c r="I264" i="5"/>
  <c r="I265" i="5"/>
  <c r="I266" i="5"/>
  <c r="I267" i="5"/>
  <c r="I268" i="5"/>
  <c r="I269" i="5"/>
  <c r="I270" i="5"/>
  <c r="I271" i="5"/>
  <c r="I272" i="5"/>
  <c r="U228" i="5"/>
  <c r="U229" i="5"/>
  <c r="U230" i="5"/>
  <c r="T228" i="5"/>
  <c r="T229" i="5"/>
  <c r="T230" i="5"/>
  <c r="Q228" i="5"/>
  <c r="Q229" i="5"/>
  <c r="Q230" i="5"/>
  <c r="K228" i="5"/>
  <c r="C227" i="5"/>
  <c r="C228" i="5"/>
  <c r="C229" i="5"/>
  <c r="C230" i="5"/>
  <c r="C231" i="5"/>
  <c r="B228" i="5"/>
  <c r="B229" i="5"/>
  <c r="B230" i="5"/>
  <c r="B231" i="5"/>
  <c r="B232" i="5"/>
  <c r="I228" i="5"/>
  <c r="I229" i="5"/>
  <c r="I230" i="5"/>
  <c r="I231" i="5"/>
  <c r="I232" i="5"/>
  <c r="I273" i="5"/>
  <c r="I274" i="5"/>
  <c r="I275" i="5"/>
  <c r="I276" i="5"/>
  <c r="I277" i="5"/>
  <c r="I278" i="5"/>
  <c r="I279" i="5"/>
  <c r="I280" i="5"/>
  <c r="I281" i="5"/>
  <c r="I282" i="5"/>
  <c r="I283" i="5"/>
  <c r="I284" i="5"/>
  <c r="I285" i="5"/>
  <c r="I286" i="5"/>
  <c r="I287" i="5"/>
  <c r="I288" i="5"/>
  <c r="I289" i="5"/>
  <c r="D293" i="30"/>
  <c r="L293" i="30" s="1"/>
  <c r="D294" i="30"/>
  <c r="L294" i="30" s="1"/>
  <c r="D295" i="30"/>
  <c r="L295" i="30" s="1"/>
  <c r="H293" i="30"/>
  <c r="H294" i="30"/>
  <c r="H295" i="30"/>
  <c r="M293" i="30" a="1"/>
  <c r="M293" i="30" s="1"/>
  <c r="M294" i="30" a="1"/>
  <c r="M294" i="30" s="1"/>
  <c r="M295" i="30" a="1"/>
  <c r="M295" i="30" s="1"/>
  <c r="D285" i="30"/>
  <c r="K285" i="30" s="1" a="1"/>
  <c r="K285" i="30" s="1"/>
  <c r="T1054" i="25" s="1"/>
  <c r="D286" i="30"/>
  <c r="K286" i="30" s="1" a="1"/>
  <c r="K286" i="30" s="1"/>
  <c r="T1055" i="25" s="1"/>
  <c r="D287" i="30"/>
  <c r="J1056" i="25" s="1"/>
  <c r="D288" i="30"/>
  <c r="D289" i="30"/>
  <c r="K289" i="30" s="1" a="1"/>
  <c r="K289" i="30" s="1"/>
  <c r="T1058" i="25" s="1"/>
  <c r="D290" i="30"/>
  <c r="K290" i="30" s="1" a="1"/>
  <c r="K290" i="30" s="1"/>
  <c r="T1059" i="25" s="1"/>
  <c r="H285" i="30"/>
  <c r="H286" i="30"/>
  <c r="H287" i="30"/>
  <c r="H288" i="30"/>
  <c r="H289" i="30"/>
  <c r="H290" i="30"/>
  <c r="M285" i="30" a="1"/>
  <c r="M285" i="30" s="1"/>
  <c r="V1054" i="25" s="1"/>
  <c r="AI1054" i="25" s="1"/>
  <c r="M286" i="30" a="1"/>
  <c r="M286" i="30" s="1"/>
  <c r="V1055" i="25" s="1"/>
  <c r="AI1055" i="25" s="1"/>
  <c r="M287" i="30" a="1"/>
  <c r="M287" i="30" s="1"/>
  <c r="V1056" i="25" s="1"/>
  <c r="AI1056" i="25" s="1"/>
  <c r="M288" i="30" a="1"/>
  <c r="M288" i="30" s="1"/>
  <c r="V1057" i="25" s="1"/>
  <c r="AI1057" i="25" s="1"/>
  <c r="M289" i="30" a="1"/>
  <c r="M289" i="30" s="1"/>
  <c r="V1058" i="25" s="1"/>
  <c r="M290" i="30" a="1"/>
  <c r="M290" i="30" s="1"/>
  <c r="V1059" i="25" s="1"/>
  <c r="D10" i="30"/>
  <c r="L10" i="30" s="1"/>
  <c r="D11" i="30"/>
  <c r="L11" i="30" s="1"/>
  <c r="D12" i="30"/>
  <c r="L12" i="30" s="1"/>
  <c r="D13" i="30"/>
  <c r="D14" i="30"/>
  <c r="L14" i="30" s="1"/>
  <c r="D15" i="30"/>
  <c r="K15" i="30" s="1" a="1"/>
  <c r="K15" i="30" s="1"/>
  <c r="D16" i="30"/>
  <c r="L16" i="30" s="1"/>
  <c r="D17" i="30"/>
  <c r="K17" i="30" s="1" a="1"/>
  <c r="K17" i="30" s="1"/>
  <c r="D18" i="30"/>
  <c r="L18" i="30" s="1"/>
  <c r="D19" i="30"/>
  <c r="D20" i="30"/>
  <c r="L20" i="30" s="1"/>
  <c r="D21" i="30"/>
  <c r="D22" i="30"/>
  <c r="L22" i="30" s="1"/>
  <c r="D23" i="30"/>
  <c r="K23" i="30" s="1" a="1"/>
  <c r="K23" i="30" s="1"/>
  <c r="D24" i="30"/>
  <c r="L24" i="30" s="1"/>
  <c r="D25" i="30"/>
  <c r="K25" i="30" s="1" a="1"/>
  <c r="K25" i="30" s="1"/>
  <c r="D26" i="30"/>
  <c r="L26" i="30" s="1"/>
  <c r="D27" i="30"/>
  <c r="L27" i="30" s="1"/>
  <c r="D28" i="30"/>
  <c r="K28" i="30" s="1" a="1"/>
  <c r="K28" i="30" s="1"/>
  <c r="D29" i="30"/>
  <c r="D30" i="30"/>
  <c r="K30" i="30" s="1" a="1"/>
  <c r="K30" i="30" s="1"/>
  <c r="D31" i="30"/>
  <c r="K31" i="30" s="1" a="1"/>
  <c r="K31" i="30" s="1"/>
  <c r="D32" i="30"/>
  <c r="L32" i="30" s="1"/>
  <c r="D33" i="30"/>
  <c r="K33" i="30" s="1" a="1"/>
  <c r="K33" i="30" s="1"/>
  <c r="D34" i="30"/>
  <c r="K34" i="30" s="1" a="1"/>
  <c r="K34" i="30" s="1"/>
  <c r="D35" i="30"/>
  <c r="D36" i="30"/>
  <c r="K36" i="30" s="1" a="1"/>
  <c r="K36" i="30" s="1"/>
  <c r="D37" i="30"/>
  <c r="D38" i="30"/>
  <c r="L38" i="30" s="1"/>
  <c r="D39" i="30"/>
  <c r="K39" i="30" s="1" a="1"/>
  <c r="K39" i="30" s="1"/>
  <c r="D40" i="30"/>
  <c r="L40" i="30" s="1"/>
  <c r="D41" i="30"/>
  <c r="K41" i="30" s="1" a="1"/>
  <c r="K41" i="30" s="1"/>
  <c r="D42" i="30"/>
  <c r="K42" i="30" s="1" a="1"/>
  <c r="K42" i="30" s="1"/>
  <c r="D43" i="30"/>
  <c r="D44" i="30"/>
  <c r="K44" i="30" s="1" a="1"/>
  <c r="K44" i="30" s="1"/>
  <c r="D45" i="30"/>
  <c r="L45" i="30" s="1"/>
  <c r="D46" i="30"/>
  <c r="L46" i="30" s="1"/>
  <c r="D47" i="30"/>
  <c r="K47" i="30" s="1" a="1"/>
  <c r="K47" i="30" s="1"/>
  <c r="D48" i="30"/>
  <c r="K48" i="30" s="1" a="1"/>
  <c r="K48" i="30" s="1"/>
  <c r="D49" i="30"/>
  <c r="K49" i="30" s="1" a="1"/>
  <c r="K49" i="30" s="1"/>
  <c r="D50" i="30"/>
  <c r="K50" i="30" s="1" a="1"/>
  <c r="K50" i="30" s="1"/>
  <c r="D51" i="30"/>
  <c r="D52" i="30"/>
  <c r="K52" i="30" s="1" a="1"/>
  <c r="K52" i="30" s="1"/>
  <c r="D53" i="30"/>
  <c r="L53" i="30" s="1"/>
  <c r="D54" i="30"/>
  <c r="L54" i="30" s="1"/>
  <c r="D55" i="30"/>
  <c r="K55" i="30" s="1" a="1"/>
  <c r="K55" i="30" s="1"/>
  <c r="D56" i="30"/>
  <c r="L56" i="30" s="1"/>
  <c r="D57" i="30"/>
  <c r="K57" i="30" s="1" a="1"/>
  <c r="K57" i="30" s="1"/>
  <c r="D58" i="30"/>
  <c r="K58" i="30" s="1" a="1"/>
  <c r="K58" i="30" s="1"/>
  <c r="D59" i="30"/>
  <c r="L59" i="30" s="1"/>
  <c r="D60" i="30"/>
  <c r="L60" i="30" s="1"/>
  <c r="D61" i="30"/>
  <c r="D62" i="30"/>
  <c r="K62" i="30" s="1" a="1"/>
  <c r="K62" i="30" s="1"/>
  <c r="D63" i="30"/>
  <c r="K63" i="30" s="1" a="1"/>
  <c r="K63" i="30" s="1"/>
  <c r="D64" i="30"/>
  <c r="L64" i="30" s="1"/>
  <c r="D65" i="30"/>
  <c r="K65" i="30" s="1" a="1"/>
  <c r="K65" i="30" s="1"/>
  <c r="D66" i="30"/>
  <c r="K66" i="30" s="1" a="1"/>
  <c r="K66" i="30" s="1"/>
  <c r="D67" i="30"/>
  <c r="L67" i="30" s="1"/>
  <c r="D68" i="30"/>
  <c r="K68" i="30" s="1" a="1"/>
  <c r="K68" i="30" s="1"/>
  <c r="D69" i="30"/>
  <c r="D70" i="30"/>
  <c r="L70" i="30" s="1"/>
  <c r="D71" i="30"/>
  <c r="K71" i="30" s="1" a="1"/>
  <c r="K71" i="30" s="1"/>
  <c r="D72" i="30"/>
  <c r="K72" i="30" s="1" a="1"/>
  <c r="K72" i="30" s="1"/>
  <c r="D73" i="30"/>
  <c r="K73" i="30" s="1" a="1"/>
  <c r="K73" i="30" s="1"/>
  <c r="H10" i="30"/>
  <c r="H11" i="30"/>
  <c r="H12" i="30"/>
  <c r="H13" i="30"/>
  <c r="H14" i="30"/>
  <c r="H15" i="30"/>
  <c r="H16" i="30"/>
  <c r="H17" i="30"/>
  <c r="H18" i="30"/>
  <c r="H19" i="30"/>
  <c r="H20" i="30"/>
  <c r="H21" i="30"/>
  <c r="H22" i="30"/>
  <c r="H23" i="30"/>
  <c r="H24" i="30"/>
  <c r="H25" i="30"/>
  <c r="H26" i="30"/>
  <c r="H27" i="30"/>
  <c r="H28" i="30"/>
  <c r="H29" i="30"/>
  <c r="H30" i="30"/>
  <c r="H31" i="30"/>
  <c r="H32" i="30"/>
  <c r="H33" i="30"/>
  <c r="H34" i="30"/>
  <c r="H35" i="30"/>
  <c r="H36" i="30"/>
  <c r="H37" i="30"/>
  <c r="H38" i="30"/>
  <c r="H39" i="30"/>
  <c r="H40" i="30"/>
  <c r="H41" i="30"/>
  <c r="H42" i="30"/>
  <c r="H43" i="30"/>
  <c r="H44" i="30"/>
  <c r="H45" i="30"/>
  <c r="H46" i="30"/>
  <c r="H47" i="30"/>
  <c r="H48" i="30"/>
  <c r="H49" i="30"/>
  <c r="H50" i="30"/>
  <c r="H51" i="30"/>
  <c r="H52" i="30"/>
  <c r="H53" i="30"/>
  <c r="H54" i="30"/>
  <c r="H55" i="30"/>
  <c r="H56" i="30"/>
  <c r="H57" i="30"/>
  <c r="H58" i="30"/>
  <c r="H59" i="30"/>
  <c r="H60" i="30"/>
  <c r="H61" i="30"/>
  <c r="H62" i="30"/>
  <c r="H63" i="30"/>
  <c r="H64" i="30"/>
  <c r="H65" i="30"/>
  <c r="H66" i="30"/>
  <c r="H67" i="30"/>
  <c r="H68" i="30"/>
  <c r="H69" i="30"/>
  <c r="H70" i="30"/>
  <c r="H71" i="30"/>
  <c r="H72" i="30"/>
  <c r="H73" i="30"/>
  <c r="K10" i="30" a="1"/>
  <c r="K10" i="30" s="1"/>
  <c r="K11" i="30" a="1"/>
  <c r="K11" i="30" s="1"/>
  <c r="M10" i="30" a="1"/>
  <c r="M10" i="30" s="1"/>
  <c r="M11" i="30" a="1"/>
  <c r="M11" i="30" s="1"/>
  <c r="M12" i="30" a="1"/>
  <c r="M12" i="30" s="1"/>
  <c r="M13" i="30" a="1"/>
  <c r="M13" i="30" s="1"/>
  <c r="M14" i="30" a="1"/>
  <c r="M14" i="30" s="1"/>
  <c r="M15" i="30" a="1"/>
  <c r="M15" i="30" s="1"/>
  <c r="M16" i="30" a="1"/>
  <c r="M16" i="30" s="1"/>
  <c r="M17" i="30" a="1"/>
  <c r="M17" i="30" s="1"/>
  <c r="M18" i="30" a="1"/>
  <c r="M18" i="30" s="1"/>
  <c r="M19" i="30" a="1"/>
  <c r="M19" i="30" s="1"/>
  <c r="M20" i="30" a="1"/>
  <c r="M20" i="30" s="1"/>
  <c r="M21" i="30" a="1"/>
  <c r="M21" i="30" s="1"/>
  <c r="M22" i="30" a="1"/>
  <c r="M22" i="30" s="1"/>
  <c r="M23" i="30" a="1"/>
  <c r="M23" i="30" s="1"/>
  <c r="M24" i="30" a="1"/>
  <c r="M24" i="30" s="1"/>
  <c r="M25" i="30" a="1"/>
  <c r="M25" i="30" s="1"/>
  <c r="M26" i="30" a="1"/>
  <c r="M26" i="30" s="1"/>
  <c r="M27" i="30" a="1"/>
  <c r="M27" i="30" s="1"/>
  <c r="M28" i="30" a="1"/>
  <c r="M28" i="30" s="1"/>
  <c r="M29" i="30" a="1"/>
  <c r="M29" i="30" s="1"/>
  <c r="M30" i="30" a="1"/>
  <c r="M30" i="30" s="1"/>
  <c r="M31" i="30" a="1"/>
  <c r="M31" i="30" s="1"/>
  <c r="M32" i="30" a="1"/>
  <c r="M32" i="30" s="1"/>
  <c r="M33" i="30" a="1"/>
  <c r="M33" i="30" s="1"/>
  <c r="M34" i="30" a="1"/>
  <c r="M34" i="30" s="1"/>
  <c r="M35" i="30" a="1"/>
  <c r="M35" i="30" s="1"/>
  <c r="M36" i="30" a="1"/>
  <c r="M36" i="30" s="1"/>
  <c r="M37" i="30" a="1"/>
  <c r="M37" i="30" s="1"/>
  <c r="M38" i="30" a="1"/>
  <c r="M38" i="30" s="1"/>
  <c r="M39" i="30" a="1"/>
  <c r="M39" i="30" s="1"/>
  <c r="M40" i="30" a="1"/>
  <c r="M40" i="30" s="1"/>
  <c r="M41" i="30" a="1"/>
  <c r="M41" i="30" s="1"/>
  <c r="M42" i="30" a="1"/>
  <c r="M42" i="30" s="1"/>
  <c r="M43" i="30" a="1"/>
  <c r="M43" i="30" s="1"/>
  <c r="M44" i="30" a="1"/>
  <c r="M44" i="30" s="1"/>
  <c r="M45" i="30" a="1"/>
  <c r="M45" i="30" s="1"/>
  <c r="M46" i="30" a="1"/>
  <c r="M46" i="30" s="1"/>
  <c r="M47" i="30" a="1"/>
  <c r="M47" i="30" s="1"/>
  <c r="M48" i="30" a="1"/>
  <c r="M48" i="30" s="1"/>
  <c r="M49" i="30" a="1"/>
  <c r="M49" i="30" s="1"/>
  <c r="M50" i="30" a="1"/>
  <c r="M50" i="30" s="1"/>
  <c r="M51" i="30" a="1"/>
  <c r="M51" i="30" s="1"/>
  <c r="M52" i="30" a="1"/>
  <c r="M52" i="30" s="1"/>
  <c r="M53" i="30" a="1"/>
  <c r="M53" i="30" s="1"/>
  <c r="M54" i="30" a="1"/>
  <c r="M54" i="30" s="1"/>
  <c r="M55" i="30" a="1"/>
  <c r="M55" i="30" s="1"/>
  <c r="M56" i="30" a="1"/>
  <c r="M56" i="30" s="1"/>
  <c r="M57" i="30" a="1"/>
  <c r="M57" i="30" s="1"/>
  <c r="M58" i="30" a="1"/>
  <c r="M58" i="30" s="1"/>
  <c r="M59" i="30" a="1"/>
  <c r="M59" i="30" s="1"/>
  <c r="M60" i="30" a="1"/>
  <c r="M60" i="30" s="1"/>
  <c r="M61" i="30" a="1"/>
  <c r="M61" i="30" s="1"/>
  <c r="M62" i="30" a="1"/>
  <c r="M62" i="30" s="1"/>
  <c r="M63" i="30" a="1"/>
  <c r="M63" i="30" s="1"/>
  <c r="M64" i="30" a="1"/>
  <c r="M64" i="30" s="1"/>
  <c r="M65" i="30" a="1"/>
  <c r="M65" i="30" s="1"/>
  <c r="M66" i="30" a="1"/>
  <c r="M66" i="30" s="1"/>
  <c r="M67" i="30" a="1"/>
  <c r="M67" i="30" s="1"/>
  <c r="M68" i="30" a="1"/>
  <c r="M68" i="30" s="1"/>
  <c r="M69" i="30" a="1"/>
  <c r="M69" i="30" s="1"/>
  <c r="M70" i="30" a="1"/>
  <c r="M70" i="30" s="1"/>
  <c r="M71" i="30" a="1"/>
  <c r="M71" i="30" s="1"/>
  <c r="M72" i="30" a="1"/>
  <c r="M72" i="30" s="1"/>
  <c r="M73" i="30" a="1"/>
  <c r="M73" i="30" s="1"/>
  <c r="D74" i="30"/>
  <c r="D75" i="30"/>
  <c r="K75" i="30" s="1" a="1"/>
  <c r="K75" i="30" s="1"/>
  <c r="D76" i="30"/>
  <c r="L76" i="30" s="1"/>
  <c r="D77" i="30"/>
  <c r="L77" i="30" s="1"/>
  <c r="D78" i="30"/>
  <c r="K78" i="30" s="1" a="1"/>
  <c r="K78" i="30" s="1"/>
  <c r="D79" i="30"/>
  <c r="K79" i="30" s="1" a="1"/>
  <c r="K79" i="30" s="1"/>
  <c r="D80" i="30"/>
  <c r="L80" i="30" s="1"/>
  <c r="D81" i="30"/>
  <c r="K81" i="30" s="1" a="1"/>
  <c r="K81" i="30" s="1"/>
  <c r="D82" i="30"/>
  <c r="K82" i="30" s="1" a="1"/>
  <c r="K82" i="30" s="1"/>
  <c r="D83" i="30"/>
  <c r="L83" i="30" s="1"/>
  <c r="D84" i="30"/>
  <c r="L84" i="30" s="1"/>
  <c r="D85" i="30"/>
  <c r="L85" i="30" s="1"/>
  <c r="D86" i="30"/>
  <c r="L86" i="30" s="1"/>
  <c r="D87" i="30"/>
  <c r="L87" i="30" s="1"/>
  <c r="D88" i="30"/>
  <c r="L88" i="30" s="1"/>
  <c r="D89" i="30"/>
  <c r="D90" i="30"/>
  <c r="D91" i="30"/>
  <c r="L91" i="30" s="1"/>
  <c r="D92" i="30"/>
  <c r="L92" i="30" s="1"/>
  <c r="D93" i="30"/>
  <c r="K93" i="30" s="1" a="1"/>
  <c r="K93" i="30" s="1"/>
  <c r="D94" i="30"/>
  <c r="K94" i="30" s="1" a="1"/>
  <c r="K94" i="30" s="1"/>
  <c r="D95" i="30"/>
  <c r="K95" i="30" s="1" a="1"/>
  <c r="K95" i="30" s="1"/>
  <c r="D96" i="30"/>
  <c r="L96" i="30" s="1"/>
  <c r="D97" i="30"/>
  <c r="D98" i="30"/>
  <c r="K98" i="30" s="1" a="1"/>
  <c r="K98" i="30" s="1"/>
  <c r="D99" i="30"/>
  <c r="D100" i="30"/>
  <c r="L100" i="30" s="1"/>
  <c r="D101" i="30"/>
  <c r="L101" i="30" s="1"/>
  <c r="D102" i="30"/>
  <c r="K102" i="30" s="1" a="1"/>
  <c r="K102" i="30" s="1"/>
  <c r="D103" i="30"/>
  <c r="K103" i="30" s="1" a="1"/>
  <c r="K103" i="30" s="1"/>
  <c r="D104" i="30"/>
  <c r="L104" i="30" s="1"/>
  <c r="D105" i="30"/>
  <c r="K105" i="30" s="1" a="1"/>
  <c r="K105" i="30" s="1"/>
  <c r="D106" i="30"/>
  <c r="D107" i="30"/>
  <c r="L107" i="30" s="1"/>
  <c r="D108" i="30"/>
  <c r="L108" i="30" s="1"/>
  <c r="D109" i="30"/>
  <c r="L109" i="30" s="1"/>
  <c r="D110" i="30"/>
  <c r="K110" i="30" s="1" a="1"/>
  <c r="K110" i="30" s="1"/>
  <c r="D111" i="30"/>
  <c r="K111" i="30" s="1" a="1"/>
  <c r="K111" i="30" s="1"/>
  <c r="D112" i="30"/>
  <c r="L112" i="30" s="1"/>
  <c r="D113" i="30"/>
  <c r="D114" i="30"/>
  <c r="D115" i="30"/>
  <c r="D116" i="30"/>
  <c r="K116" i="30" s="1" a="1"/>
  <c r="K116" i="30" s="1"/>
  <c r="D117" i="30"/>
  <c r="K117" i="30" s="1" a="1"/>
  <c r="K117" i="30" s="1"/>
  <c r="D118" i="30"/>
  <c r="K118" i="30" s="1" a="1"/>
  <c r="K118" i="30" s="1"/>
  <c r="D119" i="30"/>
  <c r="K119" i="30" s="1" a="1"/>
  <c r="K119" i="30" s="1"/>
  <c r="D120" i="30"/>
  <c r="L120" i="30" s="1"/>
  <c r="D121" i="30"/>
  <c r="D122" i="30"/>
  <c r="L122" i="30" s="1"/>
  <c r="D123" i="30"/>
  <c r="L123" i="30" s="1"/>
  <c r="D124" i="30"/>
  <c r="K124" i="30" s="1" a="1"/>
  <c r="K124" i="30" s="1"/>
  <c r="D125" i="30"/>
  <c r="K125" i="30" s="1" a="1"/>
  <c r="K125" i="30" s="1"/>
  <c r="D126" i="30"/>
  <c r="L126" i="30" s="1"/>
  <c r="D127" i="30"/>
  <c r="L127" i="30" s="1"/>
  <c r="D128" i="30"/>
  <c r="L128" i="30" s="1"/>
  <c r="D129" i="30"/>
  <c r="D130" i="30"/>
  <c r="L130" i="30" s="1"/>
  <c r="D131" i="30"/>
  <c r="K131" i="30" s="1" a="1"/>
  <c r="K131" i="30" s="1"/>
  <c r="D132" i="30"/>
  <c r="K132" i="30" s="1" a="1"/>
  <c r="K132" i="30" s="1"/>
  <c r="D133" i="30"/>
  <c r="L133" i="30" s="1"/>
  <c r="D134" i="30"/>
  <c r="L134" i="30" s="1"/>
  <c r="D135" i="30"/>
  <c r="L135" i="30" s="1"/>
  <c r="D136" i="30"/>
  <c r="L136" i="30" s="1"/>
  <c r="D137" i="30"/>
  <c r="K137" i="30" s="1" a="1"/>
  <c r="K137" i="30" s="1"/>
  <c r="D138" i="30"/>
  <c r="D139" i="30"/>
  <c r="K139" i="30" s="1" a="1"/>
  <c r="K139" i="30" s="1"/>
  <c r="D140" i="30"/>
  <c r="K140" i="30" s="1" a="1"/>
  <c r="K140" i="30" s="1"/>
  <c r="D141" i="30"/>
  <c r="L141" i="30" s="1"/>
  <c r="D142" i="30"/>
  <c r="L142" i="30" s="1"/>
  <c r="D143" i="30"/>
  <c r="L143" i="30" s="1"/>
  <c r="D144" i="30"/>
  <c r="L144" i="30" s="1"/>
  <c r="D145" i="30"/>
  <c r="K145" i="30" s="1" a="1"/>
  <c r="K145" i="30" s="1"/>
  <c r="D146" i="30"/>
  <c r="K146" i="30" s="1" a="1"/>
  <c r="K146" i="30" s="1"/>
  <c r="D147" i="30"/>
  <c r="K147" i="30" s="1" a="1"/>
  <c r="K147" i="30" s="1"/>
  <c r="D148" i="30"/>
  <c r="L148" i="30" s="1"/>
  <c r="D149" i="30"/>
  <c r="K149" i="30" s="1" a="1"/>
  <c r="K149" i="30" s="1"/>
  <c r="D150" i="30"/>
  <c r="K150" i="30" s="1" a="1"/>
  <c r="K150" i="30" s="1"/>
  <c r="D151" i="30"/>
  <c r="K151" i="30" s="1" a="1"/>
  <c r="K151" i="30" s="1"/>
  <c r="D152" i="30"/>
  <c r="L152" i="30" s="1"/>
  <c r="D153" i="30"/>
  <c r="D154" i="30"/>
  <c r="D155" i="30"/>
  <c r="L155" i="30" s="1"/>
  <c r="D156" i="30"/>
  <c r="L156" i="30" s="1"/>
  <c r="D157" i="30"/>
  <c r="K157" i="30" s="1" a="1"/>
  <c r="K157" i="30" s="1"/>
  <c r="D158" i="30"/>
  <c r="L158" i="30" s="1"/>
  <c r="D159" i="30"/>
  <c r="K159" i="30" s="1" a="1"/>
  <c r="K159" i="30" s="1"/>
  <c r="D160" i="30"/>
  <c r="L160" i="30" s="1"/>
  <c r="D161" i="30"/>
  <c r="D162" i="30"/>
  <c r="D163" i="30"/>
  <c r="K163" i="30" s="1" a="1"/>
  <c r="K163" i="30" s="1"/>
  <c r="D164" i="30"/>
  <c r="K164" i="30" s="1" a="1"/>
  <c r="K164" i="30" s="1"/>
  <c r="D165" i="30"/>
  <c r="L165" i="30" s="1"/>
  <c r="D166" i="30"/>
  <c r="K166" i="30" s="1" a="1"/>
  <c r="K166" i="30" s="1"/>
  <c r="D167" i="30"/>
  <c r="K167" i="30" s="1" a="1"/>
  <c r="K167" i="30" s="1"/>
  <c r="D168" i="30"/>
  <c r="D169" i="30"/>
  <c r="K169" i="30" s="1" a="1"/>
  <c r="K169" i="30" s="1"/>
  <c r="D170" i="30"/>
  <c r="K170" i="30" s="1" a="1"/>
  <c r="K170" i="30" s="1"/>
  <c r="D171" i="30"/>
  <c r="K171" i="30" s="1" a="1"/>
  <c r="K171" i="30" s="1"/>
  <c r="D172" i="30"/>
  <c r="K172" i="30" s="1" a="1"/>
  <c r="K172" i="30" s="1"/>
  <c r="D173" i="30"/>
  <c r="L173" i="30" s="1"/>
  <c r="D174" i="30"/>
  <c r="K174" i="30" s="1" a="1"/>
  <c r="K174" i="30" s="1"/>
  <c r="D175" i="30"/>
  <c r="L175" i="30" s="1"/>
  <c r="D176" i="30"/>
  <c r="L176" i="30" s="1"/>
  <c r="D177" i="30"/>
  <c r="D178" i="30"/>
  <c r="K178" i="30" s="1" a="1"/>
  <c r="K178" i="30" s="1"/>
  <c r="D179" i="30"/>
  <c r="D180" i="30"/>
  <c r="K180" i="30" s="1" a="1"/>
  <c r="K180" i="30" s="1"/>
  <c r="D181" i="30"/>
  <c r="K181" i="30" s="1" a="1"/>
  <c r="K181" i="30" s="1"/>
  <c r="D182" i="30"/>
  <c r="K182" i="30" s="1" a="1"/>
  <c r="K182" i="30" s="1"/>
  <c r="H74" i="30"/>
  <c r="H75" i="30"/>
  <c r="H76" i="30"/>
  <c r="H77" i="30"/>
  <c r="H78" i="30"/>
  <c r="H79" i="30"/>
  <c r="H80" i="30"/>
  <c r="H81" i="30"/>
  <c r="H82" i="30"/>
  <c r="H83" i="30"/>
  <c r="H84" i="30"/>
  <c r="H85" i="30"/>
  <c r="H86" i="30"/>
  <c r="H87" i="30"/>
  <c r="H88" i="30"/>
  <c r="H89" i="30"/>
  <c r="H90" i="30"/>
  <c r="H91" i="30"/>
  <c r="H92" i="30"/>
  <c r="H93" i="30"/>
  <c r="H94" i="30"/>
  <c r="H95" i="30"/>
  <c r="H96" i="30"/>
  <c r="H97" i="30"/>
  <c r="H98" i="30"/>
  <c r="H99" i="30"/>
  <c r="H100" i="30"/>
  <c r="H101" i="30"/>
  <c r="H102" i="30"/>
  <c r="H103" i="30"/>
  <c r="H104" i="30"/>
  <c r="H105" i="30"/>
  <c r="H106" i="30"/>
  <c r="H107" i="30"/>
  <c r="H108" i="30"/>
  <c r="H109" i="30"/>
  <c r="H110" i="30"/>
  <c r="H111" i="30"/>
  <c r="H112" i="30"/>
  <c r="H113" i="30"/>
  <c r="H114" i="30"/>
  <c r="H115" i="30"/>
  <c r="H116" i="30"/>
  <c r="H117" i="30"/>
  <c r="H118" i="30"/>
  <c r="H119" i="30"/>
  <c r="H120" i="30"/>
  <c r="H121" i="30"/>
  <c r="H122" i="30"/>
  <c r="H123" i="30"/>
  <c r="H124" i="30"/>
  <c r="H125" i="30"/>
  <c r="H126" i="30"/>
  <c r="H127" i="30"/>
  <c r="H128" i="30"/>
  <c r="H129" i="30"/>
  <c r="H130" i="30"/>
  <c r="H131" i="30"/>
  <c r="H132" i="30"/>
  <c r="H133" i="30"/>
  <c r="H134" i="30"/>
  <c r="H135" i="30"/>
  <c r="H136" i="30"/>
  <c r="H137" i="30"/>
  <c r="H138" i="30"/>
  <c r="H139" i="30"/>
  <c r="H140" i="30"/>
  <c r="H141" i="30"/>
  <c r="H142" i="30"/>
  <c r="H143" i="30"/>
  <c r="H144" i="30"/>
  <c r="H145" i="30"/>
  <c r="H146" i="30"/>
  <c r="H147" i="30"/>
  <c r="H148" i="30"/>
  <c r="H149" i="30"/>
  <c r="H150" i="30"/>
  <c r="H151" i="30"/>
  <c r="H152" i="30"/>
  <c r="H153" i="30"/>
  <c r="H154" i="30"/>
  <c r="H155" i="30"/>
  <c r="H156" i="30"/>
  <c r="H157" i="30"/>
  <c r="H158" i="30"/>
  <c r="H159" i="30"/>
  <c r="H160" i="30"/>
  <c r="H161" i="30"/>
  <c r="H162" i="30"/>
  <c r="H163" i="30"/>
  <c r="H164" i="30"/>
  <c r="H165" i="30"/>
  <c r="H166" i="30"/>
  <c r="H167" i="30"/>
  <c r="H168" i="30"/>
  <c r="H169" i="30"/>
  <c r="H170" i="30"/>
  <c r="H171" i="30"/>
  <c r="H172" i="30"/>
  <c r="H173" i="30"/>
  <c r="H174" i="30"/>
  <c r="H175" i="30"/>
  <c r="H176" i="30"/>
  <c r="H177" i="30"/>
  <c r="H178" i="30"/>
  <c r="H179" i="30"/>
  <c r="H180" i="30"/>
  <c r="H181" i="30"/>
  <c r="H182" i="30"/>
  <c r="K76" i="30" a="1"/>
  <c r="K76" i="30" s="1"/>
  <c r="K77" i="30" a="1"/>
  <c r="K77" i="30" s="1"/>
  <c r="M74" i="30" a="1"/>
  <c r="M74" i="30" s="1"/>
  <c r="M75" i="30" a="1"/>
  <c r="M75" i="30" s="1"/>
  <c r="M76" i="30" a="1"/>
  <c r="M76" i="30" s="1"/>
  <c r="M77" i="30" a="1"/>
  <c r="M77" i="30" s="1"/>
  <c r="M78" i="30" a="1"/>
  <c r="M78" i="30" s="1"/>
  <c r="M79" i="30" a="1"/>
  <c r="M79" i="30" s="1"/>
  <c r="M80" i="30" a="1"/>
  <c r="M80" i="30" s="1"/>
  <c r="M81" i="30" a="1"/>
  <c r="M81" i="30" s="1"/>
  <c r="M82" i="30" a="1"/>
  <c r="M82" i="30" s="1"/>
  <c r="M83" i="30" a="1"/>
  <c r="M83" i="30" s="1"/>
  <c r="M84" i="30" a="1"/>
  <c r="M84" i="30" s="1"/>
  <c r="M85" i="30" a="1"/>
  <c r="M85" i="30" s="1"/>
  <c r="M86" i="30" a="1"/>
  <c r="M86" i="30" s="1"/>
  <c r="M87" i="30" a="1"/>
  <c r="M87" i="30" s="1"/>
  <c r="M88" i="30" a="1"/>
  <c r="M88" i="30" s="1"/>
  <c r="M89" i="30" a="1"/>
  <c r="M89" i="30" s="1"/>
  <c r="M90" i="30" a="1"/>
  <c r="M90" i="30" s="1"/>
  <c r="M91" i="30" a="1"/>
  <c r="M91" i="30" s="1"/>
  <c r="M92" i="30" a="1"/>
  <c r="M92" i="30" s="1"/>
  <c r="M93" i="30" a="1"/>
  <c r="M93" i="30" s="1"/>
  <c r="M94" i="30" a="1"/>
  <c r="M94" i="30" s="1"/>
  <c r="M95" i="30" a="1"/>
  <c r="M95" i="30" s="1"/>
  <c r="M96" i="30" a="1"/>
  <c r="M96" i="30" s="1"/>
  <c r="M97" i="30" a="1"/>
  <c r="M97" i="30" s="1"/>
  <c r="M98" i="30" a="1"/>
  <c r="M98" i="30" s="1"/>
  <c r="M99" i="30" a="1"/>
  <c r="M99" i="30" s="1"/>
  <c r="M100" i="30" a="1"/>
  <c r="M100" i="30" s="1"/>
  <c r="M101" i="30" a="1"/>
  <c r="M101" i="30" s="1"/>
  <c r="M102" i="30" a="1"/>
  <c r="M102" i="30" s="1"/>
  <c r="M103" i="30" a="1"/>
  <c r="M103" i="30" s="1"/>
  <c r="M104" i="30" a="1"/>
  <c r="M104" i="30" s="1"/>
  <c r="M105" i="30" a="1"/>
  <c r="M105" i="30" s="1"/>
  <c r="M106" i="30" a="1"/>
  <c r="M106" i="30" s="1"/>
  <c r="M107" i="30" a="1"/>
  <c r="M107" i="30" s="1"/>
  <c r="M108" i="30" a="1"/>
  <c r="M108" i="30" s="1"/>
  <c r="M109" i="30" a="1"/>
  <c r="M109" i="30" s="1"/>
  <c r="M110" i="30" a="1"/>
  <c r="M110" i="30" s="1"/>
  <c r="M111" i="30" a="1"/>
  <c r="M111" i="30" s="1"/>
  <c r="M112" i="30" a="1"/>
  <c r="M112" i="30" s="1"/>
  <c r="M113" i="30" a="1"/>
  <c r="M113" i="30" s="1"/>
  <c r="M114" i="30" a="1"/>
  <c r="M114" i="30" s="1"/>
  <c r="M115" i="30" a="1"/>
  <c r="M115" i="30" s="1"/>
  <c r="M116" i="30" a="1"/>
  <c r="M116" i="30" s="1"/>
  <c r="M117" i="30" a="1"/>
  <c r="M117" i="30" s="1"/>
  <c r="M118" i="30" a="1"/>
  <c r="M118" i="30" s="1"/>
  <c r="M119" i="30" a="1"/>
  <c r="M119" i="30" s="1"/>
  <c r="M120" i="30" a="1"/>
  <c r="M120" i="30" s="1"/>
  <c r="M121" i="30" a="1"/>
  <c r="M121" i="30" s="1"/>
  <c r="M122" i="30" a="1"/>
  <c r="M122" i="30" s="1"/>
  <c r="M123" i="30" a="1"/>
  <c r="M123" i="30" s="1"/>
  <c r="M124" i="30" a="1"/>
  <c r="M124" i="30" s="1"/>
  <c r="M125" i="30" a="1"/>
  <c r="M125" i="30" s="1"/>
  <c r="M126" i="30" a="1"/>
  <c r="M126" i="30" s="1"/>
  <c r="M127" i="30" a="1"/>
  <c r="M127" i="30" s="1"/>
  <c r="M128" i="30" a="1"/>
  <c r="M128" i="30" s="1"/>
  <c r="M129" i="30" a="1"/>
  <c r="M129" i="30" s="1"/>
  <c r="M130" i="30" a="1"/>
  <c r="M130" i="30" s="1"/>
  <c r="M131" i="30" a="1"/>
  <c r="M131" i="30" s="1"/>
  <c r="M132" i="30" a="1"/>
  <c r="M132" i="30" s="1"/>
  <c r="M133" i="30" a="1"/>
  <c r="M133" i="30" s="1"/>
  <c r="M134" i="30" a="1"/>
  <c r="M134" i="30" s="1"/>
  <c r="M135" i="30" a="1"/>
  <c r="M135" i="30" s="1"/>
  <c r="M136" i="30" a="1"/>
  <c r="M136" i="30" s="1"/>
  <c r="M137" i="30" a="1"/>
  <c r="M137" i="30" s="1"/>
  <c r="M138" i="30" a="1"/>
  <c r="M138" i="30" s="1"/>
  <c r="M139" i="30" a="1"/>
  <c r="M139" i="30" s="1"/>
  <c r="M140" i="30" a="1"/>
  <c r="M140" i="30" s="1"/>
  <c r="M141" i="30" a="1"/>
  <c r="M141" i="30" s="1"/>
  <c r="M142" i="30" a="1"/>
  <c r="M142" i="30" s="1"/>
  <c r="M143" i="30" a="1"/>
  <c r="M143" i="30" s="1"/>
  <c r="M144" i="30" a="1"/>
  <c r="M144" i="30" s="1"/>
  <c r="M145" i="30" a="1"/>
  <c r="M145" i="30" s="1"/>
  <c r="M146" i="30" a="1"/>
  <c r="M146" i="30" s="1"/>
  <c r="M147" i="30" a="1"/>
  <c r="M147" i="30" s="1"/>
  <c r="M148" i="30" a="1"/>
  <c r="M148" i="30" s="1"/>
  <c r="M149" i="30" a="1"/>
  <c r="M149" i="30" s="1"/>
  <c r="M150" i="30" a="1"/>
  <c r="M150" i="30" s="1"/>
  <c r="M151" i="30" a="1"/>
  <c r="M151" i="30" s="1"/>
  <c r="M152" i="30" a="1"/>
  <c r="M152" i="30" s="1"/>
  <c r="M153" i="30" a="1"/>
  <c r="M153" i="30" s="1"/>
  <c r="M154" i="30" a="1"/>
  <c r="M154" i="30" s="1"/>
  <c r="M155" i="30" a="1"/>
  <c r="M155" i="30" s="1"/>
  <c r="M156" i="30" a="1"/>
  <c r="M156" i="30" s="1"/>
  <c r="M157" i="30" a="1"/>
  <c r="M157" i="30" s="1"/>
  <c r="M158" i="30" a="1"/>
  <c r="M158" i="30" s="1"/>
  <c r="M159" i="30" a="1"/>
  <c r="M159" i="30" s="1"/>
  <c r="M160" i="30" a="1"/>
  <c r="M160" i="30" s="1"/>
  <c r="M161" i="30" a="1"/>
  <c r="M161" i="30" s="1"/>
  <c r="M162" i="30" a="1"/>
  <c r="M162" i="30" s="1"/>
  <c r="M163" i="30" a="1"/>
  <c r="M163" i="30" s="1"/>
  <c r="M164" i="30" a="1"/>
  <c r="M164" i="30" s="1"/>
  <c r="M165" i="30" a="1"/>
  <c r="M165" i="30" s="1"/>
  <c r="M166" i="30" a="1"/>
  <c r="M166" i="30" s="1"/>
  <c r="M167" i="30" a="1"/>
  <c r="M167" i="30" s="1"/>
  <c r="M168" i="30" a="1"/>
  <c r="M168" i="30" s="1"/>
  <c r="M169" i="30" a="1"/>
  <c r="M169" i="30" s="1"/>
  <c r="M170" i="30" a="1"/>
  <c r="M170" i="30" s="1"/>
  <c r="M171" i="30" a="1"/>
  <c r="M171" i="30" s="1"/>
  <c r="M172" i="30" a="1"/>
  <c r="M172" i="30" s="1"/>
  <c r="M173" i="30" a="1"/>
  <c r="M173" i="30" s="1"/>
  <c r="M174" i="30" a="1"/>
  <c r="M174" i="30" s="1"/>
  <c r="M175" i="30" a="1"/>
  <c r="M175" i="30" s="1"/>
  <c r="M176" i="30" a="1"/>
  <c r="M176" i="30" s="1"/>
  <c r="M177" i="30" a="1"/>
  <c r="M177" i="30" s="1"/>
  <c r="M178" i="30" a="1"/>
  <c r="M178" i="30" s="1"/>
  <c r="M179" i="30" a="1"/>
  <c r="M179" i="30" s="1"/>
  <c r="M180" i="30" a="1"/>
  <c r="M180" i="30" s="1"/>
  <c r="M181" i="30" a="1"/>
  <c r="M181" i="30" s="1"/>
  <c r="M182" i="30" a="1"/>
  <c r="M182" i="30" s="1"/>
  <c r="K305" i="30"/>
  <c r="K306" i="30"/>
  <c r="K307" i="30"/>
  <c r="K308" i="30"/>
  <c r="K309" i="30"/>
  <c r="K310" i="30"/>
  <c r="K311" i="30"/>
  <c r="K312" i="30"/>
  <c r="K313" i="30"/>
  <c r="K314" i="30"/>
  <c r="K315" i="30"/>
  <c r="K316" i="30"/>
  <c r="K317" i="30"/>
  <c r="K318" i="30"/>
  <c r="K319" i="30"/>
  <c r="K320" i="30"/>
  <c r="K321" i="30"/>
  <c r="I505" i="4"/>
  <c r="I506" i="4"/>
  <c r="I507" i="4"/>
  <c r="I508" i="4"/>
  <c r="I509" i="4"/>
  <c r="I510" i="4"/>
  <c r="E506" i="4"/>
  <c r="E507" i="4"/>
  <c r="E508" i="4"/>
  <c r="E509" i="4"/>
  <c r="E510" i="4"/>
  <c r="D506" i="4"/>
  <c r="D507" i="4"/>
  <c r="D508" i="4"/>
  <c r="D509" i="4"/>
  <c r="D510" i="4"/>
  <c r="E505" i="4"/>
  <c r="D505" i="4"/>
  <c r="D402" i="4"/>
  <c r="D403" i="4"/>
  <c r="D404" i="4"/>
  <c r="D405" i="4"/>
  <c r="D406" i="4"/>
  <c r="D407" i="4"/>
  <c r="D408" i="4"/>
  <c r="D409" i="4"/>
  <c r="D410" i="4"/>
  <c r="D411" i="4"/>
  <c r="D412" i="4"/>
  <c r="D413" i="4"/>
  <c r="D414" i="4"/>
  <c r="D415" i="4"/>
  <c r="D416" i="4"/>
  <c r="D417" i="4"/>
  <c r="D418" i="4"/>
  <c r="D419" i="4"/>
  <c r="D420" i="4"/>
  <c r="D421" i="4"/>
  <c r="D422" i="4"/>
  <c r="D423" i="4"/>
  <c r="D424" i="4"/>
  <c r="D425" i="4"/>
  <c r="D426" i="4"/>
  <c r="D427" i="4"/>
  <c r="D428" i="4"/>
  <c r="D429" i="4"/>
  <c r="D430" i="4"/>
  <c r="D431" i="4"/>
  <c r="D432" i="4"/>
  <c r="D433" i="4"/>
  <c r="D434" i="4"/>
  <c r="D435" i="4"/>
  <c r="D436" i="4"/>
  <c r="D437" i="4"/>
  <c r="D438" i="4"/>
  <c r="D439" i="4"/>
  <c r="D440" i="4"/>
  <c r="D441" i="4"/>
  <c r="D442" i="4"/>
  <c r="D443" i="4"/>
  <c r="D444" i="4"/>
  <c r="D445" i="4"/>
  <c r="D446" i="4"/>
  <c r="D447" i="4"/>
  <c r="D448" i="4"/>
  <c r="D449" i="4"/>
  <c r="D450" i="4"/>
  <c r="D451" i="4"/>
  <c r="E402" i="4"/>
  <c r="F402" i="4" s="1"/>
  <c r="E403" i="4"/>
  <c r="E404" i="4"/>
  <c r="E405" i="4"/>
  <c r="E406" i="4"/>
  <c r="E407" i="4"/>
  <c r="E408" i="4"/>
  <c r="E409" i="4"/>
  <c r="E410" i="4"/>
  <c r="X410" i="4" s="1" a="1"/>
  <c r="X410" i="4" s="1"/>
  <c r="E411" i="4"/>
  <c r="E412" i="4"/>
  <c r="E413" i="4"/>
  <c r="E414" i="4"/>
  <c r="E415" i="4"/>
  <c r="E416" i="4"/>
  <c r="X416" i="4" s="1" a="1"/>
  <c r="X416" i="4" s="1"/>
  <c r="E417" i="4"/>
  <c r="E418" i="4"/>
  <c r="E419" i="4"/>
  <c r="E420" i="4"/>
  <c r="Q420" i="4" s="1" a="1"/>
  <c r="Q420" i="4" s="1"/>
  <c r="E421" i="4"/>
  <c r="E422" i="4"/>
  <c r="E423" i="4"/>
  <c r="S423" i="4" s="1" a="1"/>
  <c r="S423" i="4" s="1"/>
  <c r="E424" i="4"/>
  <c r="E425" i="4"/>
  <c r="R425" i="4" s="1" a="1"/>
  <c r="R425" i="4" s="1"/>
  <c r="E426" i="4"/>
  <c r="R426" i="4" s="1" a="1"/>
  <c r="R426" i="4" s="1"/>
  <c r="E427" i="4"/>
  <c r="E428" i="4"/>
  <c r="E429" i="4"/>
  <c r="E430" i="4"/>
  <c r="E431" i="4"/>
  <c r="S431" i="4" s="1" a="1"/>
  <c r="S431" i="4" s="1"/>
  <c r="E432" i="4"/>
  <c r="F432" i="4" s="1"/>
  <c r="E433" i="4"/>
  <c r="R433" i="4" s="1" a="1"/>
  <c r="R433" i="4" s="1"/>
  <c r="E434" i="4"/>
  <c r="X434" i="4" s="1" a="1"/>
  <c r="X434" i="4" s="1"/>
  <c r="E435" i="4"/>
  <c r="E436" i="4"/>
  <c r="F436" i="4" s="1"/>
  <c r="E437" i="4"/>
  <c r="E438" i="4"/>
  <c r="E439" i="4"/>
  <c r="E440" i="4"/>
  <c r="E441" i="4"/>
  <c r="E442" i="4"/>
  <c r="E443" i="4"/>
  <c r="E444" i="4"/>
  <c r="E445" i="4"/>
  <c r="E446" i="4"/>
  <c r="E447" i="4"/>
  <c r="E448" i="4"/>
  <c r="X448" i="4" s="1" a="1"/>
  <c r="X448" i="4" s="1"/>
  <c r="E449" i="4"/>
  <c r="E450" i="4"/>
  <c r="E451" i="4"/>
  <c r="H402" i="4"/>
  <c r="H403" i="4"/>
  <c r="H404" i="4"/>
  <c r="H405" i="4"/>
  <c r="H406" i="4"/>
  <c r="H407" i="4"/>
  <c r="H408" i="4"/>
  <c r="H409" i="4"/>
  <c r="H410" i="4"/>
  <c r="H411" i="4"/>
  <c r="H412" i="4"/>
  <c r="H413" i="4"/>
  <c r="H414" i="4"/>
  <c r="H415" i="4"/>
  <c r="H416" i="4"/>
  <c r="H417" i="4"/>
  <c r="H418" i="4"/>
  <c r="H419" i="4"/>
  <c r="H420" i="4"/>
  <c r="H421" i="4"/>
  <c r="H422" i="4"/>
  <c r="H423" i="4"/>
  <c r="H424" i="4"/>
  <c r="H425" i="4"/>
  <c r="H426" i="4"/>
  <c r="H427" i="4"/>
  <c r="H428" i="4"/>
  <c r="H429" i="4"/>
  <c r="H430" i="4"/>
  <c r="H431" i="4"/>
  <c r="H432" i="4"/>
  <c r="H433" i="4"/>
  <c r="H434" i="4"/>
  <c r="H435" i="4"/>
  <c r="H436" i="4"/>
  <c r="H437" i="4"/>
  <c r="H438" i="4"/>
  <c r="H439" i="4"/>
  <c r="H440" i="4"/>
  <c r="H441" i="4"/>
  <c r="H442" i="4"/>
  <c r="H443" i="4"/>
  <c r="H444" i="4"/>
  <c r="H445" i="4"/>
  <c r="H446" i="4"/>
  <c r="H447" i="4"/>
  <c r="H448" i="4"/>
  <c r="H449" i="4"/>
  <c r="H450" i="4"/>
  <c r="H451" i="4"/>
  <c r="J402" i="4"/>
  <c r="J403" i="4"/>
  <c r="J404" i="4"/>
  <c r="J405" i="4"/>
  <c r="J406" i="4"/>
  <c r="J407" i="4"/>
  <c r="J408" i="4"/>
  <c r="J409" i="4"/>
  <c r="J410" i="4"/>
  <c r="J411" i="4"/>
  <c r="J412" i="4"/>
  <c r="J413" i="4"/>
  <c r="J414" i="4"/>
  <c r="J415" i="4"/>
  <c r="J416" i="4"/>
  <c r="J417" i="4"/>
  <c r="J418" i="4"/>
  <c r="J419" i="4"/>
  <c r="J420" i="4"/>
  <c r="J421" i="4"/>
  <c r="J422" i="4"/>
  <c r="J423" i="4"/>
  <c r="J424" i="4"/>
  <c r="J425" i="4"/>
  <c r="J426" i="4"/>
  <c r="J427" i="4"/>
  <c r="J428" i="4"/>
  <c r="J429" i="4"/>
  <c r="J430" i="4"/>
  <c r="J431" i="4"/>
  <c r="J432" i="4"/>
  <c r="J433" i="4"/>
  <c r="J434" i="4"/>
  <c r="J435" i="4"/>
  <c r="J436" i="4"/>
  <c r="J437" i="4"/>
  <c r="J438" i="4"/>
  <c r="J439" i="4"/>
  <c r="J440" i="4"/>
  <c r="J441" i="4"/>
  <c r="J442" i="4"/>
  <c r="J443" i="4"/>
  <c r="J444" i="4"/>
  <c r="J445" i="4"/>
  <c r="J446" i="4"/>
  <c r="J447" i="4"/>
  <c r="J448" i="4"/>
  <c r="J449" i="4"/>
  <c r="J450" i="4"/>
  <c r="J451" i="4"/>
  <c r="X420" i="4" a="1"/>
  <c r="X420" i="4" s="1"/>
  <c r="X435" i="4" a="1"/>
  <c r="X435" i="4" s="1"/>
  <c r="X440" i="4" a="1"/>
  <c r="X440" i="4" s="1"/>
  <c r="X450" i="4" a="1"/>
  <c r="X450" i="4" s="1"/>
  <c r="D8" i="4"/>
  <c r="J503" i="25" s="1"/>
  <c r="D9" i="4"/>
  <c r="J504" i="25" s="1"/>
  <c r="D10" i="4"/>
  <c r="J505" i="25" s="1"/>
  <c r="D11" i="4"/>
  <c r="J506" i="25" s="1"/>
  <c r="D12" i="4"/>
  <c r="J507" i="25" s="1"/>
  <c r="D13" i="4"/>
  <c r="J508" i="25" s="1"/>
  <c r="D14" i="4"/>
  <c r="J509" i="25" s="1"/>
  <c r="D15" i="4"/>
  <c r="J510" i="25" s="1"/>
  <c r="D16" i="4"/>
  <c r="J511" i="25" s="1"/>
  <c r="D17" i="4"/>
  <c r="J512" i="25" s="1"/>
  <c r="D18" i="4"/>
  <c r="J513" i="25" s="1"/>
  <c r="D19" i="4"/>
  <c r="J514" i="25" s="1"/>
  <c r="D20" i="4"/>
  <c r="J515" i="25" s="1"/>
  <c r="D21" i="4"/>
  <c r="J516" i="25" s="1"/>
  <c r="D22" i="4"/>
  <c r="J517" i="25" s="1"/>
  <c r="D23" i="4"/>
  <c r="J518" i="25" s="1"/>
  <c r="D24" i="4"/>
  <c r="J519" i="25" s="1"/>
  <c r="D25" i="4"/>
  <c r="J520" i="25" s="1"/>
  <c r="D26" i="4"/>
  <c r="J521" i="25" s="1"/>
  <c r="D27" i="4"/>
  <c r="J522" i="25" s="1"/>
  <c r="D28" i="4"/>
  <c r="J523" i="25" s="1"/>
  <c r="D29" i="4"/>
  <c r="J524" i="25" s="1"/>
  <c r="D30" i="4"/>
  <c r="J525" i="25" s="1"/>
  <c r="D31" i="4"/>
  <c r="J526" i="25" s="1"/>
  <c r="D32" i="4"/>
  <c r="J527" i="25" s="1"/>
  <c r="D33" i="4"/>
  <c r="J528" i="25" s="1"/>
  <c r="D34" i="4"/>
  <c r="J529" i="25" s="1"/>
  <c r="D35" i="4"/>
  <c r="J530" i="25" s="1"/>
  <c r="D36" i="4"/>
  <c r="J531" i="25" s="1"/>
  <c r="D37" i="4"/>
  <c r="J532" i="25" s="1"/>
  <c r="D38" i="4"/>
  <c r="J533" i="25" s="1"/>
  <c r="D39" i="4"/>
  <c r="J534" i="25" s="1"/>
  <c r="D40" i="4"/>
  <c r="J535" i="25" s="1"/>
  <c r="D41" i="4"/>
  <c r="J536" i="25" s="1"/>
  <c r="D42" i="4"/>
  <c r="J537" i="25" s="1"/>
  <c r="D43" i="4"/>
  <c r="J538" i="25" s="1"/>
  <c r="D44" i="4"/>
  <c r="J539" i="25" s="1"/>
  <c r="D45" i="4"/>
  <c r="J540" i="25" s="1"/>
  <c r="D46" i="4"/>
  <c r="J541" i="25" s="1"/>
  <c r="D47" i="4"/>
  <c r="J542" i="25" s="1"/>
  <c r="D48" i="4"/>
  <c r="J543" i="25" s="1"/>
  <c r="D49" i="4"/>
  <c r="J544" i="25" s="1"/>
  <c r="D50" i="4"/>
  <c r="J545" i="25" s="1"/>
  <c r="D51" i="4"/>
  <c r="J546" i="25" s="1"/>
  <c r="D52" i="4"/>
  <c r="J547" i="25" s="1"/>
  <c r="D53" i="4"/>
  <c r="J548" i="25" s="1"/>
  <c r="D54" i="4"/>
  <c r="J549" i="25" s="1"/>
  <c r="D55" i="4"/>
  <c r="J550" i="25" s="1"/>
  <c r="D56" i="4"/>
  <c r="J551" i="25" s="1"/>
  <c r="D57" i="4"/>
  <c r="J552" i="25" s="1"/>
  <c r="D58" i="4"/>
  <c r="J553" i="25" s="1"/>
  <c r="D59" i="4"/>
  <c r="J554" i="25" s="1"/>
  <c r="D60" i="4"/>
  <c r="J555" i="25" s="1"/>
  <c r="D61" i="4"/>
  <c r="J556" i="25" s="1"/>
  <c r="D62" i="4"/>
  <c r="J557" i="25" s="1"/>
  <c r="D63" i="4"/>
  <c r="J558" i="25" s="1"/>
  <c r="D64" i="4"/>
  <c r="J559" i="25" s="1"/>
  <c r="D65" i="4"/>
  <c r="J560" i="25" s="1"/>
  <c r="D66" i="4"/>
  <c r="J561" i="25" s="1"/>
  <c r="D67" i="4"/>
  <c r="J562" i="25" s="1"/>
  <c r="D68" i="4"/>
  <c r="J563" i="25" s="1"/>
  <c r="D69" i="4"/>
  <c r="J564" i="25" s="1"/>
  <c r="D70" i="4"/>
  <c r="J565" i="25" s="1"/>
  <c r="D71" i="4"/>
  <c r="J566" i="25" s="1"/>
  <c r="D72" i="4"/>
  <c r="J567" i="25" s="1"/>
  <c r="D73" i="4"/>
  <c r="J568" i="25" s="1"/>
  <c r="D74" i="4"/>
  <c r="J569" i="25" s="1"/>
  <c r="D75" i="4"/>
  <c r="J570" i="25" s="1"/>
  <c r="D76" i="4"/>
  <c r="J571" i="25" s="1"/>
  <c r="D77" i="4"/>
  <c r="J572" i="25" s="1"/>
  <c r="D78" i="4"/>
  <c r="J573" i="25" s="1"/>
  <c r="D79" i="4"/>
  <c r="J574" i="25" s="1"/>
  <c r="D80" i="4"/>
  <c r="J575" i="25" s="1"/>
  <c r="D81" i="4"/>
  <c r="J576" i="25" s="1"/>
  <c r="D82" i="4"/>
  <c r="J577" i="25" s="1"/>
  <c r="D83" i="4"/>
  <c r="J578" i="25" s="1"/>
  <c r="D84" i="4"/>
  <c r="J579" i="25" s="1"/>
  <c r="D85" i="4"/>
  <c r="J580" i="25" s="1"/>
  <c r="D86" i="4"/>
  <c r="J581" i="25" s="1"/>
  <c r="D87" i="4"/>
  <c r="J582" i="25" s="1"/>
  <c r="D88" i="4"/>
  <c r="J583" i="25" s="1"/>
  <c r="D89" i="4"/>
  <c r="J584" i="25" s="1"/>
  <c r="D90" i="4"/>
  <c r="J585" i="25" s="1"/>
  <c r="D91" i="4"/>
  <c r="J586" i="25" s="1"/>
  <c r="D92" i="4"/>
  <c r="J587" i="25" s="1"/>
  <c r="D93" i="4"/>
  <c r="J588" i="25" s="1"/>
  <c r="D94" i="4"/>
  <c r="J589" i="25" s="1"/>
  <c r="D95" i="4"/>
  <c r="J590" i="25" s="1"/>
  <c r="D96" i="4"/>
  <c r="J591" i="25" s="1"/>
  <c r="D97" i="4"/>
  <c r="J592" i="25" s="1"/>
  <c r="D98" i="4"/>
  <c r="J593" i="25" s="1"/>
  <c r="D99" i="4"/>
  <c r="J594" i="25" s="1"/>
  <c r="D100" i="4"/>
  <c r="J595" i="25" s="1"/>
  <c r="D101" i="4"/>
  <c r="J596" i="25" s="1"/>
  <c r="D102" i="4"/>
  <c r="J597" i="25" s="1"/>
  <c r="D103" i="4"/>
  <c r="J598" i="25" s="1"/>
  <c r="D104" i="4"/>
  <c r="J599" i="25" s="1"/>
  <c r="D105" i="4"/>
  <c r="J600" i="25" s="1"/>
  <c r="D106" i="4"/>
  <c r="J601" i="25" s="1"/>
  <c r="D107" i="4"/>
  <c r="J602" i="25" s="1"/>
  <c r="D108" i="4"/>
  <c r="J603" i="25" s="1"/>
  <c r="D109" i="4"/>
  <c r="J604" i="25" s="1"/>
  <c r="D110" i="4"/>
  <c r="J605" i="25" s="1"/>
  <c r="D111" i="4"/>
  <c r="J606" i="25" s="1"/>
  <c r="D112" i="4"/>
  <c r="J607" i="25" s="1"/>
  <c r="D113" i="4"/>
  <c r="J608" i="25" s="1"/>
  <c r="D114" i="4"/>
  <c r="J609" i="25" s="1"/>
  <c r="D115" i="4"/>
  <c r="J610" i="25" s="1"/>
  <c r="D116" i="4"/>
  <c r="J611" i="25" s="1"/>
  <c r="D117" i="4"/>
  <c r="J612" i="25" s="1"/>
  <c r="D118" i="4"/>
  <c r="J613" i="25" s="1"/>
  <c r="D119" i="4"/>
  <c r="J614" i="25" s="1"/>
  <c r="D120" i="4"/>
  <c r="J615" i="25" s="1"/>
  <c r="D121" i="4"/>
  <c r="J616" i="25" s="1"/>
  <c r="D122" i="4"/>
  <c r="J617" i="25" s="1"/>
  <c r="D123" i="4"/>
  <c r="J618" i="25" s="1"/>
  <c r="D124" i="4"/>
  <c r="J619" i="25" s="1"/>
  <c r="D125" i="4"/>
  <c r="J620" i="25" s="1"/>
  <c r="D126" i="4"/>
  <c r="J621" i="25" s="1"/>
  <c r="D127" i="4"/>
  <c r="J622" i="25" s="1"/>
  <c r="D128" i="4"/>
  <c r="J623" i="25" s="1"/>
  <c r="D129" i="4"/>
  <c r="J624" i="25" s="1"/>
  <c r="D130" i="4"/>
  <c r="J625" i="25" s="1"/>
  <c r="D131" i="4"/>
  <c r="J626" i="25" s="1"/>
  <c r="D132" i="4"/>
  <c r="J627" i="25" s="1"/>
  <c r="D133" i="4"/>
  <c r="J628" i="25" s="1"/>
  <c r="D134" i="4"/>
  <c r="J629" i="25" s="1"/>
  <c r="D135" i="4"/>
  <c r="J630" i="25" s="1"/>
  <c r="D136" i="4"/>
  <c r="J631" i="25" s="1"/>
  <c r="D137" i="4"/>
  <c r="J632" i="25" s="1"/>
  <c r="D138" i="4"/>
  <c r="J633" i="25" s="1"/>
  <c r="D139" i="4"/>
  <c r="J634" i="25" s="1"/>
  <c r="D140" i="4"/>
  <c r="J635" i="25" s="1"/>
  <c r="D141" i="4"/>
  <c r="J636" i="25" s="1"/>
  <c r="D142" i="4"/>
  <c r="J637" i="25" s="1"/>
  <c r="D143" i="4"/>
  <c r="J638" i="25" s="1"/>
  <c r="D144" i="4"/>
  <c r="J639" i="25" s="1"/>
  <c r="D145" i="4"/>
  <c r="J640" i="25" s="1"/>
  <c r="D146" i="4"/>
  <c r="J641" i="25" s="1"/>
  <c r="D147" i="4"/>
  <c r="J642" i="25" s="1"/>
  <c r="D148" i="4"/>
  <c r="J643" i="25" s="1"/>
  <c r="D149" i="4"/>
  <c r="J644" i="25" s="1"/>
  <c r="D150" i="4"/>
  <c r="J645" i="25" s="1"/>
  <c r="D151" i="4"/>
  <c r="J646" i="25" s="1"/>
  <c r="D152" i="4"/>
  <c r="J647" i="25" s="1"/>
  <c r="D153" i="4"/>
  <c r="J648" i="25" s="1"/>
  <c r="D154" i="4"/>
  <c r="J649" i="25" s="1"/>
  <c r="D155" i="4"/>
  <c r="J650" i="25" s="1"/>
  <c r="D156" i="4"/>
  <c r="J651" i="25" s="1"/>
  <c r="D157" i="4"/>
  <c r="J652" i="25" s="1"/>
  <c r="D158" i="4"/>
  <c r="J653" i="25" s="1"/>
  <c r="D159" i="4"/>
  <c r="J654" i="25" s="1"/>
  <c r="D160" i="4"/>
  <c r="J655" i="25" s="1"/>
  <c r="D161" i="4"/>
  <c r="J656" i="25" s="1"/>
  <c r="D162" i="4"/>
  <c r="J657" i="25" s="1"/>
  <c r="D163" i="4"/>
  <c r="J658" i="25" s="1"/>
  <c r="D164" i="4"/>
  <c r="J659" i="25" s="1"/>
  <c r="D165" i="4"/>
  <c r="J660" i="25" s="1"/>
  <c r="D166" i="4"/>
  <c r="J661" i="25" s="1"/>
  <c r="D167" i="4"/>
  <c r="J662" i="25" s="1"/>
  <c r="D168" i="4"/>
  <c r="J663" i="25" s="1"/>
  <c r="D169" i="4"/>
  <c r="J664" i="25" s="1"/>
  <c r="D170" i="4"/>
  <c r="J665" i="25" s="1"/>
  <c r="D171" i="4"/>
  <c r="J666" i="25" s="1"/>
  <c r="D172" i="4"/>
  <c r="J667" i="25" s="1"/>
  <c r="D173" i="4"/>
  <c r="J668" i="25" s="1"/>
  <c r="D174" i="4"/>
  <c r="J669" i="25" s="1"/>
  <c r="D175" i="4"/>
  <c r="J670" i="25" s="1"/>
  <c r="D176" i="4"/>
  <c r="J671" i="25" s="1"/>
  <c r="D177" i="4"/>
  <c r="J672" i="25" s="1"/>
  <c r="D178" i="4"/>
  <c r="J673" i="25" s="1"/>
  <c r="D179" i="4"/>
  <c r="J674" i="25" s="1"/>
  <c r="D180" i="4"/>
  <c r="J675" i="25" s="1"/>
  <c r="D181" i="4"/>
  <c r="J676" i="25" s="1"/>
  <c r="D182" i="4"/>
  <c r="J677" i="25" s="1"/>
  <c r="D183" i="4"/>
  <c r="J678" i="25" s="1"/>
  <c r="D184" i="4"/>
  <c r="J679" i="25" s="1"/>
  <c r="D185" i="4"/>
  <c r="J680" i="25" s="1"/>
  <c r="D186" i="4"/>
  <c r="J681" i="25" s="1"/>
  <c r="D187" i="4"/>
  <c r="J682" i="25" s="1"/>
  <c r="D188" i="4"/>
  <c r="J683" i="25" s="1"/>
  <c r="D189" i="4"/>
  <c r="J684" i="25" s="1"/>
  <c r="D190" i="4"/>
  <c r="J685" i="25" s="1"/>
  <c r="D191" i="4"/>
  <c r="J686" i="25" s="1"/>
  <c r="D192" i="4"/>
  <c r="J687" i="25" s="1"/>
  <c r="D193" i="4"/>
  <c r="J688" i="25" s="1"/>
  <c r="D194" i="4"/>
  <c r="J689" i="25" s="1"/>
  <c r="D195" i="4"/>
  <c r="J690" i="25" s="1"/>
  <c r="D196" i="4"/>
  <c r="J691" i="25" s="1"/>
  <c r="D197" i="4"/>
  <c r="J692" i="25" s="1"/>
  <c r="D198" i="4"/>
  <c r="J693" i="25" s="1"/>
  <c r="D199" i="4"/>
  <c r="J694" i="25" s="1"/>
  <c r="D200" i="4"/>
  <c r="J695" i="25" s="1"/>
  <c r="D201" i="4"/>
  <c r="J696" i="25" s="1"/>
  <c r="D202" i="4"/>
  <c r="J697" i="25" s="1"/>
  <c r="D203" i="4"/>
  <c r="J698" i="25" s="1"/>
  <c r="D204" i="4"/>
  <c r="J699" i="25" s="1"/>
  <c r="D205" i="4"/>
  <c r="J700" i="25" s="1"/>
  <c r="D206" i="4"/>
  <c r="J701" i="25" s="1"/>
  <c r="D207" i="4"/>
  <c r="J702" i="25" s="1"/>
  <c r="D208" i="4"/>
  <c r="J703" i="25" s="1"/>
  <c r="D209" i="4"/>
  <c r="J704" i="25" s="1"/>
  <c r="D210" i="4"/>
  <c r="J705" i="25" s="1"/>
  <c r="D211" i="4"/>
  <c r="J706" i="25" s="1"/>
  <c r="D212" i="4"/>
  <c r="J707" i="25" s="1"/>
  <c r="D213" i="4"/>
  <c r="J708" i="25" s="1"/>
  <c r="D214" i="4"/>
  <c r="J709" i="25" s="1"/>
  <c r="D215" i="4"/>
  <c r="J710" i="25" s="1"/>
  <c r="D216" i="4"/>
  <c r="J711" i="25" s="1"/>
  <c r="D217" i="4"/>
  <c r="J712" i="25" s="1"/>
  <c r="D218" i="4"/>
  <c r="J713" i="25" s="1"/>
  <c r="D219" i="4"/>
  <c r="J714" i="25" s="1"/>
  <c r="D220" i="4"/>
  <c r="J715" i="25" s="1"/>
  <c r="D221" i="4"/>
  <c r="J716" i="25" s="1"/>
  <c r="D222" i="4"/>
  <c r="J717" i="25" s="1"/>
  <c r="D223" i="4"/>
  <c r="J718" i="25" s="1"/>
  <c r="D224" i="4"/>
  <c r="J719" i="25" s="1"/>
  <c r="D225" i="4"/>
  <c r="J720" i="25" s="1"/>
  <c r="D226" i="4"/>
  <c r="J721" i="25" s="1"/>
  <c r="D227" i="4"/>
  <c r="J722" i="25" s="1"/>
  <c r="D228" i="4"/>
  <c r="J723" i="25" s="1"/>
  <c r="D229" i="4"/>
  <c r="J724" i="25" s="1"/>
  <c r="E8" i="4"/>
  <c r="E9" i="4"/>
  <c r="E10" i="4"/>
  <c r="E11" i="4"/>
  <c r="E12" i="4"/>
  <c r="Q12" i="4" s="1" a="1"/>
  <c r="Q12" i="4" s="1"/>
  <c r="E13" i="4"/>
  <c r="Q13" i="4" s="1" a="1"/>
  <c r="Q13" i="4" s="1"/>
  <c r="Z508" i="25" s="1"/>
  <c r="E14" i="4"/>
  <c r="M509" i="25" s="1"/>
  <c r="E15" i="4"/>
  <c r="M510" i="25" s="1"/>
  <c r="E16" i="4"/>
  <c r="E17" i="4"/>
  <c r="E18" i="4"/>
  <c r="E19" i="4"/>
  <c r="E20" i="4"/>
  <c r="Q20" i="4" s="1" a="1"/>
  <c r="Q20" i="4" s="1"/>
  <c r="E21" i="4"/>
  <c r="Q21" i="4" s="1" a="1"/>
  <c r="Q21" i="4" s="1"/>
  <c r="Z516" i="25" s="1"/>
  <c r="E22" i="4"/>
  <c r="M517" i="25" s="1"/>
  <c r="E23" i="4"/>
  <c r="M518" i="25" s="1"/>
  <c r="E24" i="4"/>
  <c r="E25" i="4"/>
  <c r="E26" i="4"/>
  <c r="E27" i="4"/>
  <c r="E28" i="4"/>
  <c r="M523" i="25" s="1"/>
  <c r="E29" i="4"/>
  <c r="M524" i="25" s="1"/>
  <c r="E30" i="4"/>
  <c r="M525" i="25" s="1"/>
  <c r="E31" i="4"/>
  <c r="M526" i="25" s="1"/>
  <c r="E32" i="4"/>
  <c r="E33" i="4"/>
  <c r="E34" i="4"/>
  <c r="E35" i="4"/>
  <c r="E36" i="4"/>
  <c r="M531" i="25" s="1"/>
  <c r="E37" i="4"/>
  <c r="M532" i="25" s="1"/>
  <c r="E38" i="4"/>
  <c r="M533" i="25" s="1"/>
  <c r="E39" i="4"/>
  <c r="M534" i="25" s="1"/>
  <c r="E40" i="4"/>
  <c r="E41" i="4"/>
  <c r="E42" i="4"/>
  <c r="E43" i="4"/>
  <c r="E44" i="4"/>
  <c r="Q44" i="4" s="1" a="1"/>
  <c r="Q44" i="4" s="1"/>
  <c r="E45" i="4"/>
  <c r="Q45" i="4" s="1" a="1"/>
  <c r="Q45" i="4" s="1"/>
  <c r="Z540" i="25" s="1"/>
  <c r="E46" i="4"/>
  <c r="M541" i="25" s="1"/>
  <c r="E47" i="4"/>
  <c r="R47" i="4" s="1" a="1"/>
  <c r="R47" i="4" s="1"/>
  <c r="E48" i="4"/>
  <c r="E49" i="4"/>
  <c r="E50" i="4"/>
  <c r="E51" i="4"/>
  <c r="E52" i="4"/>
  <c r="Q52" i="4" s="1" a="1"/>
  <c r="Q52" i="4" s="1"/>
  <c r="E53" i="4"/>
  <c r="Q53" i="4" s="1" a="1"/>
  <c r="Q53" i="4" s="1"/>
  <c r="Z548" i="25" s="1"/>
  <c r="E54" i="4"/>
  <c r="M549" i="25" s="1"/>
  <c r="E55" i="4"/>
  <c r="M550" i="25" s="1"/>
  <c r="E56" i="4"/>
  <c r="E57" i="4"/>
  <c r="E58" i="4"/>
  <c r="E59" i="4"/>
  <c r="E60" i="4"/>
  <c r="M555" i="25" s="1"/>
  <c r="E61" i="4"/>
  <c r="M556" i="25" s="1"/>
  <c r="E62" i="4"/>
  <c r="M557" i="25" s="1"/>
  <c r="E63" i="4"/>
  <c r="M558" i="25" s="1"/>
  <c r="E64" i="4"/>
  <c r="E65" i="4"/>
  <c r="R65" i="4" s="1" a="1"/>
  <c r="R65" i="4" s="1"/>
  <c r="E66" i="4"/>
  <c r="E67" i="4"/>
  <c r="E68" i="4"/>
  <c r="M563" i="25" s="1"/>
  <c r="E69" i="4"/>
  <c r="M564" i="25" s="1"/>
  <c r="E70" i="4"/>
  <c r="M565" i="25" s="1"/>
  <c r="E71" i="4"/>
  <c r="M566" i="25" s="1"/>
  <c r="E72" i="4"/>
  <c r="E73" i="4"/>
  <c r="E74" i="4"/>
  <c r="E75" i="4"/>
  <c r="E76" i="4"/>
  <c r="Q76" i="4" s="1" a="1"/>
  <c r="Q76" i="4" s="1"/>
  <c r="E77" i="4"/>
  <c r="Q77" i="4" s="1" a="1"/>
  <c r="Q77" i="4" s="1"/>
  <c r="Z572" i="25" s="1"/>
  <c r="E78" i="4"/>
  <c r="M573" i="25" s="1"/>
  <c r="E79" i="4"/>
  <c r="M574" i="25" s="1"/>
  <c r="E80" i="4"/>
  <c r="E81" i="4"/>
  <c r="E82" i="4"/>
  <c r="E83" i="4"/>
  <c r="E84" i="4"/>
  <c r="Q84" i="4" s="1" a="1"/>
  <c r="Q84" i="4" s="1"/>
  <c r="E85" i="4"/>
  <c r="Q85" i="4" s="1" a="1"/>
  <c r="Q85" i="4" s="1"/>
  <c r="Z580" i="25" s="1"/>
  <c r="E86" i="4"/>
  <c r="M581" i="25" s="1"/>
  <c r="E87" i="4"/>
  <c r="M582" i="25" s="1"/>
  <c r="E88" i="4"/>
  <c r="E89" i="4"/>
  <c r="E90" i="4"/>
  <c r="E91" i="4"/>
  <c r="E92" i="4"/>
  <c r="M587" i="25" s="1"/>
  <c r="E93" i="4"/>
  <c r="M588" i="25" s="1"/>
  <c r="E94" i="4"/>
  <c r="M589" i="25" s="1"/>
  <c r="E95" i="4"/>
  <c r="M590" i="25" s="1"/>
  <c r="E96" i="4"/>
  <c r="E97" i="4"/>
  <c r="E98" i="4"/>
  <c r="E99" i="4"/>
  <c r="E100" i="4"/>
  <c r="M595" i="25" s="1"/>
  <c r="E101" i="4"/>
  <c r="M596" i="25" s="1"/>
  <c r="E102" i="4"/>
  <c r="M597" i="25" s="1"/>
  <c r="E103" i="4"/>
  <c r="M598" i="25" s="1"/>
  <c r="E104" i="4"/>
  <c r="E105" i="4"/>
  <c r="E106" i="4"/>
  <c r="E107" i="4"/>
  <c r="E108" i="4"/>
  <c r="Q108" i="4" s="1" a="1"/>
  <c r="Q108" i="4" s="1"/>
  <c r="E109" i="4"/>
  <c r="Q109" i="4" s="1" a="1"/>
  <c r="Q109" i="4" s="1"/>
  <c r="Z604" i="25" s="1"/>
  <c r="E110" i="4"/>
  <c r="R110" i="4" s="1" a="1"/>
  <c r="R110" i="4" s="1"/>
  <c r="E111" i="4"/>
  <c r="M606" i="25" s="1"/>
  <c r="E112" i="4"/>
  <c r="E113" i="4"/>
  <c r="E114" i="4"/>
  <c r="E115" i="4"/>
  <c r="E116" i="4"/>
  <c r="Q116" i="4" s="1" a="1"/>
  <c r="Q116" i="4" s="1"/>
  <c r="E117" i="4"/>
  <c r="Q117" i="4" s="1" a="1"/>
  <c r="Q117" i="4" s="1"/>
  <c r="Z612" i="25" s="1"/>
  <c r="E118" i="4"/>
  <c r="M613" i="25" s="1"/>
  <c r="E119" i="4"/>
  <c r="M614" i="25" s="1"/>
  <c r="E120" i="4"/>
  <c r="E121" i="4"/>
  <c r="E122" i="4"/>
  <c r="E123" i="4"/>
  <c r="E124" i="4"/>
  <c r="M619" i="25" s="1"/>
  <c r="E125" i="4"/>
  <c r="M620" i="25" s="1"/>
  <c r="E126" i="4"/>
  <c r="M621" i="25" s="1"/>
  <c r="E127" i="4"/>
  <c r="M622" i="25" s="1"/>
  <c r="E128" i="4"/>
  <c r="R128" i="4" s="1" a="1"/>
  <c r="R128" i="4" s="1"/>
  <c r="E129" i="4"/>
  <c r="R129" i="4" s="1" a="1"/>
  <c r="R129" i="4" s="1"/>
  <c r="E130" i="4"/>
  <c r="E131" i="4"/>
  <c r="E132" i="4"/>
  <c r="M627" i="25" s="1"/>
  <c r="E133" i="4"/>
  <c r="M628" i="25" s="1"/>
  <c r="E134" i="4"/>
  <c r="M629" i="25" s="1"/>
  <c r="E135" i="4"/>
  <c r="M630" i="25" s="1"/>
  <c r="E136" i="4"/>
  <c r="E137" i="4"/>
  <c r="E138" i="4"/>
  <c r="E139" i="4"/>
  <c r="E140" i="4"/>
  <c r="Q140" i="4" s="1" a="1"/>
  <c r="Q140" i="4" s="1"/>
  <c r="E141" i="4"/>
  <c r="Q141" i="4" s="1" a="1"/>
  <c r="Q141" i="4" s="1"/>
  <c r="Z636" i="25" s="1"/>
  <c r="E142" i="4"/>
  <c r="M637" i="25" s="1"/>
  <c r="E143" i="4"/>
  <c r="M638" i="25" s="1"/>
  <c r="E144" i="4"/>
  <c r="E145" i="4"/>
  <c r="E146" i="4"/>
  <c r="E147" i="4"/>
  <c r="E148" i="4"/>
  <c r="Q148" i="4" s="1" a="1"/>
  <c r="Q148" i="4" s="1"/>
  <c r="E149" i="4"/>
  <c r="Q149" i="4" s="1" a="1"/>
  <c r="Q149" i="4" s="1"/>
  <c r="Z644" i="25" s="1"/>
  <c r="E150" i="4"/>
  <c r="M645" i="25" s="1"/>
  <c r="E151" i="4"/>
  <c r="T151" i="4" s="1" a="1"/>
  <c r="T151" i="4" s="1"/>
  <c r="E152" i="4"/>
  <c r="E153" i="4"/>
  <c r="E154" i="4"/>
  <c r="E155" i="4"/>
  <c r="E156" i="4"/>
  <c r="M651" i="25" s="1"/>
  <c r="E157" i="4"/>
  <c r="M652" i="25" s="1"/>
  <c r="E158" i="4"/>
  <c r="M653" i="25" s="1"/>
  <c r="E159" i="4"/>
  <c r="M654" i="25" s="1"/>
  <c r="E160" i="4"/>
  <c r="E161" i="4"/>
  <c r="E162" i="4"/>
  <c r="E163" i="4"/>
  <c r="E164" i="4"/>
  <c r="M659" i="25" s="1"/>
  <c r="E165" i="4"/>
  <c r="M660" i="25" s="1"/>
  <c r="E166" i="4"/>
  <c r="M661" i="25" s="1"/>
  <c r="E167" i="4"/>
  <c r="S167" i="4" s="1" a="1"/>
  <c r="S167" i="4" s="1"/>
  <c r="E168" i="4"/>
  <c r="E169" i="4"/>
  <c r="E170" i="4"/>
  <c r="E171" i="4"/>
  <c r="E172" i="4"/>
  <c r="Q172" i="4" s="1" a="1"/>
  <c r="Q172" i="4" s="1"/>
  <c r="E173" i="4"/>
  <c r="Q173" i="4" s="1" a="1"/>
  <c r="Q173" i="4" s="1"/>
  <c r="Z668" i="25" s="1"/>
  <c r="E174" i="4"/>
  <c r="M669" i="25" s="1"/>
  <c r="E175" i="4"/>
  <c r="M670" i="25" s="1"/>
  <c r="E176" i="4"/>
  <c r="E177" i="4"/>
  <c r="E178" i="4"/>
  <c r="E179" i="4"/>
  <c r="E180" i="4"/>
  <c r="Q180" i="4" s="1" a="1"/>
  <c r="Q180" i="4" s="1"/>
  <c r="E181" i="4"/>
  <c r="Q181" i="4" s="1" a="1"/>
  <c r="Q181" i="4" s="1"/>
  <c r="Z676" i="25" s="1"/>
  <c r="E182" i="4"/>
  <c r="M677" i="25" s="1"/>
  <c r="E183" i="4"/>
  <c r="M678" i="25" s="1"/>
  <c r="E184" i="4"/>
  <c r="E185" i="4"/>
  <c r="E186" i="4"/>
  <c r="E187" i="4"/>
  <c r="E188" i="4"/>
  <c r="M683" i="25" s="1"/>
  <c r="E189" i="4"/>
  <c r="M684" i="25" s="1"/>
  <c r="E190" i="4"/>
  <c r="M685" i="25" s="1"/>
  <c r="E191" i="4"/>
  <c r="M686" i="25" s="1"/>
  <c r="E192" i="4"/>
  <c r="E193" i="4"/>
  <c r="E194" i="4"/>
  <c r="E195" i="4"/>
  <c r="E196" i="4"/>
  <c r="M691" i="25" s="1"/>
  <c r="E197" i="4"/>
  <c r="M692" i="25" s="1"/>
  <c r="E198" i="4"/>
  <c r="M693" i="25" s="1"/>
  <c r="E199" i="4"/>
  <c r="M694" i="25" s="1"/>
  <c r="E200" i="4"/>
  <c r="E201" i="4"/>
  <c r="E202" i="4"/>
  <c r="E203" i="4"/>
  <c r="E204" i="4"/>
  <c r="Q204" i="4" s="1" a="1"/>
  <c r="Q204" i="4" s="1"/>
  <c r="E205" i="4"/>
  <c r="Q205" i="4" s="1" a="1"/>
  <c r="Q205" i="4" s="1"/>
  <c r="E206" i="4"/>
  <c r="M701" i="25" s="1"/>
  <c r="E207" i="4"/>
  <c r="M702" i="25" s="1"/>
  <c r="E208" i="4"/>
  <c r="E209" i="4"/>
  <c r="E210" i="4"/>
  <c r="E211" i="4"/>
  <c r="E212" i="4"/>
  <c r="Q212" i="4" s="1" a="1"/>
  <c r="Q212" i="4" s="1"/>
  <c r="E213" i="4"/>
  <c r="Q213" i="4" s="1" a="1"/>
  <c r="Q213" i="4" s="1"/>
  <c r="Z708" i="25" s="1"/>
  <c r="E214" i="4"/>
  <c r="R214" i="4" s="1" a="1"/>
  <c r="R214" i="4" s="1"/>
  <c r="E215" i="4"/>
  <c r="M710" i="25" s="1"/>
  <c r="E216" i="4"/>
  <c r="R216" i="4" s="1" a="1"/>
  <c r="R216" i="4" s="1"/>
  <c r="E217" i="4"/>
  <c r="E218" i="4"/>
  <c r="E219" i="4"/>
  <c r="E220" i="4"/>
  <c r="M715" i="25" s="1"/>
  <c r="E221" i="4"/>
  <c r="M716" i="25" s="1"/>
  <c r="E222" i="4"/>
  <c r="M717" i="25" s="1"/>
  <c r="E223" i="4"/>
  <c r="M718" i="25" s="1"/>
  <c r="E224" i="4"/>
  <c r="E225" i="4"/>
  <c r="E226" i="4"/>
  <c r="E227" i="4"/>
  <c r="E228" i="4"/>
  <c r="M723" i="25" s="1"/>
  <c r="E229" i="4"/>
  <c r="M724" i="25" s="1"/>
  <c r="F30" i="4"/>
  <c r="N525" i="25" s="1"/>
  <c r="F63" i="4"/>
  <c r="N558" i="25" s="1"/>
  <c r="H8" i="4"/>
  <c r="Q503" i="25" s="1"/>
  <c r="H9" i="4"/>
  <c r="Q504" i="25" s="1"/>
  <c r="H10" i="4"/>
  <c r="Q505" i="25" s="1"/>
  <c r="H11" i="4"/>
  <c r="Q506" i="25" s="1"/>
  <c r="H12" i="4"/>
  <c r="Q507" i="25" s="1"/>
  <c r="H13" i="4"/>
  <c r="Q508" i="25" s="1"/>
  <c r="H14" i="4"/>
  <c r="Q509" i="25" s="1"/>
  <c r="H15" i="4"/>
  <c r="Q510" i="25" s="1"/>
  <c r="H16" i="4"/>
  <c r="Q511" i="25" s="1"/>
  <c r="H17" i="4"/>
  <c r="Q512" i="25" s="1"/>
  <c r="H18" i="4"/>
  <c r="Q513" i="25" s="1"/>
  <c r="H19" i="4"/>
  <c r="Q514" i="25" s="1"/>
  <c r="H20" i="4"/>
  <c r="Q515" i="25" s="1"/>
  <c r="H21" i="4"/>
  <c r="Q516" i="25" s="1"/>
  <c r="H22" i="4"/>
  <c r="Q517" i="25" s="1"/>
  <c r="H23" i="4"/>
  <c r="Q518" i="25" s="1"/>
  <c r="H24" i="4"/>
  <c r="Q519" i="25" s="1"/>
  <c r="H25" i="4"/>
  <c r="Q520" i="25" s="1"/>
  <c r="H26" i="4"/>
  <c r="Q521" i="25" s="1"/>
  <c r="H27" i="4"/>
  <c r="Q522" i="25" s="1"/>
  <c r="H28" i="4"/>
  <c r="Q523" i="25" s="1"/>
  <c r="H29" i="4"/>
  <c r="Q524" i="25" s="1"/>
  <c r="H30" i="4"/>
  <c r="Q525" i="25" s="1"/>
  <c r="H31" i="4"/>
  <c r="Q526" i="25" s="1"/>
  <c r="H32" i="4"/>
  <c r="Q527" i="25" s="1"/>
  <c r="H33" i="4"/>
  <c r="Q528" i="25" s="1"/>
  <c r="H34" i="4"/>
  <c r="Q529" i="25" s="1"/>
  <c r="H35" i="4"/>
  <c r="Q530" i="25" s="1"/>
  <c r="H36" i="4"/>
  <c r="Q531" i="25" s="1"/>
  <c r="H37" i="4"/>
  <c r="Q532" i="25" s="1"/>
  <c r="H38" i="4"/>
  <c r="Q533" i="25" s="1"/>
  <c r="H39" i="4"/>
  <c r="Q534" i="25" s="1"/>
  <c r="H40" i="4"/>
  <c r="Q535" i="25" s="1"/>
  <c r="H41" i="4"/>
  <c r="Q536" i="25" s="1"/>
  <c r="H42" i="4"/>
  <c r="Q537" i="25" s="1"/>
  <c r="H43" i="4"/>
  <c r="Q538" i="25" s="1"/>
  <c r="H44" i="4"/>
  <c r="Q539" i="25" s="1"/>
  <c r="H45" i="4"/>
  <c r="Q540" i="25" s="1"/>
  <c r="H46" i="4"/>
  <c r="Q541" i="25" s="1"/>
  <c r="H47" i="4"/>
  <c r="Q542" i="25" s="1"/>
  <c r="H48" i="4"/>
  <c r="Q543" i="25" s="1"/>
  <c r="H49" i="4"/>
  <c r="Q544" i="25" s="1"/>
  <c r="H50" i="4"/>
  <c r="Q545" i="25" s="1"/>
  <c r="H51" i="4"/>
  <c r="Q546" i="25" s="1"/>
  <c r="H52" i="4"/>
  <c r="Q547" i="25" s="1"/>
  <c r="H53" i="4"/>
  <c r="Q548" i="25" s="1"/>
  <c r="H54" i="4"/>
  <c r="Q549" i="25" s="1"/>
  <c r="H55" i="4"/>
  <c r="Q550" i="25" s="1"/>
  <c r="H56" i="4"/>
  <c r="Q551" i="25" s="1"/>
  <c r="H57" i="4"/>
  <c r="Q552" i="25" s="1"/>
  <c r="H58" i="4"/>
  <c r="Q553" i="25" s="1"/>
  <c r="H59" i="4"/>
  <c r="Q554" i="25" s="1"/>
  <c r="H60" i="4"/>
  <c r="Q555" i="25" s="1"/>
  <c r="H61" i="4"/>
  <c r="Q556" i="25" s="1"/>
  <c r="H62" i="4"/>
  <c r="Q557" i="25" s="1"/>
  <c r="H63" i="4"/>
  <c r="Q558" i="25" s="1"/>
  <c r="H64" i="4"/>
  <c r="Q559" i="25" s="1"/>
  <c r="H65" i="4"/>
  <c r="Q560" i="25" s="1"/>
  <c r="H66" i="4"/>
  <c r="Q561" i="25" s="1"/>
  <c r="H67" i="4"/>
  <c r="Q562" i="25" s="1"/>
  <c r="H68" i="4"/>
  <c r="Q563" i="25" s="1"/>
  <c r="H69" i="4"/>
  <c r="Q564" i="25" s="1"/>
  <c r="H70" i="4"/>
  <c r="Q565" i="25" s="1"/>
  <c r="H71" i="4"/>
  <c r="Q566" i="25" s="1"/>
  <c r="H72" i="4"/>
  <c r="Q567" i="25" s="1"/>
  <c r="H73" i="4"/>
  <c r="Q568" i="25" s="1"/>
  <c r="H74" i="4"/>
  <c r="Q569" i="25" s="1"/>
  <c r="H75" i="4"/>
  <c r="Q570" i="25" s="1"/>
  <c r="H76" i="4"/>
  <c r="Q571" i="25" s="1"/>
  <c r="H77" i="4"/>
  <c r="Q572" i="25" s="1"/>
  <c r="H78" i="4"/>
  <c r="Q573" i="25" s="1"/>
  <c r="H79" i="4"/>
  <c r="Q574" i="25" s="1"/>
  <c r="H80" i="4"/>
  <c r="Q575" i="25" s="1"/>
  <c r="H81" i="4"/>
  <c r="Q576" i="25" s="1"/>
  <c r="H82" i="4"/>
  <c r="Q577" i="25" s="1"/>
  <c r="H83" i="4"/>
  <c r="Q578" i="25" s="1"/>
  <c r="H84" i="4"/>
  <c r="Q579" i="25" s="1"/>
  <c r="H85" i="4"/>
  <c r="Q580" i="25" s="1"/>
  <c r="H86" i="4"/>
  <c r="Q581" i="25" s="1"/>
  <c r="H87" i="4"/>
  <c r="Q582" i="25" s="1"/>
  <c r="H88" i="4"/>
  <c r="Q583" i="25" s="1"/>
  <c r="H89" i="4"/>
  <c r="Q584" i="25" s="1"/>
  <c r="H90" i="4"/>
  <c r="Q585" i="25" s="1"/>
  <c r="H91" i="4"/>
  <c r="Q586" i="25" s="1"/>
  <c r="H92" i="4"/>
  <c r="Q587" i="25" s="1"/>
  <c r="H93" i="4"/>
  <c r="Q588" i="25" s="1"/>
  <c r="H94" i="4"/>
  <c r="Q589" i="25" s="1"/>
  <c r="H95" i="4"/>
  <c r="Q590" i="25" s="1"/>
  <c r="H96" i="4"/>
  <c r="Q591" i="25" s="1"/>
  <c r="H97" i="4"/>
  <c r="Q592" i="25" s="1"/>
  <c r="H98" i="4"/>
  <c r="Q593" i="25" s="1"/>
  <c r="H99" i="4"/>
  <c r="Q594" i="25" s="1"/>
  <c r="H100" i="4"/>
  <c r="Q595" i="25" s="1"/>
  <c r="H101" i="4"/>
  <c r="Q596" i="25" s="1"/>
  <c r="H102" i="4"/>
  <c r="Q597" i="25" s="1"/>
  <c r="H103" i="4"/>
  <c r="Q598" i="25" s="1"/>
  <c r="H104" i="4"/>
  <c r="Q599" i="25" s="1"/>
  <c r="H105" i="4"/>
  <c r="Q600" i="25" s="1"/>
  <c r="H106" i="4"/>
  <c r="Q601" i="25" s="1"/>
  <c r="H107" i="4"/>
  <c r="Q602" i="25" s="1"/>
  <c r="H108" i="4"/>
  <c r="Q603" i="25" s="1"/>
  <c r="H109" i="4"/>
  <c r="Q604" i="25" s="1"/>
  <c r="H110" i="4"/>
  <c r="Q605" i="25" s="1"/>
  <c r="H111" i="4"/>
  <c r="Q606" i="25" s="1"/>
  <c r="H112" i="4"/>
  <c r="Q607" i="25" s="1"/>
  <c r="H113" i="4"/>
  <c r="Q608" i="25" s="1"/>
  <c r="H114" i="4"/>
  <c r="Q609" i="25" s="1"/>
  <c r="H115" i="4"/>
  <c r="Q610" i="25" s="1"/>
  <c r="H116" i="4"/>
  <c r="Q611" i="25" s="1"/>
  <c r="H117" i="4"/>
  <c r="Q612" i="25" s="1"/>
  <c r="H118" i="4"/>
  <c r="Q613" i="25" s="1"/>
  <c r="H119" i="4"/>
  <c r="Q614" i="25" s="1"/>
  <c r="H120" i="4"/>
  <c r="Q615" i="25" s="1"/>
  <c r="H121" i="4"/>
  <c r="Q616" i="25" s="1"/>
  <c r="H122" i="4"/>
  <c r="Q617" i="25" s="1"/>
  <c r="H123" i="4"/>
  <c r="Q618" i="25" s="1"/>
  <c r="H124" i="4"/>
  <c r="Q619" i="25" s="1"/>
  <c r="H125" i="4"/>
  <c r="Q620" i="25" s="1"/>
  <c r="H126" i="4"/>
  <c r="Q621" i="25" s="1"/>
  <c r="H127" i="4"/>
  <c r="Q622" i="25" s="1"/>
  <c r="H128" i="4"/>
  <c r="Q623" i="25" s="1"/>
  <c r="H129" i="4"/>
  <c r="Q624" i="25" s="1"/>
  <c r="H130" i="4"/>
  <c r="Q625" i="25" s="1"/>
  <c r="H131" i="4"/>
  <c r="Q626" i="25" s="1"/>
  <c r="H132" i="4"/>
  <c r="Q627" i="25" s="1"/>
  <c r="H133" i="4"/>
  <c r="Q628" i="25" s="1"/>
  <c r="H134" i="4"/>
  <c r="Q629" i="25" s="1"/>
  <c r="H135" i="4"/>
  <c r="Q630" i="25" s="1"/>
  <c r="H136" i="4"/>
  <c r="Q631" i="25" s="1"/>
  <c r="H137" i="4"/>
  <c r="Q632" i="25" s="1"/>
  <c r="H138" i="4"/>
  <c r="Q633" i="25" s="1"/>
  <c r="H139" i="4"/>
  <c r="Q634" i="25" s="1"/>
  <c r="H140" i="4"/>
  <c r="Q635" i="25" s="1"/>
  <c r="H141" i="4"/>
  <c r="Q636" i="25" s="1"/>
  <c r="H142" i="4"/>
  <c r="Q637" i="25" s="1"/>
  <c r="H143" i="4"/>
  <c r="Q638" i="25" s="1"/>
  <c r="H144" i="4"/>
  <c r="Q639" i="25" s="1"/>
  <c r="H145" i="4"/>
  <c r="Q640" i="25" s="1"/>
  <c r="H146" i="4"/>
  <c r="Q641" i="25" s="1"/>
  <c r="H147" i="4"/>
  <c r="Q642" i="25" s="1"/>
  <c r="H148" i="4"/>
  <c r="Q643" i="25" s="1"/>
  <c r="H149" i="4"/>
  <c r="Q644" i="25" s="1"/>
  <c r="H150" i="4"/>
  <c r="Q645" i="25" s="1"/>
  <c r="H151" i="4"/>
  <c r="Q646" i="25" s="1"/>
  <c r="H152" i="4"/>
  <c r="Q647" i="25" s="1"/>
  <c r="H153" i="4"/>
  <c r="Q648" i="25" s="1"/>
  <c r="H154" i="4"/>
  <c r="Q649" i="25" s="1"/>
  <c r="H155" i="4"/>
  <c r="Q650" i="25" s="1"/>
  <c r="H156" i="4"/>
  <c r="Q651" i="25" s="1"/>
  <c r="H157" i="4"/>
  <c r="Q652" i="25" s="1"/>
  <c r="H158" i="4"/>
  <c r="Q653" i="25" s="1"/>
  <c r="H159" i="4"/>
  <c r="Q654" i="25" s="1"/>
  <c r="H160" i="4"/>
  <c r="Q655" i="25" s="1"/>
  <c r="H161" i="4"/>
  <c r="Q656" i="25" s="1"/>
  <c r="H162" i="4"/>
  <c r="Q657" i="25" s="1"/>
  <c r="H163" i="4"/>
  <c r="Q658" i="25" s="1"/>
  <c r="H164" i="4"/>
  <c r="Q659" i="25" s="1"/>
  <c r="H165" i="4"/>
  <c r="Q660" i="25" s="1"/>
  <c r="H166" i="4"/>
  <c r="Q661" i="25" s="1"/>
  <c r="H167" i="4"/>
  <c r="Q662" i="25" s="1"/>
  <c r="H168" i="4"/>
  <c r="Q663" i="25" s="1"/>
  <c r="H169" i="4"/>
  <c r="Q664" i="25" s="1"/>
  <c r="H170" i="4"/>
  <c r="Q665" i="25" s="1"/>
  <c r="H171" i="4"/>
  <c r="Q666" i="25" s="1"/>
  <c r="H172" i="4"/>
  <c r="Q667" i="25" s="1"/>
  <c r="H173" i="4"/>
  <c r="Q668" i="25" s="1"/>
  <c r="H174" i="4"/>
  <c r="Q669" i="25" s="1"/>
  <c r="H175" i="4"/>
  <c r="Q670" i="25" s="1"/>
  <c r="H176" i="4"/>
  <c r="Q671" i="25" s="1"/>
  <c r="H177" i="4"/>
  <c r="Q672" i="25" s="1"/>
  <c r="H178" i="4"/>
  <c r="Q673" i="25" s="1"/>
  <c r="H179" i="4"/>
  <c r="Q674" i="25" s="1"/>
  <c r="H180" i="4"/>
  <c r="Q675" i="25" s="1"/>
  <c r="H181" i="4"/>
  <c r="Q676" i="25" s="1"/>
  <c r="H182" i="4"/>
  <c r="Q677" i="25" s="1"/>
  <c r="H183" i="4"/>
  <c r="Q678" i="25" s="1"/>
  <c r="H184" i="4"/>
  <c r="Q679" i="25" s="1"/>
  <c r="H185" i="4"/>
  <c r="Q680" i="25" s="1"/>
  <c r="H186" i="4"/>
  <c r="Q681" i="25" s="1"/>
  <c r="H187" i="4"/>
  <c r="Q682" i="25" s="1"/>
  <c r="H188" i="4"/>
  <c r="Q683" i="25" s="1"/>
  <c r="H189" i="4"/>
  <c r="Q684" i="25" s="1"/>
  <c r="H190" i="4"/>
  <c r="Q685" i="25" s="1"/>
  <c r="H191" i="4"/>
  <c r="Q686" i="25" s="1"/>
  <c r="H192" i="4"/>
  <c r="Q687" i="25" s="1"/>
  <c r="H193" i="4"/>
  <c r="Q688" i="25" s="1"/>
  <c r="H194" i="4"/>
  <c r="Q689" i="25" s="1"/>
  <c r="H195" i="4"/>
  <c r="Q690" i="25" s="1"/>
  <c r="H196" i="4"/>
  <c r="Q691" i="25" s="1"/>
  <c r="H197" i="4"/>
  <c r="Q692" i="25" s="1"/>
  <c r="H198" i="4"/>
  <c r="Q693" i="25" s="1"/>
  <c r="H199" i="4"/>
  <c r="Q694" i="25" s="1"/>
  <c r="H200" i="4"/>
  <c r="Q695" i="25" s="1"/>
  <c r="H201" i="4"/>
  <c r="Q696" i="25" s="1"/>
  <c r="H202" i="4"/>
  <c r="Q697" i="25" s="1"/>
  <c r="H203" i="4"/>
  <c r="Q698" i="25" s="1"/>
  <c r="H204" i="4"/>
  <c r="Q699" i="25" s="1"/>
  <c r="H205" i="4"/>
  <c r="Q700" i="25" s="1"/>
  <c r="H206" i="4"/>
  <c r="Q701" i="25" s="1"/>
  <c r="H207" i="4"/>
  <c r="Q702" i="25" s="1"/>
  <c r="H208" i="4"/>
  <c r="Q703" i="25" s="1"/>
  <c r="H209" i="4"/>
  <c r="Q704" i="25" s="1"/>
  <c r="H210" i="4"/>
  <c r="Q705" i="25" s="1"/>
  <c r="H211" i="4"/>
  <c r="Q706" i="25" s="1"/>
  <c r="H212" i="4"/>
  <c r="Q707" i="25" s="1"/>
  <c r="H213" i="4"/>
  <c r="Q708" i="25" s="1"/>
  <c r="H214" i="4"/>
  <c r="Q709" i="25" s="1"/>
  <c r="H215" i="4"/>
  <c r="Q710" i="25" s="1"/>
  <c r="H216" i="4"/>
  <c r="Q711" i="25" s="1"/>
  <c r="H217" i="4"/>
  <c r="Q712" i="25" s="1"/>
  <c r="H218" i="4"/>
  <c r="Q713" i="25" s="1"/>
  <c r="H219" i="4"/>
  <c r="Q714" i="25" s="1"/>
  <c r="H220" i="4"/>
  <c r="Q715" i="25" s="1"/>
  <c r="H221" i="4"/>
  <c r="Q716" i="25" s="1"/>
  <c r="H222" i="4"/>
  <c r="Q717" i="25" s="1"/>
  <c r="H223" i="4"/>
  <c r="Q718" i="25" s="1"/>
  <c r="H224" i="4"/>
  <c r="Q719" i="25" s="1"/>
  <c r="H225" i="4"/>
  <c r="Q720" i="25" s="1"/>
  <c r="H226" i="4"/>
  <c r="Q721" i="25" s="1"/>
  <c r="H227" i="4"/>
  <c r="Q722" i="25" s="1"/>
  <c r="H228" i="4"/>
  <c r="Q723" i="25" s="1"/>
  <c r="H229" i="4"/>
  <c r="Q724" i="25" s="1"/>
  <c r="J8" i="4"/>
  <c r="S503" i="25" s="1"/>
  <c r="J9" i="4"/>
  <c r="S504" i="25" s="1"/>
  <c r="J10" i="4"/>
  <c r="S505" i="25" s="1"/>
  <c r="J11" i="4"/>
  <c r="S506" i="25" s="1"/>
  <c r="J12" i="4"/>
  <c r="S507" i="25" s="1"/>
  <c r="J13" i="4"/>
  <c r="S508" i="25" s="1"/>
  <c r="J14" i="4"/>
  <c r="S509" i="25" s="1"/>
  <c r="J15" i="4"/>
  <c r="S510" i="25" s="1"/>
  <c r="J16" i="4"/>
  <c r="S511" i="25" s="1"/>
  <c r="J17" i="4"/>
  <c r="S512" i="25" s="1"/>
  <c r="J18" i="4"/>
  <c r="S513" i="25" s="1"/>
  <c r="J19" i="4"/>
  <c r="S514" i="25" s="1"/>
  <c r="J20" i="4"/>
  <c r="S515" i="25" s="1"/>
  <c r="J21" i="4"/>
  <c r="S516" i="25" s="1"/>
  <c r="J22" i="4"/>
  <c r="S517" i="25" s="1"/>
  <c r="J23" i="4"/>
  <c r="S518" i="25" s="1"/>
  <c r="J24" i="4"/>
  <c r="S519" i="25" s="1"/>
  <c r="J25" i="4"/>
  <c r="S520" i="25" s="1"/>
  <c r="J26" i="4"/>
  <c r="S521" i="25" s="1"/>
  <c r="J27" i="4"/>
  <c r="S522" i="25" s="1"/>
  <c r="J28" i="4"/>
  <c r="S523" i="25" s="1"/>
  <c r="J29" i="4"/>
  <c r="S524" i="25" s="1"/>
  <c r="J30" i="4"/>
  <c r="S525" i="25" s="1"/>
  <c r="J31" i="4"/>
  <c r="S526" i="25" s="1"/>
  <c r="J32" i="4"/>
  <c r="S527" i="25" s="1"/>
  <c r="J33" i="4"/>
  <c r="S528" i="25" s="1"/>
  <c r="J34" i="4"/>
  <c r="S529" i="25" s="1"/>
  <c r="J35" i="4"/>
  <c r="S530" i="25" s="1"/>
  <c r="J36" i="4"/>
  <c r="S531" i="25" s="1"/>
  <c r="J37" i="4"/>
  <c r="S532" i="25" s="1"/>
  <c r="J38" i="4"/>
  <c r="S533" i="25" s="1"/>
  <c r="J39" i="4"/>
  <c r="S534" i="25" s="1"/>
  <c r="J40" i="4"/>
  <c r="S535" i="25" s="1"/>
  <c r="J41" i="4"/>
  <c r="S536" i="25" s="1"/>
  <c r="J42" i="4"/>
  <c r="S537" i="25" s="1"/>
  <c r="J43" i="4"/>
  <c r="S538" i="25" s="1"/>
  <c r="J44" i="4"/>
  <c r="S539" i="25" s="1"/>
  <c r="J45" i="4"/>
  <c r="S540" i="25" s="1"/>
  <c r="J46" i="4"/>
  <c r="S541" i="25" s="1"/>
  <c r="J47" i="4"/>
  <c r="S542" i="25" s="1"/>
  <c r="J48" i="4"/>
  <c r="S543" i="25" s="1"/>
  <c r="J49" i="4"/>
  <c r="S544" i="25" s="1"/>
  <c r="J50" i="4"/>
  <c r="S545" i="25" s="1"/>
  <c r="J51" i="4"/>
  <c r="S546" i="25" s="1"/>
  <c r="J52" i="4"/>
  <c r="S547" i="25" s="1"/>
  <c r="J53" i="4"/>
  <c r="S548" i="25" s="1"/>
  <c r="J54" i="4"/>
  <c r="S549" i="25" s="1"/>
  <c r="J55" i="4"/>
  <c r="S550" i="25" s="1"/>
  <c r="J56" i="4"/>
  <c r="S551" i="25" s="1"/>
  <c r="J57" i="4"/>
  <c r="S552" i="25" s="1"/>
  <c r="J58" i="4"/>
  <c r="S553" i="25" s="1"/>
  <c r="J59" i="4"/>
  <c r="S554" i="25" s="1"/>
  <c r="J60" i="4"/>
  <c r="S555" i="25" s="1"/>
  <c r="J61" i="4"/>
  <c r="S556" i="25" s="1"/>
  <c r="J62" i="4"/>
  <c r="S557" i="25" s="1"/>
  <c r="J63" i="4"/>
  <c r="S558" i="25" s="1"/>
  <c r="J64" i="4"/>
  <c r="S559" i="25" s="1"/>
  <c r="J65" i="4"/>
  <c r="S560" i="25" s="1"/>
  <c r="J66" i="4"/>
  <c r="S561" i="25" s="1"/>
  <c r="J67" i="4"/>
  <c r="S562" i="25" s="1"/>
  <c r="J68" i="4"/>
  <c r="S563" i="25" s="1"/>
  <c r="J69" i="4"/>
  <c r="S564" i="25" s="1"/>
  <c r="J70" i="4"/>
  <c r="S565" i="25" s="1"/>
  <c r="J71" i="4"/>
  <c r="S566" i="25" s="1"/>
  <c r="J72" i="4"/>
  <c r="S567" i="25" s="1"/>
  <c r="J73" i="4"/>
  <c r="S568" i="25" s="1"/>
  <c r="J74" i="4"/>
  <c r="S569" i="25" s="1"/>
  <c r="J75" i="4"/>
  <c r="S570" i="25" s="1"/>
  <c r="J76" i="4"/>
  <c r="S571" i="25" s="1"/>
  <c r="J77" i="4"/>
  <c r="S572" i="25" s="1"/>
  <c r="J78" i="4"/>
  <c r="S573" i="25" s="1"/>
  <c r="J79" i="4"/>
  <c r="S574" i="25" s="1"/>
  <c r="J80" i="4"/>
  <c r="S575" i="25" s="1"/>
  <c r="J81" i="4"/>
  <c r="S576" i="25" s="1"/>
  <c r="J82" i="4"/>
  <c r="S577" i="25" s="1"/>
  <c r="J83" i="4"/>
  <c r="S578" i="25" s="1"/>
  <c r="J84" i="4"/>
  <c r="S579" i="25" s="1"/>
  <c r="J85" i="4"/>
  <c r="S580" i="25" s="1"/>
  <c r="J86" i="4"/>
  <c r="S581" i="25" s="1"/>
  <c r="J87" i="4"/>
  <c r="S582" i="25" s="1"/>
  <c r="J88" i="4"/>
  <c r="S583" i="25" s="1"/>
  <c r="J89" i="4"/>
  <c r="S584" i="25" s="1"/>
  <c r="J90" i="4"/>
  <c r="S585" i="25" s="1"/>
  <c r="J91" i="4"/>
  <c r="S586" i="25" s="1"/>
  <c r="J92" i="4"/>
  <c r="S587" i="25" s="1"/>
  <c r="J93" i="4"/>
  <c r="S588" i="25" s="1"/>
  <c r="J94" i="4"/>
  <c r="S589" i="25" s="1"/>
  <c r="J95" i="4"/>
  <c r="S590" i="25" s="1"/>
  <c r="J96" i="4"/>
  <c r="S591" i="25" s="1"/>
  <c r="J97" i="4"/>
  <c r="S592" i="25" s="1"/>
  <c r="J98" i="4"/>
  <c r="S593" i="25" s="1"/>
  <c r="J99" i="4"/>
  <c r="S594" i="25" s="1"/>
  <c r="J100" i="4"/>
  <c r="S595" i="25" s="1"/>
  <c r="J101" i="4"/>
  <c r="S596" i="25" s="1"/>
  <c r="J102" i="4"/>
  <c r="S597" i="25" s="1"/>
  <c r="J103" i="4"/>
  <c r="S598" i="25" s="1"/>
  <c r="J104" i="4"/>
  <c r="S599" i="25" s="1"/>
  <c r="J105" i="4"/>
  <c r="S600" i="25" s="1"/>
  <c r="J106" i="4"/>
  <c r="S601" i="25" s="1"/>
  <c r="J107" i="4"/>
  <c r="S602" i="25" s="1"/>
  <c r="J108" i="4"/>
  <c r="S603" i="25" s="1"/>
  <c r="J109" i="4"/>
  <c r="S604" i="25" s="1"/>
  <c r="J110" i="4"/>
  <c r="S605" i="25" s="1"/>
  <c r="J111" i="4"/>
  <c r="S606" i="25" s="1"/>
  <c r="J112" i="4"/>
  <c r="S607" i="25" s="1"/>
  <c r="J113" i="4"/>
  <c r="S608" i="25" s="1"/>
  <c r="J114" i="4"/>
  <c r="S609" i="25" s="1"/>
  <c r="J115" i="4"/>
  <c r="S610" i="25" s="1"/>
  <c r="J116" i="4"/>
  <c r="S611" i="25" s="1"/>
  <c r="J117" i="4"/>
  <c r="S612" i="25" s="1"/>
  <c r="J118" i="4"/>
  <c r="S613" i="25" s="1"/>
  <c r="J119" i="4"/>
  <c r="S614" i="25" s="1"/>
  <c r="J120" i="4"/>
  <c r="S615" i="25" s="1"/>
  <c r="J121" i="4"/>
  <c r="S616" i="25" s="1"/>
  <c r="J122" i="4"/>
  <c r="S617" i="25" s="1"/>
  <c r="J123" i="4"/>
  <c r="S618" i="25" s="1"/>
  <c r="J124" i="4"/>
  <c r="S619" i="25" s="1"/>
  <c r="J125" i="4"/>
  <c r="S620" i="25" s="1"/>
  <c r="J126" i="4"/>
  <c r="S621" i="25" s="1"/>
  <c r="J127" i="4"/>
  <c r="S622" i="25" s="1"/>
  <c r="J128" i="4"/>
  <c r="S623" i="25" s="1"/>
  <c r="J129" i="4"/>
  <c r="S624" i="25" s="1"/>
  <c r="J130" i="4"/>
  <c r="S625" i="25" s="1"/>
  <c r="J131" i="4"/>
  <c r="S626" i="25" s="1"/>
  <c r="J132" i="4"/>
  <c r="S627" i="25" s="1"/>
  <c r="J133" i="4"/>
  <c r="S628" i="25" s="1"/>
  <c r="J134" i="4"/>
  <c r="S629" i="25" s="1"/>
  <c r="J135" i="4"/>
  <c r="S630" i="25" s="1"/>
  <c r="J136" i="4"/>
  <c r="S631" i="25" s="1"/>
  <c r="J137" i="4"/>
  <c r="S632" i="25" s="1"/>
  <c r="J138" i="4"/>
  <c r="S633" i="25" s="1"/>
  <c r="J139" i="4"/>
  <c r="S634" i="25" s="1"/>
  <c r="J140" i="4"/>
  <c r="S635" i="25" s="1"/>
  <c r="J141" i="4"/>
  <c r="S636" i="25" s="1"/>
  <c r="J142" i="4"/>
  <c r="S637" i="25" s="1"/>
  <c r="J143" i="4"/>
  <c r="S638" i="25" s="1"/>
  <c r="J144" i="4"/>
  <c r="S639" i="25" s="1"/>
  <c r="J145" i="4"/>
  <c r="S640" i="25" s="1"/>
  <c r="J146" i="4"/>
  <c r="S641" i="25" s="1"/>
  <c r="J147" i="4"/>
  <c r="S642" i="25" s="1"/>
  <c r="J148" i="4"/>
  <c r="S643" i="25" s="1"/>
  <c r="J149" i="4"/>
  <c r="S644" i="25" s="1"/>
  <c r="J150" i="4"/>
  <c r="S645" i="25" s="1"/>
  <c r="J151" i="4"/>
  <c r="S646" i="25" s="1"/>
  <c r="J152" i="4"/>
  <c r="S647" i="25" s="1"/>
  <c r="J153" i="4"/>
  <c r="S648" i="25" s="1"/>
  <c r="J154" i="4"/>
  <c r="S649" i="25" s="1"/>
  <c r="J155" i="4"/>
  <c r="S650" i="25" s="1"/>
  <c r="J156" i="4"/>
  <c r="S651" i="25" s="1"/>
  <c r="J157" i="4"/>
  <c r="S652" i="25" s="1"/>
  <c r="J158" i="4"/>
  <c r="S653" i="25" s="1"/>
  <c r="J159" i="4"/>
  <c r="S654" i="25" s="1"/>
  <c r="J160" i="4"/>
  <c r="S655" i="25" s="1"/>
  <c r="J161" i="4"/>
  <c r="S656" i="25" s="1"/>
  <c r="J162" i="4"/>
  <c r="S657" i="25" s="1"/>
  <c r="J163" i="4"/>
  <c r="S658" i="25" s="1"/>
  <c r="J164" i="4"/>
  <c r="S659" i="25" s="1"/>
  <c r="J165" i="4"/>
  <c r="S660" i="25" s="1"/>
  <c r="J166" i="4"/>
  <c r="S661" i="25" s="1"/>
  <c r="J167" i="4"/>
  <c r="S662" i="25" s="1"/>
  <c r="J168" i="4"/>
  <c r="S663" i="25" s="1"/>
  <c r="J169" i="4"/>
  <c r="S664" i="25" s="1"/>
  <c r="J170" i="4"/>
  <c r="S665" i="25" s="1"/>
  <c r="J171" i="4"/>
  <c r="S666" i="25" s="1"/>
  <c r="J172" i="4"/>
  <c r="S667" i="25" s="1"/>
  <c r="J173" i="4"/>
  <c r="S668" i="25" s="1"/>
  <c r="J174" i="4"/>
  <c r="S669" i="25" s="1"/>
  <c r="J175" i="4"/>
  <c r="S670" i="25" s="1"/>
  <c r="J176" i="4"/>
  <c r="S671" i="25" s="1"/>
  <c r="J177" i="4"/>
  <c r="S672" i="25" s="1"/>
  <c r="J178" i="4"/>
  <c r="S673" i="25" s="1"/>
  <c r="J179" i="4"/>
  <c r="S674" i="25" s="1"/>
  <c r="J180" i="4"/>
  <c r="S675" i="25" s="1"/>
  <c r="J181" i="4"/>
  <c r="S676" i="25" s="1"/>
  <c r="J182" i="4"/>
  <c r="S677" i="25" s="1"/>
  <c r="J183" i="4"/>
  <c r="S678" i="25" s="1"/>
  <c r="J184" i="4"/>
  <c r="S679" i="25" s="1"/>
  <c r="J185" i="4"/>
  <c r="S680" i="25" s="1"/>
  <c r="J186" i="4"/>
  <c r="S681" i="25" s="1"/>
  <c r="J187" i="4"/>
  <c r="S682" i="25" s="1"/>
  <c r="J188" i="4"/>
  <c r="S683" i="25" s="1"/>
  <c r="J189" i="4"/>
  <c r="S684" i="25" s="1"/>
  <c r="J190" i="4"/>
  <c r="S685" i="25" s="1"/>
  <c r="J191" i="4"/>
  <c r="S686" i="25" s="1"/>
  <c r="J192" i="4"/>
  <c r="S687" i="25" s="1"/>
  <c r="J193" i="4"/>
  <c r="S688" i="25" s="1"/>
  <c r="J194" i="4"/>
  <c r="S689" i="25" s="1"/>
  <c r="J195" i="4"/>
  <c r="S690" i="25" s="1"/>
  <c r="J196" i="4"/>
  <c r="S691" i="25" s="1"/>
  <c r="J197" i="4"/>
  <c r="S692" i="25" s="1"/>
  <c r="J198" i="4"/>
  <c r="S693" i="25" s="1"/>
  <c r="J199" i="4"/>
  <c r="S694" i="25" s="1"/>
  <c r="J200" i="4"/>
  <c r="S695" i="25" s="1"/>
  <c r="J201" i="4"/>
  <c r="S696" i="25" s="1"/>
  <c r="J202" i="4"/>
  <c r="S697" i="25" s="1"/>
  <c r="J203" i="4"/>
  <c r="S698" i="25" s="1"/>
  <c r="J204" i="4"/>
  <c r="S699" i="25" s="1"/>
  <c r="J205" i="4"/>
  <c r="S700" i="25" s="1"/>
  <c r="J206" i="4"/>
  <c r="S701" i="25" s="1"/>
  <c r="J207" i="4"/>
  <c r="S702" i="25" s="1"/>
  <c r="J208" i="4"/>
  <c r="S703" i="25" s="1"/>
  <c r="J209" i="4"/>
  <c r="S704" i="25" s="1"/>
  <c r="J210" i="4"/>
  <c r="S705" i="25" s="1"/>
  <c r="J211" i="4"/>
  <c r="S706" i="25" s="1"/>
  <c r="J212" i="4"/>
  <c r="S707" i="25" s="1"/>
  <c r="J213" i="4"/>
  <c r="S708" i="25" s="1"/>
  <c r="J214" i="4"/>
  <c r="S709" i="25" s="1"/>
  <c r="J215" i="4"/>
  <c r="S710" i="25" s="1"/>
  <c r="J216" i="4"/>
  <c r="S711" i="25" s="1"/>
  <c r="J217" i="4"/>
  <c r="S712" i="25" s="1"/>
  <c r="J218" i="4"/>
  <c r="S713" i="25" s="1"/>
  <c r="J219" i="4"/>
  <c r="S714" i="25" s="1"/>
  <c r="J220" i="4"/>
  <c r="S715" i="25" s="1"/>
  <c r="J221" i="4"/>
  <c r="S716" i="25" s="1"/>
  <c r="J222" i="4"/>
  <c r="S717" i="25" s="1"/>
  <c r="J223" i="4"/>
  <c r="S718" i="25" s="1"/>
  <c r="J224" i="4"/>
  <c r="S719" i="25" s="1"/>
  <c r="J225" i="4"/>
  <c r="S720" i="25" s="1"/>
  <c r="J226" i="4"/>
  <c r="S721" i="25" s="1"/>
  <c r="J227" i="4"/>
  <c r="S722" i="25" s="1"/>
  <c r="J228" i="4"/>
  <c r="S723" i="25" s="1"/>
  <c r="J229" i="4"/>
  <c r="S724" i="25" s="1"/>
  <c r="X11" i="4" a="1"/>
  <c r="X11" i="4" s="1"/>
  <c r="AG506" i="25" s="1"/>
  <c r="X13" i="4" a="1"/>
  <c r="X13" i="4" s="1"/>
  <c r="AG508" i="25" s="1"/>
  <c r="X19" i="4" a="1"/>
  <c r="X19" i="4" s="1"/>
  <c r="AG514" i="25" s="1"/>
  <c r="X21" i="4" a="1"/>
  <c r="X21" i="4" s="1"/>
  <c r="AG516" i="25" s="1"/>
  <c r="X24" i="4" a="1"/>
  <c r="X24" i="4" s="1"/>
  <c r="AG519" i="25" s="1"/>
  <c r="X26" i="4" a="1"/>
  <c r="X26" i="4" s="1"/>
  <c r="AG521" i="25" s="1"/>
  <c r="X29" i="4" a="1"/>
  <c r="X29" i="4" s="1"/>
  <c r="AG524" i="25" s="1"/>
  <c r="X30" i="4" a="1"/>
  <c r="X30" i="4" s="1"/>
  <c r="AG525" i="25" s="1"/>
  <c r="X32" i="4" a="1"/>
  <c r="X32" i="4" s="1"/>
  <c r="AG527" i="25" s="1"/>
  <c r="X37" i="4" a="1"/>
  <c r="X37" i="4" s="1"/>
  <c r="AG532" i="25" s="1"/>
  <c r="X45" i="4" a="1"/>
  <c r="X45" i="4" s="1"/>
  <c r="AG540" i="25" s="1"/>
  <c r="X53" i="4" a="1"/>
  <c r="X53" i="4" s="1"/>
  <c r="AG548" i="25" s="1"/>
  <c r="X61" i="4" a="1"/>
  <c r="X61" i="4" s="1"/>
  <c r="AG556" i="25" s="1"/>
  <c r="X64" i="4" a="1"/>
  <c r="X64" i="4" s="1"/>
  <c r="AG559" i="25" s="1"/>
  <c r="X69" i="4" a="1"/>
  <c r="X69" i="4" s="1"/>
  <c r="AG564" i="25" s="1"/>
  <c r="X72" i="4" a="1"/>
  <c r="X72" i="4" s="1"/>
  <c r="AG567" i="25" s="1"/>
  <c r="X77" i="4" a="1"/>
  <c r="X77" i="4" s="1"/>
  <c r="AG572" i="25" s="1"/>
  <c r="X80" i="4" a="1"/>
  <c r="X80" i="4" s="1"/>
  <c r="AG575" i="25" s="1"/>
  <c r="X85" i="4" a="1"/>
  <c r="X85" i="4" s="1"/>
  <c r="AG580" i="25" s="1"/>
  <c r="X88" i="4" a="1"/>
  <c r="X88" i="4" s="1"/>
  <c r="AG583" i="25" s="1"/>
  <c r="X93" i="4" a="1"/>
  <c r="X93" i="4" s="1"/>
  <c r="AG588" i="25" s="1"/>
  <c r="X95" i="4" a="1"/>
  <c r="X95" i="4" s="1"/>
  <c r="AG590" i="25" s="1"/>
  <c r="X101" i="4" a="1"/>
  <c r="X101" i="4" s="1"/>
  <c r="AG596" i="25" s="1"/>
  <c r="X106" i="4" a="1"/>
  <c r="X106" i="4" s="1"/>
  <c r="AG601" i="25" s="1"/>
  <c r="X109" i="4" a="1"/>
  <c r="X109" i="4" s="1"/>
  <c r="AG604" i="25" s="1"/>
  <c r="X112" i="4" a="1"/>
  <c r="X112" i="4" s="1"/>
  <c r="AG607" i="25" s="1"/>
  <c r="X117" i="4" a="1"/>
  <c r="X117" i="4" s="1"/>
  <c r="AG612" i="25" s="1"/>
  <c r="X119" i="4" a="1"/>
  <c r="X119" i="4" s="1"/>
  <c r="AG614" i="25" s="1"/>
  <c r="X120" i="4" a="1"/>
  <c r="X120" i="4" s="1"/>
  <c r="AG615" i="25" s="1"/>
  <c r="X125" i="4" a="1"/>
  <c r="X125" i="4" s="1"/>
  <c r="AG620" i="25" s="1"/>
  <c r="X128" i="4" a="1"/>
  <c r="X128" i="4" s="1"/>
  <c r="AG623" i="25" s="1"/>
  <c r="X133" i="4" a="1"/>
  <c r="X133" i="4" s="1"/>
  <c r="AG628" i="25" s="1"/>
  <c r="X134" i="4" a="1"/>
  <c r="X134" i="4" s="1"/>
  <c r="AG629" i="25" s="1"/>
  <c r="X141" i="4" a="1"/>
  <c r="X141" i="4" s="1"/>
  <c r="AG636" i="25" s="1"/>
  <c r="X149" i="4" a="1"/>
  <c r="X149" i="4" s="1"/>
  <c r="AG644" i="25" s="1"/>
  <c r="X157" i="4" a="1"/>
  <c r="X157" i="4" s="1"/>
  <c r="AG652" i="25" s="1"/>
  <c r="X160" i="4" a="1"/>
  <c r="X160" i="4" s="1"/>
  <c r="AG655" i="25" s="1"/>
  <c r="X165" i="4" a="1"/>
  <c r="X165" i="4" s="1"/>
  <c r="AG660" i="25" s="1"/>
  <c r="X168" i="4" a="1"/>
  <c r="X168" i="4" s="1"/>
  <c r="AG663" i="25" s="1"/>
  <c r="X173" i="4" a="1"/>
  <c r="X173" i="4" s="1"/>
  <c r="AG668" i="25" s="1"/>
  <c r="X181" i="4" a="1"/>
  <c r="X181" i="4" s="1"/>
  <c r="AG676" i="25" s="1"/>
  <c r="X189" i="4" a="1"/>
  <c r="X189" i="4" s="1"/>
  <c r="AG684" i="25" s="1"/>
  <c r="X197" i="4" a="1"/>
  <c r="X197" i="4" s="1"/>
  <c r="AG692" i="25" s="1"/>
  <c r="X200" i="4" a="1"/>
  <c r="X200" i="4" s="1"/>
  <c r="AG695" i="25" s="1"/>
  <c r="X205" i="4" a="1"/>
  <c r="X205" i="4" s="1"/>
  <c r="AG700" i="25" s="1"/>
  <c r="X208" i="4" a="1"/>
  <c r="X208" i="4" s="1"/>
  <c r="AG703" i="25" s="1"/>
  <c r="X213" i="4" a="1"/>
  <c r="X213" i="4" s="1"/>
  <c r="AG708" i="25" s="1"/>
  <c r="X221" i="4" a="1"/>
  <c r="X221" i="4" s="1"/>
  <c r="AG716" i="25" s="1"/>
  <c r="X223" i="4" a="1"/>
  <c r="X223" i="4" s="1"/>
  <c r="AG718" i="25" s="1"/>
  <c r="X224" i="4" a="1"/>
  <c r="X224" i="4" s="1"/>
  <c r="AG719" i="25" s="1"/>
  <c r="X229" i="4" a="1"/>
  <c r="X229" i="4" s="1"/>
  <c r="AG724" i="25" s="1"/>
  <c r="D230" i="4"/>
  <c r="J725" i="25" s="1"/>
  <c r="D231" i="4"/>
  <c r="J726" i="25" s="1"/>
  <c r="D232" i="4"/>
  <c r="J727" i="25" s="1"/>
  <c r="D233" i="4"/>
  <c r="J728" i="25" s="1"/>
  <c r="D234" i="4"/>
  <c r="J729" i="25" s="1"/>
  <c r="D235" i="4"/>
  <c r="J730" i="25" s="1"/>
  <c r="D236" i="4"/>
  <c r="J731" i="25" s="1"/>
  <c r="D237" i="4"/>
  <c r="J732" i="25" s="1"/>
  <c r="D238" i="4"/>
  <c r="J733" i="25" s="1"/>
  <c r="D239" i="4"/>
  <c r="J734" i="25" s="1"/>
  <c r="D240" i="4"/>
  <c r="J735" i="25" s="1"/>
  <c r="D241" i="4"/>
  <c r="J736" i="25" s="1"/>
  <c r="D242" i="4"/>
  <c r="J737" i="25" s="1"/>
  <c r="D243" i="4"/>
  <c r="J738" i="25" s="1"/>
  <c r="D244" i="4"/>
  <c r="J739" i="25" s="1"/>
  <c r="D245" i="4"/>
  <c r="J740" i="25" s="1"/>
  <c r="D246" i="4"/>
  <c r="J741" i="25" s="1"/>
  <c r="D247" i="4"/>
  <c r="J742" i="25" s="1"/>
  <c r="D248" i="4"/>
  <c r="J743" i="25" s="1"/>
  <c r="D249" i="4"/>
  <c r="J744" i="25" s="1"/>
  <c r="D250" i="4"/>
  <c r="J745" i="25" s="1"/>
  <c r="D251" i="4"/>
  <c r="J746" i="25" s="1"/>
  <c r="D252" i="4"/>
  <c r="J747" i="25" s="1"/>
  <c r="D253" i="4"/>
  <c r="J748" i="25" s="1"/>
  <c r="D254" i="4"/>
  <c r="J749" i="25" s="1"/>
  <c r="D255" i="4"/>
  <c r="J750" i="25" s="1"/>
  <c r="D256" i="4"/>
  <c r="J751" i="25" s="1"/>
  <c r="D257" i="4"/>
  <c r="J752" i="25" s="1"/>
  <c r="D258" i="4"/>
  <c r="J753" i="25" s="1"/>
  <c r="D259" i="4"/>
  <c r="J754" i="25" s="1"/>
  <c r="D260" i="4"/>
  <c r="J755" i="25" s="1"/>
  <c r="D261" i="4"/>
  <c r="J756" i="25" s="1"/>
  <c r="D262" i="4"/>
  <c r="J757" i="25" s="1"/>
  <c r="D263" i="4"/>
  <c r="J758" i="25" s="1"/>
  <c r="D264" i="4"/>
  <c r="J759" i="25" s="1"/>
  <c r="D265" i="4"/>
  <c r="J760" i="25" s="1"/>
  <c r="D266" i="4"/>
  <c r="J761" i="25" s="1"/>
  <c r="D267" i="4"/>
  <c r="J762" i="25" s="1"/>
  <c r="D268" i="4"/>
  <c r="J763" i="25" s="1"/>
  <c r="D269" i="4"/>
  <c r="J764" i="25" s="1"/>
  <c r="D270" i="4"/>
  <c r="J765" i="25" s="1"/>
  <c r="D271" i="4"/>
  <c r="J766" i="25" s="1"/>
  <c r="D272" i="4"/>
  <c r="J767" i="25" s="1"/>
  <c r="D273" i="4"/>
  <c r="J768" i="25" s="1"/>
  <c r="D274" i="4"/>
  <c r="J769" i="25" s="1"/>
  <c r="D275" i="4"/>
  <c r="J770" i="25" s="1"/>
  <c r="D276" i="4"/>
  <c r="J771" i="25" s="1"/>
  <c r="D277" i="4"/>
  <c r="J772" i="25" s="1"/>
  <c r="D278" i="4"/>
  <c r="J773" i="25" s="1"/>
  <c r="D279" i="4"/>
  <c r="J774" i="25" s="1"/>
  <c r="D280" i="4"/>
  <c r="J775" i="25" s="1"/>
  <c r="D281" i="4"/>
  <c r="J776" i="25" s="1"/>
  <c r="D282" i="4"/>
  <c r="J777" i="25" s="1"/>
  <c r="D283" i="4"/>
  <c r="J778" i="25" s="1"/>
  <c r="D284" i="4"/>
  <c r="J779" i="25" s="1"/>
  <c r="D285" i="4"/>
  <c r="J780" i="25" s="1"/>
  <c r="D286" i="4"/>
  <c r="J781" i="25" s="1"/>
  <c r="D287" i="4"/>
  <c r="J782" i="25" s="1"/>
  <c r="D288" i="4"/>
  <c r="J783" i="25" s="1"/>
  <c r="D289" i="4"/>
  <c r="J784" i="25" s="1"/>
  <c r="D290" i="4"/>
  <c r="J785" i="25" s="1"/>
  <c r="D291" i="4"/>
  <c r="J786" i="25" s="1"/>
  <c r="D292" i="4"/>
  <c r="J787" i="25" s="1"/>
  <c r="D293" i="4"/>
  <c r="J788" i="25" s="1"/>
  <c r="D294" i="4"/>
  <c r="J789" i="25" s="1"/>
  <c r="D295" i="4"/>
  <c r="J790" i="25" s="1"/>
  <c r="D296" i="4"/>
  <c r="J791" i="25" s="1"/>
  <c r="D297" i="4"/>
  <c r="J792" i="25" s="1"/>
  <c r="D298" i="4"/>
  <c r="J793" i="25" s="1"/>
  <c r="D299" i="4"/>
  <c r="J794" i="25" s="1"/>
  <c r="D300" i="4"/>
  <c r="J795" i="25" s="1"/>
  <c r="D301" i="4"/>
  <c r="J796" i="25" s="1"/>
  <c r="D302" i="4"/>
  <c r="J797" i="25" s="1"/>
  <c r="D303" i="4"/>
  <c r="J798" i="25" s="1"/>
  <c r="D304" i="4"/>
  <c r="J799" i="25" s="1"/>
  <c r="D305" i="4"/>
  <c r="J800" i="25" s="1"/>
  <c r="D306" i="4"/>
  <c r="J801" i="25" s="1"/>
  <c r="D307" i="4"/>
  <c r="J802" i="25" s="1"/>
  <c r="D308" i="4"/>
  <c r="J803" i="25" s="1"/>
  <c r="D309" i="4"/>
  <c r="J804" i="25" s="1"/>
  <c r="D310" i="4"/>
  <c r="J805" i="25" s="1"/>
  <c r="D311" i="4"/>
  <c r="J806" i="25" s="1"/>
  <c r="D312" i="4"/>
  <c r="J807" i="25" s="1"/>
  <c r="D313" i="4"/>
  <c r="J808" i="25" s="1"/>
  <c r="D314" i="4"/>
  <c r="J809" i="25" s="1"/>
  <c r="D315" i="4"/>
  <c r="J810" i="25" s="1"/>
  <c r="D316" i="4"/>
  <c r="J811" i="25" s="1"/>
  <c r="D317" i="4"/>
  <c r="J812" i="25" s="1"/>
  <c r="D318" i="4"/>
  <c r="J813" i="25" s="1"/>
  <c r="D319" i="4"/>
  <c r="J814" i="25" s="1"/>
  <c r="D320" i="4"/>
  <c r="J815" i="25" s="1"/>
  <c r="D321" i="4"/>
  <c r="J816" i="25" s="1"/>
  <c r="D322" i="4"/>
  <c r="J817" i="25" s="1"/>
  <c r="D323" i="4"/>
  <c r="J818" i="25" s="1"/>
  <c r="D324" i="4"/>
  <c r="J819" i="25" s="1"/>
  <c r="D325" i="4"/>
  <c r="J820" i="25" s="1"/>
  <c r="D326" i="4"/>
  <c r="J821" i="25" s="1"/>
  <c r="D327" i="4"/>
  <c r="J822" i="25" s="1"/>
  <c r="D328" i="4"/>
  <c r="J823" i="25" s="1"/>
  <c r="D329" i="4"/>
  <c r="J824" i="25" s="1"/>
  <c r="D330" i="4"/>
  <c r="J825" i="25" s="1"/>
  <c r="D331" i="4"/>
  <c r="J826" i="25" s="1"/>
  <c r="D332" i="4"/>
  <c r="J827" i="25" s="1"/>
  <c r="D333" i="4"/>
  <c r="J828" i="25" s="1"/>
  <c r="D334" i="4"/>
  <c r="J829" i="25" s="1"/>
  <c r="D335" i="4"/>
  <c r="J830" i="25" s="1"/>
  <c r="D336" i="4"/>
  <c r="J831" i="25" s="1"/>
  <c r="D337" i="4"/>
  <c r="J832" i="25" s="1"/>
  <c r="D338" i="4"/>
  <c r="J833" i="25" s="1"/>
  <c r="D339" i="4"/>
  <c r="J834" i="25" s="1"/>
  <c r="D340" i="4"/>
  <c r="J835" i="25" s="1"/>
  <c r="E230" i="4"/>
  <c r="E231" i="4"/>
  <c r="M726" i="25" s="1"/>
  <c r="E232" i="4"/>
  <c r="E233" i="4"/>
  <c r="E234" i="4"/>
  <c r="E235" i="4"/>
  <c r="E236" i="4"/>
  <c r="E237" i="4"/>
  <c r="E238" i="4"/>
  <c r="E239" i="4"/>
  <c r="M734" i="25" s="1"/>
  <c r="E240" i="4"/>
  <c r="E241" i="4"/>
  <c r="E242" i="4"/>
  <c r="E243" i="4"/>
  <c r="E244" i="4"/>
  <c r="E245" i="4"/>
  <c r="E246" i="4"/>
  <c r="E247" i="4"/>
  <c r="X247" i="4" s="1" a="1"/>
  <c r="X247" i="4" s="1"/>
  <c r="AG742" i="25" s="1"/>
  <c r="E248" i="4"/>
  <c r="E249" i="4"/>
  <c r="E250" i="4"/>
  <c r="E251" i="4"/>
  <c r="E252" i="4"/>
  <c r="E253" i="4"/>
  <c r="E254" i="4"/>
  <c r="E255" i="4"/>
  <c r="M750" i="25" s="1"/>
  <c r="E256" i="4"/>
  <c r="E257" i="4"/>
  <c r="E258" i="4"/>
  <c r="E259" i="4"/>
  <c r="E260" i="4"/>
  <c r="Q260" i="4" s="1" a="1"/>
  <c r="Q260" i="4" s="1"/>
  <c r="E261" i="4"/>
  <c r="E262" i="4"/>
  <c r="E263" i="4"/>
  <c r="E264" i="4"/>
  <c r="E265" i="4"/>
  <c r="E266" i="4"/>
  <c r="E267" i="4"/>
  <c r="E268" i="4"/>
  <c r="E269" i="4"/>
  <c r="E270" i="4"/>
  <c r="E271" i="4"/>
  <c r="E272" i="4"/>
  <c r="E273" i="4"/>
  <c r="E274" i="4"/>
  <c r="E275" i="4"/>
  <c r="E276" i="4"/>
  <c r="E277" i="4"/>
  <c r="E278" i="4"/>
  <c r="E279" i="4"/>
  <c r="E280" i="4"/>
  <c r="E281" i="4"/>
  <c r="E282" i="4"/>
  <c r="E283" i="4"/>
  <c r="E284" i="4"/>
  <c r="E285" i="4"/>
  <c r="E286" i="4"/>
  <c r="E287" i="4"/>
  <c r="E288" i="4"/>
  <c r="E289" i="4"/>
  <c r="E290" i="4"/>
  <c r="E291" i="4"/>
  <c r="E292" i="4"/>
  <c r="E293" i="4"/>
  <c r="E294" i="4"/>
  <c r="E295" i="4"/>
  <c r="M790" i="25" s="1"/>
  <c r="E296" i="4"/>
  <c r="E297" i="4"/>
  <c r="E298" i="4"/>
  <c r="E299" i="4"/>
  <c r="E300" i="4"/>
  <c r="E301" i="4"/>
  <c r="X301" i="4" s="1" a="1"/>
  <c r="X301" i="4" s="1"/>
  <c r="AG796" i="25" s="1"/>
  <c r="E302" i="4"/>
  <c r="E303" i="4"/>
  <c r="M798" i="25" s="1"/>
  <c r="E304" i="4"/>
  <c r="E305" i="4"/>
  <c r="E306" i="4"/>
  <c r="E307" i="4"/>
  <c r="E308" i="4"/>
  <c r="E309" i="4"/>
  <c r="E310" i="4"/>
  <c r="E311" i="4"/>
  <c r="M806" i="25" s="1"/>
  <c r="E312" i="4"/>
  <c r="E313" i="4"/>
  <c r="E314" i="4"/>
  <c r="E315" i="4"/>
  <c r="E316" i="4"/>
  <c r="E317" i="4"/>
  <c r="E318" i="4"/>
  <c r="E319" i="4"/>
  <c r="M814" i="25" s="1"/>
  <c r="E320" i="4"/>
  <c r="E321" i="4"/>
  <c r="E322" i="4"/>
  <c r="E323" i="4"/>
  <c r="E324" i="4"/>
  <c r="Q324" i="4" s="1" a="1"/>
  <c r="Q324" i="4" s="1"/>
  <c r="E325" i="4"/>
  <c r="E326" i="4"/>
  <c r="E327" i="4"/>
  <c r="E328" i="4"/>
  <c r="E329" i="4"/>
  <c r="E330" i="4"/>
  <c r="E331" i="4"/>
  <c r="E332" i="4"/>
  <c r="E333" i="4"/>
  <c r="E334" i="4"/>
  <c r="E335" i="4"/>
  <c r="E336" i="4"/>
  <c r="E337" i="4"/>
  <c r="E338" i="4"/>
  <c r="E339" i="4"/>
  <c r="E340" i="4"/>
  <c r="F293" i="4"/>
  <c r="N788" i="25" s="1"/>
  <c r="H230" i="4"/>
  <c r="Q725" i="25" s="1"/>
  <c r="H231" i="4"/>
  <c r="Q726" i="25" s="1"/>
  <c r="H232" i="4"/>
  <c r="Q727" i="25" s="1"/>
  <c r="H233" i="4"/>
  <c r="Q728" i="25" s="1"/>
  <c r="H234" i="4"/>
  <c r="Q729" i="25" s="1"/>
  <c r="H235" i="4"/>
  <c r="Q730" i="25" s="1"/>
  <c r="H236" i="4"/>
  <c r="Q731" i="25" s="1"/>
  <c r="H237" i="4"/>
  <c r="Q732" i="25" s="1"/>
  <c r="H238" i="4"/>
  <c r="Q733" i="25" s="1"/>
  <c r="H239" i="4"/>
  <c r="Q734" i="25" s="1"/>
  <c r="H240" i="4"/>
  <c r="Q735" i="25" s="1"/>
  <c r="H241" i="4"/>
  <c r="Q736" i="25" s="1"/>
  <c r="H242" i="4"/>
  <c r="Q737" i="25" s="1"/>
  <c r="H243" i="4"/>
  <c r="Q738" i="25" s="1"/>
  <c r="H244" i="4"/>
  <c r="Q739" i="25" s="1"/>
  <c r="H245" i="4"/>
  <c r="Q740" i="25" s="1"/>
  <c r="H246" i="4"/>
  <c r="Q741" i="25" s="1"/>
  <c r="H247" i="4"/>
  <c r="Q742" i="25" s="1"/>
  <c r="H248" i="4"/>
  <c r="Q743" i="25" s="1"/>
  <c r="H249" i="4"/>
  <c r="Q744" i="25" s="1"/>
  <c r="H250" i="4"/>
  <c r="Q745" i="25" s="1"/>
  <c r="H251" i="4"/>
  <c r="Q746" i="25" s="1"/>
  <c r="H252" i="4"/>
  <c r="Q747" i="25" s="1"/>
  <c r="H253" i="4"/>
  <c r="Q748" i="25" s="1"/>
  <c r="H254" i="4"/>
  <c r="Q749" i="25" s="1"/>
  <c r="H255" i="4"/>
  <c r="Q750" i="25" s="1"/>
  <c r="H256" i="4"/>
  <c r="Q751" i="25" s="1"/>
  <c r="H257" i="4"/>
  <c r="Q752" i="25" s="1"/>
  <c r="H258" i="4"/>
  <c r="Q753" i="25" s="1"/>
  <c r="H259" i="4"/>
  <c r="Q754" i="25" s="1"/>
  <c r="H260" i="4"/>
  <c r="Q755" i="25" s="1"/>
  <c r="H261" i="4"/>
  <c r="Q756" i="25" s="1"/>
  <c r="H262" i="4"/>
  <c r="Q757" i="25" s="1"/>
  <c r="H263" i="4"/>
  <c r="Q758" i="25" s="1"/>
  <c r="H264" i="4"/>
  <c r="Q759" i="25" s="1"/>
  <c r="H265" i="4"/>
  <c r="Q760" i="25" s="1"/>
  <c r="H266" i="4"/>
  <c r="Q761" i="25" s="1"/>
  <c r="H267" i="4"/>
  <c r="Q762" i="25" s="1"/>
  <c r="H268" i="4"/>
  <c r="Q763" i="25" s="1"/>
  <c r="H269" i="4"/>
  <c r="Q764" i="25" s="1"/>
  <c r="H270" i="4"/>
  <c r="Q765" i="25" s="1"/>
  <c r="H271" i="4"/>
  <c r="Q766" i="25" s="1"/>
  <c r="H272" i="4"/>
  <c r="Q767" i="25" s="1"/>
  <c r="H273" i="4"/>
  <c r="Q768" i="25" s="1"/>
  <c r="H274" i="4"/>
  <c r="Q769" i="25" s="1"/>
  <c r="H275" i="4"/>
  <c r="Q770" i="25" s="1"/>
  <c r="H276" i="4"/>
  <c r="Q771" i="25" s="1"/>
  <c r="H277" i="4"/>
  <c r="Q772" i="25" s="1"/>
  <c r="H278" i="4"/>
  <c r="Q773" i="25" s="1"/>
  <c r="H279" i="4"/>
  <c r="Q774" i="25" s="1"/>
  <c r="H280" i="4"/>
  <c r="Q775" i="25" s="1"/>
  <c r="H281" i="4"/>
  <c r="Q776" i="25" s="1"/>
  <c r="H282" i="4"/>
  <c r="Q777" i="25" s="1"/>
  <c r="H283" i="4"/>
  <c r="Q778" i="25" s="1"/>
  <c r="H284" i="4"/>
  <c r="Q779" i="25" s="1"/>
  <c r="H285" i="4"/>
  <c r="Q780" i="25" s="1"/>
  <c r="H286" i="4"/>
  <c r="Q781" i="25" s="1"/>
  <c r="H287" i="4"/>
  <c r="Q782" i="25" s="1"/>
  <c r="H288" i="4"/>
  <c r="Q783" i="25" s="1"/>
  <c r="H289" i="4"/>
  <c r="Q784" i="25" s="1"/>
  <c r="H290" i="4"/>
  <c r="Q785" i="25" s="1"/>
  <c r="H291" i="4"/>
  <c r="Q786" i="25" s="1"/>
  <c r="H292" i="4"/>
  <c r="Q787" i="25" s="1"/>
  <c r="H293" i="4"/>
  <c r="Q788" i="25" s="1"/>
  <c r="H294" i="4"/>
  <c r="Q789" i="25" s="1"/>
  <c r="H295" i="4"/>
  <c r="Q790" i="25" s="1"/>
  <c r="H296" i="4"/>
  <c r="Q791" i="25" s="1"/>
  <c r="H297" i="4"/>
  <c r="Q792" i="25" s="1"/>
  <c r="H298" i="4"/>
  <c r="Q793" i="25" s="1"/>
  <c r="H299" i="4"/>
  <c r="Q794" i="25" s="1"/>
  <c r="H300" i="4"/>
  <c r="Q795" i="25" s="1"/>
  <c r="H301" i="4"/>
  <c r="Q796" i="25" s="1"/>
  <c r="H302" i="4"/>
  <c r="Q797" i="25" s="1"/>
  <c r="H303" i="4"/>
  <c r="Q798" i="25" s="1"/>
  <c r="H304" i="4"/>
  <c r="Q799" i="25" s="1"/>
  <c r="H305" i="4"/>
  <c r="Q800" i="25" s="1"/>
  <c r="H306" i="4"/>
  <c r="Q801" i="25" s="1"/>
  <c r="H307" i="4"/>
  <c r="Q802" i="25" s="1"/>
  <c r="H308" i="4"/>
  <c r="Q803" i="25" s="1"/>
  <c r="H309" i="4"/>
  <c r="Q804" i="25" s="1"/>
  <c r="H310" i="4"/>
  <c r="Q805" i="25" s="1"/>
  <c r="H311" i="4"/>
  <c r="Q806" i="25" s="1"/>
  <c r="H312" i="4"/>
  <c r="Q807" i="25" s="1"/>
  <c r="H313" i="4"/>
  <c r="Q808" i="25" s="1"/>
  <c r="H314" i="4"/>
  <c r="Q809" i="25" s="1"/>
  <c r="H315" i="4"/>
  <c r="Q810" i="25" s="1"/>
  <c r="H316" i="4"/>
  <c r="Q811" i="25" s="1"/>
  <c r="H317" i="4"/>
  <c r="Q812" i="25" s="1"/>
  <c r="H318" i="4"/>
  <c r="Q813" i="25" s="1"/>
  <c r="H319" i="4"/>
  <c r="Q814" i="25" s="1"/>
  <c r="H320" i="4"/>
  <c r="Q815" i="25" s="1"/>
  <c r="H321" i="4"/>
  <c r="Q816" i="25" s="1"/>
  <c r="H322" i="4"/>
  <c r="Q817" i="25" s="1"/>
  <c r="H323" i="4"/>
  <c r="Q818" i="25" s="1"/>
  <c r="H324" i="4"/>
  <c r="Q819" i="25" s="1"/>
  <c r="H325" i="4"/>
  <c r="Q820" i="25" s="1"/>
  <c r="H326" i="4"/>
  <c r="Q821" i="25" s="1"/>
  <c r="H327" i="4"/>
  <c r="Q822" i="25" s="1"/>
  <c r="H328" i="4"/>
  <c r="Q823" i="25" s="1"/>
  <c r="H329" i="4"/>
  <c r="Q824" i="25" s="1"/>
  <c r="H330" i="4"/>
  <c r="Q825" i="25" s="1"/>
  <c r="H331" i="4"/>
  <c r="Q826" i="25" s="1"/>
  <c r="H332" i="4"/>
  <c r="Q827" i="25" s="1"/>
  <c r="H333" i="4"/>
  <c r="Q828" i="25" s="1"/>
  <c r="H334" i="4"/>
  <c r="Q829" i="25" s="1"/>
  <c r="H335" i="4"/>
  <c r="Q830" i="25" s="1"/>
  <c r="H336" i="4"/>
  <c r="Q831" i="25" s="1"/>
  <c r="H337" i="4"/>
  <c r="Q832" i="25" s="1"/>
  <c r="H338" i="4"/>
  <c r="Q833" i="25" s="1"/>
  <c r="H339" i="4"/>
  <c r="Q834" i="25" s="1"/>
  <c r="H340" i="4"/>
  <c r="Q835" i="25" s="1"/>
  <c r="J230" i="4"/>
  <c r="S725" i="25" s="1"/>
  <c r="J231" i="4"/>
  <c r="S726" i="25" s="1"/>
  <c r="J232" i="4"/>
  <c r="S727" i="25" s="1"/>
  <c r="J233" i="4"/>
  <c r="S728" i="25" s="1"/>
  <c r="J234" i="4"/>
  <c r="J235" i="4"/>
  <c r="S730" i="25" s="1"/>
  <c r="J236" i="4"/>
  <c r="S731" i="25" s="1"/>
  <c r="J237" i="4"/>
  <c r="S732" i="25" s="1"/>
  <c r="J238" i="4"/>
  <c r="S733" i="25" s="1"/>
  <c r="J239" i="4"/>
  <c r="S734" i="25" s="1"/>
  <c r="J240" i="4"/>
  <c r="S735" i="25" s="1"/>
  <c r="J241" i="4"/>
  <c r="S736" i="25" s="1"/>
  <c r="J242" i="4"/>
  <c r="J243" i="4"/>
  <c r="S738" i="25" s="1"/>
  <c r="J244" i="4"/>
  <c r="S739" i="25" s="1"/>
  <c r="J245" i="4"/>
  <c r="J246" i="4"/>
  <c r="S741" i="25" s="1"/>
  <c r="J247" i="4"/>
  <c r="S742" i="25" s="1"/>
  <c r="J248" i="4"/>
  <c r="S743" i="25" s="1"/>
  <c r="J249" i="4"/>
  <c r="S744" i="25" s="1"/>
  <c r="J250" i="4"/>
  <c r="J251" i="4"/>
  <c r="S746" i="25" s="1"/>
  <c r="J252" i="4"/>
  <c r="S747" i="25" s="1"/>
  <c r="J253" i="4"/>
  <c r="J254" i="4"/>
  <c r="S749" i="25" s="1"/>
  <c r="J255" i="4"/>
  <c r="S750" i="25" s="1"/>
  <c r="J256" i="4"/>
  <c r="S751" i="25" s="1"/>
  <c r="J257" i="4"/>
  <c r="S752" i="25" s="1"/>
  <c r="J258" i="4"/>
  <c r="J259" i="4"/>
  <c r="S754" i="25" s="1"/>
  <c r="J260" i="4"/>
  <c r="S755" i="25" s="1"/>
  <c r="J261" i="4"/>
  <c r="S756" i="25" s="1"/>
  <c r="J262" i="4"/>
  <c r="S757" i="25" s="1"/>
  <c r="J263" i="4"/>
  <c r="S758" i="25" s="1"/>
  <c r="J264" i="4"/>
  <c r="S759" i="25" s="1"/>
  <c r="J265" i="4"/>
  <c r="S760" i="25" s="1"/>
  <c r="J266" i="4"/>
  <c r="S761" i="25" s="1"/>
  <c r="J267" i="4"/>
  <c r="S762" i="25" s="1"/>
  <c r="J268" i="4"/>
  <c r="S763" i="25" s="1"/>
  <c r="J269" i="4"/>
  <c r="S764" i="25" s="1"/>
  <c r="J270" i="4"/>
  <c r="S765" i="25" s="1"/>
  <c r="J271" i="4"/>
  <c r="S766" i="25" s="1"/>
  <c r="J272" i="4"/>
  <c r="S767" i="25" s="1"/>
  <c r="J273" i="4"/>
  <c r="S768" i="25" s="1"/>
  <c r="J274" i="4"/>
  <c r="S769" i="25" s="1"/>
  <c r="J275" i="4"/>
  <c r="S770" i="25" s="1"/>
  <c r="J276" i="4"/>
  <c r="S771" i="25" s="1"/>
  <c r="J277" i="4"/>
  <c r="S772" i="25" s="1"/>
  <c r="J278" i="4"/>
  <c r="S773" i="25" s="1"/>
  <c r="J279" i="4"/>
  <c r="S774" i="25" s="1"/>
  <c r="J280" i="4"/>
  <c r="S775" i="25" s="1"/>
  <c r="J281" i="4"/>
  <c r="S776" i="25" s="1"/>
  <c r="J282" i="4"/>
  <c r="J283" i="4"/>
  <c r="S778" i="25" s="1"/>
  <c r="J284" i="4"/>
  <c r="S779" i="25" s="1"/>
  <c r="J285" i="4"/>
  <c r="S780" i="25" s="1"/>
  <c r="J286" i="4"/>
  <c r="S781" i="25" s="1"/>
  <c r="J287" i="4"/>
  <c r="S782" i="25" s="1"/>
  <c r="J288" i="4"/>
  <c r="S783" i="25" s="1"/>
  <c r="J289" i="4"/>
  <c r="S784" i="25" s="1"/>
  <c r="J290" i="4"/>
  <c r="S785" i="25" s="1"/>
  <c r="J291" i="4"/>
  <c r="S786" i="25" s="1"/>
  <c r="J292" i="4"/>
  <c r="S787" i="25" s="1"/>
  <c r="J293" i="4"/>
  <c r="S788" i="25" s="1"/>
  <c r="J294" i="4"/>
  <c r="S789" i="25" s="1"/>
  <c r="J295" i="4"/>
  <c r="S790" i="25" s="1"/>
  <c r="J296" i="4"/>
  <c r="S791" i="25" s="1"/>
  <c r="J297" i="4"/>
  <c r="S792" i="25" s="1"/>
  <c r="J298" i="4"/>
  <c r="S793" i="25" s="1"/>
  <c r="J299" i="4"/>
  <c r="S794" i="25" s="1"/>
  <c r="J300" i="4"/>
  <c r="S795" i="25" s="1"/>
  <c r="J301" i="4"/>
  <c r="S796" i="25" s="1"/>
  <c r="J302" i="4"/>
  <c r="S797" i="25" s="1"/>
  <c r="J303" i="4"/>
  <c r="S798" i="25" s="1"/>
  <c r="J304" i="4"/>
  <c r="S799" i="25" s="1"/>
  <c r="J305" i="4"/>
  <c r="S800" i="25" s="1"/>
  <c r="J306" i="4"/>
  <c r="S801" i="25" s="1"/>
  <c r="J307" i="4"/>
  <c r="S802" i="25" s="1"/>
  <c r="J308" i="4"/>
  <c r="S803" i="25" s="1"/>
  <c r="J309" i="4"/>
  <c r="S804" i="25" s="1"/>
  <c r="J310" i="4"/>
  <c r="S805" i="25" s="1"/>
  <c r="J311" i="4"/>
  <c r="S806" i="25" s="1"/>
  <c r="J312" i="4"/>
  <c r="S807" i="25" s="1"/>
  <c r="J313" i="4"/>
  <c r="S808" i="25" s="1"/>
  <c r="J314" i="4"/>
  <c r="S809" i="25" s="1"/>
  <c r="J315" i="4"/>
  <c r="S810" i="25" s="1"/>
  <c r="J316" i="4"/>
  <c r="S811" i="25" s="1"/>
  <c r="J317" i="4"/>
  <c r="S812" i="25" s="1"/>
  <c r="J318" i="4"/>
  <c r="S813" i="25" s="1"/>
  <c r="J319" i="4"/>
  <c r="S814" i="25" s="1"/>
  <c r="J320" i="4"/>
  <c r="S815" i="25" s="1"/>
  <c r="J321" i="4"/>
  <c r="S816" i="25" s="1"/>
  <c r="J322" i="4"/>
  <c r="S817" i="25" s="1"/>
  <c r="J323" i="4"/>
  <c r="S818" i="25" s="1"/>
  <c r="J324" i="4"/>
  <c r="S819" i="25" s="1"/>
  <c r="J325" i="4"/>
  <c r="S820" i="25" s="1"/>
  <c r="J326" i="4"/>
  <c r="S821" i="25" s="1"/>
  <c r="J327" i="4"/>
  <c r="S822" i="25" s="1"/>
  <c r="J328" i="4"/>
  <c r="S823" i="25" s="1"/>
  <c r="J329" i="4"/>
  <c r="S824" i="25" s="1"/>
  <c r="J330" i="4"/>
  <c r="S825" i="25" s="1"/>
  <c r="J331" i="4"/>
  <c r="S826" i="25" s="1"/>
  <c r="J332" i="4"/>
  <c r="S827" i="25" s="1"/>
  <c r="J333" i="4"/>
  <c r="S828" i="25" s="1"/>
  <c r="J334" i="4"/>
  <c r="S829" i="25" s="1"/>
  <c r="J335" i="4"/>
  <c r="S830" i="25" s="1"/>
  <c r="J336" i="4"/>
  <c r="S831" i="25" s="1"/>
  <c r="J337" i="4"/>
  <c r="S832" i="25" s="1"/>
  <c r="J338" i="4"/>
  <c r="J339" i="4"/>
  <c r="S834" i="25" s="1"/>
  <c r="J340" i="4"/>
  <c r="S835" i="25" s="1"/>
  <c r="X237" i="4" a="1"/>
  <c r="X237" i="4" s="1"/>
  <c r="AG732" i="25" s="1"/>
  <c r="X257" i="4" a="1"/>
  <c r="X257" i="4" s="1"/>
  <c r="AG752" i="25" s="1"/>
  <c r="D7" i="4"/>
  <c r="J502" i="25" s="1"/>
  <c r="E341" i="4"/>
  <c r="E342" i="4"/>
  <c r="E343" i="4"/>
  <c r="M838" i="25" s="1"/>
  <c r="E344" i="4"/>
  <c r="E345" i="4"/>
  <c r="E346" i="4"/>
  <c r="E347" i="4"/>
  <c r="E348" i="4"/>
  <c r="E349" i="4"/>
  <c r="E350" i="4"/>
  <c r="E351" i="4"/>
  <c r="E352" i="4"/>
  <c r="E353" i="4"/>
  <c r="E354" i="4"/>
  <c r="E355" i="4"/>
  <c r="E356" i="4"/>
  <c r="E357" i="4"/>
  <c r="E358" i="4"/>
  <c r="E359" i="4"/>
  <c r="E360" i="4"/>
  <c r="E361" i="4"/>
  <c r="E362" i="4"/>
  <c r="E363" i="4"/>
  <c r="E364" i="4"/>
  <c r="E365" i="4"/>
  <c r="E366" i="4"/>
  <c r="E367" i="4"/>
  <c r="E368" i="4"/>
  <c r="E369" i="4"/>
  <c r="E370" i="4"/>
  <c r="E371" i="4"/>
  <c r="E372" i="4"/>
  <c r="E373" i="4"/>
  <c r="E374" i="4"/>
  <c r="E375" i="4"/>
  <c r="E376" i="4"/>
  <c r="E377" i="4"/>
  <c r="E378" i="4"/>
  <c r="E379" i="4"/>
  <c r="E380" i="4"/>
  <c r="E381" i="4"/>
  <c r="E382" i="4"/>
  <c r="E383" i="4"/>
  <c r="E384" i="4"/>
  <c r="E385" i="4"/>
  <c r="E386" i="4"/>
  <c r="E387" i="4"/>
  <c r="E388" i="4"/>
  <c r="Q388" i="4" s="1" a="1"/>
  <c r="Q388" i="4" s="1"/>
  <c r="E389" i="4"/>
  <c r="E390" i="4"/>
  <c r="E391" i="4"/>
  <c r="E392" i="4"/>
  <c r="E393" i="4"/>
  <c r="E394" i="4"/>
  <c r="E395" i="4"/>
  <c r="E396" i="4"/>
  <c r="E397" i="4"/>
  <c r="E398" i="4"/>
  <c r="E399" i="4"/>
  <c r="E400" i="4"/>
  <c r="E401" i="4"/>
  <c r="R401" i="4" s="1" a="1"/>
  <c r="R401" i="4" s="1"/>
  <c r="E452" i="4"/>
  <c r="Q452" i="4" s="1" a="1"/>
  <c r="Q452" i="4" s="1"/>
  <c r="E453" i="4"/>
  <c r="E454" i="4"/>
  <c r="E455" i="4"/>
  <c r="E456" i="4"/>
  <c r="E457" i="4"/>
  <c r="E458" i="4"/>
  <c r="E459" i="4"/>
  <c r="E460" i="4"/>
  <c r="E461" i="4"/>
  <c r="E462" i="4"/>
  <c r="E463" i="4"/>
  <c r="E464" i="4"/>
  <c r="E465" i="4"/>
  <c r="R465" i="4" s="1" a="1"/>
  <c r="R465" i="4" s="1"/>
  <c r="E466" i="4"/>
  <c r="E467" i="4"/>
  <c r="E468" i="4"/>
  <c r="E469" i="4"/>
  <c r="E470" i="4"/>
  <c r="E471" i="4"/>
  <c r="S471" i="4" s="1" a="1"/>
  <c r="S471" i="4" s="1"/>
  <c r="E472" i="4"/>
  <c r="E473" i="4"/>
  <c r="E474" i="4"/>
  <c r="E475" i="4"/>
  <c r="E476" i="4"/>
  <c r="E477" i="4"/>
  <c r="E478" i="4"/>
  <c r="E479" i="4"/>
  <c r="E480" i="4"/>
  <c r="E481" i="4"/>
  <c r="E482" i="4"/>
  <c r="E483" i="4"/>
  <c r="E484" i="4"/>
  <c r="Q484" i="4" s="1" a="1"/>
  <c r="Q484" i="4" s="1"/>
  <c r="E485" i="4"/>
  <c r="E486" i="4"/>
  <c r="E487" i="4"/>
  <c r="E488" i="4"/>
  <c r="E489" i="4"/>
  <c r="E490" i="4"/>
  <c r="E491" i="4"/>
  <c r="E492" i="4"/>
  <c r="E493" i="4"/>
  <c r="E494" i="4"/>
  <c r="E495" i="4"/>
  <c r="E496" i="4"/>
  <c r="E497" i="4"/>
  <c r="R497" i="4" s="1" a="1"/>
  <c r="R497" i="4" s="1"/>
  <c r="E498" i="4"/>
  <c r="E499" i="4"/>
  <c r="E500" i="4"/>
  <c r="D341" i="4"/>
  <c r="J839" i="25" s="1"/>
  <c r="D342" i="4"/>
  <c r="J837" i="25" s="1"/>
  <c r="D343" i="4"/>
  <c r="J838" i="25" s="1"/>
  <c r="D344" i="4"/>
  <c r="D345" i="4"/>
  <c r="D346" i="4"/>
  <c r="D347" i="4"/>
  <c r="D348" i="4"/>
  <c r="D349" i="4"/>
  <c r="D350" i="4"/>
  <c r="D351" i="4"/>
  <c r="D352" i="4"/>
  <c r="D353" i="4"/>
  <c r="D354" i="4"/>
  <c r="D355" i="4"/>
  <c r="D356" i="4"/>
  <c r="D357" i="4"/>
  <c r="D358" i="4"/>
  <c r="D359" i="4"/>
  <c r="D360" i="4"/>
  <c r="D361" i="4"/>
  <c r="D362" i="4"/>
  <c r="D363" i="4"/>
  <c r="D364" i="4"/>
  <c r="D365" i="4"/>
  <c r="D366" i="4"/>
  <c r="D367" i="4"/>
  <c r="D368" i="4"/>
  <c r="D369" i="4"/>
  <c r="D370" i="4"/>
  <c r="D371" i="4"/>
  <c r="D372" i="4"/>
  <c r="D373" i="4"/>
  <c r="D374" i="4"/>
  <c r="D375" i="4"/>
  <c r="D376" i="4"/>
  <c r="D377" i="4"/>
  <c r="D378" i="4"/>
  <c r="D379" i="4"/>
  <c r="D380" i="4"/>
  <c r="D381" i="4"/>
  <c r="D382" i="4"/>
  <c r="D383" i="4"/>
  <c r="D384" i="4"/>
  <c r="D385" i="4"/>
  <c r="D386" i="4"/>
  <c r="D387" i="4"/>
  <c r="D388" i="4"/>
  <c r="D389" i="4"/>
  <c r="D390" i="4"/>
  <c r="D391" i="4"/>
  <c r="D392" i="4"/>
  <c r="D393" i="4"/>
  <c r="D394" i="4"/>
  <c r="D395" i="4"/>
  <c r="D396" i="4"/>
  <c r="D397" i="4"/>
  <c r="D398" i="4"/>
  <c r="D399" i="4"/>
  <c r="D400" i="4"/>
  <c r="D401" i="4"/>
  <c r="D452" i="4"/>
  <c r="D453" i="4"/>
  <c r="D454" i="4"/>
  <c r="D455" i="4"/>
  <c r="D456" i="4"/>
  <c r="D457" i="4"/>
  <c r="D458" i="4"/>
  <c r="D459" i="4"/>
  <c r="D460" i="4"/>
  <c r="D461" i="4"/>
  <c r="D462" i="4"/>
  <c r="D463" i="4"/>
  <c r="D464" i="4"/>
  <c r="D465" i="4"/>
  <c r="D466" i="4"/>
  <c r="D467" i="4"/>
  <c r="D468" i="4"/>
  <c r="D469" i="4"/>
  <c r="D470" i="4"/>
  <c r="D471" i="4"/>
  <c r="D472" i="4"/>
  <c r="D473" i="4"/>
  <c r="D474" i="4"/>
  <c r="D475" i="4"/>
  <c r="D476" i="4"/>
  <c r="D477" i="4"/>
  <c r="D478" i="4"/>
  <c r="D479" i="4"/>
  <c r="D480" i="4"/>
  <c r="D481" i="4"/>
  <c r="D482" i="4"/>
  <c r="D483" i="4"/>
  <c r="D484" i="4"/>
  <c r="D485" i="4"/>
  <c r="D486" i="4"/>
  <c r="D487" i="4"/>
  <c r="D488" i="4"/>
  <c r="D489" i="4"/>
  <c r="D490" i="4"/>
  <c r="D491" i="4"/>
  <c r="D492" i="4"/>
  <c r="D493" i="4"/>
  <c r="D494" i="4"/>
  <c r="D495" i="4"/>
  <c r="D496" i="4"/>
  <c r="D497" i="4"/>
  <c r="D498" i="4"/>
  <c r="D499" i="4"/>
  <c r="D500" i="4"/>
  <c r="J8" i="24"/>
  <c r="L8" i="14"/>
  <c r="R3" i="29" s="1"/>
  <c r="U24" i="17"/>
  <c r="U23" i="17"/>
  <c r="U22" i="17"/>
  <c r="P24" i="17"/>
  <c r="T24" i="17"/>
  <c r="T23" i="17"/>
  <c r="T22" i="17"/>
  <c r="P23" i="17"/>
  <c r="P22" i="17"/>
  <c r="U32" i="14"/>
  <c r="U31" i="14"/>
  <c r="U30" i="14"/>
  <c r="U29" i="14"/>
  <c r="U28" i="14"/>
  <c r="U27" i="14"/>
  <c r="U26" i="14"/>
  <c r="U25" i="14"/>
  <c r="U24" i="14"/>
  <c r="U23" i="14"/>
  <c r="U22" i="14"/>
  <c r="U21" i="14"/>
  <c r="U20" i="14"/>
  <c r="U19" i="14"/>
  <c r="U18" i="14"/>
  <c r="U17" i="14"/>
  <c r="U16" i="14"/>
  <c r="U15" i="14"/>
  <c r="U14" i="14"/>
  <c r="U13" i="14"/>
  <c r="U12" i="14"/>
  <c r="U11" i="14"/>
  <c r="U10" i="14"/>
  <c r="U9" i="14"/>
  <c r="U8" i="14"/>
  <c r="U117" i="31" a="1"/>
  <c r="U117" i="31" s="1"/>
  <c r="T117" i="31" a="1"/>
  <c r="T117" i="31" s="1"/>
  <c r="S117" i="31" a="1"/>
  <c r="S117" i="31" s="1"/>
  <c r="R117" i="31" a="1"/>
  <c r="R117" i="31" s="1"/>
  <c r="Q117" i="31" a="1"/>
  <c r="Q117" i="31" s="1"/>
  <c r="AA117" i="31"/>
  <c r="X77" i="29"/>
  <c r="X78" i="29"/>
  <c r="X79" i="29"/>
  <c r="X80" i="29"/>
  <c r="X81" i="29"/>
  <c r="X82" i="29"/>
  <c r="X83" i="29"/>
  <c r="X84" i="29"/>
  <c r="X85" i="29"/>
  <c r="X86" i="29"/>
  <c r="X87" i="29"/>
  <c r="X88" i="29"/>
  <c r="X89" i="29"/>
  <c r="X76" i="29"/>
  <c r="W77" i="29"/>
  <c r="W78" i="29"/>
  <c r="W79" i="29"/>
  <c r="W80" i="29"/>
  <c r="W81" i="29"/>
  <c r="W82" i="29"/>
  <c r="W83" i="29"/>
  <c r="W84" i="29"/>
  <c r="W85" i="29"/>
  <c r="W86" i="29"/>
  <c r="W87" i="29"/>
  <c r="W88" i="29"/>
  <c r="W89" i="29"/>
  <c r="W76" i="29"/>
  <c r="R77" i="29"/>
  <c r="R78" i="29"/>
  <c r="R79" i="29"/>
  <c r="R80" i="29"/>
  <c r="R81" i="29"/>
  <c r="R82" i="29"/>
  <c r="R83" i="29"/>
  <c r="R84" i="29"/>
  <c r="R85" i="29"/>
  <c r="R86" i="29"/>
  <c r="R87" i="29"/>
  <c r="R88" i="29"/>
  <c r="R89" i="29"/>
  <c r="R76" i="29"/>
  <c r="M77" i="29"/>
  <c r="M78" i="29"/>
  <c r="M79" i="29"/>
  <c r="M80" i="29"/>
  <c r="M81" i="29"/>
  <c r="M82" i="29"/>
  <c r="M83" i="29"/>
  <c r="M84" i="29"/>
  <c r="M85" i="29"/>
  <c r="M86" i="29"/>
  <c r="M87" i="29"/>
  <c r="M88" i="29"/>
  <c r="M89" i="29"/>
  <c r="M76" i="29"/>
  <c r="L77" i="29"/>
  <c r="L78" i="29"/>
  <c r="L79" i="29"/>
  <c r="L80" i="29"/>
  <c r="L81" i="29"/>
  <c r="L82" i="29"/>
  <c r="L83" i="29"/>
  <c r="L84" i="29"/>
  <c r="L85" i="29"/>
  <c r="L86" i="29"/>
  <c r="L87" i="29"/>
  <c r="L88" i="29"/>
  <c r="L89" i="29"/>
  <c r="L76" i="29"/>
  <c r="J77" i="29"/>
  <c r="J78" i="29"/>
  <c r="J79" i="29"/>
  <c r="J80" i="29"/>
  <c r="J81" i="29"/>
  <c r="J82" i="29"/>
  <c r="J83" i="29"/>
  <c r="J84" i="29"/>
  <c r="J85" i="29"/>
  <c r="J86" i="29"/>
  <c r="J87" i="29"/>
  <c r="J88" i="29"/>
  <c r="J89" i="29"/>
  <c r="J76" i="29"/>
  <c r="D76" i="29"/>
  <c r="D77" i="29"/>
  <c r="D78" i="29"/>
  <c r="D79" i="29"/>
  <c r="D80" i="29"/>
  <c r="D81" i="29"/>
  <c r="D82" i="29"/>
  <c r="D83" i="29"/>
  <c r="D84" i="29"/>
  <c r="D85" i="29"/>
  <c r="D86" i="29"/>
  <c r="D87" i="29"/>
  <c r="D88" i="29"/>
  <c r="D89" i="29"/>
  <c r="E76" i="29"/>
  <c r="E77" i="29"/>
  <c r="E78" i="29"/>
  <c r="E79" i="29"/>
  <c r="E80" i="29"/>
  <c r="E81" i="29"/>
  <c r="E82" i="29"/>
  <c r="E83" i="29"/>
  <c r="E84" i="29"/>
  <c r="E85" i="29"/>
  <c r="E86" i="29"/>
  <c r="E87" i="29"/>
  <c r="E88" i="29"/>
  <c r="E89" i="29"/>
  <c r="D80" i="18"/>
  <c r="C80" i="18"/>
  <c r="D79" i="18"/>
  <c r="C82" i="18"/>
  <c r="B17" i="18"/>
  <c r="B16" i="18"/>
  <c r="X53" i="29"/>
  <c r="X54" i="29"/>
  <c r="X55" i="29"/>
  <c r="X56" i="29"/>
  <c r="X57" i="29"/>
  <c r="X58" i="29"/>
  <c r="X59" i="29"/>
  <c r="X60" i="29"/>
  <c r="X61" i="29"/>
  <c r="X62" i="29"/>
  <c r="X63" i="29"/>
  <c r="X64" i="29"/>
  <c r="X65" i="29"/>
  <c r="X66" i="29"/>
  <c r="X67" i="29"/>
  <c r="X68" i="29"/>
  <c r="X69" i="29"/>
  <c r="X70" i="29"/>
  <c r="X71" i="29"/>
  <c r="X72" i="29"/>
  <c r="X73" i="29"/>
  <c r="X74" i="29"/>
  <c r="W53" i="29"/>
  <c r="W54" i="29"/>
  <c r="W55" i="29"/>
  <c r="W56" i="29"/>
  <c r="W57" i="29"/>
  <c r="W58" i="29"/>
  <c r="W59" i="29"/>
  <c r="W60" i="29"/>
  <c r="W61" i="29"/>
  <c r="W62" i="29"/>
  <c r="W63" i="29"/>
  <c r="W64" i="29"/>
  <c r="W65" i="29"/>
  <c r="W66" i="29"/>
  <c r="W67" i="29"/>
  <c r="W68" i="29"/>
  <c r="W69" i="29"/>
  <c r="W70" i="29"/>
  <c r="W71" i="29"/>
  <c r="W72" i="29"/>
  <c r="W73" i="29"/>
  <c r="W74" i="29"/>
  <c r="V53" i="29"/>
  <c r="V54" i="29"/>
  <c r="V55" i="29"/>
  <c r="V56" i="29"/>
  <c r="V57" i="29"/>
  <c r="V58" i="29"/>
  <c r="V59" i="29"/>
  <c r="V60" i="29"/>
  <c r="V61" i="29"/>
  <c r="V62" i="29"/>
  <c r="V63" i="29"/>
  <c r="V64" i="29"/>
  <c r="V65" i="29"/>
  <c r="V66" i="29"/>
  <c r="V67" i="29"/>
  <c r="V68" i="29"/>
  <c r="V69" i="29"/>
  <c r="V70" i="29"/>
  <c r="V71" i="29"/>
  <c r="V72" i="29"/>
  <c r="V73" i="29"/>
  <c r="V74" i="29"/>
  <c r="V75" i="29"/>
  <c r="U53" i="29"/>
  <c r="U54" i="29"/>
  <c r="U55" i="29"/>
  <c r="U56" i="29"/>
  <c r="U57" i="29"/>
  <c r="U58" i="29"/>
  <c r="U59" i="29"/>
  <c r="U60" i="29"/>
  <c r="U61" i="29"/>
  <c r="U62" i="29"/>
  <c r="U63" i="29"/>
  <c r="U64" i="29"/>
  <c r="U65" i="29"/>
  <c r="U66" i="29"/>
  <c r="U67" i="29"/>
  <c r="U68" i="29"/>
  <c r="U69" i="29"/>
  <c r="U70" i="29"/>
  <c r="U71" i="29"/>
  <c r="U72" i="29"/>
  <c r="U73" i="29"/>
  <c r="U74" i="29"/>
  <c r="U75" i="29"/>
  <c r="T53" i="29"/>
  <c r="T54" i="29"/>
  <c r="T55" i="29"/>
  <c r="T56" i="29"/>
  <c r="T57" i="29"/>
  <c r="T58" i="29"/>
  <c r="T59" i="29"/>
  <c r="T60" i="29"/>
  <c r="T61" i="29"/>
  <c r="T62" i="29"/>
  <c r="T63" i="29"/>
  <c r="T64" i="29"/>
  <c r="T65" i="29"/>
  <c r="T66" i="29"/>
  <c r="T67" i="29"/>
  <c r="T68" i="29"/>
  <c r="T69" i="29"/>
  <c r="T70" i="29"/>
  <c r="T71" i="29"/>
  <c r="T72" i="29"/>
  <c r="T73" i="29"/>
  <c r="T74" i="29"/>
  <c r="T75" i="29"/>
  <c r="S53" i="29"/>
  <c r="S54" i="29"/>
  <c r="S55" i="29"/>
  <c r="S56" i="29"/>
  <c r="S57" i="29"/>
  <c r="S58" i="29"/>
  <c r="S59" i="29"/>
  <c r="S60" i="29"/>
  <c r="S61" i="29"/>
  <c r="S62" i="29"/>
  <c r="S63" i="29"/>
  <c r="S64" i="29"/>
  <c r="S65" i="29"/>
  <c r="S66" i="29"/>
  <c r="S67" i="29"/>
  <c r="S68" i="29"/>
  <c r="S69" i="29"/>
  <c r="S70" i="29"/>
  <c r="S71" i="29"/>
  <c r="S72" i="29"/>
  <c r="S73" i="29"/>
  <c r="S74" i="29"/>
  <c r="S75" i="29"/>
  <c r="Q53" i="29"/>
  <c r="Q54" i="29"/>
  <c r="Q55" i="29"/>
  <c r="Q56" i="29"/>
  <c r="Q57" i="29"/>
  <c r="Q58" i="29"/>
  <c r="Q59" i="29"/>
  <c r="Q60" i="29"/>
  <c r="Q61" i="29"/>
  <c r="Q62" i="29"/>
  <c r="Q63" i="29"/>
  <c r="Q64" i="29"/>
  <c r="Q65" i="29"/>
  <c r="Q66" i="29"/>
  <c r="Q67" i="29"/>
  <c r="Q68" i="29"/>
  <c r="Q69" i="29"/>
  <c r="Q70" i="29"/>
  <c r="Q71" i="29"/>
  <c r="Q72" i="29"/>
  <c r="Q73" i="29"/>
  <c r="Q74" i="29"/>
  <c r="Q75" i="29"/>
  <c r="P53" i="29"/>
  <c r="P54" i="29"/>
  <c r="P55" i="29"/>
  <c r="P56" i="29"/>
  <c r="P57" i="29"/>
  <c r="P58" i="29"/>
  <c r="P59" i="29"/>
  <c r="P60" i="29"/>
  <c r="P61" i="29"/>
  <c r="P62" i="29"/>
  <c r="P63" i="29"/>
  <c r="P64" i="29"/>
  <c r="P65" i="29"/>
  <c r="P66" i="29"/>
  <c r="P67" i="29"/>
  <c r="P68" i="29"/>
  <c r="P69" i="29"/>
  <c r="P70" i="29"/>
  <c r="P71" i="29"/>
  <c r="P72" i="29"/>
  <c r="P73" i="29"/>
  <c r="P74" i="29"/>
  <c r="P75" i="29"/>
  <c r="N53" i="29"/>
  <c r="N54" i="29"/>
  <c r="N55" i="29"/>
  <c r="N56" i="29"/>
  <c r="N57" i="29"/>
  <c r="N58" i="29"/>
  <c r="N59" i="29"/>
  <c r="N60" i="29"/>
  <c r="N61" i="29"/>
  <c r="N62" i="29"/>
  <c r="N63" i="29"/>
  <c r="N64" i="29"/>
  <c r="N65" i="29"/>
  <c r="N66" i="29"/>
  <c r="N67" i="29"/>
  <c r="N68" i="29"/>
  <c r="N69" i="29"/>
  <c r="N70" i="29"/>
  <c r="N71" i="29"/>
  <c r="N72" i="29"/>
  <c r="N73" i="29"/>
  <c r="N74" i="29"/>
  <c r="N75" i="29"/>
  <c r="M53" i="29"/>
  <c r="M54" i="29"/>
  <c r="M55" i="29"/>
  <c r="M56" i="29"/>
  <c r="M57" i="29"/>
  <c r="M58" i="29"/>
  <c r="M59" i="29"/>
  <c r="M60" i="29"/>
  <c r="M61" i="29"/>
  <c r="M62" i="29"/>
  <c r="M63" i="29"/>
  <c r="M64" i="29"/>
  <c r="M65" i="29"/>
  <c r="M66" i="29"/>
  <c r="M67" i="29"/>
  <c r="M68" i="29"/>
  <c r="M69" i="29"/>
  <c r="M70" i="29"/>
  <c r="M71" i="29"/>
  <c r="M72" i="29"/>
  <c r="M73" i="29"/>
  <c r="M74" i="29"/>
  <c r="M75" i="29"/>
  <c r="L53" i="29"/>
  <c r="L54" i="29"/>
  <c r="L55" i="29"/>
  <c r="L56" i="29"/>
  <c r="L57" i="29"/>
  <c r="L58" i="29"/>
  <c r="L59" i="29"/>
  <c r="L60" i="29"/>
  <c r="L61" i="29"/>
  <c r="L62" i="29"/>
  <c r="L63" i="29"/>
  <c r="L64" i="29"/>
  <c r="L65" i="29"/>
  <c r="L66" i="29"/>
  <c r="L67" i="29"/>
  <c r="L68" i="29"/>
  <c r="L69" i="29"/>
  <c r="L70" i="29"/>
  <c r="L71" i="29"/>
  <c r="L72" i="29"/>
  <c r="L73" i="29"/>
  <c r="L74" i="29"/>
  <c r="L75" i="29"/>
  <c r="K75" i="29"/>
  <c r="W75" i="29"/>
  <c r="X75" i="29"/>
  <c r="K53" i="29"/>
  <c r="K54" i="29"/>
  <c r="K55" i="29"/>
  <c r="K56" i="29"/>
  <c r="K57" i="29"/>
  <c r="K58" i="29"/>
  <c r="K59" i="29"/>
  <c r="K60" i="29"/>
  <c r="K61" i="29"/>
  <c r="K62" i="29"/>
  <c r="K63" i="29"/>
  <c r="K64" i="29"/>
  <c r="K65" i="29"/>
  <c r="K66" i="29"/>
  <c r="K67" i="29"/>
  <c r="K68" i="29"/>
  <c r="K69" i="29"/>
  <c r="K70" i="29"/>
  <c r="K71" i="29"/>
  <c r="K72" i="29"/>
  <c r="K73" i="29"/>
  <c r="K74" i="29"/>
  <c r="K52" i="29"/>
  <c r="L52" i="29"/>
  <c r="M52" i="29"/>
  <c r="N52" i="29"/>
  <c r="P52" i="29"/>
  <c r="Q52" i="29"/>
  <c r="S52" i="29"/>
  <c r="T52" i="29"/>
  <c r="U52" i="29"/>
  <c r="V52" i="29"/>
  <c r="W52" i="29"/>
  <c r="X52" i="29"/>
  <c r="J53" i="29"/>
  <c r="J54" i="29"/>
  <c r="J55" i="29"/>
  <c r="J56" i="29"/>
  <c r="J57" i="29"/>
  <c r="J58" i="29"/>
  <c r="J59" i="29"/>
  <c r="J60" i="29"/>
  <c r="J61" i="29"/>
  <c r="J62" i="29"/>
  <c r="J63" i="29"/>
  <c r="J64" i="29"/>
  <c r="J65" i="29"/>
  <c r="J66" i="29"/>
  <c r="J67" i="29"/>
  <c r="J68" i="29"/>
  <c r="J69" i="29"/>
  <c r="J70" i="29"/>
  <c r="J71" i="29"/>
  <c r="J72" i="29"/>
  <c r="J73" i="29"/>
  <c r="J74" i="29"/>
  <c r="J75" i="29"/>
  <c r="J52" i="29"/>
  <c r="H75" i="29"/>
  <c r="D75" i="29"/>
  <c r="E75" i="29"/>
  <c r="H53" i="29"/>
  <c r="H54" i="29"/>
  <c r="H55" i="29"/>
  <c r="H56" i="29"/>
  <c r="H57" i="29"/>
  <c r="H58" i="29"/>
  <c r="H59" i="29"/>
  <c r="H60" i="29"/>
  <c r="H61" i="29"/>
  <c r="H62" i="29"/>
  <c r="H63" i="29"/>
  <c r="H64" i="29"/>
  <c r="H65" i="29"/>
  <c r="H66" i="29"/>
  <c r="H67" i="29"/>
  <c r="H68" i="29"/>
  <c r="H69" i="29"/>
  <c r="H70" i="29"/>
  <c r="H71" i="29"/>
  <c r="H72" i="29"/>
  <c r="H73" i="29"/>
  <c r="H74" i="29"/>
  <c r="H52" i="29"/>
  <c r="X29" i="29"/>
  <c r="X30" i="29"/>
  <c r="X31" i="29"/>
  <c r="X32" i="29"/>
  <c r="X33" i="29"/>
  <c r="X34" i="29"/>
  <c r="X35" i="29"/>
  <c r="X36" i="29"/>
  <c r="X37" i="29"/>
  <c r="X38" i="29"/>
  <c r="X39" i="29"/>
  <c r="X40" i="29"/>
  <c r="X41" i="29"/>
  <c r="X42" i="29"/>
  <c r="X43" i="29"/>
  <c r="X44" i="29"/>
  <c r="X45" i="29"/>
  <c r="X46" i="29"/>
  <c r="X47" i="29"/>
  <c r="X48" i="29"/>
  <c r="X49" i="29"/>
  <c r="X50" i="29"/>
  <c r="X51" i="29"/>
  <c r="W29" i="29"/>
  <c r="W30" i="29"/>
  <c r="W31" i="29"/>
  <c r="W32" i="29"/>
  <c r="W33" i="29"/>
  <c r="W34" i="29"/>
  <c r="W35" i="29"/>
  <c r="W36" i="29"/>
  <c r="W37" i="29"/>
  <c r="W38" i="29"/>
  <c r="W39" i="29"/>
  <c r="W40" i="29"/>
  <c r="W41" i="29"/>
  <c r="W42" i="29"/>
  <c r="W43" i="29"/>
  <c r="W44" i="29"/>
  <c r="W45" i="29"/>
  <c r="W46" i="29"/>
  <c r="W47" i="29"/>
  <c r="W48" i="29"/>
  <c r="W49" i="29"/>
  <c r="W50" i="29"/>
  <c r="W51" i="29"/>
  <c r="V29" i="29"/>
  <c r="V30" i="29"/>
  <c r="V31" i="29"/>
  <c r="V32" i="29"/>
  <c r="V33" i="29"/>
  <c r="V34" i="29"/>
  <c r="V35" i="29"/>
  <c r="V36" i="29"/>
  <c r="V37" i="29"/>
  <c r="V38" i="29"/>
  <c r="V39" i="29"/>
  <c r="V40" i="29"/>
  <c r="V41" i="29"/>
  <c r="V42" i="29"/>
  <c r="V43" i="29"/>
  <c r="V44" i="29"/>
  <c r="V45" i="29"/>
  <c r="V46" i="29"/>
  <c r="V47" i="29"/>
  <c r="V48" i="29"/>
  <c r="V49" i="29"/>
  <c r="V50" i="29"/>
  <c r="V51" i="29"/>
  <c r="U29" i="29"/>
  <c r="U30" i="29"/>
  <c r="U31" i="29"/>
  <c r="U32" i="29"/>
  <c r="U33" i="29"/>
  <c r="U34" i="29"/>
  <c r="U35" i="29"/>
  <c r="U36" i="29"/>
  <c r="U37" i="29"/>
  <c r="U38" i="29"/>
  <c r="U39" i="29"/>
  <c r="U40" i="29"/>
  <c r="U41" i="29"/>
  <c r="U42" i="29"/>
  <c r="U43" i="29"/>
  <c r="U44" i="29"/>
  <c r="U45" i="29"/>
  <c r="U46" i="29"/>
  <c r="U47" i="29"/>
  <c r="U48" i="29"/>
  <c r="U49" i="29"/>
  <c r="U50" i="29"/>
  <c r="U51" i="29"/>
  <c r="T29" i="29"/>
  <c r="T30" i="29"/>
  <c r="T31" i="29"/>
  <c r="T32" i="29"/>
  <c r="T33" i="29"/>
  <c r="T34" i="29"/>
  <c r="T35" i="29"/>
  <c r="T36" i="29"/>
  <c r="T37" i="29"/>
  <c r="T38" i="29"/>
  <c r="T39" i="29"/>
  <c r="T40" i="29"/>
  <c r="T41" i="29"/>
  <c r="T42" i="29"/>
  <c r="T43" i="29"/>
  <c r="T44" i="29"/>
  <c r="T45" i="29"/>
  <c r="T46" i="29"/>
  <c r="T47" i="29"/>
  <c r="T48" i="29"/>
  <c r="T49" i="29"/>
  <c r="T50" i="29"/>
  <c r="T51" i="29"/>
  <c r="S29" i="29"/>
  <c r="S30" i="29"/>
  <c r="S31" i="29"/>
  <c r="S32" i="29"/>
  <c r="S33" i="29"/>
  <c r="S34" i="29"/>
  <c r="S35" i="29"/>
  <c r="S36" i="29"/>
  <c r="S37" i="29"/>
  <c r="S38" i="29"/>
  <c r="S39" i="29"/>
  <c r="S40" i="29"/>
  <c r="S41" i="29"/>
  <c r="S42" i="29"/>
  <c r="S43" i="29"/>
  <c r="S44" i="29"/>
  <c r="S45" i="29"/>
  <c r="S46" i="29"/>
  <c r="S47" i="29"/>
  <c r="S48" i="29"/>
  <c r="S49" i="29"/>
  <c r="S50" i="29"/>
  <c r="S51" i="29"/>
  <c r="Q29" i="29"/>
  <c r="Q30" i="29"/>
  <c r="Q31" i="29"/>
  <c r="Q32" i="29"/>
  <c r="Q33" i="29"/>
  <c r="Q34" i="29"/>
  <c r="Q35" i="29"/>
  <c r="Q36" i="29"/>
  <c r="Q37" i="29"/>
  <c r="Q38" i="29"/>
  <c r="Q39" i="29"/>
  <c r="Q40" i="29"/>
  <c r="Q41" i="29"/>
  <c r="Q42" i="29"/>
  <c r="Q43" i="29"/>
  <c r="Q44" i="29"/>
  <c r="Q45" i="29"/>
  <c r="Q46" i="29"/>
  <c r="Q47" i="29"/>
  <c r="Q48" i="29"/>
  <c r="Q49" i="29"/>
  <c r="Q50" i="29"/>
  <c r="Q51" i="29"/>
  <c r="P29" i="29"/>
  <c r="P30" i="29"/>
  <c r="P31" i="29"/>
  <c r="P32" i="29"/>
  <c r="P33" i="29"/>
  <c r="P34" i="29"/>
  <c r="P35" i="29"/>
  <c r="P36" i="29"/>
  <c r="P37" i="29"/>
  <c r="P38" i="29"/>
  <c r="P39" i="29"/>
  <c r="P40" i="29"/>
  <c r="P41" i="29"/>
  <c r="P42" i="29"/>
  <c r="P43" i="29"/>
  <c r="P44" i="29"/>
  <c r="P45" i="29"/>
  <c r="P46" i="29"/>
  <c r="P47" i="29"/>
  <c r="P48" i="29"/>
  <c r="P49" i="29"/>
  <c r="P50" i="29"/>
  <c r="P51" i="29"/>
  <c r="N29" i="29"/>
  <c r="N30" i="29"/>
  <c r="N31" i="29"/>
  <c r="N32" i="29"/>
  <c r="N33" i="29"/>
  <c r="N34" i="29"/>
  <c r="N35" i="29"/>
  <c r="N36" i="29"/>
  <c r="N37" i="29"/>
  <c r="N38" i="29"/>
  <c r="N39" i="29"/>
  <c r="N40" i="29"/>
  <c r="N41" i="29"/>
  <c r="N42" i="29"/>
  <c r="N43" i="29"/>
  <c r="N44" i="29"/>
  <c r="N45" i="29"/>
  <c r="N46" i="29"/>
  <c r="N47" i="29"/>
  <c r="N48" i="29"/>
  <c r="N49" i="29"/>
  <c r="N50" i="29"/>
  <c r="N51" i="29"/>
  <c r="M29" i="29"/>
  <c r="M30" i="29"/>
  <c r="M31" i="29"/>
  <c r="M32" i="29"/>
  <c r="M33" i="29"/>
  <c r="M34" i="29"/>
  <c r="M35" i="29"/>
  <c r="M36" i="29"/>
  <c r="M37" i="29"/>
  <c r="M38" i="29"/>
  <c r="M39" i="29"/>
  <c r="M40" i="29"/>
  <c r="M41" i="29"/>
  <c r="M42" i="29"/>
  <c r="M43" i="29"/>
  <c r="M44" i="29"/>
  <c r="M45" i="29"/>
  <c r="M46" i="29"/>
  <c r="M47" i="29"/>
  <c r="M48" i="29"/>
  <c r="M49" i="29"/>
  <c r="M50" i="29"/>
  <c r="M51" i="29"/>
  <c r="L29" i="29"/>
  <c r="L30" i="29"/>
  <c r="L31" i="29"/>
  <c r="L32" i="29"/>
  <c r="L33" i="29"/>
  <c r="L34" i="29"/>
  <c r="L35" i="29"/>
  <c r="L36" i="29"/>
  <c r="L37" i="29"/>
  <c r="L38" i="29"/>
  <c r="L39" i="29"/>
  <c r="L40" i="29"/>
  <c r="L41" i="29"/>
  <c r="L42" i="29"/>
  <c r="L43" i="29"/>
  <c r="L44" i="29"/>
  <c r="L45" i="29"/>
  <c r="L46" i="29"/>
  <c r="L47" i="29"/>
  <c r="L48" i="29"/>
  <c r="L49" i="29"/>
  <c r="L50" i="29"/>
  <c r="L51" i="29"/>
  <c r="K29" i="29"/>
  <c r="K30" i="29"/>
  <c r="K31" i="29"/>
  <c r="K32" i="29"/>
  <c r="K33" i="29"/>
  <c r="K34" i="29"/>
  <c r="K35" i="29"/>
  <c r="K36" i="29"/>
  <c r="K37" i="29"/>
  <c r="K38" i="29"/>
  <c r="K39" i="29"/>
  <c r="K40" i="29"/>
  <c r="K41" i="29"/>
  <c r="K42" i="29"/>
  <c r="K43" i="29"/>
  <c r="K44" i="29"/>
  <c r="K45" i="29"/>
  <c r="K46" i="29"/>
  <c r="K47" i="29"/>
  <c r="K48" i="29"/>
  <c r="K49" i="29"/>
  <c r="K50" i="29"/>
  <c r="K51" i="29"/>
  <c r="J29" i="29"/>
  <c r="J30" i="29"/>
  <c r="J31" i="29"/>
  <c r="J32" i="29"/>
  <c r="J33" i="29"/>
  <c r="J34" i="29"/>
  <c r="J35" i="29"/>
  <c r="J36" i="29"/>
  <c r="J37" i="29"/>
  <c r="J38" i="29"/>
  <c r="J39" i="29"/>
  <c r="J40" i="29"/>
  <c r="J41" i="29"/>
  <c r="J42" i="29"/>
  <c r="J43" i="29"/>
  <c r="J44" i="29"/>
  <c r="J45" i="29"/>
  <c r="J46" i="29"/>
  <c r="J47" i="29"/>
  <c r="J48" i="29"/>
  <c r="J49" i="29"/>
  <c r="J50" i="29"/>
  <c r="J51" i="29"/>
  <c r="K28" i="29"/>
  <c r="L28" i="29"/>
  <c r="M28" i="29"/>
  <c r="N28" i="29"/>
  <c r="P28" i="29"/>
  <c r="Q28" i="29"/>
  <c r="S28" i="29"/>
  <c r="T28" i="29"/>
  <c r="U28" i="29"/>
  <c r="V28" i="29"/>
  <c r="W28" i="29"/>
  <c r="X28" i="29"/>
  <c r="J28" i="29"/>
  <c r="H51" i="29"/>
  <c r="H29" i="29"/>
  <c r="H30" i="29"/>
  <c r="H31" i="29"/>
  <c r="H32" i="29"/>
  <c r="H33" i="29"/>
  <c r="H34" i="29"/>
  <c r="H35" i="29"/>
  <c r="H36" i="29"/>
  <c r="H37" i="29"/>
  <c r="H38" i="29"/>
  <c r="H39" i="29"/>
  <c r="H40" i="29"/>
  <c r="H41" i="29"/>
  <c r="H42" i="29"/>
  <c r="H43" i="29"/>
  <c r="H44" i="29"/>
  <c r="H45" i="29"/>
  <c r="H46" i="29"/>
  <c r="H47" i="29"/>
  <c r="H48" i="29"/>
  <c r="H49" i="29"/>
  <c r="H50" i="29"/>
  <c r="H28" i="29"/>
  <c r="X4" i="29"/>
  <c r="X5" i="29"/>
  <c r="X6" i="29"/>
  <c r="X7" i="29"/>
  <c r="X8" i="29"/>
  <c r="X9" i="29"/>
  <c r="X10" i="29"/>
  <c r="X11" i="29"/>
  <c r="X12" i="29"/>
  <c r="X13" i="29"/>
  <c r="X14" i="29"/>
  <c r="X15" i="29"/>
  <c r="X16" i="29"/>
  <c r="X17" i="29"/>
  <c r="X18" i="29"/>
  <c r="X19" i="29"/>
  <c r="X20" i="29"/>
  <c r="X21" i="29"/>
  <c r="X22" i="29"/>
  <c r="X23" i="29"/>
  <c r="X24" i="29"/>
  <c r="X25" i="29"/>
  <c r="X26" i="29"/>
  <c r="X27" i="29"/>
  <c r="W4" i="29"/>
  <c r="W5" i="29"/>
  <c r="W6" i="29"/>
  <c r="W7" i="29"/>
  <c r="W8" i="29"/>
  <c r="W9" i="29"/>
  <c r="W10" i="29"/>
  <c r="W11" i="29"/>
  <c r="W12" i="29"/>
  <c r="W13" i="29"/>
  <c r="W14" i="29"/>
  <c r="W15" i="29"/>
  <c r="W16" i="29"/>
  <c r="W17" i="29"/>
  <c r="W18" i="29"/>
  <c r="W19" i="29"/>
  <c r="W20" i="29"/>
  <c r="W21" i="29"/>
  <c r="W22" i="29"/>
  <c r="W23" i="29"/>
  <c r="W24" i="29"/>
  <c r="W25" i="29"/>
  <c r="W26" i="29"/>
  <c r="W27" i="29"/>
  <c r="V4" i="29"/>
  <c r="V5" i="29"/>
  <c r="V6" i="29"/>
  <c r="V7" i="29"/>
  <c r="V8" i="29"/>
  <c r="V9" i="29"/>
  <c r="V10" i="29"/>
  <c r="V11" i="29"/>
  <c r="V12" i="29"/>
  <c r="V13" i="29"/>
  <c r="V14" i="29"/>
  <c r="V15" i="29"/>
  <c r="V16" i="29"/>
  <c r="V17" i="29"/>
  <c r="V18" i="29"/>
  <c r="V19" i="29"/>
  <c r="V20" i="29"/>
  <c r="V21" i="29"/>
  <c r="V22" i="29"/>
  <c r="V23" i="29"/>
  <c r="V24" i="29"/>
  <c r="V25" i="29"/>
  <c r="V26" i="29"/>
  <c r="V27" i="29"/>
  <c r="U4" i="29"/>
  <c r="U5" i="29"/>
  <c r="U6" i="29"/>
  <c r="U7" i="29"/>
  <c r="U8" i="29"/>
  <c r="U9" i="29"/>
  <c r="U10" i="29"/>
  <c r="U11" i="29"/>
  <c r="U12" i="29"/>
  <c r="U13" i="29"/>
  <c r="U14" i="29"/>
  <c r="U15" i="29"/>
  <c r="U16" i="29"/>
  <c r="U17" i="29"/>
  <c r="U18" i="29"/>
  <c r="U19" i="29"/>
  <c r="U20" i="29"/>
  <c r="U21" i="29"/>
  <c r="U22" i="29"/>
  <c r="U23" i="29"/>
  <c r="U24" i="29"/>
  <c r="U25" i="29"/>
  <c r="U26" i="29"/>
  <c r="U27" i="29"/>
  <c r="T4" i="29"/>
  <c r="T5" i="29"/>
  <c r="T6" i="29"/>
  <c r="T7" i="29"/>
  <c r="T8" i="29"/>
  <c r="T9" i="29"/>
  <c r="T10" i="29"/>
  <c r="T11" i="29"/>
  <c r="T12" i="29"/>
  <c r="T13" i="29"/>
  <c r="T14" i="29"/>
  <c r="T15" i="29"/>
  <c r="T16" i="29"/>
  <c r="T17" i="29"/>
  <c r="T18" i="29"/>
  <c r="T19" i="29"/>
  <c r="T20" i="29"/>
  <c r="T21" i="29"/>
  <c r="T22" i="29"/>
  <c r="T23" i="29"/>
  <c r="T24" i="29"/>
  <c r="T25" i="29"/>
  <c r="T26" i="29"/>
  <c r="T27" i="29"/>
  <c r="S4" i="29"/>
  <c r="S5" i="29"/>
  <c r="S6" i="29"/>
  <c r="S7" i="29"/>
  <c r="S8" i="29"/>
  <c r="S9" i="29"/>
  <c r="S10" i="29"/>
  <c r="S11" i="29"/>
  <c r="S12" i="29"/>
  <c r="S13" i="29"/>
  <c r="S14" i="29"/>
  <c r="S15" i="29"/>
  <c r="S16" i="29"/>
  <c r="S17" i="29"/>
  <c r="S18" i="29"/>
  <c r="S19" i="29"/>
  <c r="S20" i="29"/>
  <c r="S21" i="29"/>
  <c r="S22" i="29"/>
  <c r="S23" i="29"/>
  <c r="S24" i="29"/>
  <c r="S25" i="29"/>
  <c r="S26" i="29"/>
  <c r="S27" i="29"/>
  <c r="Q4" i="29"/>
  <c r="Q5" i="29"/>
  <c r="Q6" i="29"/>
  <c r="Q7" i="29"/>
  <c r="Q8" i="29"/>
  <c r="Q9" i="29"/>
  <c r="Q10" i="29"/>
  <c r="Q11" i="29"/>
  <c r="Q12" i="29"/>
  <c r="Q13" i="29"/>
  <c r="Q14" i="29"/>
  <c r="Q15" i="29"/>
  <c r="Q16" i="29"/>
  <c r="Q17" i="29"/>
  <c r="Q18" i="29"/>
  <c r="Q19" i="29"/>
  <c r="Q20" i="29"/>
  <c r="Q21" i="29"/>
  <c r="Q22" i="29"/>
  <c r="Q23" i="29"/>
  <c r="Q24" i="29"/>
  <c r="Q25" i="29"/>
  <c r="Q26" i="29"/>
  <c r="Q27" i="29"/>
  <c r="P4" i="29"/>
  <c r="P5" i="29"/>
  <c r="P6" i="29"/>
  <c r="P7" i="29"/>
  <c r="P8" i="29"/>
  <c r="P9" i="29"/>
  <c r="P10" i="29"/>
  <c r="P11" i="29"/>
  <c r="P12" i="29"/>
  <c r="P13" i="29"/>
  <c r="P14" i="29"/>
  <c r="P15" i="29"/>
  <c r="P16" i="29"/>
  <c r="P17" i="29"/>
  <c r="P18" i="29"/>
  <c r="P19" i="29"/>
  <c r="P20" i="29"/>
  <c r="P21" i="29"/>
  <c r="P22" i="29"/>
  <c r="P23" i="29"/>
  <c r="P24" i="29"/>
  <c r="P25" i="29"/>
  <c r="P26" i="29"/>
  <c r="P27" i="29"/>
  <c r="N4" i="29"/>
  <c r="N5" i="29"/>
  <c r="N6" i="29"/>
  <c r="N7" i="29"/>
  <c r="N8" i="29"/>
  <c r="N9" i="29"/>
  <c r="N10" i="29"/>
  <c r="N11" i="29"/>
  <c r="N12" i="29"/>
  <c r="N13" i="29"/>
  <c r="N14" i="29"/>
  <c r="N15" i="29"/>
  <c r="N16" i="29"/>
  <c r="N17" i="29"/>
  <c r="N18" i="29"/>
  <c r="N19" i="29"/>
  <c r="N20" i="29"/>
  <c r="N21" i="29"/>
  <c r="N22" i="29"/>
  <c r="N23" i="29"/>
  <c r="N24" i="29"/>
  <c r="N25" i="29"/>
  <c r="N26" i="29"/>
  <c r="N27" i="29"/>
  <c r="M4" i="29"/>
  <c r="M5" i="29"/>
  <c r="M6" i="29"/>
  <c r="M7" i="29"/>
  <c r="M8" i="29"/>
  <c r="M9" i="29"/>
  <c r="M10" i="29"/>
  <c r="M11" i="29"/>
  <c r="M12" i="29"/>
  <c r="M13" i="29"/>
  <c r="M14" i="29"/>
  <c r="M15" i="29"/>
  <c r="M16" i="29"/>
  <c r="M17" i="29"/>
  <c r="M18" i="29"/>
  <c r="M19" i="29"/>
  <c r="M20" i="29"/>
  <c r="M21" i="29"/>
  <c r="M22" i="29"/>
  <c r="M23" i="29"/>
  <c r="M24" i="29"/>
  <c r="M25" i="29"/>
  <c r="M26" i="29"/>
  <c r="M27" i="29"/>
  <c r="L4" i="29"/>
  <c r="L5" i="29"/>
  <c r="L6" i="29"/>
  <c r="L7" i="29"/>
  <c r="L8" i="29"/>
  <c r="L9" i="29"/>
  <c r="L10" i="29"/>
  <c r="L11" i="29"/>
  <c r="L12" i="29"/>
  <c r="L13" i="29"/>
  <c r="L14" i="29"/>
  <c r="L15" i="29"/>
  <c r="L16" i="29"/>
  <c r="L17" i="29"/>
  <c r="L18" i="29"/>
  <c r="L19" i="29"/>
  <c r="L20" i="29"/>
  <c r="L21" i="29"/>
  <c r="L22" i="29"/>
  <c r="L23" i="29"/>
  <c r="L24" i="29"/>
  <c r="L25" i="29"/>
  <c r="L26" i="29"/>
  <c r="L27" i="29"/>
  <c r="K4" i="29"/>
  <c r="K5" i="29"/>
  <c r="K6" i="29"/>
  <c r="K7" i="29"/>
  <c r="K8" i="29"/>
  <c r="K9" i="29"/>
  <c r="K10" i="29"/>
  <c r="K11" i="29"/>
  <c r="K12" i="29"/>
  <c r="K13" i="29"/>
  <c r="K14" i="29"/>
  <c r="K15" i="29"/>
  <c r="K16" i="29"/>
  <c r="K17" i="29"/>
  <c r="K18" i="29"/>
  <c r="K19" i="29"/>
  <c r="K20" i="29"/>
  <c r="K21" i="29"/>
  <c r="K22" i="29"/>
  <c r="K23" i="29"/>
  <c r="K24" i="29"/>
  <c r="K25" i="29"/>
  <c r="K26" i="29"/>
  <c r="K27" i="29"/>
  <c r="J4" i="29"/>
  <c r="J5" i="29"/>
  <c r="J6" i="29"/>
  <c r="J7" i="29"/>
  <c r="J8" i="29"/>
  <c r="J9" i="29"/>
  <c r="J10" i="29"/>
  <c r="J11" i="29"/>
  <c r="J12" i="29"/>
  <c r="J13" i="29"/>
  <c r="J14" i="29"/>
  <c r="J15" i="29"/>
  <c r="J16" i="29"/>
  <c r="J17" i="29"/>
  <c r="J18" i="29"/>
  <c r="J19" i="29"/>
  <c r="J20" i="29"/>
  <c r="J21" i="29"/>
  <c r="J22" i="29"/>
  <c r="J23" i="29"/>
  <c r="J24" i="29"/>
  <c r="J25" i="29"/>
  <c r="J26" i="29"/>
  <c r="J27" i="29"/>
  <c r="I4" i="29"/>
  <c r="I5" i="29"/>
  <c r="I6" i="29"/>
  <c r="I7" i="29"/>
  <c r="I8" i="29"/>
  <c r="I9" i="29"/>
  <c r="I10" i="29"/>
  <c r="I11" i="29"/>
  <c r="I12" i="29"/>
  <c r="I13" i="29"/>
  <c r="I14" i="29"/>
  <c r="I15" i="29"/>
  <c r="I16" i="29"/>
  <c r="I17" i="29"/>
  <c r="I18" i="29"/>
  <c r="I19" i="29"/>
  <c r="I20" i="29"/>
  <c r="I21" i="29"/>
  <c r="I22" i="29"/>
  <c r="I23" i="29"/>
  <c r="I24" i="29"/>
  <c r="I25" i="29"/>
  <c r="I26" i="29"/>
  <c r="I27" i="29"/>
  <c r="H27" i="29"/>
  <c r="I32" i="14"/>
  <c r="O27" i="29" s="1"/>
  <c r="L32" i="14"/>
  <c r="R27" i="29" s="1"/>
  <c r="H4" i="29"/>
  <c r="H5" i="29"/>
  <c r="H6" i="29"/>
  <c r="H7" i="29"/>
  <c r="H8" i="29"/>
  <c r="H9" i="29"/>
  <c r="H10" i="29"/>
  <c r="H11" i="29"/>
  <c r="H12" i="29"/>
  <c r="H13" i="29"/>
  <c r="H14" i="29"/>
  <c r="H15" i="29"/>
  <c r="H16" i="29"/>
  <c r="H17" i="29"/>
  <c r="H18" i="29"/>
  <c r="H19" i="29"/>
  <c r="H20" i="29"/>
  <c r="H21" i="29"/>
  <c r="H22" i="29"/>
  <c r="H23" i="29"/>
  <c r="H24" i="29"/>
  <c r="H25" i="29"/>
  <c r="H26" i="29"/>
  <c r="I3" i="29"/>
  <c r="J3" i="29"/>
  <c r="K3" i="29"/>
  <c r="L3" i="29"/>
  <c r="M3" i="29"/>
  <c r="N3" i="29"/>
  <c r="P3" i="29"/>
  <c r="Q3" i="29"/>
  <c r="S3" i="29"/>
  <c r="T3" i="29"/>
  <c r="U3" i="29"/>
  <c r="V3" i="29"/>
  <c r="W3" i="29"/>
  <c r="X3" i="29"/>
  <c r="H3" i="29"/>
  <c r="Y1145" i="25"/>
  <c r="Y1146" i="25"/>
  <c r="Y1147" i="25"/>
  <c r="Y1148" i="25"/>
  <c r="Y1149" i="25"/>
  <c r="Y1150" i="25"/>
  <c r="Y1151" i="25"/>
  <c r="Y1152" i="25"/>
  <c r="Y1153" i="25"/>
  <c r="Y1154" i="25"/>
  <c r="Y1155" i="25"/>
  <c r="Y1156" i="25"/>
  <c r="Y1157" i="25"/>
  <c r="Y1158" i="25"/>
  <c r="Y1159" i="25"/>
  <c r="Y1160" i="25"/>
  <c r="X1145" i="25"/>
  <c r="X1146" i="25"/>
  <c r="X1147" i="25"/>
  <c r="X1148" i="25"/>
  <c r="X1149" i="25"/>
  <c r="X1150" i="25"/>
  <c r="X1151" i="25"/>
  <c r="X1152" i="25"/>
  <c r="X1153" i="25"/>
  <c r="X1154" i="25"/>
  <c r="X1155" i="25"/>
  <c r="X1156" i="25"/>
  <c r="X1157" i="25"/>
  <c r="X1158" i="25"/>
  <c r="X1159" i="25"/>
  <c r="X1160" i="25"/>
  <c r="S1145" i="25"/>
  <c r="S1146" i="25"/>
  <c r="S1147" i="25"/>
  <c r="S1148" i="25"/>
  <c r="S1149" i="25"/>
  <c r="S1150" i="25"/>
  <c r="S1151" i="25"/>
  <c r="S1152" i="25"/>
  <c r="S1153" i="25"/>
  <c r="S1154" i="25"/>
  <c r="S1155" i="25"/>
  <c r="S1156" i="25"/>
  <c r="S1157" i="25"/>
  <c r="S1158" i="25"/>
  <c r="S1159" i="25"/>
  <c r="S1160" i="25"/>
  <c r="P1145" i="25"/>
  <c r="P1146" i="25"/>
  <c r="P1147" i="25"/>
  <c r="P1148" i="25"/>
  <c r="P1149" i="25"/>
  <c r="P1150" i="25"/>
  <c r="P1151" i="25"/>
  <c r="P1152" i="25"/>
  <c r="P1153" i="25"/>
  <c r="P1154" i="25"/>
  <c r="P1155" i="25"/>
  <c r="P1156" i="25"/>
  <c r="P1157" i="25"/>
  <c r="P1158" i="25"/>
  <c r="P1159" i="25"/>
  <c r="P1160" i="25"/>
  <c r="N1145" i="25"/>
  <c r="N1146" i="25"/>
  <c r="N1147" i="25"/>
  <c r="N1148" i="25"/>
  <c r="N1149" i="25"/>
  <c r="N1150" i="25"/>
  <c r="N1151" i="25"/>
  <c r="N1152" i="25"/>
  <c r="N1153" i="25"/>
  <c r="N1154" i="25"/>
  <c r="N1155" i="25"/>
  <c r="N1156" i="25"/>
  <c r="N1157" i="25"/>
  <c r="N1158" i="25"/>
  <c r="N1159" i="25"/>
  <c r="N1160" i="25"/>
  <c r="M1145" i="25"/>
  <c r="M1146" i="25"/>
  <c r="M1147" i="25"/>
  <c r="M1148" i="25"/>
  <c r="M1149" i="25"/>
  <c r="M1150" i="25"/>
  <c r="M1151" i="25"/>
  <c r="M1152" i="25"/>
  <c r="M1153" i="25"/>
  <c r="M1154" i="25"/>
  <c r="M1155" i="25"/>
  <c r="M1156" i="25"/>
  <c r="M1157" i="25"/>
  <c r="M1158" i="25"/>
  <c r="M1159" i="25"/>
  <c r="M1160" i="25"/>
  <c r="J1145" i="25"/>
  <c r="J1146" i="25"/>
  <c r="J1147" i="25"/>
  <c r="J1148" i="25"/>
  <c r="J1149" i="25"/>
  <c r="J1150" i="25"/>
  <c r="J1151" i="25"/>
  <c r="J1152" i="25"/>
  <c r="J1153" i="25"/>
  <c r="J1154" i="25"/>
  <c r="J1155" i="25"/>
  <c r="J1156" i="25"/>
  <c r="J1157" i="25"/>
  <c r="J1158" i="25"/>
  <c r="J1159" i="25"/>
  <c r="J1160" i="25"/>
  <c r="I1145" i="25"/>
  <c r="I1146" i="25"/>
  <c r="I1147" i="25"/>
  <c r="I1148" i="25"/>
  <c r="I1149" i="25"/>
  <c r="I1150" i="25"/>
  <c r="I1151" i="25"/>
  <c r="I1152" i="25"/>
  <c r="I1153" i="25"/>
  <c r="I1154" i="25"/>
  <c r="I1155" i="25"/>
  <c r="I1156" i="25"/>
  <c r="I1157" i="25"/>
  <c r="I1158" i="25"/>
  <c r="I1159" i="25"/>
  <c r="I1160" i="25"/>
  <c r="H1145" i="25"/>
  <c r="H1146" i="25"/>
  <c r="H1147" i="25"/>
  <c r="H1148" i="25"/>
  <c r="H1149" i="25"/>
  <c r="H1150" i="25"/>
  <c r="H1151" i="25"/>
  <c r="H1152" i="25"/>
  <c r="H1153" i="25"/>
  <c r="H1154" i="25"/>
  <c r="H1155" i="25"/>
  <c r="H1156" i="25"/>
  <c r="H1157" i="25"/>
  <c r="H1158" i="25"/>
  <c r="H1159" i="25"/>
  <c r="H1160" i="25"/>
  <c r="S1144" i="25"/>
  <c r="X1144" i="25"/>
  <c r="Y1144" i="25"/>
  <c r="P1144" i="25"/>
  <c r="I1144" i="25"/>
  <c r="J1144" i="25"/>
  <c r="M1144" i="25"/>
  <c r="N1144" i="25"/>
  <c r="H1144" i="25"/>
  <c r="S1143" i="25"/>
  <c r="X1143" i="25"/>
  <c r="Y1143" i="25"/>
  <c r="S1142" i="25"/>
  <c r="X1142" i="25"/>
  <c r="Y1142" i="25"/>
  <c r="S1141" i="25"/>
  <c r="X1141" i="25"/>
  <c r="Y1141" i="25"/>
  <c r="S1140" i="25"/>
  <c r="X1140" i="25"/>
  <c r="Y1140" i="25"/>
  <c r="S1139" i="25"/>
  <c r="X1139" i="25"/>
  <c r="Y1139" i="25"/>
  <c r="S1138" i="25"/>
  <c r="X1138" i="25"/>
  <c r="Y1138" i="25"/>
  <c r="P1139" i="25"/>
  <c r="P1140" i="25"/>
  <c r="P1141" i="25"/>
  <c r="P1142" i="25"/>
  <c r="P1143" i="25"/>
  <c r="P1138" i="25"/>
  <c r="N1139" i="25"/>
  <c r="N1140" i="25"/>
  <c r="N1141" i="25"/>
  <c r="N1142" i="25"/>
  <c r="N1143" i="25"/>
  <c r="N1138" i="25"/>
  <c r="M1139" i="25"/>
  <c r="M1140" i="25"/>
  <c r="M1141" i="25"/>
  <c r="M1142" i="25"/>
  <c r="M1143" i="25"/>
  <c r="M1138" i="25"/>
  <c r="J1138" i="25"/>
  <c r="J1139" i="25"/>
  <c r="J1140" i="25"/>
  <c r="J1141" i="25"/>
  <c r="J1142" i="25"/>
  <c r="J1143" i="25"/>
  <c r="H1138" i="25"/>
  <c r="I1062" i="25"/>
  <c r="I1063" i="25"/>
  <c r="I1064" i="25"/>
  <c r="I1065" i="25"/>
  <c r="I1066" i="25"/>
  <c r="I1067" i="25"/>
  <c r="I1068" i="25"/>
  <c r="I1069" i="25"/>
  <c r="I1070" i="25"/>
  <c r="I1071" i="25"/>
  <c r="I1072" i="25"/>
  <c r="I1073" i="25"/>
  <c r="I1074" i="25"/>
  <c r="I1075" i="25"/>
  <c r="I1076" i="25"/>
  <c r="I1077" i="25"/>
  <c r="I1078" i="25"/>
  <c r="I1079" i="25"/>
  <c r="I1080" i="25"/>
  <c r="I1081" i="25"/>
  <c r="I1082" i="25"/>
  <c r="I1083" i="25"/>
  <c r="I1084" i="25"/>
  <c r="I1085" i="25"/>
  <c r="I1086" i="25"/>
  <c r="I1087" i="25"/>
  <c r="I1088" i="25"/>
  <c r="I1089" i="25"/>
  <c r="I1090" i="25"/>
  <c r="I1091" i="25"/>
  <c r="I1092" i="25"/>
  <c r="I1093" i="25"/>
  <c r="I1094" i="25"/>
  <c r="I1095" i="25"/>
  <c r="I1096" i="25"/>
  <c r="I1097" i="25"/>
  <c r="I1098" i="25"/>
  <c r="I1099" i="25"/>
  <c r="I1100" i="25"/>
  <c r="I1101" i="25"/>
  <c r="I1102" i="25"/>
  <c r="I1103" i="25"/>
  <c r="I1104" i="25"/>
  <c r="I1105" i="25"/>
  <c r="I1106" i="25"/>
  <c r="I1107" i="25"/>
  <c r="I1108" i="25"/>
  <c r="I1109" i="25"/>
  <c r="I1110" i="25"/>
  <c r="I1111" i="25"/>
  <c r="I1112" i="25"/>
  <c r="I1113" i="25"/>
  <c r="I1114" i="25"/>
  <c r="I1115" i="25"/>
  <c r="I1116" i="25"/>
  <c r="I1117" i="25"/>
  <c r="I1118" i="25"/>
  <c r="I1119" i="25"/>
  <c r="I1120" i="25"/>
  <c r="I1121" i="25"/>
  <c r="I1122" i="25"/>
  <c r="I1123" i="25"/>
  <c r="I1124" i="25"/>
  <c r="I1125" i="25"/>
  <c r="I1126" i="25"/>
  <c r="I1127" i="25"/>
  <c r="I1128" i="25"/>
  <c r="I1129" i="25"/>
  <c r="I1130" i="25"/>
  <c r="I1131" i="25"/>
  <c r="I1132" i="25"/>
  <c r="I1133" i="25"/>
  <c r="I1134" i="25"/>
  <c r="I1135" i="25"/>
  <c r="I1136" i="25"/>
  <c r="I1137" i="25"/>
  <c r="Y1062" i="25"/>
  <c r="Y1063" i="25"/>
  <c r="Y1064" i="25"/>
  <c r="Y1065" i="25"/>
  <c r="Y1066" i="25"/>
  <c r="Y1067" i="25"/>
  <c r="Y1068" i="25"/>
  <c r="Y1069" i="25"/>
  <c r="Y1070" i="25"/>
  <c r="Y1071" i="25"/>
  <c r="Y1072" i="25"/>
  <c r="Y1073" i="25"/>
  <c r="Y1074" i="25"/>
  <c r="Y1075" i="25"/>
  <c r="Y1076" i="25"/>
  <c r="Y1077" i="25"/>
  <c r="Y1078" i="25"/>
  <c r="Y1079" i="25"/>
  <c r="Y1080" i="25"/>
  <c r="Y1081" i="25"/>
  <c r="Y1082" i="25"/>
  <c r="Y1083" i="25"/>
  <c r="Y1084" i="25"/>
  <c r="Y1085" i="25"/>
  <c r="Y1086" i="25"/>
  <c r="Y1087" i="25"/>
  <c r="Y1088" i="25"/>
  <c r="Y1089" i="25"/>
  <c r="Y1090" i="25"/>
  <c r="Y1091" i="25"/>
  <c r="Y1092" i="25"/>
  <c r="Y1093" i="25"/>
  <c r="Y1094" i="25"/>
  <c r="Y1095" i="25"/>
  <c r="Y1096" i="25"/>
  <c r="Y1097" i="25"/>
  <c r="Y1098" i="25"/>
  <c r="Y1099" i="25"/>
  <c r="Y1100" i="25"/>
  <c r="Y1101" i="25"/>
  <c r="Y1102" i="25"/>
  <c r="Y1103" i="25"/>
  <c r="Y1104" i="25"/>
  <c r="Y1105" i="25"/>
  <c r="Y1106" i="25"/>
  <c r="Y1107" i="25"/>
  <c r="Y1108" i="25"/>
  <c r="Y1109" i="25"/>
  <c r="Y1110" i="25"/>
  <c r="Y1111" i="25"/>
  <c r="Y1112" i="25"/>
  <c r="Y1113" i="25"/>
  <c r="Y1114" i="25"/>
  <c r="Y1115" i="25"/>
  <c r="Y1116" i="25"/>
  <c r="Y1117" i="25"/>
  <c r="Y1118" i="25"/>
  <c r="Y1119" i="25"/>
  <c r="Y1120" i="25"/>
  <c r="Y1121" i="25"/>
  <c r="Y1122" i="25"/>
  <c r="Y1123" i="25"/>
  <c r="Y1124" i="25"/>
  <c r="Y1125" i="25"/>
  <c r="Y1126" i="25"/>
  <c r="Y1127" i="25"/>
  <c r="Y1128" i="25"/>
  <c r="Y1129" i="25"/>
  <c r="Y1130" i="25"/>
  <c r="Y1131" i="25"/>
  <c r="Y1132" i="25"/>
  <c r="Y1133" i="25"/>
  <c r="Y1134" i="25"/>
  <c r="Y1135" i="25"/>
  <c r="Y1136" i="25"/>
  <c r="Y1137" i="25"/>
  <c r="X1062" i="25"/>
  <c r="X1063" i="25"/>
  <c r="X1064" i="25"/>
  <c r="X1065" i="25"/>
  <c r="X1066" i="25"/>
  <c r="X1067" i="25"/>
  <c r="X1068" i="25"/>
  <c r="X1069" i="25"/>
  <c r="X1070" i="25"/>
  <c r="X1071" i="25"/>
  <c r="X1072" i="25"/>
  <c r="X1073" i="25"/>
  <c r="X1074" i="25"/>
  <c r="X1075" i="25"/>
  <c r="X1076" i="25"/>
  <c r="X1077" i="25"/>
  <c r="X1078" i="25"/>
  <c r="X1079" i="25"/>
  <c r="X1080" i="25"/>
  <c r="X1081" i="25"/>
  <c r="X1082" i="25"/>
  <c r="X1083" i="25"/>
  <c r="X1084" i="25"/>
  <c r="X1085" i="25"/>
  <c r="X1086" i="25"/>
  <c r="X1087" i="25"/>
  <c r="X1088" i="25"/>
  <c r="X1089" i="25"/>
  <c r="X1090" i="25"/>
  <c r="X1091" i="25"/>
  <c r="X1092" i="25"/>
  <c r="X1093" i="25"/>
  <c r="X1094" i="25"/>
  <c r="X1095" i="25"/>
  <c r="X1096" i="25"/>
  <c r="X1097" i="25"/>
  <c r="X1098" i="25"/>
  <c r="X1099" i="25"/>
  <c r="X1100" i="25"/>
  <c r="X1101" i="25"/>
  <c r="X1102" i="25"/>
  <c r="X1103" i="25"/>
  <c r="X1104" i="25"/>
  <c r="X1105" i="25"/>
  <c r="X1106" i="25"/>
  <c r="X1107" i="25"/>
  <c r="X1108" i="25"/>
  <c r="X1109" i="25"/>
  <c r="X1110" i="25"/>
  <c r="X1111" i="25"/>
  <c r="X1112" i="25"/>
  <c r="X1113" i="25"/>
  <c r="X1114" i="25"/>
  <c r="X1115" i="25"/>
  <c r="X1116" i="25"/>
  <c r="X1117" i="25"/>
  <c r="X1118" i="25"/>
  <c r="X1119" i="25"/>
  <c r="X1120" i="25"/>
  <c r="X1121" i="25"/>
  <c r="X1122" i="25"/>
  <c r="X1123" i="25"/>
  <c r="X1124" i="25"/>
  <c r="X1125" i="25"/>
  <c r="X1126" i="25"/>
  <c r="X1127" i="25"/>
  <c r="X1128" i="25"/>
  <c r="X1129" i="25"/>
  <c r="X1130" i="25"/>
  <c r="X1131" i="25"/>
  <c r="X1132" i="25"/>
  <c r="X1133" i="25"/>
  <c r="X1134" i="25"/>
  <c r="X1135" i="25"/>
  <c r="X1136" i="25"/>
  <c r="X1137" i="25"/>
  <c r="S1062" i="25"/>
  <c r="S1063" i="25"/>
  <c r="S1064" i="25"/>
  <c r="S1065" i="25"/>
  <c r="S1066" i="25"/>
  <c r="S1067" i="25"/>
  <c r="S1068" i="25"/>
  <c r="S1069" i="25"/>
  <c r="S1070" i="25"/>
  <c r="S1071" i="25"/>
  <c r="S1072" i="25"/>
  <c r="S1073" i="25"/>
  <c r="S1074" i="25"/>
  <c r="S1075" i="25"/>
  <c r="S1076" i="25"/>
  <c r="S1077" i="25"/>
  <c r="S1078" i="25"/>
  <c r="S1079" i="25"/>
  <c r="S1080" i="25"/>
  <c r="S1081" i="25"/>
  <c r="S1082" i="25"/>
  <c r="S1083" i="25"/>
  <c r="S1084" i="25"/>
  <c r="S1085" i="25"/>
  <c r="S1086" i="25"/>
  <c r="S1087" i="25"/>
  <c r="S1088" i="25"/>
  <c r="S1089" i="25"/>
  <c r="S1090" i="25"/>
  <c r="S1091" i="25"/>
  <c r="S1092" i="25"/>
  <c r="S1093" i="25"/>
  <c r="S1094" i="25"/>
  <c r="S1095" i="25"/>
  <c r="S1096" i="25"/>
  <c r="S1097" i="25"/>
  <c r="S1098" i="25"/>
  <c r="S1099" i="25"/>
  <c r="S1100" i="25"/>
  <c r="S1101" i="25"/>
  <c r="S1102" i="25"/>
  <c r="S1103" i="25"/>
  <c r="S1104" i="25"/>
  <c r="S1105" i="25"/>
  <c r="S1106" i="25"/>
  <c r="S1107" i="25"/>
  <c r="S1108" i="25"/>
  <c r="S1109" i="25"/>
  <c r="S1110" i="25"/>
  <c r="S1111" i="25"/>
  <c r="S1112" i="25"/>
  <c r="S1113" i="25"/>
  <c r="S1114" i="25"/>
  <c r="S1115" i="25"/>
  <c r="S1116" i="25"/>
  <c r="S1117" i="25"/>
  <c r="S1118" i="25"/>
  <c r="S1119" i="25"/>
  <c r="S1120" i="25"/>
  <c r="S1121" i="25"/>
  <c r="S1122" i="25"/>
  <c r="S1123" i="25"/>
  <c r="S1124" i="25"/>
  <c r="S1125" i="25"/>
  <c r="S1126" i="25"/>
  <c r="S1127" i="25"/>
  <c r="S1128" i="25"/>
  <c r="S1129" i="25"/>
  <c r="S1130" i="25"/>
  <c r="S1131" i="25"/>
  <c r="S1132" i="25"/>
  <c r="S1133" i="25"/>
  <c r="S1134" i="25"/>
  <c r="S1135" i="25"/>
  <c r="S1136" i="25"/>
  <c r="S1137" i="25"/>
  <c r="P1063" i="25"/>
  <c r="P1064" i="25"/>
  <c r="P1065" i="25"/>
  <c r="P1066" i="25"/>
  <c r="P1067" i="25"/>
  <c r="P1068" i="25"/>
  <c r="P1069" i="25"/>
  <c r="P1070" i="25"/>
  <c r="P1071" i="25"/>
  <c r="P1072" i="25"/>
  <c r="P1073" i="25"/>
  <c r="P1074" i="25"/>
  <c r="P1075" i="25"/>
  <c r="P1076" i="25"/>
  <c r="P1077" i="25"/>
  <c r="P1078" i="25"/>
  <c r="P1079" i="25"/>
  <c r="P1080" i="25"/>
  <c r="P1081" i="25"/>
  <c r="P1082" i="25"/>
  <c r="P1083" i="25"/>
  <c r="P1084" i="25"/>
  <c r="P1085" i="25"/>
  <c r="P1086" i="25"/>
  <c r="P1087" i="25"/>
  <c r="P1088" i="25"/>
  <c r="P1089" i="25"/>
  <c r="P1090" i="25"/>
  <c r="P1091" i="25"/>
  <c r="P1092" i="25"/>
  <c r="P1093" i="25"/>
  <c r="P1094" i="25"/>
  <c r="P1095" i="25"/>
  <c r="P1096" i="25"/>
  <c r="P1097" i="25"/>
  <c r="P1098" i="25"/>
  <c r="P1099" i="25"/>
  <c r="P1100" i="25"/>
  <c r="P1101" i="25"/>
  <c r="P1102" i="25"/>
  <c r="P1103" i="25"/>
  <c r="P1104" i="25"/>
  <c r="P1105" i="25"/>
  <c r="P1106" i="25"/>
  <c r="P1107" i="25"/>
  <c r="P1108" i="25"/>
  <c r="P1109" i="25"/>
  <c r="P1110" i="25"/>
  <c r="P1111" i="25"/>
  <c r="P1112" i="25"/>
  <c r="P1113" i="25"/>
  <c r="P1114" i="25"/>
  <c r="P1115" i="25"/>
  <c r="P1116" i="25"/>
  <c r="P1117" i="25"/>
  <c r="P1118" i="25"/>
  <c r="P1119" i="25"/>
  <c r="P1120" i="25"/>
  <c r="P1121" i="25"/>
  <c r="P1122" i="25"/>
  <c r="P1123" i="25"/>
  <c r="P1124" i="25"/>
  <c r="P1125" i="25"/>
  <c r="P1126" i="25"/>
  <c r="P1127" i="25"/>
  <c r="P1128" i="25"/>
  <c r="P1129" i="25"/>
  <c r="P1130" i="25"/>
  <c r="P1131" i="25"/>
  <c r="P1132" i="25"/>
  <c r="P1133" i="25"/>
  <c r="P1134" i="25"/>
  <c r="P1135" i="25"/>
  <c r="P1136" i="25"/>
  <c r="P1137" i="25"/>
  <c r="P1062" i="25"/>
  <c r="N1062" i="25"/>
  <c r="N1063" i="25"/>
  <c r="N1064" i="25"/>
  <c r="N1065" i="25"/>
  <c r="N1066" i="25"/>
  <c r="N1067" i="25"/>
  <c r="N1068" i="25"/>
  <c r="N1069" i="25"/>
  <c r="N1070" i="25"/>
  <c r="N1071" i="25"/>
  <c r="N1072" i="25"/>
  <c r="N1073" i="25"/>
  <c r="N1074" i="25"/>
  <c r="N1075" i="25"/>
  <c r="N1076" i="25"/>
  <c r="N1077" i="25"/>
  <c r="N1078" i="25"/>
  <c r="N1079" i="25"/>
  <c r="N1080" i="25"/>
  <c r="N1081" i="25"/>
  <c r="N1082" i="25"/>
  <c r="N1083" i="25"/>
  <c r="N1084" i="25"/>
  <c r="N1085" i="25"/>
  <c r="N1086" i="25"/>
  <c r="N1087" i="25"/>
  <c r="N1088" i="25"/>
  <c r="N1089" i="25"/>
  <c r="N1090" i="25"/>
  <c r="N1091" i="25"/>
  <c r="N1092" i="25"/>
  <c r="N1093" i="25"/>
  <c r="N1094" i="25"/>
  <c r="N1095" i="25"/>
  <c r="N1096" i="25"/>
  <c r="N1097" i="25"/>
  <c r="N1098" i="25"/>
  <c r="N1099" i="25"/>
  <c r="N1100" i="25"/>
  <c r="N1101" i="25"/>
  <c r="N1102" i="25"/>
  <c r="N1103" i="25"/>
  <c r="N1104" i="25"/>
  <c r="N1105" i="25"/>
  <c r="N1106" i="25"/>
  <c r="N1107" i="25"/>
  <c r="N1108" i="25"/>
  <c r="N1109" i="25"/>
  <c r="N1110" i="25"/>
  <c r="N1111" i="25"/>
  <c r="N1112" i="25"/>
  <c r="N1113" i="25"/>
  <c r="N1114" i="25"/>
  <c r="N1115" i="25"/>
  <c r="N1116" i="25"/>
  <c r="N1117" i="25"/>
  <c r="N1118" i="25"/>
  <c r="N1119" i="25"/>
  <c r="N1120" i="25"/>
  <c r="N1121" i="25"/>
  <c r="N1122" i="25"/>
  <c r="N1123" i="25"/>
  <c r="N1124" i="25"/>
  <c r="N1125" i="25"/>
  <c r="N1126" i="25"/>
  <c r="N1127" i="25"/>
  <c r="N1128" i="25"/>
  <c r="N1129" i="25"/>
  <c r="N1130" i="25"/>
  <c r="N1131" i="25"/>
  <c r="N1132" i="25"/>
  <c r="N1133" i="25"/>
  <c r="N1134" i="25"/>
  <c r="N1135" i="25"/>
  <c r="N1136" i="25"/>
  <c r="N1137" i="25"/>
  <c r="M1062" i="25"/>
  <c r="M1063" i="25"/>
  <c r="M1064" i="25"/>
  <c r="M1065" i="25"/>
  <c r="M1066" i="25"/>
  <c r="M1067" i="25"/>
  <c r="M1068" i="25"/>
  <c r="M1069" i="25"/>
  <c r="M1070" i="25"/>
  <c r="M1071" i="25"/>
  <c r="M1072" i="25"/>
  <c r="M1073" i="25"/>
  <c r="M1074" i="25"/>
  <c r="M1075" i="25"/>
  <c r="M1076" i="25"/>
  <c r="M1077" i="25"/>
  <c r="M1078" i="25"/>
  <c r="M1079" i="25"/>
  <c r="M1080" i="25"/>
  <c r="M1081" i="25"/>
  <c r="M1082" i="25"/>
  <c r="M1083" i="25"/>
  <c r="M1084" i="25"/>
  <c r="M1085" i="25"/>
  <c r="M1086" i="25"/>
  <c r="M1087" i="25"/>
  <c r="M1088" i="25"/>
  <c r="M1089" i="25"/>
  <c r="M1090" i="25"/>
  <c r="M1091" i="25"/>
  <c r="M1092" i="25"/>
  <c r="M1093" i="25"/>
  <c r="M1094" i="25"/>
  <c r="M1095" i="25"/>
  <c r="M1096" i="25"/>
  <c r="M1097" i="25"/>
  <c r="M1098" i="25"/>
  <c r="M1099" i="25"/>
  <c r="M1100" i="25"/>
  <c r="M1101" i="25"/>
  <c r="M1102" i="25"/>
  <c r="M1103" i="25"/>
  <c r="M1104" i="25"/>
  <c r="M1105" i="25"/>
  <c r="M1106" i="25"/>
  <c r="M1107" i="25"/>
  <c r="M1108" i="25"/>
  <c r="M1109" i="25"/>
  <c r="M1110" i="25"/>
  <c r="M1111" i="25"/>
  <c r="M1112" i="25"/>
  <c r="M1113" i="25"/>
  <c r="M1114" i="25"/>
  <c r="M1115" i="25"/>
  <c r="M1116" i="25"/>
  <c r="M1117" i="25"/>
  <c r="M1118" i="25"/>
  <c r="M1119" i="25"/>
  <c r="M1120" i="25"/>
  <c r="M1121" i="25"/>
  <c r="M1122" i="25"/>
  <c r="M1123" i="25"/>
  <c r="M1124" i="25"/>
  <c r="M1125" i="25"/>
  <c r="M1126" i="25"/>
  <c r="M1127" i="25"/>
  <c r="M1128" i="25"/>
  <c r="M1129" i="25"/>
  <c r="M1130" i="25"/>
  <c r="M1131" i="25"/>
  <c r="M1132" i="25"/>
  <c r="M1133" i="25"/>
  <c r="M1134" i="25"/>
  <c r="M1135" i="25"/>
  <c r="M1136" i="25"/>
  <c r="M1137" i="25"/>
  <c r="S1061" i="25"/>
  <c r="X1061" i="25"/>
  <c r="Y1061" i="25"/>
  <c r="P1061" i="25"/>
  <c r="N1061" i="25"/>
  <c r="I1061" i="25"/>
  <c r="Y950" i="25"/>
  <c r="Y951" i="25"/>
  <c r="Y952" i="25"/>
  <c r="Y953" i="25"/>
  <c r="Y954" i="25"/>
  <c r="Y955" i="25"/>
  <c r="Y956" i="25"/>
  <c r="Y957" i="25"/>
  <c r="Y958" i="25"/>
  <c r="Y959" i="25"/>
  <c r="Y960" i="25"/>
  <c r="Y961" i="25"/>
  <c r="Y962" i="25"/>
  <c r="Y963" i="25"/>
  <c r="Y964" i="25"/>
  <c r="Y965" i="25"/>
  <c r="Y966" i="25"/>
  <c r="Y967" i="25"/>
  <c r="Y968" i="25"/>
  <c r="Y969" i="25"/>
  <c r="Y970" i="25"/>
  <c r="Y971" i="25"/>
  <c r="Y972" i="25"/>
  <c r="Y973" i="25"/>
  <c r="Y974" i="25"/>
  <c r="Y975" i="25"/>
  <c r="Y976" i="25"/>
  <c r="Y977" i="25"/>
  <c r="Y978" i="25"/>
  <c r="Y979" i="25"/>
  <c r="Y980" i="25"/>
  <c r="Y981" i="25"/>
  <c r="Y982" i="25"/>
  <c r="Y983" i="25"/>
  <c r="Y984" i="25"/>
  <c r="Y985" i="25"/>
  <c r="Y986" i="25"/>
  <c r="Y987" i="25"/>
  <c r="Y988" i="25"/>
  <c r="Y989" i="25"/>
  <c r="Y990" i="25"/>
  <c r="Y991" i="25"/>
  <c r="Y992" i="25"/>
  <c r="Y993" i="25"/>
  <c r="Y994" i="25"/>
  <c r="Y995" i="25"/>
  <c r="Y996" i="25"/>
  <c r="Y997" i="25"/>
  <c r="Y998" i="25"/>
  <c r="Y999" i="25"/>
  <c r="Y1000" i="25"/>
  <c r="Y1001" i="25"/>
  <c r="Y1002" i="25"/>
  <c r="Y1003" i="25"/>
  <c r="Y1004" i="25"/>
  <c r="Y1005" i="25"/>
  <c r="Y1006" i="25"/>
  <c r="Y1007" i="25"/>
  <c r="Y1008" i="25"/>
  <c r="Y1009" i="25"/>
  <c r="Y1010" i="25"/>
  <c r="Y1011" i="25"/>
  <c r="Y1012" i="25"/>
  <c r="Y1013" i="25"/>
  <c r="Y1014" i="25"/>
  <c r="Y1015" i="25"/>
  <c r="Y1016" i="25"/>
  <c r="Y1017" i="25"/>
  <c r="Y1018" i="25"/>
  <c r="Y1019" i="25"/>
  <c r="Y1020" i="25"/>
  <c r="Y1021" i="25"/>
  <c r="Y1022" i="25"/>
  <c r="Y1023" i="25"/>
  <c r="Y1024" i="25"/>
  <c r="Y1025" i="25"/>
  <c r="Y1026" i="25"/>
  <c r="Y1027" i="25"/>
  <c r="Y1028" i="25"/>
  <c r="Y1029" i="25"/>
  <c r="Y1030" i="25"/>
  <c r="Y1031" i="25"/>
  <c r="Y1032" i="25"/>
  <c r="Y1033" i="25"/>
  <c r="Y1034" i="25"/>
  <c r="Y1035" i="25"/>
  <c r="Y1036" i="25"/>
  <c r="Y1037" i="25"/>
  <c r="Y1038" i="25"/>
  <c r="Y1039" i="25"/>
  <c r="Y1040" i="25"/>
  <c r="Y1041" i="25"/>
  <c r="Y1042" i="25"/>
  <c r="Y1043" i="25"/>
  <c r="Y1044" i="25"/>
  <c r="Y1045" i="25"/>
  <c r="Y1046" i="25"/>
  <c r="Y1047" i="25"/>
  <c r="Y1048" i="25"/>
  <c r="Y1049" i="25"/>
  <c r="Y1050" i="25"/>
  <c r="Y1051" i="25"/>
  <c r="Y1052" i="25"/>
  <c r="Y1053" i="25"/>
  <c r="Y1059" i="25"/>
  <c r="Y1060" i="25"/>
  <c r="X950" i="25"/>
  <c r="X951" i="25"/>
  <c r="X952" i="25"/>
  <c r="X953" i="25"/>
  <c r="X954" i="25"/>
  <c r="X955" i="25"/>
  <c r="X956" i="25"/>
  <c r="X957" i="25"/>
  <c r="X958" i="25"/>
  <c r="X959" i="25"/>
  <c r="X960" i="25"/>
  <c r="X961" i="25"/>
  <c r="X962" i="25"/>
  <c r="X963" i="25"/>
  <c r="X964" i="25"/>
  <c r="X965" i="25"/>
  <c r="X966" i="25"/>
  <c r="X967" i="25"/>
  <c r="X968" i="25"/>
  <c r="X969" i="25"/>
  <c r="X970" i="25"/>
  <c r="X971" i="25"/>
  <c r="X972" i="25"/>
  <c r="X973" i="25"/>
  <c r="X974" i="25"/>
  <c r="X975" i="25"/>
  <c r="X976" i="25"/>
  <c r="X977" i="25"/>
  <c r="X978" i="25"/>
  <c r="X979" i="25"/>
  <c r="X980" i="25"/>
  <c r="X981" i="25"/>
  <c r="X982" i="25"/>
  <c r="X983" i="25"/>
  <c r="X984" i="25"/>
  <c r="X985" i="25"/>
  <c r="X986" i="25"/>
  <c r="X987" i="25"/>
  <c r="X988" i="25"/>
  <c r="X989" i="25"/>
  <c r="X990" i="25"/>
  <c r="X991" i="25"/>
  <c r="X992" i="25"/>
  <c r="X993" i="25"/>
  <c r="X994" i="25"/>
  <c r="X995" i="25"/>
  <c r="X996" i="25"/>
  <c r="X997" i="25"/>
  <c r="X998" i="25"/>
  <c r="X999" i="25"/>
  <c r="X1000" i="25"/>
  <c r="X1001" i="25"/>
  <c r="X1002" i="25"/>
  <c r="X1003" i="25"/>
  <c r="X1004" i="25"/>
  <c r="X1005" i="25"/>
  <c r="X1006" i="25"/>
  <c r="X1007" i="25"/>
  <c r="X1008" i="25"/>
  <c r="X1009" i="25"/>
  <c r="X1010" i="25"/>
  <c r="X1011" i="25"/>
  <c r="X1012" i="25"/>
  <c r="X1013" i="25"/>
  <c r="X1014" i="25"/>
  <c r="X1015" i="25"/>
  <c r="X1016" i="25"/>
  <c r="X1017" i="25"/>
  <c r="X1018" i="25"/>
  <c r="X1019" i="25"/>
  <c r="X1020" i="25"/>
  <c r="X1021" i="25"/>
  <c r="X1022" i="25"/>
  <c r="X1023" i="25"/>
  <c r="X1024" i="25"/>
  <c r="X1025" i="25"/>
  <c r="X1026" i="25"/>
  <c r="X1027" i="25"/>
  <c r="X1028" i="25"/>
  <c r="X1029" i="25"/>
  <c r="X1030" i="25"/>
  <c r="X1031" i="25"/>
  <c r="X1032" i="25"/>
  <c r="X1033" i="25"/>
  <c r="X1034" i="25"/>
  <c r="X1035" i="25"/>
  <c r="X1036" i="25"/>
  <c r="X1037" i="25"/>
  <c r="X1038" i="25"/>
  <c r="X1039" i="25"/>
  <c r="X1040" i="25"/>
  <c r="X1041" i="25"/>
  <c r="X1042" i="25"/>
  <c r="X1043" i="25"/>
  <c r="X1044" i="25"/>
  <c r="X1045" i="25"/>
  <c r="X1046" i="25"/>
  <c r="X1047" i="25"/>
  <c r="X1048" i="25"/>
  <c r="X1049" i="25"/>
  <c r="X1050" i="25"/>
  <c r="X1051" i="25"/>
  <c r="X1052" i="25"/>
  <c r="X1053" i="25"/>
  <c r="S950" i="25"/>
  <c r="S951" i="25"/>
  <c r="S952" i="25"/>
  <c r="S953" i="25"/>
  <c r="S954" i="25"/>
  <c r="S955" i="25"/>
  <c r="S956" i="25"/>
  <c r="S957" i="25"/>
  <c r="S958" i="25"/>
  <c r="S959" i="25"/>
  <c r="S960" i="25"/>
  <c r="S961" i="25"/>
  <c r="S962" i="25"/>
  <c r="S963" i="25"/>
  <c r="S964" i="25"/>
  <c r="S965" i="25"/>
  <c r="S966" i="25"/>
  <c r="S967" i="25"/>
  <c r="S968" i="25"/>
  <c r="S969" i="25"/>
  <c r="S970" i="25"/>
  <c r="S971" i="25"/>
  <c r="S972" i="25"/>
  <c r="S973" i="25"/>
  <c r="S974" i="25"/>
  <c r="S975" i="25"/>
  <c r="S976" i="25"/>
  <c r="S977" i="25"/>
  <c r="S978" i="25"/>
  <c r="S979" i="25"/>
  <c r="S980" i="25"/>
  <c r="S981" i="25"/>
  <c r="S982" i="25"/>
  <c r="S983" i="25"/>
  <c r="S984" i="25"/>
  <c r="S985" i="25"/>
  <c r="S986" i="25"/>
  <c r="S987" i="25"/>
  <c r="S988" i="25"/>
  <c r="S989" i="25"/>
  <c r="S990" i="25"/>
  <c r="S991" i="25"/>
  <c r="S992" i="25"/>
  <c r="S993" i="25"/>
  <c r="S994" i="25"/>
  <c r="S995" i="25"/>
  <c r="S996" i="25"/>
  <c r="S997" i="25"/>
  <c r="S998" i="25"/>
  <c r="S999" i="25"/>
  <c r="S1000" i="25"/>
  <c r="S1001" i="25"/>
  <c r="S1002" i="25"/>
  <c r="S1003" i="25"/>
  <c r="S1004" i="25"/>
  <c r="S1005" i="25"/>
  <c r="S1006" i="25"/>
  <c r="S1007" i="25"/>
  <c r="S1008" i="25"/>
  <c r="S1009" i="25"/>
  <c r="S1010" i="25"/>
  <c r="S1011" i="25"/>
  <c r="S1012" i="25"/>
  <c r="S1013" i="25"/>
  <c r="S1014" i="25"/>
  <c r="S1015" i="25"/>
  <c r="S1016" i="25"/>
  <c r="S1017" i="25"/>
  <c r="S1018" i="25"/>
  <c r="S1019" i="25"/>
  <c r="S1020" i="25"/>
  <c r="S1021" i="25"/>
  <c r="S1022" i="25"/>
  <c r="S1023" i="25"/>
  <c r="S1024" i="25"/>
  <c r="S1025" i="25"/>
  <c r="S1026" i="25"/>
  <c r="S1027" i="25"/>
  <c r="S1028" i="25"/>
  <c r="S1029" i="25"/>
  <c r="S1030" i="25"/>
  <c r="S1031" i="25"/>
  <c r="S1032" i="25"/>
  <c r="S1033" i="25"/>
  <c r="S1034" i="25"/>
  <c r="S1035" i="25"/>
  <c r="S1036" i="25"/>
  <c r="S1037" i="25"/>
  <c r="S1038" i="25"/>
  <c r="S1039" i="25"/>
  <c r="S1040" i="25"/>
  <c r="S1041" i="25"/>
  <c r="S1042" i="25"/>
  <c r="S1043" i="25"/>
  <c r="S1044" i="25"/>
  <c r="S1045" i="25"/>
  <c r="S1046" i="25"/>
  <c r="S1047" i="25"/>
  <c r="S1048" i="25"/>
  <c r="S1049" i="25"/>
  <c r="S1050" i="25"/>
  <c r="S1051" i="25"/>
  <c r="S1052" i="25"/>
  <c r="S1053" i="25"/>
  <c r="P950" i="25"/>
  <c r="P951" i="25"/>
  <c r="P952" i="25"/>
  <c r="P953" i="25"/>
  <c r="P954" i="25"/>
  <c r="P955" i="25"/>
  <c r="P956" i="25"/>
  <c r="P957" i="25"/>
  <c r="P958" i="25"/>
  <c r="P959" i="25"/>
  <c r="P960" i="25"/>
  <c r="P961" i="25"/>
  <c r="P962" i="25"/>
  <c r="P963" i="25"/>
  <c r="P964" i="25"/>
  <c r="P965" i="25"/>
  <c r="P966" i="25"/>
  <c r="P967" i="25"/>
  <c r="P968" i="25"/>
  <c r="P969" i="25"/>
  <c r="P970" i="25"/>
  <c r="P971" i="25"/>
  <c r="P972" i="25"/>
  <c r="P973" i="25"/>
  <c r="P974" i="25"/>
  <c r="P975" i="25"/>
  <c r="P976" i="25"/>
  <c r="P977" i="25"/>
  <c r="P978" i="25"/>
  <c r="P979" i="25"/>
  <c r="P980" i="25"/>
  <c r="P981" i="25"/>
  <c r="P982" i="25"/>
  <c r="P983" i="25"/>
  <c r="P984" i="25"/>
  <c r="P985" i="25"/>
  <c r="P986" i="25"/>
  <c r="P987" i="25"/>
  <c r="P988" i="25"/>
  <c r="P989" i="25"/>
  <c r="P990" i="25"/>
  <c r="P991" i="25"/>
  <c r="P992" i="25"/>
  <c r="P993" i="25"/>
  <c r="P994" i="25"/>
  <c r="P995" i="25"/>
  <c r="P996" i="25"/>
  <c r="P997" i="25"/>
  <c r="P998" i="25"/>
  <c r="P999" i="25"/>
  <c r="P1000" i="25"/>
  <c r="P1001" i="25"/>
  <c r="P1002" i="25"/>
  <c r="P1003" i="25"/>
  <c r="P1004" i="25"/>
  <c r="P1005" i="25"/>
  <c r="P1006" i="25"/>
  <c r="P1007" i="25"/>
  <c r="P1008" i="25"/>
  <c r="P1009" i="25"/>
  <c r="P1010" i="25"/>
  <c r="P1011" i="25"/>
  <c r="P1012" i="25"/>
  <c r="P1013" i="25"/>
  <c r="P1014" i="25"/>
  <c r="P1015" i="25"/>
  <c r="P1016" i="25"/>
  <c r="P1017" i="25"/>
  <c r="P1018" i="25"/>
  <c r="P1019" i="25"/>
  <c r="P1020" i="25"/>
  <c r="P1021" i="25"/>
  <c r="P1022" i="25"/>
  <c r="P1023" i="25"/>
  <c r="P1024" i="25"/>
  <c r="P1025" i="25"/>
  <c r="P1026" i="25"/>
  <c r="P1027" i="25"/>
  <c r="P1028" i="25"/>
  <c r="P1029" i="25"/>
  <c r="P1030" i="25"/>
  <c r="P1031" i="25"/>
  <c r="P1032" i="25"/>
  <c r="P1033" i="25"/>
  <c r="P1034" i="25"/>
  <c r="P1035" i="25"/>
  <c r="P1036" i="25"/>
  <c r="P1037" i="25"/>
  <c r="P1038" i="25"/>
  <c r="P1039" i="25"/>
  <c r="P1040" i="25"/>
  <c r="P1041" i="25"/>
  <c r="P1042" i="25"/>
  <c r="P1043" i="25"/>
  <c r="P1044" i="25"/>
  <c r="P1045" i="25"/>
  <c r="P1046" i="25"/>
  <c r="P1047" i="25"/>
  <c r="P1048" i="25"/>
  <c r="P1049" i="25"/>
  <c r="P1050" i="25"/>
  <c r="P1051" i="25"/>
  <c r="P1052" i="25"/>
  <c r="P1053" i="25"/>
  <c r="N950" i="25"/>
  <c r="N951" i="25"/>
  <c r="N952" i="25"/>
  <c r="N953" i="25"/>
  <c r="N954" i="25"/>
  <c r="N955" i="25"/>
  <c r="N956" i="25"/>
  <c r="N957" i="25"/>
  <c r="N958" i="25"/>
  <c r="N959" i="25"/>
  <c r="N960" i="25"/>
  <c r="N961" i="25"/>
  <c r="N962" i="25"/>
  <c r="N963" i="25"/>
  <c r="N964" i="25"/>
  <c r="N965" i="25"/>
  <c r="N966" i="25"/>
  <c r="N967" i="25"/>
  <c r="N968" i="25"/>
  <c r="N969" i="25"/>
  <c r="N970" i="25"/>
  <c r="N971" i="25"/>
  <c r="N972" i="25"/>
  <c r="N973" i="25"/>
  <c r="N974" i="25"/>
  <c r="N975" i="25"/>
  <c r="N976" i="25"/>
  <c r="N977" i="25"/>
  <c r="N978" i="25"/>
  <c r="N979" i="25"/>
  <c r="N980" i="25"/>
  <c r="N981" i="25"/>
  <c r="N982" i="25"/>
  <c r="N983" i="25"/>
  <c r="N984" i="25"/>
  <c r="N985" i="25"/>
  <c r="N986" i="25"/>
  <c r="N987" i="25"/>
  <c r="N988" i="25"/>
  <c r="N989" i="25"/>
  <c r="N990" i="25"/>
  <c r="N991" i="25"/>
  <c r="N992" i="25"/>
  <c r="N993" i="25"/>
  <c r="N994" i="25"/>
  <c r="N995" i="25"/>
  <c r="N996" i="25"/>
  <c r="N997" i="25"/>
  <c r="N998" i="25"/>
  <c r="N999" i="25"/>
  <c r="N1000" i="25"/>
  <c r="N1001" i="25"/>
  <c r="N1002" i="25"/>
  <c r="N1003" i="25"/>
  <c r="N1004" i="25"/>
  <c r="N1005" i="25"/>
  <c r="N1006" i="25"/>
  <c r="N1007" i="25"/>
  <c r="N1008" i="25"/>
  <c r="N1009" i="25"/>
  <c r="N1010" i="25"/>
  <c r="N1011" i="25"/>
  <c r="N1012" i="25"/>
  <c r="N1013" i="25"/>
  <c r="N1014" i="25"/>
  <c r="N1015" i="25"/>
  <c r="N1016" i="25"/>
  <c r="N1017" i="25"/>
  <c r="N1018" i="25"/>
  <c r="N1019" i="25"/>
  <c r="N1020" i="25"/>
  <c r="N1021" i="25"/>
  <c r="N1022" i="25"/>
  <c r="N1023" i="25"/>
  <c r="N1024" i="25"/>
  <c r="N1025" i="25"/>
  <c r="N1026" i="25"/>
  <c r="N1027" i="25"/>
  <c r="N1028" i="25"/>
  <c r="N1029" i="25"/>
  <c r="N1030" i="25"/>
  <c r="N1031" i="25"/>
  <c r="N1032" i="25"/>
  <c r="N1033" i="25"/>
  <c r="N1034" i="25"/>
  <c r="N1035" i="25"/>
  <c r="N1036" i="25"/>
  <c r="N1037" i="25"/>
  <c r="N1038" i="25"/>
  <c r="N1039" i="25"/>
  <c r="N1040" i="25"/>
  <c r="N1041" i="25"/>
  <c r="N1042" i="25"/>
  <c r="N1043" i="25"/>
  <c r="N1044" i="25"/>
  <c r="N1045" i="25"/>
  <c r="N1046" i="25"/>
  <c r="N1047" i="25"/>
  <c r="N1048" i="25"/>
  <c r="N1049" i="25"/>
  <c r="N1050" i="25"/>
  <c r="N1051" i="25"/>
  <c r="N1052" i="25"/>
  <c r="N1053" i="25"/>
  <c r="M950" i="25"/>
  <c r="M951" i="25"/>
  <c r="M952" i="25"/>
  <c r="M953" i="25"/>
  <c r="M954" i="25"/>
  <c r="M955" i="25"/>
  <c r="M956" i="25"/>
  <c r="M957" i="25"/>
  <c r="M958" i="25"/>
  <c r="M959" i="25"/>
  <c r="M960" i="25"/>
  <c r="M961" i="25"/>
  <c r="M962" i="25"/>
  <c r="M963" i="25"/>
  <c r="M964" i="25"/>
  <c r="M965" i="25"/>
  <c r="M966" i="25"/>
  <c r="M967" i="25"/>
  <c r="M968" i="25"/>
  <c r="M969" i="25"/>
  <c r="M970" i="25"/>
  <c r="M971" i="25"/>
  <c r="M972" i="25"/>
  <c r="M973" i="25"/>
  <c r="M974" i="25"/>
  <c r="M975" i="25"/>
  <c r="M976" i="25"/>
  <c r="M977" i="25"/>
  <c r="M978" i="25"/>
  <c r="M979" i="25"/>
  <c r="M980" i="25"/>
  <c r="M981" i="25"/>
  <c r="M982" i="25"/>
  <c r="M983" i="25"/>
  <c r="M984" i="25"/>
  <c r="M985" i="25"/>
  <c r="M986" i="25"/>
  <c r="M987" i="25"/>
  <c r="M988" i="25"/>
  <c r="M989" i="25"/>
  <c r="M990" i="25"/>
  <c r="M991" i="25"/>
  <c r="M992" i="25"/>
  <c r="M993" i="25"/>
  <c r="M994" i="25"/>
  <c r="M995" i="25"/>
  <c r="M996" i="25"/>
  <c r="M997" i="25"/>
  <c r="M998" i="25"/>
  <c r="M999" i="25"/>
  <c r="M1000" i="25"/>
  <c r="M1001" i="25"/>
  <c r="M1002" i="25"/>
  <c r="M1003" i="25"/>
  <c r="M1004" i="25"/>
  <c r="M1005" i="25"/>
  <c r="M1006" i="25"/>
  <c r="M1007" i="25"/>
  <c r="M1008" i="25"/>
  <c r="M1009" i="25"/>
  <c r="M1010" i="25"/>
  <c r="M1011" i="25"/>
  <c r="M1012" i="25"/>
  <c r="M1013" i="25"/>
  <c r="M1014" i="25"/>
  <c r="M1015" i="25"/>
  <c r="M1016" i="25"/>
  <c r="M1017" i="25"/>
  <c r="M1018" i="25"/>
  <c r="M1019" i="25"/>
  <c r="M1020" i="25"/>
  <c r="M1021" i="25"/>
  <c r="M1022" i="25"/>
  <c r="M1023" i="25"/>
  <c r="M1024" i="25"/>
  <c r="M1025" i="25"/>
  <c r="M1026" i="25"/>
  <c r="M1027" i="25"/>
  <c r="M1028" i="25"/>
  <c r="M1029" i="25"/>
  <c r="M1030" i="25"/>
  <c r="M1031" i="25"/>
  <c r="M1032" i="25"/>
  <c r="M1033" i="25"/>
  <c r="M1034" i="25"/>
  <c r="M1035" i="25"/>
  <c r="M1036" i="25"/>
  <c r="M1037" i="25"/>
  <c r="M1038" i="25"/>
  <c r="M1039" i="25"/>
  <c r="M1040" i="25"/>
  <c r="M1041" i="25"/>
  <c r="M1042" i="25"/>
  <c r="M1043" i="25"/>
  <c r="M1044" i="25"/>
  <c r="M1045" i="25"/>
  <c r="M1046" i="25"/>
  <c r="M1047" i="25"/>
  <c r="M1048" i="25"/>
  <c r="M1049" i="25"/>
  <c r="M1050" i="25"/>
  <c r="M1051" i="25"/>
  <c r="M1052" i="25"/>
  <c r="M1053" i="25"/>
  <c r="I950" i="25"/>
  <c r="I951" i="25"/>
  <c r="I952" i="25"/>
  <c r="I953" i="25"/>
  <c r="I954" i="25"/>
  <c r="I955" i="25"/>
  <c r="I956" i="25"/>
  <c r="I957" i="25"/>
  <c r="I958" i="25"/>
  <c r="I959" i="25"/>
  <c r="I960" i="25"/>
  <c r="I961" i="25"/>
  <c r="I962" i="25"/>
  <c r="I963" i="25"/>
  <c r="I964" i="25"/>
  <c r="I965" i="25"/>
  <c r="I966" i="25"/>
  <c r="I967" i="25"/>
  <c r="I968" i="25"/>
  <c r="I969" i="25"/>
  <c r="I970" i="25"/>
  <c r="I971" i="25"/>
  <c r="I972" i="25"/>
  <c r="I973" i="25"/>
  <c r="I974" i="25"/>
  <c r="I975" i="25"/>
  <c r="I976" i="25"/>
  <c r="I977" i="25"/>
  <c r="I978" i="25"/>
  <c r="I979" i="25"/>
  <c r="I980" i="25"/>
  <c r="I981" i="25"/>
  <c r="I982" i="25"/>
  <c r="I983" i="25"/>
  <c r="I984" i="25"/>
  <c r="I985" i="25"/>
  <c r="I986" i="25"/>
  <c r="I987" i="25"/>
  <c r="I988" i="25"/>
  <c r="I989" i="25"/>
  <c r="I990" i="25"/>
  <c r="I991" i="25"/>
  <c r="I992" i="25"/>
  <c r="I993" i="25"/>
  <c r="I994" i="25"/>
  <c r="I995" i="25"/>
  <c r="I996" i="25"/>
  <c r="I997" i="25"/>
  <c r="I998" i="25"/>
  <c r="I999" i="25"/>
  <c r="I1000" i="25"/>
  <c r="I1001" i="25"/>
  <c r="I1002" i="25"/>
  <c r="I1003" i="25"/>
  <c r="I1004" i="25"/>
  <c r="I1005" i="25"/>
  <c r="I1006" i="25"/>
  <c r="I1007" i="25"/>
  <c r="I1008" i="25"/>
  <c r="I1009" i="25"/>
  <c r="I1010" i="25"/>
  <c r="I1011" i="25"/>
  <c r="I1012" i="25"/>
  <c r="I1013" i="25"/>
  <c r="I1014" i="25"/>
  <c r="I1015" i="25"/>
  <c r="I1016" i="25"/>
  <c r="I1017" i="25"/>
  <c r="I1018" i="25"/>
  <c r="I1019" i="25"/>
  <c r="I1020" i="25"/>
  <c r="I1021" i="25"/>
  <c r="I1022" i="25"/>
  <c r="I1023" i="25"/>
  <c r="I1024" i="25"/>
  <c r="I1025" i="25"/>
  <c r="I1026" i="25"/>
  <c r="I1027" i="25"/>
  <c r="I1028" i="25"/>
  <c r="I1029" i="25"/>
  <c r="I1030" i="25"/>
  <c r="I1031" i="25"/>
  <c r="I1032" i="25"/>
  <c r="I1033" i="25"/>
  <c r="I1034" i="25"/>
  <c r="I1035" i="25"/>
  <c r="I1036" i="25"/>
  <c r="I1037" i="25"/>
  <c r="I1038" i="25"/>
  <c r="I1039" i="25"/>
  <c r="I1040" i="25"/>
  <c r="I1041" i="25"/>
  <c r="I1042" i="25"/>
  <c r="I1043" i="25"/>
  <c r="I1044" i="25"/>
  <c r="I1045" i="25"/>
  <c r="I1046" i="25"/>
  <c r="I1047" i="25"/>
  <c r="I1048" i="25"/>
  <c r="I1049" i="25"/>
  <c r="I1050" i="25"/>
  <c r="I1051" i="25"/>
  <c r="I1052" i="25"/>
  <c r="I1053" i="25"/>
  <c r="I1057" i="25"/>
  <c r="I1058" i="25"/>
  <c r="I1059" i="25"/>
  <c r="I1060" i="25"/>
  <c r="S949" i="25"/>
  <c r="X949" i="25"/>
  <c r="Y949" i="25"/>
  <c r="I949" i="25"/>
  <c r="R502" i="25"/>
  <c r="X502" i="25"/>
  <c r="Y502" i="25"/>
  <c r="P502" i="25"/>
  <c r="I839" i="25"/>
  <c r="I840" i="25"/>
  <c r="I841" i="25"/>
  <c r="I842" i="25"/>
  <c r="I843" i="25"/>
  <c r="I844" i="25"/>
  <c r="I845" i="25"/>
  <c r="I846" i="25"/>
  <c r="I847" i="25"/>
  <c r="I848" i="25"/>
  <c r="I849" i="25"/>
  <c r="I850" i="25"/>
  <c r="I851" i="25"/>
  <c r="I852" i="25"/>
  <c r="I853" i="25"/>
  <c r="I854" i="25"/>
  <c r="I855" i="25"/>
  <c r="I856" i="25"/>
  <c r="I857" i="25"/>
  <c r="I858" i="25"/>
  <c r="I859" i="25"/>
  <c r="I860" i="25"/>
  <c r="I861" i="25"/>
  <c r="I862" i="25"/>
  <c r="I863" i="25"/>
  <c r="I864" i="25"/>
  <c r="I865" i="25"/>
  <c r="I866" i="25"/>
  <c r="I867" i="25"/>
  <c r="I868" i="25"/>
  <c r="I869" i="25"/>
  <c r="I870" i="25"/>
  <c r="I871" i="25"/>
  <c r="I872" i="25"/>
  <c r="I873" i="25"/>
  <c r="I874" i="25"/>
  <c r="I875" i="25"/>
  <c r="I876" i="25"/>
  <c r="I877" i="25"/>
  <c r="I878" i="25"/>
  <c r="I879" i="25"/>
  <c r="I880" i="25"/>
  <c r="I881" i="25"/>
  <c r="I882" i="25"/>
  <c r="I883" i="25"/>
  <c r="I884" i="25"/>
  <c r="I885" i="25"/>
  <c r="I886" i="25"/>
  <c r="I887" i="25"/>
  <c r="I888" i="25"/>
  <c r="I889" i="25"/>
  <c r="I890" i="25"/>
  <c r="I891" i="25"/>
  <c r="I892" i="25"/>
  <c r="I893" i="25"/>
  <c r="I894" i="25"/>
  <c r="I895" i="25"/>
  <c r="I896" i="25"/>
  <c r="I897" i="25"/>
  <c r="I898" i="25"/>
  <c r="I899" i="25"/>
  <c r="I900" i="25"/>
  <c r="I901" i="25"/>
  <c r="I902" i="25"/>
  <c r="I903" i="25"/>
  <c r="I904" i="25"/>
  <c r="I905" i="25"/>
  <c r="I906" i="25"/>
  <c r="I907" i="25"/>
  <c r="I908" i="25"/>
  <c r="I909" i="25"/>
  <c r="I910" i="25"/>
  <c r="I911" i="25"/>
  <c r="I912" i="25"/>
  <c r="I913" i="25"/>
  <c r="I914" i="25"/>
  <c r="I915" i="25"/>
  <c r="I916" i="25"/>
  <c r="I917" i="25"/>
  <c r="I918" i="25"/>
  <c r="I919" i="25"/>
  <c r="I920" i="25"/>
  <c r="I921" i="25"/>
  <c r="I922" i="25"/>
  <c r="I923" i="25"/>
  <c r="I924" i="25"/>
  <c r="I925" i="25"/>
  <c r="I926" i="25"/>
  <c r="I927" i="25"/>
  <c r="I928" i="25"/>
  <c r="I929" i="25"/>
  <c r="I930" i="25"/>
  <c r="I931" i="25"/>
  <c r="I932" i="25"/>
  <c r="I933" i="25"/>
  <c r="I934" i="25"/>
  <c r="I935" i="25"/>
  <c r="I936" i="25"/>
  <c r="I937" i="25"/>
  <c r="I938" i="25"/>
  <c r="I939" i="25"/>
  <c r="I940" i="25"/>
  <c r="I941" i="25"/>
  <c r="I942" i="25"/>
  <c r="I943" i="25"/>
  <c r="I944" i="25"/>
  <c r="I945" i="25"/>
  <c r="I946" i="25"/>
  <c r="I947" i="25"/>
  <c r="I948" i="25"/>
  <c r="I502" i="25"/>
  <c r="M949" i="25"/>
  <c r="N949" i="25"/>
  <c r="P949" i="25"/>
  <c r="R4" i="25"/>
  <c r="AI4" i="25" s="1"/>
  <c r="R5" i="25"/>
  <c r="AJ5" i="25" s="1"/>
  <c r="R6" i="25"/>
  <c r="AJ6" i="25" s="1"/>
  <c r="R7" i="25"/>
  <c r="AJ7" i="25" s="1"/>
  <c r="R8" i="25"/>
  <c r="AJ8" i="25" s="1"/>
  <c r="R9" i="25"/>
  <c r="AJ9" i="25" s="1"/>
  <c r="R10" i="25"/>
  <c r="AJ10" i="25" s="1"/>
  <c r="R11" i="25"/>
  <c r="AI11" i="25" s="1"/>
  <c r="R12" i="25"/>
  <c r="AI12" i="25" s="1"/>
  <c r="R13" i="25"/>
  <c r="AJ13" i="25" s="1"/>
  <c r="R14" i="25"/>
  <c r="AJ14" i="25" s="1"/>
  <c r="R15" i="25"/>
  <c r="AJ15" i="25" s="1"/>
  <c r="R16" i="25"/>
  <c r="AJ16" i="25" s="1"/>
  <c r="R17" i="25"/>
  <c r="AJ17" i="25" s="1"/>
  <c r="R18" i="25"/>
  <c r="AJ18" i="25" s="1"/>
  <c r="R19" i="25"/>
  <c r="AI19" i="25" s="1"/>
  <c r="R20" i="25"/>
  <c r="AI20" i="25" s="1"/>
  <c r="R21" i="25"/>
  <c r="AJ21" i="25" s="1"/>
  <c r="R22" i="25"/>
  <c r="AJ22" i="25" s="1"/>
  <c r="R23" i="25"/>
  <c r="AJ23" i="25" s="1"/>
  <c r="R24" i="25"/>
  <c r="AJ24" i="25" s="1"/>
  <c r="R25" i="25"/>
  <c r="AJ25" i="25" s="1"/>
  <c r="R26" i="25"/>
  <c r="AJ26" i="25" s="1"/>
  <c r="R27" i="25"/>
  <c r="AI27" i="25" s="1"/>
  <c r="R28" i="25"/>
  <c r="AI28" i="25" s="1"/>
  <c r="R29" i="25"/>
  <c r="AJ29" i="25" s="1"/>
  <c r="R30" i="25"/>
  <c r="AJ30" i="25" s="1"/>
  <c r="R31" i="25"/>
  <c r="AJ31" i="25" s="1"/>
  <c r="R32" i="25"/>
  <c r="AJ32" i="25" s="1"/>
  <c r="R33" i="25"/>
  <c r="AJ33" i="25" s="1"/>
  <c r="R34" i="25"/>
  <c r="AJ34" i="25" s="1"/>
  <c r="R35" i="25"/>
  <c r="AI35" i="25" s="1"/>
  <c r="R36" i="25"/>
  <c r="AI36" i="25" s="1"/>
  <c r="R37" i="25"/>
  <c r="AJ37" i="25" s="1"/>
  <c r="R38" i="25"/>
  <c r="AJ38" i="25" s="1"/>
  <c r="R39" i="25"/>
  <c r="AJ39" i="25" s="1"/>
  <c r="R40" i="25"/>
  <c r="AJ40" i="25" s="1"/>
  <c r="R41" i="25"/>
  <c r="AJ41" i="25" s="1"/>
  <c r="R42" i="25"/>
  <c r="AJ42" i="25" s="1"/>
  <c r="R43" i="25"/>
  <c r="AI43" i="25" s="1"/>
  <c r="R44" i="25"/>
  <c r="AI44" i="25" s="1"/>
  <c r="R45" i="25"/>
  <c r="AJ45" i="25" s="1"/>
  <c r="R46" i="25"/>
  <c r="AJ46" i="25" s="1"/>
  <c r="R47" i="25"/>
  <c r="AJ47" i="25" s="1"/>
  <c r="R48" i="25"/>
  <c r="AJ48" i="25" s="1"/>
  <c r="R49" i="25"/>
  <c r="AJ49" i="25" s="1"/>
  <c r="R50" i="25"/>
  <c r="AJ50" i="25" s="1"/>
  <c r="R51" i="25"/>
  <c r="AI51" i="25" s="1"/>
  <c r="R52" i="25"/>
  <c r="AI52" i="25" s="1"/>
  <c r="R53" i="25"/>
  <c r="AJ53" i="25" s="1"/>
  <c r="R54" i="25"/>
  <c r="AJ54" i="25" s="1"/>
  <c r="R55" i="25"/>
  <c r="AJ55" i="25" s="1"/>
  <c r="R56" i="25"/>
  <c r="AJ56" i="25" s="1"/>
  <c r="R57" i="25"/>
  <c r="AJ57" i="25" s="1"/>
  <c r="R58" i="25"/>
  <c r="AJ58" i="25" s="1"/>
  <c r="R59" i="25"/>
  <c r="AI59" i="25" s="1"/>
  <c r="R60" i="25"/>
  <c r="AI60" i="25" s="1"/>
  <c r="R61" i="25"/>
  <c r="AJ61" i="25" s="1"/>
  <c r="R62" i="25"/>
  <c r="AJ62" i="25" s="1"/>
  <c r="R63" i="25"/>
  <c r="AJ63" i="25" s="1"/>
  <c r="R64" i="25"/>
  <c r="AJ64" i="25" s="1"/>
  <c r="R65" i="25"/>
  <c r="AJ65" i="25" s="1"/>
  <c r="R66" i="25"/>
  <c r="AJ66" i="25" s="1"/>
  <c r="R67" i="25"/>
  <c r="AI67" i="25" s="1"/>
  <c r="R68" i="25"/>
  <c r="AI68" i="25" s="1"/>
  <c r="R69" i="25"/>
  <c r="AJ69" i="25" s="1"/>
  <c r="R70" i="25"/>
  <c r="AJ70" i="25" s="1"/>
  <c r="R71" i="25"/>
  <c r="AJ71" i="25" s="1"/>
  <c r="R72" i="25"/>
  <c r="AJ72" i="25" s="1"/>
  <c r="R73" i="25"/>
  <c r="AJ73" i="25" s="1"/>
  <c r="R74" i="25"/>
  <c r="AJ74" i="25" s="1"/>
  <c r="R75" i="25"/>
  <c r="AI75" i="25" s="1"/>
  <c r="R76" i="25"/>
  <c r="AI76" i="25" s="1"/>
  <c r="R77" i="25"/>
  <c r="AJ77" i="25" s="1"/>
  <c r="R78" i="25"/>
  <c r="AJ78" i="25" s="1"/>
  <c r="R79" i="25"/>
  <c r="AJ79" i="25" s="1"/>
  <c r="R80" i="25"/>
  <c r="AJ80" i="25" s="1"/>
  <c r="R81" i="25"/>
  <c r="AJ81" i="25" s="1"/>
  <c r="R82" i="25"/>
  <c r="AJ82" i="25" s="1"/>
  <c r="R83" i="25"/>
  <c r="AI83" i="25" s="1"/>
  <c r="R84" i="25"/>
  <c r="AI84" i="25" s="1"/>
  <c r="R85" i="25"/>
  <c r="AJ85" i="25" s="1"/>
  <c r="R86" i="25"/>
  <c r="AJ86" i="25" s="1"/>
  <c r="R87" i="25"/>
  <c r="AJ87" i="25" s="1"/>
  <c r="R88" i="25"/>
  <c r="AJ88" i="25" s="1"/>
  <c r="R89" i="25"/>
  <c r="AJ89" i="25" s="1"/>
  <c r="R90" i="25"/>
  <c r="AJ90" i="25" s="1"/>
  <c r="R91" i="25"/>
  <c r="AI91" i="25" s="1"/>
  <c r="R92" i="25"/>
  <c r="AI92" i="25" s="1"/>
  <c r="R93" i="25"/>
  <c r="AJ93" i="25" s="1"/>
  <c r="R94" i="25"/>
  <c r="AJ94" i="25" s="1"/>
  <c r="R95" i="25"/>
  <c r="AJ95" i="25" s="1"/>
  <c r="R96" i="25"/>
  <c r="AJ96" i="25" s="1"/>
  <c r="R97" i="25"/>
  <c r="AJ97" i="25" s="1"/>
  <c r="R98" i="25"/>
  <c r="AJ98" i="25" s="1"/>
  <c r="R99" i="25"/>
  <c r="AI99" i="25" s="1"/>
  <c r="R500" i="25"/>
  <c r="AI500" i="25" s="1"/>
  <c r="R501" i="25"/>
  <c r="AJ501" i="25" s="1"/>
  <c r="L4" i="25"/>
  <c r="L5" i="25"/>
  <c r="L6" i="25"/>
  <c r="L7" i="25"/>
  <c r="L8" i="25"/>
  <c r="L9" i="25"/>
  <c r="L10" i="25"/>
  <c r="L11" i="25"/>
  <c r="L12" i="25"/>
  <c r="L13" i="25"/>
  <c r="L14" i="25"/>
  <c r="L15" i="25"/>
  <c r="L16" i="25"/>
  <c r="L17" i="25"/>
  <c r="L18" i="25"/>
  <c r="L19" i="25"/>
  <c r="L20" i="25"/>
  <c r="L21" i="25"/>
  <c r="L22" i="25"/>
  <c r="L23" i="25"/>
  <c r="L24" i="25"/>
  <c r="L25" i="25"/>
  <c r="L26" i="25"/>
  <c r="L27" i="25"/>
  <c r="L28" i="25"/>
  <c r="L29" i="25"/>
  <c r="L30" i="25"/>
  <c r="L31" i="25"/>
  <c r="L32" i="25"/>
  <c r="L33" i="25"/>
  <c r="L34" i="25"/>
  <c r="L35" i="25"/>
  <c r="L36" i="25"/>
  <c r="L37" i="25"/>
  <c r="L38" i="25"/>
  <c r="L39" i="25"/>
  <c r="L40" i="25"/>
  <c r="L41" i="25"/>
  <c r="L42" i="25"/>
  <c r="L43" i="25"/>
  <c r="L44" i="25"/>
  <c r="L45" i="25"/>
  <c r="L46" i="25"/>
  <c r="L47" i="25"/>
  <c r="L48" i="25"/>
  <c r="L49" i="25"/>
  <c r="L50" i="25"/>
  <c r="L51" i="25"/>
  <c r="L52" i="25"/>
  <c r="L53" i="25"/>
  <c r="L54" i="25"/>
  <c r="L55" i="25"/>
  <c r="L56" i="25"/>
  <c r="L57" i="25"/>
  <c r="L58" i="25"/>
  <c r="L59" i="25"/>
  <c r="L60" i="25"/>
  <c r="L61" i="25"/>
  <c r="L62" i="25"/>
  <c r="L63" i="25"/>
  <c r="L64" i="25"/>
  <c r="L65" i="25"/>
  <c r="L66" i="25"/>
  <c r="L67" i="25"/>
  <c r="L68" i="25"/>
  <c r="L69" i="25"/>
  <c r="L70" i="25"/>
  <c r="L71" i="25"/>
  <c r="L72" i="25"/>
  <c r="L73" i="25"/>
  <c r="L74" i="25"/>
  <c r="L75" i="25"/>
  <c r="L76" i="25"/>
  <c r="L77" i="25"/>
  <c r="L78" i="25"/>
  <c r="L79" i="25"/>
  <c r="L80" i="25"/>
  <c r="L81" i="25"/>
  <c r="L82" i="25"/>
  <c r="L83" i="25"/>
  <c r="L84" i="25"/>
  <c r="L85" i="25"/>
  <c r="L86" i="25"/>
  <c r="L87" i="25"/>
  <c r="L88" i="25"/>
  <c r="L89" i="25"/>
  <c r="L90" i="25"/>
  <c r="L91" i="25"/>
  <c r="L92" i="25"/>
  <c r="L93" i="25"/>
  <c r="L94" i="25"/>
  <c r="L95" i="25"/>
  <c r="L96" i="25"/>
  <c r="L97" i="25"/>
  <c r="L98" i="25"/>
  <c r="L99" i="25"/>
  <c r="K4" i="25"/>
  <c r="K5" i="25"/>
  <c r="K6" i="25"/>
  <c r="K7" i="25"/>
  <c r="K8" i="25"/>
  <c r="K9" i="25"/>
  <c r="K10" i="25"/>
  <c r="K11" i="25"/>
  <c r="K12" i="25"/>
  <c r="K13" i="25"/>
  <c r="K14" i="25"/>
  <c r="K15" i="25"/>
  <c r="K16" i="25"/>
  <c r="K17" i="25"/>
  <c r="K18" i="25"/>
  <c r="K19" i="25"/>
  <c r="K20" i="25"/>
  <c r="K21" i="25"/>
  <c r="K22" i="25"/>
  <c r="K23" i="25"/>
  <c r="K24" i="25"/>
  <c r="K25" i="25"/>
  <c r="K26" i="25"/>
  <c r="K27" i="25"/>
  <c r="K28" i="25"/>
  <c r="K29" i="25"/>
  <c r="K30" i="25"/>
  <c r="K31" i="25"/>
  <c r="K32" i="25"/>
  <c r="K33" i="25"/>
  <c r="K34" i="25"/>
  <c r="K35" i="25"/>
  <c r="K36" i="25"/>
  <c r="K37" i="25"/>
  <c r="K38" i="25"/>
  <c r="K39" i="25"/>
  <c r="K40" i="25"/>
  <c r="K41" i="25"/>
  <c r="K42" i="25"/>
  <c r="K43" i="25"/>
  <c r="K44" i="25"/>
  <c r="K45" i="25"/>
  <c r="K46" i="25"/>
  <c r="K47" i="25"/>
  <c r="K48" i="25"/>
  <c r="K49" i="25"/>
  <c r="K50" i="25"/>
  <c r="K51" i="25"/>
  <c r="K52" i="25"/>
  <c r="K53" i="25"/>
  <c r="K54" i="25"/>
  <c r="K55" i="25"/>
  <c r="K56" i="25"/>
  <c r="K57" i="25"/>
  <c r="K58" i="25"/>
  <c r="K59" i="25"/>
  <c r="K60" i="25"/>
  <c r="K61" i="25"/>
  <c r="K62" i="25"/>
  <c r="K63" i="25"/>
  <c r="K64" i="25"/>
  <c r="K65" i="25"/>
  <c r="K66" i="25"/>
  <c r="K67" i="25"/>
  <c r="K68" i="25"/>
  <c r="K69" i="25"/>
  <c r="K70" i="25"/>
  <c r="K71" i="25"/>
  <c r="K72" i="25"/>
  <c r="K73" i="25"/>
  <c r="K74" i="25"/>
  <c r="K75" i="25"/>
  <c r="K76" i="25"/>
  <c r="K77" i="25"/>
  <c r="K78" i="25"/>
  <c r="K79" i="25"/>
  <c r="K80" i="25"/>
  <c r="K81" i="25"/>
  <c r="K82" i="25"/>
  <c r="K83" i="25"/>
  <c r="K84" i="25"/>
  <c r="K85" i="25"/>
  <c r="K86" i="25"/>
  <c r="K87" i="25"/>
  <c r="K88" i="25"/>
  <c r="K89" i="25"/>
  <c r="K90" i="25"/>
  <c r="K91" i="25"/>
  <c r="K92" i="25"/>
  <c r="K93" i="25"/>
  <c r="K94" i="25"/>
  <c r="K95" i="25"/>
  <c r="K96" i="25"/>
  <c r="K97" i="25"/>
  <c r="K98" i="25"/>
  <c r="K99" i="25"/>
  <c r="J4" i="25"/>
  <c r="J5" i="25"/>
  <c r="J6" i="25"/>
  <c r="J7" i="25"/>
  <c r="J8" i="25"/>
  <c r="J9" i="25"/>
  <c r="J10" i="25"/>
  <c r="J11" i="25"/>
  <c r="J12" i="25"/>
  <c r="J13" i="25"/>
  <c r="J14" i="25"/>
  <c r="J15" i="25"/>
  <c r="J16" i="25"/>
  <c r="J17" i="25"/>
  <c r="J18" i="25"/>
  <c r="J19" i="25"/>
  <c r="J20" i="25"/>
  <c r="J21" i="25"/>
  <c r="J22" i="25"/>
  <c r="J23" i="25"/>
  <c r="J24" i="25"/>
  <c r="J25" i="25"/>
  <c r="J26" i="25"/>
  <c r="J27" i="25"/>
  <c r="J28" i="25"/>
  <c r="J29" i="25"/>
  <c r="J30" i="25"/>
  <c r="J31" i="25"/>
  <c r="J32" i="25"/>
  <c r="J33" i="25"/>
  <c r="J34" i="25"/>
  <c r="J35" i="25"/>
  <c r="J36" i="25"/>
  <c r="J37" i="25"/>
  <c r="J38" i="25"/>
  <c r="J39" i="25"/>
  <c r="J40" i="25"/>
  <c r="J41" i="25"/>
  <c r="J42" i="25"/>
  <c r="J43" i="25"/>
  <c r="J44" i="25"/>
  <c r="J45" i="25"/>
  <c r="J46" i="25"/>
  <c r="J47" i="25"/>
  <c r="J48" i="25"/>
  <c r="J49" i="25"/>
  <c r="J50" i="25"/>
  <c r="J51" i="25"/>
  <c r="J52" i="25"/>
  <c r="J53" i="25"/>
  <c r="J54" i="25"/>
  <c r="J55" i="25"/>
  <c r="J56" i="25"/>
  <c r="J57" i="25"/>
  <c r="J58" i="25"/>
  <c r="J59" i="25"/>
  <c r="J60" i="25"/>
  <c r="J61" i="25"/>
  <c r="J62" i="25"/>
  <c r="J63" i="25"/>
  <c r="J64" i="25"/>
  <c r="J65" i="25"/>
  <c r="J66" i="25"/>
  <c r="J67" i="25"/>
  <c r="J68" i="25"/>
  <c r="J69" i="25"/>
  <c r="J70" i="25"/>
  <c r="J71" i="25"/>
  <c r="J72" i="25"/>
  <c r="J73" i="25"/>
  <c r="J74" i="25"/>
  <c r="J75" i="25"/>
  <c r="J76" i="25"/>
  <c r="J77" i="25"/>
  <c r="J78" i="25"/>
  <c r="J79" i="25"/>
  <c r="J80" i="25"/>
  <c r="J81" i="25"/>
  <c r="J82" i="25"/>
  <c r="J83" i="25"/>
  <c r="J84" i="25"/>
  <c r="J85" i="25"/>
  <c r="J86" i="25"/>
  <c r="J87" i="25"/>
  <c r="J88" i="25"/>
  <c r="J89" i="25"/>
  <c r="J90" i="25"/>
  <c r="J91" i="25"/>
  <c r="J92" i="25"/>
  <c r="J93" i="25"/>
  <c r="J94" i="25"/>
  <c r="J95" i="25"/>
  <c r="J96" i="25"/>
  <c r="J97" i="25"/>
  <c r="J98" i="25"/>
  <c r="J99" i="25"/>
  <c r="J500" i="25"/>
  <c r="J501" i="25"/>
  <c r="H4" i="25"/>
  <c r="H5" i="25"/>
  <c r="H6" i="25"/>
  <c r="H7" i="25"/>
  <c r="H8" i="25"/>
  <c r="H9" i="25"/>
  <c r="H10" i="25"/>
  <c r="H11" i="25"/>
  <c r="H12" i="25"/>
  <c r="H13" i="25"/>
  <c r="H14" i="25"/>
  <c r="H15" i="25"/>
  <c r="H16" i="25"/>
  <c r="H17" i="25"/>
  <c r="H18" i="25"/>
  <c r="H19" i="25"/>
  <c r="H20" i="25"/>
  <c r="H21" i="25"/>
  <c r="H22" i="25"/>
  <c r="H23" i="25"/>
  <c r="H24" i="25"/>
  <c r="H25" i="25"/>
  <c r="H26" i="25"/>
  <c r="H27" i="25"/>
  <c r="H28" i="25"/>
  <c r="H29" i="25"/>
  <c r="H30" i="25"/>
  <c r="H31" i="25"/>
  <c r="H32" i="25"/>
  <c r="H33" i="25"/>
  <c r="H34" i="25"/>
  <c r="H35" i="25"/>
  <c r="H36" i="25"/>
  <c r="H37" i="25"/>
  <c r="H38" i="25"/>
  <c r="H39" i="25"/>
  <c r="H40" i="25"/>
  <c r="H41" i="25"/>
  <c r="H42" i="25"/>
  <c r="H43" i="25"/>
  <c r="H44" i="25"/>
  <c r="H45" i="25"/>
  <c r="H46" i="25"/>
  <c r="H47" i="25"/>
  <c r="H48" i="25"/>
  <c r="H49" i="25"/>
  <c r="H50" i="25"/>
  <c r="H51" i="25"/>
  <c r="H52" i="25"/>
  <c r="H53" i="25"/>
  <c r="H54" i="25"/>
  <c r="H55" i="25"/>
  <c r="H56" i="25"/>
  <c r="H57" i="25"/>
  <c r="H58" i="25"/>
  <c r="H59" i="25"/>
  <c r="H60" i="25"/>
  <c r="H61" i="25"/>
  <c r="H62" i="25"/>
  <c r="H63" i="25"/>
  <c r="H64" i="25"/>
  <c r="H65" i="25"/>
  <c r="H66" i="25"/>
  <c r="H67" i="25"/>
  <c r="H68" i="25"/>
  <c r="H69" i="25"/>
  <c r="H70" i="25"/>
  <c r="H71" i="25"/>
  <c r="H72" i="25"/>
  <c r="H73" i="25"/>
  <c r="H74" i="25"/>
  <c r="H75" i="25"/>
  <c r="H76" i="25"/>
  <c r="H77" i="25"/>
  <c r="H78" i="25"/>
  <c r="H79" i="25"/>
  <c r="H80" i="25"/>
  <c r="H81" i="25"/>
  <c r="H82" i="25"/>
  <c r="H83" i="25"/>
  <c r="H84" i="25"/>
  <c r="H85" i="25"/>
  <c r="H86" i="25"/>
  <c r="H87" i="25"/>
  <c r="H88" i="25"/>
  <c r="H89" i="25"/>
  <c r="H90" i="25"/>
  <c r="H91" i="25"/>
  <c r="H92" i="25"/>
  <c r="H93" i="25"/>
  <c r="H94" i="25"/>
  <c r="H95" i="25"/>
  <c r="H96" i="25"/>
  <c r="H97" i="25"/>
  <c r="H98" i="25"/>
  <c r="H99" i="25"/>
  <c r="H500" i="25"/>
  <c r="H501" i="25"/>
  <c r="R3" i="25"/>
  <c r="L3" i="25"/>
  <c r="K3" i="25"/>
  <c r="J3" i="25"/>
  <c r="H3" i="25"/>
  <c r="D4" i="25"/>
  <c r="D5" i="25"/>
  <c r="D6" i="25"/>
  <c r="D7" i="25"/>
  <c r="D8" i="25"/>
  <c r="D9" i="25"/>
  <c r="D10" i="25"/>
  <c r="D11" i="25"/>
  <c r="D12" i="25"/>
  <c r="D13" i="25"/>
  <c r="D14" i="25"/>
  <c r="D15" i="25"/>
  <c r="D16" i="25"/>
  <c r="D17" i="25"/>
  <c r="D18" i="25"/>
  <c r="D19" i="25"/>
  <c r="D20" i="25"/>
  <c r="D21" i="25"/>
  <c r="D22" i="25"/>
  <c r="D23" i="25"/>
  <c r="D24" i="25"/>
  <c r="D25" i="25"/>
  <c r="D26" i="25"/>
  <c r="D27" i="25"/>
  <c r="D28" i="25"/>
  <c r="D29" i="25"/>
  <c r="D30" i="25"/>
  <c r="D31" i="25"/>
  <c r="D32" i="25"/>
  <c r="D33" i="25"/>
  <c r="D34" i="25"/>
  <c r="D35" i="25"/>
  <c r="D36" i="25"/>
  <c r="D37" i="25"/>
  <c r="D38" i="25"/>
  <c r="D39" i="25"/>
  <c r="D40" i="25"/>
  <c r="D41" i="25"/>
  <c r="D42" i="25"/>
  <c r="D43" i="25"/>
  <c r="D44" i="25"/>
  <c r="D45" i="25"/>
  <c r="D46" i="25"/>
  <c r="D47" i="25"/>
  <c r="D48" i="25"/>
  <c r="D49" i="25"/>
  <c r="D50" i="25"/>
  <c r="D51" i="25"/>
  <c r="D52" i="25"/>
  <c r="D53" i="25"/>
  <c r="D54" i="25"/>
  <c r="D55" i="25"/>
  <c r="D56" i="25"/>
  <c r="D57" i="25"/>
  <c r="D58" i="25"/>
  <c r="D59" i="25"/>
  <c r="D60" i="25"/>
  <c r="D61" i="25"/>
  <c r="D62" i="25"/>
  <c r="D63" i="25"/>
  <c r="D64" i="25"/>
  <c r="D65" i="25"/>
  <c r="D66" i="25"/>
  <c r="D67" i="25"/>
  <c r="D68" i="25"/>
  <c r="D69" i="25"/>
  <c r="D70" i="25"/>
  <c r="D71" i="25"/>
  <c r="D72" i="25"/>
  <c r="D73" i="25"/>
  <c r="D74" i="25"/>
  <c r="D75" i="25"/>
  <c r="D76" i="25"/>
  <c r="D77" i="25"/>
  <c r="D78" i="25"/>
  <c r="D79" i="25"/>
  <c r="D80" i="25"/>
  <c r="D81" i="25"/>
  <c r="D82" i="25"/>
  <c r="D83" i="25"/>
  <c r="D84" i="25"/>
  <c r="D85" i="25"/>
  <c r="D86" i="25"/>
  <c r="D87" i="25"/>
  <c r="D88" i="25"/>
  <c r="D89" i="25"/>
  <c r="D90" i="25"/>
  <c r="D91" i="25"/>
  <c r="D92" i="25"/>
  <c r="D93" i="25"/>
  <c r="D94" i="25"/>
  <c r="D95" i="25"/>
  <c r="D96" i="25"/>
  <c r="D97" i="25"/>
  <c r="D98" i="25"/>
  <c r="E4" i="25"/>
  <c r="E5" i="25"/>
  <c r="E6" i="25"/>
  <c r="E7" i="25"/>
  <c r="E8" i="25"/>
  <c r="E9" i="25"/>
  <c r="E10" i="25"/>
  <c r="E11" i="25"/>
  <c r="E12" i="25"/>
  <c r="E13" i="25"/>
  <c r="E14" i="25"/>
  <c r="E15" i="25"/>
  <c r="E16" i="25"/>
  <c r="E17" i="25"/>
  <c r="E18" i="25"/>
  <c r="E19" i="25"/>
  <c r="E20" i="25"/>
  <c r="E21" i="25"/>
  <c r="E22" i="25"/>
  <c r="E23" i="25"/>
  <c r="E24" i="25"/>
  <c r="E25" i="25"/>
  <c r="E26" i="25"/>
  <c r="E27" i="25"/>
  <c r="E28" i="25"/>
  <c r="E29" i="25"/>
  <c r="E30" i="25"/>
  <c r="E31" i="25"/>
  <c r="E32" i="25"/>
  <c r="E33" i="25"/>
  <c r="E34" i="25"/>
  <c r="E35" i="25"/>
  <c r="E36" i="25"/>
  <c r="E37" i="25"/>
  <c r="E38" i="25"/>
  <c r="E39" i="25"/>
  <c r="E40" i="25"/>
  <c r="E41" i="25"/>
  <c r="E42" i="25"/>
  <c r="E43" i="25"/>
  <c r="E44" i="25"/>
  <c r="E45" i="25"/>
  <c r="E46" i="25"/>
  <c r="E47" i="25"/>
  <c r="E48" i="25"/>
  <c r="E49" i="25"/>
  <c r="E50" i="25"/>
  <c r="E51" i="25"/>
  <c r="E52" i="25"/>
  <c r="E53" i="25"/>
  <c r="E54" i="25"/>
  <c r="E55" i="25"/>
  <c r="E56" i="25"/>
  <c r="E57" i="25"/>
  <c r="E58" i="25"/>
  <c r="E59" i="25"/>
  <c r="E60" i="25"/>
  <c r="E61" i="25"/>
  <c r="E62" i="25"/>
  <c r="E63" i="25"/>
  <c r="E64" i="25"/>
  <c r="E65" i="25"/>
  <c r="E66" i="25"/>
  <c r="E67" i="25"/>
  <c r="E68" i="25"/>
  <c r="E69" i="25"/>
  <c r="E70" i="25"/>
  <c r="E71" i="25"/>
  <c r="E72" i="25"/>
  <c r="E73" i="25"/>
  <c r="E74" i="25"/>
  <c r="E75" i="25"/>
  <c r="E76" i="25"/>
  <c r="E77" i="25"/>
  <c r="E78" i="25"/>
  <c r="E79" i="25"/>
  <c r="E80" i="25"/>
  <c r="E81" i="25"/>
  <c r="E82" i="25"/>
  <c r="E83" i="25"/>
  <c r="E84" i="25"/>
  <c r="E85" i="25"/>
  <c r="E86" i="25"/>
  <c r="E87" i="25"/>
  <c r="E88" i="25"/>
  <c r="E89" i="25"/>
  <c r="E90" i="25"/>
  <c r="E91" i="25"/>
  <c r="E92" i="25"/>
  <c r="E93" i="25"/>
  <c r="E94" i="25"/>
  <c r="E95" i="25"/>
  <c r="E96" i="25"/>
  <c r="E97" i="25"/>
  <c r="E98" i="25"/>
  <c r="H502" i="25"/>
  <c r="H1062" i="25"/>
  <c r="H1063" i="25"/>
  <c r="H1064" i="25"/>
  <c r="H1065" i="25"/>
  <c r="H1066" i="25"/>
  <c r="H1067" i="25"/>
  <c r="H1068" i="25"/>
  <c r="H1069" i="25"/>
  <c r="H1070" i="25"/>
  <c r="H1071" i="25"/>
  <c r="H1072" i="25"/>
  <c r="H1073" i="25"/>
  <c r="H1074" i="25"/>
  <c r="H1075" i="25"/>
  <c r="H1076" i="25"/>
  <c r="H1077" i="25"/>
  <c r="H1078" i="25"/>
  <c r="H1079" i="25"/>
  <c r="H1080" i="25"/>
  <c r="H1081" i="25"/>
  <c r="H1082" i="25"/>
  <c r="H1083" i="25"/>
  <c r="H1084" i="25"/>
  <c r="H1085" i="25"/>
  <c r="H1086" i="25"/>
  <c r="H1087" i="25"/>
  <c r="H1088" i="25"/>
  <c r="H1089" i="25"/>
  <c r="H1090" i="25"/>
  <c r="H1091" i="25"/>
  <c r="H1092" i="25"/>
  <c r="H1093" i="25"/>
  <c r="H1094" i="25"/>
  <c r="H1095" i="25"/>
  <c r="H1096" i="25"/>
  <c r="H1097" i="25"/>
  <c r="H1098" i="25"/>
  <c r="H1099" i="25"/>
  <c r="H1100" i="25"/>
  <c r="H1101" i="25"/>
  <c r="H1102" i="25"/>
  <c r="H1103" i="25"/>
  <c r="H1104" i="25"/>
  <c r="H1105" i="25"/>
  <c r="H1106" i="25"/>
  <c r="H1107" i="25"/>
  <c r="H1108" i="25"/>
  <c r="H1109" i="25"/>
  <c r="H1110" i="25"/>
  <c r="H1111" i="25"/>
  <c r="H1112" i="25"/>
  <c r="H1113" i="25"/>
  <c r="H1114" i="25"/>
  <c r="H1115" i="25"/>
  <c r="H1116" i="25"/>
  <c r="H1117" i="25"/>
  <c r="H1118" i="25"/>
  <c r="H1119" i="25"/>
  <c r="H1120" i="25"/>
  <c r="H1121" i="25"/>
  <c r="H1122" i="25"/>
  <c r="H1123" i="25"/>
  <c r="H1124" i="25"/>
  <c r="H1125" i="25"/>
  <c r="H1126" i="25"/>
  <c r="H1127" i="25"/>
  <c r="H1128" i="25"/>
  <c r="H1129" i="25"/>
  <c r="H1130" i="25"/>
  <c r="H1131" i="25"/>
  <c r="H1132" i="25"/>
  <c r="H1133" i="25"/>
  <c r="H1134" i="25"/>
  <c r="H1135" i="25"/>
  <c r="H1136" i="25"/>
  <c r="H1137" i="25"/>
  <c r="H1061" i="25"/>
  <c r="H1060" i="25"/>
  <c r="H950" i="25"/>
  <c r="H951" i="25"/>
  <c r="H952" i="25"/>
  <c r="H953" i="25"/>
  <c r="H954" i="25"/>
  <c r="H955" i="25"/>
  <c r="H956" i="25"/>
  <c r="H957" i="25"/>
  <c r="H958" i="25"/>
  <c r="H959" i="25"/>
  <c r="H960" i="25"/>
  <c r="H961" i="25"/>
  <c r="H962" i="25"/>
  <c r="H963" i="25"/>
  <c r="H964" i="25"/>
  <c r="H965" i="25"/>
  <c r="H966" i="25"/>
  <c r="H967" i="25"/>
  <c r="H968" i="25"/>
  <c r="H969" i="25"/>
  <c r="H970" i="25"/>
  <c r="H971" i="25"/>
  <c r="H972" i="25"/>
  <c r="H973" i="25"/>
  <c r="H974" i="25"/>
  <c r="H975" i="25"/>
  <c r="H976" i="25"/>
  <c r="H977" i="25"/>
  <c r="H978" i="25"/>
  <c r="H979" i="25"/>
  <c r="H980" i="25"/>
  <c r="H981" i="25"/>
  <c r="H982" i="25"/>
  <c r="H983" i="25"/>
  <c r="H984" i="25"/>
  <c r="H985" i="25"/>
  <c r="H986" i="25"/>
  <c r="H987" i="25"/>
  <c r="H988" i="25"/>
  <c r="H989" i="25"/>
  <c r="H990" i="25"/>
  <c r="H991" i="25"/>
  <c r="H992" i="25"/>
  <c r="H993" i="25"/>
  <c r="H994" i="25"/>
  <c r="H995" i="25"/>
  <c r="H996" i="25"/>
  <c r="H997" i="25"/>
  <c r="H998" i="25"/>
  <c r="H999" i="25"/>
  <c r="H1000" i="25"/>
  <c r="H1001" i="25"/>
  <c r="H1002" i="25"/>
  <c r="H1003" i="25"/>
  <c r="H1004" i="25"/>
  <c r="H1005" i="25"/>
  <c r="H1006" i="25"/>
  <c r="H1007" i="25"/>
  <c r="H1008" i="25"/>
  <c r="H1009" i="25"/>
  <c r="H1010" i="25"/>
  <c r="H1011" i="25"/>
  <c r="H1012" i="25"/>
  <c r="H1013" i="25"/>
  <c r="H1014" i="25"/>
  <c r="H1015" i="25"/>
  <c r="H1016" i="25"/>
  <c r="H1017" i="25"/>
  <c r="H1018" i="25"/>
  <c r="H1019" i="25"/>
  <c r="H1020" i="25"/>
  <c r="H1021" i="25"/>
  <c r="H1022" i="25"/>
  <c r="H1023" i="25"/>
  <c r="H1024" i="25"/>
  <c r="H1025" i="25"/>
  <c r="H1026" i="25"/>
  <c r="H1027" i="25"/>
  <c r="H1028" i="25"/>
  <c r="H1029" i="25"/>
  <c r="H1030" i="25"/>
  <c r="H1031" i="25"/>
  <c r="H1032" i="25"/>
  <c r="H1033" i="25"/>
  <c r="H1034" i="25"/>
  <c r="H1035" i="25"/>
  <c r="H1036" i="25"/>
  <c r="H1037" i="25"/>
  <c r="H1038" i="25"/>
  <c r="H1039" i="25"/>
  <c r="H1040" i="25"/>
  <c r="H1041" i="25"/>
  <c r="H1042" i="25"/>
  <c r="H1043" i="25"/>
  <c r="H1044" i="25"/>
  <c r="H1045" i="25"/>
  <c r="H1046" i="25"/>
  <c r="H1047" i="25"/>
  <c r="H1048" i="25"/>
  <c r="H1049" i="25"/>
  <c r="H1050" i="25"/>
  <c r="H1051" i="25"/>
  <c r="H1052" i="25"/>
  <c r="H1053" i="25"/>
  <c r="H1057" i="25"/>
  <c r="H1058" i="25"/>
  <c r="H1059" i="25"/>
  <c r="H949" i="25"/>
  <c r="I37" i="14"/>
  <c r="O28" i="29" s="1"/>
  <c r="L37" i="14"/>
  <c r="R28" i="29" s="1"/>
  <c r="U37" i="14"/>
  <c r="L65" i="14"/>
  <c r="R52" i="29" s="1"/>
  <c r="U65" i="14"/>
  <c r="L66" i="14"/>
  <c r="R53" i="29" s="1"/>
  <c r="L67" i="14"/>
  <c r="R54" i="29" s="1"/>
  <c r="L68" i="14"/>
  <c r="R55" i="29" s="1"/>
  <c r="L69" i="14"/>
  <c r="R56" i="29" s="1"/>
  <c r="L70" i="14"/>
  <c r="R57" i="29" s="1"/>
  <c r="L71" i="14"/>
  <c r="R58" i="29" s="1"/>
  <c r="L72" i="14"/>
  <c r="R59" i="29" s="1"/>
  <c r="L73" i="14"/>
  <c r="R60" i="29" s="1"/>
  <c r="L74" i="14"/>
  <c r="R61" i="29" s="1"/>
  <c r="L75" i="14"/>
  <c r="R62" i="29" s="1"/>
  <c r="L76" i="14"/>
  <c r="R63" i="29" s="1"/>
  <c r="L77" i="14"/>
  <c r="R64" i="29" s="1"/>
  <c r="L78" i="14"/>
  <c r="R65" i="29" s="1"/>
  <c r="L79" i="14"/>
  <c r="R66" i="29" s="1"/>
  <c r="L80" i="14"/>
  <c r="R67" i="29" s="1"/>
  <c r="L81" i="14"/>
  <c r="R68" i="29" s="1"/>
  <c r="L82" i="14"/>
  <c r="R69" i="29" s="1"/>
  <c r="L83" i="14"/>
  <c r="R70" i="29" s="1"/>
  <c r="L84" i="14"/>
  <c r="R71" i="29" s="1"/>
  <c r="L85" i="14"/>
  <c r="R72" i="29" s="1"/>
  <c r="L86" i="14"/>
  <c r="R73" i="29" s="1"/>
  <c r="L87" i="14"/>
  <c r="R74" i="29" s="1"/>
  <c r="L88" i="14"/>
  <c r="R75" i="29" s="1"/>
  <c r="L38" i="14"/>
  <c r="R29" i="29" s="1"/>
  <c r="L39" i="14"/>
  <c r="R30" i="29" s="1"/>
  <c r="L40" i="14"/>
  <c r="R31" i="29" s="1"/>
  <c r="L41" i="14"/>
  <c r="R32" i="29" s="1"/>
  <c r="L42" i="14"/>
  <c r="R33" i="29" s="1"/>
  <c r="L43" i="14"/>
  <c r="R34" i="29" s="1"/>
  <c r="L44" i="14"/>
  <c r="R35" i="29" s="1"/>
  <c r="L45" i="14"/>
  <c r="R36" i="29" s="1"/>
  <c r="L46" i="14"/>
  <c r="R37" i="29" s="1"/>
  <c r="L47" i="14"/>
  <c r="R38" i="29" s="1"/>
  <c r="L48" i="14"/>
  <c r="R39" i="29" s="1"/>
  <c r="L49" i="14"/>
  <c r="R40" i="29" s="1"/>
  <c r="L50" i="14"/>
  <c r="R41" i="29" s="1"/>
  <c r="L51" i="14"/>
  <c r="R42" i="29" s="1"/>
  <c r="L52" i="14"/>
  <c r="R43" i="29" s="1"/>
  <c r="L53" i="14"/>
  <c r="R44" i="29" s="1"/>
  <c r="L54" i="14"/>
  <c r="R45" i="29" s="1"/>
  <c r="L55" i="14"/>
  <c r="R46" i="29" s="1"/>
  <c r="L56" i="14"/>
  <c r="R47" i="29" s="1"/>
  <c r="L57" i="14"/>
  <c r="R48" i="29" s="1"/>
  <c r="L58" i="14"/>
  <c r="R49" i="29" s="1"/>
  <c r="L59" i="14"/>
  <c r="R50" i="29" s="1"/>
  <c r="L60" i="14"/>
  <c r="R51" i="29" s="1"/>
  <c r="L9" i="14"/>
  <c r="R4" i="29" s="1"/>
  <c r="L10" i="14"/>
  <c r="R5" i="29" s="1"/>
  <c r="L11" i="14"/>
  <c r="R6" i="29" s="1"/>
  <c r="L12" i="14"/>
  <c r="R7" i="29" s="1"/>
  <c r="L13" i="14"/>
  <c r="R8" i="29" s="1"/>
  <c r="L14" i="14"/>
  <c r="R9" i="29" s="1"/>
  <c r="L15" i="14"/>
  <c r="R10" i="29" s="1"/>
  <c r="L16" i="14"/>
  <c r="R11" i="29" s="1"/>
  <c r="L17" i="14"/>
  <c r="R12" i="29" s="1"/>
  <c r="L18" i="14"/>
  <c r="R13" i="29" s="1"/>
  <c r="L19" i="14"/>
  <c r="R14" i="29" s="1"/>
  <c r="L20" i="14"/>
  <c r="R15" i="29" s="1"/>
  <c r="L21" i="14"/>
  <c r="R16" i="29" s="1"/>
  <c r="L22" i="14"/>
  <c r="R17" i="29" s="1"/>
  <c r="L23" i="14"/>
  <c r="R18" i="29" s="1"/>
  <c r="L24" i="14"/>
  <c r="R19" i="29" s="1"/>
  <c r="L25" i="14"/>
  <c r="R20" i="29" s="1"/>
  <c r="L26" i="14"/>
  <c r="R21" i="29" s="1"/>
  <c r="L27" i="14"/>
  <c r="R22" i="29" s="1"/>
  <c r="L28" i="14"/>
  <c r="R23" i="29" s="1"/>
  <c r="L29" i="14"/>
  <c r="R24" i="29" s="1"/>
  <c r="L30" i="14"/>
  <c r="R25" i="29" s="1"/>
  <c r="L31" i="14"/>
  <c r="R26" i="29" s="1"/>
  <c r="E7" i="31"/>
  <c r="M7" i="31" s="1" a="1"/>
  <c r="M7" i="31" s="1"/>
  <c r="E8" i="31"/>
  <c r="M8" i="31" s="1" a="1"/>
  <c r="M8" i="31" s="1"/>
  <c r="V1062" i="25" s="1"/>
  <c r="AI1062" i="25" s="1"/>
  <c r="E9" i="31"/>
  <c r="M9" i="31" s="1" a="1"/>
  <c r="M9" i="31" s="1"/>
  <c r="V1063" i="25" s="1"/>
  <c r="AI1063" i="25" s="1"/>
  <c r="E10" i="31"/>
  <c r="M10" i="31" s="1" a="1"/>
  <c r="M10" i="31" s="1"/>
  <c r="V1064" i="25" s="1"/>
  <c r="E11" i="31"/>
  <c r="M11" i="31" s="1" a="1"/>
  <c r="M11" i="31" s="1"/>
  <c r="V1065" i="25" s="1"/>
  <c r="E12" i="31"/>
  <c r="M12" i="31" s="1" a="1"/>
  <c r="M12" i="31" s="1"/>
  <c r="V1066" i="25" s="1"/>
  <c r="AI1066" i="25" s="1"/>
  <c r="E13" i="31"/>
  <c r="M13" i="31" s="1" a="1"/>
  <c r="M13" i="31" s="1"/>
  <c r="V1067" i="25" s="1"/>
  <c r="AI1067" i="25" s="1"/>
  <c r="E14" i="31"/>
  <c r="M14" i="31" s="1" a="1"/>
  <c r="M14" i="31" s="1"/>
  <c r="V1068" i="25" s="1"/>
  <c r="AI1068" i="25" s="1"/>
  <c r="E15" i="31"/>
  <c r="M15" i="31" s="1" a="1"/>
  <c r="M15" i="31" s="1"/>
  <c r="V1069" i="25" s="1"/>
  <c r="E16" i="31"/>
  <c r="M16" i="31" s="1" a="1"/>
  <c r="M16" i="31" s="1"/>
  <c r="V1070" i="25" s="1"/>
  <c r="AI1070" i="25" s="1"/>
  <c r="E17" i="31"/>
  <c r="M17" i="31" s="1" a="1"/>
  <c r="M17" i="31" s="1"/>
  <c r="V1071" i="25" s="1"/>
  <c r="AI1071" i="25" s="1"/>
  <c r="E18" i="31"/>
  <c r="M18" i="31" s="1" a="1"/>
  <c r="M18" i="31" s="1"/>
  <c r="V1072" i="25" s="1"/>
  <c r="E19" i="31"/>
  <c r="M19" i="31" s="1" a="1"/>
  <c r="M19" i="31" s="1"/>
  <c r="V1073" i="25" s="1"/>
  <c r="E20" i="31"/>
  <c r="M20" i="31" s="1" a="1"/>
  <c r="M20" i="31" s="1"/>
  <c r="V1074" i="25" s="1"/>
  <c r="AI1074" i="25" s="1"/>
  <c r="E21" i="31"/>
  <c r="M21" i="31" s="1" a="1"/>
  <c r="M21" i="31" s="1"/>
  <c r="V1075" i="25" s="1"/>
  <c r="AI1075" i="25" s="1"/>
  <c r="E22" i="31"/>
  <c r="M22" i="31" s="1" a="1"/>
  <c r="M22" i="31" s="1"/>
  <c r="V1076" i="25" s="1"/>
  <c r="AI1076" i="25" s="1"/>
  <c r="E23" i="31"/>
  <c r="M23" i="31" s="1" a="1"/>
  <c r="M23" i="31" s="1"/>
  <c r="V1077" i="25" s="1"/>
  <c r="E24" i="31"/>
  <c r="M24" i="31" s="1" a="1"/>
  <c r="M24" i="31" s="1"/>
  <c r="V1078" i="25" s="1"/>
  <c r="AI1078" i="25" s="1"/>
  <c r="E25" i="31"/>
  <c r="M25" i="31" s="1" a="1"/>
  <c r="M25" i="31" s="1"/>
  <c r="V1079" i="25" s="1"/>
  <c r="AI1079" i="25" s="1"/>
  <c r="E26" i="31"/>
  <c r="M26" i="31" s="1" a="1"/>
  <c r="M26" i="31" s="1"/>
  <c r="V1080" i="25" s="1"/>
  <c r="E27" i="31"/>
  <c r="M27" i="31" s="1" a="1"/>
  <c r="M27" i="31" s="1"/>
  <c r="V1081" i="25" s="1"/>
  <c r="E28" i="31"/>
  <c r="M28" i="31" s="1" a="1"/>
  <c r="M28" i="31" s="1"/>
  <c r="V1082" i="25" s="1"/>
  <c r="AI1082" i="25" s="1"/>
  <c r="E29" i="31"/>
  <c r="M29" i="31" s="1" a="1"/>
  <c r="M29" i="31" s="1"/>
  <c r="V1083" i="25" s="1"/>
  <c r="AI1083" i="25" s="1"/>
  <c r="E30" i="31"/>
  <c r="M30" i="31" s="1" a="1"/>
  <c r="M30" i="31" s="1"/>
  <c r="V1084" i="25" s="1"/>
  <c r="AI1084" i="25" s="1"/>
  <c r="E31" i="31"/>
  <c r="M31" i="31" s="1" a="1"/>
  <c r="M31" i="31" s="1"/>
  <c r="V1085" i="25" s="1"/>
  <c r="E32" i="31"/>
  <c r="M32" i="31" s="1" a="1"/>
  <c r="M32" i="31" s="1"/>
  <c r="V1086" i="25" s="1"/>
  <c r="AI1086" i="25" s="1"/>
  <c r="E33" i="31"/>
  <c r="M33" i="31" s="1" a="1"/>
  <c r="M33" i="31" s="1"/>
  <c r="V1087" i="25" s="1"/>
  <c r="AI1087" i="25" s="1"/>
  <c r="E34" i="31"/>
  <c r="M34" i="31" s="1" a="1"/>
  <c r="M34" i="31" s="1"/>
  <c r="V1088" i="25" s="1"/>
  <c r="E35" i="31"/>
  <c r="M35" i="31" s="1" a="1"/>
  <c r="M35" i="31" s="1"/>
  <c r="V1089" i="25" s="1"/>
  <c r="E36" i="31"/>
  <c r="M36" i="31" s="1" a="1"/>
  <c r="M36" i="31" s="1"/>
  <c r="V1090" i="25" s="1"/>
  <c r="AI1090" i="25" s="1"/>
  <c r="E37" i="31"/>
  <c r="M37" i="31" s="1" a="1"/>
  <c r="M37" i="31" s="1"/>
  <c r="V1091" i="25" s="1"/>
  <c r="AI1091" i="25" s="1"/>
  <c r="E38" i="31"/>
  <c r="M38" i="31" s="1" a="1"/>
  <c r="M38" i="31" s="1"/>
  <c r="V1092" i="25" s="1"/>
  <c r="AI1092" i="25" s="1"/>
  <c r="E39" i="31"/>
  <c r="M39" i="31" s="1" a="1"/>
  <c r="M39" i="31" s="1"/>
  <c r="V1093" i="25" s="1"/>
  <c r="E40" i="31"/>
  <c r="M40" i="31" s="1" a="1"/>
  <c r="M40" i="31" s="1"/>
  <c r="V1094" i="25" s="1"/>
  <c r="AI1094" i="25" s="1"/>
  <c r="E41" i="31"/>
  <c r="M41" i="31" s="1" a="1"/>
  <c r="M41" i="31" s="1"/>
  <c r="V1095" i="25" s="1"/>
  <c r="AI1095" i="25" s="1"/>
  <c r="E42" i="31"/>
  <c r="M42" i="31" s="1" a="1"/>
  <c r="M42" i="31" s="1"/>
  <c r="V1096" i="25" s="1"/>
  <c r="E43" i="31"/>
  <c r="M43" i="31" s="1" a="1"/>
  <c r="M43" i="31" s="1"/>
  <c r="V1097" i="25" s="1"/>
  <c r="E44" i="31"/>
  <c r="M44" i="31" s="1" a="1"/>
  <c r="M44" i="31" s="1"/>
  <c r="V1098" i="25" s="1"/>
  <c r="AI1098" i="25" s="1"/>
  <c r="E45" i="31"/>
  <c r="M45" i="31" s="1" a="1"/>
  <c r="M45" i="31" s="1"/>
  <c r="V1099" i="25" s="1"/>
  <c r="AI1099" i="25" s="1"/>
  <c r="E46" i="31"/>
  <c r="M46" i="31" s="1" a="1"/>
  <c r="M46" i="31" s="1"/>
  <c r="V1100" i="25" s="1"/>
  <c r="AI1100" i="25" s="1"/>
  <c r="E47" i="31"/>
  <c r="M47" i="31" s="1" a="1"/>
  <c r="M47" i="31" s="1"/>
  <c r="V1101" i="25" s="1"/>
  <c r="E48" i="31"/>
  <c r="M48" i="31" s="1" a="1"/>
  <c r="M48" i="31" s="1"/>
  <c r="V1102" i="25" s="1"/>
  <c r="AI1102" i="25" s="1"/>
  <c r="E49" i="31"/>
  <c r="M49" i="31" s="1" a="1"/>
  <c r="M49" i="31" s="1"/>
  <c r="V1103" i="25" s="1"/>
  <c r="AI1103" i="25" s="1"/>
  <c r="E50" i="31"/>
  <c r="M50" i="31" s="1" a="1"/>
  <c r="M50" i="31" s="1"/>
  <c r="V1104" i="25" s="1"/>
  <c r="E51" i="31"/>
  <c r="M51" i="31" s="1" a="1"/>
  <c r="M51" i="31" s="1"/>
  <c r="V1105" i="25" s="1"/>
  <c r="E52" i="31"/>
  <c r="M52" i="31" s="1" a="1"/>
  <c r="M52" i="31" s="1"/>
  <c r="V1106" i="25" s="1"/>
  <c r="AI1106" i="25" s="1"/>
  <c r="E53" i="31"/>
  <c r="M53" i="31" s="1" a="1"/>
  <c r="M53" i="31" s="1"/>
  <c r="V1107" i="25" s="1"/>
  <c r="AI1107" i="25" s="1"/>
  <c r="E54" i="31"/>
  <c r="M54" i="31" s="1" a="1"/>
  <c r="M54" i="31" s="1"/>
  <c r="V1108" i="25" s="1"/>
  <c r="AI1108" i="25" s="1"/>
  <c r="E55" i="31"/>
  <c r="M55" i="31" s="1" a="1"/>
  <c r="M55" i="31" s="1"/>
  <c r="V1109" i="25" s="1"/>
  <c r="E56" i="31"/>
  <c r="M56" i="31" s="1" a="1"/>
  <c r="M56" i="31" s="1"/>
  <c r="V1110" i="25" s="1"/>
  <c r="AI1110" i="25" s="1"/>
  <c r="E57" i="31"/>
  <c r="M57" i="31" s="1" a="1"/>
  <c r="M57" i="31" s="1"/>
  <c r="V1111" i="25" s="1"/>
  <c r="AI1111" i="25" s="1"/>
  <c r="E58" i="31"/>
  <c r="M58" i="31" s="1" a="1"/>
  <c r="M58" i="31" s="1"/>
  <c r="V1112" i="25" s="1"/>
  <c r="E59" i="31"/>
  <c r="M59" i="31" s="1" a="1"/>
  <c r="M59" i="31" s="1"/>
  <c r="V1113" i="25" s="1"/>
  <c r="E60" i="31"/>
  <c r="M60" i="31" s="1" a="1"/>
  <c r="M60" i="31" s="1"/>
  <c r="V1114" i="25" s="1"/>
  <c r="AI1114" i="25" s="1"/>
  <c r="E61" i="31"/>
  <c r="M61" i="31" s="1" a="1"/>
  <c r="M61" i="31" s="1"/>
  <c r="V1115" i="25" s="1"/>
  <c r="AI1115" i="25" s="1"/>
  <c r="E62" i="31"/>
  <c r="M62" i="31" s="1" a="1"/>
  <c r="M62" i="31" s="1"/>
  <c r="V1116" i="25" s="1"/>
  <c r="AI1116" i="25" s="1"/>
  <c r="E63" i="31"/>
  <c r="M63" i="31" s="1" a="1"/>
  <c r="M63" i="31" s="1"/>
  <c r="V1117" i="25" s="1"/>
  <c r="E64" i="31"/>
  <c r="M64" i="31" s="1" a="1"/>
  <c r="M64" i="31" s="1"/>
  <c r="V1118" i="25" s="1"/>
  <c r="AI1118" i="25" s="1"/>
  <c r="E65" i="31"/>
  <c r="M65" i="31" s="1" a="1"/>
  <c r="M65" i="31" s="1"/>
  <c r="V1119" i="25" s="1"/>
  <c r="AI1119" i="25" s="1"/>
  <c r="E66" i="31"/>
  <c r="M66" i="31" s="1" a="1"/>
  <c r="M66" i="31" s="1"/>
  <c r="V1120" i="25" s="1"/>
  <c r="E67" i="31"/>
  <c r="M67" i="31" s="1" a="1"/>
  <c r="M67" i="31" s="1"/>
  <c r="V1121" i="25" s="1"/>
  <c r="E68" i="31"/>
  <c r="M68" i="31" s="1" a="1"/>
  <c r="M68" i="31" s="1"/>
  <c r="V1122" i="25" s="1"/>
  <c r="AI1122" i="25" s="1"/>
  <c r="E69" i="31"/>
  <c r="M69" i="31" s="1" a="1"/>
  <c r="M69" i="31" s="1"/>
  <c r="V1123" i="25" s="1"/>
  <c r="AI1123" i="25" s="1"/>
  <c r="E70" i="31"/>
  <c r="M70" i="31" s="1" a="1"/>
  <c r="M70" i="31" s="1"/>
  <c r="V1124" i="25" s="1"/>
  <c r="AI1124" i="25" s="1"/>
  <c r="E71" i="31"/>
  <c r="M71" i="31" s="1" a="1"/>
  <c r="M71" i="31" s="1"/>
  <c r="V1125" i="25" s="1"/>
  <c r="E72" i="31"/>
  <c r="M72" i="31" s="1" a="1"/>
  <c r="M72" i="31" s="1"/>
  <c r="V1126" i="25" s="1"/>
  <c r="AI1126" i="25" s="1"/>
  <c r="E73" i="31"/>
  <c r="M73" i="31" s="1" a="1"/>
  <c r="M73" i="31" s="1"/>
  <c r="V1127" i="25" s="1"/>
  <c r="AI1127" i="25" s="1"/>
  <c r="E74" i="31"/>
  <c r="M74" i="31" s="1" a="1"/>
  <c r="M74" i="31" s="1"/>
  <c r="V1128" i="25" s="1"/>
  <c r="E75" i="31"/>
  <c r="M75" i="31" s="1" a="1"/>
  <c r="M75" i="31" s="1"/>
  <c r="V1129" i="25" s="1"/>
  <c r="E76" i="31"/>
  <c r="M76" i="31" s="1" a="1"/>
  <c r="M76" i="31" s="1"/>
  <c r="V1130" i="25" s="1"/>
  <c r="AI1130" i="25" s="1"/>
  <c r="E77" i="31"/>
  <c r="M77" i="31" s="1" a="1"/>
  <c r="M77" i="31" s="1"/>
  <c r="V1131" i="25" s="1"/>
  <c r="AI1131" i="25" s="1"/>
  <c r="E78" i="31"/>
  <c r="M78" i="31" s="1" a="1"/>
  <c r="M78" i="31" s="1"/>
  <c r="V1132" i="25" s="1"/>
  <c r="AI1132" i="25" s="1"/>
  <c r="E79" i="31"/>
  <c r="M79" i="31" s="1" a="1"/>
  <c r="M79" i="31" s="1"/>
  <c r="V1133" i="25" s="1"/>
  <c r="E80" i="31"/>
  <c r="M80" i="31" s="1" a="1"/>
  <c r="M80" i="31" s="1"/>
  <c r="V1134" i="25" s="1"/>
  <c r="AI1134" i="25" s="1"/>
  <c r="E81" i="31"/>
  <c r="M81" i="31" s="1" a="1"/>
  <c r="M81" i="31" s="1"/>
  <c r="V1135" i="25" s="1"/>
  <c r="AI1135" i="25" s="1"/>
  <c r="E82" i="31"/>
  <c r="M82" i="31" s="1" a="1"/>
  <c r="M82" i="31" s="1"/>
  <c r="V1136" i="25" s="1"/>
  <c r="E83" i="31"/>
  <c r="M83" i="31" s="1" a="1"/>
  <c r="M83" i="31" s="1"/>
  <c r="V1137" i="25" s="1"/>
  <c r="E84" i="31"/>
  <c r="M84" i="31" s="1" a="1"/>
  <c r="M84" i="31" s="1"/>
  <c r="E85" i="31"/>
  <c r="M85" i="31" s="1" a="1"/>
  <c r="M85" i="31" s="1"/>
  <c r="E86" i="31"/>
  <c r="M86" i="31" s="1" a="1"/>
  <c r="M86" i="31" s="1"/>
  <c r="E87" i="31"/>
  <c r="M87" i="31" s="1" a="1"/>
  <c r="M87" i="31" s="1"/>
  <c r="E88" i="31"/>
  <c r="M88" i="31" s="1" a="1"/>
  <c r="M88" i="31" s="1"/>
  <c r="E89" i="31"/>
  <c r="M89" i="31" s="1" a="1"/>
  <c r="M89" i="31" s="1"/>
  <c r="E90" i="31"/>
  <c r="M90" i="31" s="1" a="1"/>
  <c r="M90" i="31" s="1"/>
  <c r="E91" i="31"/>
  <c r="M91" i="31" s="1" a="1"/>
  <c r="M91" i="31" s="1"/>
  <c r="E92" i="31"/>
  <c r="M92" i="31" s="1" a="1"/>
  <c r="M92" i="31" s="1"/>
  <c r="E93" i="31"/>
  <c r="M93" i="31" s="1" a="1"/>
  <c r="M93" i="31" s="1"/>
  <c r="E94" i="31"/>
  <c r="M94" i="31" s="1" a="1"/>
  <c r="M94" i="31" s="1"/>
  <c r="E95" i="31"/>
  <c r="M95" i="31" s="1" a="1"/>
  <c r="M95" i="31" s="1"/>
  <c r="E96" i="31"/>
  <c r="M96" i="31" s="1" a="1"/>
  <c r="M96" i="31" s="1"/>
  <c r="E97" i="31"/>
  <c r="M97" i="31" s="1" a="1"/>
  <c r="M97" i="31" s="1"/>
  <c r="E98" i="31"/>
  <c r="M98" i="31" s="1" a="1"/>
  <c r="M98" i="31" s="1"/>
  <c r="E99" i="31"/>
  <c r="M99" i="31" s="1" a="1"/>
  <c r="M99" i="31" s="1"/>
  <c r="E100" i="31"/>
  <c r="M100" i="31" s="1" a="1"/>
  <c r="M100" i="31" s="1"/>
  <c r="E101" i="31"/>
  <c r="M101" i="31" s="1" a="1"/>
  <c r="M101" i="31" s="1"/>
  <c r="E102" i="31"/>
  <c r="M102" i="31" s="1" a="1"/>
  <c r="M102" i="31" s="1"/>
  <c r="E103" i="31"/>
  <c r="M103" i="31" s="1" a="1"/>
  <c r="M103" i="31" s="1"/>
  <c r="E104" i="31"/>
  <c r="M104" i="31" s="1" a="1"/>
  <c r="M104" i="31" s="1"/>
  <c r="E105" i="31"/>
  <c r="M105" i="31" s="1" a="1"/>
  <c r="M105" i="31" s="1"/>
  <c r="E106" i="31"/>
  <c r="M106" i="31" s="1" a="1"/>
  <c r="M106" i="31" s="1"/>
  <c r="E107" i="31"/>
  <c r="M107" i="31" s="1" a="1"/>
  <c r="M107" i="31" s="1"/>
  <c r="E108" i="31"/>
  <c r="M108" i="31" s="1" a="1"/>
  <c r="M108" i="31" s="1"/>
  <c r="E109" i="31"/>
  <c r="M109" i="31" s="1" a="1"/>
  <c r="M109" i="31" s="1"/>
  <c r="E110" i="31"/>
  <c r="M110" i="31" s="1" a="1"/>
  <c r="M110" i="31" s="1"/>
  <c r="E111" i="31"/>
  <c r="M111" i="31" s="1" a="1"/>
  <c r="M111" i="31" s="1"/>
  <c r="E112" i="31"/>
  <c r="M112" i="31" s="1" a="1"/>
  <c r="M112" i="31" s="1"/>
  <c r="E113" i="31"/>
  <c r="M113" i="31" s="1" a="1"/>
  <c r="M113" i="31" s="1"/>
  <c r="E114" i="31"/>
  <c r="M114" i="31" s="1" a="1"/>
  <c r="M114" i="31" s="1"/>
  <c r="E115" i="31"/>
  <c r="M115" i="31" s="1" a="1"/>
  <c r="M115" i="31" s="1"/>
  <c r="E116" i="31"/>
  <c r="M116" i="31" s="1" a="1"/>
  <c r="M116" i="31" s="1"/>
  <c r="E117" i="31"/>
  <c r="M117" i="31" s="1" a="1"/>
  <c r="M117" i="31" s="1"/>
  <c r="E118" i="31"/>
  <c r="M118" i="31" s="1" a="1"/>
  <c r="M118" i="31" s="1"/>
  <c r="H7" i="30"/>
  <c r="Q949" i="25" s="1"/>
  <c r="M502" i="25"/>
  <c r="D7" i="30"/>
  <c r="J949" i="25" s="1"/>
  <c r="J7" i="4"/>
  <c r="S502" i="25" s="1"/>
  <c r="J341" i="4"/>
  <c r="S836" i="25" s="1"/>
  <c r="J342" i="4"/>
  <c r="S837" i="25" s="1"/>
  <c r="J343" i="4"/>
  <c r="S838" i="25" s="1"/>
  <c r="J344" i="4"/>
  <c r="J345" i="4"/>
  <c r="J346" i="4"/>
  <c r="J347" i="4"/>
  <c r="J348" i="4"/>
  <c r="J349" i="4"/>
  <c r="J350" i="4"/>
  <c r="J351" i="4"/>
  <c r="J352" i="4"/>
  <c r="J353" i="4"/>
  <c r="J354" i="4"/>
  <c r="J355" i="4"/>
  <c r="J356" i="4"/>
  <c r="J357" i="4"/>
  <c r="J358" i="4"/>
  <c r="J359" i="4"/>
  <c r="J360" i="4"/>
  <c r="J361" i="4"/>
  <c r="J362" i="4"/>
  <c r="J363" i="4"/>
  <c r="J364" i="4"/>
  <c r="J365" i="4"/>
  <c r="J366" i="4"/>
  <c r="J367" i="4"/>
  <c r="J368" i="4"/>
  <c r="J369" i="4"/>
  <c r="J370" i="4"/>
  <c r="J371" i="4"/>
  <c r="J372" i="4"/>
  <c r="J373" i="4"/>
  <c r="J374" i="4"/>
  <c r="J375" i="4"/>
  <c r="J376" i="4"/>
  <c r="J377" i="4"/>
  <c r="J378" i="4"/>
  <c r="J379" i="4"/>
  <c r="J380" i="4"/>
  <c r="J381" i="4"/>
  <c r="J382" i="4"/>
  <c r="J383" i="4"/>
  <c r="J384" i="4"/>
  <c r="J385" i="4"/>
  <c r="J386" i="4"/>
  <c r="J387" i="4"/>
  <c r="J388" i="4"/>
  <c r="J389" i="4"/>
  <c r="J390" i="4"/>
  <c r="J391" i="4"/>
  <c r="J392" i="4"/>
  <c r="J393" i="4"/>
  <c r="J394" i="4"/>
  <c r="J395" i="4"/>
  <c r="J396" i="4"/>
  <c r="J397" i="4"/>
  <c r="J398" i="4"/>
  <c r="J399" i="4"/>
  <c r="J400" i="4"/>
  <c r="J401" i="4"/>
  <c r="J452" i="4"/>
  <c r="J453" i="4"/>
  <c r="J454" i="4"/>
  <c r="J455" i="4"/>
  <c r="J456" i="4"/>
  <c r="J457" i="4"/>
  <c r="J458" i="4"/>
  <c r="J459" i="4"/>
  <c r="J460" i="4"/>
  <c r="J461" i="4"/>
  <c r="J462" i="4"/>
  <c r="J463" i="4"/>
  <c r="J464" i="4"/>
  <c r="J465" i="4"/>
  <c r="J466" i="4"/>
  <c r="J467" i="4"/>
  <c r="J468" i="4"/>
  <c r="J469" i="4"/>
  <c r="J470" i="4"/>
  <c r="J471" i="4"/>
  <c r="J472" i="4"/>
  <c r="J473" i="4"/>
  <c r="J474" i="4"/>
  <c r="J475" i="4"/>
  <c r="J476" i="4"/>
  <c r="J477" i="4"/>
  <c r="J478" i="4"/>
  <c r="J479" i="4"/>
  <c r="J480" i="4"/>
  <c r="J481" i="4"/>
  <c r="J482" i="4"/>
  <c r="J483" i="4"/>
  <c r="J484" i="4"/>
  <c r="J485" i="4"/>
  <c r="J486" i="4"/>
  <c r="J487" i="4"/>
  <c r="J488" i="4"/>
  <c r="J489" i="4"/>
  <c r="J490" i="4"/>
  <c r="J491" i="4"/>
  <c r="J492" i="4"/>
  <c r="J493" i="4"/>
  <c r="J494" i="4"/>
  <c r="J495" i="4"/>
  <c r="J496" i="4"/>
  <c r="J497" i="4"/>
  <c r="J498" i="4"/>
  <c r="J499" i="4"/>
  <c r="J500" i="4"/>
  <c r="S948" i="25" s="1"/>
  <c r="M845" i="25"/>
  <c r="M853" i="25"/>
  <c r="M860" i="25"/>
  <c r="M861" i="25"/>
  <c r="M869" i="25"/>
  <c r="M877" i="25"/>
  <c r="M885" i="25"/>
  <c r="M893" i="25"/>
  <c r="M900" i="25"/>
  <c r="M901" i="25"/>
  <c r="M909" i="25"/>
  <c r="M917" i="25"/>
  <c r="M925" i="25"/>
  <c r="M933" i="25"/>
  <c r="M941" i="25"/>
  <c r="K24" i="30" l="1" a="1"/>
  <c r="K24" i="30" s="1"/>
  <c r="L41" i="30"/>
  <c r="L33" i="30"/>
  <c r="L25" i="30"/>
  <c r="L17" i="30"/>
  <c r="K26" i="30" a="1"/>
  <c r="K26" i="30" s="1"/>
  <c r="L50" i="30"/>
  <c r="K18" i="30" a="1"/>
  <c r="K18" i="30" s="1"/>
  <c r="B486" i="25"/>
  <c r="B470" i="25"/>
  <c r="B454" i="25"/>
  <c r="B438" i="25"/>
  <c r="B422" i="25"/>
  <c r="B414" i="25"/>
  <c r="B406" i="25"/>
  <c r="B398" i="25"/>
  <c r="B390" i="25"/>
  <c r="B382" i="25"/>
  <c r="B374" i="25"/>
  <c r="B366" i="25"/>
  <c r="B358" i="25"/>
  <c r="B350" i="25"/>
  <c r="B342" i="25"/>
  <c r="B334" i="25"/>
  <c r="B326" i="25"/>
  <c r="B318" i="25"/>
  <c r="B310" i="25"/>
  <c r="B302" i="25"/>
  <c r="B286" i="25"/>
  <c r="B270" i="25"/>
  <c r="B254" i="25"/>
  <c r="B238" i="25"/>
  <c r="B222" i="25"/>
  <c r="B206" i="25"/>
  <c r="B190" i="25"/>
  <c r="B174" i="25"/>
  <c r="B158" i="25"/>
  <c r="B142" i="25"/>
  <c r="B126" i="25"/>
  <c r="B110" i="25"/>
  <c r="K288" i="30" a="1"/>
  <c r="K288" i="30" s="1"/>
  <c r="T1057" i="25" s="1"/>
  <c r="J1057" i="25"/>
  <c r="L57" i="30"/>
  <c r="K12" i="30" a="1"/>
  <c r="K12" i="30" s="1"/>
  <c r="L65" i="30"/>
  <c r="L49" i="30"/>
  <c r="L287" i="30"/>
  <c r="U1056" i="25" s="1"/>
  <c r="K287" i="30" a="1"/>
  <c r="K287" i="30" s="1"/>
  <c r="T1056" i="25" s="1"/>
  <c r="J1054" i="25"/>
  <c r="J1059" i="25"/>
  <c r="J1058" i="25"/>
  <c r="J1055" i="25"/>
  <c r="B1729" i="25"/>
  <c r="B1721" i="25"/>
  <c r="B1713" i="25"/>
  <c r="B1705" i="25"/>
  <c r="B1697" i="25"/>
  <c r="B1689" i="25"/>
  <c r="B1681" i="25"/>
  <c r="B1673" i="25"/>
  <c r="B1665" i="25"/>
  <c r="B1657" i="25"/>
  <c r="B1649" i="25"/>
  <c r="B1641" i="25"/>
  <c r="B1633" i="25"/>
  <c r="B1625" i="25"/>
  <c r="B1617" i="25"/>
  <c r="B1609" i="25"/>
  <c r="B1601" i="25"/>
  <c r="B1593" i="25"/>
  <c r="B1585" i="25"/>
  <c r="B1577" i="25"/>
  <c r="B1569" i="25"/>
  <c r="B1561" i="25"/>
  <c r="B1553" i="25"/>
  <c r="B1545" i="25"/>
  <c r="B1537" i="25"/>
  <c r="B1529" i="25"/>
  <c r="B1521" i="25"/>
  <c r="B1513" i="25"/>
  <c r="B1505" i="25"/>
  <c r="B1497" i="25"/>
  <c r="B1489" i="25"/>
  <c r="B1481" i="25"/>
  <c r="B1473" i="25"/>
  <c r="B1465" i="25"/>
  <c r="B1457" i="25"/>
  <c r="B1449" i="25"/>
  <c r="B1441" i="25"/>
  <c r="B1433" i="25"/>
  <c r="B1425" i="25"/>
  <c r="B1417" i="25"/>
  <c r="B1409" i="25"/>
  <c r="B1401" i="25"/>
  <c r="B1393" i="25"/>
  <c r="B1385" i="25"/>
  <c r="B1377" i="25"/>
  <c r="B1369" i="25"/>
  <c r="B1361" i="25"/>
  <c r="B1353" i="25"/>
  <c r="B1345" i="25"/>
  <c r="B1337" i="25"/>
  <c r="B1329" i="25"/>
  <c r="B1321" i="25"/>
  <c r="B1313" i="25"/>
  <c r="B189" i="25"/>
  <c r="B157" i="25"/>
  <c r="B125" i="25"/>
  <c r="B1305" i="25"/>
  <c r="B1297" i="25"/>
  <c r="B1289" i="25"/>
  <c r="B1281" i="25"/>
  <c r="B1273" i="25"/>
  <c r="B1265" i="25"/>
  <c r="B1257" i="25"/>
  <c r="B1249" i="25"/>
  <c r="B1241" i="25"/>
  <c r="B1233" i="25"/>
  <c r="B1225" i="25"/>
  <c r="B1217" i="25"/>
  <c r="B1209" i="25"/>
  <c r="B1201" i="25"/>
  <c r="B1193" i="25"/>
  <c r="B1185" i="25"/>
  <c r="B1177" i="25"/>
  <c r="B1169" i="25"/>
  <c r="B1161" i="25"/>
  <c r="B1153" i="25"/>
  <c r="B1145" i="25"/>
  <c r="B1137" i="25"/>
  <c r="B1129" i="25"/>
  <c r="B1121" i="25"/>
  <c r="B1113" i="25"/>
  <c r="B1105" i="25"/>
  <c r="B1097" i="25"/>
  <c r="B1089" i="25"/>
  <c r="B1081" i="25"/>
  <c r="B1073" i="25"/>
  <c r="B1065" i="25"/>
  <c r="B1057" i="25"/>
  <c r="B1056" i="25"/>
  <c r="B1055" i="25"/>
  <c r="B1054" i="25"/>
  <c r="B493" i="25"/>
  <c r="B485" i="25"/>
  <c r="B477" i="25"/>
  <c r="B469" i="25"/>
  <c r="B461" i="25"/>
  <c r="B453" i="25"/>
  <c r="B445" i="25"/>
  <c r="B437" i="25"/>
  <c r="B429" i="25"/>
  <c r="B421" i="25"/>
  <c r="B413" i="25"/>
  <c r="B405" i="25"/>
  <c r="B397" i="25"/>
  <c r="B389" i="25"/>
  <c r="B381" i="25"/>
  <c r="B373" i="25"/>
  <c r="B365" i="25"/>
  <c r="B357" i="25"/>
  <c r="B349" i="25"/>
  <c r="B341" i="25"/>
  <c r="B333" i="25"/>
  <c r="B325" i="25"/>
  <c r="B317" i="25"/>
  <c r="B309" i="25"/>
  <c r="B301" i="25"/>
  <c r="B293" i="25"/>
  <c r="B285" i="25"/>
  <c r="B277" i="25"/>
  <c r="B269" i="25"/>
  <c r="B261" i="25"/>
  <c r="B253" i="25"/>
  <c r="B245" i="25"/>
  <c r="B237" i="25"/>
  <c r="B229" i="25"/>
  <c r="B221" i="25"/>
  <c r="B213" i="25"/>
  <c r="B205" i="25"/>
  <c r="B197" i="25"/>
  <c r="B181" i="25"/>
  <c r="B173" i="25"/>
  <c r="B165" i="25"/>
  <c r="B149" i="25"/>
  <c r="B141" i="25"/>
  <c r="B133" i="25"/>
  <c r="B117" i="25"/>
  <c r="B109" i="25"/>
  <c r="B101" i="25"/>
  <c r="B474" i="25"/>
  <c r="B410" i="25"/>
  <c r="B346" i="25"/>
  <c r="B282" i="25"/>
  <c r="B218" i="25"/>
  <c r="B154" i="25"/>
  <c r="L180" i="30"/>
  <c r="L132" i="30"/>
  <c r="K148" i="30" a="1"/>
  <c r="K148" i="30" s="1"/>
  <c r="N148" i="30" s="1"/>
  <c r="L116" i="30"/>
  <c r="K108" i="30" a="1"/>
  <c r="K108" i="30" s="1"/>
  <c r="N108" i="30" s="1"/>
  <c r="K100" i="30" a="1"/>
  <c r="K100" i="30" s="1"/>
  <c r="N100" i="30" s="1"/>
  <c r="K92" i="30" a="1"/>
  <c r="K92" i="30" s="1"/>
  <c r="K84" i="30" a="1"/>
  <c r="K84" i="30" s="1"/>
  <c r="N84" i="30" s="1"/>
  <c r="L34" i="30"/>
  <c r="L288" i="30"/>
  <c r="U1057" i="25" s="1"/>
  <c r="L140" i="30"/>
  <c r="L124" i="30"/>
  <c r="K156" i="30" a="1"/>
  <c r="K156" i="30" s="1"/>
  <c r="N156" i="30" s="1"/>
  <c r="W156" i="30" s="1"/>
  <c r="K60" i="30" a="1"/>
  <c r="K60" i="30" s="1"/>
  <c r="N60" i="30" s="1"/>
  <c r="L172" i="30"/>
  <c r="L164" i="30"/>
  <c r="L28" i="30"/>
  <c r="K126" i="30" a="1"/>
  <c r="K126" i="30" s="1"/>
  <c r="N126" i="30" s="1"/>
  <c r="L150" i="30"/>
  <c r="K38" i="30" a="1"/>
  <c r="K38" i="30" s="1"/>
  <c r="N38" i="30" s="1"/>
  <c r="N10" i="30"/>
  <c r="N58" i="30"/>
  <c r="M742" i="25"/>
  <c r="M662" i="25"/>
  <c r="Q164" i="4" a="1"/>
  <c r="Q164" i="4" s="1"/>
  <c r="Z659" i="25" s="1"/>
  <c r="R150" i="4" a="1"/>
  <c r="R150" i="4" s="1"/>
  <c r="AA645" i="25" s="1"/>
  <c r="Q132" i="4" a="1"/>
  <c r="Q132" i="4" s="1"/>
  <c r="Z627" i="25" s="1"/>
  <c r="M646" i="25"/>
  <c r="Q100" i="4" a="1"/>
  <c r="Q100" i="4" s="1"/>
  <c r="Z595" i="25" s="1"/>
  <c r="Q68" i="4" a="1"/>
  <c r="Q68" i="4" s="1"/>
  <c r="Z563" i="25" s="1"/>
  <c r="Q36" i="4" a="1"/>
  <c r="Q36" i="4" s="1"/>
  <c r="X426" i="4" a="1"/>
  <c r="X426" i="4" s="1"/>
  <c r="Q228" i="4" a="1"/>
  <c r="Q228" i="4" s="1"/>
  <c r="Z723" i="25" s="1"/>
  <c r="M542" i="25"/>
  <c r="Q196" i="4" a="1"/>
  <c r="Q196" i="4" s="1"/>
  <c r="Z691" i="25" s="1"/>
  <c r="F463" i="4"/>
  <c r="N911" i="25" s="1"/>
  <c r="U463" i="4" a="1"/>
  <c r="U463" i="4" s="1"/>
  <c r="T463" i="4" a="1"/>
  <c r="T463" i="4" s="1"/>
  <c r="Q463" i="4" a="1"/>
  <c r="Q463" i="4" s="1"/>
  <c r="S463" i="4" a="1"/>
  <c r="S463" i="4" s="1"/>
  <c r="R463" i="4" a="1"/>
  <c r="R463" i="4" s="1"/>
  <c r="F389" i="4"/>
  <c r="N887" i="25" s="1"/>
  <c r="U389" i="4" a="1"/>
  <c r="U389" i="4" s="1"/>
  <c r="T389" i="4" a="1"/>
  <c r="T389" i="4" s="1"/>
  <c r="S389" i="4" a="1"/>
  <c r="S389" i="4" s="1"/>
  <c r="R389" i="4" a="1"/>
  <c r="R389" i="4" s="1"/>
  <c r="Q389" i="4" a="1"/>
  <c r="Q389" i="4" s="1"/>
  <c r="F381" i="4"/>
  <c r="N879" i="25" s="1"/>
  <c r="U381" i="4" a="1"/>
  <c r="U381" i="4" s="1"/>
  <c r="T381" i="4" a="1"/>
  <c r="T381" i="4" s="1"/>
  <c r="S381" i="4" a="1"/>
  <c r="S381" i="4" s="1"/>
  <c r="R381" i="4" a="1"/>
  <c r="R381" i="4" s="1"/>
  <c r="Q381" i="4" a="1"/>
  <c r="Q381" i="4" s="1"/>
  <c r="F365" i="4"/>
  <c r="N863" i="25" s="1"/>
  <c r="U365" i="4" a="1"/>
  <c r="U365" i="4" s="1"/>
  <c r="T365" i="4" a="1"/>
  <c r="T365" i="4" s="1"/>
  <c r="S365" i="4" a="1"/>
  <c r="S365" i="4" s="1"/>
  <c r="R365" i="4" a="1"/>
  <c r="R365" i="4" s="1"/>
  <c r="Q365" i="4" a="1"/>
  <c r="Q365" i="4" s="1"/>
  <c r="F341" i="4"/>
  <c r="U341" i="4" a="1"/>
  <c r="U341" i="4" s="1"/>
  <c r="T341" i="4" a="1"/>
  <c r="T341" i="4" s="1"/>
  <c r="R341" i="4" a="1"/>
  <c r="R341" i="4" s="1"/>
  <c r="S341" i="4" a="1"/>
  <c r="S341" i="4" s="1"/>
  <c r="Q341" i="4" a="1"/>
  <c r="Q341" i="4" s="1"/>
  <c r="M836" i="25"/>
  <c r="F339" i="4"/>
  <c r="N834" i="25" s="1"/>
  <c r="U339" i="4" a="1"/>
  <c r="U339" i="4" s="1"/>
  <c r="AD834" i="25" s="1"/>
  <c r="R339" i="4" a="1"/>
  <c r="R339" i="4" s="1"/>
  <c r="AA834" i="25" s="1"/>
  <c r="T339" i="4" a="1"/>
  <c r="T339" i="4" s="1"/>
  <c r="AC834" i="25" s="1"/>
  <c r="S339" i="4" a="1"/>
  <c r="S339" i="4" s="1"/>
  <c r="Q339" i="4" a="1"/>
  <c r="Q339" i="4" s="1"/>
  <c r="Z834" i="25" s="1"/>
  <c r="M834" i="25"/>
  <c r="F323" i="4"/>
  <c r="N818" i="25" s="1"/>
  <c r="U323" i="4" a="1"/>
  <c r="U323" i="4" s="1"/>
  <c r="AD818" i="25" s="1"/>
  <c r="T323" i="4" a="1"/>
  <c r="T323" i="4" s="1"/>
  <c r="AC818" i="25" s="1"/>
  <c r="R323" i="4" a="1"/>
  <c r="R323" i="4" s="1"/>
  <c r="AA818" i="25" s="1"/>
  <c r="S323" i="4" a="1"/>
  <c r="S323" i="4" s="1"/>
  <c r="AB818" i="25" s="1"/>
  <c r="Q323" i="4" a="1"/>
  <c r="Q323" i="4" s="1"/>
  <c r="M818" i="25"/>
  <c r="F307" i="4"/>
  <c r="N802" i="25" s="1"/>
  <c r="U307" i="4" a="1"/>
  <c r="U307" i="4" s="1"/>
  <c r="AD802" i="25" s="1"/>
  <c r="R307" i="4" a="1"/>
  <c r="R307" i="4" s="1"/>
  <c r="AA802" i="25" s="1"/>
  <c r="S307" i="4" a="1"/>
  <c r="S307" i="4" s="1"/>
  <c r="AB802" i="25" s="1"/>
  <c r="T307" i="4" a="1"/>
  <c r="T307" i="4" s="1"/>
  <c r="AC802" i="25" s="1"/>
  <c r="Q307" i="4" a="1"/>
  <c r="Q307" i="4" s="1"/>
  <c r="Z802" i="25" s="1"/>
  <c r="M802" i="25"/>
  <c r="F291" i="4"/>
  <c r="N786" i="25" s="1"/>
  <c r="U291" i="4" a="1"/>
  <c r="U291" i="4" s="1"/>
  <c r="AD786" i="25" s="1"/>
  <c r="R291" i="4" a="1"/>
  <c r="R291" i="4" s="1"/>
  <c r="AA786" i="25" s="1"/>
  <c r="S291" i="4" a="1"/>
  <c r="S291" i="4" s="1"/>
  <c r="AB786" i="25" s="1"/>
  <c r="T291" i="4" a="1"/>
  <c r="T291" i="4" s="1"/>
  <c r="AC786" i="25" s="1"/>
  <c r="Q291" i="4" a="1"/>
  <c r="Q291" i="4" s="1"/>
  <c r="Z786" i="25" s="1"/>
  <c r="M786" i="25"/>
  <c r="U259" i="4" a="1"/>
  <c r="U259" i="4" s="1"/>
  <c r="T259" i="4" a="1"/>
  <c r="T259" i="4" s="1"/>
  <c r="AC754" i="25" s="1"/>
  <c r="R259" i="4" a="1"/>
  <c r="R259" i="4" s="1"/>
  <c r="AA754" i="25" s="1"/>
  <c r="S259" i="4" a="1"/>
  <c r="S259" i="4" s="1"/>
  <c r="AB754" i="25" s="1"/>
  <c r="Q259" i="4" a="1"/>
  <c r="Q259" i="4" s="1"/>
  <c r="Z754" i="25" s="1"/>
  <c r="M754" i="25"/>
  <c r="F243" i="4"/>
  <c r="N738" i="25" s="1"/>
  <c r="U243" i="4" a="1"/>
  <c r="U243" i="4" s="1"/>
  <c r="AD738" i="25" s="1"/>
  <c r="S243" i="4" a="1"/>
  <c r="S243" i="4" s="1"/>
  <c r="R243" i="4" a="1"/>
  <c r="R243" i="4" s="1"/>
  <c r="AA738" i="25" s="1"/>
  <c r="Q243" i="4" a="1"/>
  <c r="Q243" i="4" s="1"/>
  <c r="Z738" i="25" s="1"/>
  <c r="M738" i="25"/>
  <c r="T243" i="4" a="1"/>
  <c r="T243" i="4" s="1"/>
  <c r="AC738" i="25" s="1"/>
  <c r="F486" i="4"/>
  <c r="U486" i="4" a="1"/>
  <c r="U486" i="4" s="1"/>
  <c r="T486" i="4" a="1"/>
  <c r="T486" i="4" s="1"/>
  <c r="Q486" i="4" a="1"/>
  <c r="Q486" i="4" s="1"/>
  <c r="S486" i="4" a="1"/>
  <c r="S486" i="4" s="1"/>
  <c r="R486" i="4" a="1"/>
  <c r="R486" i="4" s="1"/>
  <c r="F462" i="4"/>
  <c r="U462" i="4" a="1"/>
  <c r="U462" i="4" s="1"/>
  <c r="T462" i="4" a="1"/>
  <c r="T462" i="4" s="1"/>
  <c r="S462" i="4" a="1"/>
  <c r="S462" i="4" s="1"/>
  <c r="Q462" i="4" a="1"/>
  <c r="Q462" i="4" s="1"/>
  <c r="R462" i="4" a="1"/>
  <c r="R462" i="4" s="1"/>
  <c r="F396" i="4"/>
  <c r="U396" i="4" a="1"/>
  <c r="U396" i="4" s="1"/>
  <c r="T396" i="4" a="1"/>
  <c r="T396" i="4" s="1"/>
  <c r="S396" i="4" a="1"/>
  <c r="S396" i="4" s="1"/>
  <c r="R396" i="4" a="1"/>
  <c r="R396" i="4" s="1"/>
  <c r="Q396" i="4" a="1"/>
  <c r="Q396" i="4" s="1"/>
  <c r="F380" i="4"/>
  <c r="U380" i="4" a="1"/>
  <c r="U380" i="4" s="1"/>
  <c r="T380" i="4" a="1"/>
  <c r="T380" i="4" s="1"/>
  <c r="S380" i="4" a="1"/>
  <c r="S380" i="4" s="1"/>
  <c r="R380" i="4" a="1"/>
  <c r="R380" i="4" s="1"/>
  <c r="Q380" i="4" a="1"/>
  <c r="Q380" i="4" s="1"/>
  <c r="F372" i="4"/>
  <c r="U372" i="4" a="1"/>
  <c r="U372" i="4" s="1"/>
  <c r="T372" i="4" a="1"/>
  <c r="T372" i="4" s="1"/>
  <c r="S372" i="4" a="1"/>
  <c r="S372" i="4" s="1"/>
  <c r="R372" i="4" a="1"/>
  <c r="R372" i="4" s="1"/>
  <c r="Q372" i="4" a="1"/>
  <c r="Q372" i="4" s="1"/>
  <c r="F364" i="4"/>
  <c r="U364" i="4" a="1"/>
  <c r="U364" i="4" s="1"/>
  <c r="T364" i="4" a="1"/>
  <c r="T364" i="4" s="1"/>
  <c r="S364" i="4" a="1"/>
  <c r="S364" i="4" s="1"/>
  <c r="R364" i="4" a="1"/>
  <c r="R364" i="4" s="1"/>
  <c r="Q364" i="4" a="1"/>
  <c r="Q364" i="4" s="1"/>
  <c r="F348" i="4"/>
  <c r="U348" i="4" a="1"/>
  <c r="U348" i="4" s="1"/>
  <c r="T348" i="4" a="1"/>
  <c r="T348" i="4" s="1"/>
  <c r="R348" i="4" a="1"/>
  <c r="R348" i="4" s="1"/>
  <c r="S348" i="4" a="1"/>
  <c r="S348" i="4" s="1"/>
  <c r="Q348" i="4" a="1"/>
  <c r="Q348" i="4" s="1"/>
  <c r="M338" i="4" a="1"/>
  <c r="M338" i="4" s="1"/>
  <c r="V833" i="25" s="1"/>
  <c r="AI833" i="25" s="1"/>
  <c r="S833" i="25"/>
  <c r="F330" i="4"/>
  <c r="N825" i="25" s="1"/>
  <c r="U330" i="4" a="1"/>
  <c r="U330" i="4" s="1"/>
  <c r="AD825" i="25" s="1"/>
  <c r="T330" i="4" a="1"/>
  <c r="T330" i="4" s="1"/>
  <c r="AC825" i="25" s="1"/>
  <c r="R330" i="4" a="1"/>
  <c r="R330" i="4" s="1"/>
  <c r="S330" i="4" a="1"/>
  <c r="S330" i="4" s="1"/>
  <c r="AB825" i="25" s="1"/>
  <c r="Q330" i="4" a="1"/>
  <c r="Q330" i="4" s="1"/>
  <c r="Z825" i="25" s="1"/>
  <c r="M825" i="25"/>
  <c r="U306" i="4" a="1"/>
  <c r="U306" i="4" s="1"/>
  <c r="T306" i="4" a="1"/>
  <c r="T306" i="4" s="1"/>
  <c r="AC801" i="25" s="1"/>
  <c r="R306" i="4" a="1"/>
  <c r="R306" i="4" s="1"/>
  <c r="AA801" i="25" s="1"/>
  <c r="S306" i="4" a="1"/>
  <c r="S306" i="4" s="1"/>
  <c r="AB801" i="25" s="1"/>
  <c r="Q306" i="4" a="1"/>
  <c r="Q306" i="4" s="1"/>
  <c r="M801" i="25"/>
  <c r="U290" i="4" a="1"/>
  <c r="U290" i="4" s="1"/>
  <c r="AD785" i="25" s="1"/>
  <c r="T290" i="4" a="1"/>
  <c r="T290" i="4" s="1"/>
  <c r="AC785" i="25" s="1"/>
  <c r="R290" i="4" a="1"/>
  <c r="R290" i="4" s="1"/>
  <c r="S290" i="4" a="1"/>
  <c r="S290" i="4" s="1"/>
  <c r="AB785" i="25" s="1"/>
  <c r="Q290" i="4" a="1"/>
  <c r="Q290" i="4" s="1"/>
  <c r="Z785" i="25" s="1"/>
  <c r="M785" i="25"/>
  <c r="U274" i="4" a="1"/>
  <c r="U274" i="4" s="1"/>
  <c r="AD769" i="25" s="1"/>
  <c r="T274" i="4" a="1"/>
  <c r="T274" i="4" s="1"/>
  <c r="AC769" i="25" s="1"/>
  <c r="R274" i="4" a="1"/>
  <c r="R274" i="4" s="1"/>
  <c r="AA769" i="25" s="1"/>
  <c r="S274" i="4" a="1"/>
  <c r="S274" i="4" s="1"/>
  <c r="AB769" i="25" s="1"/>
  <c r="Q274" i="4" a="1"/>
  <c r="Q274" i="4" s="1"/>
  <c r="M769" i="25"/>
  <c r="U266" i="4" a="1"/>
  <c r="U266" i="4" s="1"/>
  <c r="AD761" i="25" s="1"/>
  <c r="T266" i="4" a="1"/>
  <c r="T266" i="4" s="1"/>
  <c r="AC761" i="25" s="1"/>
  <c r="R266" i="4" a="1"/>
  <c r="R266" i="4" s="1"/>
  <c r="AA761" i="25" s="1"/>
  <c r="S266" i="4" a="1"/>
  <c r="S266" i="4" s="1"/>
  <c r="AB761" i="25" s="1"/>
  <c r="Q266" i="4" a="1"/>
  <c r="Q266" i="4" s="1"/>
  <c r="Z761" i="25" s="1"/>
  <c r="M761" i="25"/>
  <c r="U242" i="4" a="1"/>
  <c r="U242" i="4" s="1"/>
  <c r="T242" i="4" a="1"/>
  <c r="T242" i="4" s="1"/>
  <c r="AC737" i="25" s="1"/>
  <c r="R242" i="4" a="1"/>
  <c r="R242" i="4" s="1"/>
  <c r="AA737" i="25" s="1"/>
  <c r="S242" i="4" a="1"/>
  <c r="S242" i="4" s="1"/>
  <c r="AB737" i="25" s="1"/>
  <c r="Q242" i="4" a="1"/>
  <c r="Q242" i="4" s="1"/>
  <c r="M737" i="25"/>
  <c r="F471" i="4"/>
  <c r="N919" i="25" s="1"/>
  <c r="U471" i="4" a="1"/>
  <c r="U471" i="4" s="1"/>
  <c r="T471" i="4" a="1"/>
  <c r="T471" i="4" s="1"/>
  <c r="Q471" i="4" a="1"/>
  <c r="Q471" i="4" s="1"/>
  <c r="R471" i="4" a="1"/>
  <c r="R471" i="4" s="1"/>
  <c r="F373" i="4"/>
  <c r="N871" i="25" s="1"/>
  <c r="U373" i="4" a="1"/>
  <c r="U373" i="4" s="1"/>
  <c r="T373" i="4" a="1"/>
  <c r="T373" i="4" s="1"/>
  <c r="S373" i="4" a="1"/>
  <c r="S373" i="4" s="1"/>
  <c r="R373" i="4" a="1"/>
  <c r="R373" i="4" s="1"/>
  <c r="Q373" i="4" a="1"/>
  <c r="Q373" i="4" s="1"/>
  <c r="F267" i="4"/>
  <c r="N762" i="25" s="1"/>
  <c r="U267" i="4" a="1"/>
  <c r="U267" i="4" s="1"/>
  <c r="AD762" i="25" s="1"/>
  <c r="R267" i="4" a="1"/>
  <c r="R267" i="4" s="1"/>
  <c r="AA762" i="25" s="1"/>
  <c r="T267" i="4" a="1"/>
  <c r="T267" i="4" s="1"/>
  <c r="S267" i="4" a="1"/>
  <c r="S267" i="4" s="1"/>
  <c r="AB762" i="25" s="1"/>
  <c r="Q267" i="4" a="1"/>
  <c r="Q267" i="4" s="1"/>
  <c r="Z762" i="25" s="1"/>
  <c r="M762" i="25"/>
  <c r="F494" i="4"/>
  <c r="U494" i="4" a="1"/>
  <c r="U494" i="4" s="1"/>
  <c r="T494" i="4" a="1"/>
  <c r="T494" i="4" s="1"/>
  <c r="Q494" i="4" a="1"/>
  <c r="Q494" i="4" s="1"/>
  <c r="R494" i="4" a="1"/>
  <c r="R494" i="4" s="1"/>
  <c r="S494" i="4" a="1"/>
  <c r="S494" i="4" s="1"/>
  <c r="M258" i="4" a="1"/>
  <c r="M258" i="4" s="1"/>
  <c r="V753" i="25" s="1"/>
  <c r="AI753" i="25" s="1"/>
  <c r="S753" i="25"/>
  <c r="M250" i="4" a="1"/>
  <c r="M250" i="4" s="1"/>
  <c r="V745" i="25" s="1"/>
  <c r="AI745" i="25" s="1"/>
  <c r="S745" i="25"/>
  <c r="U322" i="4" a="1"/>
  <c r="U322" i="4" s="1"/>
  <c r="AD817" i="25" s="1"/>
  <c r="T322" i="4" a="1"/>
  <c r="T322" i="4" s="1"/>
  <c r="AC817" i="25" s="1"/>
  <c r="R322" i="4" a="1"/>
  <c r="R322" i="4" s="1"/>
  <c r="AA817" i="25" s="1"/>
  <c r="S322" i="4" a="1"/>
  <c r="S322" i="4" s="1"/>
  <c r="AB817" i="25" s="1"/>
  <c r="Q322" i="4" a="1"/>
  <c r="Q322" i="4" s="1"/>
  <c r="Z817" i="25" s="1"/>
  <c r="M817" i="25"/>
  <c r="F493" i="4"/>
  <c r="U493" i="4" a="1"/>
  <c r="U493" i="4" s="1"/>
  <c r="T493" i="4" a="1"/>
  <c r="T493" i="4" s="1"/>
  <c r="S493" i="4" a="1"/>
  <c r="S493" i="4" s="1"/>
  <c r="R493" i="4" a="1"/>
  <c r="R493" i="4" s="1"/>
  <c r="Q493" i="4" a="1"/>
  <c r="Q493" i="4" s="1"/>
  <c r="F485" i="4"/>
  <c r="N933" i="25" s="1"/>
  <c r="U485" i="4" a="1"/>
  <c r="U485" i="4" s="1"/>
  <c r="T485" i="4" a="1"/>
  <c r="T485" i="4" s="1"/>
  <c r="S485" i="4" a="1"/>
  <c r="S485" i="4" s="1"/>
  <c r="R485" i="4" a="1"/>
  <c r="R485" i="4" s="1"/>
  <c r="Q485" i="4" a="1"/>
  <c r="Q485" i="4" s="1"/>
  <c r="F477" i="4"/>
  <c r="U477" i="4" a="1"/>
  <c r="U477" i="4" s="1"/>
  <c r="T477" i="4" a="1"/>
  <c r="T477" i="4" s="1"/>
  <c r="S477" i="4" a="1"/>
  <c r="S477" i="4" s="1"/>
  <c r="R477" i="4" a="1"/>
  <c r="R477" i="4" s="1"/>
  <c r="Q477" i="4" a="1"/>
  <c r="Q477" i="4" s="1"/>
  <c r="F469" i="4"/>
  <c r="U469" i="4" a="1"/>
  <c r="U469" i="4" s="1"/>
  <c r="T469" i="4" a="1"/>
  <c r="T469" i="4" s="1"/>
  <c r="S469" i="4" a="1"/>
  <c r="S469" i="4" s="1"/>
  <c r="R469" i="4" a="1"/>
  <c r="R469" i="4" s="1"/>
  <c r="Q469" i="4" a="1"/>
  <c r="Q469" i="4" s="1"/>
  <c r="F461" i="4"/>
  <c r="U461" i="4" a="1"/>
  <c r="U461" i="4" s="1"/>
  <c r="T461" i="4" a="1"/>
  <c r="T461" i="4" s="1"/>
  <c r="S461" i="4" a="1"/>
  <c r="S461" i="4" s="1"/>
  <c r="R461" i="4" a="1"/>
  <c r="R461" i="4" s="1"/>
  <c r="Q461" i="4" a="1"/>
  <c r="Q461" i="4" s="1"/>
  <c r="F453" i="4"/>
  <c r="U453" i="4" a="1"/>
  <c r="U453" i="4" s="1"/>
  <c r="T453" i="4" a="1"/>
  <c r="T453" i="4" s="1"/>
  <c r="S453" i="4" a="1"/>
  <c r="S453" i="4" s="1"/>
  <c r="R453" i="4" a="1"/>
  <c r="R453" i="4" s="1"/>
  <c r="Q453" i="4" a="1"/>
  <c r="Q453" i="4" s="1"/>
  <c r="F395" i="4"/>
  <c r="U395" i="4" a="1"/>
  <c r="U395" i="4" s="1"/>
  <c r="T395" i="4" a="1"/>
  <c r="T395" i="4" s="1"/>
  <c r="S395" i="4" a="1"/>
  <c r="S395" i="4" s="1"/>
  <c r="R395" i="4" a="1"/>
  <c r="R395" i="4" s="1"/>
  <c r="Q395" i="4" a="1"/>
  <c r="Q395" i="4" s="1"/>
  <c r="F387" i="4"/>
  <c r="U387" i="4" a="1"/>
  <c r="U387" i="4" s="1"/>
  <c r="T387" i="4" a="1"/>
  <c r="T387" i="4" s="1"/>
  <c r="S387" i="4" a="1"/>
  <c r="S387" i="4" s="1"/>
  <c r="R387" i="4" a="1"/>
  <c r="R387" i="4" s="1"/>
  <c r="Q387" i="4" a="1"/>
  <c r="Q387" i="4" s="1"/>
  <c r="F379" i="4"/>
  <c r="U379" i="4" a="1"/>
  <c r="U379" i="4" s="1"/>
  <c r="T379" i="4" a="1"/>
  <c r="T379" i="4" s="1"/>
  <c r="S379" i="4" a="1"/>
  <c r="S379" i="4" s="1"/>
  <c r="R379" i="4" a="1"/>
  <c r="R379" i="4" s="1"/>
  <c r="Q379" i="4" a="1"/>
  <c r="Q379" i="4" s="1"/>
  <c r="F371" i="4"/>
  <c r="N869" i="25" s="1"/>
  <c r="U371" i="4" a="1"/>
  <c r="U371" i="4" s="1"/>
  <c r="S371" i="4" a="1"/>
  <c r="S371" i="4" s="1"/>
  <c r="R371" i="4" a="1"/>
  <c r="R371" i="4" s="1"/>
  <c r="T371" i="4" a="1"/>
  <c r="T371" i="4" s="1"/>
  <c r="Q371" i="4" a="1"/>
  <c r="Q371" i="4" s="1"/>
  <c r="F363" i="4"/>
  <c r="U363" i="4" a="1"/>
  <c r="U363" i="4" s="1"/>
  <c r="S363" i="4" a="1"/>
  <c r="S363" i="4" s="1"/>
  <c r="T363" i="4" a="1"/>
  <c r="T363" i="4" s="1"/>
  <c r="R363" i="4" a="1"/>
  <c r="R363" i="4" s="1"/>
  <c r="Q363" i="4" a="1"/>
  <c r="Q363" i="4" s="1"/>
  <c r="F355" i="4"/>
  <c r="U355" i="4" a="1"/>
  <c r="U355" i="4" s="1"/>
  <c r="S355" i="4" a="1"/>
  <c r="S355" i="4" s="1"/>
  <c r="T355" i="4" a="1"/>
  <c r="T355" i="4" s="1"/>
  <c r="R355" i="4" a="1"/>
  <c r="R355" i="4" s="1"/>
  <c r="Q355" i="4" a="1"/>
  <c r="Q355" i="4" s="1"/>
  <c r="F347" i="4"/>
  <c r="U347" i="4" a="1"/>
  <c r="U347" i="4" s="1"/>
  <c r="R347" i="4" a="1"/>
  <c r="R347" i="4" s="1"/>
  <c r="S347" i="4" a="1"/>
  <c r="S347" i="4" s="1"/>
  <c r="T347" i="4" a="1"/>
  <c r="T347" i="4" s="1"/>
  <c r="Q347" i="4" a="1"/>
  <c r="Q347" i="4" s="1"/>
  <c r="F337" i="4"/>
  <c r="N832" i="25" s="1"/>
  <c r="U337" i="4" a="1"/>
  <c r="U337" i="4" s="1"/>
  <c r="AD832" i="25" s="1"/>
  <c r="T337" i="4" a="1"/>
  <c r="T337" i="4" s="1"/>
  <c r="AC832" i="25" s="1"/>
  <c r="S337" i="4" a="1"/>
  <c r="S337" i="4" s="1"/>
  <c r="AB832" i="25" s="1"/>
  <c r="Q337" i="4" a="1"/>
  <c r="Q337" i="4" s="1"/>
  <c r="Z832" i="25" s="1"/>
  <c r="R337" i="4" a="1"/>
  <c r="R337" i="4" s="1"/>
  <c r="AA832" i="25" s="1"/>
  <c r="M832" i="25"/>
  <c r="F329" i="4"/>
  <c r="N824" i="25" s="1"/>
  <c r="U329" i="4" a="1"/>
  <c r="U329" i="4" s="1"/>
  <c r="AD824" i="25" s="1"/>
  <c r="T329" i="4" a="1"/>
  <c r="T329" i="4" s="1"/>
  <c r="AC824" i="25" s="1"/>
  <c r="S329" i="4" a="1"/>
  <c r="S329" i="4" s="1"/>
  <c r="R329" i="4" a="1"/>
  <c r="R329" i="4" s="1"/>
  <c r="AA824" i="25" s="1"/>
  <c r="Q329" i="4" a="1"/>
  <c r="Q329" i="4" s="1"/>
  <c r="Z824" i="25" s="1"/>
  <c r="M824" i="25"/>
  <c r="F321" i="4"/>
  <c r="N816" i="25" s="1"/>
  <c r="U321" i="4" a="1"/>
  <c r="U321" i="4" s="1"/>
  <c r="AD816" i="25" s="1"/>
  <c r="T321" i="4" a="1"/>
  <c r="T321" i="4" s="1"/>
  <c r="AC816" i="25" s="1"/>
  <c r="S321" i="4" a="1"/>
  <c r="S321" i="4" s="1"/>
  <c r="AB816" i="25" s="1"/>
  <c r="Q321" i="4" a="1"/>
  <c r="Q321" i="4" s="1"/>
  <c r="R321" i="4" a="1"/>
  <c r="R321" i="4" s="1"/>
  <c r="AA816" i="25" s="1"/>
  <c r="M816" i="25"/>
  <c r="F313" i="4"/>
  <c r="N808" i="25" s="1"/>
  <c r="U313" i="4" a="1"/>
  <c r="U313" i="4" s="1"/>
  <c r="T313" i="4" a="1"/>
  <c r="T313" i="4" s="1"/>
  <c r="AC808" i="25" s="1"/>
  <c r="S313" i="4" a="1"/>
  <c r="S313" i="4" s="1"/>
  <c r="AB808" i="25" s="1"/>
  <c r="Q313" i="4" a="1"/>
  <c r="Q313" i="4" s="1"/>
  <c r="Z808" i="25" s="1"/>
  <c r="R313" i="4" a="1"/>
  <c r="R313" i="4" s="1"/>
  <c r="M808" i="25"/>
  <c r="F305" i="4"/>
  <c r="N800" i="25" s="1"/>
  <c r="U305" i="4" a="1"/>
  <c r="U305" i="4" s="1"/>
  <c r="AD800" i="25" s="1"/>
  <c r="T305" i="4" a="1"/>
  <c r="T305" i="4" s="1"/>
  <c r="AC800" i="25" s="1"/>
  <c r="S305" i="4" a="1"/>
  <c r="S305" i="4" s="1"/>
  <c r="AB800" i="25" s="1"/>
  <c r="R305" i="4" a="1"/>
  <c r="R305" i="4" s="1"/>
  <c r="AA800" i="25" s="1"/>
  <c r="Q305" i="4" a="1"/>
  <c r="Q305" i="4" s="1"/>
  <c r="Z800" i="25" s="1"/>
  <c r="M800" i="25"/>
  <c r="F297" i="4"/>
  <c r="N792" i="25" s="1"/>
  <c r="U297" i="4" a="1"/>
  <c r="U297" i="4" s="1"/>
  <c r="AD792" i="25" s="1"/>
  <c r="T297" i="4" a="1"/>
  <c r="T297" i="4" s="1"/>
  <c r="AC792" i="25" s="1"/>
  <c r="S297" i="4" a="1"/>
  <c r="S297" i="4" s="1"/>
  <c r="Q297" i="4" a="1"/>
  <c r="Q297" i="4" s="1"/>
  <c r="Z792" i="25" s="1"/>
  <c r="M792" i="25"/>
  <c r="R297" i="4" a="1"/>
  <c r="R297" i="4" s="1"/>
  <c r="AA792" i="25" s="1"/>
  <c r="U289" i="4" a="1"/>
  <c r="U289" i="4" s="1"/>
  <c r="T289" i="4" a="1"/>
  <c r="T289" i="4" s="1"/>
  <c r="AC784" i="25" s="1"/>
  <c r="S289" i="4" a="1"/>
  <c r="S289" i="4" s="1"/>
  <c r="AB784" i="25" s="1"/>
  <c r="R289" i="4" a="1"/>
  <c r="R289" i="4" s="1"/>
  <c r="AA784" i="25" s="1"/>
  <c r="Q289" i="4" a="1"/>
  <c r="Q289" i="4" s="1"/>
  <c r="M784" i="25"/>
  <c r="F281" i="4"/>
  <c r="N776" i="25" s="1"/>
  <c r="U281" i="4" a="1"/>
  <c r="U281" i="4" s="1"/>
  <c r="AD776" i="25" s="1"/>
  <c r="T281" i="4" a="1"/>
  <c r="T281" i="4" s="1"/>
  <c r="S281" i="4" a="1"/>
  <c r="S281" i="4" s="1"/>
  <c r="AB776" i="25" s="1"/>
  <c r="R281" i="4" a="1"/>
  <c r="R281" i="4" s="1"/>
  <c r="Q281" i="4" a="1"/>
  <c r="Q281" i="4" s="1"/>
  <c r="Z776" i="25" s="1"/>
  <c r="M776" i="25"/>
  <c r="F273" i="4"/>
  <c r="N768" i="25" s="1"/>
  <c r="U273" i="4" a="1"/>
  <c r="U273" i="4" s="1"/>
  <c r="AD768" i="25" s="1"/>
  <c r="T273" i="4" a="1"/>
  <c r="T273" i="4" s="1"/>
  <c r="AC768" i="25" s="1"/>
  <c r="S273" i="4" a="1"/>
  <c r="S273" i="4" s="1"/>
  <c r="Q273" i="4" a="1"/>
  <c r="Q273" i="4" s="1"/>
  <c r="Z768" i="25" s="1"/>
  <c r="R273" i="4" a="1"/>
  <c r="R273" i="4" s="1"/>
  <c r="AA768" i="25" s="1"/>
  <c r="M768" i="25"/>
  <c r="F265" i="4"/>
  <c r="N760" i="25" s="1"/>
  <c r="U265" i="4" a="1"/>
  <c r="U265" i="4" s="1"/>
  <c r="AD760" i="25" s="1"/>
  <c r="S265" i="4" a="1"/>
  <c r="S265" i="4" s="1"/>
  <c r="AB760" i="25" s="1"/>
  <c r="T265" i="4" a="1"/>
  <c r="T265" i="4" s="1"/>
  <c r="AC760" i="25" s="1"/>
  <c r="R265" i="4" a="1"/>
  <c r="R265" i="4" s="1"/>
  <c r="Q265" i="4" a="1"/>
  <c r="Q265" i="4" s="1"/>
  <c r="Z760" i="25" s="1"/>
  <c r="M760" i="25"/>
  <c r="F257" i="4"/>
  <c r="N752" i="25" s="1"/>
  <c r="U257" i="4" a="1"/>
  <c r="U257" i="4" s="1"/>
  <c r="AD752" i="25" s="1"/>
  <c r="S257" i="4" a="1"/>
  <c r="S257" i="4" s="1"/>
  <c r="AB752" i="25" s="1"/>
  <c r="T257" i="4" a="1"/>
  <c r="T257" i="4" s="1"/>
  <c r="AC752" i="25" s="1"/>
  <c r="Q257" i="4" a="1"/>
  <c r="Q257" i="4" s="1"/>
  <c r="Z752" i="25" s="1"/>
  <c r="M752" i="25"/>
  <c r="R257" i="4" a="1"/>
  <c r="R257" i="4" s="1"/>
  <c r="AA752" i="25" s="1"/>
  <c r="F249" i="4"/>
  <c r="N744" i="25" s="1"/>
  <c r="U249" i="4" a="1"/>
  <c r="U249" i="4" s="1"/>
  <c r="AD744" i="25" s="1"/>
  <c r="S249" i="4" a="1"/>
  <c r="S249" i="4" s="1"/>
  <c r="AB744" i="25" s="1"/>
  <c r="T249" i="4" a="1"/>
  <c r="T249" i="4" s="1"/>
  <c r="AC744" i="25" s="1"/>
  <c r="Q249" i="4" a="1"/>
  <c r="Q249" i="4" s="1"/>
  <c r="Z744" i="25" s="1"/>
  <c r="R249" i="4" a="1"/>
  <c r="R249" i="4" s="1"/>
  <c r="AA744" i="25" s="1"/>
  <c r="M744" i="25"/>
  <c r="U241" i="4" a="1"/>
  <c r="U241" i="4" s="1"/>
  <c r="AD736" i="25" s="1"/>
  <c r="S241" i="4" a="1"/>
  <c r="S241" i="4" s="1"/>
  <c r="AB736" i="25" s="1"/>
  <c r="T241" i="4" a="1"/>
  <c r="T241" i="4" s="1"/>
  <c r="AC736" i="25" s="1"/>
  <c r="R241" i="4" a="1"/>
  <c r="R241" i="4" s="1"/>
  <c r="AA736" i="25" s="1"/>
  <c r="Q241" i="4" a="1"/>
  <c r="Q241" i="4" s="1"/>
  <c r="Z736" i="25" s="1"/>
  <c r="M736" i="25"/>
  <c r="F233" i="4"/>
  <c r="N728" i="25" s="1"/>
  <c r="U233" i="4" a="1"/>
  <c r="U233" i="4" s="1"/>
  <c r="S233" i="4" a="1"/>
  <c r="S233" i="4" s="1"/>
  <c r="AB728" i="25" s="1"/>
  <c r="T233" i="4" a="1"/>
  <c r="T233" i="4" s="1"/>
  <c r="AC728" i="25" s="1"/>
  <c r="Q233" i="4" a="1"/>
  <c r="Q233" i="4" s="1"/>
  <c r="Z728" i="25" s="1"/>
  <c r="M728" i="25"/>
  <c r="F495" i="4"/>
  <c r="N943" i="25" s="1"/>
  <c r="U495" i="4" a="1"/>
  <c r="U495" i="4" s="1"/>
  <c r="T495" i="4" a="1"/>
  <c r="T495" i="4" s="1"/>
  <c r="Q495" i="4" a="1"/>
  <c r="Q495" i="4" s="1"/>
  <c r="R495" i="4" a="1"/>
  <c r="R495" i="4" s="1"/>
  <c r="S495" i="4" a="1"/>
  <c r="S495" i="4" s="1"/>
  <c r="M282" i="4" a="1"/>
  <c r="M282" i="4" s="1"/>
  <c r="V777" i="25" s="1"/>
  <c r="AI777" i="25" s="1"/>
  <c r="S777" i="25"/>
  <c r="M234" i="4" a="1"/>
  <c r="M234" i="4" s="1"/>
  <c r="V729" i="25" s="1"/>
  <c r="AI729" i="25" s="1"/>
  <c r="S729" i="25"/>
  <c r="F500" i="4"/>
  <c r="U500" i="4" a="1"/>
  <c r="U500" i="4" s="1"/>
  <c r="T500" i="4" a="1"/>
  <c r="T500" i="4" s="1"/>
  <c r="S500" i="4" a="1"/>
  <c r="S500" i="4" s="1"/>
  <c r="R500" i="4" a="1"/>
  <c r="R500" i="4" s="1"/>
  <c r="Q500" i="4" a="1"/>
  <c r="Q500" i="4" s="1"/>
  <c r="F492" i="4"/>
  <c r="U492" i="4" a="1"/>
  <c r="U492" i="4" s="1"/>
  <c r="T492" i="4" a="1"/>
  <c r="T492" i="4" s="1"/>
  <c r="R492" i="4" a="1"/>
  <c r="R492" i="4" s="1"/>
  <c r="S492" i="4" a="1"/>
  <c r="S492" i="4" s="1"/>
  <c r="Q492" i="4" a="1"/>
  <c r="Q492" i="4" s="1"/>
  <c r="F484" i="4"/>
  <c r="U484" i="4" a="1"/>
  <c r="U484" i="4" s="1"/>
  <c r="T484" i="4" a="1"/>
  <c r="T484" i="4" s="1"/>
  <c r="R484" i="4" a="1"/>
  <c r="R484" i="4" s="1"/>
  <c r="S484" i="4" a="1"/>
  <c r="S484" i="4" s="1"/>
  <c r="F476" i="4"/>
  <c r="U476" i="4" a="1"/>
  <c r="U476" i="4" s="1"/>
  <c r="T476" i="4" a="1"/>
  <c r="T476" i="4" s="1"/>
  <c r="R476" i="4" a="1"/>
  <c r="R476" i="4" s="1"/>
  <c r="S476" i="4" a="1"/>
  <c r="S476" i="4" s="1"/>
  <c r="Q476" i="4" a="1"/>
  <c r="Q476" i="4" s="1"/>
  <c r="F468" i="4"/>
  <c r="N916" i="25" s="1"/>
  <c r="U468" i="4" a="1"/>
  <c r="U468" i="4" s="1"/>
  <c r="T468" i="4" a="1"/>
  <c r="T468" i="4" s="1"/>
  <c r="R468" i="4" a="1"/>
  <c r="R468" i="4" s="1"/>
  <c r="S468" i="4" a="1"/>
  <c r="S468" i="4" s="1"/>
  <c r="Q468" i="4" a="1"/>
  <c r="Q468" i="4" s="1"/>
  <c r="F460" i="4"/>
  <c r="U460" i="4" a="1"/>
  <c r="U460" i="4" s="1"/>
  <c r="T460" i="4" a="1"/>
  <c r="T460" i="4" s="1"/>
  <c r="S460" i="4" a="1"/>
  <c r="S460" i="4" s="1"/>
  <c r="R460" i="4" a="1"/>
  <c r="R460" i="4" s="1"/>
  <c r="Q460" i="4" a="1"/>
  <c r="Q460" i="4" s="1"/>
  <c r="F452" i="4"/>
  <c r="U452" i="4" a="1"/>
  <c r="U452" i="4" s="1"/>
  <c r="T452" i="4" a="1"/>
  <c r="T452" i="4" s="1"/>
  <c r="S452" i="4" a="1"/>
  <c r="S452" i="4" s="1"/>
  <c r="R452" i="4" a="1"/>
  <c r="R452" i="4" s="1"/>
  <c r="F394" i="4"/>
  <c r="U394" i="4" a="1"/>
  <c r="U394" i="4" s="1"/>
  <c r="T394" i="4" a="1"/>
  <c r="T394" i="4" s="1"/>
  <c r="S394" i="4" a="1"/>
  <c r="S394" i="4" s="1"/>
  <c r="Q394" i="4" a="1"/>
  <c r="Q394" i="4" s="1"/>
  <c r="R394" i="4" a="1"/>
  <c r="R394" i="4" s="1"/>
  <c r="F386" i="4"/>
  <c r="U386" i="4" a="1"/>
  <c r="U386" i="4" s="1"/>
  <c r="T386" i="4" a="1"/>
  <c r="T386" i="4" s="1"/>
  <c r="S386" i="4" a="1"/>
  <c r="S386" i="4" s="1"/>
  <c r="Q386" i="4" a="1"/>
  <c r="Q386" i="4" s="1"/>
  <c r="R386" i="4" a="1"/>
  <c r="R386" i="4" s="1"/>
  <c r="F378" i="4"/>
  <c r="U378" i="4" a="1"/>
  <c r="U378" i="4" s="1"/>
  <c r="T378" i="4" a="1"/>
  <c r="T378" i="4" s="1"/>
  <c r="S378" i="4" a="1"/>
  <c r="S378" i="4" s="1"/>
  <c r="Q378" i="4" a="1"/>
  <c r="Q378" i="4" s="1"/>
  <c r="R378" i="4" a="1"/>
  <c r="R378" i="4" s="1"/>
  <c r="F370" i="4"/>
  <c r="U370" i="4" a="1"/>
  <c r="U370" i="4" s="1"/>
  <c r="T370" i="4" a="1"/>
  <c r="T370" i="4" s="1"/>
  <c r="S370" i="4" a="1"/>
  <c r="S370" i="4" s="1"/>
  <c r="Q370" i="4" a="1"/>
  <c r="Q370" i="4" s="1"/>
  <c r="R370" i="4" a="1"/>
  <c r="R370" i="4" s="1"/>
  <c r="F362" i="4"/>
  <c r="U362" i="4" a="1"/>
  <c r="U362" i="4" s="1"/>
  <c r="T362" i="4" a="1"/>
  <c r="T362" i="4" s="1"/>
  <c r="S362" i="4" a="1"/>
  <c r="S362" i="4" s="1"/>
  <c r="Q362" i="4" a="1"/>
  <c r="Q362" i="4" s="1"/>
  <c r="R362" i="4" a="1"/>
  <c r="R362" i="4" s="1"/>
  <c r="F354" i="4"/>
  <c r="U354" i="4" a="1"/>
  <c r="U354" i="4" s="1"/>
  <c r="T354" i="4" a="1"/>
  <c r="T354" i="4" s="1"/>
  <c r="S354" i="4" a="1"/>
  <c r="S354" i="4" s="1"/>
  <c r="Q354" i="4" a="1"/>
  <c r="Q354" i="4" s="1"/>
  <c r="R354" i="4" a="1"/>
  <c r="R354" i="4" s="1"/>
  <c r="F346" i="4"/>
  <c r="U346" i="4" a="1"/>
  <c r="U346" i="4" s="1"/>
  <c r="T346" i="4" a="1"/>
  <c r="T346" i="4" s="1"/>
  <c r="S346" i="4" a="1"/>
  <c r="S346" i="4" s="1"/>
  <c r="R346" i="4" a="1"/>
  <c r="R346" i="4" s="1"/>
  <c r="Q346" i="4" a="1"/>
  <c r="Q346" i="4" s="1"/>
  <c r="X266" i="4" a="1"/>
  <c r="X266" i="4" s="1"/>
  <c r="AG761" i="25" s="1"/>
  <c r="F336" i="4"/>
  <c r="N831" i="25" s="1"/>
  <c r="T336" i="4" a="1"/>
  <c r="T336" i="4" s="1"/>
  <c r="AC831" i="25" s="1"/>
  <c r="U336" i="4" a="1"/>
  <c r="U336" i="4" s="1"/>
  <c r="AD831" i="25" s="1"/>
  <c r="S336" i="4" a="1"/>
  <c r="S336" i="4" s="1"/>
  <c r="AB831" i="25" s="1"/>
  <c r="Q336" i="4" a="1"/>
  <c r="Q336" i="4" s="1"/>
  <c r="Z831" i="25" s="1"/>
  <c r="R336" i="4" a="1"/>
  <c r="R336" i="4" s="1"/>
  <c r="AA831" i="25" s="1"/>
  <c r="M831" i="25"/>
  <c r="F328" i="4"/>
  <c r="N823" i="25" s="1"/>
  <c r="T328" i="4" a="1"/>
  <c r="T328" i="4" s="1"/>
  <c r="AC823" i="25" s="1"/>
  <c r="U328" i="4" a="1"/>
  <c r="U328" i="4" s="1"/>
  <c r="AD823" i="25" s="1"/>
  <c r="S328" i="4" a="1"/>
  <c r="S328" i="4" s="1"/>
  <c r="AB823" i="25" s="1"/>
  <c r="R328" i="4" a="1"/>
  <c r="R328" i="4" s="1"/>
  <c r="AA823" i="25" s="1"/>
  <c r="Q328" i="4" a="1"/>
  <c r="Q328" i="4" s="1"/>
  <c r="Z823" i="25" s="1"/>
  <c r="M823" i="25"/>
  <c r="U320" i="4" a="1"/>
  <c r="U320" i="4" s="1"/>
  <c r="T320" i="4" a="1"/>
  <c r="T320" i="4" s="1"/>
  <c r="AC815" i="25" s="1"/>
  <c r="S320" i="4" a="1"/>
  <c r="S320" i="4" s="1"/>
  <c r="AB815" i="25" s="1"/>
  <c r="Q320" i="4" a="1"/>
  <c r="Q320" i="4" s="1"/>
  <c r="Z815" i="25" s="1"/>
  <c r="M815" i="25"/>
  <c r="F312" i="4"/>
  <c r="N807" i="25" s="1"/>
  <c r="U312" i="4" a="1"/>
  <c r="U312" i="4" s="1"/>
  <c r="AD807" i="25" s="1"/>
  <c r="T312" i="4" a="1"/>
  <c r="T312" i="4" s="1"/>
  <c r="AC807" i="25" s="1"/>
  <c r="S312" i="4" a="1"/>
  <c r="S312" i="4" s="1"/>
  <c r="Q312" i="4" a="1"/>
  <c r="Q312" i="4" s="1"/>
  <c r="Z807" i="25" s="1"/>
  <c r="R312" i="4" a="1"/>
  <c r="R312" i="4" s="1"/>
  <c r="AA807" i="25" s="1"/>
  <c r="M807" i="25"/>
  <c r="F304" i="4"/>
  <c r="N799" i="25" s="1"/>
  <c r="U304" i="4" a="1"/>
  <c r="U304" i="4" s="1"/>
  <c r="AD799" i="25" s="1"/>
  <c r="T304" i="4" a="1"/>
  <c r="T304" i="4" s="1"/>
  <c r="AC799" i="25" s="1"/>
  <c r="S304" i="4" a="1"/>
  <c r="S304" i="4" s="1"/>
  <c r="AB799" i="25" s="1"/>
  <c r="R304" i="4" a="1"/>
  <c r="R304" i="4" s="1"/>
  <c r="Q304" i="4" a="1"/>
  <c r="Q304" i="4" s="1"/>
  <c r="Z799" i="25" s="1"/>
  <c r="M799" i="25"/>
  <c r="U296" i="4" a="1"/>
  <c r="U296" i="4" s="1"/>
  <c r="AD791" i="25" s="1"/>
  <c r="T296" i="4" a="1"/>
  <c r="T296" i="4" s="1"/>
  <c r="S296" i="4" a="1"/>
  <c r="S296" i="4" s="1"/>
  <c r="AB791" i="25" s="1"/>
  <c r="Q296" i="4" a="1"/>
  <c r="Q296" i="4" s="1"/>
  <c r="Z791" i="25" s="1"/>
  <c r="R296" i="4" a="1"/>
  <c r="R296" i="4" s="1"/>
  <c r="AA791" i="25" s="1"/>
  <c r="M791" i="25"/>
  <c r="U288" i="4" a="1"/>
  <c r="U288" i="4" s="1"/>
  <c r="AD783" i="25" s="1"/>
  <c r="T288" i="4" a="1"/>
  <c r="T288" i="4" s="1"/>
  <c r="AC783" i="25" s="1"/>
  <c r="S288" i="4" a="1"/>
  <c r="S288" i="4" s="1"/>
  <c r="AB783" i="25" s="1"/>
  <c r="R288" i="4" a="1"/>
  <c r="R288" i="4" s="1"/>
  <c r="AA783" i="25" s="1"/>
  <c r="Q288" i="4" a="1"/>
  <c r="Q288" i="4" s="1"/>
  <c r="Z783" i="25" s="1"/>
  <c r="M783" i="25"/>
  <c r="F280" i="4"/>
  <c r="N775" i="25" s="1"/>
  <c r="S280" i="4" a="1"/>
  <c r="S280" i="4" s="1"/>
  <c r="T280" i="4" a="1"/>
  <c r="T280" i="4" s="1"/>
  <c r="AC775" i="25" s="1"/>
  <c r="U280" i="4" a="1"/>
  <c r="U280" i="4" s="1"/>
  <c r="AD775" i="25" s="1"/>
  <c r="Q280" i="4" a="1"/>
  <c r="Q280" i="4" s="1"/>
  <c r="Z775" i="25" s="1"/>
  <c r="M775" i="25"/>
  <c r="R280" i="4" a="1"/>
  <c r="R280" i="4" s="1"/>
  <c r="AA775" i="25" s="1"/>
  <c r="X272" i="4" a="1"/>
  <c r="X272" i="4" s="1"/>
  <c r="AG767" i="25" s="1"/>
  <c r="S272" i="4" a="1"/>
  <c r="S272" i="4" s="1"/>
  <c r="AB767" i="25" s="1"/>
  <c r="T272" i="4" a="1"/>
  <c r="T272" i="4" s="1"/>
  <c r="U272" i="4" a="1"/>
  <c r="U272" i="4" s="1"/>
  <c r="AD767" i="25" s="1"/>
  <c r="Q272" i="4" a="1"/>
  <c r="Q272" i="4" s="1"/>
  <c r="Z767" i="25" s="1"/>
  <c r="R272" i="4" a="1"/>
  <c r="R272" i="4" s="1"/>
  <c r="AA767" i="25" s="1"/>
  <c r="M767" i="25"/>
  <c r="S264" i="4" a="1"/>
  <c r="S264" i="4" s="1"/>
  <c r="AB759" i="25" s="1"/>
  <c r="T264" i="4" a="1"/>
  <c r="T264" i="4" s="1"/>
  <c r="AC759" i="25" s="1"/>
  <c r="U264" i="4" a="1"/>
  <c r="U264" i="4" s="1"/>
  <c r="AD759" i="25" s="1"/>
  <c r="R264" i="4" a="1"/>
  <c r="R264" i="4" s="1"/>
  <c r="Q264" i="4" a="1"/>
  <c r="Q264" i="4" s="1"/>
  <c r="Z759" i="25" s="1"/>
  <c r="M759" i="25"/>
  <c r="F256" i="4"/>
  <c r="N751" i="25" s="1"/>
  <c r="S256" i="4" a="1"/>
  <c r="S256" i="4" s="1"/>
  <c r="AB751" i="25" s="1"/>
  <c r="U256" i="4" a="1"/>
  <c r="U256" i="4" s="1"/>
  <c r="AD751" i="25" s="1"/>
  <c r="T256" i="4" a="1"/>
  <c r="T256" i="4" s="1"/>
  <c r="AC751" i="25" s="1"/>
  <c r="Q256" i="4" a="1"/>
  <c r="Q256" i="4" s="1"/>
  <c r="Z751" i="25" s="1"/>
  <c r="M751" i="25"/>
  <c r="R256" i="4" a="1"/>
  <c r="R256" i="4" s="1"/>
  <c r="AA751" i="25" s="1"/>
  <c r="S248" i="4" a="1"/>
  <c r="S248" i="4" s="1"/>
  <c r="AB743" i="25" s="1"/>
  <c r="U248" i="4" a="1"/>
  <c r="U248" i="4" s="1"/>
  <c r="AD743" i="25" s="1"/>
  <c r="T248" i="4" a="1"/>
  <c r="T248" i="4" s="1"/>
  <c r="AC743" i="25" s="1"/>
  <c r="Q248" i="4" a="1"/>
  <c r="Q248" i="4" s="1"/>
  <c r="Z743" i="25" s="1"/>
  <c r="R248" i="4" a="1"/>
  <c r="R248" i="4" s="1"/>
  <c r="AA743" i="25" s="1"/>
  <c r="M743" i="25"/>
  <c r="F240" i="4"/>
  <c r="N735" i="25" s="1"/>
  <c r="S240" i="4" a="1"/>
  <c r="S240" i="4" s="1"/>
  <c r="AB735" i="25" s="1"/>
  <c r="U240" i="4" a="1"/>
  <c r="U240" i="4" s="1"/>
  <c r="AD735" i="25" s="1"/>
  <c r="T240" i="4" a="1"/>
  <c r="T240" i="4" s="1"/>
  <c r="AC735" i="25" s="1"/>
  <c r="R240" i="4" a="1"/>
  <c r="R240" i="4" s="1"/>
  <c r="AA735" i="25" s="1"/>
  <c r="Q240" i="4" a="1"/>
  <c r="Q240" i="4" s="1"/>
  <c r="Z735" i="25" s="1"/>
  <c r="M735" i="25"/>
  <c r="U232" i="4" a="1"/>
  <c r="U232" i="4" s="1"/>
  <c r="AD727" i="25" s="1"/>
  <c r="S232" i="4" a="1"/>
  <c r="S232" i="4" s="1"/>
  <c r="T232" i="4" a="1"/>
  <c r="T232" i="4" s="1"/>
  <c r="AC727" i="25" s="1"/>
  <c r="Q232" i="4" a="1"/>
  <c r="Q232" i="4" s="1"/>
  <c r="Z727" i="25" s="1"/>
  <c r="R232" i="4" a="1"/>
  <c r="R232" i="4" s="1"/>
  <c r="AA727" i="25" s="1"/>
  <c r="M727" i="25"/>
  <c r="F275" i="4"/>
  <c r="N770" i="25" s="1"/>
  <c r="U275" i="4" a="1"/>
  <c r="U275" i="4" s="1"/>
  <c r="AD770" i="25" s="1"/>
  <c r="R275" i="4" a="1"/>
  <c r="R275" i="4" s="1"/>
  <c r="AA770" i="25" s="1"/>
  <c r="T275" i="4" a="1"/>
  <c r="T275" i="4" s="1"/>
  <c r="S275" i="4" a="1"/>
  <c r="S275" i="4" s="1"/>
  <c r="AB770" i="25" s="1"/>
  <c r="Q275" i="4" a="1"/>
  <c r="Q275" i="4" s="1"/>
  <c r="Z770" i="25" s="1"/>
  <c r="M770" i="25"/>
  <c r="M242" i="4" a="1"/>
  <c r="M242" i="4" s="1"/>
  <c r="V737" i="25" s="1"/>
  <c r="AI737" i="25" s="1"/>
  <c r="S737" i="25"/>
  <c r="U298" i="4" a="1"/>
  <c r="U298" i="4" s="1"/>
  <c r="AD793" i="25" s="1"/>
  <c r="T298" i="4" a="1"/>
  <c r="T298" i="4" s="1"/>
  <c r="AC793" i="25" s="1"/>
  <c r="R298" i="4" a="1"/>
  <c r="R298" i="4" s="1"/>
  <c r="AA793" i="25" s="1"/>
  <c r="S298" i="4" a="1"/>
  <c r="S298" i="4" s="1"/>
  <c r="AB793" i="25" s="1"/>
  <c r="Q298" i="4" a="1"/>
  <c r="Q298" i="4" s="1"/>
  <c r="Z793" i="25" s="1"/>
  <c r="M793" i="25"/>
  <c r="U499" i="4" a="1"/>
  <c r="U499" i="4" s="1"/>
  <c r="S499" i="4" a="1"/>
  <c r="S499" i="4" s="1"/>
  <c r="R499" i="4" a="1"/>
  <c r="R499" i="4" s="1"/>
  <c r="T499" i="4" a="1"/>
  <c r="T499" i="4" s="1"/>
  <c r="Q499" i="4" a="1"/>
  <c r="Q499" i="4" s="1"/>
  <c r="U491" i="4" a="1"/>
  <c r="U491" i="4" s="1"/>
  <c r="S491" i="4" a="1"/>
  <c r="S491" i="4" s="1"/>
  <c r="T491" i="4" a="1"/>
  <c r="T491" i="4" s="1"/>
  <c r="R491" i="4" a="1"/>
  <c r="R491" i="4" s="1"/>
  <c r="Q491" i="4" a="1"/>
  <c r="Q491" i="4" s="1"/>
  <c r="U483" i="4" a="1"/>
  <c r="U483" i="4" s="1"/>
  <c r="S483" i="4" a="1"/>
  <c r="S483" i="4" s="1"/>
  <c r="T483" i="4" a="1"/>
  <c r="T483" i="4" s="1"/>
  <c r="R483" i="4" a="1"/>
  <c r="R483" i="4" s="1"/>
  <c r="Q483" i="4" a="1"/>
  <c r="Q483" i="4" s="1"/>
  <c r="U475" i="4" a="1"/>
  <c r="U475" i="4" s="1"/>
  <c r="S475" i="4" a="1"/>
  <c r="S475" i="4" s="1"/>
  <c r="T475" i="4" a="1"/>
  <c r="T475" i="4" s="1"/>
  <c r="R475" i="4" a="1"/>
  <c r="R475" i="4" s="1"/>
  <c r="Q475" i="4" a="1"/>
  <c r="Q475" i="4" s="1"/>
  <c r="U467" i="4" a="1"/>
  <c r="U467" i="4" s="1"/>
  <c r="T467" i="4" a="1"/>
  <c r="T467" i="4" s="1"/>
  <c r="S467" i="4" a="1"/>
  <c r="S467" i="4" s="1"/>
  <c r="R467" i="4" a="1"/>
  <c r="R467" i="4" s="1"/>
  <c r="Q467" i="4" a="1"/>
  <c r="Q467" i="4" s="1"/>
  <c r="U459" i="4" a="1"/>
  <c r="U459" i="4" s="1"/>
  <c r="T459" i="4" a="1"/>
  <c r="T459" i="4" s="1"/>
  <c r="S459" i="4" a="1"/>
  <c r="S459" i="4" s="1"/>
  <c r="R459" i="4" a="1"/>
  <c r="R459" i="4" s="1"/>
  <c r="Q459" i="4" a="1"/>
  <c r="Q459" i="4" s="1"/>
  <c r="U401" i="4" a="1"/>
  <c r="U401" i="4" s="1"/>
  <c r="T401" i="4" a="1"/>
  <c r="T401" i="4" s="1"/>
  <c r="S401" i="4" a="1"/>
  <c r="S401" i="4" s="1"/>
  <c r="Q401" i="4" a="1"/>
  <c r="Q401" i="4" s="1"/>
  <c r="U393" i="4" a="1"/>
  <c r="U393" i="4" s="1"/>
  <c r="T393" i="4" a="1"/>
  <c r="T393" i="4" s="1"/>
  <c r="S393" i="4" a="1"/>
  <c r="S393" i="4" s="1"/>
  <c r="Q393" i="4" a="1"/>
  <c r="Q393" i="4" s="1"/>
  <c r="R393" i="4" a="1"/>
  <c r="R393" i="4" s="1"/>
  <c r="U385" i="4" a="1"/>
  <c r="U385" i="4" s="1"/>
  <c r="T385" i="4" a="1"/>
  <c r="T385" i="4" s="1"/>
  <c r="S385" i="4" a="1"/>
  <c r="S385" i="4" s="1"/>
  <c r="Q385" i="4" a="1"/>
  <c r="Q385" i="4" s="1"/>
  <c r="R385" i="4" a="1"/>
  <c r="R385" i="4" s="1"/>
  <c r="U377" i="4" a="1"/>
  <c r="U377" i="4" s="1"/>
  <c r="T377" i="4" a="1"/>
  <c r="T377" i="4" s="1"/>
  <c r="S377" i="4" a="1"/>
  <c r="S377" i="4" s="1"/>
  <c r="Q377" i="4" a="1"/>
  <c r="Q377" i="4" s="1"/>
  <c r="R377" i="4" a="1"/>
  <c r="R377" i="4" s="1"/>
  <c r="U369" i="4" a="1"/>
  <c r="U369" i="4" s="1"/>
  <c r="T369" i="4" a="1"/>
  <c r="T369" i="4" s="1"/>
  <c r="S369" i="4" a="1"/>
  <c r="S369" i="4" s="1"/>
  <c r="Q369" i="4" a="1"/>
  <c r="Q369" i="4" s="1"/>
  <c r="U361" i="4" a="1"/>
  <c r="U361" i="4" s="1"/>
  <c r="T361" i="4" a="1"/>
  <c r="T361" i="4" s="1"/>
  <c r="S361" i="4" a="1"/>
  <c r="S361" i="4" s="1"/>
  <c r="Q361" i="4" a="1"/>
  <c r="Q361" i="4" s="1"/>
  <c r="R361" i="4" a="1"/>
  <c r="R361" i="4" s="1"/>
  <c r="U353" i="4" a="1"/>
  <c r="U353" i="4" s="1"/>
  <c r="T353" i="4" a="1"/>
  <c r="T353" i="4" s="1"/>
  <c r="S353" i="4" a="1"/>
  <c r="S353" i="4" s="1"/>
  <c r="Q353" i="4" a="1"/>
  <c r="Q353" i="4" s="1"/>
  <c r="R353" i="4" a="1"/>
  <c r="R353" i="4" s="1"/>
  <c r="U345" i="4" a="1"/>
  <c r="U345" i="4" s="1"/>
  <c r="T345" i="4" a="1"/>
  <c r="T345" i="4" s="1"/>
  <c r="S345" i="4" a="1"/>
  <c r="S345" i="4" s="1"/>
  <c r="R345" i="4" a="1"/>
  <c r="R345" i="4" s="1"/>
  <c r="Q345" i="4" a="1"/>
  <c r="Q345" i="4" s="1"/>
  <c r="F335" i="4"/>
  <c r="N830" i="25" s="1"/>
  <c r="U335" i="4" a="1"/>
  <c r="U335" i="4" s="1"/>
  <c r="AD830" i="25" s="1"/>
  <c r="T335" i="4" a="1"/>
  <c r="T335" i="4" s="1"/>
  <c r="AC830" i="25" s="1"/>
  <c r="R335" i="4" a="1"/>
  <c r="R335" i="4" s="1"/>
  <c r="AA830" i="25" s="1"/>
  <c r="Q335" i="4" a="1"/>
  <c r="Q335" i="4" s="1"/>
  <c r="Z830" i="25" s="1"/>
  <c r="S335" i="4" a="1"/>
  <c r="S335" i="4" s="1"/>
  <c r="AB830" i="25" s="1"/>
  <c r="F327" i="4"/>
  <c r="N822" i="25" s="1"/>
  <c r="U327" i="4" a="1"/>
  <c r="U327" i="4" s="1"/>
  <c r="AD822" i="25" s="1"/>
  <c r="T327" i="4" a="1"/>
  <c r="T327" i="4" s="1"/>
  <c r="AC822" i="25" s="1"/>
  <c r="R327" i="4" a="1"/>
  <c r="R327" i="4" s="1"/>
  <c r="AA822" i="25" s="1"/>
  <c r="Q327" i="4" a="1"/>
  <c r="Q327" i="4" s="1"/>
  <c r="Z822" i="25" s="1"/>
  <c r="S327" i="4" a="1"/>
  <c r="S327" i="4" s="1"/>
  <c r="AB822" i="25" s="1"/>
  <c r="U319" i="4" a="1"/>
  <c r="U319" i="4" s="1"/>
  <c r="AD814" i="25" s="1"/>
  <c r="T319" i="4" a="1"/>
  <c r="T319" i="4" s="1"/>
  <c r="AC814" i="25" s="1"/>
  <c r="R319" i="4" a="1"/>
  <c r="R319" i="4" s="1"/>
  <c r="AA814" i="25" s="1"/>
  <c r="S319" i="4" a="1"/>
  <c r="S319" i="4" s="1"/>
  <c r="AB814" i="25" s="1"/>
  <c r="Q319" i="4" a="1"/>
  <c r="Q319" i="4" s="1"/>
  <c r="Z814" i="25" s="1"/>
  <c r="U311" i="4" a="1"/>
  <c r="U311" i="4" s="1"/>
  <c r="AD806" i="25" s="1"/>
  <c r="T311" i="4" a="1"/>
  <c r="T311" i="4" s="1"/>
  <c r="AC806" i="25" s="1"/>
  <c r="R311" i="4" a="1"/>
  <c r="R311" i="4" s="1"/>
  <c r="AA806" i="25" s="1"/>
  <c r="S311" i="4" a="1"/>
  <c r="S311" i="4" s="1"/>
  <c r="AB806" i="25" s="1"/>
  <c r="Q311" i="4" a="1"/>
  <c r="Q311" i="4" s="1"/>
  <c r="Z806" i="25" s="1"/>
  <c r="U303" i="4" a="1"/>
  <c r="U303" i="4" s="1"/>
  <c r="AD798" i="25" s="1"/>
  <c r="T303" i="4" a="1"/>
  <c r="T303" i="4" s="1"/>
  <c r="AC798" i="25" s="1"/>
  <c r="R303" i="4" a="1"/>
  <c r="R303" i="4" s="1"/>
  <c r="AA798" i="25" s="1"/>
  <c r="Q303" i="4" a="1"/>
  <c r="Q303" i="4" s="1"/>
  <c r="Z798" i="25" s="1"/>
  <c r="S303" i="4" a="1"/>
  <c r="S303" i="4" s="1"/>
  <c r="AB798" i="25" s="1"/>
  <c r="F295" i="4"/>
  <c r="N790" i="25" s="1"/>
  <c r="U295" i="4" a="1"/>
  <c r="U295" i="4" s="1"/>
  <c r="AD790" i="25" s="1"/>
  <c r="T295" i="4" a="1"/>
  <c r="T295" i="4" s="1"/>
  <c r="AC790" i="25" s="1"/>
  <c r="R295" i="4" a="1"/>
  <c r="R295" i="4" s="1"/>
  <c r="AA790" i="25" s="1"/>
  <c r="Q295" i="4" a="1"/>
  <c r="Q295" i="4" s="1"/>
  <c r="Z790" i="25" s="1"/>
  <c r="S295" i="4" a="1"/>
  <c r="S295" i="4" s="1"/>
  <c r="AB790" i="25" s="1"/>
  <c r="F287" i="4"/>
  <c r="N782" i="25" s="1"/>
  <c r="U287" i="4" a="1"/>
  <c r="U287" i="4" s="1"/>
  <c r="AD782" i="25" s="1"/>
  <c r="T287" i="4" a="1"/>
  <c r="T287" i="4" s="1"/>
  <c r="AC782" i="25" s="1"/>
  <c r="R287" i="4" a="1"/>
  <c r="R287" i="4" s="1"/>
  <c r="AA782" i="25" s="1"/>
  <c r="Q287" i="4" a="1"/>
  <c r="Q287" i="4" s="1"/>
  <c r="Z782" i="25" s="1"/>
  <c r="S287" i="4" a="1"/>
  <c r="S287" i="4" s="1"/>
  <c r="AB782" i="25" s="1"/>
  <c r="F279" i="4"/>
  <c r="N774" i="25" s="1"/>
  <c r="U279" i="4" a="1"/>
  <c r="U279" i="4" s="1"/>
  <c r="AD774" i="25" s="1"/>
  <c r="T279" i="4" a="1"/>
  <c r="T279" i="4" s="1"/>
  <c r="AC774" i="25" s="1"/>
  <c r="S279" i="4" a="1"/>
  <c r="S279" i="4" s="1"/>
  <c r="AB774" i="25" s="1"/>
  <c r="R279" i="4" a="1"/>
  <c r="R279" i="4" s="1"/>
  <c r="AA774" i="25" s="1"/>
  <c r="Q279" i="4" a="1"/>
  <c r="Q279" i="4" s="1"/>
  <c r="Z774" i="25" s="1"/>
  <c r="U271" i="4" a="1"/>
  <c r="U271" i="4" s="1"/>
  <c r="AD766" i="25" s="1"/>
  <c r="T271" i="4" a="1"/>
  <c r="T271" i="4" s="1"/>
  <c r="AC766" i="25" s="1"/>
  <c r="S271" i="4" a="1"/>
  <c r="S271" i="4" s="1"/>
  <c r="AB766" i="25" s="1"/>
  <c r="R271" i="4" a="1"/>
  <c r="R271" i="4" s="1"/>
  <c r="AA766" i="25" s="1"/>
  <c r="Q271" i="4" a="1"/>
  <c r="Q271" i="4" s="1"/>
  <c r="Z766" i="25" s="1"/>
  <c r="F263" i="4"/>
  <c r="N758" i="25" s="1"/>
  <c r="U263" i="4" a="1"/>
  <c r="U263" i="4" s="1"/>
  <c r="AD758" i="25" s="1"/>
  <c r="T263" i="4" a="1"/>
  <c r="T263" i="4" s="1"/>
  <c r="AC758" i="25" s="1"/>
  <c r="S263" i="4" a="1"/>
  <c r="S263" i="4" s="1"/>
  <c r="AB758" i="25" s="1"/>
  <c r="R263" i="4" a="1"/>
  <c r="R263" i="4" s="1"/>
  <c r="AA758" i="25" s="1"/>
  <c r="Q263" i="4" a="1"/>
  <c r="Q263" i="4" s="1"/>
  <c r="Z758" i="25" s="1"/>
  <c r="F255" i="4"/>
  <c r="N750" i="25" s="1"/>
  <c r="U255" i="4" a="1"/>
  <c r="U255" i="4" s="1"/>
  <c r="AD750" i="25" s="1"/>
  <c r="T255" i="4" a="1"/>
  <c r="T255" i="4" s="1"/>
  <c r="AC750" i="25" s="1"/>
  <c r="S255" i="4" a="1"/>
  <c r="S255" i="4" s="1"/>
  <c r="AB750" i="25" s="1"/>
  <c r="R255" i="4" a="1"/>
  <c r="R255" i="4" s="1"/>
  <c r="AA750" i="25" s="1"/>
  <c r="Q255" i="4" a="1"/>
  <c r="Q255" i="4" s="1"/>
  <c r="Z750" i="25" s="1"/>
  <c r="U247" i="4" a="1"/>
  <c r="U247" i="4" s="1"/>
  <c r="AD742" i="25" s="1"/>
  <c r="T247" i="4" a="1"/>
  <c r="T247" i="4" s="1"/>
  <c r="AC742" i="25" s="1"/>
  <c r="S247" i="4" a="1"/>
  <c r="S247" i="4" s="1"/>
  <c r="R247" i="4" a="1"/>
  <c r="R247" i="4" s="1"/>
  <c r="Q247" i="4" a="1"/>
  <c r="Q247" i="4" s="1"/>
  <c r="Z742" i="25" s="1"/>
  <c r="F239" i="4"/>
  <c r="N734" i="25" s="1"/>
  <c r="U239" i="4" a="1"/>
  <c r="U239" i="4" s="1"/>
  <c r="AD734" i="25" s="1"/>
  <c r="T239" i="4" a="1"/>
  <c r="T239" i="4" s="1"/>
  <c r="AC734" i="25" s="1"/>
  <c r="S239" i="4" a="1"/>
  <c r="S239" i="4" s="1"/>
  <c r="AB734" i="25" s="1"/>
  <c r="R239" i="4" a="1"/>
  <c r="R239" i="4" s="1"/>
  <c r="AA734" i="25" s="1"/>
  <c r="Q239" i="4" a="1"/>
  <c r="Q239" i="4" s="1"/>
  <c r="Z734" i="25" s="1"/>
  <c r="F231" i="4"/>
  <c r="N726" i="25" s="1"/>
  <c r="U231" i="4" a="1"/>
  <c r="U231" i="4" s="1"/>
  <c r="AD726" i="25" s="1"/>
  <c r="T231" i="4" a="1"/>
  <c r="T231" i="4" s="1"/>
  <c r="AC726" i="25" s="1"/>
  <c r="R231" i="4" a="1"/>
  <c r="R231" i="4" s="1"/>
  <c r="AA726" i="25" s="1"/>
  <c r="S231" i="4" a="1"/>
  <c r="S231" i="4" s="1"/>
  <c r="AB726" i="25" s="1"/>
  <c r="Q231" i="4" a="1"/>
  <c r="Q231" i="4" s="1"/>
  <c r="M782" i="25"/>
  <c r="R369" i="4" a="1"/>
  <c r="R369" i="4" s="1"/>
  <c r="F479" i="4"/>
  <c r="N927" i="25" s="1"/>
  <c r="U479" i="4" a="1"/>
  <c r="U479" i="4" s="1"/>
  <c r="T479" i="4" a="1"/>
  <c r="T479" i="4" s="1"/>
  <c r="S479" i="4" a="1"/>
  <c r="S479" i="4" s="1"/>
  <c r="Q479" i="4" a="1"/>
  <c r="Q479" i="4" s="1"/>
  <c r="R479" i="4" a="1"/>
  <c r="R479" i="4" s="1"/>
  <c r="F283" i="4"/>
  <c r="N778" i="25" s="1"/>
  <c r="U283" i="4" a="1"/>
  <c r="U283" i="4" s="1"/>
  <c r="AD778" i="25" s="1"/>
  <c r="R283" i="4" a="1"/>
  <c r="R283" i="4" s="1"/>
  <c r="AA778" i="25" s="1"/>
  <c r="S283" i="4" a="1"/>
  <c r="S283" i="4" s="1"/>
  <c r="AB778" i="25" s="1"/>
  <c r="T283" i="4" a="1"/>
  <c r="T283" i="4" s="1"/>
  <c r="AC778" i="25" s="1"/>
  <c r="Q283" i="4" a="1"/>
  <c r="Q283" i="4" s="1"/>
  <c r="Z778" i="25" s="1"/>
  <c r="M778" i="25"/>
  <c r="F478" i="4"/>
  <c r="U478" i="4" a="1"/>
  <c r="U478" i="4" s="1"/>
  <c r="T478" i="4" a="1"/>
  <c r="T478" i="4" s="1"/>
  <c r="S478" i="4" a="1"/>
  <c r="S478" i="4" s="1"/>
  <c r="Q478" i="4" a="1"/>
  <c r="Q478" i="4" s="1"/>
  <c r="R478" i="4" a="1"/>
  <c r="R478" i="4" s="1"/>
  <c r="F454" i="4"/>
  <c r="U454" i="4" a="1"/>
  <c r="U454" i="4" s="1"/>
  <c r="T454" i="4" a="1"/>
  <c r="T454" i="4" s="1"/>
  <c r="S454" i="4" a="1"/>
  <c r="S454" i="4" s="1"/>
  <c r="Q454" i="4" a="1"/>
  <c r="Q454" i="4" s="1"/>
  <c r="R454" i="4" a="1"/>
  <c r="R454" i="4" s="1"/>
  <c r="F388" i="4"/>
  <c r="N886" i="25" s="1"/>
  <c r="U388" i="4" a="1"/>
  <c r="U388" i="4" s="1"/>
  <c r="T388" i="4" a="1"/>
  <c r="T388" i="4" s="1"/>
  <c r="S388" i="4" a="1"/>
  <c r="S388" i="4" s="1"/>
  <c r="R388" i="4" a="1"/>
  <c r="R388" i="4" s="1"/>
  <c r="F356" i="4"/>
  <c r="U356" i="4" a="1"/>
  <c r="U356" i="4" s="1"/>
  <c r="T356" i="4" a="1"/>
  <c r="T356" i="4" s="1"/>
  <c r="S356" i="4" a="1"/>
  <c r="S356" i="4" s="1"/>
  <c r="R356" i="4" a="1"/>
  <c r="R356" i="4" s="1"/>
  <c r="U250" i="4" a="1"/>
  <c r="U250" i="4" s="1"/>
  <c r="AD745" i="25" s="1"/>
  <c r="T250" i="4" a="1"/>
  <c r="T250" i="4" s="1"/>
  <c r="AC745" i="25" s="1"/>
  <c r="R250" i="4" a="1"/>
  <c r="R250" i="4" s="1"/>
  <c r="AA745" i="25" s="1"/>
  <c r="S250" i="4" a="1"/>
  <c r="S250" i="4" s="1"/>
  <c r="AB745" i="25" s="1"/>
  <c r="Q250" i="4" a="1"/>
  <c r="Q250" i="4" s="1"/>
  <c r="Z745" i="25" s="1"/>
  <c r="M745" i="25"/>
  <c r="F498" i="4"/>
  <c r="N946" i="25" s="1"/>
  <c r="U498" i="4" a="1"/>
  <c r="U498" i="4" s="1"/>
  <c r="T498" i="4" a="1"/>
  <c r="T498" i="4" s="1"/>
  <c r="S498" i="4" a="1"/>
  <c r="S498" i="4" s="1"/>
  <c r="Q498" i="4" a="1"/>
  <c r="Q498" i="4" s="1"/>
  <c r="R498" i="4" a="1"/>
  <c r="R498" i="4" s="1"/>
  <c r="F490" i="4"/>
  <c r="N938" i="25" s="1"/>
  <c r="U490" i="4" a="1"/>
  <c r="U490" i="4" s="1"/>
  <c r="T490" i="4" a="1"/>
  <c r="T490" i="4" s="1"/>
  <c r="S490" i="4" a="1"/>
  <c r="S490" i="4" s="1"/>
  <c r="Q490" i="4" a="1"/>
  <c r="Q490" i="4" s="1"/>
  <c r="R490" i="4" a="1"/>
  <c r="R490" i="4" s="1"/>
  <c r="F482" i="4"/>
  <c r="N930" i="25" s="1"/>
  <c r="U482" i="4" a="1"/>
  <c r="U482" i="4" s="1"/>
  <c r="T482" i="4" a="1"/>
  <c r="T482" i="4" s="1"/>
  <c r="S482" i="4" a="1"/>
  <c r="S482" i="4" s="1"/>
  <c r="Q482" i="4" a="1"/>
  <c r="Q482" i="4" s="1"/>
  <c r="R482" i="4" a="1"/>
  <c r="R482" i="4" s="1"/>
  <c r="F474" i="4"/>
  <c r="N922" i="25" s="1"/>
  <c r="U474" i="4" a="1"/>
  <c r="U474" i="4" s="1"/>
  <c r="T474" i="4" a="1"/>
  <c r="T474" i="4" s="1"/>
  <c r="S474" i="4" a="1"/>
  <c r="S474" i="4" s="1"/>
  <c r="Q474" i="4" a="1"/>
  <c r="Q474" i="4" s="1"/>
  <c r="R474" i="4" a="1"/>
  <c r="R474" i="4" s="1"/>
  <c r="F466" i="4"/>
  <c r="N914" i="25" s="1"/>
  <c r="U466" i="4" a="1"/>
  <c r="U466" i="4" s="1"/>
  <c r="T466" i="4" a="1"/>
  <c r="T466" i="4" s="1"/>
  <c r="S466" i="4" a="1"/>
  <c r="S466" i="4" s="1"/>
  <c r="Q466" i="4" a="1"/>
  <c r="Q466" i="4" s="1"/>
  <c r="R466" i="4" a="1"/>
  <c r="R466" i="4" s="1"/>
  <c r="F458" i="4"/>
  <c r="N906" i="25" s="1"/>
  <c r="U458" i="4" a="1"/>
  <c r="U458" i="4" s="1"/>
  <c r="T458" i="4" a="1"/>
  <c r="T458" i="4" s="1"/>
  <c r="S458" i="4" a="1"/>
  <c r="S458" i="4" s="1"/>
  <c r="Q458" i="4" a="1"/>
  <c r="Q458" i="4" s="1"/>
  <c r="R458" i="4" a="1"/>
  <c r="R458" i="4" s="1"/>
  <c r="F400" i="4"/>
  <c r="N898" i="25" s="1"/>
  <c r="T400" i="4" a="1"/>
  <c r="T400" i="4" s="1"/>
  <c r="U400" i="4" a="1"/>
  <c r="U400" i="4" s="1"/>
  <c r="S400" i="4" a="1"/>
  <c r="S400" i="4" s="1"/>
  <c r="Q400" i="4" a="1"/>
  <c r="Q400" i="4" s="1"/>
  <c r="R400" i="4" a="1"/>
  <c r="R400" i="4" s="1"/>
  <c r="F392" i="4"/>
  <c r="N890" i="25" s="1"/>
  <c r="T392" i="4" a="1"/>
  <c r="T392" i="4" s="1"/>
  <c r="U392" i="4" a="1"/>
  <c r="U392" i="4" s="1"/>
  <c r="S392" i="4" a="1"/>
  <c r="S392" i="4" s="1"/>
  <c r="Q392" i="4" a="1"/>
  <c r="Q392" i="4" s="1"/>
  <c r="R392" i="4" a="1"/>
  <c r="R392" i="4" s="1"/>
  <c r="F384" i="4"/>
  <c r="N882" i="25" s="1"/>
  <c r="U384" i="4" a="1"/>
  <c r="U384" i="4" s="1"/>
  <c r="T384" i="4" a="1"/>
  <c r="T384" i="4" s="1"/>
  <c r="S384" i="4" a="1"/>
  <c r="S384" i="4" s="1"/>
  <c r="Q384" i="4" a="1"/>
  <c r="Q384" i="4" s="1"/>
  <c r="R384" i="4" a="1"/>
  <c r="R384" i="4" s="1"/>
  <c r="F376" i="4"/>
  <c r="N874" i="25" s="1"/>
  <c r="U376" i="4" a="1"/>
  <c r="U376" i="4" s="1"/>
  <c r="T376" i="4" a="1"/>
  <c r="T376" i="4" s="1"/>
  <c r="S376" i="4" a="1"/>
  <c r="S376" i="4" s="1"/>
  <c r="Q376" i="4" a="1"/>
  <c r="Q376" i="4" s="1"/>
  <c r="R376" i="4" a="1"/>
  <c r="R376" i="4" s="1"/>
  <c r="F368" i="4"/>
  <c r="N866" i="25" s="1"/>
  <c r="U368" i="4" a="1"/>
  <c r="U368" i="4" s="1"/>
  <c r="T368" i="4" a="1"/>
  <c r="T368" i="4" s="1"/>
  <c r="S368" i="4" a="1"/>
  <c r="S368" i="4" s="1"/>
  <c r="Q368" i="4" a="1"/>
  <c r="Q368" i="4" s="1"/>
  <c r="R368" i="4" a="1"/>
  <c r="R368" i="4" s="1"/>
  <c r="F360" i="4"/>
  <c r="N858" i="25" s="1"/>
  <c r="U360" i="4" a="1"/>
  <c r="U360" i="4" s="1"/>
  <c r="T360" i="4" a="1"/>
  <c r="T360" i="4" s="1"/>
  <c r="S360" i="4" a="1"/>
  <c r="S360" i="4" s="1"/>
  <c r="Q360" i="4" a="1"/>
  <c r="Q360" i="4" s="1"/>
  <c r="R360" i="4" a="1"/>
  <c r="R360" i="4" s="1"/>
  <c r="F352" i="4"/>
  <c r="N850" i="25" s="1"/>
  <c r="U352" i="4" a="1"/>
  <c r="U352" i="4" s="1"/>
  <c r="T352" i="4" a="1"/>
  <c r="T352" i="4" s="1"/>
  <c r="S352" i="4" a="1"/>
  <c r="S352" i="4" s="1"/>
  <c r="Q352" i="4" a="1"/>
  <c r="Q352" i="4" s="1"/>
  <c r="R352" i="4" a="1"/>
  <c r="R352" i="4" s="1"/>
  <c r="F344" i="4"/>
  <c r="N842" i="25" s="1"/>
  <c r="T344" i="4" a="1"/>
  <c r="T344" i="4" s="1"/>
  <c r="S344" i="4" a="1"/>
  <c r="S344" i="4" s="1"/>
  <c r="U344" i="4" a="1"/>
  <c r="U344" i="4" s="1"/>
  <c r="Q344" i="4" a="1"/>
  <c r="Q344" i="4" s="1"/>
  <c r="R344" i="4" a="1"/>
  <c r="R344" i="4" s="1"/>
  <c r="F303" i="4"/>
  <c r="N798" i="25" s="1"/>
  <c r="X334" i="4" a="1"/>
  <c r="X334" i="4" s="1"/>
  <c r="AG829" i="25" s="1"/>
  <c r="U334" i="4" a="1"/>
  <c r="U334" i="4" s="1"/>
  <c r="AD829" i="25" s="1"/>
  <c r="T334" i="4" a="1"/>
  <c r="T334" i="4" s="1"/>
  <c r="AC829" i="25" s="1"/>
  <c r="S334" i="4" a="1"/>
  <c r="S334" i="4" s="1"/>
  <c r="AB829" i="25" s="1"/>
  <c r="Q334" i="4" a="1"/>
  <c r="Q334" i="4" s="1"/>
  <c r="Z829" i="25" s="1"/>
  <c r="R334" i="4" a="1"/>
  <c r="R334" i="4" s="1"/>
  <c r="AA829" i="25" s="1"/>
  <c r="M829" i="25"/>
  <c r="U326" i="4" a="1"/>
  <c r="U326" i="4" s="1"/>
  <c r="AD821" i="25" s="1"/>
  <c r="T326" i="4" a="1"/>
  <c r="T326" i="4" s="1"/>
  <c r="AC821" i="25" s="1"/>
  <c r="S326" i="4" a="1"/>
  <c r="S326" i="4" s="1"/>
  <c r="AB821" i="25" s="1"/>
  <c r="R326" i="4" a="1"/>
  <c r="R326" i="4" s="1"/>
  <c r="AA821" i="25" s="1"/>
  <c r="Q326" i="4" a="1"/>
  <c r="Q326" i="4" s="1"/>
  <c r="Z821" i="25" s="1"/>
  <c r="M821" i="25"/>
  <c r="X318" i="4" a="1"/>
  <c r="X318" i="4" s="1"/>
  <c r="AG813" i="25" s="1"/>
  <c r="U318" i="4" a="1"/>
  <c r="U318" i="4" s="1"/>
  <c r="AD813" i="25" s="1"/>
  <c r="T318" i="4" a="1"/>
  <c r="T318" i="4" s="1"/>
  <c r="AC813" i="25" s="1"/>
  <c r="S318" i="4" a="1"/>
  <c r="S318" i="4" s="1"/>
  <c r="AB813" i="25" s="1"/>
  <c r="Q318" i="4" a="1"/>
  <c r="Q318" i="4" s="1"/>
  <c r="Z813" i="25" s="1"/>
  <c r="R318" i="4" a="1"/>
  <c r="R318" i="4" s="1"/>
  <c r="M813" i="25"/>
  <c r="U310" i="4" a="1"/>
  <c r="U310" i="4" s="1"/>
  <c r="AD805" i="25" s="1"/>
  <c r="T310" i="4" a="1"/>
  <c r="T310" i="4" s="1"/>
  <c r="AC805" i="25" s="1"/>
  <c r="S310" i="4" a="1"/>
  <c r="S310" i="4" s="1"/>
  <c r="AB805" i="25" s="1"/>
  <c r="Q310" i="4" a="1"/>
  <c r="Q310" i="4" s="1"/>
  <c r="Z805" i="25" s="1"/>
  <c r="R310" i="4" a="1"/>
  <c r="R310" i="4" s="1"/>
  <c r="AA805" i="25" s="1"/>
  <c r="M805" i="25"/>
  <c r="U302" i="4" a="1"/>
  <c r="U302" i="4" s="1"/>
  <c r="T302" i="4" a="1"/>
  <c r="T302" i="4" s="1"/>
  <c r="AC797" i="25" s="1"/>
  <c r="S302" i="4" a="1"/>
  <c r="S302" i="4" s="1"/>
  <c r="AB797" i="25" s="1"/>
  <c r="Q302" i="4" a="1"/>
  <c r="Q302" i="4" s="1"/>
  <c r="Z797" i="25" s="1"/>
  <c r="R302" i="4" a="1"/>
  <c r="R302" i="4" s="1"/>
  <c r="AA797" i="25" s="1"/>
  <c r="M797" i="25"/>
  <c r="U294" i="4" a="1"/>
  <c r="U294" i="4" s="1"/>
  <c r="AD789" i="25" s="1"/>
  <c r="T294" i="4" a="1"/>
  <c r="T294" i="4" s="1"/>
  <c r="AC789" i="25" s="1"/>
  <c r="S294" i="4" a="1"/>
  <c r="S294" i="4" s="1"/>
  <c r="AB789" i="25" s="1"/>
  <c r="Q294" i="4" a="1"/>
  <c r="Q294" i="4" s="1"/>
  <c r="Z789" i="25" s="1"/>
  <c r="R294" i="4" a="1"/>
  <c r="R294" i="4" s="1"/>
  <c r="AA789" i="25" s="1"/>
  <c r="M789" i="25"/>
  <c r="U286" i="4" a="1"/>
  <c r="U286" i="4" s="1"/>
  <c r="AD781" i="25" s="1"/>
  <c r="T286" i="4" a="1"/>
  <c r="T286" i="4" s="1"/>
  <c r="AC781" i="25" s="1"/>
  <c r="S286" i="4" a="1"/>
  <c r="S286" i="4" s="1"/>
  <c r="AB781" i="25" s="1"/>
  <c r="Q286" i="4" a="1"/>
  <c r="Q286" i="4" s="1"/>
  <c r="Z781" i="25" s="1"/>
  <c r="R286" i="4" a="1"/>
  <c r="R286" i="4" s="1"/>
  <c r="AA781" i="25" s="1"/>
  <c r="M781" i="25"/>
  <c r="U278" i="4" a="1"/>
  <c r="U278" i="4" s="1"/>
  <c r="AD773" i="25" s="1"/>
  <c r="T278" i="4" a="1"/>
  <c r="T278" i="4" s="1"/>
  <c r="AC773" i="25" s="1"/>
  <c r="Q278" i="4" a="1"/>
  <c r="Q278" i="4" s="1"/>
  <c r="Z773" i="25" s="1"/>
  <c r="S278" i="4" a="1"/>
  <c r="S278" i="4" s="1"/>
  <c r="AB773" i="25" s="1"/>
  <c r="R278" i="4" a="1"/>
  <c r="R278" i="4" s="1"/>
  <c r="AA773" i="25" s="1"/>
  <c r="M773" i="25"/>
  <c r="X270" i="4" a="1"/>
  <c r="X270" i="4" s="1"/>
  <c r="AG765" i="25" s="1"/>
  <c r="U270" i="4" a="1"/>
  <c r="U270" i="4" s="1"/>
  <c r="AD765" i="25" s="1"/>
  <c r="T270" i="4" a="1"/>
  <c r="T270" i="4" s="1"/>
  <c r="AC765" i="25" s="1"/>
  <c r="S270" i="4" a="1"/>
  <c r="S270" i="4" s="1"/>
  <c r="AB765" i="25" s="1"/>
  <c r="Q270" i="4" a="1"/>
  <c r="Q270" i="4" s="1"/>
  <c r="Z765" i="25" s="1"/>
  <c r="R270" i="4" a="1"/>
  <c r="R270" i="4" s="1"/>
  <c r="AA765" i="25" s="1"/>
  <c r="M765" i="25"/>
  <c r="X262" i="4" a="1"/>
  <c r="X262" i="4" s="1"/>
  <c r="AG757" i="25" s="1"/>
  <c r="U262" i="4" a="1"/>
  <c r="U262" i="4" s="1"/>
  <c r="T262" i="4" a="1"/>
  <c r="T262" i="4" s="1"/>
  <c r="AC757" i="25" s="1"/>
  <c r="S262" i="4" a="1"/>
  <c r="S262" i="4" s="1"/>
  <c r="AB757" i="25" s="1"/>
  <c r="R262" i="4" a="1"/>
  <c r="R262" i="4" s="1"/>
  <c r="AA757" i="25" s="1"/>
  <c r="Q262" i="4" a="1"/>
  <c r="Q262" i="4" s="1"/>
  <c r="Z757" i="25" s="1"/>
  <c r="M757" i="25"/>
  <c r="X254" i="4" a="1"/>
  <c r="X254" i="4" s="1"/>
  <c r="AG749" i="25" s="1"/>
  <c r="U254" i="4" a="1"/>
  <c r="U254" i="4" s="1"/>
  <c r="AD749" i="25" s="1"/>
  <c r="T254" i="4" a="1"/>
  <c r="T254" i="4" s="1"/>
  <c r="AC749" i="25" s="1"/>
  <c r="Q254" i="4" a="1"/>
  <c r="Q254" i="4" s="1"/>
  <c r="Z749" i="25" s="1"/>
  <c r="S254" i="4" a="1"/>
  <c r="S254" i="4" s="1"/>
  <c r="AB749" i="25" s="1"/>
  <c r="R254" i="4" a="1"/>
  <c r="R254" i="4" s="1"/>
  <c r="AA749" i="25" s="1"/>
  <c r="M749" i="25"/>
  <c r="U246" i="4" a="1"/>
  <c r="U246" i="4" s="1"/>
  <c r="AD741" i="25" s="1"/>
  <c r="T246" i="4" a="1"/>
  <c r="T246" i="4" s="1"/>
  <c r="AC741" i="25" s="1"/>
  <c r="S246" i="4" a="1"/>
  <c r="S246" i="4" s="1"/>
  <c r="AB741" i="25" s="1"/>
  <c r="Q246" i="4" a="1"/>
  <c r="Q246" i="4" s="1"/>
  <c r="Z741" i="25" s="1"/>
  <c r="R246" i="4" a="1"/>
  <c r="R246" i="4" s="1"/>
  <c r="AA741" i="25" s="1"/>
  <c r="M741" i="25"/>
  <c r="U238" i="4" a="1"/>
  <c r="U238" i="4" s="1"/>
  <c r="AD733" i="25" s="1"/>
  <c r="T238" i="4" a="1"/>
  <c r="T238" i="4" s="1"/>
  <c r="AC733" i="25" s="1"/>
  <c r="S238" i="4" a="1"/>
  <c r="S238" i="4" s="1"/>
  <c r="AB733" i="25" s="1"/>
  <c r="Q238" i="4" a="1"/>
  <c r="Q238" i="4" s="1"/>
  <c r="Z733" i="25" s="1"/>
  <c r="R238" i="4" a="1"/>
  <c r="R238" i="4" s="1"/>
  <c r="AA733" i="25" s="1"/>
  <c r="M733" i="25"/>
  <c r="U230" i="4" a="1"/>
  <c r="U230" i="4" s="1"/>
  <c r="AD725" i="25" s="1"/>
  <c r="T230" i="4" a="1"/>
  <c r="T230" i="4" s="1"/>
  <c r="AC725" i="25" s="1"/>
  <c r="S230" i="4" a="1"/>
  <c r="S230" i="4" s="1"/>
  <c r="AB725" i="25" s="1"/>
  <c r="Q230" i="4" a="1"/>
  <c r="Q230" i="4" s="1"/>
  <c r="Z725" i="25" s="1"/>
  <c r="R230" i="4" a="1"/>
  <c r="R230" i="4" s="1"/>
  <c r="AA725" i="25" s="1"/>
  <c r="M725" i="25"/>
  <c r="U445" i="4" a="1"/>
  <c r="U445" i="4" s="1"/>
  <c r="T445" i="4" a="1"/>
  <c r="T445" i="4" s="1"/>
  <c r="S445" i="4" a="1"/>
  <c r="S445" i="4" s="1"/>
  <c r="R445" i="4" a="1"/>
  <c r="R445" i="4" s="1"/>
  <c r="Q445" i="4" a="1"/>
  <c r="Q445" i="4" s="1"/>
  <c r="U437" i="4" a="1"/>
  <c r="U437" i="4" s="1"/>
  <c r="T437" i="4" a="1"/>
  <c r="T437" i="4" s="1"/>
  <c r="S437" i="4" a="1"/>
  <c r="S437" i="4" s="1"/>
  <c r="R437" i="4" a="1"/>
  <c r="R437" i="4" s="1"/>
  <c r="Q437" i="4" a="1"/>
  <c r="Q437" i="4" s="1"/>
  <c r="F429" i="4"/>
  <c r="U429" i="4" a="1"/>
  <c r="U429" i="4" s="1"/>
  <c r="T429" i="4" a="1"/>
  <c r="T429" i="4" s="1"/>
  <c r="S429" i="4" a="1"/>
  <c r="S429" i="4" s="1"/>
  <c r="R429" i="4" a="1"/>
  <c r="R429" i="4" s="1"/>
  <c r="Q429" i="4" a="1"/>
  <c r="Q429" i="4" s="1"/>
  <c r="U421" i="4" a="1"/>
  <c r="U421" i="4" s="1"/>
  <c r="T421" i="4" a="1"/>
  <c r="T421" i="4" s="1"/>
  <c r="S421" i="4" a="1"/>
  <c r="S421" i="4" s="1"/>
  <c r="R421" i="4" a="1"/>
  <c r="R421" i="4" s="1"/>
  <c r="Q421" i="4" a="1"/>
  <c r="Q421" i="4" s="1"/>
  <c r="U413" i="4" a="1"/>
  <c r="U413" i="4" s="1"/>
  <c r="T413" i="4" a="1"/>
  <c r="T413" i="4" s="1"/>
  <c r="S413" i="4" a="1"/>
  <c r="S413" i="4" s="1"/>
  <c r="R413" i="4" a="1"/>
  <c r="R413" i="4" s="1"/>
  <c r="Q413" i="4" a="1"/>
  <c r="Q413" i="4" s="1"/>
  <c r="U405" i="4" a="1"/>
  <c r="U405" i="4" s="1"/>
  <c r="T405" i="4" a="1"/>
  <c r="T405" i="4" s="1"/>
  <c r="S405" i="4" a="1"/>
  <c r="S405" i="4" s="1"/>
  <c r="R405" i="4" a="1"/>
  <c r="R405" i="4" s="1"/>
  <c r="Q405" i="4" a="1"/>
  <c r="Q405" i="4" s="1"/>
  <c r="M774" i="25"/>
  <c r="Q356" i="4" a="1"/>
  <c r="Q356" i="4" s="1"/>
  <c r="R320" i="4" a="1"/>
  <c r="R320" i="4" s="1"/>
  <c r="AA815" i="25" s="1"/>
  <c r="F455" i="4"/>
  <c r="N903" i="25" s="1"/>
  <c r="U455" i="4" a="1"/>
  <c r="U455" i="4" s="1"/>
  <c r="T455" i="4" a="1"/>
  <c r="T455" i="4" s="1"/>
  <c r="Q455" i="4" a="1"/>
  <c r="Q455" i="4" s="1"/>
  <c r="S455" i="4" a="1"/>
  <c r="S455" i="4" s="1"/>
  <c r="R455" i="4" a="1"/>
  <c r="R455" i="4" s="1"/>
  <c r="F357" i="4"/>
  <c r="N855" i="25" s="1"/>
  <c r="U357" i="4" a="1"/>
  <c r="U357" i="4" s="1"/>
  <c r="T357" i="4" a="1"/>
  <c r="T357" i="4" s="1"/>
  <c r="S357" i="4" a="1"/>
  <c r="S357" i="4" s="1"/>
  <c r="R357" i="4" a="1"/>
  <c r="R357" i="4" s="1"/>
  <c r="Q357" i="4" a="1"/>
  <c r="Q357" i="4" s="1"/>
  <c r="F235" i="4"/>
  <c r="N730" i="25" s="1"/>
  <c r="U235" i="4" a="1"/>
  <c r="U235" i="4" s="1"/>
  <c r="AD730" i="25" s="1"/>
  <c r="S235" i="4" a="1"/>
  <c r="S235" i="4" s="1"/>
  <c r="AB730" i="25" s="1"/>
  <c r="R235" i="4" a="1"/>
  <c r="R235" i="4" s="1"/>
  <c r="AA730" i="25" s="1"/>
  <c r="T235" i="4" a="1"/>
  <c r="T235" i="4" s="1"/>
  <c r="AC730" i="25" s="1"/>
  <c r="Q235" i="4" a="1"/>
  <c r="Q235" i="4" s="1"/>
  <c r="Z730" i="25" s="1"/>
  <c r="M730" i="25"/>
  <c r="F470" i="4"/>
  <c r="U470" i="4" a="1"/>
  <c r="U470" i="4" s="1"/>
  <c r="T470" i="4" a="1"/>
  <c r="T470" i="4" s="1"/>
  <c r="Q470" i="4" a="1"/>
  <c r="Q470" i="4" s="1"/>
  <c r="R470" i="4" a="1"/>
  <c r="R470" i="4" s="1"/>
  <c r="S470" i="4" a="1"/>
  <c r="S470" i="4" s="1"/>
  <c r="U338" i="4" a="1"/>
  <c r="U338" i="4" s="1"/>
  <c r="AD833" i="25" s="1"/>
  <c r="T338" i="4" a="1"/>
  <c r="T338" i="4" s="1"/>
  <c r="AC833" i="25" s="1"/>
  <c r="R338" i="4" a="1"/>
  <c r="R338" i="4" s="1"/>
  <c r="AA833" i="25" s="1"/>
  <c r="S338" i="4" a="1"/>
  <c r="S338" i="4" s="1"/>
  <c r="AB833" i="25" s="1"/>
  <c r="Q338" i="4" a="1"/>
  <c r="Q338" i="4" s="1"/>
  <c r="Z833" i="25" s="1"/>
  <c r="M833" i="25"/>
  <c r="F258" i="4"/>
  <c r="N753" i="25" s="1"/>
  <c r="U258" i="4" a="1"/>
  <c r="U258" i="4" s="1"/>
  <c r="AD753" i="25" s="1"/>
  <c r="T258" i="4" a="1"/>
  <c r="T258" i="4" s="1"/>
  <c r="AC753" i="25" s="1"/>
  <c r="R258" i="4" a="1"/>
  <c r="R258" i="4" s="1"/>
  <c r="AA753" i="25" s="1"/>
  <c r="S258" i="4" a="1"/>
  <c r="S258" i="4" s="1"/>
  <c r="AB753" i="25" s="1"/>
  <c r="Q258" i="4" a="1"/>
  <c r="Q258" i="4" s="1"/>
  <c r="Z753" i="25" s="1"/>
  <c r="M753" i="25"/>
  <c r="M926" i="25"/>
  <c r="F497" i="4"/>
  <c r="N945" i="25" s="1"/>
  <c r="U497" i="4" a="1"/>
  <c r="U497" i="4" s="1"/>
  <c r="T497" i="4" a="1"/>
  <c r="T497" i="4" s="1"/>
  <c r="S497" i="4" a="1"/>
  <c r="S497" i="4" s="1"/>
  <c r="Q497" i="4" a="1"/>
  <c r="Q497" i="4" s="1"/>
  <c r="F489" i="4"/>
  <c r="N937" i="25" s="1"/>
  <c r="U489" i="4" a="1"/>
  <c r="U489" i="4" s="1"/>
  <c r="T489" i="4" a="1"/>
  <c r="T489" i="4" s="1"/>
  <c r="S489" i="4" a="1"/>
  <c r="S489" i="4" s="1"/>
  <c r="Q489" i="4" a="1"/>
  <c r="Q489" i="4" s="1"/>
  <c r="R489" i="4" a="1"/>
  <c r="R489" i="4" s="1"/>
  <c r="F481" i="4"/>
  <c r="N929" i="25" s="1"/>
  <c r="U481" i="4" a="1"/>
  <c r="U481" i="4" s="1"/>
  <c r="T481" i="4" a="1"/>
  <c r="T481" i="4" s="1"/>
  <c r="S481" i="4" a="1"/>
  <c r="S481" i="4" s="1"/>
  <c r="Q481" i="4" a="1"/>
  <c r="Q481" i="4" s="1"/>
  <c r="R481" i="4" a="1"/>
  <c r="R481" i="4" s="1"/>
  <c r="F473" i="4"/>
  <c r="N921" i="25" s="1"/>
  <c r="U473" i="4" a="1"/>
  <c r="U473" i="4" s="1"/>
  <c r="T473" i="4" a="1"/>
  <c r="T473" i="4" s="1"/>
  <c r="S473" i="4" a="1"/>
  <c r="S473" i="4" s="1"/>
  <c r="Q473" i="4" a="1"/>
  <c r="Q473" i="4" s="1"/>
  <c r="R473" i="4" a="1"/>
  <c r="R473" i="4" s="1"/>
  <c r="F465" i="4"/>
  <c r="N913" i="25" s="1"/>
  <c r="U465" i="4" a="1"/>
  <c r="U465" i="4" s="1"/>
  <c r="T465" i="4" a="1"/>
  <c r="T465" i="4" s="1"/>
  <c r="S465" i="4" a="1"/>
  <c r="S465" i="4" s="1"/>
  <c r="Q465" i="4" a="1"/>
  <c r="Q465" i="4" s="1"/>
  <c r="F457" i="4"/>
  <c r="N905" i="25" s="1"/>
  <c r="U457" i="4" a="1"/>
  <c r="U457" i="4" s="1"/>
  <c r="T457" i="4" a="1"/>
  <c r="T457" i="4" s="1"/>
  <c r="S457" i="4" a="1"/>
  <c r="S457" i="4" s="1"/>
  <c r="Q457" i="4" a="1"/>
  <c r="Q457" i="4" s="1"/>
  <c r="R457" i="4" a="1"/>
  <c r="R457" i="4" s="1"/>
  <c r="F399" i="4"/>
  <c r="N897" i="25" s="1"/>
  <c r="U399" i="4" a="1"/>
  <c r="U399" i="4" s="1"/>
  <c r="T399" i="4" a="1"/>
  <c r="T399" i="4" s="1"/>
  <c r="Q399" i="4" a="1"/>
  <c r="Q399" i="4" s="1"/>
  <c r="S399" i="4" a="1"/>
  <c r="S399" i="4" s="1"/>
  <c r="R399" i="4" a="1"/>
  <c r="R399" i="4" s="1"/>
  <c r="F391" i="4"/>
  <c r="N889" i="25" s="1"/>
  <c r="U391" i="4" a="1"/>
  <c r="U391" i="4" s="1"/>
  <c r="T391" i="4" a="1"/>
  <c r="T391" i="4" s="1"/>
  <c r="Q391" i="4" a="1"/>
  <c r="Q391" i="4" s="1"/>
  <c r="S391" i="4" a="1"/>
  <c r="S391" i="4" s="1"/>
  <c r="R391" i="4" a="1"/>
  <c r="R391" i="4" s="1"/>
  <c r="F383" i="4"/>
  <c r="N881" i="25" s="1"/>
  <c r="U383" i="4" a="1"/>
  <c r="U383" i="4" s="1"/>
  <c r="T383" i="4" a="1"/>
  <c r="T383" i="4" s="1"/>
  <c r="S383" i="4" a="1"/>
  <c r="S383" i="4" s="1"/>
  <c r="Q383" i="4" a="1"/>
  <c r="Q383" i="4" s="1"/>
  <c r="R383" i="4" a="1"/>
  <c r="R383" i="4" s="1"/>
  <c r="F375" i="4"/>
  <c r="N873" i="25" s="1"/>
  <c r="U375" i="4" a="1"/>
  <c r="U375" i="4" s="1"/>
  <c r="T375" i="4" a="1"/>
  <c r="T375" i="4" s="1"/>
  <c r="S375" i="4" a="1"/>
  <c r="S375" i="4" s="1"/>
  <c r="Q375" i="4" a="1"/>
  <c r="Q375" i="4" s="1"/>
  <c r="R375" i="4" a="1"/>
  <c r="R375" i="4" s="1"/>
  <c r="F367" i="4"/>
  <c r="N865" i="25" s="1"/>
  <c r="U367" i="4" a="1"/>
  <c r="U367" i="4" s="1"/>
  <c r="T367" i="4" a="1"/>
  <c r="T367" i="4" s="1"/>
  <c r="Q367" i="4" a="1"/>
  <c r="Q367" i="4" s="1"/>
  <c r="R367" i="4" a="1"/>
  <c r="R367" i="4" s="1"/>
  <c r="S367" i="4" a="1"/>
  <c r="S367" i="4" s="1"/>
  <c r="F359" i="4"/>
  <c r="N857" i="25" s="1"/>
  <c r="U359" i="4" a="1"/>
  <c r="U359" i="4" s="1"/>
  <c r="T359" i="4" a="1"/>
  <c r="T359" i="4" s="1"/>
  <c r="Q359" i="4" a="1"/>
  <c r="Q359" i="4" s="1"/>
  <c r="R359" i="4" a="1"/>
  <c r="R359" i="4" s="1"/>
  <c r="S359" i="4" a="1"/>
  <c r="S359" i="4" s="1"/>
  <c r="F351" i="4"/>
  <c r="N849" i="25" s="1"/>
  <c r="U351" i="4" a="1"/>
  <c r="U351" i="4" s="1"/>
  <c r="T351" i="4" a="1"/>
  <c r="T351" i="4" s="1"/>
  <c r="Q351" i="4" a="1"/>
  <c r="Q351" i="4" s="1"/>
  <c r="R351" i="4" a="1"/>
  <c r="R351" i="4" s="1"/>
  <c r="S351" i="4" a="1"/>
  <c r="S351" i="4" s="1"/>
  <c r="F343" i="4"/>
  <c r="U343" i="4" a="1"/>
  <c r="U343" i="4" s="1"/>
  <c r="T343" i="4" a="1"/>
  <c r="T343" i="4" s="1"/>
  <c r="R343" i="4" a="1"/>
  <c r="R343" i="4" s="1"/>
  <c r="Q343" i="4" a="1"/>
  <c r="Q343" i="4" s="1"/>
  <c r="S343" i="4" a="1"/>
  <c r="S343" i="4" s="1"/>
  <c r="M253" i="4" a="1"/>
  <c r="M253" i="4" s="1"/>
  <c r="V748" i="25" s="1"/>
  <c r="AI748" i="25" s="1"/>
  <c r="S748" i="25"/>
  <c r="M245" i="4" a="1"/>
  <c r="M245" i="4" s="1"/>
  <c r="V740" i="25" s="1"/>
  <c r="AI740" i="25" s="1"/>
  <c r="S740" i="25"/>
  <c r="U333" i="4" a="1"/>
  <c r="U333" i="4" s="1"/>
  <c r="AD828" i="25" s="1"/>
  <c r="T333" i="4" a="1"/>
  <c r="T333" i="4" s="1"/>
  <c r="AC828" i="25" s="1"/>
  <c r="R333" i="4" a="1"/>
  <c r="R333" i="4" s="1"/>
  <c r="AA828" i="25" s="1"/>
  <c r="S333" i="4" a="1"/>
  <c r="S333" i="4" s="1"/>
  <c r="AB828" i="25" s="1"/>
  <c r="Q333" i="4" a="1"/>
  <c r="Q333" i="4" s="1"/>
  <c r="Z828" i="25" s="1"/>
  <c r="M828" i="25"/>
  <c r="F325" i="4"/>
  <c r="N820" i="25" s="1"/>
  <c r="U325" i="4" a="1"/>
  <c r="U325" i="4" s="1"/>
  <c r="AD820" i="25" s="1"/>
  <c r="T325" i="4" a="1"/>
  <c r="T325" i="4" s="1"/>
  <c r="AC820" i="25" s="1"/>
  <c r="R325" i="4" a="1"/>
  <c r="R325" i="4" s="1"/>
  <c r="AA820" i="25" s="1"/>
  <c r="S325" i="4" a="1"/>
  <c r="S325" i="4" s="1"/>
  <c r="AB820" i="25" s="1"/>
  <c r="Q325" i="4" a="1"/>
  <c r="Q325" i="4" s="1"/>
  <c r="Z820" i="25" s="1"/>
  <c r="M820" i="25"/>
  <c r="U317" i="4" a="1"/>
  <c r="U317" i="4" s="1"/>
  <c r="AD812" i="25" s="1"/>
  <c r="T317" i="4" a="1"/>
  <c r="T317" i="4" s="1"/>
  <c r="AC812" i="25" s="1"/>
  <c r="R317" i="4" a="1"/>
  <c r="R317" i="4" s="1"/>
  <c r="AA812" i="25" s="1"/>
  <c r="S317" i="4" a="1"/>
  <c r="S317" i="4" s="1"/>
  <c r="AB812" i="25" s="1"/>
  <c r="M812" i="25"/>
  <c r="Q317" i="4" a="1"/>
  <c r="Q317" i="4" s="1"/>
  <c r="Z812" i="25" s="1"/>
  <c r="F309" i="4"/>
  <c r="N804" i="25" s="1"/>
  <c r="U309" i="4" a="1"/>
  <c r="U309" i="4" s="1"/>
  <c r="AD804" i="25" s="1"/>
  <c r="T309" i="4" a="1"/>
  <c r="T309" i="4" s="1"/>
  <c r="AC804" i="25" s="1"/>
  <c r="R309" i="4" a="1"/>
  <c r="R309" i="4" s="1"/>
  <c r="AA804" i="25" s="1"/>
  <c r="S309" i="4" a="1"/>
  <c r="S309" i="4" s="1"/>
  <c r="AB804" i="25" s="1"/>
  <c r="Q309" i="4" a="1"/>
  <c r="Q309" i="4" s="1"/>
  <c r="Z804" i="25" s="1"/>
  <c r="M804" i="25"/>
  <c r="U301" i="4" a="1"/>
  <c r="U301" i="4" s="1"/>
  <c r="AD796" i="25" s="1"/>
  <c r="T301" i="4" a="1"/>
  <c r="T301" i="4" s="1"/>
  <c r="AC796" i="25" s="1"/>
  <c r="R301" i="4" a="1"/>
  <c r="R301" i="4" s="1"/>
  <c r="AA796" i="25" s="1"/>
  <c r="S301" i="4" a="1"/>
  <c r="S301" i="4" s="1"/>
  <c r="AB796" i="25" s="1"/>
  <c r="Q301" i="4" a="1"/>
  <c r="Q301" i="4" s="1"/>
  <c r="Z796" i="25" s="1"/>
  <c r="M796" i="25"/>
  <c r="U293" i="4" a="1"/>
  <c r="U293" i="4" s="1"/>
  <c r="AD788" i="25" s="1"/>
  <c r="T293" i="4" a="1"/>
  <c r="T293" i="4" s="1"/>
  <c r="AC788" i="25" s="1"/>
  <c r="R293" i="4" a="1"/>
  <c r="R293" i="4" s="1"/>
  <c r="AA788" i="25" s="1"/>
  <c r="S293" i="4" a="1"/>
  <c r="S293" i="4" s="1"/>
  <c r="AB788" i="25" s="1"/>
  <c r="Q293" i="4" a="1"/>
  <c r="Q293" i="4" s="1"/>
  <c r="Z788" i="25" s="1"/>
  <c r="M788" i="25"/>
  <c r="U285" i="4" a="1"/>
  <c r="U285" i="4" s="1"/>
  <c r="AD780" i="25" s="1"/>
  <c r="T285" i="4" a="1"/>
  <c r="T285" i="4" s="1"/>
  <c r="AC780" i="25" s="1"/>
  <c r="R285" i="4" a="1"/>
  <c r="R285" i="4" s="1"/>
  <c r="AA780" i="25" s="1"/>
  <c r="S285" i="4" a="1"/>
  <c r="S285" i="4" s="1"/>
  <c r="AB780" i="25" s="1"/>
  <c r="M780" i="25"/>
  <c r="Q285" i="4" a="1"/>
  <c r="Q285" i="4" s="1"/>
  <c r="Z780" i="25" s="1"/>
  <c r="U277" i="4" a="1"/>
  <c r="U277" i="4" s="1"/>
  <c r="AD772" i="25" s="1"/>
  <c r="T277" i="4" a="1"/>
  <c r="T277" i="4" s="1"/>
  <c r="AC772" i="25" s="1"/>
  <c r="R277" i="4" a="1"/>
  <c r="R277" i="4" s="1"/>
  <c r="AA772" i="25" s="1"/>
  <c r="S277" i="4" a="1"/>
  <c r="S277" i="4" s="1"/>
  <c r="AB772" i="25" s="1"/>
  <c r="Q277" i="4" a="1"/>
  <c r="Q277" i="4" s="1"/>
  <c r="Z772" i="25" s="1"/>
  <c r="M772" i="25"/>
  <c r="X269" i="4" a="1"/>
  <c r="X269" i="4" s="1"/>
  <c r="AG764" i="25" s="1"/>
  <c r="U269" i="4" a="1"/>
  <c r="U269" i="4" s="1"/>
  <c r="AD764" i="25" s="1"/>
  <c r="T269" i="4" a="1"/>
  <c r="T269" i="4" s="1"/>
  <c r="AC764" i="25" s="1"/>
  <c r="S269" i="4" a="1"/>
  <c r="S269" i="4" s="1"/>
  <c r="AB764" i="25" s="1"/>
  <c r="R269" i="4" a="1"/>
  <c r="R269" i="4" s="1"/>
  <c r="AA764" i="25" s="1"/>
  <c r="Q269" i="4" a="1"/>
  <c r="Q269" i="4" s="1"/>
  <c r="Z764" i="25" s="1"/>
  <c r="M764" i="25"/>
  <c r="F261" i="4"/>
  <c r="N756" i="25" s="1"/>
  <c r="U261" i="4" a="1"/>
  <c r="U261" i="4" s="1"/>
  <c r="AD756" i="25" s="1"/>
  <c r="T261" i="4" a="1"/>
  <c r="T261" i="4" s="1"/>
  <c r="AC756" i="25" s="1"/>
  <c r="S261" i="4" a="1"/>
  <c r="S261" i="4" s="1"/>
  <c r="AB756" i="25" s="1"/>
  <c r="R261" i="4" a="1"/>
  <c r="R261" i="4" s="1"/>
  <c r="AA756" i="25" s="1"/>
  <c r="Q261" i="4" a="1"/>
  <c r="Q261" i="4" s="1"/>
  <c r="Z756" i="25" s="1"/>
  <c r="M756" i="25"/>
  <c r="U253" i="4" a="1"/>
  <c r="U253" i="4" s="1"/>
  <c r="AD748" i="25" s="1"/>
  <c r="T253" i="4" a="1"/>
  <c r="T253" i="4" s="1"/>
  <c r="AC748" i="25" s="1"/>
  <c r="S253" i="4" a="1"/>
  <c r="S253" i="4" s="1"/>
  <c r="AB748" i="25" s="1"/>
  <c r="R253" i="4" a="1"/>
  <c r="R253" i="4" s="1"/>
  <c r="AA748" i="25" s="1"/>
  <c r="M748" i="25"/>
  <c r="Q253" i="4" a="1"/>
  <c r="Q253" i="4" s="1"/>
  <c r="Z748" i="25" s="1"/>
  <c r="U245" i="4" a="1"/>
  <c r="U245" i="4" s="1"/>
  <c r="AD740" i="25" s="1"/>
  <c r="T245" i="4" a="1"/>
  <c r="T245" i="4" s="1"/>
  <c r="AC740" i="25" s="1"/>
  <c r="S245" i="4" a="1"/>
  <c r="S245" i="4" s="1"/>
  <c r="AB740" i="25" s="1"/>
  <c r="R245" i="4" a="1"/>
  <c r="R245" i="4" s="1"/>
  <c r="AA740" i="25" s="1"/>
  <c r="Q245" i="4" a="1"/>
  <c r="Q245" i="4" s="1"/>
  <c r="Z740" i="25" s="1"/>
  <c r="M740" i="25"/>
  <c r="F237" i="4"/>
  <c r="N732" i="25" s="1"/>
  <c r="U237" i="4" a="1"/>
  <c r="U237" i="4" s="1"/>
  <c r="AD732" i="25" s="1"/>
  <c r="T237" i="4" a="1"/>
  <c r="T237" i="4" s="1"/>
  <c r="AC732" i="25" s="1"/>
  <c r="S237" i="4" a="1"/>
  <c r="S237" i="4" s="1"/>
  <c r="AB732" i="25" s="1"/>
  <c r="R237" i="4" a="1"/>
  <c r="R237" i="4" s="1"/>
  <c r="AA732" i="25" s="1"/>
  <c r="Q237" i="4" a="1"/>
  <c r="Q237" i="4" s="1"/>
  <c r="Z732" i="25" s="1"/>
  <c r="M732" i="25"/>
  <c r="M68" i="4" a="1"/>
  <c r="M68" i="4" s="1"/>
  <c r="V563" i="25" s="1"/>
  <c r="AI563" i="25" s="1"/>
  <c r="M830" i="25"/>
  <c r="M766" i="25"/>
  <c r="R233" i="4" a="1"/>
  <c r="R233" i="4" s="1"/>
  <c r="AA728" i="25" s="1"/>
  <c r="F487" i="4"/>
  <c r="N935" i="25" s="1"/>
  <c r="U487" i="4" a="1"/>
  <c r="U487" i="4" s="1"/>
  <c r="T487" i="4" a="1"/>
  <c r="T487" i="4" s="1"/>
  <c r="Q487" i="4" a="1"/>
  <c r="Q487" i="4" s="1"/>
  <c r="S487" i="4" a="1"/>
  <c r="S487" i="4" s="1"/>
  <c r="R487" i="4" a="1"/>
  <c r="R487" i="4" s="1"/>
  <c r="F397" i="4"/>
  <c r="N895" i="25" s="1"/>
  <c r="U397" i="4" a="1"/>
  <c r="U397" i="4" s="1"/>
  <c r="T397" i="4" a="1"/>
  <c r="T397" i="4" s="1"/>
  <c r="S397" i="4" a="1"/>
  <c r="S397" i="4" s="1"/>
  <c r="R397" i="4" a="1"/>
  <c r="R397" i="4" s="1"/>
  <c r="Q397" i="4" a="1"/>
  <c r="Q397" i="4" s="1"/>
  <c r="F349" i="4"/>
  <c r="N847" i="25" s="1"/>
  <c r="U349" i="4" a="1"/>
  <c r="U349" i="4" s="1"/>
  <c r="T349" i="4" a="1"/>
  <c r="T349" i="4" s="1"/>
  <c r="S349" i="4" a="1"/>
  <c r="S349" i="4" s="1"/>
  <c r="R349" i="4" a="1"/>
  <c r="R349" i="4" s="1"/>
  <c r="Q349" i="4" a="1"/>
  <c r="Q349" i="4" s="1"/>
  <c r="F331" i="4"/>
  <c r="N826" i="25" s="1"/>
  <c r="U331" i="4" a="1"/>
  <c r="U331" i="4" s="1"/>
  <c r="AD826" i="25" s="1"/>
  <c r="R331" i="4" a="1"/>
  <c r="R331" i="4" s="1"/>
  <c r="AA826" i="25" s="1"/>
  <c r="T331" i="4" a="1"/>
  <c r="T331" i="4" s="1"/>
  <c r="AC826" i="25" s="1"/>
  <c r="S331" i="4" a="1"/>
  <c r="S331" i="4" s="1"/>
  <c r="AB826" i="25" s="1"/>
  <c r="Q331" i="4" a="1"/>
  <c r="Q331" i="4" s="1"/>
  <c r="Z826" i="25" s="1"/>
  <c r="M826" i="25"/>
  <c r="F315" i="4"/>
  <c r="N810" i="25" s="1"/>
  <c r="U315" i="4" a="1"/>
  <c r="U315" i="4" s="1"/>
  <c r="AD810" i="25" s="1"/>
  <c r="T315" i="4" a="1"/>
  <c r="T315" i="4" s="1"/>
  <c r="AC810" i="25" s="1"/>
  <c r="R315" i="4" a="1"/>
  <c r="R315" i="4" s="1"/>
  <c r="AA810" i="25" s="1"/>
  <c r="S315" i="4" a="1"/>
  <c r="S315" i="4" s="1"/>
  <c r="AB810" i="25" s="1"/>
  <c r="Q315" i="4" a="1"/>
  <c r="Q315" i="4" s="1"/>
  <c r="Z810" i="25" s="1"/>
  <c r="M810" i="25"/>
  <c r="F299" i="4"/>
  <c r="N794" i="25" s="1"/>
  <c r="U299" i="4" a="1"/>
  <c r="U299" i="4" s="1"/>
  <c r="AD794" i="25" s="1"/>
  <c r="R299" i="4" a="1"/>
  <c r="R299" i="4" s="1"/>
  <c r="AA794" i="25" s="1"/>
  <c r="S299" i="4" a="1"/>
  <c r="S299" i="4" s="1"/>
  <c r="AB794" i="25" s="1"/>
  <c r="T299" i="4" a="1"/>
  <c r="T299" i="4" s="1"/>
  <c r="AC794" i="25" s="1"/>
  <c r="Q299" i="4" a="1"/>
  <c r="Q299" i="4" s="1"/>
  <c r="Z794" i="25" s="1"/>
  <c r="M794" i="25"/>
  <c r="F251" i="4"/>
  <c r="N746" i="25" s="1"/>
  <c r="U251" i="4" a="1"/>
  <c r="U251" i="4" s="1"/>
  <c r="AD746" i="25" s="1"/>
  <c r="S251" i="4" a="1"/>
  <c r="S251" i="4" s="1"/>
  <c r="AB746" i="25" s="1"/>
  <c r="T251" i="4" a="1"/>
  <c r="T251" i="4" s="1"/>
  <c r="AC746" i="25" s="1"/>
  <c r="R251" i="4" a="1"/>
  <c r="R251" i="4" s="1"/>
  <c r="AA746" i="25" s="1"/>
  <c r="Q251" i="4" a="1"/>
  <c r="Q251" i="4" s="1"/>
  <c r="Z746" i="25" s="1"/>
  <c r="M746" i="25"/>
  <c r="U314" i="4" a="1"/>
  <c r="U314" i="4" s="1"/>
  <c r="AD809" i="25" s="1"/>
  <c r="T314" i="4" a="1"/>
  <c r="T314" i="4" s="1"/>
  <c r="AC809" i="25" s="1"/>
  <c r="R314" i="4" a="1"/>
  <c r="R314" i="4" s="1"/>
  <c r="AA809" i="25" s="1"/>
  <c r="S314" i="4" a="1"/>
  <c r="S314" i="4" s="1"/>
  <c r="AB809" i="25" s="1"/>
  <c r="Q314" i="4" a="1"/>
  <c r="Q314" i="4" s="1"/>
  <c r="Z809" i="25" s="1"/>
  <c r="M809" i="25"/>
  <c r="X282" i="4" a="1"/>
  <c r="X282" i="4" s="1"/>
  <c r="AG777" i="25" s="1"/>
  <c r="U282" i="4" a="1"/>
  <c r="U282" i="4" s="1"/>
  <c r="AD777" i="25" s="1"/>
  <c r="T282" i="4" a="1"/>
  <c r="T282" i="4" s="1"/>
  <c r="AC777" i="25" s="1"/>
  <c r="R282" i="4" a="1"/>
  <c r="R282" i="4" s="1"/>
  <c r="AA777" i="25" s="1"/>
  <c r="S282" i="4" a="1"/>
  <c r="S282" i="4" s="1"/>
  <c r="AB777" i="25" s="1"/>
  <c r="Q282" i="4" a="1"/>
  <c r="Q282" i="4" s="1"/>
  <c r="Z777" i="25" s="1"/>
  <c r="M777" i="25"/>
  <c r="U234" i="4" a="1"/>
  <c r="U234" i="4" s="1"/>
  <c r="AD729" i="25" s="1"/>
  <c r="T234" i="4" a="1"/>
  <c r="T234" i="4" s="1"/>
  <c r="AC729" i="25" s="1"/>
  <c r="S234" i="4" a="1"/>
  <c r="S234" i="4" s="1"/>
  <c r="AB729" i="25" s="1"/>
  <c r="R234" i="4" a="1"/>
  <c r="R234" i="4" s="1"/>
  <c r="AA729" i="25" s="1"/>
  <c r="Q234" i="4" a="1"/>
  <c r="Q234" i="4" s="1"/>
  <c r="Z729" i="25" s="1"/>
  <c r="M729" i="25"/>
  <c r="F496" i="4"/>
  <c r="N944" i="25" s="1"/>
  <c r="U496" i="4" a="1"/>
  <c r="U496" i="4" s="1"/>
  <c r="T496" i="4" a="1"/>
  <c r="T496" i="4" s="1"/>
  <c r="S496" i="4" a="1"/>
  <c r="S496" i="4" s="1"/>
  <c r="Q496" i="4" a="1"/>
  <c r="Q496" i="4" s="1"/>
  <c r="R496" i="4" a="1"/>
  <c r="R496" i="4" s="1"/>
  <c r="F488" i="4"/>
  <c r="N936" i="25" s="1"/>
  <c r="U488" i="4" a="1"/>
  <c r="U488" i="4" s="1"/>
  <c r="T488" i="4" a="1"/>
  <c r="T488" i="4" s="1"/>
  <c r="S488" i="4" a="1"/>
  <c r="S488" i="4" s="1"/>
  <c r="Q488" i="4" a="1"/>
  <c r="Q488" i="4" s="1"/>
  <c r="R488" i="4" a="1"/>
  <c r="R488" i="4" s="1"/>
  <c r="F480" i="4"/>
  <c r="N928" i="25" s="1"/>
  <c r="U480" i="4" a="1"/>
  <c r="U480" i="4" s="1"/>
  <c r="T480" i="4" a="1"/>
  <c r="T480" i="4" s="1"/>
  <c r="S480" i="4" a="1"/>
  <c r="S480" i="4" s="1"/>
  <c r="Q480" i="4" a="1"/>
  <c r="Q480" i="4" s="1"/>
  <c r="R480" i="4" a="1"/>
  <c r="R480" i="4" s="1"/>
  <c r="F472" i="4"/>
  <c r="N920" i="25" s="1"/>
  <c r="T472" i="4" a="1"/>
  <c r="T472" i="4" s="1"/>
  <c r="S472" i="4" a="1"/>
  <c r="S472" i="4" s="1"/>
  <c r="U472" i="4" a="1"/>
  <c r="U472" i="4" s="1"/>
  <c r="Q472" i="4" a="1"/>
  <c r="Q472" i="4" s="1"/>
  <c r="R472" i="4" a="1"/>
  <c r="R472" i="4" s="1"/>
  <c r="F464" i="4"/>
  <c r="N912" i="25" s="1"/>
  <c r="T464" i="4" a="1"/>
  <c r="T464" i="4" s="1"/>
  <c r="U464" i="4" a="1"/>
  <c r="U464" i="4" s="1"/>
  <c r="S464" i="4" a="1"/>
  <c r="S464" i="4" s="1"/>
  <c r="Q464" i="4" a="1"/>
  <c r="Q464" i="4" s="1"/>
  <c r="R464" i="4" a="1"/>
  <c r="R464" i="4" s="1"/>
  <c r="F456" i="4"/>
  <c r="N904" i="25" s="1"/>
  <c r="T456" i="4" a="1"/>
  <c r="T456" i="4" s="1"/>
  <c r="U456" i="4" a="1"/>
  <c r="U456" i="4" s="1"/>
  <c r="S456" i="4" a="1"/>
  <c r="S456" i="4" s="1"/>
  <c r="Q456" i="4" a="1"/>
  <c r="Q456" i="4" s="1"/>
  <c r="R456" i="4" a="1"/>
  <c r="R456" i="4" s="1"/>
  <c r="F398" i="4"/>
  <c r="N896" i="25" s="1"/>
  <c r="U398" i="4" a="1"/>
  <c r="U398" i="4" s="1"/>
  <c r="T398" i="4" a="1"/>
  <c r="T398" i="4" s="1"/>
  <c r="S398" i="4" a="1"/>
  <c r="S398" i="4" s="1"/>
  <c r="Q398" i="4" a="1"/>
  <c r="Q398" i="4" s="1"/>
  <c r="R398" i="4" a="1"/>
  <c r="R398" i="4" s="1"/>
  <c r="F390" i="4"/>
  <c r="N888" i="25" s="1"/>
  <c r="U390" i="4" a="1"/>
  <c r="U390" i="4" s="1"/>
  <c r="T390" i="4" a="1"/>
  <c r="T390" i="4" s="1"/>
  <c r="S390" i="4" a="1"/>
  <c r="S390" i="4" s="1"/>
  <c r="Q390" i="4" a="1"/>
  <c r="Q390" i="4" s="1"/>
  <c r="R390" i="4" a="1"/>
  <c r="R390" i="4" s="1"/>
  <c r="F382" i="4"/>
  <c r="N880" i="25" s="1"/>
  <c r="U382" i="4" a="1"/>
  <c r="U382" i="4" s="1"/>
  <c r="T382" i="4" a="1"/>
  <c r="T382" i="4" s="1"/>
  <c r="S382" i="4" a="1"/>
  <c r="S382" i="4" s="1"/>
  <c r="Q382" i="4" a="1"/>
  <c r="Q382" i="4" s="1"/>
  <c r="R382" i="4" a="1"/>
  <c r="R382" i="4" s="1"/>
  <c r="F374" i="4"/>
  <c r="N872" i="25" s="1"/>
  <c r="U374" i="4" a="1"/>
  <c r="U374" i="4" s="1"/>
  <c r="T374" i="4" a="1"/>
  <c r="T374" i="4" s="1"/>
  <c r="S374" i="4" a="1"/>
  <c r="S374" i="4" s="1"/>
  <c r="Q374" i="4" a="1"/>
  <c r="Q374" i="4" s="1"/>
  <c r="R374" i="4" a="1"/>
  <c r="R374" i="4" s="1"/>
  <c r="F366" i="4"/>
  <c r="N864" i="25" s="1"/>
  <c r="U366" i="4" a="1"/>
  <c r="U366" i="4" s="1"/>
  <c r="T366" i="4" a="1"/>
  <c r="T366" i="4" s="1"/>
  <c r="S366" i="4" a="1"/>
  <c r="S366" i="4" s="1"/>
  <c r="Q366" i="4" a="1"/>
  <c r="Q366" i="4" s="1"/>
  <c r="R366" i="4" a="1"/>
  <c r="R366" i="4" s="1"/>
  <c r="F358" i="4"/>
  <c r="N856" i="25" s="1"/>
  <c r="U358" i="4" a="1"/>
  <c r="U358" i="4" s="1"/>
  <c r="T358" i="4" a="1"/>
  <c r="T358" i="4" s="1"/>
  <c r="S358" i="4" a="1"/>
  <c r="S358" i="4" s="1"/>
  <c r="Q358" i="4" a="1"/>
  <c r="Q358" i="4" s="1"/>
  <c r="R358" i="4" a="1"/>
  <c r="R358" i="4" s="1"/>
  <c r="F350" i="4"/>
  <c r="N848" i="25" s="1"/>
  <c r="U350" i="4" a="1"/>
  <c r="U350" i="4" s="1"/>
  <c r="T350" i="4" a="1"/>
  <c r="T350" i="4" s="1"/>
  <c r="S350" i="4" a="1"/>
  <c r="S350" i="4" s="1"/>
  <c r="Q350" i="4" a="1"/>
  <c r="Q350" i="4" s="1"/>
  <c r="R350" i="4" a="1"/>
  <c r="R350" i="4" s="1"/>
  <c r="F342" i="4"/>
  <c r="U342" i="4" a="1"/>
  <c r="U342" i="4" s="1"/>
  <c r="T342" i="4" a="1"/>
  <c r="T342" i="4" s="1"/>
  <c r="S342" i="4" a="1"/>
  <c r="S342" i="4" s="1"/>
  <c r="Q342" i="4" a="1"/>
  <c r="Q342" i="4" s="1"/>
  <c r="R342" i="4" a="1"/>
  <c r="R342" i="4" s="1"/>
  <c r="M837" i="25"/>
  <c r="X234" i="4" a="1"/>
  <c r="X234" i="4" s="1"/>
  <c r="AG729" i="25" s="1"/>
  <c r="U340" i="4" a="1"/>
  <c r="U340" i="4" s="1"/>
  <c r="AD835" i="25" s="1"/>
  <c r="T340" i="4" a="1"/>
  <c r="T340" i="4" s="1"/>
  <c r="AC835" i="25" s="1"/>
  <c r="R340" i="4" a="1"/>
  <c r="R340" i="4" s="1"/>
  <c r="AA835" i="25" s="1"/>
  <c r="S340" i="4" a="1"/>
  <c r="S340" i="4" s="1"/>
  <c r="AB835" i="25" s="1"/>
  <c r="Q340" i="4" a="1"/>
  <c r="Q340" i="4" s="1"/>
  <c r="Z835" i="25" s="1"/>
  <c r="M835" i="25"/>
  <c r="U332" i="4" a="1"/>
  <c r="U332" i="4" s="1"/>
  <c r="AD827" i="25" s="1"/>
  <c r="T332" i="4" a="1"/>
  <c r="T332" i="4" s="1"/>
  <c r="AC827" i="25" s="1"/>
  <c r="R332" i="4" a="1"/>
  <c r="R332" i="4" s="1"/>
  <c r="AA827" i="25" s="1"/>
  <c r="S332" i="4" a="1"/>
  <c r="S332" i="4" s="1"/>
  <c r="AB827" i="25" s="1"/>
  <c r="Q332" i="4" a="1"/>
  <c r="Q332" i="4" s="1"/>
  <c r="Z827" i="25" s="1"/>
  <c r="M827" i="25"/>
  <c r="Z819" i="25"/>
  <c r="U324" i="4" a="1"/>
  <c r="U324" i="4" s="1"/>
  <c r="AD819" i="25" s="1"/>
  <c r="T324" i="4" a="1"/>
  <c r="T324" i="4" s="1"/>
  <c r="AC819" i="25" s="1"/>
  <c r="R324" i="4" a="1"/>
  <c r="R324" i="4" s="1"/>
  <c r="AA819" i="25" s="1"/>
  <c r="S324" i="4" a="1"/>
  <c r="S324" i="4" s="1"/>
  <c r="AB819" i="25" s="1"/>
  <c r="M819" i="25"/>
  <c r="X316" i="4" a="1"/>
  <c r="X316" i="4" s="1"/>
  <c r="AG811" i="25" s="1"/>
  <c r="U316" i="4" a="1"/>
  <c r="U316" i="4" s="1"/>
  <c r="T316" i="4" a="1"/>
  <c r="T316" i="4" s="1"/>
  <c r="AC811" i="25" s="1"/>
  <c r="R316" i="4" a="1"/>
  <c r="R316" i="4" s="1"/>
  <c r="AA811" i="25" s="1"/>
  <c r="S316" i="4" a="1"/>
  <c r="S316" i="4" s="1"/>
  <c r="AB811" i="25" s="1"/>
  <c r="M811" i="25"/>
  <c r="Q316" i="4" a="1"/>
  <c r="Q316" i="4" s="1"/>
  <c r="Z811" i="25" s="1"/>
  <c r="U308" i="4" a="1"/>
  <c r="U308" i="4" s="1"/>
  <c r="AD803" i="25" s="1"/>
  <c r="T308" i="4" a="1"/>
  <c r="T308" i="4" s="1"/>
  <c r="AC803" i="25" s="1"/>
  <c r="R308" i="4" a="1"/>
  <c r="R308" i="4" s="1"/>
  <c r="AA803" i="25" s="1"/>
  <c r="S308" i="4" a="1"/>
  <c r="S308" i="4" s="1"/>
  <c r="AB803" i="25" s="1"/>
  <c r="Q308" i="4" a="1"/>
  <c r="Q308" i="4" s="1"/>
  <c r="Z803" i="25" s="1"/>
  <c r="M803" i="25"/>
  <c r="U300" i="4" a="1"/>
  <c r="U300" i="4" s="1"/>
  <c r="AD795" i="25" s="1"/>
  <c r="T300" i="4" a="1"/>
  <c r="T300" i="4" s="1"/>
  <c r="AC795" i="25" s="1"/>
  <c r="R300" i="4" a="1"/>
  <c r="R300" i="4" s="1"/>
  <c r="AA795" i="25" s="1"/>
  <c r="S300" i="4" a="1"/>
  <c r="S300" i="4" s="1"/>
  <c r="AB795" i="25" s="1"/>
  <c r="Q300" i="4" a="1"/>
  <c r="Q300" i="4" s="1"/>
  <c r="M795" i="25"/>
  <c r="U292" i="4" a="1"/>
  <c r="U292" i="4" s="1"/>
  <c r="AD787" i="25" s="1"/>
  <c r="T292" i="4" a="1"/>
  <c r="T292" i="4" s="1"/>
  <c r="AC787" i="25" s="1"/>
  <c r="R292" i="4" a="1"/>
  <c r="R292" i="4" s="1"/>
  <c r="AA787" i="25" s="1"/>
  <c r="S292" i="4" a="1"/>
  <c r="S292" i="4" s="1"/>
  <c r="AB787" i="25" s="1"/>
  <c r="M787" i="25"/>
  <c r="X284" i="4" a="1"/>
  <c r="X284" i="4" s="1"/>
  <c r="AG779" i="25" s="1"/>
  <c r="U284" i="4" a="1"/>
  <c r="U284" i="4" s="1"/>
  <c r="AD779" i="25" s="1"/>
  <c r="T284" i="4" a="1"/>
  <c r="T284" i="4" s="1"/>
  <c r="AC779" i="25" s="1"/>
  <c r="R284" i="4" a="1"/>
  <c r="R284" i="4" s="1"/>
  <c r="AA779" i="25" s="1"/>
  <c r="S284" i="4" a="1"/>
  <c r="S284" i="4" s="1"/>
  <c r="AB779" i="25" s="1"/>
  <c r="M779" i="25"/>
  <c r="Q284" i="4" a="1"/>
  <c r="Q284" i="4" s="1"/>
  <c r="Z779" i="25" s="1"/>
  <c r="U276" i="4" a="1"/>
  <c r="U276" i="4" s="1"/>
  <c r="AD771" i="25" s="1"/>
  <c r="T276" i="4" a="1"/>
  <c r="T276" i="4" s="1"/>
  <c r="AC771" i="25" s="1"/>
  <c r="S276" i="4" a="1"/>
  <c r="S276" i="4" s="1"/>
  <c r="AB771" i="25" s="1"/>
  <c r="R276" i="4" a="1"/>
  <c r="R276" i="4" s="1"/>
  <c r="AA771" i="25" s="1"/>
  <c r="Q276" i="4" a="1"/>
  <c r="Q276" i="4" s="1"/>
  <c r="Z771" i="25" s="1"/>
  <c r="M771" i="25"/>
  <c r="U268" i="4" a="1"/>
  <c r="U268" i="4" s="1"/>
  <c r="AD763" i="25" s="1"/>
  <c r="T268" i="4" a="1"/>
  <c r="T268" i="4" s="1"/>
  <c r="AC763" i="25" s="1"/>
  <c r="S268" i="4" a="1"/>
  <c r="S268" i="4" s="1"/>
  <c r="AB763" i="25" s="1"/>
  <c r="R268" i="4" a="1"/>
  <c r="R268" i="4" s="1"/>
  <c r="AA763" i="25" s="1"/>
  <c r="Q268" i="4" a="1"/>
  <c r="Q268" i="4" s="1"/>
  <c r="Z763" i="25" s="1"/>
  <c r="M763" i="25"/>
  <c r="U260" i="4" a="1"/>
  <c r="U260" i="4" s="1"/>
  <c r="AD755" i="25" s="1"/>
  <c r="T260" i="4" a="1"/>
  <c r="T260" i="4" s="1"/>
  <c r="AC755" i="25" s="1"/>
  <c r="S260" i="4" a="1"/>
  <c r="S260" i="4" s="1"/>
  <c r="AB755" i="25" s="1"/>
  <c r="R260" i="4" a="1"/>
  <c r="R260" i="4" s="1"/>
  <c r="AA755" i="25" s="1"/>
  <c r="M755" i="25"/>
  <c r="X252" i="4" a="1"/>
  <c r="X252" i="4" s="1"/>
  <c r="AG747" i="25" s="1"/>
  <c r="U252" i="4" a="1"/>
  <c r="U252" i="4" s="1"/>
  <c r="AD747" i="25" s="1"/>
  <c r="T252" i="4" a="1"/>
  <c r="T252" i="4" s="1"/>
  <c r="AC747" i="25" s="1"/>
  <c r="S252" i="4" a="1"/>
  <c r="S252" i="4" s="1"/>
  <c r="AB747" i="25" s="1"/>
  <c r="R252" i="4" a="1"/>
  <c r="R252" i="4" s="1"/>
  <c r="AA747" i="25" s="1"/>
  <c r="M747" i="25"/>
  <c r="Q252" i="4" a="1"/>
  <c r="Q252" i="4" s="1"/>
  <c r="Z747" i="25" s="1"/>
  <c r="U244" i="4" a="1"/>
  <c r="U244" i="4" s="1"/>
  <c r="AD739" i="25" s="1"/>
  <c r="T244" i="4" a="1"/>
  <c r="T244" i="4" s="1"/>
  <c r="AC739" i="25" s="1"/>
  <c r="S244" i="4" a="1"/>
  <c r="S244" i="4" s="1"/>
  <c r="AB739" i="25" s="1"/>
  <c r="R244" i="4" a="1"/>
  <c r="R244" i="4" s="1"/>
  <c r="AA739" i="25" s="1"/>
  <c r="Q244" i="4" a="1"/>
  <c r="Q244" i="4" s="1"/>
  <c r="Z739" i="25" s="1"/>
  <c r="M739" i="25"/>
  <c r="U236" i="4" a="1"/>
  <c r="U236" i="4" s="1"/>
  <c r="T236" i="4" a="1"/>
  <c r="T236" i="4" s="1"/>
  <c r="AC731" i="25" s="1"/>
  <c r="S236" i="4" a="1"/>
  <c r="S236" i="4" s="1"/>
  <c r="AB731" i="25" s="1"/>
  <c r="R236" i="4" a="1"/>
  <c r="R236" i="4" s="1"/>
  <c r="AA731" i="25" s="1"/>
  <c r="Q236" i="4" a="1"/>
  <c r="Q236" i="4" s="1"/>
  <c r="M731" i="25"/>
  <c r="X227" i="4" a="1"/>
  <c r="X227" i="4" s="1"/>
  <c r="AG722" i="25" s="1"/>
  <c r="U227" i="4" a="1"/>
  <c r="U227" i="4" s="1"/>
  <c r="AD722" i="25" s="1"/>
  <c r="S227" i="4" a="1"/>
  <c r="S227" i="4" s="1"/>
  <c r="AB722" i="25" s="1"/>
  <c r="R227" i="4" a="1"/>
  <c r="R227" i="4" s="1"/>
  <c r="AA722" i="25" s="1"/>
  <c r="T227" i="4" a="1"/>
  <c r="T227" i="4" s="1"/>
  <c r="AC722" i="25" s="1"/>
  <c r="Q227" i="4" a="1"/>
  <c r="Q227" i="4" s="1"/>
  <c r="Z722" i="25" s="1"/>
  <c r="M722" i="25"/>
  <c r="X219" i="4" a="1"/>
  <c r="X219" i="4" s="1"/>
  <c r="AG714" i="25" s="1"/>
  <c r="U219" i="4" a="1"/>
  <c r="U219" i="4" s="1"/>
  <c r="AD714" i="25" s="1"/>
  <c r="S219" i="4" a="1"/>
  <c r="S219" i="4" s="1"/>
  <c r="AB714" i="25" s="1"/>
  <c r="R219" i="4" a="1"/>
  <c r="R219" i="4" s="1"/>
  <c r="AA714" i="25" s="1"/>
  <c r="T219" i="4" a="1"/>
  <c r="T219" i="4" s="1"/>
  <c r="AC714" i="25" s="1"/>
  <c r="Q219" i="4" a="1"/>
  <c r="Q219" i="4" s="1"/>
  <c r="Z714" i="25" s="1"/>
  <c r="M714" i="25"/>
  <c r="U211" i="4" a="1"/>
  <c r="U211" i="4" s="1"/>
  <c r="AD706" i="25" s="1"/>
  <c r="S211" i="4" a="1"/>
  <c r="S211" i="4" s="1"/>
  <c r="AB706" i="25" s="1"/>
  <c r="R211" i="4" a="1"/>
  <c r="R211" i="4" s="1"/>
  <c r="AA706" i="25" s="1"/>
  <c r="T211" i="4" a="1"/>
  <c r="T211" i="4" s="1"/>
  <c r="AC706" i="25" s="1"/>
  <c r="Q211" i="4" a="1"/>
  <c r="Q211" i="4" s="1"/>
  <c r="Z706" i="25" s="1"/>
  <c r="M706" i="25"/>
  <c r="U203" i="4" a="1"/>
  <c r="U203" i="4" s="1"/>
  <c r="AD698" i="25" s="1"/>
  <c r="S203" i="4" a="1"/>
  <c r="S203" i="4" s="1"/>
  <c r="AB698" i="25" s="1"/>
  <c r="R203" i="4" a="1"/>
  <c r="R203" i="4" s="1"/>
  <c r="AA698" i="25" s="1"/>
  <c r="T203" i="4" a="1"/>
  <c r="T203" i="4" s="1"/>
  <c r="AC698" i="25" s="1"/>
  <c r="Q203" i="4" a="1"/>
  <c r="Q203" i="4" s="1"/>
  <c r="Z698" i="25" s="1"/>
  <c r="M698" i="25"/>
  <c r="U195" i="4" a="1"/>
  <c r="U195" i="4" s="1"/>
  <c r="AD690" i="25" s="1"/>
  <c r="S195" i="4" a="1"/>
  <c r="S195" i="4" s="1"/>
  <c r="AB690" i="25" s="1"/>
  <c r="T195" i="4" a="1"/>
  <c r="T195" i="4" s="1"/>
  <c r="AC690" i="25" s="1"/>
  <c r="R195" i="4" a="1"/>
  <c r="R195" i="4" s="1"/>
  <c r="AA690" i="25" s="1"/>
  <c r="Q195" i="4" a="1"/>
  <c r="Q195" i="4" s="1"/>
  <c r="Z690" i="25" s="1"/>
  <c r="M690" i="25"/>
  <c r="U187" i="4" a="1"/>
  <c r="U187" i="4" s="1"/>
  <c r="AD682" i="25" s="1"/>
  <c r="T187" i="4" a="1"/>
  <c r="T187" i="4" s="1"/>
  <c r="AC682" i="25" s="1"/>
  <c r="S187" i="4" a="1"/>
  <c r="S187" i="4" s="1"/>
  <c r="AB682" i="25" s="1"/>
  <c r="R187" i="4" a="1"/>
  <c r="R187" i="4" s="1"/>
  <c r="AA682" i="25" s="1"/>
  <c r="Q187" i="4" a="1"/>
  <c r="Q187" i="4" s="1"/>
  <c r="Z682" i="25" s="1"/>
  <c r="M682" i="25"/>
  <c r="U179" i="4" a="1"/>
  <c r="U179" i="4" s="1"/>
  <c r="AD674" i="25" s="1"/>
  <c r="T179" i="4" a="1"/>
  <c r="T179" i="4" s="1"/>
  <c r="AC674" i="25" s="1"/>
  <c r="S179" i="4" a="1"/>
  <c r="S179" i="4" s="1"/>
  <c r="AB674" i="25" s="1"/>
  <c r="R179" i="4" a="1"/>
  <c r="R179" i="4" s="1"/>
  <c r="AA674" i="25" s="1"/>
  <c r="Q179" i="4" a="1"/>
  <c r="Q179" i="4" s="1"/>
  <c r="Z674" i="25" s="1"/>
  <c r="M674" i="25"/>
  <c r="U171" i="4" a="1"/>
  <c r="U171" i="4" s="1"/>
  <c r="AD666" i="25" s="1"/>
  <c r="S171" i="4" a="1"/>
  <c r="S171" i="4" s="1"/>
  <c r="AB666" i="25" s="1"/>
  <c r="T171" i="4" a="1"/>
  <c r="T171" i="4" s="1"/>
  <c r="AC666" i="25" s="1"/>
  <c r="R171" i="4" a="1"/>
  <c r="R171" i="4" s="1"/>
  <c r="AA666" i="25" s="1"/>
  <c r="Q171" i="4" a="1"/>
  <c r="Q171" i="4" s="1"/>
  <c r="Z666" i="25" s="1"/>
  <c r="M666" i="25"/>
  <c r="X163" i="4" a="1"/>
  <c r="X163" i="4" s="1"/>
  <c r="AG658" i="25" s="1"/>
  <c r="U163" i="4" a="1"/>
  <c r="U163" i="4" s="1"/>
  <c r="AD658" i="25" s="1"/>
  <c r="T163" i="4" a="1"/>
  <c r="T163" i="4" s="1"/>
  <c r="AC658" i="25" s="1"/>
  <c r="S163" i="4" a="1"/>
  <c r="S163" i="4" s="1"/>
  <c r="AB658" i="25" s="1"/>
  <c r="R163" i="4" a="1"/>
  <c r="R163" i="4" s="1"/>
  <c r="AA658" i="25" s="1"/>
  <c r="Q163" i="4" a="1"/>
  <c r="Q163" i="4" s="1"/>
  <c r="Z658" i="25" s="1"/>
  <c r="M658" i="25"/>
  <c r="U155" i="4" a="1"/>
  <c r="U155" i="4" s="1"/>
  <c r="AD650" i="25" s="1"/>
  <c r="T155" i="4" a="1"/>
  <c r="T155" i="4" s="1"/>
  <c r="AC650" i="25" s="1"/>
  <c r="S155" i="4" a="1"/>
  <c r="S155" i="4" s="1"/>
  <c r="AB650" i="25" s="1"/>
  <c r="R155" i="4" a="1"/>
  <c r="R155" i="4" s="1"/>
  <c r="AA650" i="25" s="1"/>
  <c r="Q155" i="4" a="1"/>
  <c r="Q155" i="4" s="1"/>
  <c r="Z650" i="25" s="1"/>
  <c r="M650" i="25"/>
  <c r="X147" i="4" a="1"/>
  <c r="X147" i="4" s="1"/>
  <c r="AG642" i="25" s="1"/>
  <c r="U147" i="4" a="1"/>
  <c r="U147" i="4" s="1"/>
  <c r="AD642" i="25" s="1"/>
  <c r="S147" i="4" a="1"/>
  <c r="S147" i="4" s="1"/>
  <c r="AB642" i="25" s="1"/>
  <c r="T147" i="4" a="1"/>
  <c r="T147" i="4" s="1"/>
  <c r="AC642" i="25" s="1"/>
  <c r="R147" i="4" a="1"/>
  <c r="R147" i="4" s="1"/>
  <c r="AA642" i="25" s="1"/>
  <c r="Q147" i="4" a="1"/>
  <c r="Q147" i="4" s="1"/>
  <c r="Z642" i="25" s="1"/>
  <c r="M642" i="25"/>
  <c r="U139" i="4" a="1"/>
  <c r="U139" i="4" s="1"/>
  <c r="AD634" i="25" s="1"/>
  <c r="T139" i="4" a="1"/>
  <c r="T139" i="4" s="1"/>
  <c r="AC634" i="25" s="1"/>
  <c r="S139" i="4" a="1"/>
  <c r="S139" i="4" s="1"/>
  <c r="AB634" i="25" s="1"/>
  <c r="R139" i="4" a="1"/>
  <c r="R139" i="4" s="1"/>
  <c r="AA634" i="25" s="1"/>
  <c r="Q139" i="4" a="1"/>
  <c r="Q139" i="4" s="1"/>
  <c r="Z634" i="25" s="1"/>
  <c r="M634" i="25"/>
  <c r="U131" i="4" a="1"/>
  <c r="U131" i="4" s="1"/>
  <c r="AD626" i="25" s="1"/>
  <c r="T131" i="4" a="1"/>
  <c r="T131" i="4" s="1"/>
  <c r="AC626" i="25" s="1"/>
  <c r="S131" i="4" a="1"/>
  <c r="S131" i="4" s="1"/>
  <c r="AB626" i="25" s="1"/>
  <c r="R131" i="4" a="1"/>
  <c r="R131" i="4" s="1"/>
  <c r="AA626" i="25" s="1"/>
  <c r="Q131" i="4" a="1"/>
  <c r="Q131" i="4" s="1"/>
  <c r="Z626" i="25" s="1"/>
  <c r="M626" i="25"/>
  <c r="U123" i="4" a="1"/>
  <c r="U123" i="4" s="1"/>
  <c r="AD618" i="25" s="1"/>
  <c r="T123" i="4" a="1"/>
  <c r="T123" i="4" s="1"/>
  <c r="AC618" i="25" s="1"/>
  <c r="S123" i="4" a="1"/>
  <c r="S123" i="4" s="1"/>
  <c r="AB618" i="25" s="1"/>
  <c r="R123" i="4" a="1"/>
  <c r="R123" i="4" s="1"/>
  <c r="AA618" i="25" s="1"/>
  <c r="Q123" i="4" a="1"/>
  <c r="Q123" i="4" s="1"/>
  <c r="Z618" i="25" s="1"/>
  <c r="M618" i="25"/>
  <c r="U115" i="4" a="1"/>
  <c r="U115" i="4" s="1"/>
  <c r="AD610" i="25" s="1"/>
  <c r="T115" i="4" a="1"/>
  <c r="T115" i="4" s="1"/>
  <c r="AC610" i="25" s="1"/>
  <c r="S115" i="4" a="1"/>
  <c r="S115" i="4" s="1"/>
  <c r="AB610" i="25" s="1"/>
  <c r="R115" i="4" a="1"/>
  <c r="R115" i="4" s="1"/>
  <c r="AA610" i="25" s="1"/>
  <c r="Q115" i="4" a="1"/>
  <c r="Q115" i="4" s="1"/>
  <c r="Z610" i="25" s="1"/>
  <c r="M610" i="25"/>
  <c r="U107" i="4" a="1"/>
  <c r="U107" i="4" s="1"/>
  <c r="AD602" i="25" s="1"/>
  <c r="S107" i="4" a="1"/>
  <c r="S107" i="4" s="1"/>
  <c r="AB602" i="25" s="1"/>
  <c r="R107" i="4" a="1"/>
  <c r="R107" i="4" s="1"/>
  <c r="AA602" i="25" s="1"/>
  <c r="T107" i="4" a="1"/>
  <c r="T107" i="4" s="1"/>
  <c r="AC602" i="25" s="1"/>
  <c r="Q107" i="4" a="1"/>
  <c r="Q107" i="4" s="1"/>
  <c r="Z602" i="25" s="1"/>
  <c r="M602" i="25"/>
  <c r="X99" i="4" a="1"/>
  <c r="X99" i="4" s="1"/>
  <c r="AG594" i="25" s="1"/>
  <c r="U99" i="4" a="1"/>
  <c r="U99" i="4" s="1"/>
  <c r="AD594" i="25" s="1"/>
  <c r="S99" i="4" a="1"/>
  <c r="S99" i="4" s="1"/>
  <c r="AB594" i="25" s="1"/>
  <c r="T99" i="4" a="1"/>
  <c r="T99" i="4" s="1"/>
  <c r="AC594" i="25" s="1"/>
  <c r="R99" i="4" a="1"/>
  <c r="R99" i="4" s="1"/>
  <c r="AA594" i="25" s="1"/>
  <c r="Q99" i="4" a="1"/>
  <c r="Q99" i="4" s="1"/>
  <c r="Z594" i="25" s="1"/>
  <c r="M594" i="25"/>
  <c r="U91" i="4" a="1"/>
  <c r="U91" i="4" s="1"/>
  <c r="AD586" i="25" s="1"/>
  <c r="S91" i="4" a="1"/>
  <c r="S91" i="4" s="1"/>
  <c r="AB586" i="25" s="1"/>
  <c r="T91" i="4" a="1"/>
  <c r="T91" i="4" s="1"/>
  <c r="AC586" i="25" s="1"/>
  <c r="R91" i="4" a="1"/>
  <c r="R91" i="4" s="1"/>
  <c r="AA586" i="25" s="1"/>
  <c r="Q91" i="4" a="1"/>
  <c r="Q91" i="4" s="1"/>
  <c r="Z586" i="25" s="1"/>
  <c r="M586" i="25"/>
  <c r="X83" i="4" a="1"/>
  <c r="X83" i="4" s="1"/>
  <c r="AG578" i="25" s="1"/>
  <c r="U83" i="4" a="1"/>
  <c r="U83" i="4" s="1"/>
  <c r="AD578" i="25" s="1"/>
  <c r="T83" i="4" a="1"/>
  <c r="T83" i="4" s="1"/>
  <c r="AC578" i="25" s="1"/>
  <c r="S83" i="4" a="1"/>
  <c r="S83" i="4" s="1"/>
  <c r="AB578" i="25" s="1"/>
  <c r="R83" i="4" a="1"/>
  <c r="R83" i="4" s="1"/>
  <c r="AA578" i="25" s="1"/>
  <c r="Q83" i="4" a="1"/>
  <c r="Q83" i="4" s="1"/>
  <c r="M578" i="25"/>
  <c r="U75" i="4" a="1"/>
  <c r="U75" i="4" s="1"/>
  <c r="AD570" i="25" s="1"/>
  <c r="T75" i="4" a="1"/>
  <c r="T75" i="4" s="1"/>
  <c r="AC570" i="25" s="1"/>
  <c r="S75" i="4" a="1"/>
  <c r="S75" i="4" s="1"/>
  <c r="AB570" i="25" s="1"/>
  <c r="R75" i="4" a="1"/>
  <c r="R75" i="4" s="1"/>
  <c r="AA570" i="25" s="1"/>
  <c r="Q75" i="4" a="1"/>
  <c r="Q75" i="4" s="1"/>
  <c r="Z570" i="25" s="1"/>
  <c r="M570" i="25"/>
  <c r="U67" i="4" a="1"/>
  <c r="U67" i="4" s="1"/>
  <c r="AD562" i="25" s="1"/>
  <c r="T67" i="4" a="1"/>
  <c r="T67" i="4" s="1"/>
  <c r="AC562" i="25" s="1"/>
  <c r="S67" i="4" a="1"/>
  <c r="S67" i="4" s="1"/>
  <c r="AB562" i="25" s="1"/>
  <c r="R67" i="4" a="1"/>
  <c r="R67" i="4" s="1"/>
  <c r="AA562" i="25" s="1"/>
  <c r="Q67" i="4" a="1"/>
  <c r="Q67" i="4" s="1"/>
  <c r="Z562" i="25" s="1"/>
  <c r="M562" i="25"/>
  <c r="U59" i="4" a="1"/>
  <c r="U59" i="4" s="1"/>
  <c r="AD554" i="25" s="1"/>
  <c r="T59" i="4" a="1"/>
  <c r="T59" i="4" s="1"/>
  <c r="AC554" i="25" s="1"/>
  <c r="S59" i="4" a="1"/>
  <c r="S59" i="4" s="1"/>
  <c r="AB554" i="25" s="1"/>
  <c r="R59" i="4" a="1"/>
  <c r="R59" i="4" s="1"/>
  <c r="AA554" i="25" s="1"/>
  <c r="Q59" i="4" a="1"/>
  <c r="Q59" i="4" s="1"/>
  <c r="Z554" i="25" s="1"/>
  <c r="M554" i="25"/>
  <c r="U51" i="4" a="1"/>
  <c r="U51" i="4" s="1"/>
  <c r="AD546" i="25" s="1"/>
  <c r="T51" i="4" a="1"/>
  <c r="T51" i="4" s="1"/>
  <c r="AC546" i="25" s="1"/>
  <c r="S51" i="4" a="1"/>
  <c r="S51" i="4" s="1"/>
  <c r="AB546" i="25" s="1"/>
  <c r="R51" i="4" a="1"/>
  <c r="R51" i="4" s="1"/>
  <c r="AA546" i="25" s="1"/>
  <c r="Q51" i="4" a="1"/>
  <c r="Q51" i="4" s="1"/>
  <c r="Z546" i="25" s="1"/>
  <c r="M546" i="25"/>
  <c r="U43" i="4" a="1"/>
  <c r="U43" i="4" s="1"/>
  <c r="AD538" i="25" s="1"/>
  <c r="S43" i="4" a="1"/>
  <c r="S43" i="4" s="1"/>
  <c r="AB538" i="25" s="1"/>
  <c r="R43" i="4" a="1"/>
  <c r="R43" i="4" s="1"/>
  <c r="AA538" i="25" s="1"/>
  <c r="T43" i="4" a="1"/>
  <c r="T43" i="4" s="1"/>
  <c r="AC538" i="25" s="1"/>
  <c r="Q43" i="4" a="1"/>
  <c r="Q43" i="4" s="1"/>
  <c r="Z538" i="25" s="1"/>
  <c r="M538" i="25"/>
  <c r="U35" i="4" a="1"/>
  <c r="U35" i="4" s="1"/>
  <c r="AD530" i="25" s="1"/>
  <c r="S35" i="4" a="1"/>
  <c r="S35" i="4" s="1"/>
  <c r="AB530" i="25" s="1"/>
  <c r="T35" i="4" a="1"/>
  <c r="T35" i="4" s="1"/>
  <c r="AC530" i="25" s="1"/>
  <c r="R35" i="4" a="1"/>
  <c r="R35" i="4" s="1"/>
  <c r="AA530" i="25" s="1"/>
  <c r="Q35" i="4" a="1"/>
  <c r="Q35" i="4" s="1"/>
  <c r="Z530" i="25" s="1"/>
  <c r="M530" i="25"/>
  <c r="U27" i="4" a="1"/>
  <c r="U27" i="4" s="1"/>
  <c r="AD522" i="25" s="1"/>
  <c r="S27" i="4" a="1"/>
  <c r="S27" i="4" s="1"/>
  <c r="AB522" i="25" s="1"/>
  <c r="T27" i="4" a="1"/>
  <c r="T27" i="4" s="1"/>
  <c r="AC522" i="25" s="1"/>
  <c r="R27" i="4" a="1"/>
  <c r="R27" i="4" s="1"/>
  <c r="AA522" i="25" s="1"/>
  <c r="Q27" i="4" a="1"/>
  <c r="Q27" i="4" s="1"/>
  <c r="Z522" i="25" s="1"/>
  <c r="M522" i="25"/>
  <c r="U19" i="4" a="1"/>
  <c r="U19" i="4" s="1"/>
  <c r="AD514" i="25" s="1"/>
  <c r="T19" i="4" a="1"/>
  <c r="T19" i="4" s="1"/>
  <c r="AC514" i="25" s="1"/>
  <c r="S19" i="4" a="1"/>
  <c r="S19" i="4" s="1"/>
  <c r="AB514" i="25" s="1"/>
  <c r="R19" i="4" a="1"/>
  <c r="R19" i="4" s="1"/>
  <c r="AA514" i="25" s="1"/>
  <c r="Q19" i="4" a="1"/>
  <c r="Q19" i="4" s="1"/>
  <c r="Z514" i="25" s="1"/>
  <c r="M514" i="25"/>
  <c r="U11" i="4" a="1"/>
  <c r="U11" i="4" s="1"/>
  <c r="AD506" i="25" s="1"/>
  <c r="T11" i="4" a="1"/>
  <c r="T11" i="4" s="1"/>
  <c r="AC506" i="25" s="1"/>
  <c r="S11" i="4" a="1"/>
  <c r="S11" i="4" s="1"/>
  <c r="AB506" i="25" s="1"/>
  <c r="R11" i="4" a="1"/>
  <c r="R11" i="4" s="1"/>
  <c r="AA506" i="25" s="1"/>
  <c r="Q11" i="4" a="1"/>
  <c r="Q11" i="4" s="1"/>
  <c r="Z506" i="25" s="1"/>
  <c r="M506" i="25"/>
  <c r="M822" i="25"/>
  <c r="M758" i="25"/>
  <c r="Q292" i="4" a="1"/>
  <c r="Q292" i="4" s="1"/>
  <c r="Z787" i="25" s="1"/>
  <c r="U226" i="4" a="1"/>
  <c r="U226" i="4" s="1"/>
  <c r="AD721" i="25" s="1"/>
  <c r="T226" i="4" a="1"/>
  <c r="T226" i="4" s="1"/>
  <c r="AC721" i="25" s="1"/>
  <c r="R226" i="4" a="1"/>
  <c r="R226" i="4" s="1"/>
  <c r="AA721" i="25" s="1"/>
  <c r="S226" i="4" a="1"/>
  <c r="S226" i="4" s="1"/>
  <c r="AB721" i="25" s="1"/>
  <c r="Q226" i="4" a="1"/>
  <c r="Q226" i="4" s="1"/>
  <c r="Z721" i="25" s="1"/>
  <c r="U218" i="4" a="1"/>
  <c r="U218" i="4" s="1"/>
  <c r="AD713" i="25" s="1"/>
  <c r="T218" i="4" a="1"/>
  <c r="T218" i="4" s="1"/>
  <c r="AC713" i="25" s="1"/>
  <c r="R218" i="4" a="1"/>
  <c r="R218" i="4" s="1"/>
  <c r="AA713" i="25" s="1"/>
  <c r="S218" i="4" a="1"/>
  <c r="S218" i="4" s="1"/>
  <c r="AB713" i="25" s="1"/>
  <c r="Q218" i="4" a="1"/>
  <c r="Q218" i="4" s="1"/>
  <c r="Z713" i="25" s="1"/>
  <c r="U210" i="4" a="1"/>
  <c r="U210" i="4" s="1"/>
  <c r="AD705" i="25" s="1"/>
  <c r="T210" i="4" a="1"/>
  <c r="T210" i="4" s="1"/>
  <c r="AC705" i="25" s="1"/>
  <c r="R210" i="4" a="1"/>
  <c r="R210" i="4" s="1"/>
  <c r="AA705" i="25" s="1"/>
  <c r="S210" i="4" a="1"/>
  <c r="S210" i="4" s="1"/>
  <c r="AB705" i="25" s="1"/>
  <c r="Q210" i="4" a="1"/>
  <c r="Q210" i="4" s="1"/>
  <c r="Z705" i="25" s="1"/>
  <c r="U202" i="4" a="1"/>
  <c r="U202" i="4" s="1"/>
  <c r="AD697" i="25" s="1"/>
  <c r="T202" i="4" a="1"/>
  <c r="T202" i="4" s="1"/>
  <c r="AC697" i="25" s="1"/>
  <c r="R202" i="4" a="1"/>
  <c r="R202" i="4" s="1"/>
  <c r="AA697" i="25" s="1"/>
  <c r="S202" i="4" a="1"/>
  <c r="S202" i="4" s="1"/>
  <c r="AB697" i="25" s="1"/>
  <c r="Q202" i="4" a="1"/>
  <c r="Q202" i="4" s="1"/>
  <c r="Z697" i="25" s="1"/>
  <c r="T194" i="4" a="1"/>
  <c r="T194" i="4" s="1"/>
  <c r="AC689" i="25" s="1"/>
  <c r="U194" i="4" a="1"/>
  <c r="U194" i="4" s="1"/>
  <c r="AD689" i="25" s="1"/>
  <c r="R194" i="4" a="1"/>
  <c r="R194" i="4" s="1"/>
  <c r="AA689" i="25" s="1"/>
  <c r="S194" i="4" a="1"/>
  <c r="S194" i="4" s="1"/>
  <c r="AB689" i="25" s="1"/>
  <c r="Q194" i="4" a="1"/>
  <c r="Q194" i="4" s="1"/>
  <c r="Z689" i="25" s="1"/>
  <c r="T186" i="4" a="1"/>
  <c r="T186" i="4" s="1"/>
  <c r="AC681" i="25" s="1"/>
  <c r="U186" i="4" a="1"/>
  <c r="U186" i="4" s="1"/>
  <c r="AD681" i="25" s="1"/>
  <c r="R186" i="4" a="1"/>
  <c r="R186" i="4" s="1"/>
  <c r="AA681" i="25" s="1"/>
  <c r="S186" i="4" a="1"/>
  <c r="S186" i="4" s="1"/>
  <c r="AB681" i="25" s="1"/>
  <c r="Q186" i="4" a="1"/>
  <c r="Q186" i="4" s="1"/>
  <c r="Z681" i="25" s="1"/>
  <c r="T178" i="4" a="1"/>
  <c r="T178" i="4" s="1"/>
  <c r="AC673" i="25" s="1"/>
  <c r="U178" i="4" a="1"/>
  <c r="U178" i="4" s="1"/>
  <c r="AD673" i="25" s="1"/>
  <c r="R178" i="4" a="1"/>
  <c r="R178" i="4" s="1"/>
  <c r="AA673" i="25" s="1"/>
  <c r="S178" i="4" a="1"/>
  <c r="S178" i="4" s="1"/>
  <c r="AB673" i="25" s="1"/>
  <c r="Q178" i="4" a="1"/>
  <c r="Q178" i="4" s="1"/>
  <c r="Z673" i="25" s="1"/>
  <c r="T170" i="4" a="1"/>
  <c r="T170" i="4" s="1"/>
  <c r="AC665" i="25" s="1"/>
  <c r="U170" i="4" a="1"/>
  <c r="U170" i="4" s="1"/>
  <c r="AD665" i="25" s="1"/>
  <c r="S170" i="4" a="1"/>
  <c r="S170" i="4" s="1"/>
  <c r="AB665" i="25" s="1"/>
  <c r="R170" i="4" a="1"/>
  <c r="R170" i="4" s="1"/>
  <c r="AA665" i="25" s="1"/>
  <c r="Q170" i="4" a="1"/>
  <c r="Q170" i="4" s="1"/>
  <c r="Z665" i="25" s="1"/>
  <c r="T162" i="4" a="1"/>
  <c r="T162" i="4" s="1"/>
  <c r="AC657" i="25" s="1"/>
  <c r="U162" i="4" a="1"/>
  <c r="U162" i="4" s="1"/>
  <c r="AD657" i="25" s="1"/>
  <c r="R162" i="4" a="1"/>
  <c r="R162" i="4" s="1"/>
  <c r="AA657" i="25" s="1"/>
  <c r="S162" i="4" a="1"/>
  <c r="S162" i="4" s="1"/>
  <c r="AB657" i="25" s="1"/>
  <c r="Q162" i="4" a="1"/>
  <c r="Q162" i="4" s="1"/>
  <c r="Z657" i="25" s="1"/>
  <c r="T154" i="4" a="1"/>
  <c r="T154" i="4" s="1"/>
  <c r="AC649" i="25" s="1"/>
  <c r="U154" i="4" a="1"/>
  <c r="U154" i="4" s="1"/>
  <c r="AD649" i="25" s="1"/>
  <c r="R154" i="4" a="1"/>
  <c r="R154" i="4" s="1"/>
  <c r="AA649" i="25" s="1"/>
  <c r="S154" i="4" a="1"/>
  <c r="S154" i="4" s="1"/>
  <c r="AB649" i="25" s="1"/>
  <c r="Q154" i="4" a="1"/>
  <c r="Q154" i="4" s="1"/>
  <c r="Z649" i="25" s="1"/>
  <c r="T146" i="4" a="1"/>
  <c r="T146" i="4" s="1"/>
  <c r="AC641" i="25" s="1"/>
  <c r="U146" i="4" a="1"/>
  <c r="U146" i="4" s="1"/>
  <c r="AD641" i="25" s="1"/>
  <c r="S146" i="4" a="1"/>
  <c r="S146" i="4" s="1"/>
  <c r="AB641" i="25" s="1"/>
  <c r="R146" i="4" a="1"/>
  <c r="R146" i="4" s="1"/>
  <c r="AA641" i="25" s="1"/>
  <c r="Q146" i="4" a="1"/>
  <c r="Q146" i="4" s="1"/>
  <c r="Z641" i="25" s="1"/>
  <c r="T138" i="4" a="1"/>
  <c r="T138" i="4" s="1"/>
  <c r="AC633" i="25" s="1"/>
  <c r="U138" i="4" a="1"/>
  <c r="U138" i="4" s="1"/>
  <c r="AD633" i="25" s="1"/>
  <c r="S138" i="4" a="1"/>
  <c r="S138" i="4" s="1"/>
  <c r="AB633" i="25" s="1"/>
  <c r="R138" i="4" a="1"/>
  <c r="R138" i="4" s="1"/>
  <c r="AA633" i="25" s="1"/>
  <c r="Q138" i="4" a="1"/>
  <c r="Q138" i="4" s="1"/>
  <c r="Z633" i="25" s="1"/>
  <c r="T130" i="4" a="1"/>
  <c r="T130" i="4" s="1"/>
  <c r="AC625" i="25" s="1"/>
  <c r="U130" i="4" a="1"/>
  <c r="U130" i="4" s="1"/>
  <c r="AD625" i="25" s="1"/>
  <c r="S130" i="4" a="1"/>
  <c r="S130" i="4" s="1"/>
  <c r="AB625" i="25" s="1"/>
  <c r="R130" i="4" a="1"/>
  <c r="R130" i="4" s="1"/>
  <c r="AA625" i="25" s="1"/>
  <c r="Q130" i="4" a="1"/>
  <c r="Q130" i="4" s="1"/>
  <c r="Z625" i="25" s="1"/>
  <c r="T122" i="4" a="1"/>
  <c r="T122" i="4" s="1"/>
  <c r="AC617" i="25" s="1"/>
  <c r="U122" i="4" a="1"/>
  <c r="U122" i="4" s="1"/>
  <c r="AD617" i="25" s="1"/>
  <c r="S122" i="4" a="1"/>
  <c r="S122" i="4" s="1"/>
  <c r="AB617" i="25" s="1"/>
  <c r="R122" i="4" a="1"/>
  <c r="R122" i="4" s="1"/>
  <c r="AA617" i="25" s="1"/>
  <c r="Q122" i="4" a="1"/>
  <c r="Q122" i="4" s="1"/>
  <c r="Z617" i="25" s="1"/>
  <c r="T114" i="4" a="1"/>
  <c r="T114" i="4" s="1"/>
  <c r="AC609" i="25" s="1"/>
  <c r="U114" i="4" a="1"/>
  <c r="U114" i="4" s="1"/>
  <c r="AD609" i="25" s="1"/>
  <c r="S114" i="4" a="1"/>
  <c r="S114" i="4" s="1"/>
  <c r="AB609" i="25" s="1"/>
  <c r="R114" i="4" a="1"/>
  <c r="R114" i="4" s="1"/>
  <c r="AA609" i="25" s="1"/>
  <c r="Q114" i="4" a="1"/>
  <c r="Q114" i="4" s="1"/>
  <c r="Z609" i="25" s="1"/>
  <c r="T106" i="4" a="1"/>
  <c r="T106" i="4" s="1"/>
  <c r="AC601" i="25" s="1"/>
  <c r="U106" i="4" a="1"/>
  <c r="U106" i="4" s="1"/>
  <c r="AD601" i="25" s="1"/>
  <c r="S106" i="4" a="1"/>
  <c r="S106" i="4" s="1"/>
  <c r="AB601" i="25" s="1"/>
  <c r="R106" i="4" a="1"/>
  <c r="R106" i="4" s="1"/>
  <c r="AA601" i="25" s="1"/>
  <c r="Q106" i="4" a="1"/>
  <c r="Q106" i="4" s="1"/>
  <c r="Z601" i="25" s="1"/>
  <c r="T98" i="4" a="1"/>
  <c r="T98" i="4" s="1"/>
  <c r="AC593" i="25" s="1"/>
  <c r="U98" i="4" a="1"/>
  <c r="U98" i="4" s="1"/>
  <c r="AD593" i="25" s="1"/>
  <c r="S98" i="4" a="1"/>
  <c r="S98" i="4" s="1"/>
  <c r="AB593" i="25" s="1"/>
  <c r="R98" i="4" a="1"/>
  <c r="R98" i="4" s="1"/>
  <c r="AA593" i="25" s="1"/>
  <c r="Q98" i="4" a="1"/>
  <c r="Q98" i="4" s="1"/>
  <c r="Z593" i="25" s="1"/>
  <c r="T90" i="4" a="1"/>
  <c r="T90" i="4" s="1"/>
  <c r="AC585" i="25" s="1"/>
  <c r="U90" i="4" a="1"/>
  <c r="U90" i="4" s="1"/>
  <c r="AD585" i="25" s="1"/>
  <c r="S90" i="4" a="1"/>
  <c r="S90" i="4" s="1"/>
  <c r="AB585" i="25" s="1"/>
  <c r="R90" i="4" a="1"/>
  <c r="R90" i="4" s="1"/>
  <c r="AA585" i="25" s="1"/>
  <c r="Q90" i="4" a="1"/>
  <c r="Q90" i="4" s="1"/>
  <c r="Z585" i="25" s="1"/>
  <c r="T82" i="4" a="1"/>
  <c r="T82" i="4" s="1"/>
  <c r="AC577" i="25" s="1"/>
  <c r="U82" i="4" a="1"/>
  <c r="U82" i="4" s="1"/>
  <c r="AD577" i="25" s="1"/>
  <c r="S82" i="4" a="1"/>
  <c r="S82" i="4" s="1"/>
  <c r="AB577" i="25" s="1"/>
  <c r="Q82" i="4" a="1"/>
  <c r="Q82" i="4" s="1"/>
  <c r="Z577" i="25" s="1"/>
  <c r="R82" i="4" a="1"/>
  <c r="R82" i="4" s="1"/>
  <c r="AA577" i="25" s="1"/>
  <c r="F74" i="4"/>
  <c r="N569" i="25" s="1"/>
  <c r="T74" i="4" a="1"/>
  <c r="T74" i="4" s="1"/>
  <c r="AC569" i="25" s="1"/>
  <c r="U74" i="4" a="1"/>
  <c r="U74" i="4" s="1"/>
  <c r="AD569" i="25" s="1"/>
  <c r="S74" i="4" a="1"/>
  <c r="S74" i="4" s="1"/>
  <c r="AB569" i="25" s="1"/>
  <c r="R74" i="4" a="1"/>
  <c r="R74" i="4" s="1"/>
  <c r="AA569" i="25" s="1"/>
  <c r="Q74" i="4" a="1"/>
  <c r="Q74" i="4" s="1"/>
  <c r="Z569" i="25" s="1"/>
  <c r="F66" i="4"/>
  <c r="N561" i="25" s="1"/>
  <c r="T66" i="4" a="1"/>
  <c r="T66" i="4" s="1"/>
  <c r="AC561" i="25" s="1"/>
  <c r="U66" i="4" a="1"/>
  <c r="U66" i="4" s="1"/>
  <c r="AD561" i="25" s="1"/>
  <c r="S66" i="4" a="1"/>
  <c r="S66" i="4" s="1"/>
  <c r="AB561" i="25" s="1"/>
  <c r="Q66" i="4" a="1"/>
  <c r="Q66" i="4" s="1"/>
  <c r="Z561" i="25" s="1"/>
  <c r="T58" i="4" a="1"/>
  <c r="T58" i="4" s="1"/>
  <c r="AC553" i="25" s="1"/>
  <c r="U58" i="4" a="1"/>
  <c r="U58" i="4" s="1"/>
  <c r="AD553" i="25" s="1"/>
  <c r="S58" i="4" a="1"/>
  <c r="S58" i="4" s="1"/>
  <c r="AB553" i="25" s="1"/>
  <c r="R58" i="4" a="1"/>
  <c r="R58" i="4" s="1"/>
  <c r="AA553" i="25" s="1"/>
  <c r="Q58" i="4" a="1"/>
  <c r="Q58" i="4" s="1"/>
  <c r="Z553" i="25" s="1"/>
  <c r="F50" i="4"/>
  <c r="N545" i="25" s="1"/>
  <c r="T50" i="4" a="1"/>
  <c r="T50" i="4" s="1"/>
  <c r="AC545" i="25" s="1"/>
  <c r="U50" i="4" a="1"/>
  <c r="U50" i="4" s="1"/>
  <c r="AD545" i="25" s="1"/>
  <c r="S50" i="4" a="1"/>
  <c r="S50" i="4" s="1"/>
  <c r="AB545" i="25" s="1"/>
  <c r="R50" i="4" a="1"/>
  <c r="R50" i="4" s="1"/>
  <c r="AA545" i="25" s="1"/>
  <c r="Q50" i="4" a="1"/>
  <c r="Q50" i="4" s="1"/>
  <c r="Z545" i="25" s="1"/>
  <c r="F42" i="4"/>
  <c r="N537" i="25" s="1"/>
  <c r="T42" i="4" a="1"/>
  <c r="T42" i="4" s="1"/>
  <c r="AC537" i="25" s="1"/>
  <c r="U42" i="4" a="1"/>
  <c r="U42" i="4" s="1"/>
  <c r="AD537" i="25" s="1"/>
  <c r="S42" i="4" a="1"/>
  <c r="S42" i="4" s="1"/>
  <c r="AB537" i="25" s="1"/>
  <c r="Q42" i="4" a="1"/>
  <c r="Q42" i="4" s="1"/>
  <c r="Z537" i="25" s="1"/>
  <c r="F34" i="4"/>
  <c r="N529" i="25" s="1"/>
  <c r="T34" i="4" a="1"/>
  <c r="T34" i="4" s="1"/>
  <c r="AC529" i="25" s="1"/>
  <c r="U34" i="4" a="1"/>
  <c r="U34" i="4" s="1"/>
  <c r="AD529" i="25" s="1"/>
  <c r="S34" i="4" a="1"/>
  <c r="S34" i="4" s="1"/>
  <c r="AB529" i="25" s="1"/>
  <c r="R34" i="4" a="1"/>
  <c r="R34" i="4" s="1"/>
  <c r="AA529" i="25" s="1"/>
  <c r="Q34" i="4" a="1"/>
  <c r="Q34" i="4" s="1"/>
  <c r="Z529" i="25" s="1"/>
  <c r="T26" i="4" a="1"/>
  <c r="T26" i="4" s="1"/>
  <c r="AC521" i="25" s="1"/>
  <c r="U26" i="4" a="1"/>
  <c r="U26" i="4" s="1"/>
  <c r="AD521" i="25" s="1"/>
  <c r="S26" i="4" a="1"/>
  <c r="S26" i="4" s="1"/>
  <c r="AB521" i="25" s="1"/>
  <c r="R26" i="4" a="1"/>
  <c r="R26" i="4" s="1"/>
  <c r="AA521" i="25" s="1"/>
  <c r="Q26" i="4" a="1"/>
  <c r="Q26" i="4" s="1"/>
  <c r="Z521" i="25" s="1"/>
  <c r="X18" i="4" a="1"/>
  <c r="X18" i="4" s="1"/>
  <c r="AG513" i="25" s="1"/>
  <c r="T18" i="4" a="1"/>
  <c r="T18" i="4" s="1"/>
  <c r="AC513" i="25" s="1"/>
  <c r="U18" i="4" a="1"/>
  <c r="U18" i="4" s="1"/>
  <c r="AD513" i="25" s="1"/>
  <c r="S18" i="4" a="1"/>
  <c r="S18" i="4" s="1"/>
  <c r="AB513" i="25" s="1"/>
  <c r="Q18" i="4" a="1"/>
  <c r="Q18" i="4" s="1"/>
  <c r="Z513" i="25" s="1"/>
  <c r="R18" i="4" a="1"/>
  <c r="R18" i="4" s="1"/>
  <c r="AA513" i="25" s="1"/>
  <c r="F10" i="4"/>
  <c r="N505" i="25" s="1"/>
  <c r="T10" i="4" a="1"/>
  <c r="T10" i="4" s="1"/>
  <c r="AC505" i="25" s="1"/>
  <c r="U10" i="4" a="1"/>
  <c r="U10" i="4" s="1"/>
  <c r="AD505" i="25" s="1"/>
  <c r="S10" i="4" a="1"/>
  <c r="S10" i="4" s="1"/>
  <c r="AB505" i="25" s="1"/>
  <c r="R10" i="4" a="1"/>
  <c r="R10" i="4" s="1"/>
  <c r="AA505" i="25" s="1"/>
  <c r="Q10" i="4" a="1"/>
  <c r="Q10" i="4" s="1"/>
  <c r="Z505" i="25" s="1"/>
  <c r="U444" i="4" a="1"/>
  <c r="U444" i="4" s="1"/>
  <c r="T444" i="4" a="1"/>
  <c r="T444" i="4" s="1"/>
  <c r="S444" i="4" a="1"/>
  <c r="S444" i="4" s="1"/>
  <c r="R444" i="4" a="1"/>
  <c r="R444" i="4" s="1"/>
  <c r="U436" i="4" a="1"/>
  <c r="U436" i="4" s="1"/>
  <c r="T436" i="4" a="1"/>
  <c r="T436" i="4" s="1"/>
  <c r="S436" i="4" a="1"/>
  <c r="S436" i="4" s="1"/>
  <c r="R436" i="4" a="1"/>
  <c r="R436" i="4" s="1"/>
  <c r="U428" i="4" a="1"/>
  <c r="U428" i="4" s="1"/>
  <c r="T428" i="4" a="1"/>
  <c r="T428" i="4" s="1"/>
  <c r="S428" i="4" a="1"/>
  <c r="S428" i="4" s="1"/>
  <c r="R428" i="4" a="1"/>
  <c r="R428" i="4" s="1"/>
  <c r="U420" i="4" a="1"/>
  <c r="U420" i="4" s="1"/>
  <c r="T420" i="4" a="1"/>
  <c r="T420" i="4" s="1"/>
  <c r="S420" i="4" a="1"/>
  <c r="S420" i="4" s="1"/>
  <c r="R420" i="4" a="1"/>
  <c r="R420" i="4" s="1"/>
  <c r="U412" i="4" a="1"/>
  <c r="U412" i="4" s="1"/>
  <c r="T412" i="4" a="1"/>
  <c r="T412" i="4" s="1"/>
  <c r="S412" i="4" a="1"/>
  <c r="S412" i="4" s="1"/>
  <c r="R412" i="4" a="1"/>
  <c r="R412" i="4" s="1"/>
  <c r="U404" i="4" a="1"/>
  <c r="U404" i="4" s="1"/>
  <c r="T404" i="4" a="1"/>
  <c r="T404" i="4" s="1"/>
  <c r="S404" i="4" a="1"/>
  <c r="S404" i="4" s="1"/>
  <c r="R404" i="4" a="1"/>
  <c r="R404" i="4" s="1"/>
  <c r="M709" i="25"/>
  <c r="M605" i="25"/>
  <c r="Q221" i="4" a="1"/>
  <c r="Q221" i="4" s="1"/>
  <c r="Z716" i="25" s="1"/>
  <c r="Q189" i="4" a="1"/>
  <c r="Q189" i="4" s="1"/>
  <c r="Z684" i="25" s="1"/>
  <c r="Q157" i="4" a="1"/>
  <c r="Q157" i="4" s="1"/>
  <c r="Z652" i="25" s="1"/>
  <c r="Q125" i="4" a="1"/>
  <c r="Q125" i="4" s="1"/>
  <c r="Z620" i="25" s="1"/>
  <c r="Q93" i="4" a="1"/>
  <c r="Q93" i="4" s="1"/>
  <c r="Z588" i="25" s="1"/>
  <c r="Q61" i="4" a="1"/>
  <c r="Q61" i="4" s="1"/>
  <c r="Z556" i="25" s="1"/>
  <c r="Q29" i="4" a="1"/>
  <c r="Q29" i="4" s="1"/>
  <c r="Z524" i="25" s="1"/>
  <c r="U225" i="4" a="1"/>
  <c r="U225" i="4" s="1"/>
  <c r="AD720" i="25" s="1"/>
  <c r="S225" i="4" a="1"/>
  <c r="S225" i="4" s="1"/>
  <c r="AB720" i="25" s="1"/>
  <c r="T225" i="4" a="1"/>
  <c r="T225" i="4" s="1"/>
  <c r="AC720" i="25" s="1"/>
  <c r="R225" i="4" a="1"/>
  <c r="R225" i="4" s="1"/>
  <c r="AA720" i="25" s="1"/>
  <c r="Q225" i="4" a="1"/>
  <c r="Q225" i="4" s="1"/>
  <c r="Z720" i="25" s="1"/>
  <c r="U217" i="4" a="1"/>
  <c r="U217" i="4" s="1"/>
  <c r="AD712" i="25" s="1"/>
  <c r="S217" i="4" a="1"/>
  <c r="S217" i="4" s="1"/>
  <c r="AB712" i="25" s="1"/>
  <c r="T217" i="4" a="1"/>
  <c r="T217" i="4" s="1"/>
  <c r="AC712" i="25" s="1"/>
  <c r="R217" i="4" a="1"/>
  <c r="R217" i="4" s="1"/>
  <c r="AA712" i="25" s="1"/>
  <c r="Q217" i="4" a="1"/>
  <c r="Q217" i="4" s="1"/>
  <c r="Z712" i="25" s="1"/>
  <c r="U209" i="4" a="1"/>
  <c r="U209" i="4" s="1"/>
  <c r="AD704" i="25" s="1"/>
  <c r="S209" i="4" a="1"/>
  <c r="S209" i="4" s="1"/>
  <c r="AB704" i="25" s="1"/>
  <c r="T209" i="4" a="1"/>
  <c r="T209" i="4" s="1"/>
  <c r="AC704" i="25" s="1"/>
  <c r="Q209" i="4" a="1"/>
  <c r="Q209" i="4" s="1"/>
  <c r="Z704" i="25" s="1"/>
  <c r="R209" i="4" a="1"/>
  <c r="R209" i="4" s="1"/>
  <c r="AA704" i="25" s="1"/>
  <c r="U201" i="4" a="1"/>
  <c r="U201" i="4" s="1"/>
  <c r="AD696" i="25" s="1"/>
  <c r="S201" i="4" a="1"/>
  <c r="S201" i="4" s="1"/>
  <c r="AB696" i="25" s="1"/>
  <c r="T201" i="4" a="1"/>
  <c r="T201" i="4" s="1"/>
  <c r="AC696" i="25" s="1"/>
  <c r="R201" i="4" a="1"/>
  <c r="R201" i="4" s="1"/>
  <c r="AA696" i="25" s="1"/>
  <c r="Q201" i="4" a="1"/>
  <c r="Q201" i="4" s="1"/>
  <c r="Z696" i="25" s="1"/>
  <c r="T193" i="4" a="1"/>
  <c r="T193" i="4" s="1"/>
  <c r="AC688" i="25" s="1"/>
  <c r="U193" i="4" a="1"/>
  <c r="U193" i="4" s="1"/>
  <c r="AD688" i="25" s="1"/>
  <c r="S193" i="4" a="1"/>
  <c r="S193" i="4" s="1"/>
  <c r="AB688" i="25" s="1"/>
  <c r="Q193" i="4" a="1"/>
  <c r="Q193" i="4" s="1"/>
  <c r="Z688" i="25" s="1"/>
  <c r="T185" i="4" a="1"/>
  <c r="T185" i="4" s="1"/>
  <c r="AC680" i="25" s="1"/>
  <c r="U185" i="4" a="1"/>
  <c r="U185" i="4" s="1"/>
  <c r="AD680" i="25" s="1"/>
  <c r="S185" i="4" a="1"/>
  <c r="S185" i="4" s="1"/>
  <c r="AB680" i="25" s="1"/>
  <c r="Q185" i="4" a="1"/>
  <c r="Q185" i="4" s="1"/>
  <c r="Z680" i="25" s="1"/>
  <c r="R185" i="4" a="1"/>
  <c r="R185" i="4" s="1"/>
  <c r="AA680" i="25" s="1"/>
  <c r="T177" i="4" a="1"/>
  <c r="T177" i="4" s="1"/>
  <c r="AC672" i="25" s="1"/>
  <c r="U177" i="4" a="1"/>
  <c r="U177" i="4" s="1"/>
  <c r="AD672" i="25" s="1"/>
  <c r="S177" i="4" a="1"/>
  <c r="S177" i="4" s="1"/>
  <c r="AB672" i="25" s="1"/>
  <c r="R177" i="4" a="1"/>
  <c r="R177" i="4" s="1"/>
  <c r="AA672" i="25" s="1"/>
  <c r="Q177" i="4" a="1"/>
  <c r="Q177" i="4" s="1"/>
  <c r="Z672" i="25" s="1"/>
  <c r="T169" i="4" a="1"/>
  <c r="T169" i="4" s="1"/>
  <c r="AC664" i="25" s="1"/>
  <c r="U169" i="4" a="1"/>
  <c r="U169" i="4" s="1"/>
  <c r="AD664" i="25" s="1"/>
  <c r="S169" i="4" a="1"/>
  <c r="S169" i="4" s="1"/>
  <c r="AB664" i="25" s="1"/>
  <c r="Q169" i="4" a="1"/>
  <c r="Q169" i="4" s="1"/>
  <c r="Z664" i="25" s="1"/>
  <c r="T161" i="4" a="1"/>
  <c r="T161" i="4" s="1"/>
  <c r="AC656" i="25" s="1"/>
  <c r="U161" i="4" a="1"/>
  <c r="U161" i="4" s="1"/>
  <c r="AD656" i="25" s="1"/>
  <c r="S161" i="4" a="1"/>
  <c r="S161" i="4" s="1"/>
  <c r="AB656" i="25" s="1"/>
  <c r="R161" i="4" a="1"/>
  <c r="R161" i="4" s="1"/>
  <c r="AA656" i="25" s="1"/>
  <c r="Q161" i="4" a="1"/>
  <c r="Q161" i="4" s="1"/>
  <c r="Z656" i="25" s="1"/>
  <c r="T153" i="4" a="1"/>
  <c r="T153" i="4" s="1"/>
  <c r="AC648" i="25" s="1"/>
  <c r="U153" i="4" a="1"/>
  <c r="U153" i="4" s="1"/>
  <c r="AD648" i="25" s="1"/>
  <c r="S153" i="4" a="1"/>
  <c r="S153" i="4" s="1"/>
  <c r="AB648" i="25" s="1"/>
  <c r="R153" i="4" a="1"/>
  <c r="R153" i="4" s="1"/>
  <c r="AA648" i="25" s="1"/>
  <c r="Q153" i="4" a="1"/>
  <c r="Q153" i="4" s="1"/>
  <c r="Z648" i="25" s="1"/>
  <c r="T145" i="4" a="1"/>
  <c r="T145" i="4" s="1"/>
  <c r="AC640" i="25" s="1"/>
  <c r="U145" i="4" a="1"/>
  <c r="U145" i="4" s="1"/>
  <c r="AD640" i="25" s="1"/>
  <c r="S145" i="4" a="1"/>
  <c r="S145" i="4" s="1"/>
  <c r="AB640" i="25" s="1"/>
  <c r="Q145" i="4" a="1"/>
  <c r="Q145" i="4" s="1"/>
  <c r="Z640" i="25" s="1"/>
  <c r="R145" i="4" a="1"/>
  <c r="R145" i="4" s="1"/>
  <c r="AA640" i="25" s="1"/>
  <c r="T137" i="4" a="1"/>
  <c r="T137" i="4" s="1"/>
  <c r="AC632" i="25" s="1"/>
  <c r="U137" i="4" a="1"/>
  <c r="U137" i="4" s="1"/>
  <c r="AD632" i="25" s="1"/>
  <c r="S137" i="4" a="1"/>
  <c r="S137" i="4" s="1"/>
  <c r="AB632" i="25" s="1"/>
  <c r="R137" i="4" a="1"/>
  <c r="R137" i="4" s="1"/>
  <c r="AA632" i="25" s="1"/>
  <c r="Q137" i="4" a="1"/>
  <c r="Q137" i="4" s="1"/>
  <c r="Z632" i="25" s="1"/>
  <c r="T129" i="4" a="1"/>
  <c r="T129" i="4" s="1"/>
  <c r="AC624" i="25" s="1"/>
  <c r="U129" i="4" a="1"/>
  <c r="U129" i="4" s="1"/>
  <c r="S129" i="4" a="1"/>
  <c r="S129" i="4" s="1"/>
  <c r="AB624" i="25" s="1"/>
  <c r="Q129" i="4" a="1"/>
  <c r="Q129" i="4" s="1"/>
  <c r="Z624" i="25" s="1"/>
  <c r="T121" i="4" a="1"/>
  <c r="T121" i="4" s="1"/>
  <c r="AC616" i="25" s="1"/>
  <c r="U121" i="4" a="1"/>
  <c r="U121" i="4" s="1"/>
  <c r="AD616" i="25" s="1"/>
  <c r="S121" i="4" a="1"/>
  <c r="S121" i="4" s="1"/>
  <c r="AB616" i="25" s="1"/>
  <c r="Q121" i="4" a="1"/>
  <c r="Q121" i="4" s="1"/>
  <c r="Z616" i="25" s="1"/>
  <c r="R121" i="4" a="1"/>
  <c r="R121" i="4" s="1"/>
  <c r="AA616" i="25" s="1"/>
  <c r="T113" i="4" a="1"/>
  <c r="T113" i="4" s="1"/>
  <c r="AC608" i="25" s="1"/>
  <c r="U113" i="4" a="1"/>
  <c r="U113" i="4" s="1"/>
  <c r="AD608" i="25" s="1"/>
  <c r="S113" i="4" a="1"/>
  <c r="S113" i="4" s="1"/>
  <c r="AB608" i="25" s="1"/>
  <c r="R113" i="4" a="1"/>
  <c r="R113" i="4" s="1"/>
  <c r="AA608" i="25" s="1"/>
  <c r="Q113" i="4" a="1"/>
  <c r="Q113" i="4" s="1"/>
  <c r="Z608" i="25" s="1"/>
  <c r="T105" i="4" a="1"/>
  <c r="T105" i="4" s="1"/>
  <c r="AC600" i="25" s="1"/>
  <c r="U105" i="4" a="1"/>
  <c r="U105" i="4" s="1"/>
  <c r="AD600" i="25" s="1"/>
  <c r="S105" i="4" a="1"/>
  <c r="S105" i="4" s="1"/>
  <c r="AB600" i="25" s="1"/>
  <c r="Q105" i="4" a="1"/>
  <c r="Q105" i="4" s="1"/>
  <c r="Z600" i="25" s="1"/>
  <c r="T97" i="4" a="1"/>
  <c r="T97" i="4" s="1"/>
  <c r="AC592" i="25" s="1"/>
  <c r="U97" i="4" a="1"/>
  <c r="U97" i="4" s="1"/>
  <c r="AD592" i="25" s="1"/>
  <c r="S97" i="4" a="1"/>
  <c r="S97" i="4" s="1"/>
  <c r="AB592" i="25" s="1"/>
  <c r="R97" i="4" a="1"/>
  <c r="R97" i="4" s="1"/>
  <c r="AA592" i="25" s="1"/>
  <c r="Q97" i="4" a="1"/>
  <c r="Q97" i="4" s="1"/>
  <c r="Z592" i="25" s="1"/>
  <c r="T89" i="4" a="1"/>
  <c r="T89" i="4" s="1"/>
  <c r="AC584" i="25" s="1"/>
  <c r="U89" i="4" a="1"/>
  <c r="U89" i="4" s="1"/>
  <c r="AD584" i="25" s="1"/>
  <c r="S89" i="4" a="1"/>
  <c r="S89" i="4" s="1"/>
  <c r="R89" i="4" a="1"/>
  <c r="R89" i="4" s="1"/>
  <c r="AA584" i="25" s="1"/>
  <c r="Q89" i="4" a="1"/>
  <c r="Q89" i="4" s="1"/>
  <c r="Z584" i="25" s="1"/>
  <c r="T81" i="4" a="1"/>
  <c r="T81" i="4" s="1"/>
  <c r="AC576" i="25" s="1"/>
  <c r="U81" i="4" a="1"/>
  <c r="U81" i="4" s="1"/>
  <c r="AD576" i="25" s="1"/>
  <c r="S81" i="4" a="1"/>
  <c r="S81" i="4" s="1"/>
  <c r="AB576" i="25" s="1"/>
  <c r="Q81" i="4" a="1"/>
  <c r="Q81" i="4" s="1"/>
  <c r="Z576" i="25" s="1"/>
  <c r="R81" i="4" a="1"/>
  <c r="R81" i="4" s="1"/>
  <c r="AA576" i="25" s="1"/>
  <c r="T73" i="4" a="1"/>
  <c r="T73" i="4" s="1"/>
  <c r="AC568" i="25" s="1"/>
  <c r="U73" i="4" a="1"/>
  <c r="U73" i="4" s="1"/>
  <c r="AD568" i="25" s="1"/>
  <c r="S73" i="4" a="1"/>
  <c r="S73" i="4" s="1"/>
  <c r="AB568" i="25" s="1"/>
  <c r="R73" i="4" a="1"/>
  <c r="R73" i="4" s="1"/>
  <c r="AA568" i="25" s="1"/>
  <c r="Q73" i="4" a="1"/>
  <c r="Q73" i="4" s="1"/>
  <c r="Z568" i="25" s="1"/>
  <c r="T65" i="4" a="1"/>
  <c r="T65" i="4" s="1"/>
  <c r="AC560" i="25" s="1"/>
  <c r="U65" i="4" a="1"/>
  <c r="U65" i="4" s="1"/>
  <c r="AD560" i="25" s="1"/>
  <c r="S65" i="4" a="1"/>
  <c r="S65" i="4" s="1"/>
  <c r="AB560" i="25" s="1"/>
  <c r="Q65" i="4" a="1"/>
  <c r="Q65" i="4" s="1"/>
  <c r="Z560" i="25" s="1"/>
  <c r="T57" i="4" a="1"/>
  <c r="T57" i="4" s="1"/>
  <c r="AC552" i="25" s="1"/>
  <c r="U57" i="4" a="1"/>
  <c r="U57" i="4" s="1"/>
  <c r="AD552" i="25" s="1"/>
  <c r="S57" i="4" a="1"/>
  <c r="S57" i="4" s="1"/>
  <c r="AB552" i="25" s="1"/>
  <c r="R57" i="4" a="1"/>
  <c r="R57" i="4" s="1"/>
  <c r="AA552" i="25" s="1"/>
  <c r="Q57" i="4" a="1"/>
  <c r="Q57" i="4" s="1"/>
  <c r="Z552" i="25" s="1"/>
  <c r="T49" i="4" a="1"/>
  <c r="T49" i="4" s="1"/>
  <c r="AC544" i="25" s="1"/>
  <c r="U49" i="4" a="1"/>
  <c r="U49" i="4" s="1"/>
  <c r="AD544" i="25" s="1"/>
  <c r="S49" i="4" a="1"/>
  <c r="S49" i="4" s="1"/>
  <c r="AB544" i="25" s="1"/>
  <c r="R49" i="4" a="1"/>
  <c r="R49" i="4" s="1"/>
  <c r="AA544" i="25" s="1"/>
  <c r="Q49" i="4" a="1"/>
  <c r="Q49" i="4" s="1"/>
  <c r="Z544" i="25" s="1"/>
  <c r="T41" i="4" a="1"/>
  <c r="T41" i="4" s="1"/>
  <c r="AC536" i="25" s="1"/>
  <c r="U41" i="4" a="1"/>
  <c r="U41" i="4" s="1"/>
  <c r="AD536" i="25" s="1"/>
  <c r="S41" i="4" a="1"/>
  <c r="S41" i="4" s="1"/>
  <c r="AB536" i="25" s="1"/>
  <c r="Q41" i="4" a="1"/>
  <c r="Q41" i="4" s="1"/>
  <c r="Z536" i="25" s="1"/>
  <c r="R41" i="4" a="1"/>
  <c r="R41" i="4" s="1"/>
  <c r="AA536" i="25" s="1"/>
  <c r="T33" i="4" a="1"/>
  <c r="T33" i="4" s="1"/>
  <c r="U33" i="4" a="1"/>
  <c r="U33" i="4" s="1"/>
  <c r="AD528" i="25" s="1"/>
  <c r="S33" i="4" a="1"/>
  <c r="S33" i="4" s="1"/>
  <c r="AB528" i="25" s="1"/>
  <c r="R33" i="4" a="1"/>
  <c r="R33" i="4" s="1"/>
  <c r="AA528" i="25" s="1"/>
  <c r="Q33" i="4" a="1"/>
  <c r="Q33" i="4" s="1"/>
  <c r="Z528" i="25" s="1"/>
  <c r="T25" i="4" a="1"/>
  <c r="T25" i="4" s="1"/>
  <c r="AC520" i="25" s="1"/>
  <c r="U25" i="4" a="1"/>
  <c r="U25" i="4" s="1"/>
  <c r="AD520" i="25" s="1"/>
  <c r="S25" i="4" a="1"/>
  <c r="S25" i="4" s="1"/>
  <c r="AB520" i="25" s="1"/>
  <c r="Q25" i="4" a="1"/>
  <c r="Q25" i="4" s="1"/>
  <c r="Z520" i="25" s="1"/>
  <c r="T17" i="4" a="1"/>
  <c r="T17" i="4" s="1"/>
  <c r="AC512" i="25" s="1"/>
  <c r="U17" i="4" a="1"/>
  <c r="U17" i="4" s="1"/>
  <c r="AD512" i="25" s="1"/>
  <c r="S17" i="4" a="1"/>
  <c r="S17" i="4" s="1"/>
  <c r="AB512" i="25" s="1"/>
  <c r="Q17" i="4" a="1"/>
  <c r="Q17" i="4" s="1"/>
  <c r="Z512" i="25" s="1"/>
  <c r="R17" i="4" a="1"/>
  <c r="R17" i="4" s="1"/>
  <c r="AA512" i="25" s="1"/>
  <c r="T9" i="4" a="1"/>
  <c r="T9" i="4" s="1"/>
  <c r="AC504" i="25" s="1"/>
  <c r="U9" i="4" a="1"/>
  <c r="U9" i="4" s="1"/>
  <c r="AD504" i="25" s="1"/>
  <c r="S9" i="4" a="1"/>
  <c r="S9" i="4" s="1"/>
  <c r="AB504" i="25" s="1"/>
  <c r="R9" i="4" a="1"/>
  <c r="R9" i="4" s="1"/>
  <c r="AA504" i="25" s="1"/>
  <c r="Q9" i="4" a="1"/>
  <c r="Q9" i="4" s="1"/>
  <c r="Z504" i="25" s="1"/>
  <c r="F451" i="4"/>
  <c r="U451" i="4" a="1"/>
  <c r="U451" i="4" s="1"/>
  <c r="T451" i="4" a="1"/>
  <c r="T451" i="4" s="1"/>
  <c r="S451" i="4" a="1"/>
  <c r="S451" i="4" s="1"/>
  <c r="R451" i="4" a="1"/>
  <c r="R451" i="4" s="1"/>
  <c r="Q451" i="4" a="1"/>
  <c r="Q451" i="4" s="1"/>
  <c r="F443" i="4"/>
  <c r="U443" i="4" a="1"/>
  <c r="U443" i="4" s="1"/>
  <c r="T443" i="4" a="1"/>
  <c r="T443" i="4" s="1"/>
  <c r="S443" i="4" a="1"/>
  <c r="S443" i="4" s="1"/>
  <c r="R443" i="4" a="1"/>
  <c r="R443" i="4" s="1"/>
  <c r="Q443" i="4" a="1"/>
  <c r="Q443" i="4" s="1"/>
  <c r="F435" i="4"/>
  <c r="U435" i="4" a="1"/>
  <c r="U435" i="4" s="1"/>
  <c r="S435" i="4" a="1"/>
  <c r="S435" i="4" s="1"/>
  <c r="R435" i="4" a="1"/>
  <c r="R435" i="4" s="1"/>
  <c r="T435" i="4" a="1"/>
  <c r="T435" i="4" s="1"/>
  <c r="Q435" i="4" a="1"/>
  <c r="Q435" i="4" s="1"/>
  <c r="F427" i="4"/>
  <c r="U427" i="4" a="1"/>
  <c r="U427" i="4" s="1"/>
  <c r="S427" i="4" a="1"/>
  <c r="S427" i="4" s="1"/>
  <c r="T427" i="4" a="1"/>
  <c r="T427" i="4" s="1"/>
  <c r="R427" i="4" a="1"/>
  <c r="R427" i="4" s="1"/>
  <c r="Q427" i="4" a="1"/>
  <c r="Q427" i="4" s="1"/>
  <c r="F419" i="4"/>
  <c r="U419" i="4" a="1"/>
  <c r="U419" i="4" s="1"/>
  <c r="S419" i="4" a="1"/>
  <c r="S419" i="4" s="1"/>
  <c r="T419" i="4" a="1"/>
  <c r="T419" i="4" s="1"/>
  <c r="R419" i="4" a="1"/>
  <c r="R419" i="4" s="1"/>
  <c r="Q419" i="4" a="1"/>
  <c r="Q419" i="4" s="1"/>
  <c r="F411" i="4"/>
  <c r="U411" i="4" a="1"/>
  <c r="U411" i="4" s="1"/>
  <c r="S411" i="4" a="1"/>
  <c r="S411" i="4" s="1"/>
  <c r="T411" i="4" a="1"/>
  <c r="T411" i="4" s="1"/>
  <c r="R411" i="4" a="1"/>
  <c r="R411" i="4" s="1"/>
  <c r="Q411" i="4" a="1"/>
  <c r="Q411" i="4" s="1"/>
  <c r="U403" i="4" a="1"/>
  <c r="U403" i="4" s="1"/>
  <c r="T403" i="4" a="1"/>
  <c r="T403" i="4" s="1"/>
  <c r="S403" i="4" a="1"/>
  <c r="S403" i="4" s="1"/>
  <c r="R403" i="4" a="1"/>
  <c r="R403" i="4" s="1"/>
  <c r="Q403" i="4" a="1"/>
  <c r="Q403" i="4" s="1"/>
  <c r="M708" i="25"/>
  <c r="M700" i="25"/>
  <c r="M676" i="25"/>
  <c r="M668" i="25"/>
  <c r="M644" i="25"/>
  <c r="M636" i="25"/>
  <c r="M612" i="25"/>
  <c r="M604" i="25"/>
  <c r="M580" i="25"/>
  <c r="M572" i="25"/>
  <c r="M548" i="25"/>
  <c r="M540" i="25"/>
  <c r="M516" i="25"/>
  <c r="M508" i="25"/>
  <c r="Q444" i="4" a="1"/>
  <c r="Q444" i="4" s="1"/>
  <c r="Q412" i="4" a="1"/>
  <c r="Q412" i="4" s="1"/>
  <c r="Q220" i="4" a="1"/>
  <c r="Q220" i="4" s="1"/>
  <c r="Z715" i="25" s="1"/>
  <c r="Q188" i="4" a="1"/>
  <c r="Q188" i="4" s="1"/>
  <c r="Z683" i="25" s="1"/>
  <c r="Q156" i="4" a="1"/>
  <c r="Q156" i="4" s="1"/>
  <c r="Z651" i="25" s="1"/>
  <c r="Q124" i="4" a="1"/>
  <c r="Q124" i="4" s="1"/>
  <c r="Z619" i="25" s="1"/>
  <c r="Q92" i="4" a="1"/>
  <c r="Q92" i="4" s="1"/>
  <c r="Z587" i="25" s="1"/>
  <c r="Q60" i="4" a="1"/>
  <c r="Q60" i="4" s="1"/>
  <c r="Z555" i="25" s="1"/>
  <c r="Q28" i="4" a="1"/>
  <c r="Q28" i="4" s="1"/>
  <c r="Z523" i="25" s="1"/>
  <c r="R42" i="4" a="1"/>
  <c r="R42" i="4" s="1"/>
  <c r="AA537" i="25" s="1"/>
  <c r="U224" i="4" a="1"/>
  <c r="U224" i="4" s="1"/>
  <c r="AD719" i="25" s="1"/>
  <c r="S224" i="4" a="1"/>
  <c r="S224" i="4" s="1"/>
  <c r="AB719" i="25" s="1"/>
  <c r="T224" i="4" a="1"/>
  <c r="T224" i="4" s="1"/>
  <c r="AC719" i="25" s="1"/>
  <c r="R224" i="4" a="1"/>
  <c r="R224" i="4" s="1"/>
  <c r="AA719" i="25" s="1"/>
  <c r="Q224" i="4" a="1"/>
  <c r="Q224" i="4" s="1"/>
  <c r="Z719" i="25" s="1"/>
  <c r="S216" i="4" a="1"/>
  <c r="S216" i="4" s="1"/>
  <c r="AB711" i="25" s="1"/>
  <c r="T216" i="4" a="1"/>
  <c r="T216" i="4" s="1"/>
  <c r="AC711" i="25" s="1"/>
  <c r="U216" i="4" a="1"/>
  <c r="U216" i="4" s="1"/>
  <c r="AD711" i="25" s="1"/>
  <c r="Q216" i="4" a="1"/>
  <c r="Q216" i="4" s="1"/>
  <c r="Z711" i="25" s="1"/>
  <c r="S208" i="4" a="1"/>
  <c r="S208" i="4" s="1"/>
  <c r="AB703" i="25" s="1"/>
  <c r="T208" i="4" a="1"/>
  <c r="T208" i="4" s="1"/>
  <c r="AC703" i="25" s="1"/>
  <c r="U208" i="4" a="1"/>
  <c r="U208" i="4" s="1"/>
  <c r="AD703" i="25" s="1"/>
  <c r="Q208" i="4" a="1"/>
  <c r="Q208" i="4" s="1"/>
  <c r="Z703" i="25" s="1"/>
  <c r="R208" i="4" a="1"/>
  <c r="R208" i="4" s="1"/>
  <c r="AA703" i="25" s="1"/>
  <c r="S200" i="4" a="1"/>
  <c r="S200" i="4" s="1"/>
  <c r="AB695" i="25" s="1"/>
  <c r="T200" i="4" a="1"/>
  <c r="T200" i="4" s="1"/>
  <c r="AC695" i="25" s="1"/>
  <c r="U200" i="4" a="1"/>
  <c r="U200" i="4" s="1"/>
  <c r="AD695" i="25" s="1"/>
  <c r="R200" i="4" a="1"/>
  <c r="R200" i="4" s="1"/>
  <c r="AA695" i="25" s="1"/>
  <c r="Q200" i="4" a="1"/>
  <c r="Q200" i="4" s="1"/>
  <c r="Z695" i="25" s="1"/>
  <c r="T192" i="4" a="1"/>
  <c r="T192" i="4" s="1"/>
  <c r="AC687" i="25" s="1"/>
  <c r="S192" i="4" a="1"/>
  <c r="S192" i="4" s="1"/>
  <c r="AB687" i="25" s="1"/>
  <c r="U192" i="4" a="1"/>
  <c r="U192" i="4" s="1"/>
  <c r="AD687" i="25" s="1"/>
  <c r="Q192" i="4" a="1"/>
  <c r="Q192" i="4" s="1"/>
  <c r="Z687" i="25" s="1"/>
  <c r="T184" i="4" a="1"/>
  <c r="T184" i="4" s="1"/>
  <c r="AC679" i="25" s="1"/>
  <c r="S184" i="4" a="1"/>
  <c r="S184" i="4" s="1"/>
  <c r="AB679" i="25" s="1"/>
  <c r="U184" i="4" a="1"/>
  <c r="U184" i="4" s="1"/>
  <c r="AD679" i="25" s="1"/>
  <c r="Q184" i="4" a="1"/>
  <c r="Q184" i="4" s="1"/>
  <c r="Z679" i="25" s="1"/>
  <c r="R184" i="4" a="1"/>
  <c r="R184" i="4" s="1"/>
  <c r="AA679" i="25" s="1"/>
  <c r="T176" i="4" a="1"/>
  <c r="T176" i="4" s="1"/>
  <c r="AC671" i="25" s="1"/>
  <c r="S176" i="4" a="1"/>
  <c r="S176" i="4" s="1"/>
  <c r="AB671" i="25" s="1"/>
  <c r="U176" i="4" a="1"/>
  <c r="U176" i="4" s="1"/>
  <c r="AD671" i="25" s="1"/>
  <c r="R176" i="4" a="1"/>
  <c r="R176" i="4" s="1"/>
  <c r="AA671" i="25" s="1"/>
  <c r="Q176" i="4" a="1"/>
  <c r="Q176" i="4" s="1"/>
  <c r="Z671" i="25" s="1"/>
  <c r="T168" i="4" a="1"/>
  <c r="T168" i="4" s="1"/>
  <c r="AC663" i="25" s="1"/>
  <c r="U168" i="4" a="1"/>
  <c r="U168" i="4" s="1"/>
  <c r="AD663" i="25" s="1"/>
  <c r="S168" i="4" a="1"/>
  <c r="S168" i="4" s="1"/>
  <c r="AB663" i="25" s="1"/>
  <c r="Q168" i="4" a="1"/>
  <c r="Q168" i="4" s="1"/>
  <c r="Z663" i="25" s="1"/>
  <c r="R168" i="4" a="1"/>
  <c r="R168" i="4" s="1"/>
  <c r="AA663" i="25" s="1"/>
  <c r="T160" i="4" a="1"/>
  <c r="T160" i="4" s="1"/>
  <c r="AC655" i="25" s="1"/>
  <c r="U160" i="4" a="1"/>
  <c r="U160" i="4" s="1"/>
  <c r="AD655" i="25" s="1"/>
  <c r="S160" i="4" a="1"/>
  <c r="S160" i="4" s="1"/>
  <c r="AB655" i="25" s="1"/>
  <c r="R160" i="4" a="1"/>
  <c r="R160" i="4" s="1"/>
  <c r="AA655" i="25" s="1"/>
  <c r="Q160" i="4" a="1"/>
  <c r="Q160" i="4" s="1"/>
  <c r="Z655" i="25" s="1"/>
  <c r="T152" i="4" a="1"/>
  <c r="T152" i="4" s="1"/>
  <c r="AC647" i="25" s="1"/>
  <c r="S152" i="4" a="1"/>
  <c r="S152" i="4" s="1"/>
  <c r="AB647" i="25" s="1"/>
  <c r="Q152" i="4" a="1"/>
  <c r="Q152" i="4" s="1"/>
  <c r="Z647" i="25" s="1"/>
  <c r="U152" i="4" a="1"/>
  <c r="U152" i="4" s="1"/>
  <c r="AD647" i="25" s="1"/>
  <c r="T144" i="4" a="1"/>
  <c r="T144" i="4" s="1"/>
  <c r="AC639" i="25" s="1"/>
  <c r="S144" i="4" a="1"/>
  <c r="S144" i="4" s="1"/>
  <c r="AB639" i="25" s="1"/>
  <c r="U144" i="4" a="1"/>
  <c r="U144" i="4" s="1"/>
  <c r="AD639" i="25" s="1"/>
  <c r="Q144" i="4" a="1"/>
  <c r="Q144" i="4" s="1"/>
  <c r="Z639" i="25" s="1"/>
  <c r="R144" i="4" a="1"/>
  <c r="R144" i="4" s="1"/>
  <c r="AA639" i="25" s="1"/>
  <c r="T136" i="4" a="1"/>
  <c r="T136" i="4" s="1"/>
  <c r="AC631" i="25" s="1"/>
  <c r="S136" i="4" a="1"/>
  <c r="S136" i="4" s="1"/>
  <c r="AB631" i="25" s="1"/>
  <c r="U136" i="4" a="1"/>
  <c r="U136" i="4" s="1"/>
  <c r="AD631" i="25" s="1"/>
  <c r="R136" i="4" a="1"/>
  <c r="R136" i="4" s="1"/>
  <c r="AA631" i="25" s="1"/>
  <c r="Q136" i="4" a="1"/>
  <c r="Q136" i="4" s="1"/>
  <c r="Z631" i="25" s="1"/>
  <c r="AA623" i="25"/>
  <c r="T128" i="4" a="1"/>
  <c r="T128" i="4" s="1"/>
  <c r="AC623" i="25" s="1"/>
  <c r="S128" i="4" a="1"/>
  <c r="S128" i="4" s="1"/>
  <c r="AB623" i="25" s="1"/>
  <c r="U128" i="4" a="1"/>
  <c r="U128" i="4" s="1"/>
  <c r="AD623" i="25" s="1"/>
  <c r="Q128" i="4" a="1"/>
  <c r="Q128" i="4" s="1"/>
  <c r="Z623" i="25" s="1"/>
  <c r="F120" i="4"/>
  <c r="N615" i="25" s="1"/>
  <c r="T120" i="4" a="1"/>
  <c r="T120" i="4" s="1"/>
  <c r="AC615" i="25" s="1"/>
  <c r="S120" i="4" a="1"/>
  <c r="S120" i="4" s="1"/>
  <c r="AB615" i="25" s="1"/>
  <c r="U120" i="4" a="1"/>
  <c r="U120" i="4" s="1"/>
  <c r="AD615" i="25" s="1"/>
  <c r="Q120" i="4" a="1"/>
  <c r="Q120" i="4" s="1"/>
  <c r="Z615" i="25" s="1"/>
  <c r="R120" i="4" a="1"/>
  <c r="R120" i="4" s="1"/>
  <c r="AA615" i="25" s="1"/>
  <c r="T112" i="4" a="1"/>
  <c r="T112" i="4" s="1"/>
  <c r="AC607" i="25" s="1"/>
  <c r="S112" i="4" a="1"/>
  <c r="S112" i="4" s="1"/>
  <c r="AB607" i="25" s="1"/>
  <c r="U112" i="4" a="1"/>
  <c r="U112" i="4" s="1"/>
  <c r="AD607" i="25" s="1"/>
  <c r="R112" i="4" a="1"/>
  <c r="R112" i="4" s="1"/>
  <c r="AA607" i="25" s="1"/>
  <c r="Q112" i="4" a="1"/>
  <c r="Q112" i="4" s="1"/>
  <c r="Z607" i="25" s="1"/>
  <c r="T104" i="4" a="1"/>
  <c r="T104" i="4" s="1"/>
  <c r="AC599" i="25" s="1"/>
  <c r="U104" i="4" a="1"/>
  <c r="U104" i="4" s="1"/>
  <c r="AD599" i="25" s="1"/>
  <c r="S104" i="4" a="1"/>
  <c r="S104" i="4" s="1"/>
  <c r="AB599" i="25" s="1"/>
  <c r="Q104" i="4" a="1"/>
  <c r="Q104" i="4" s="1"/>
  <c r="Z599" i="25" s="1"/>
  <c r="R104" i="4" a="1"/>
  <c r="R104" i="4" s="1"/>
  <c r="AA599" i="25" s="1"/>
  <c r="T96" i="4" a="1"/>
  <c r="T96" i="4" s="1"/>
  <c r="AC591" i="25" s="1"/>
  <c r="U96" i="4" a="1"/>
  <c r="U96" i="4" s="1"/>
  <c r="AD591" i="25" s="1"/>
  <c r="S96" i="4" a="1"/>
  <c r="S96" i="4" s="1"/>
  <c r="AB591" i="25" s="1"/>
  <c r="R96" i="4" a="1"/>
  <c r="R96" i="4" s="1"/>
  <c r="AA591" i="25" s="1"/>
  <c r="Q96" i="4" a="1"/>
  <c r="Q96" i="4" s="1"/>
  <c r="Z591" i="25" s="1"/>
  <c r="F88" i="4"/>
  <c r="N583" i="25" s="1"/>
  <c r="T88" i="4" a="1"/>
  <c r="T88" i="4" s="1"/>
  <c r="AC583" i="25" s="1"/>
  <c r="S88" i="4" a="1"/>
  <c r="S88" i="4" s="1"/>
  <c r="AB583" i="25" s="1"/>
  <c r="U88" i="4" a="1"/>
  <c r="U88" i="4" s="1"/>
  <c r="AD583" i="25" s="1"/>
  <c r="Q88" i="4" a="1"/>
  <c r="Q88" i="4" s="1"/>
  <c r="Z583" i="25" s="1"/>
  <c r="T80" i="4" a="1"/>
  <c r="T80" i="4" s="1"/>
  <c r="AC575" i="25" s="1"/>
  <c r="S80" i="4" a="1"/>
  <c r="S80" i="4" s="1"/>
  <c r="AB575" i="25" s="1"/>
  <c r="U80" i="4" a="1"/>
  <c r="U80" i="4" s="1"/>
  <c r="AD575" i="25" s="1"/>
  <c r="R80" i="4" a="1"/>
  <c r="R80" i="4" s="1"/>
  <c r="AA575" i="25" s="1"/>
  <c r="Q80" i="4" a="1"/>
  <c r="Q80" i="4" s="1"/>
  <c r="Z575" i="25" s="1"/>
  <c r="T72" i="4" a="1"/>
  <c r="T72" i="4" s="1"/>
  <c r="AC567" i="25" s="1"/>
  <c r="S72" i="4" a="1"/>
  <c r="S72" i="4" s="1"/>
  <c r="AB567" i="25" s="1"/>
  <c r="U72" i="4" a="1"/>
  <c r="U72" i="4" s="1"/>
  <c r="AD567" i="25" s="1"/>
  <c r="R72" i="4" a="1"/>
  <c r="R72" i="4" s="1"/>
  <c r="AA567" i="25" s="1"/>
  <c r="Q72" i="4" a="1"/>
  <c r="Q72" i="4" s="1"/>
  <c r="Z567" i="25" s="1"/>
  <c r="T64" i="4" a="1"/>
  <c r="T64" i="4" s="1"/>
  <c r="AC559" i="25" s="1"/>
  <c r="S64" i="4" a="1"/>
  <c r="S64" i="4" s="1"/>
  <c r="AB559" i="25" s="1"/>
  <c r="U64" i="4" a="1"/>
  <c r="U64" i="4" s="1"/>
  <c r="AD559" i="25" s="1"/>
  <c r="R64" i="4" a="1"/>
  <c r="R64" i="4" s="1"/>
  <c r="AA559" i="25" s="1"/>
  <c r="Q64" i="4" a="1"/>
  <c r="Q64" i="4" s="1"/>
  <c r="Z559" i="25" s="1"/>
  <c r="T56" i="4" a="1"/>
  <c r="T56" i="4" s="1"/>
  <c r="AC551" i="25" s="1"/>
  <c r="S56" i="4" a="1"/>
  <c r="S56" i="4" s="1"/>
  <c r="AB551" i="25" s="1"/>
  <c r="U56" i="4" a="1"/>
  <c r="U56" i="4" s="1"/>
  <c r="AD551" i="25" s="1"/>
  <c r="R56" i="4" a="1"/>
  <c r="R56" i="4" s="1"/>
  <c r="AA551" i="25" s="1"/>
  <c r="Q56" i="4" a="1"/>
  <c r="Q56" i="4" s="1"/>
  <c r="Z551" i="25" s="1"/>
  <c r="T48" i="4" a="1"/>
  <c r="T48" i="4" s="1"/>
  <c r="AC543" i="25" s="1"/>
  <c r="S48" i="4" a="1"/>
  <c r="S48" i="4" s="1"/>
  <c r="AB543" i="25" s="1"/>
  <c r="U48" i="4" a="1"/>
  <c r="U48" i="4" s="1"/>
  <c r="AD543" i="25" s="1"/>
  <c r="R48" i="4" a="1"/>
  <c r="R48" i="4" s="1"/>
  <c r="AA543" i="25" s="1"/>
  <c r="Q48" i="4" a="1"/>
  <c r="Q48" i="4" s="1"/>
  <c r="Z543" i="25" s="1"/>
  <c r="T40" i="4" a="1"/>
  <c r="T40" i="4" s="1"/>
  <c r="AC535" i="25" s="1"/>
  <c r="U40" i="4" a="1"/>
  <c r="U40" i="4" s="1"/>
  <c r="AD535" i="25" s="1"/>
  <c r="S40" i="4" a="1"/>
  <c r="S40" i="4" s="1"/>
  <c r="AB535" i="25" s="1"/>
  <c r="R40" i="4" a="1"/>
  <c r="R40" i="4" s="1"/>
  <c r="AA535" i="25" s="1"/>
  <c r="Q40" i="4" a="1"/>
  <c r="Q40" i="4" s="1"/>
  <c r="Z535" i="25" s="1"/>
  <c r="T32" i="4" a="1"/>
  <c r="T32" i="4" s="1"/>
  <c r="AC527" i="25" s="1"/>
  <c r="U32" i="4" a="1"/>
  <c r="U32" i="4" s="1"/>
  <c r="AD527" i="25" s="1"/>
  <c r="S32" i="4" a="1"/>
  <c r="S32" i="4" s="1"/>
  <c r="AB527" i="25" s="1"/>
  <c r="R32" i="4" a="1"/>
  <c r="R32" i="4" s="1"/>
  <c r="AA527" i="25" s="1"/>
  <c r="Q32" i="4" a="1"/>
  <c r="Q32" i="4" s="1"/>
  <c r="Z527" i="25" s="1"/>
  <c r="T24" i="4" a="1"/>
  <c r="T24" i="4" s="1"/>
  <c r="AC519" i="25" s="1"/>
  <c r="S24" i="4" a="1"/>
  <c r="S24" i="4" s="1"/>
  <c r="AB519" i="25" s="1"/>
  <c r="U24" i="4" a="1"/>
  <c r="U24" i="4" s="1"/>
  <c r="AD519" i="25" s="1"/>
  <c r="R24" i="4" a="1"/>
  <c r="R24" i="4" s="1"/>
  <c r="AA519" i="25" s="1"/>
  <c r="Q24" i="4" a="1"/>
  <c r="Q24" i="4" s="1"/>
  <c r="Z519" i="25" s="1"/>
  <c r="T16" i="4" a="1"/>
  <c r="T16" i="4" s="1"/>
  <c r="AC511" i="25" s="1"/>
  <c r="S16" i="4" a="1"/>
  <c r="S16" i="4" s="1"/>
  <c r="AB511" i="25" s="1"/>
  <c r="U16" i="4" a="1"/>
  <c r="U16" i="4" s="1"/>
  <c r="AD511" i="25" s="1"/>
  <c r="R16" i="4" a="1"/>
  <c r="R16" i="4" s="1"/>
  <c r="AA511" i="25" s="1"/>
  <c r="Q16" i="4" a="1"/>
  <c r="Q16" i="4" s="1"/>
  <c r="Z511" i="25" s="1"/>
  <c r="T8" i="4" a="1"/>
  <c r="T8" i="4" s="1"/>
  <c r="AC503" i="25" s="1"/>
  <c r="S8" i="4" a="1"/>
  <c r="S8" i="4" s="1"/>
  <c r="AB503" i="25" s="1"/>
  <c r="U8" i="4" a="1"/>
  <c r="U8" i="4" s="1"/>
  <c r="AD503" i="25" s="1"/>
  <c r="R8" i="4" a="1"/>
  <c r="R8" i="4" s="1"/>
  <c r="AA503" i="25" s="1"/>
  <c r="Q8" i="4" a="1"/>
  <c r="Q8" i="4" s="1"/>
  <c r="Z503" i="25" s="1"/>
  <c r="U450" i="4" a="1"/>
  <c r="U450" i="4" s="1"/>
  <c r="T450" i="4" a="1"/>
  <c r="T450" i="4" s="1"/>
  <c r="S450" i="4" a="1"/>
  <c r="S450" i="4" s="1"/>
  <c r="Q450" i="4" a="1"/>
  <c r="Q450" i="4" s="1"/>
  <c r="U442" i="4" a="1"/>
  <c r="U442" i="4" s="1"/>
  <c r="T442" i="4" a="1"/>
  <c r="T442" i="4" s="1"/>
  <c r="S442" i="4" a="1"/>
  <c r="S442" i="4" s="1"/>
  <c r="Q442" i="4" a="1"/>
  <c r="Q442" i="4" s="1"/>
  <c r="F434" i="4"/>
  <c r="U434" i="4" a="1"/>
  <c r="U434" i="4" s="1"/>
  <c r="T434" i="4" a="1"/>
  <c r="T434" i="4" s="1"/>
  <c r="S434" i="4" a="1"/>
  <c r="S434" i="4" s="1"/>
  <c r="Q434" i="4" a="1"/>
  <c r="Q434" i="4" s="1"/>
  <c r="U426" i="4" a="1"/>
  <c r="U426" i="4" s="1"/>
  <c r="T426" i="4" a="1"/>
  <c r="T426" i="4" s="1"/>
  <c r="S426" i="4" a="1"/>
  <c r="S426" i="4" s="1"/>
  <c r="Q426" i="4" a="1"/>
  <c r="Q426" i="4" s="1"/>
  <c r="U418" i="4" a="1"/>
  <c r="U418" i="4" s="1"/>
  <c r="T418" i="4" a="1"/>
  <c r="T418" i="4" s="1"/>
  <c r="S418" i="4" a="1"/>
  <c r="S418" i="4" s="1"/>
  <c r="Q418" i="4" a="1"/>
  <c r="Q418" i="4" s="1"/>
  <c r="U410" i="4" a="1"/>
  <c r="U410" i="4" s="1"/>
  <c r="T410" i="4" a="1"/>
  <c r="T410" i="4" s="1"/>
  <c r="S410" i="4" a="1"/>
  <c r="S410" i="4" s="1"/>
  <c r="Q410" i="4" a="1"/>
  <c r="Q410" i="4" s="1"/>
  <c r="U402" i="4" a="1"/>
  <c r="U402" i="4" s="1"/>
  <c r="T402" i="4" a="1"/>
  <c r="T402" i="4" s="1"/>
  <c r="S402" i="4" a="1"/>
  <c r="S402" i="4" s="1"/>
  <c r="Q402" i="4" a="1"/>
  <c r="Q402" i="4" s="1"/>
  <c r="M707" i="25"/>
  <c r="M699" i="25"/>
  <c r="M675" i="25"/>
  <c r="M667" i="25"/>
  <c r="M643" i="25"/>
  <c r="M635" i="25"/>
  <c r="M611" i="25"/>
  <c r="M603" i="25"/>
  <c r="M579" i="25"/>
  <c r="M571" i="25"/>
  <c r="M547" i="25"/>
  <c r="M539" i="25"/>
  <c r="M515" i="25"/>
  <c r="M507" i="25"/>
  <c r="R450" i="4" a="1"/>
  <c r="R450" i="4" s="1"/>
  <c r="R418" i="4" a="1"/>
  <c r="R418" i="4" s="1"/>
  <c r="R193" i="4" a="1"/>
  <c r="R193" i="4" s="1"/>
  <c r="AA688" i="25" s="1"/>
  <c r="R25" i="4" a="1"/>
  <c r="R25" i="4" s="1"/>
  <c r="AA520" i="25" s="1"/>
  <c r="U223" i="4" a="1"/>
  <c r="U223" i="4" s="1"/>
  <c r="AD718" i="25" s="1"/>
  <c r="T223" i="4" a="1"/>
  <c r="T223" i="4" s="1"/>
  <c r="AC718" i="25" s="1"/>
  <c r="S223" i="4" a="1"/>
  <c r="S223" i="4" s="1"/>
  <c r="AB718" i="25" s="1"/>
  <c r="R223" i="4" a="1"/>
  <c r="R223" i="4" s="1"/>
  <c r="AA718" i="25" s="1"/>
  <c r="Q223" i="4" a="1"/>
  <c r="Q223" i="4" s="1"/>
  <c r="Z718" i="25" s="1"/>
  <c r="U215" i="4" a="1"/>
  <c r="U215" i="4" s="1"/>
  <c r="AD710" i="25" s="1"/>
  <c r="T215" i="4" a="1"/>
  <c r="T215" i="4" s="1"/>
  <c r="AC710" i="25" s="1"/>
  <c r="S215" i="4" a="1"/>
  <c r="S215" i="4" s="1"/>
  <c r="AB710" i="25" s="1"/>
  <c r="R215" i="4" a="1"/>
  <c r="R215" i="4" s="1"/>
  <c r="AA710" i="25" s="1"/>
  <c r="Q215" i="4" a="1"/>
  <c r="Q215" i="4" s="1"/>
  <c r="Z710" i="25" s="1"/>
  <c r="X207" i="4" a="1"/>
  <c r="X207" i="4" s="1"/>
  <c r="AG702" i="25" s="1"/>
  <c r="U207" i="4" a="1"/>
  <c r="U207" i="4" s="1"/>
  <c r="AD702" i="25" s="1"/>
  <c r="T207" i="4" a="1"/>
  <c r="T207" i="4" s="1"/>
  <c r="AC702" i="25" s="1"/>
  <c r="R207" i="4" a="1"/>
  <c r="R207" i="4" s="1"/>
  <c r="AA702" i="25" s="1"/>
  <c r="S207" i="4" a="1"/>
  <c r="S207" i="4" s="1"/>
  <c r="AB702" i="25" s="1"/>
  <c r="Q207" i="4" a="1"/>
  <c r="Q207" i="4" s="1"/>
  <c r="Z702" i="25" s="1"/>
  <c r="U199" i="4" a="1"/>
  <c r="U199" i="4" s="1"/>
  <c r="AD694" i="25" s="1"/>
  <c r="T199" i="4" a="1"/>
  <c r="T199" i="4" s="1"/>
  <c r="AC694" i="25" s="1"/>
  <c r="S199" i="4" a="1"/>
  <c r="S199" i="4" s="1"/>
  <c r="AB694" i="25" s="1"/>
  <c r="R199" i="4" a="1"/>
  <c r="R199" i="4" s="1"/>
  <c r="Q199" i="4" a="1"/>
  <c r="Q199" i="4" s="1"/>
  <c r="Z694" i="25" s="1"/>
  <c r="U191" i="4" a="1"/>
  <c r="U191" i="4" s="1"/>
  <c r="AD686" i="25" s="1"/>
  <c r="T191" i="4" a="1"/>
  <c r="T191" i="4" s="1"/>
  <c r="AC686" i="25" s="1"/>
  <c r="S191" i="4" a="1"/>
  <c r="S191" i="4" s="1"/>
  <c r="AB686" i="25" s="1"/>
  <c r="R191" i="4" a="1"/>
  <c r="R191" i="4" s="1"/>
  <c r="AA686" i="25" s="1"/>
  <c r="Q191" i="4" a="1"/>
  <c r="Q191" i="4" s="1"/>
  <c r="Z686" i="25" s="1"/>
  <c r="U183" i="4" a="1"/>
  <c r="U183" i="4" s="1"/>
  <c r="AD678" i="25" s="1"/>
  <c r="T183" i="4" a="1"/>
  <c r="T183" i="4" s="1"/>
  <c r="AC678" i="25" s="1"/>
  <c r="S183" i="4" a="1"/>
  <c r="S183" i="4" s="1"/>
  <c r="AB678" i="25" s="1"/>
  <c r="R183" i="4" a="1"/>
  <c r="R183" i="4" s="1"/>
  <c r="AA678" i="25" s="1"/>
  <c r="Q183" i="4" a="1"/>
  <c r="Q183" i="4" s="1"/>
  <c r="Z678" i="25" s="1"/>
  <c r="U175" i="4" a="1"/>
  <c r="U175" i="4" s="1"/>
  <c r="AD670" i="25" s="1"/>
  <c r="T175" i="4" a="1"/>
  <c r="T175" i="4" s="1"/>
  <c r="AC670" i="25" s="1"/>
  <c r="S175" i="4" a="1"/>
  <c r="S175" i="4" s="1"/>
  <c r="AB670" i="25" s="1"/>
  <c r="R175" i="4" a="1"/>
  <c r="R175" i="4" s="1"/>
  <c r="AA670" i="25" s="1"/>
  <c r="Q175" i="4" a="1"/>
  <c r="Q175" i="4" s="1"/>
  <c r="Z670" i="25" s="1"/>
  <c r="U167" i="4" a="1"/>
  <c r="U167" i="4" s="1"/>
  <c r="AD662" i="25" s="1"/>
  <c r="T167" i="4" a="1"/>
  <c r="T167" i="4" s="1"/>
  <c r="AC662" i="25" s="1"/>
  <c r="R167" i="4" a="1"/>
  <c r="R167" i="4" s="1"/>
  <c r="AA662" i="25" s="1"/>
  <c r="Q167" i="4" a="1"/>
  <c r="Q167" i="4" s="1"/>
  <c r="Z662" i="25" s="1"/>
  <c r="U159" i="4" a="1"/>
  <c r="U159" i="4" s="1"/>
  <c r="AD654" i="25" s="1"/>
  <c r="T159" i="4" a="1"/>
  <c r="T159" i="4" s="1"/>
  <c r="AC654" i="25" s="1"/>
  <c r="S159" i="4" a="1"/>
  <c r="S159" i="4" s="1"/>
  <c r="AB654" i="25" s="1"/>
  <c r="R159" i="4" a="1"/>
  <c r="R159" i="4" s="1"/>
  <c r="AA654" i="25" s="1"/>
  <c r="Q159" i="4" a="1"/>
  <c r="Q159" i="4" s="1"/>
  <c r="Z654" i="25" s="1"/>
  <c r="U151" i="4" a="1"/>
  <c r="U151" i="4" s="1"/>
  <c r="AD646" i="25" s="1"/>
  <c r="S151" i="4" a="1"/>
  <c r="S151" i="4" s="1"/>
  <c r="AB646" i="25" s="1"/>
  <c r="R151" i="4" a="1"/>
  <c r="R151" i="4" s="1"/>
  <c r="AA646" i="25" s="1"/>
  <c r="Q151" i="4" a="1"/>
  <c r="Q151" i="4" s="1"/>
  <c r="Z646" i="25" s="1"/>
  <c r="U143" i="4" a="1"/>
  <c r="U143" i="4" s="1"/>
  <c r="AD638" i="25" s="1"/>
  <c r="S143" i="4" a="1"/>
  <c r="S143" i="4" s="1"/>
  <c r="AB638" i="25" s="1"/>
  <c r="T143" i="4" a="1"/>
  <c r="T143" i="4" s="1"/>
  <c r="AC638" i="25" s="1"/>
  <c r="R143" i="4" a="1"/>
  <c r="R143" i="4" s="1"/>
  <c r="AA638" i="25" s="1"/>
  <c r="Q143" i="4" a="1"/>
  <c r="Q143" i="4" s="1"/>
  <c r="Z638" i="25" s="1"/>
  <c r="T135" i="4" a="1"/>
  <c r="T135" i="4" s="1"/>
  <c r="AC630" i="25" s="1"/>
  <c r="U135" i="4" a="1"/>
  <c r="U135" i="4" s="1"/>
  <c r="AD630" i="25" s="1"/>
  <c r="S135" i="4" a="1"/>
  <c r="S135" i="4" s="1"/>
  <c r="AB630" i="25" s="1"/>
  <c r="R135" i="4" a="1"/>
  <c r="R135" i="4" s="1"/>
  <c r="AA630" i="25" s="1"/>
  <c r="Q135" i="4" a="1"/>
  <c r="Q135" i="4" s="1"/>
  <c r="Z630" i="25" s="1"/>
  <c r="X127" i="4" a="1"/>
  <c r="X127" i="4" s="1"/>
  <c r="AG622" i="25" s="1"/>
  <c r="T127" i="4" a="1"/>
  <c r="T127" i="4" s="1"/>
  <c r="AC622" i="25" s="1"/>
  <c r="U127" i="4" a="1"/>
  <c r="U127" i="4" s="1"/>
  <c r="AD622" i="25" s="1"/>
  <c r="S127" i="4" a="1"/>
  <c r="S127" i="4" s="1"/>
  <c r="AB622" i="25" s="1"/>
  <c r="R127" i="4" a="1"/>
  <c r="R127" i="4" s="1"/>
  <c r="AA622" i="25" s="1"/>
  <c r="Q127" i="4" a="1"/>
  <c r="Q127" i="4" s="1"/>
  <c r="Z622" i="25" s="1"/>
  <c r="T119" i="4" a="1"/>
  <c r="T119" i="4" s="1"/>
  <c r="AC614" i="25" s="1"/>
  <c r="U119" i="4" a="1"/>
  <c r="U119" i="4" s="1"/>
  <c r="AD614" i="25" s="1"/>
  <c r="S119" i="4" a="1"/>
  <c r="S119" i="4" s="1"/>
  <c r="AB614" i="25" s="1"/>
  <c r="R119" i="4" a="1"/>
  <c r="R119" i="4" s="1"/>
  <c r="AA614" i="25" s="1"/>
  <c r="Q119" i="4" a="1"/>
  <c r="Q119" i="4" s="1"/>
  <c r="Z614" i="25" s="1"/>
  <c r="X111" i="4" a="1"/>
  <c r="X111" i="4" s="1"/>
  <c r="AG606" i="25" s="1"/>
  <c r="T111" i="4" a="1"/>
  <c r="T111" i="4" s="1"/>
  <c r="AC606" i="25" s="1"/>
  <c r="U111" i="4" a="1"/>
  <c r="U111" i="4" s="1"/>
  <c r="AD606" i="25" s="1"/>
  <c r="S111" i="4" a="1"/>
  <c r="S111" i="4" s="1"/>
  <c r="AB606" i="25" s="1"/>
  <c r="R111" i="4" a="1"/>
  <c r="R111" i="4" s="1"/>
  <c r="AA606" i="25" s="1"/>
  <c r="Q111" i="4" a="1"/>
  <c r="Q111" i="4" s="1"/>
  <c r="Z606" i="25" s="1"/>
  <c r="T103" i="4" a="1"/>
  <c r="T103" i="4" s="1"/>
  <c r="AC598" i="25" s="1"/>
  <c r="U103" i="4" a="1"/>
  <c r="U103" i="4" s="1"/>
  <c r="AD598" i="25" s="1"/>
  <c r="S103" i="4" a="1"/>
  <c r="S103" i="4" s="1"/>
  <c r="AB598" i="25" s="1"/>
  <c r="R103" i="4" a="1"/>
  <c r="R103" i="4" s="1"/>
  <c r="AA598" i="25" s="1"/>
  <c r="Q103" i="4" a="1"/>
  <c r="Q103" i="4" s="1"/>
  <c r="Z598" i="25" s="1"/>
  <c r="T95" i="4" a="1"/>
  <c r="T95" i="4" s="1"/>
  <c r="AC590" i="25" s="1"/>
  <c r="U95" i="4" a="1"/>
  <c r="U95" i="4" s="1"/>
  <c r="AD590" i="25" s="1"/>
  <c r="S95" i="4" a="1"/>
  <c r="S95" i="4" s="1"/>
  <c r="AB590" i="25" s="1"/>
  <c r="R95" i="4" a="1"/>
  <c r="R95" i="4" s="1"/>
  <c r="AA590" i="25" s="1"/>
  <c r="Q95" i="4" a="1"/>
  <c r="Q95" i="4" s="1"/>
  <c r="Z590" i="25" s="1"/>
  <c r="T87" i="4" a="1"/>
  <c r="T87" i="4" s="1"/>
  <c r="AC582" i="25" s="1"/>
  <c r="U87" i="4" a="1"/>
  <c r="U87" i="4" s="1"/>
  <c r="AD582" i="25" s="1"/>
  <c r="S87" i="4" a="1"/>
  <c r="S87" i="4" s="1"/>
  <c r="AB582" i="25" s="1"/>
  <c r="R87" i="4" a="1"/>
  <c r="R87" i="4" s="1"/>
  <c r="AA582" i="25" s="1"/>
  <c r="Q87" i="4" a="1"/>
  <c r="Q87" i="4" s="1"/>
  <c r="Z582" i="25" s="1"/>
  <c r="T79" i="4" a="1"/>
  <c r="T79" i="4" s="1"/>
  <c r="AC574" i="25" s="1"/>
  <c r="U79" i="4" a="1"/>
  <c r="U79" i="4" s="1"/>
  <c r="AD574" i="25" s="1"/>
  <c r="S79" i="4" a="1"/>
  <c r="S79" i="4" s="1"/>
  <c r="AB574" i="25" s="1"/>
  <c r="Q79" i="4" a="1"/>
  <c r="Q79" i="4" s="1"/>
  <c r="Z574" i="25" s="1"/>
  <c r="R79" i="4" a="1"/>
  <c r="R79" i="4" s="1"/>
  <c r="AA574" i="25" s="1"/>
  <c r="T71" i="4" a="1"/>
  <c r="T71" i="4" s="1"/>
  <c r="AC566" i="25" s="1"/>
  <c r="U71" i="4" a="1"/>
  <c r="U71" i="4" s="1"/>
  <c r="AD566" i="25" s="1"/>
  <c r="S71" i="4" a="1"/>
  <c r="S71" i="4" s="1"/>
  <c r="AB566" i="25" s="1"/>
  <c r="R71" i="4" a="1"/>
  <c r="R71" i="4" s="1"/>
  <c r="Q71" i="4" a="1"/>
  <c r="Q71" i="4" s="1"/>
  <c r="Z566" i="25" s="1"/>
  <c r="T63" i="4" a="1"/>
  <c r="T63" i="4" s="1"/>
  <c r="AC558" i="25" s="1"/>
  <c r="U63" i="4" a="1"/>
  <c r="U63" i="4" s="1"/>
  <c r="AD558" i="25" s="1"/>
  <c r="S63" i="4" a="1"/>
  <c r="S63" i="4" s="1"/>
  <c r="AB558" i="25" s="1"/>
  <c r="Q63" i="4" a="1"/>
  <c r="Q63" i="4" s="1"/>
  <c r="Z558" i="25" s="1"/>
  <c r="R63" i="4" a="1"/>
  <c r="R63" i="4" s="1"/>
  <c r="AA558" i="25" s="1"/>
  <c r="T55" i="4" a="1"/>
  <c r="T55" i="4" s="1"/>
  <c r="AC550" i="25" s="1"/>
  <c r="U55" i="4" a="1"/>
  <c r="U55" i="4" s="1"/>
  <c r="AD550" i="25" s="1"/>
  <c r="S55" i="4" a="1"/>
  <c r="S55" i="4" s="1"/>
  <c r="AB550" i="25" s="1"/>
  <c r="Q55" i="4" a="1"/>
  <c r="Q55" i="4" s="1"/>
  <c r="Z550" i="25" s="1"/>
  <c r="R55" i="4" a="1"/>
  <c r="R55" i="4" s="1"/>
  <c r="AA550" i="25" s="1"/>
  <c r="T47" i="4" a="1"/>
  <c r="T47" i="4" s="1"/>
  <c r="AC542" i="25" s="1"/>
  <c r="U47" i="4" a="1"/>
  <c r="U47" i="4" s="1"/>
  <c r="AD542" i="25" s="1"/>
  <c r="S47" i="4" a="1"/>
  <c r="S47" i="4" s="1"/>
  <c r="AB542" i="25" s="1"/>
  <c r="Q47" i="4" a="1"/>
  <c r="Q47" i="4" s="1"/>
  <c r="Z542" i="25" s="1"/>
  <c r="T39" i="4" a="1"/>
  <c r="T39" i="4" s="1"/>
  <c r="AC534" i="25" s="1"/>
  <c r="U39" i="4" a="1"/>
  <c r="U39" i="4" s="1"/>
  <c r="AD534" i="25" s="1"/>
  <c r="S39" i="4" a="1"/>
  <c r="S39" i="4" s="1"/>
  <c r="AB534" i="25" s="1"/>
  <c r="Q39" i="4" a="1"/>
  <c r="Q39" i="4" s="1"/>
  <c r="Z534" i="25" s="1"/>
  <c r="R39" i="4" a="1"/>
  <c r="R39" i="4" s="1"/>
  <c r="AA534" i="25" s="1"/>
  <c r="F31" i="4"/>
  <c r="N526" i="25" s="1"/>
  <c r="T31" i="4" a="1"/>
  <c r="T31" i="4" s="1"/>
  <c r="AC526" i="25" s="1"/>
  <c r="U31" i="4" a="1"/>
  <c r="U31" i="4" s="1"/>
  <c r="AD526" i="25" s="1"/>
  <c r="S31" i="4" a="1"/>
  <c r="S31" i="4" s="1"/>
  <c r="AB526" i="25" s="1"/>
  <c r="R31" i="4" a="1"/>
  <c r="R31" i="4" s="1"/>
  <c r="AA526" i="25" s="1"/>
  <c r="Q31" i="4" a="1"/>
  <c r="Q31" i="4" s="1"/>
  <c r="Z526" i="25" s="1"/>
  <c r="T23" i="4" a="1"/>
  <c r="T23" i="4" s="1"/>
  <c r="AC518" i="25" s="1"/>
  <c r="U23" i="4" a="1"/>
  <c r="U23" i="4" s="1"/>
  <c r="AD518" i="25" s="1"/>
  <c r="S23" i="4" a="1"/>
  <c r="S23" i="4" s="1"/>
  <c r="AB518" i="25" s="1"/>
  <c r="Q23" i="4" a="1"/>
  <c r="Q23" i="4" s="1"/>
  <c r="Z518" i="25" s="1"/>
  <c r="T15" i="4" a="1"/>
  <c r="T15" i="4" s="1"/>
  <c r="AC510" i="25" s="1"/>
  <c r="U15" i="4" a="1"/>
  <c r="U15" i="4" s="1"/>
  <c r="AD510" i="25" s="1"/>
  <c r="S15" i="4" a="1"/>
  <c r="S15" i="4" s="1"/>
  <c r="AB510" i="25" s="1"/>
  <c r="Q15" i="4" a="1"/>
  <c r="Q15" i="4" s="1"/>
  <c r="Z510" i="25" s="1"/>
  <c r="R15" i="4" a="1"/>
  <c r="R15" i="4" s="1"/>
  <c r="AA510" i="25" s="1"/>
  <c r="F449" i="4"/>
  <c r="U449" i="4" a="1"/>
  <c r="U449" i="4" s="1"/>
  <c r="T449" i="4" a="1"/>
  <c r="T449" i="4" s="1"/>
  <c r="S449" i="4" a="1"/>
  <c r="S449" i="4" s="1"/>
  <c r="Q449" i="4" a="1"/>
  <c r="Q449" i="4" s="1"/>
  <c r="F441" i="4"/>
  <c r="U441" i="4" a="1"/>
  <c r="U441" i="4" s="1"/>
  <c r="T441" i="4" a="1"/>
  <c r="T441" i="4" s="1"/>
  <c r="S441" i="4" a="1"/>
  <c r="S441" i="4" s="1"/>
  <c r="Q441" i="4" a="1"/>
  <c r="Q441" i="4" s="1"/>
  <c r="F433" i="4"/>
  <c r="U433" i="4" a="1"/>
  <c r="U433" i="4" s="1"/>
  <c r="T433" i="4" a="1"/>
  <c r="T433" i="4" s="1"/>
  <c r="S433" i="4" a="1"/>
  <c r="S433" i="4" s="1"/>
  <c r="Q433" i="4" a="1"/>
  <c r="Q433" i="4" s="1"/>
  <c r="F425" i="4"/>
  <c r="U425" i="4" a="1"/>
  <c r="U425" i="4" s="1"/>
  <c r="T425" i="4" a="1"/>
  <c r="T425" i="4" s="1"/>
  <c r="S425" i="4" a="1"/>
  <c r="S425" i="4" s="1"/>
  <c r="Q425" i="4" a="1"/>
  <c r="Q425" i="4" s="1"/>
  <c r="U417" i="4" a="1"/>
  <c r="U417" i="4" s="1"/>
  <c r="T417" i="4" a="1"/>
  <c r="T417" i="4" s="1"/>
  <c r="S417" i="4" a="1"/>
  <c r="S417" i="4" s="1"/>
  <c r="Q417" i="4" a="1"/>
  <c r="Q417" i="4" s="1"/>
  <c r="F409" i="4"/>
  <c r="U409" i="4" a="1"/>
  <c r="U409" i="4" s="1"/>
  <c r="T409" i="4" a="1"/>
  <c r="T409" i="4" s="1"/>
  <c r="S409" i="4" a="1"/>
  <c r="S409" i="4" s="1"/>
  <c r="Q409" i="4" a="1"/>
  <c r="Q409" i="4" s="1"/>
  <c r="Q436" i="4" a="1"/>
  <c r="Q436" i="4" s="1"/>
  <c r="Q404" i="4" a="1"/>
  <c r="Q404" i="4" s="1"/>
  <c r="R449" i="4" a="1"/>
  <c r="R449" i="4" s="1"/>
  <c r="R417" i="4" a="1"/>
  <c r="R417" i="4" s="1"/>
  <c r="R192" i="4" a="1"/>
  <c r="R192" i="4" s="1"/>
  <c r="AA687" i="25" s="1"/>
  <c r="R105" i="4" a="1"/>
  <c r="R105" i="4" s="1"/>
  <c r="AA600" i="25" s="1"/>
  <c r="R23" i="4" a="1"/>
  <c r="R23" i="4" s="1"/>
  <c r="AA518" i="25" s="1"/>
  <c r="F222" i="4"/>
  <c r="N717" i="25" s="1"/>
  <c r="U222" i="4" a="1"/>
  <c r="U222" i="4" s="1"/>
  <c r="AD717" i="25" s="1"/>
  <c r="T222" i="4" a="1"/>
  <c r="T222" i="4" s="1"/>
  <c r="AC717" i="25" s="1"/>
  <c r="S222" i="4" a="1"/>
  <c r="S222" i="4" s="1"/>
  <c r="AB717" i="25" s="1"/>
  <c r="Q222" i="4" a="1"/>
  <c r="Q222" i="4" s="1"/>
  <c r="Z717" i="25" s="1"/>
  <c r="R222" i="4" a="1"/>
  <c r="R222" i="4" s="1"/>
  <c r="AA717" i="25" s="1"/>
  <c r="X214" i="4" a="1"/>
  <c r="X214" i="4" s="1"/>
  <c r="AG709" i="25" s="1"/>
  <c r="U214" i="4" a="1"/>
  <c r="U214" i="4" s="1"/>
  <c r="AD709" i="25" s="1"/>
  <c r="T214" i="4" a="1"/>
  <c r="T214" i="4" s="1"/>
  <c r="AC709" i="25" s="1"/>
  <c r="S214" i="4" a="1"/>
  <c r="S214" i="4" s="1"/>
  <c r="AB709" i="25" s="1"/>
  <c r="Q214" i="4" a="1"/>
  <c r="Q214" i="4" s="1"/>
  <c r="Z709" i="25" s="1"/>
  <c r="F206" i="4"/>
  <c r="N701" i="25" s="1"/>
  <c r="U206" i="4" a="1"/>
  <c r="U206" i="4" s="1"/>
  <c r="AD701" i="25" s="1"/>
  <c r="T206" i="4" a="1"/>
  <c r="T206" i="4" s="1"/>
  <c r="AC701" i="25" s="1"/>
  <c r="S206" i="4" a="1"/>
  <c r="S206" i="4" s="1"/>
  <c r="AB701" i="25" s="1"/>
  <c r="Q206" i="4" a="1"/>
  <c r="Q206" i="4" s="1"/>
  <c r="Z701" i="25" s="1"/>
  <c r="R206" i="4" a="1"/>
  <c r="R206" i="4" s="1"/>
  <c r="AA701" i="25" s="1"/>
  <c r="U198" i="4" a="1"/>
  <c r="U198" i="4" s="1"/>
  <c r="AD693" i="25" s="1"/>
  <c r="T198" i="4" a="1"/>
  <c r="T198" i="4" s="1"/>
  <c r="AC693" i="25" s="1"/>
  <c r="S198" i="4" a="1"/>
  <c r="S198" i="4" s="1"/>
  <c r="AB693" i="25" s="1"/>
  <c r="R198" i="4" a="1"/>
  <c r="R198" i="4" s="1"/>
  <c r="AA693" i="25" s="1"/>
  <c r="Q198" i="4" a="1"/>
  <c r="Q198" i="4" s="1"/>
  <c r="Z693" i="25" s="1"/>
  <c r="U190" i="4" a="1"/>
  <c r="U190" i="4" s="1"/>
  <c r="AD685" i="25" s="1"/>
  <c r="T190" i="4" a="1"/>
  <c r="T190" i="4" s="1"/>
  <c r="AC685" i="25" s="1"/>
  <c r="Q190" i="4" a="1"/>
  <c r="Q190" i="4" s="1"/>
  <c r="Z685" i="25" s="1"/>
  <c r="R190" i="4" a="1"/>
  <c r="R190" i="4" s="1"/>
  <c r="AA685" i="25" s="1"/>
  <c r="U182" i="4" a="1"/>
  <c r="U182" i="4" s="1"/>
  <c r="AD677" i="25" s="1"/>
  <c r="T182" i="4" a="1"/>
  <c r="T182" i="4" s="1"/>
  <c r="AC677" i="25" s="1"/>
  <c r="S182" i="4" a="1"/>
  <c r="S182" i="4" s="1"/>
  <c r="AB677" i="25" s="1"/>
  <c r="Q182" i="4" a="1"/>
  <c r="Q182" i="4" s="1"/>
  <c r="Z677" i="25" s="1"/>
  <c r="R182" i="4" a="1"/>
  <c r="R182" i="4" s="1"/>
  <c r="AA677" i="25" s="1"/>
  <c r="U174" i="4" a="1"/>
  <c r="U174" i="4" s="1"/>
  <c r="AD669" i="25" s="1"/>
  <c r="T174" i="4" a="1"/>
  <c r="T174" i="4" s="1"/>
  <c r="AC669" i="25" s="1"/>
  <c r="S174" i="4" a="1"/>
  <c r="S174" i="4" s="1"/>
  <c r="AB669" i="25" s="1"/>
  <c r="Q174" i="4" a="1"/>
  <c r="Q174" i="4" s="1"/>
  <c r="Z669" i="25" s="1"/>
  <c r="X166" i="4" a="1"/>
  <c r="X166" i="4" s="1"/>
  <c r="AG661" i="25" s="1"/>
  <c r="U166" i="4" a="1"/>
  <c r="U166" i="4" s="1"/>
  <c r="AD661" i="25" s="1"/>
  <c r="T166" i="4" a="1"/>
  <c r="T166" i="4" s="1"/>
  <c r="AC661" i="25" s="1"/>
  <c r="S166" i="4" a="1"/>
  <c r="S166" i="4" s="1"/>
  <c r="AB661" i="25" s="1"/>
  <c r="Q166" i="4" a="1"/>
  <c r="Q166" i="4" s="1"/>
  <c r="Z661" i="25" s="1"/>
  <c r="R166" i="4" a="1"/>
  <c r="R166" i="4" s="1"/>
  <c r="AA661" i="25" s="1"/>
  <c r="U158" i="4" a="1"/>
  <c r="U158" i="4" s="1"/>
  <c r="AD653" i="25" s="1"/>
  <c r="T158" i="4" a="1"/>
  <c r="T158" i="4" s="1"/>
  <c r="AC653" i="25" s="1"/>
  <c r="S158" i="4" a="1"/>
  <c r="S158" i="4" s="1"/>
  <c r="AB653" i="25" s="1"/>
  <c r="Q158" i="4" a="1"/>
  <c r="Q158" i="4" s="1"/>
  <c r="Z653" i="25" s="1"/>
  <c r="R158" i="4" a="1"/>
  <c r="R158" i="4" s="1"/>
  <c r="AA653" i="25" s="1"/>
  <c r="U150" i="4" a="1"/>
  <c r="U150" i="4" s="1"/>
  <c r="AD645" i="25" s="1"/>
  <c r="T150" i="4" a="1"/>
  <c r="T150" i="4" s="1"/>
  <c r="AC645" i="25" s="1"/>
  <c r="S150" i="4" a="1"/>
  <c r="S150" i="4" s="1"/>
  <c r="Q150" i="4" a="1"/>
  <c r="Q150" i="4" s="1"/>
  <c r="Z645" i="25" s="1"/>
  <c r="X142" i="4" a="1"/>
  <c r="X142" i="4" s="1"/>
  <c r="AG637" i="25" s="1"/>
  <c r="T142" i="4" a="1"/>
  <c r="T142" i="4" s="1"/>
  <c r="AC637" i="25" s="1"/>
  <c r="U142" i="4" a="1"/>
  <c r="U142" i="4" s="1"/>
  <c r="AD637" i="25" s="1"/>
  <c r="S142" i="4" a="1"/>
  <c r="S142" i="4" s="1"/>
  <c r="AB637" i="25" s="1"/>
  <c r="Q142" i="4" a="1"/>
  <c r="Q142" i="4" s="1"/>
  <c r="Z637" i="25" s="1"/>
  <c r="R142" i="4" a="1"/>
  <c r="R142" i="4" s="1"/>
  <c r="AA637" i="25" s="1"/>
  <c r="T134" i="4" a="1"/>
  <c r="T134" i="4" s="1"/>
  <c r="AC629" i="25" s="1"/>
  <c r="U134" i="4" a="1"/>
  <c r="U134" i="4" s="1"/>
  <c r="AD629" i="25" s="1"/>
  <c r="R134" i="4" a="1"/>
  <c r="R134" i="4" s="1"/>
  <c r="AA629" i="25" s="1"/>
  <c r="Q134" i="4" a="1"/>
  <c r="Q134" i="4" s="1"/>
  <c r="Z629" i="25" s="1"/>
  <c r="S134" i="4" a="1"/>
  <c r="S134" i="4" s="1"/>
  <c r="AB629" i="25" s="1"/>
  <c r="T126" i="4" a="1"/>
  <c r="T126" i="4" s="1"/>
  <c r="AC621" i="25" s="1"/>
  <c r="U126" i="4" a="1"/>
  <c r="U126" i="4" s="1"/>
  <c r="AD621" i="25" s="1"/>
  <c r="S126" i="4" a="1"/>
  <c r="S126" i="4" s="1"/>
  <c r="AB621" i="25" s="1"/>
  <c r="Q126" i="4" a="1"/>
  <c r="Q126" i="4" s="1"/>
  <c r="Z621" i="25" s="1"/>
  <c r="R126" i="4" a="1"/>
  <c r="R126" i="4" s="1"/>
  <c r="AA621" i="25" s="1"/>
  <c r="F118" i="4"/>
  <c r="N613" i="25" s="1"/>
  <c r="T118" i="4" a="1"/>
  <c r="T118" i="4" s="1"/>
  <c r="AC613" i="25" s="1"/>
  <c r="U118" i="4" a="1"/>
  <c r="U118" i="4" s="1"/>
  <c r="AD613" i="25" s="1"/>
  <c r="S118" i="4" a="1"/>
  <c r="S118" i="4" s="1"/>
  <c r="AB613" i="25" s="1"/>
  <c r="Q118" i="4" a="1"/>
  <c r="Q118" i="4" s="1"/>
  <c r="Z613" i="25" s="1"/>
  <c r="R118" i="4" a="1"/>
  <c r="R118" i="4" s="1"/>
  <c r="AA613" i="25" s="1"/>
  <c r="F110" i="4"/>
  <c r="N605" i="25" s="1"/>
  <c r="T110" i="4" a="1"/>
  <c r="T110" i="4" s="1"/>
  <c r="AC605" i="25" s="1"/>
  <c r="U110" i="4" a="1"/>
  <c r="U110" i="4" s="1"/>
  <c r="AD605" i="25" s="1"/>
  <c r="S110" i="4" a="1"/>
  <c r="S110" i="4" s="1"/>
  <c r="AB605" i="25" s="1"/>
  <c r="Q110" i="4" a="1"/>
  <c r="Q110" i="4" s="1"/>
  <c r="Z605" i="25" s="1"/>
  <c r="T102" i="4" a="1"/>
  <c r="T102" i="4" s="1"/>
  <c r="AC597" i="25" s="1"/>
  <c r="U102" i="4" a="1"/>
  <c r="U102" i="4" s="1"/>
  <c r="AD597" i="25" s="1"/>
  <c r="S102" i="4" a="1"/>
  <c r="S102" i="4" s="1"/>
  <c r="AB597" i="25" s="1"/>
  <c r="Q102" i="4" a="1"/>
  <c r="Q102" i="4" s="1"/>
  <c r="Z597" i="25" s="1"/>
  <c r="R102" i="4" a="1"/>
  <c r="R102" i="4" s="1"/>
  <c r="AA597" i="25" s="1"/>
  <c r="T94" i="4" a="1"/>
  <c r="T94" i="4" s="1"/>
  <c r="AC589" i="25" s="1"/>
  <c r="U94" i="4" a="1"/>
  <c r="U94" i="4" s="1"/>
  <c r="AD589" i="25" s="1"/>
  <c r="S94" i="4" a="1"/>
  <c r="S94" i="4" s="1"/>
  <c r="AB589" i="25" s="1"/>
  <c r="Q94" i="4" a="1"/>
  <c r="Q94" i="4" s="1"/>
  <c r="Z589" i="25" s="1"/>
  <c r="R94" i="4" a="1"/>
  <c r="R94" i="4" s="1"/>
  <c r="AA589" i="25" s="1"/>
  <c r="T86" i="4" a="1"/>
  <c r="T86" i="4" s="1"/>
  <c r="AC581" i="25" s="1"/>
  <c r="U86" i="4" a="1"/>
  <c r="U86" i="4" s="1"/>
  <c r="AD581" i="25" s="1"/>
  <c r="S86" i="4" a="1"/>
  <c r="S86" i="4" s="1"/>
  <c r="AB581" i="25" s="1"/>
  <c r="Q86" i="4" a="1"/>
  <c r="Q86" i="4" s="1"/>
  <c r="Z581" i="25" s="1"/>
  <c r="T78" i="4" a="1"/>
  <c r="T78" i="4" s="1"/>
  <c r="AC573" i="25" s="1"/>
  <c r="U78" i="4" a="1"/>
  <c r="U78" i="4" s="1"/>
  <c r="AD573" i="25" s="1"/>
  <c r="S78" i="4" a="1"/>
  <c r="S78" i="4" s="1"/>
  <c r="AB573" i="25" s="1"/>
  <c r="R78" i="4" a="1"/>
  <c r="R78" i="4" s="1"/>
  <c r="AA573" i="25" s="1"/>
  <c r="Q78" i="4" a="1"/>
  <c r="Q78" i="4" s="1"/>
  <c r="Z573" i="25" s="1"/>
  <c r="T70" i="4" a="1"/>
  <c r="T70" i="4" s="1"/>
  <c r="AC565" i="25" s="1"/>
  <c r="U70" i="4" a="1"/>
  <c r="U70" i="4" s="1"/>
  <c r="AD565" i="25" s="1"/>
  <c r="R70" i="4" a="1"/>
  <c r="R70" i="4" s="1"/>
  <c r="AA565" i="25" s="1"/>
  <c r="Q70" i="4" a="1"/>
  <c r="Q70" i="4" s="1"/>
  <c r="Z565" i="25" s="1"/>
  <c r="S70" i="4" a="1"/>
  <c r="S70" i="4" s="1"/>
  <c r="AB565" i="25" s="1"/>
  <c r="T62" i="4" a="1"/>
  <c r="T62" i="4" s="1"/>
  <c r="AC557" i="25" s="1"/>
  <c r="U62" i="4" a="1"/>
  <c r="U62" i="4" s="1"/>
  <c r="AD557" i="25" s="1"/>
  <c r="R62" i="4" a="1"/>
  <c r="R62" i="4" s="1"/>
  <c r="AA557" i="25" s="1"/>
  <c r="S62" i="4" a="1"/>
  <c r="S62" i="4" s="1"/>
  <c r="AB557" i="25" s="1"/>
  <c r="Q62" i="4" a="1"/>
  <c r="Q62" i="4" s="1"/>
  <c r="Z557" i="25" s="1"/>
  <c r="T54" i="4" a="1"/>
  <c r="T54" i="4" s="1"/>
  <c r="AC549" i="25" s="1"/>
  <c r="U54" i="4" a="1"/>
  <c r="U54" i="4" s="1"/>
  <c r="AD549" i="25" s="1"/>
  <c r="R54" i="4" a="1"/>
  <c r="R54" i="4" s="1"/>
  <c r="AA549" i="25" s="1"/>
  <c r="S54" i="4" a="1"/>
  <c r="S54" i="4" s="1"/>
  <c r="AB549" i="25" s="1"/>
  <c r="Q54" i="4" a="1"/>
  <c r="Q54" i="4" s="1"/>
  <c r="Z549" i="25" s="1"/>
  <c r="F46" i="4"/>
  <c r="N541" i="25" s="1"/>
  <c r="T46" i="4" a="1"/>
  <c r="T46" i="4" s="1"/>
  <c r="AC541" i="25" s="1"/>
  <c r="U46" i="4" a="1"/>
  <c r="U46" i="4" s="1"/>
  <c r="AD541" i="25" s="1"/>
  <c r="R46" i="4" a="1"/>
  <c r="R46" i="4" s="1"/>
  <c r="AA541" i="25" s="1"/>
  <c r="S46" i="4" a="1"/>
  <c r="S46" i="4" s="1"/>
  <c r="AB541" i="25" s="1"/>
  <c r="Q46" i="4" a="1"/>
  <c r="Q46" i="4" s="1"/>
  <c r="Z541" i="25" s="1"/>
  <c r="T38" i="4" a="1"/>
  <c r="T38" i="4" s="1"/>
  <c r="AC533" i="25" s="1"/>
  <c r="U38" i="4" a="1"/>
  <c r="U38" i="4" s="1"/>
  <c r="AD533" i="25" s="1"/>
  <c r="S38" i="4" a="1"/>
  <c r="S38" i="4" s="1"/>
  <c r="AB533" i="25" s="1"/>
  <c r="R38" i="4" a="1"/>
  <c r="R38" i="4" s="1"/>
  <c r="AA533" i="25" s="1"/>
  <c r="Q38" i="4" a="1"/>
  <c r="Q38" i="4" s="1"/>
  <c r="Z533" i="25" s="1"/>
  <c r="T30" i="4" a="1"/>
  <c r="T30" i="4" s="1"/>
  <c r="AC525" i="25" s="1"/>
  <c r="U30" i="4" a="1"/>
  <c r="U30" i="4" s="1"/>
  <c r="AD525" i="25" s="1"/>
  <c r="S30" i="4" a="1"/>
  <c r="S30" i="4" s="1"/>
  <c r="AB525" i="25" s="1"/>
  <c r="R30" i="4" a="1"/>
  <c r="R30" i="4" s="1"/>
  <c r="AA525" i="25" s="1"/>
  <c r="Q30" i="4" a="1"/>
  <c r="Q30" i="4" s="1"/>
  <c r="Z525" i="25" s="1"/>
  <c r="T22" i="4" a="1"/>
  <c r="T22" i="4" s="1"/>
  <c r="AC517" i="25" s="1"/>
  <c r="U22" i="4" a="1"/>
  <c r="U22" i="4" s="1"/>
  <c r="AD517" i="25" s="1"/>
  <c r="S22" i="4" a="1"/>
  <c r="S22" i="4" s="1"/>
  <c r="AB517" i="25" s="1"/>
  <c r="R22" i="4" a="1"/>
  <c r="R22" i="4" s="1"/>
  <c r="AA517" i="25" s="1"/>
  <c r="Q22" i="4" a="1"/>
  <c r="Q22" i="4" s="1"/>
  <c r="Z517" i="25" s="1"/>
  <c r="T14" i="4" a="1"/>
  <c r="T14" i="4" s="1"/>
  <c r="AC509" i="25" s="1"/>
  <c r="U14" i="4" a="1"/>
  <c r="U14" i="4" s="1"/>
  <c r="AD509" i="25" s="1"/>
  <c r="S14" i="4" a="1"/>
  <c r="S14" i="4" s="1"/>
  <c r="AB509" i="25" s="1"/>
  <c r="R14" i="4" a="1"/>
  <c r="R14" i="4" s="1"/>
  <c r="AA509" i="25" s="1"/>
  <c r="Q14" i="4" a="1"/>
  <c r="Q14" i="4" s="1"/>
  <c r="Z509" i="25" s="1"/>
  <c r="F448" i="4"/>
  <c r="U448" i="4" a="1"/>
  <c r="U448" i="4" s="1"/>
  <c r="T448" i="4" a="1"/>
  <c r="T448" i="4" s="1"/>
  <c r="S448" i="4" a="1"/>
  <c r="S448" i="4" s="1"/>
  <c r="Q448" i="4" a="1"/>
  <c r="Q448" i="4" s="1"/>
  <c r="R448" i="4" a="1"/>
  <c r="R448" i="4" s="1"/>
  <c r="F440" i="4"/>
  <c r="U440" i="4" a="1"/>
  <c r="U440" i="4" s="1"/>
  <c r="T440" i="4" a="1"/>
  <c r="T440" i="4" s="1"/>
  <c r="S440" i="4" a="1"/>
  <c r="S440" i="4" s="1"/>
  <c r="Q440" i="4" a="1"/>
  <c r="Q440" i="4" s="1"/>
  <c r="R440" i="4" a="1"/>
  <c r="R440" i="4" s="1"/>
  <c r="U432" i="4" a="1"/>
  <c r="U432" i="4" s="1"/>
  <c r="T432" i="4" a="1"/>
  <c r="T432" i="4" s="1"/>
  <c r="S432" i="4" a="1"/>
  <c r="S432" i="4" s="1"/>
  <c r="Q432" i="4" a="1"/>
  <c r="Q432" i="4" s="1"/>
  <c r="R432" i="4" a="1"/>
  <c r="R432" i="4" s="1"/>
  <c r="F424" i="4"/>
  <c r="U424" i="4" a="1"/>
  <c r="U424" i="4" s="1"/>
  <c r="T424" i="4" a="1"/>
  <c r="T424" i="4" s="1"/>
  <c r="S424" i="4" a="1"/>
  <c r="S424" i="4" s="1"/>
  <c r="Q424" i="4" a="1"/>
  <c r="Q424" i="4" s="1"/>
  <c r="R424" i="4" a="1"/>
  <c r="R424" i="4" s="1"/>
  <c r="F416" i="4"/>
  <c r="U416" i="4" a="1"/>
  <c r="U416" i="4" s="1"/>
  <c r="T416" i="4" a="1"/>
  <c r="T416" i="4" s="1"/>
  <c r="S416" i="4" a="1"/>
  <c r="S416" i="4" s="1"/>
  <c r="Q416" i="4" a="1"/>
  <c r="Q416" i="4" s="1"/>
  <c r="R416" i="4" a="1"/>
  <c r="R416" i="4" s="1"/>
  <c r="F408" i="4"/>
  <c r="T408" i="4" a="1"/>
  <c r="T408" i="4" s="1"/>
  <c r="S408" i="4" a="1"/>
  <c r="S408" i="4" s="1"/>
  <c r="U408" i="4" a="1"/>
  <c r="U408" i="4" s="1"/>
  <c r="Q408" i="4" a="1"/>
  <c r="Q408" i="4" s="1"/>
  <c r="R408" i="4" a="1"/>
  <c r="R408" i="4" s="1"/>
  <c r="M721" i="25"/>
  <c r="M713" i="25"/>
  <c r="M705" i="25"/>
  <c r="M697" i="25"/>
  <c r="M689" i="25"/>
  <c r="M681" i="25"/>
  <c r="M673" i="25"/>
  <c r="M665" i="25"/>
  <c r="M657" i="25"/>
  <c r="M649" i="25"/>
  <c r="M641" i="25"/>
  <c r="M633" i="25"/>
  <c r="M625" i="25"/>
  <c r="M617" i="25"/>
  <c r="M609" i="25"/>
  <c r="M601" i="25"/>
  <c r="M593" i="25"/>
  <c r="M585" i="25"/>
  <c r="M577" i="25"/>
  <c r="M569" i="25"/>
  <c r="M561" i="25"/>
  <c r="M553" i="25"/>
  <c r="M545" i="25"/>
  <c r="M537" i="25"/>
  <c r="M529" i="25"/>
  <c r="M521" i="25"/>
  <c r="M513" i="25"/>
  <c r="M505" i="25"/>
  <c r="R442" i="4" a="1"/>
  <c r="R442" i="4" s="1"/>
  <c r="R410" i="4" a="1"/>
  <c r="R410" i="4" s="1"/>
  <c r="R174" i="4" a="1"/>
  <c r="R174" i="4" s="1"/>
  <c r="AA669" i="25" s="1"/>
  <c r="R88" i="4" a="1"/>
  <c r="R88" i="4" s="1"/>
  <c r="AA583" i="25" s="1"/>
  <c r="U229" i="4" a="1"/>
  <c r="U229" i="4" s="1"/>
  <c r="AD724" i="25" s="1"/>
  <c r="T229" i="4" a="1"/>
  <c r="T229" i="4" s="1"/>
  <c r="AC724" i="25" s="1"/>
  <c r="S229" i="4" a="1"/>
  <c r="S229" i="4" s="1"/>
  <c r="AB724" i="25" s="1"/>
  <c r="R229" i="4" a="1"/>
  <c r="R229" i="4" s="1"/>
  <c r="AA724" i="25" s="1"/>
  <c r="F221" i="4"/>
  <c r="N716" i="25" s="1"/>
  <c r="U221" i="4" a="1"/>
  <c r="U221" i="4" s="1"/>
  <c r="AD716" i="25" s="1"/>
  <c r="T221" i="4" a="1"/>
  <c r="T221" i="4" s="1"/>
  <c r="AC716" i="25" s="1"/>
  <c r="S221" i="4" a="1"/>
  <c r="S221" i="4" s="1"/>
  <c r="AB716" i="25" s="1"/>
  <c r="R221" i="4" a="1"/>
  <c r="R221" i="4" s="1"/>
  <c r="AA716" i="25" s="1"/>
  <c r="U213" i="4" a="1"/>
  <c r="U213" i="4" s="1"/>
  <c r="AD708" i="25" s="1"/>
  <c r="T213" i="4" a="1"/>
  <c r="T213" i="4" s="1"/>
  <c r="AC708" i="25" s="1"/>
  <c r="S213" i="4" a="1"/>
  <c r="S213" i="4" s="1"/>
  <c r="AB708" i="25" s="1"/>
  <c r="R213" i="4" a="1"/>
  <c r="R213" i="4" s="1"/>
  <c r="AA708" i="25" s="1"/>
  <c r="F205" i="4"/>
  <c r="N700" i="25" s="1"/>
  <c r="U205" i="4" a="1"/>
  <c r="U205" i="4" s="1"/>
  <c r="AD700" i="25" s="1"/>
  <c r="T205" i="4" a="1"/>
  <c r="T205" i="4" s="1"/>
  <c r="AC700" i="25" s="1"/>
  <c r="S205" i="4" a="1"/>
  <c r="S205" i="4" s="1"/>
  <c r="AB700" i="25" s="1"/>
  <c r="R205" i="4" a="1"/>
  <c r="R205" i="4" s="1"/>
  <c r="AA700" i="25" s="1"/>
  <c r="U197" i="4" a="1"/>
  <c r="U197" i="4" s="1"/>
  <c r="AD692" i="25" s="1"/>
  <c r="T197" i="4" a="1"/>
  <c r="T197" i="4" s="1"/>
  <c r="AC692" i="25" s="1"/>
  <c r="S197" i="4" a="1"/>
  <c r="S197" i="4" s="1"/>
  <c r="AB692" i="25" s="1"/>
  <c r="R197" i="4" a="1"/>
  <c r="R197" i="4" s="1"/>
  <c r="AA692" i="25" s="1"/>
  <c r="F189" i="4"/>
  <c r="N684" i="25" s="1"/>
  <c r="U189" i="4" a="1"/>
  <c r="U189" i="4" s="1"/>
  <c r="AD684" i="25" s="1"/>
  <c r="T189" i="4" a="1"/>
  <c r="T189" i="4" s="1"/>
  <c r="AC684" i="25" s="1"/>
  <c r="S189" i="4" a="1"/>
  <c r="S189" i="4" s="1"/>
  <c r="AB684" i="25" s="1"/>
  <c r="R189" i="4" a="1"/>
  <c r="R189" i="4" s="1"/>
  <c r="AA684" i="25" s="1"/>
  <c r="U181" i="4" a="1"/>
  <c r="U181" i="4" s="1"/>
  <c r="AD676" i="25" s="1"/>
  <c r="T181" i="4" a="1"/>
  <c r="T181" i="4" s="1"/>
  <c r="AC676" i="25" s="1"/>
  <c r="S181" i="4" a="1"/>
  <c r="S181" i="4" s="1"/>
  <c r="AB676" i="25" s="1"/>
  <c r="R181" i="4" a="1"/>
  <c r="R181" i="4" s="1"/>
  <c r="AA676" i="25" s="1"/>
  <c r="U173" i="4" a="1"/>
  <c r="U173" i="4" s="1"/>
  <c r="AD668" i="25" s="1"/>
  <c r="T173" i="4" a="1"/>
  <c r="T173" i="4" s="1"/>
  <c r="AC668" i="25" s="1"/>
  <c r="S173" i="4" a="1"/>
  <c r="S173" i="4" s="1"/>
  <c r="AB668" i="25" s="1"/>
  <c r="R173" i="4" a="1"/>
  <c r="R173" i="4" s="1"/>
  <c r="AA668" i="25" s="1"/>
  <c r="U165" i="4" a="1"/>
  <c r="U165" i="4" s="1"/>
  <c r="AD660" i="25" s="1"/>
  <c r="T165" i="4" a="1"/>
  <c r="T165" i="4" s="1"/>
  <c r="AC660" i="25" s="1"/>
  <c r="S165" i="4" a="1"/>
  <c r="S165" i="4" s="1"/>
  <c r="AB660" i="25" s="1"/>
  <c r="R165" i="4" a="1"/>
  <c r="R165" i="4" s="1"/>
  <c r="AA660" i="25" s="1"/>
  <c r="F157" i="4"/>
  <c r="N652" i="25" s="1"/>
  <c r="U157" i="4" a="1"/>
  <c r="U157" i="4" s="1"/>
  <c r="AD652" i="25" s="1"/>
  <c r="T157" i="4" a="1"/>
  <c r="T157" i="4" s="1"/>
  <c r="AC652" i="25" s="1"/>
  <c r="S157" i="4" a="1"/>
  <c r="S157" i="4" s="1"/>
  <c r="AB652" i="25" s="1"/>
  <c r="R157" i="4" a="1"/>
  <c r="R157" i="4" s="1"/>
  <c r="AA652" i="25" s="1"/>
  <c r="U149" i="4" a="1"/>
  <c r="U149" i="4" s="1"/>
  <c r="AD644" i="25" s="1"/>
  <c r="T149" i="4" a="1"/>
  <c r="T149" i="4" s="1"/>
  <c r="AC644" i="25" s="1"/>
  <c r="S149" i="4" a="1"/>
  <c r="S149" i="4" s="1"/>
  <c r="AB644" i="25" s="1"/>
  <c r="R149" i="4" a="1"/>
  <c r="R149" i="4" s="1"/>
  <c r="AA644" i="25" s="1"/>
  <c r="U141" i="4" a="1"/>
  <c r="U141" i="4" s="1"/>
  <c r="AD636" i="25" s="1"/>
  <c r="T141" i="4" a="1"/>
  <c r="T141" i="4" s="1"/>
  <c r="AC636" i="25" s="1"/>
  <c r="S141" i="4" a="1"/>
  <c r="S141" i="4" s="1"/>
  <c r="AB636" i="25" s="1"/>
  <c r="R141" i="4" a="1"/>
  <c r="R141" i="4" s="1"/>
  <c r="AA636" i="25" s="1"/>
  <c r="U133" i="4" a="1"/>
  <c r="U133" i="4" s="1"/>
  <c r="AD628" i="25" s="1"/>
  <c r="T133" i="4" a="1"/>
  <c r="T133" i="4" s="1"/>
  <c r="AC628" i="25" s="1"/>
  <c r="S133" i="4" a="1"/>
  <c r="S133" i="4" s="1"/>
  <c r="AB628" i="25" s="1"/>
  <c r="R133" i="4" a="1"/>
  <c r="R133" i="4" s="1"/>
  <c r="AA628" i="25" s="1"/>
  <c r="F125" i="4"/>
  <c r="N620" i="25" s="1"/>
  <c r="U125" i="4" a="1"/>
  <c r="U125" i="4" s="1"/>
  <c r="AD620" i="25" s="1"/>
  <c r="T125" i="4" a="1"/>
  <c r="T125" i="4" s="1"/>
  <c r="AC620" i="25" s="1"/>
  <c r="S125" i="4" a="1"/>
  <c r="S125" i="4" s="1"/>
  <c r="AB620" i="25" s="1"/>
  <c r="R125" i="4" a="1"/>
  <c r="R125" i="4" s="1"/>
  <c r="AA620" i="25" s="1"/>
  <c r="U117" i="4" a="1"/>
  <c r="U117" i="4" s="1"/>
  <c r="AD612" i="25" s="1"/>
  <c r="T117" i="4" a="1"/>
  <c r="T117" i="4" s="1"/>
  <c r="AC612" i="25" s="1"/>
  <c r="S117" i="4" a="1"/>
  <c r="S117" i="4" s="1"/>
  <c r="AB612" i="25" s="1"/>
  <c r="R117" i="4" a="1"/>
  <c r="R117" i="4" s="1"/>
  <c r="AA612" i="25" s="1"/>
  <c r="U109" i="4" a="1"/>
  <c r="U109" i="4" s="1"/>
  <c r="AD604" i="25" s="1"/>
  <c r="T109" i="4" a="1"/>
  <c r="T109" i="4" s="1"/>
  <c r="AC604" i="25" s="1"/>
  <c r="S109" i="4" a="1"/>
  <c r="S109" i="4" s="1"/>
  <c r="AB604" i="25" s="1"/>
  <c r="R109" i="4" a="1"/>
  <c r="R109" i="4" s="1"/>
  <c r="AA604" i="25" s="1"/>
  <c r="U101" i="4" a="1"/>
  <c r="U101" i="4" s="1"/>
  <c r="AD596" i="25" s="1"/>
  <c r="T101" i="4" a="1"/>
  <c r="T101" i="4" s="1"/>
  <c r="AC596" i="25" s="1"/>
  <c r="S101" i="4" a="1"/>
  <c r="S101" i="4" s="1"/>
  <c r="AB596" i="25" s="1"/>
  <c r="R101" i="4" a="1"/>
  <c r="R101" i="4" s="1"/>
  <c r="AA596" i="25" s="1"/>
  <c r="F93" i="4"/>
  <c r="N588" i="25" s="1"/>
  <c r="U93" i="4" a="1"/>
  <c r="U93" i="4" s="1"/>
  <c r="AD588" i="25" s="1"/>
  <c r="T93" i="4" a="1"/>
  <c r="T93" i="4" s="1"/>
  <c r="AC588" i="25" s="1"/>
  <c r="S93" i="4" a="1"/>
  <c r="S93" i="4" s="1"/>
  <c r="AB588" i="25" s="1"/>
  <c r="R93" i="4" a="1"/>
  <c r="R93" i="4" s="1"/>
  <c r="AA588" i="25" s="1"/>
  <c r="U85" i="4" a="1"/>
  <c r="U85" i="4" s="1"/>
  <c r="AD580" i="25" s="1"/>
  <c r="T85" i="4" a="1"/>
  <c r="T85" i="4" s="1"/>
  <c r="AC580" i="25" s="1"/>
  <c r="S85" i="4" a="1"/>
  <c r="S85" i="4" s="1"/>
  <c r="AB580" i="25" s="1"/>
  <c r="R85" i="4" a="1"/>
  <c r="R85" i="4" s="1"/>
  <c r="AA580" i="25" s="1"/>
  <c r="F77" i="4"/>
  <c r="N572" i="25" s="1"/>
  <c r="U77" i="4" a="1"/>
  <c r="U77" i="4" s="1"/>
  <c r="AD572" i="25" s="1"/>
  <c r="T77" i="4" a="1"/>
  <c r="T77" i="4" s="1"/>
  <c r="AC572" i="25" s="1"/>
  <c r="S77" i="4" a="1"/>
  <c r="S77" i="4" s="1"/>
  <c r="AB572" i="25" s="1"/>
  <c r="R77" i="4" a="1"/>
  <c r="R77" i="4" s="1"/>
  <c r="AA572" i="25" s="1"/>
  <c r="U69" i="4" a="1"/>
  <c r="U69" i="4" s="1"/>
  <c r="AD564" i="25" s="1"/>
  <c r="T69" i="4" a="1"/>
  <c r="T69" i="4" s="1"/>
  <c r="AC564" i="25" s="1"/>
  <c r="S69" i="4" a="1"/>
  <c r="S69" i="4" s="1"/>
  <c r="AB564" i="25" s="1"/>
  <c r="R69" i="4" a="1"/>
  <c r="R69" i="4" s="1"/>
  <c r="AA564" i="25" s="1"/>
  <c r="F61" i="4"/>
  <c r="N556" i="25" s="1"/>
  <c r="U61" i="4" a="1"/>
  <c r="U61" i="4" s="1"/>
  <c r="AD556" i="25" s="1"/>
  <c r="T61" i="4" a="1"/>
  <c r="T61" i="4" s="1"/>
  <c r="AC556" i="25" s="1"/>
  <c r="S61" i="4" a="1"/>
  <c r="S61" i="4" s="1"/>
  <c r="AB556" i="25" s="1"/>
  <c r="R61" i="4" a="1"/>
  <c r="R61" i="4" s="1"/>
  <c r="AA556" i="25" s="1"/>
  <c r="U53" i="4" a="1"/>
  <c r="U53" i="4" s="1"/>
  <c r="AD548" i="25" s="1"/>
  <c r="T53" i="4" a="1"/>
  <c r="T53" i="4" s="1"/>
  <c r="AC548" i="25" s="1"/>
  <c r="S53" i="4" a="1"/>
  <c r="S53" i="4" s="1"/>
  <c r="AB548" i="25" s="1"/>
  <c r="R53" i="4" a="1"/>
  <c r="R53" i="4" s="1"/>
  <c r="AA548" i="25" s="1"/>
  <c r="F45" i="4"/>
  <c r="N540" i="25" s="1"/>
  <c r="U45" i="4" a="1"/>
  <c r="U45" i="4" s="1"/>
  <c r="AD540" i="25" s="1"/>
  <c r="T45" i="4" a="1"/>
  <c r="T45" i="4" s="1"/>
  <c r="AC540" i="25" s="1"/>
  <c r="S45" i="4" a="1"/>
  <c r="S45" i="4" s="1"/>
  <c r="AB540" i="25" s="1"/>
  <c r="R45" i="4" a="1"/>
  <c r="R45" i="4" s="1"/>
  <c r="AA540" i="25" s="1"/>
  <c r="U37" i="4" a="1"/>
  <c r="U37" i="4" s="1"/>
  <c r="AD532" i="25" s="1"/>
  <c r="T37" i="4" a="1"/>
  <c r="T37" i="4" s="1"/>
  <c r="AC532" i="25" s="1"/>
  <c r="S37" i="4" a="1"/>
  <c r="S37" i="4" s="1"/>
  <c r="AB532" i="25" s="1"/>
  <c r="R37" i="4" a="1"/>
  <c r="R37" i="4" s="1"/>
  <c r="AA532" i="25" s="1"/>
  <c r="U29" i="4" a="1"/>
  <c r="U29" i="4" s="1"/>
  <c r="AD524" i="25" s="1"/>
  <c r="T29" i="4" a="1"/>
  <c r="T29" i="4" s="1"/>
  <c r="AC524" i="25" s="1"/>
  <c r="S29" i="4" a="1"/>
  <c r="S29" i="4" s="1"/>
  <c r="AB524" i="25" s="1"/>
  <c r="R29" i="4" a="1"/>
  <c r="R29" i="4" s="1"/>
  <c r="AA524" i="25" s="1"/>
  <c r="U21" i="4" a="1"/>
  <c r="U21" i="4" s="1"/>
  <c r="AD516" i="25" s="1"/>
  <c r="T21" i="4" a="1"/>
  <c r="T21" i="4" s="1"/>
  <c r="AC516" i="25" s="1"/>
  <c r="S21" i="4" a="1"/>
  <c r="S21" i="4" s="1"/>
  <c r="AB516" i="25" s="1"/>
  <c r="R21" i="4" a="1"/>
  <c r="R21" i="4" s="1"/>
  <c r="AA516" i="25" s="1"/>
  <c r="F13" i="4"/>
  <c r="N508" i="25" s="1"/>
  <c r="U13" i="4" a="1"/>
  <c r="U13" i="4" s="1"/>
  <c r="AD508" i="25" s="1"/>
  <c r="T13" i="4" a="1"/>
  <c r="T13" i="4" s="1"/>
  <c r="AC508" i="25" s="1"/>
  <c r="S13" i="4" a="1"/>
  <c r="S13" i="4" s="1"/>
  <c r="AB508" i="25" s="1"/>
  <c r="R13" i="4" a="1"/>
  <c r="R13" i="4" s="1"/>
  <c r="AA508" i="25" s="1"/>
  <c r="M448" i="4" a="1"/>
  <c r="M448" i="4" s="1"/>
  <c r="M440" i="4" a="1"/>
  <c r="M440" i="4" s="1"/>
  <c r="U447" i="4" a="1"/>
  <c r="U447" i="4" s="1"/>
  <c r="T447" i="4" a="1"/>
  <c r="T447" i="4" s="1"/>
  <c r="S447" i="4" a="1"/>
  <c r="S447" i="4" s="1"/>
  <c r="Q447" i="4" a="1"/>
  <c r="Q447" i="4" s="1"/>
  <c r="R447" i="4" a="1"/>
  <c r="R447" i="4" s="1"/>
  <c r="U439" i="4" a="1"/>
  <c r="U439" i="4" s="1"/>
  <c r="T439" i="4" a="1"/>
  <c r="T439" i="4" s="1"/>
  <c r="S439" i="4" a="1"/>
  <c r="S439" i="4" s="1"/>
  <c r="Q439" i="4" a="1"/>
  <c r="Q439" i="4" s="1"/>
  <c r="R439" i="4" a="1"/>
  <c r="R439" i="4" s="1"/>
  <c r="U431" i="4" a="1"/>
  <c r="U431" i="4" s="1"/>
  <c r="T431" i="4" a="1"/>
  <c r="T431" i="4" s="1"/>
  <c r="Q431" i="4" a="1"/>
  <c r="Q431" i="4" s="1"/>
  <c r="R431" i="4" a="1"/>
  <c r="R431" i="4" s="1"/>
  <c r="U423" i="4" a="1"/>
  <c r="U423" i="4" s="1"/>
  <c r="T423" i="4" a="1"/>
  <c r="T423" i="4" s="1"/>
  <c r="Q423" i="4" a="1"/>
  <c r="Q423" i="4" s="1"/>
  <c r="R423" i="4" a="1"/>
  <c r="R423" i="4" s="1"/>
  <c r="U415" i="4" a="1"/>
  <c r="U415" i="4" s="1"/>
  <c r="T415" i="4" a="1"/>
  <c r="T415" i="4" s="1"/>
  <c r="Q415" i="4" a="1"/>
  <c r="Q415" i="4" s="1"/>
  <c r="R415" i="4" a="1"/>
  <c r="R415" i="4" s="1"/>
  <c r="S415" i="4" a="1"/>
  <c r="S415" i="4" s="1"/>
  <c r="U407" i="4" a="1"/>
  <c r="U407" i="4" s="1"/>
  <c r="T407" i="4" a="1"/>
  <c r="T407" i="4" s="1"/>
  <c r="Q407" i="4" a="1"/>
  <c r="Q407" i="4" s="1"/>
  <c r="S407" i="4" a="1"/>
  <c r="S407" i="4" s="1"/>
  <c r="R407" i="4" a="1"/>
  <c r="R407" i="4" s="1"/>
  <c r="L449" i="4"/>
  <c r="L441" i="4"/>
  <c r="M720" i="25"/>
  <c r="M712" i="25"/>
  <c r="M704" i="25"/>
  <c r="M696" i="25"/>
  <c r="M688" i="25"/>
  <c r="M680" i="25"/>
  <c r="M672" i="25"/>
  <c r="M664" i="25"/>
  <c r="M656" i="25"/>
  <c r="M648" i="25"/>
  <c r="M640" i="25"/>
  <c r="M632" i="25"/>
  <c r="M624" i="25"/>
  <c r="M616" i="25"/>
  <c r="M608" i="25"/>
  <c r="M600" i="25"/>
  <c r="M592" i="25"/>
  <c r="M584" i="25"/>
  <c r="M576" i="25"/>
  <c r="M568" i="25"/>
  <c r="M560" i="25"/>
  <c r="M552" i="25"/>
  <c r="M544" i="25"/>
  <c r="M536" i="25"/>
  <c r="M528" i="25"/>
  <c r="M520" i="25"/>
  <c r="M512" i="25"/>
  <c r="M504" i="25"/>
  <c r="Q428" i="4" a="1"/>
  <c r="Q428" i="4" s="1"/>
  <c r="R441" i="4" a="1"/>
  <c r="R441" i="4" s="1"/>
  <c r="R409" i="4" a="1"/>
  <c r="R409" i="4" s="1"/>
  <c r="R169" i="4" a="1"/>
  <c r="R169" i="4" s="1"/>
  <c r="AA664" i="25" s="1"/>
  <c r="R86" i="4" a="1"/>
  <c r="R86" i="4" s="1"/>
  <c r="AA581" i="25" s="1"/>
  <c r="M228" i="4" a="1"/>
  <c r="M228" i="4" s="1"/>
  <c r="V723" i="25" s="1"/>
  <c r="AI723" i="25" s="1"/>
  <c r="U228" i="4" a="1"/>
  <c r="U228" i="4" s="1"/>
  <c r="AD723" i="25" s="1"/>
  <c r="T228" i="4" a="1"/>
  <c r="T228" i="4" s="1"/>
  <c r="AC723" i="25" s="1"/>
  <c r="S228" i="4" a="1"/>
  <c r="S228" i="4" s="1"/>
  <c r="AB723" i="25" s="1"/>
  <c r="R228" i="4" a="1"/>
  <c r="R228" i="4" s="1"/>
  <c r="AA723" i="25" s="1"/>
  <c r="F220" i="4"/>
  <c r="N715" i="25" s="1"/>
  <c r="U220" i="4" a="1"/>
  <c r="U220" i="4" s="1"/>
  <c r="AD715" i="25" s="1"/>
  <c r="T220" i="4" a="1"/>
  <c r="T220" i="4" s="1"/>
  <c r="AC715" i="25" s="1"/>
  <c r="S220" i="4" a="1"/>
  <c r="S220" i="4" s="1"/>
  <c r="AB715" i="25" s="1"/>
  <c r="R220" i="4" a="1"/>
  <c r="R220" i="4" s="1"/>
  <c r="AA715" i="25" s="1"/>
  <c r="U212" i="4" a="1"/>
  <c r="U212" i="4" s="1"/>
  <c r="AD707" i="25" s="1"/>
  <c r="T212" i="4" a="1"/>
  <c r="T212" i="4" s="1"/>
  <c r="AC707" i="25" s="1"/>
  <c r="S212" i="4" a="1"/>
  <c r="S212" i="4" s="1"/>
  <c r="AB707" i="25" s="1"/>
  <c r="R212" i="4" a="1"/>
  <c r="R212" i="4" s="1"/>
  <c r="AA707" i="25" s="1"/>
  <c r="U204" i="4" a="1"/>
  <c r="U204" i="4" s="1"/>
  <c r="AD699" i="25" s="1"/>
  <c r="T204" i="4" a="1"/>
  <c r="T204" i="4" s="1"/>
  <c r="AC699" i="25" s="1"/>
  <c r="S204" i="4" a="1"/>
  <c r="S204" i="4" s="1"/>
  <c r="AB699" i="25" s="1"/>
  <c r="R204" i="4" a="1"/>
  <c r="R204" i="4" s="1"/>
  <c r="AA699" i="25" s="1"/>
  <c r="X196" i="4" a="1"/>
  <c r="X196" i="4" s="1"/>
  <c r="AG691" i="25" s="1"/>
  <c r="U196" i="4" a="1"/>
  <c r="U196" i="4" s="1"/>
  <c r="AD691" i="25" s="1"/>
  <c r="T196" i="4" a="1"/>
  <c r="T196" i="4" s="1"/>
  <c r="AC691" i="25" s="1"/>
  <c r="S196" i="4" a="1"/>
  <c r="S196" i="4" s="1"/>
  <c r="AB691" i="25" s="1"/>
  <c r="R196" i="4" a="1"/>
  <c r="R196" i="4" s="1"/>
  <c r="AA691" i="25" s="1"/>
  <c r="U188" i="4" a="1"/>
  <c r="U188" i="4" s="1"/>
  <c r="AD683" i="25" s="1"/>
  <c r="T188" i="4" a="1"/>
  <c r="T188" i="4" s="1"/>
  <c r="AC683" i="25" s="1"/>
  <c r="S188" i="4" a="1"/>
  <c r="S188" i="4" s="1"/>
  <c r="AB683" i="25" s="1"/>
  <c r="R188" i="4" a="1"/>
  <c r="R188" i="4" s="1"/>
  <c r="AA683" i="25" s="1"/>
  <c r="U180" i="4" a="1"/>
  <c r="U180" i="4" s="1"/>
  <c r="AD675" i="25" s="1"/>
  <c r="T180" i="4" a="1"/>
  <c r="T180" i="4" s="1"/>
  <c r="AC675" i="25" s="1"/>
  <c r="S180" i="4" a="1"/>
  <c r="S180" i="4" s="1"/>
  <c r="AB675" i="25" s="1"/>
  <c r="R180" i="4" a="1"/>
  <c r="R180" i="4" s="1"/>
  <c r="AA675" i="25" s="1"/>
  <c r="F172" i="4"/>
  <c r="N667" i="25" s="1"/>
  <c r="U172" i="4" a="1"/>
  <c r="U172" i="4" s="1"/>
  <c r="AD667" i="25" s="1"/>
  <c r="T172" i="4" a="1"/>
  <c r="T172" i="4" s="1"/>
  <c r="AC667" i="25" s="1"/>
  <c r="S172" i="4" a="1"/>
  <c r="S172" i="4" s="1"/>
  <c r="AB667" i="25" s="1"/>
  <c r="R172" i="4" a="1"/>
  <c r="R172" i="4" s="1"/>
  <c r="AA667" i="25" s="1"/>
  <c r="X164" i="4" a="1"/>
  <c r="X164" i="4" s="1"/>
  <c r="AG659" i="25" s="1"/>
  <c r="U164" i="4" a="1"/>
  <c r="U164" i="4" s="1"/>
  <c r="AD659" i="25" s="1"/>
  <c r="T164" i="4" a="1"/>
  <c r="T164" i="4" s="1"/>
  <c r="AC659" i="25" s="1"/>
  <c r="S164" i="4" a="1"/>
  <c r="S164" i="4" s="1"/>
  <c r="AB659" i="25" s="1"/>
  <c r="R164" i="4" a="1"/>
  <c r="R164" i="4" s="1"/>
  <c r="AA659" i="25" s="1"/>
  <c r="U156" i="4" a="1"/>
  <c r="U156" i="4" s="1"/>
  <c r="AD651" i="25" s="1"/>
  <c r="T156" i="4" a="1"/>
  <c r="T156" i="4" s="1"/>
  <c r="AC651" i="25" s="1"/>
  <c r="S156" i="4" a="1"/>
  <c r="S156" i="4" s="1"/>
  <c r="AB651" i="25" s="1"/>
  <c r="R156" i="4" a="1"/>
  <c r="R156" i="4" s="1"/>
  <c r="AA651" i="25" s="1"/>
  <c r="U148" i="4" a="1"/>
  <c r="U148" i="4" s="1"/>
  <c r="AD643" i="25" s="1"/>
  <c r="T148" i="4" a="1"/>
  <c r="T148" i="4" s="1"/>
  <c r="AC643" i="25" s="1"/>
  <c r="S148" i="4" a="1"/>
  <c r="S148" i="4" s="1"/>
  <c r="AB643" i="25" s="1"/>
  <c r="R148" i="4" a="1"/>
  <c r="R148" i="4" s="1"/>
  <c r="AA643" i="25" s="1"/>
  <c r="U140" i="4" a="1"/>
  <c r="U140" i="4" s="1"/>
  <c r="AD635" i="25" s="1"/>
  <c r="T140" i="4" a="1"/>
  <c r="T140" i="4" s="1"/>
  <c r="AC635" i="25" s="1"/>
  <c r="S140" i="4" a="1"/>
  <c r="S140" i="4" s="1"/>
  <c r="AB635" i="25" s="1"/>
  <c r="R140" i="4" a="1"/>
  <c r="R140" i="4" s="1"/>
  <c r="AA635" i="25" s="1"/>
  <c r="X132" i="4" a="1"/>
  <c r="X132" i="4" s="1"/>
  <c r="AG627" i="25" s="1"/>
  <c r="U132" i="4" a="1"/>
  <c r="U132" i="4" s="1"/>
  <c r="AD627" i="25" s="1"/>
  <c r="T132" i="4" a="1"/>
  <c r="T132" i="4" s="1"/>
  <c r="AC627" i="25" s="1"/>
  <c r="S132" i="4" a="1"/>
  <c r="S132" i="4" s="1"/>
  <c r="AB627" i="25" s="1"/>
  <c r="R132" i="4" a="1"/>
  <c r="R132" i="4" s="1"/>
  <c r="AA627" i="25" s="1"/>
  <c r="U124" i="4" a="1"/>
  <c r="U124" i="4" s="1"/>
  <c r="AD619" i="25" s="1"/>
  <c r="T124" i="4" a="1"/>
  <c r="T124" i="4" s="1"/>
  <c r="AC619" i="25" s="1"/>
  <c r="S124" i="4" a="1"/>
  <c r="S124" i="4" s="1"/>
  <c r="AB619" i="25" s="1"/>
  <c r="R124" i="4" a="1"/>
  <c r="R124" i="4" s="1"/>
  <c r="AA619" i="25" s="1"/>
  <c r="U116" i="4" a="1"/>
  <c r="U116" i="4" s="1"/>
  <c r="AD611" i="25" s="1"/>
  <c r="T116" i="4" a="1"/>
  <c r="T116" i="4" s="1"/>
  <c r="AC611" i="25" s="1"/>
  <c r="S116" i="4" a="1"/>
  <c r="S116" i="4" s="1"/>
  <c r="AB611" i="25" s="1"/>
  <c r="R116" i="4" a="1"/>
  <c r="R116" i="4" s="1"/>
  <c r="AA611" i="25" s="1"/>
  <c r="X108" i="4" a="1"/>
  <c r="X108" i="4" s="1"/>
  <c r="AG603" i="25" s="1"/>
  <c r="U108" i="4" a="1"/>
  <c r="U108" i="4" s="1"/>
  <c r="AD603" i="25" s="1"/>
  <c r="T108" i="4" a="1"/>
  <c r="T108" i="4" s="1"/>
  <c r="AC603" i="25" s="1"/>
  <c r="S108" i="4" a="1"/>
  <c r="S108" i="4" s="1"/>
  <c r="AB603" i="25" s="1"/>
  <c r="R108" i="4" a="1"/>
  <c r="R108" i="4" s="1"/>
  <c r="AA603" i="25" s="1"/>
  <c r="F100" i="4"/>
  <c r="N595" i="25" s="1"/>
  <c r="U100" i="4" a="1"/>
  <c r="U100" i="4" s="1"/>
  <c r="AD595" i="25" s="1"/>
  <c r="T100" i="4" a="1"/>
  <c r="T100" i="4" s="1"/>
  <c r="S100" i="4" a="1"/>
  <c r="S100" i="4" s="1"/>
  <c r="AB595" i="25" s="1"/>
  <c r="R100" i="4" a="1"/>
  <c r="R100" i="4" s="1"/>
  <c r="AA595" i="25" s="1"/>
  <c r="X92" i="4" a="1"/>
  <c r="X92" i="4" s="1"/>
  <c r="AG587" i="25" s="1"/>
  <c r="U92" i="4" a="1"/>
  <c r="U92" i="4" s="1"/>
  <c r="AD587" i="25" s="1"/>
  <c r="T92" i="4" a="1"/>
  <c r="T92" i="4" s="1"/>
  <c r="AC587" i="25" s="1"/>
  <c r="S92" i="4" a="1"/>
  <c r="S92" i="4" s="1"/>
  <c r="AB587" i="25" s="1"/>
  <c r="R92" i="4" a="1"/>
  <c r="R92" i="4" s="1"/>
  <c r="AA587" i="25" s="1"/>
  <c r="U84" i="4" a="1"/>
  <c r="U84" i="4" s="1"/>
  <c r="AD579" i="25" s="1"/>
  <c r="T84" i="4" a="1"/>
  <c r="T84" i="4" s="1"/>
  <c r="AC579" i="25" s="1"/>
  <c r="S84" i="4" a="1"/>
  <c r="S84" i="4" s="1"/>
  <c r="AB579" i="25" s="1"/>
  <c r="R84" i="4" a="1"/>
  <c r="R84" i="4" s="1"/>
  <c r="AA579" i="25" s="1"/>
  <c r="F76" i="4"/>
  <c r="N571" i="25" s="1"/>
  <c r="U76" i="4" a="1"/>
  <c r="U76" i="4" s="1"/>
  <c r="AD571" i="25" s="1"/>
  <c r="T76" i="4" a="1"/>
  <c r="T76" i="4" s="1"/>
  <c r="AC571" i="25" s="1"/>
  <c r="S76" i="4" a="1"/>
  <c r="S76" i="4" s="1"/>
  <c r="AB571" i="25" s="1"/>
  <c r="R76" i="4" a="1"/>
  <c r="R76" i="4" s="1"/>
  <c r="AA571" i="25" s="1"/>
  <c r="U68" i="4" a="1"/>
  <c r="U68" i="4" s="1"/>
  <c r="AD563" i="25" s="1"/>
  <c r="T68" i="4" a="1"/>
  <c r="T68" i="4" s="1"/>
  <c r="AC563" i="25" s="1"/>
  <c r="S68" i="4" a="1"/>
  <c r="S68" i="4" s="1"/>
  <c r="AB563" i="25" s="1"/>
  <c r="R68" i="4" a="1"/>
  <c r="R68" i="4" s="1"/>
  <c r="AA563" i="25" s="1"/>
  <c r="U60" i="4" a="1"/>
  <c r="U60" i="4" s="1"/>
  <c r="AD555" i="25" s="1"/>
  <c r="T60" i="4" a="1"/>
  <c r="T60" i="4" s="1"/>
  <c r="AC555" i="25" s="1"/>
  <c r="S60" i="4" a="1"/>
  <c r="S60" i="4" s="1"/>
  <c r="AB555" i="25" s="1"/>
  <c r="R60" i="4" a="1"/>
  <c r="R60" i="4" s="1"/>
  <c r="AA555" i="25" s="1"/>
  <c r="U52" i="4" a="1"/>
  <c r="U52" i="4" s="1"/>
  <c r="AD547" i="25" s="1"/>
  <c r="T52" i="4" a="1"/>
  <c r="T52" i="4" s="1"/>
  <c r="AC547" i="25" s="1"/>
  <c r="S52" i="4" a="1"/>
  <c r="S52" i="4" s="1"/>
  <c r="AB547" i="25" s="1"/>
  <c r="R52" i="4" a="1"/>
  <c r="R52" i="4" s="1"/>
  <c r="AA547" i="25" s="1"/>
  <c r="U44" i="4" a="1"/>
  <c r="U44" i="4" s="1"/>
  <c r="AD539" i="25" s="1"/>
  <c r="T44" i="4" a="1"/>
  <c r="T44" i="4" s="1"/>
  <c r="AC539" i="25" s="1"/>
  <c r="S44" i="4" a="1"/>
  <c r="S44" i="4" s="1"/>
  <c r="AB539" i="25" s="1"/>
  <c r="R44" i="4" a="1"/>
  <c r="R44" i="4" s="1"/>
  <c r="AA539" i="25" s="1"/>
  <c r="U36" i="4" a="1"/>
  <c r="U36" i="4" s="1"/>
  <c r="AD531" i="25" s="1"/>
  <c r="T36" i="4" a="1"/>
  <c r="T36" i="4" s="1"/>
  <c r="AC531" i="25" s="1"/>
  <c r="S36" i="4" a="1"/>
  <c r="S36" i="4" s="1"/>
  <c r="AB531" i="25" s="1"/>
  <c r="R36" i="4" a="1"/>
  <c r="R36" i="4" s="1"/>
  <c r="AA531" i="25" s="1"/>
  <c r="X28" i="4" a="1"/>
  <c r="X28" i="4" s="1"/>
  <c r="AG523" i="25" s="1"/>
  <c r="U28" i="4" a="1"/>
  <c r="U28" i="4" s="1"/>
  <c r="AD523" i="25" s="1"/>
  <c r="T28" i="4" a="1"/>
  <c r="T28" i="4" s="1"/>
  <c r="AC523" i="25" s="1"/>
  <c r="S28" i="4" a="1"/>
  <c r="S28" i="4" s="1"/>
  <c r="AB523" i="25" s="1"/>
  <c r="R28" i="4" a="1"/>
  <c r="R28" i="4" s="1"/>
  <c r="AA523" i="25" s="1"/>
  <c r="Z515" i="25"/>
  <c r="U20" i="4" a="1"/>
  <c r="U20" i="4" s="1"/>
  <c r="AD515" i="25" s="1"/>
  <c r="T20" i="4" a="1"/>
  <c r="T20" i="4" s="1"/>
  <c r="AC515" i="25" s="1"/>
  <c r="S20" i="4" a="1"/>
  <c r="S20" i="4" s="1"/>
  <c r="AB515" i="25" s="1"/>
  <c r="R20" i="4" a="1"/>
  <c r="R20" i="4" s="1"/>
  <c r="AA515" i="25" s="1"/>
  <c r="X12" i="4" a="1"/>
  <c r="X12" i="4" s="1"/>
  <c r="AG507" i="25" s="1"/>
  <c r="U12" i="4" a="1"/>
  <c r="U12" i="4" s="1"/>
  <c r="AD507" i="25" s="1"/>
  <c r="T12" i="4" a="1"/>
  <c r="T12" i="4" s="1"/>
  <c r="AC507" i="25" s="1"/>
  <c r="S12" i="4" a="1"/>
  <c r="S12" i="4" s="1"/>
  <c r="AB507" i="25" s="1"/>
  <c r="R12" i="4" a="1"/>
  <c r="R12" i="4" s="1"/>
  <c r="AA507" i="25" s="1"/>
  <c r="U446" i="4" a="1"/>
  <c r="U446" i="4" s="1"/>
  <c r="T446" i="4" a="1"/>
  <c r="T446" i="4" s="1"/>
  <c r="S446" i="4" a="1"/>
  <c r="S446" i="4" s="1"/>
  <c r="Q446" i="4" a="1"/>
  <c r="Q446" i="4" s="1"/>
  <c r="R446" i="4" a="1"/>
  <c r="R446" i="4" s="1"/>
  <c r="U438" i="4" a="1"/>
  <c r="U438" i="4" s="1"/>
  <c r="T438" i="4" a="1"/>
  <c r="T438" i="4" s="1"/>
  <c r="S438" i="4" a="1"/>
  <c r="S438" i="4" s="1"/>
  <c r="Q438" i="4" a="1"/>
  <c r="Q438" i="4" s="1"/>
  <c r="R438" i="4" a="1"/>
  <c r="R438" i="4" s="1"/>
  <c r="U430" i="4" a="1"/>
  <c r="U430" i="4" s="1"/>
  <c r="T430" i="4" a="1"/>
  <c r="T430" i="4" s="1"/>
  <c r="S430" i="4" a="1"/>
  <c r="S430" i="4" s="1"/>
  <c r="Q430" i="4" a="1"/>
  <c r="Q430" i="4" s="1"/>
  <c r="R430" i="4" a="1"/>
  <c r="R430" i="4" s="1"/>
  <c r="U422" i="4" a="1"/>
  <c r="U422" i="4" s="1"/>
  <c r="T422" i="4" a="1"/>
  <c r="T422" i="4" s="1"/>
  <c r="S422" i="4" a="1"/>
  <c r="S422" i="4" s="1"/>
  <c r="Q422" i="4" a="1"/>
  <c r="Q422" i="4" s="1"/>
  <c r="R422" i="4" a="1"/>
  <c r="R422" i="4" s="1"/>
  <c r="U414" i="4" a="1"/>
  <c r="U414" i="4" s="1"/>
  <c r="T414" i="4" a="1"/>
  <c r="T414" i="4" s="1"/>
  <c r="S414" i="4" a="1"/>
  <c r="S414" i="4" s="1"/>
  <c r="Q414" i="4" a="1"/>
  <c r="Q414" i="4" s="1"/>
  <c r="R414" i="4" a="1"/>
  <c r="R414" i="4" s="1"/>
  <c r="X406" i="4" a="1"/>
  <c r="X406" i="4" s="1"/>
  <c r="U406" i="4" a="1"/>
  <c r="U406" i="4" s="1"/>
  <c r="T406" i="4" a="1"/>
  <c r="T406" i="4" s="1"/>
  <c r="S406" i="4" a="1"/>
  <c r="S406" i="4" s="1"/>
  <c r="Q406" i="4" a="1"/>
  <c r="Q406" i="4" s="1"/>
  <c r="R406" i="4" a="1"/>
  <c r="R406" i="4" s="1"/>
  <c r="M719" i="25"/>
  <c r="M711" i="25"/>
  <c r="M703" i="25"/>
  <c r="M695" i="25"/>
  <c r="M687" i="25"/>
  <c r="M679" i="25"/>
  <c r="M671" i="25"/>
  <c r="M663" i="25"/>
  <c r="M655" i="25"/>
  <c r="M647" i="25"/>
  <c r="M639" i="25"/>
  <c r="M631" i="25"/>
  <c r="M623" i="25"/>
  <c r="M615" i="25"/>
  <c r="M607" i="25"/>
  <c r="M599" i="25"/>
  <c r="M591" i="25"/>
  <c r="M583" i="25"/>
  <c r="M575" i="25"/>
  <c r="M567" i="25"/>
  <c r="M559" i="25"/>
  <c r="M551" i="25"/>
  <c r="M543" i="25"/>
  <c r="M535" i="25"/>
  <c r="M527" i="25"/>
  <c r="M519" i="25"/>
  <c r="M511" i="25"/>
  <c r="M503" i="25"/>
  <c r="Q229" i="4" a="1"/>
  <c r="Q229" i="4" s="1"/>
  <c r="Z724" i="25" s="1"/>
  <c r="Q197" i="4" a="1"/>
  <c r="Q197" i="4" s="1"/>
  <c r="Z692" i="25" s="1"/>
  <c r="Q165" i="4" a="1"/>
  <c r="Q165" i="4" s="1"/>
  <c r="Z660" i="25" s="1"/>
  <c r="Q133" i="4" a="1"/>
  <c r="Q133" i="4" s="1"/>
  <c r="Z628" i="25" s="1"/>
  <c r="Q101" i="4" a="1"/>
  <c r="Q101" i="4" s="1"/>
  <c r="Z596" i="25" s="1"/>
  <c r="Q69" i="4" a="1"/>
  <c r="Q69" i="4" s="1"/>
  <c r="Z564" i="25" s="1"/>
  <c r="Q37" i="4" a="1"/>
  <c r="Q37" i="4" s="1"/>
  <c r="Z532" i="25" s="1"/>
  <c r="R434" i="4" a="1"/>
  <c r="R434" i="4" s="1"/>
  <c r="R402" i="4" a="1"/>
  <c r="R402" i="4" s="1"/>
  <c r="R152" i="4" a="1"/>
  <c r="R152" i="4" s="1"/>
  <c r="AA647" i="25" s="1"/>
  <c r="R66" i="4" a="1"/>
  <c r="R66" i="4" s="1"/>
  <c r="AA561" i="25" s="1"/>
  <c r="S190" i="4" a="1"/>
  <c r="S190" i="4" s="1"/>
  <c r="AB685" i="25" s="1"/>
  <c r="AI1136" i="25"/>
  <c r="AI1128" i="25"/>
  <c r="AI1120" i="25"/>
  <c r="AI1112" i="25"/>
  <c r="AI1104" i="25"/>
  <c r="AI1096" i="25"/>
  <c r="AI1088" i="25"/>
  <c r="AI1080" i="25"/>
  <c r="AI1072" i="25"/>
  <c r="AI1064" i="25"/>
  <c r="B498" i="25"/>
  <c r="B490" i="25"/>
  <c r="B482" i="25"/>
  <c r="B466" i="25"/>
  <c r="B458" i="25"/>
  <c r="B450" i="25"/>
  <c r="B442" i="25"/>
  <c r="B434" i="25"/>
  <c r="B426" i="25"/>
  <c r="B418" i="25"/>
  <c r="B402" i="25"/>
  <c r="B394" i="25"/>
  <c r="B386" i="25"/>
  <c r="B378" i="25"/>
  <c r="B370" i="25"/>
  <c r="B362" i="25"/>
  <c r="B354" i="25"/>
  <c r="B338" i="25"/>
  <c r="B330" i="25"/>
  <c r="B322" i="25"/>
  <c r="B314" i="25"/>
  <c r="B306" i="25"/>
  <c r="B298" i="25"/>
  <c r="B290" i="25"/>
  <c r="B274" i="25"/>
  <c r="B266" i="25"/>
  <c r="B258" i="25"/>
  <c r="B250" i="25"/>
  <c r="B242" i="25"/>
  <c r="B234" i="25"/>
  <c r="B226" i="25"/>
  <c r="B210" i="25"/>
  <c r="B202" i="25"/>
  <c r="B194" i="25"/>
  <c r="B186" i="25"/>
  <c r="B178" i="25"/>
  <c r="B170" i="25"/>
  <c r="B162" i="25"/>
  <c r="B146" i="25"/>
  <c r="B138" i="25"/>
  <c r="B130" i="25"/>
  <c r="B122" i="25"/>
  <c r="B114" i="25"/>
  <c r="B106" i="25"/>
  <c r="B829" i="25"/>
  <c r="B821" i="25"/>
  <c r="B813" i="25"/>
  <c r="B805" i="25"/>
  <c r="AI1137" i="25"/>
  <c r="AI1129" i="25"/>
  <c r="AI1121" i="25"/>
  <c r="AI1113" i="25"/>
  <c r="AI1105" i="25"/>
  <c r="AI1097" i="25"/>
  <c r="AI1089" i="25"/>
  <c r="AI1081" i="25"/>
  <c r="AI1073" i="25"/>
  <c r="AI1065" i="25"/>
  <c r="B1046" i="25"/>
  <c r="B1038" i="25"/>
  <c r="B1030" i="25"/>
  <c r="B1022" i="25"/>
  <c r="B1014" i="25"/>
  <c r="B1006" i="25"/>
  <c r="B998" i="25"/>
  <c r="B990" i="25"/>
  <c r="B982" i="25"/>
  <c r="B974" i="25"/>
  <c r="B966" i="25"/>
  <c r="B958" i="25"/>
  <c r="B950" i="25"/>
  <c r="B690" i="25"/>
  <c r="B682" i="25"/>
  <c r="B838" i="25"/>
  <c r="B833" i="25"/>
  <c r="B825" i="25"/>
  <c r="B817" i="25"/>
  <c r="B809" i="25"/>
  <c r="B801" i="25"/>
  <c r="B1049" i="25"/>
  <c r="B1041" i="25"/>
  <c r="B1033" i="25"/>
  <c r="B1025" i="25"/>
  <c r="B1017" i="25"/>
  <c r="B1009" i="25"/>
  <c r="B1001" i="25"/>
  <c r="B993" i="25"/>
  <c r="B985" i="25"/>
  <c r="B977" i="25"/>
  <c r="B969" i="25"/>
  <c r="B961" i="25"/>
  <c r="B953" i="25"/>
  <c r="B796" i="25"/>
  <c r="B788" i="25"/>
  <c r="B780" i="25"/>
  <c r="B772" i="25"/>
  <c r="B764" i="25"/>
  <c r="B756" i="25"/>
  <c r="B748" i="25"/>
  <c r="B740" i="25"/>
  <c r="B732" i="25"/>
  <c r="B724" i="25"/>
  <c r="B716" i="25"/>
  <c r="B708" i="25"/>
  <c r="B700" i="25"/>
  <c r="B692" i="25"/>
  <c r="B684" i="25"/>
  <c r="B676" i="25"/>
  <c r="B668" i="25"/>
  <c r="B660" i="25"/>
  <c r="B652" i="25"/>
  <c r="B644" i="25"/>
  <c r="B636" i="25"/>
  <c r="B628" i="25"/>
  <c r="B620" i="25"/>
  <c r="B612" i="25"/>
  <c r="B604" i="25"/>
  <c r="B596" i="25"/>
  <c r="B830" i="25"/>
  <c r="B822" i="25"/>
  <c r="B814" i="25"/>
  <c r="B806" i="25"/>
  <c r="B1047" i="25"/>
  <c r="B1039" i="25"/>
  <c r="B1031" i="25"/>
  <c r="B1023" i="25"/>
  <c r="B1015" i="25"/>
  <c r="B1007" i="25"/>
  <c r="B999" i="25"/>
  <c r="B991" i="25"/>
  <c r="B983" i="25"/>
  <c r="B975" i="25"/>
  <c r="B967" i="25"/>
  <c r="B959" i="25"/>
  <c r="B951" i="25"/>
  <c r="B525" i="25"/>
  <c r="B517" i="25"/>
  <c r="B509" i="25"/>
  <c r="B836" i="25"/>
  <c r="B828" i="25"/>
  <c r="B820" i="25"/>
  <c r="B812" i="25"/>
  <c r="B804" i="25"/>
  <c r="B834" i="25"/>
  <c r="B826" i="25"/>
  <c r="B818" i="25"/>
  <c r="B810" i="25"/>
  <c r="B802" i="25"/>
  <c r="B1052" i="25"/>
  <c r="B1028" i="25"/>
  <c r="B1004" i="25"/>
  <c r="B964" i="25"/>
  <c r="B1044" i="25"/>
  <c r="B1020" i="25"/>
  <c r="B996" i="25"/>
  <c r="B980" i="25"/>
  <c r="B972" i="25"/>
  <c r="B1051" i="25"/>
  <c r="B1043" i="25"/>
  <c r="B1035" i="25"/>
  <c r="B1027" i="25"/>
  <c r="B1019" i="25"/>
  <c r="B1011" i="25"/>
  <c r="B1003" i="25"/>
  <c r="B995" i="25"/>
  <c r="B987" i="25"/>
  <c r="B979" i="25"/>
  <c r="B971" i="25"/>
  <c r="B963" i="25"/>
  <c r="B955" i="25"/>
  <c r="B1036" i="25"/>
  <c r="B1012" i="25"/>
  <c r="B988" i="25"/>
  <c r="B956" i="25"/>
  <c r="AI1133" i="25"/>
  <c r="AI1125" i="25"/>
  <c r="AI1117" i="25"/>
  <c r="AI1109" i="25"/>
  <c r="AI1101" i="25"/>
  <c r="AI1093" i="25"/>
  <c r="AI1085" i="25"/>
  <c r="AI1077" i="25"/>
  <c r="AI1069" i="25"/>
  <c r="B588" i="25"/>
  <c r="B580" i="25"/>
  <c r="B572" i="25"/>
  <c r="B564" i="25"/>
  <c r="B556" i="25"/>
  <c r="B548" i="25"/>
  <c r="B540" i="25"/>
  <c r="B1048" i="25"/>
  <c r="B1040" i="25"/>
  <c r="B1032" i="25"/>
  <c r="B1024" i="25"/>
  <c r="B1016" i="25"/>
  <c r="B1008" i="25"/>
  <c r="B1000" i="25"/>
  <c r="B992" i="25"/>
  <c r="B984" i="25"/>
  <c r="B976" i="25"/>
  <c r="B968" i="25"/>
  <c r="B960" i="25"/>
  <c r="B952" i="25"/>
  <c r="L181" i="30"/>
  <c r="L157" i="30"/>
  <c r="K141" i="30" a="1"/>
  <c r="K141" i="30" s="1"/>
  <c r="N141" i="30" s="1"/>
  <c r="K85" i="30" a="1"/>
  <c r="K85" i="30" s="1"/>
  <c r="N85" i="30" s="1"/>
  <c r="L289" i="30"/>
  <c r="U1058" i="25" s="1"/>
  <c r="K123" i="30" a="1"/>
  <c r="K123" i="30" s="1"/>
  <c r="N123" i="30" s="1"/>
  <c r="W123" i="30" s="1"/>
  <c r="L72" i="30"/>
  <c r="AI98" i="25"/>
  <c r="AI90" i="25"/>
  <c r="AI82" i="25"/>
  <c r="AI74" i="25"/>
  <c r="AI66" i="25"/>
  <c r="AI58" i="25"/>
  <c r="AI50" i="25"/>
  <c r="AI42" i="25"/>
  <c r="AI34" i="25"/>
  <c r="AI26" i="25"/>
  <c r="AI18" i="25"/>
  <c r="AI10" i="25"/>
  <c r="AJ500" i="25"/>
  <c r="AJ92" i="25"/>
  <c r="AJ84" i="25"/>
  <c r="AJ76" i="25"/>
  <c r="AJ68" i="25"/>
  <c r="AJ60" i="25"/>
  <c r="AJ52" i="25"/>
  <c r="AJ44" i="25"/>
  <c r="AJ36" i="25"/>
  <c r="AJ28" i="25"/>
  <c r="AJ20" i="25"/>
  <c r="AJ12" i="25"/>
  <c r="AJ4" i="25"/>
  <c r="AI97" i="25"/>
  <c r="AI89" i="25"/>
  <c r="AI81" i="25"/>
  <c r="AI73" i="25"/>
  <c r="AI65" i="25"/>
  <c r="AI57" i="25"/>
  <c r="AI49" i="25"/>
  <c r="AI41" i="25"/>
  <c r="AI33" i="25"/>
  <c r="AI25" i="25"/>
  <c r="AI17" i="25"/>
  <c r="AI9" i="25"/>
  <c r="AJ99" i="25"/>
  <c r="AJ91" i="25"/>
  <c r="AJ83" i="25"/>
  <c r="AJ75" i="25"/>
  <c r="AJ67" i="25"/>
  <c r="AJ59" i="25"/>
  <c r="AJ51" i="25"/>
  <c r="AJ43" i="25"/>
  <c r="AJ35" i="25"/>
  <c r="AJ27" i="25"/>
  <c r="AJ19" i="25"/>
  <c r="AJ11" i="25"/>
  <c r="AI96" i="25"/>
  <c r="AI88" i="25"/>
  <c r="AI80" i="25"/>
  <c r="AI72" i="25"/>
  <c r="AI64" i="25"/>
  <c r="AI56" i="25"/>
  <c r="AI48" i="25"/>
  <c r="AI40" i="25"/>
  <c r="AI32" i="25"/>
  <c r="AI24" i="25"/>
  <c r="AI16" i="25"/>
  <c r="AI8" i="25"/>
  <c r="AI95" i="25"/>
  <c r="AI87" i="25"/>
  <c r="AI79" i="25"/>
  <c r="AI71" i="25"/>
  <c r="AI63" i="25"/>
  <c r="AI55" i="25"/>
  <c r="AI47" i="25"/>
  <c r="AI39" i="25"/>
  <c r="AI31" i="25"/>
  <c r="AI23" i="25"/>
  <c r="AI15" i="25"/>
  <c r="AI7" i="25"/>
  <c r="AI94" i="25"/>
  <c r="AI86" i="25"/>
  <c r="AI78" i="25"/>
  <c r="AI70" i="25"/>
  <c r="AI62" i="25"/>
  <c r="AI54" i="25"/>
  <c r="AI46" i="25"/>
  <c r="AI38" i="25"/>
  <c r="AI30" i="25"/>
  <c r="AI22" i="25"/>
  <c r="AI14" i="25"/>
  <c r="AI6" i="25"/>
  <c r="AI501" i="25"/>
  <c r="AI93" i="25"/>
  <c r="AI85" i="25"/>
  <c r="AI77" i="25"/>
  <c r="AI69" i="25"/>
  <c r="AI61" i="25"/>
  <c r="AI53" i="25"/>
  <c r="AI45" i="25"/>
  <c r="AI37" i="25"/>
  <c r="AI29" i="25"/>
  <c r="AI21" i="25"/>
  <c r="AI13" i="25"/>
  <c r="AI5" i="25"/>
  <c r="AD754" i="25"/>
  <c r="K173" i="30" a="1"/>
  <c r="K173" i="30" s="1"/>
  <c r="N173" i="30" s="1"/>
  <c r="L48" i="30"/>
  <c r="AD731" i="25"/>
  <c r="L125" i="30"/>
  <c r="L93" i="30"/>
  <c r="K133" i="30" a="1"/>
  <c r="K133" i="30" s="1"/>
  <c r="N133" i="30" s="1"/>
  <c r="W133" i="30" s="1"/>
  <c r="K109" i="30" a="1"/>
  <c r="K109" i="30" s="1"/>
  <c r="N109" i="30" s="1"/>
  <c r="L42" i="30"/>
  <c r="K64" i="30" a="1"/>
  <c r="K64" i="30" s="1"/>
  <c r="N64" i="30" s="1"/>
  <c r="K40" i="30" a="1"/>
  <c r="K40" i="30" s="1"/>
  <c r="N40" i="30" s="1"/>
  <c r="K127" i="30" a="1"/>
  <c r="K127" i="30" s="1"/>
  <c r="N127" i="30" s="1"/>
  <c r="K16" i="30" a="1"/>
  <c r="K16" i="30" s="1"/>
  <c r="N16" i="30" s="1"/>
  <c r="L149" i="30"/>
  <c r="L117" i="30"/>
  <c r="K165" i="30" a="1"/>
  <c r="K165" i="30" s="1"/>
  <c r="N165" i="30" s="1"/>
  <c r="K101" i="30" a="1"/>
  <c r="K101" i="30" s="1"/>
  <c r="N101" i="30" s="1"/>
  <c r="L58" i="30"/>
  <c r="K14" i="30" a="1"/>
  <c r="K14" i="30" s="1"/>
  <c r="N14" i="30" s="1"/>
  <c r="Z784" i="25"/>
  <c r="K56" i="30" a="1"/>
  <c r="K56" i="30" s="1"/>
  <c r="N56" i="30" s="1"/>
  <c r="L79" i="30"/>
  <c r="K32" i="30" a="1"/>
  <c r="K32" i="30" s="1"/>
  <c r="N32" i="30" s="1"/>
  <c r="W32" i="30" s="1"/>
  <c r="K87" i="30" a="1"/>
  <c r="K87" i="30" s="1"/>
  <c r="N87" i="30" s="1"/>
  <c r="L30" i="30"/>
  <c r="L98" i="30"/>
  <c r="K122" i="30" a="1"/>
  <c r="K122" i="30" s="1"/>
  <c r="N122" i="30" s="1"/>
  <c r="W122" i="30" s="1"/>
  <c r="L23" i="30"/>
  <c r="L31" i="30"/>
  <c r="L286" i="30"/>
  <c r="U1055" i="25" s="1"/>
  <c r="N31" i="30"/>
  <c r="L15" i="30"/>
  <c r="L63" i="30"/>
  <c r="Z737" i="25"/>
  <c r="B1053" i="25"/>
  <c r="B1045" i="25"/>
  <c r="B1037" i="25"/>
  <c r="B1029" i="25"/>
  <c r="B1021" i="25"/>
  <c r="B1013" i="25"/>
  <c r="B1005" i="25"/>
  <c r="B997" i="25"/>
  <c r="B989" i="25"/>
  <c r="B981" i="25"/>
  <c r="B973" i="25"/>
  <c r="B965" i="25"/>
  <c r="B957" i="25"/>
  <c r="B949" i="25"/>
  <c r="B837" i="25"/>
  <c r="B832" i="25"/>
  <c r="B824" i="25"/>
  <c r="B816" i="25"/>
  <c r="B808" i="25"/>
  <c r="B800" i="25"/>
  <c r="B831" i="25"/>
  <c r="B823" i="25"/>
  <c r="B815" i="25"/>
  <c r="B807" i="25"/>
  <c r="B1050" i="25"/>
  <c r="B1042" i="25"/>
  <c r="B1034" i="25"/>
  <c r="B1026" i="25"/>
  <c r="B1018" i="25"/>
  <c r="B1010" i="25"/>
  <c r="B1002" i="25"/>
  <c r="B994" i="25"/>
  <c r="B986" i="25"/>
  <c r="B978" i="25"/>
  <c r="B970" i="25"/>
  <c r="B962" i="25"/>
  <c r="B954" i="25"/>
  <c r="B526" i="25"/>
  <c r="B799" i="25"/>
  <c r="B791" i="25"/>
  <c r="B783" i="25"/>
  <c r="B775" i="25"/>
  <c r="B767" i="25"/>
  <c r="B759" i="25"/>
  <c r="B751" i="25"/>
  <c r="B743" i="25"/>
  <c r="B735" i="25"/>
  <c r="B727" i="25"/>
  <c r="B719" i="25"/>
  <c r="B711" i="25"/>
  <c r="B703" i="25"/>
  <c r="B695" i="25"/>
  <c r="B687" i="25"/>
  <c r="B679" i="25"/>
  <c r="B671" i="25"/>
  <c r="B663" i="25"/>
  <c r="B655" i="25"/>
  <c r="B647" i="25"/>
  <c r="B639" i="25"/>
  <c r="B631" i="25"/>
  <c r="B623" i="25"/>
  <c r="B615" i="25"/>
  <c r="B607" i="25"/>
  <c r="B599" i="25"/>
  <c r="B591" i="25"/>
  <c r="B583" i="25"/>
  <c r="B575" i="25"/>
  <c r="B567" i="25"/>
  <c r="B559" i="25"/>
  <c r="B551" i="25"/>
  <c r="B543" i="25"/>
  <c r="B535" i="25"/>
  <c r="B88" i="29"/>
  <c r="B798" i="25"/>
  <c r="B790" i="25"/>
  <c r="B782" i="25"/>
  <c r="B774" i="25"/>
  <c r="B766" i="25"/>
  <c r="B758" i="25"/>
  <c r="B750" i="25"/>
  <c r="B742" i="25"/>
  <c r="B734" i="25"/>
  <c r="B726" i="25"/>
  <c r="B718" i="25"/>
  <c r="B710" i="25"/>
  <c r="B702" i="25"/>
  <c r="B694" i="25"/>
  <c r="B686" i="25"/>
  <c r="B678" i="25"/>
  <c r="B670" i="25"/>
  <c r="B662" i="25"/>
  <c r="B654" i="25"/>
  <c r="B646" i="25"/>
  <c r="B638" i="25"/>
  <c r="B630" i="25"/>
  <c r="B622" i="25"/>
  <c r="B614" i="25"/>
  <c r="B606" i="25"/>
  <c r="B598" i="25"/>
  <c r="B590" i="25"/>
  <c r="B582" i="25"/>
  <c r="B574" i="25"/>
  <c r="B566" i="25"/>
  <c r="B558" i="25"/>
  <c r="B550" i="25"/>
  <c r="B542" i="25"/>
  <c r="B534" i="25"/>
  <c r="B797" i="25"/>
  <c r="B789" i="25"/>
  <c r="B781" i="25"/>
  <c r="B773" i="25"/>
  <c r="B765" i="25"/>
  <c r="B757" i="25"/>
  <c r="B749" i="25"/>
  <c r="B741" i="25"/>
  <c r="B733" i="25"/>
  <c r="B725" i="25"/>
  <c r="B717" i="25"/>
  <c r="B709" i="25"/>
  <c r="B701" i="25"/>
  <c r="B693" i="25"/>
  <c r="B685" i="25"/>
  <c r="B677" i="25"/>
  <c r="B669" i="25"/>
  <c r="B661" i="25"/>
  <c r="B653" i="25"/>
  <c r="B645" i="25"/>
  <c r="B637" i="25"/>
  <c r="B629" i="25"/>
  <c r="B621" i="25"/>
  <c r="B613" i="25"/>
  <c r="B605" i="25"/>
  <c r="B597" i="25"/>
  <c r="B589" i="25"/>
  <c r="B581" i="25"/>
  <c r="B573" i="25"/>
  <c r="B565" i="25"/>
  <c r="B557" i="25"/>
  <c r="B549" i="25"/>
  <c r="B541" i="25"/>
  <c r="B533" i="25"/>
  <c r="B532" i="25"/>
  <c r="B522" i="25"/>
  <c r="B514" i="25"/>
  <c r="B506" i="25"/>
  <c r="B795" i="25"/>
  <c r="B787" i="25"/>
  <c r="B779" i="25"/>
  <c r="B771" i="25"/>
  <c r="B763" i="25"/>
  <c r="B755" i="25"/>
  <c r="B747" i="25"/>
  <c r="B739" i="25"/>
  <c r="B731" i="25"/>
  <c r="B723" i="25"/>
  <c r="B715" i="25"/>
  <c r="B707" i="25"/>
  <c r="B699" i="25"/>
  <c r="B691" i="25"/>
  <c r="B683" i="25"/>
  <c r="B675" i="25"/>
  <c r="B667" i="25"/>
  <c r="B659" i="25"/>
  <c r="B651" i="25"/>
  <c r="B643" i="25"/>
  <c r="B635" i="25"/>
  <c r="B627" i="25"/>
  <c r="B619" i="25"/>
  <c r="B611" i="25"/>
  <c r="B603" i="25"/>
  <c r="B595" i="25"/>
  <c r="B587" i="25"/>
  <c r="B579" i="25"/>
  <c r="B571" i="25"/>
  <c r="B563" i="25"/>
  <c r="B555" i="25"/>
  <c r="B547" i="25"/>
  <c r="B539" i="25"/>
  <c r="B531" i="25"/>
  <c r="B529" i="25"/>
  <c r="B521" i="25"/>
  <c r="B513" i="25"/>
  <c r="B505" i="25"/>
  <c r="B794" i="25"/>
  <c r="B786" i="25"/>
  <c r="B778" i="25"/>
  <c r="B770" i="25"/>
  <c r="B762" i="25"/>
  <c r="B754" i="25"/>
  <c r="B746" i="25"/>
  <c r="B738" i="25"/>
  <c r="B730" i="25"/>
  <c r="B722" i="25"/>
  <c r="B714" i="25"/>
  <c r="B706" i="25"/>
  <c r="B698" i="25"/>
  <c r="B674" i="25"/>
  <c r="B666" i="25"/>
  <c r="B658" i="25"/>
  <c r="B650" i="25"/>
  <c r="B642" i="25"/>
  <c r="B634" i="25"/>
  <c r="B626" i="25"/>
  <c r="B618" i="25"/>
  <c r="B610" i="25"/>
  <c r="B602" i="25"/>
  <c r="B594" i="25"/>
  <c r="B586" i="25"/>
  <c r="B578" i="25"/>
  <c r="B570" i="25"/>
  <c r="B562" i="25"/>
  <c r="B554" i="25"/>
  <c r="B546" i="25"/>
  <c r="B538" i="25"/>
  <c r="B530" i="25"/>
  <c r="B528" i="25"/>
  <c r="B520" i="25"/>
  <c r="B512" i="25"/>
  <c r="B504" i="25"/>
  <c r="B793" i="25"/>
  <c r="B785" i="25"/>
  <c r="B777" i="25"/>
  <c r="B769" i="25"/>
  <c r="B761" i="25"/>
  <c r="B753" i="25"/>
  <c r="B745" i="25"/>
  <c r="B737" i="25"/>
  <c r="B729" i="25"/>
  <c r="B721" i="25"/>
  <c r="B713" i="25"/>
  <c r="B705" i="25"/>
  <c r="B697" i="25"/>
  <c r="B689" i="25"/>
  <c r="B681" i="25"/>
  <c r="B673" i="25"/>
  <c r="B665" i="25"/>
  <c r="B657" i="25"/>
  <c r="B649" i="25"/>
  <c r="B641" i="25"/>
  <c r="B633" i="25"/>
  <c r="B625" i="25"/>
  <c r="B617" i="25"/>
  <c r="B609" i="25"/>
  <c r="B601" i="25"/>
  <c r="B593" i="25"/>
  <c r="B585" i="25"/>
  <c r="B577" i="25"/>
  <c r="B569" i="25"/>
  <c r="B561" i="25"/>
  <c r="B553" i="25"/>
  <c r="B545" i="25"/>
  <c r="B537" i="25"/>
  <c r="B792" i="25"/>
  <c r="B784" i="25"/>
  <c r="B776" i="25"/>
  <c r="B768" i="25"/>
  <c r="B760" i="25"/>
  <c r="B752" i="25"/>
  <c r="B744" i="25"/>
  <c r="B736" i="25"/>
  <c r="B728" i="25"/>
  <c r="B720" i="25"/>
  <c r="B712" i="25"/>
  <c r="B704" i="25"/>
  <c r="B696" i="25"/>
  <c r="B688" i="25"/>
  <c r="B680" i="25"/>
  <c r="B672" i="25"/>
  <c r="B664" i="25"/>
  <c r="B656" i="25"/>
  <c r="B648" i="25"/>
  <c r="B640" i="25"/>
  <c r="B632" i="25"/>
  <c r="B624" i="25"/>
  <c r="B616" i="25"/>
  <c r="B608" i="25"/>
  <c r="B600" i="25"/>
  <c r="B592" i="25"/>
  <c r="B584" i="25"/>
  <c r="B576" i="25"/>
  <c r="B568" i="25"/>
  <c r="B560" i="25"/>
  <c r="B552" i="25"/>
  <c r="B544" i="25"/>
  <c r="B536" i="25"/>
  <c r="K104" i="30" a="1"/>
  <c r="K104" i="30" s="1"/>
  <c r="N104" i="30" s="1"/>
  <c r="W104" i="30" s="1"/>
  <c r="N41" i="30"/>
  <c r="L68" i="30"/>
  <c r="L52" i="30"/>
  <c r="L36" i="30"/>
  <c r="K20" i="30" a="1"/>
  <c r="K20" i="30" s="1"/>
  <c r="N20" i="30" s="1"/>
  <c r="W20" i="30" s="1"/>
  <c r="L151" i="30"/>
  <c r="K144" i="30" a="1"/>
  <c r="K144" i="30" s="1"/>
  <c r="N144" i="30" s="1"/>
  <c r="K96" i="30" a="1"/>
  <c r="K96" i="30" s="1"/>
  <c r="N96" i="30" s="1"/>
  <c r="W96" i="30" s="1"/>
  <c r="L167" i="30"/>
  <c r="N68" i="30"/>
  <c r="L44" i="30"/>
  <c r="L66" i="30"/>
  <c r="N36" i="30"/>
  <c r="W36" i="30" s="1"/>
  <c r="N73" i="30"/>
  <c r="L73" i="30"/>
  <c r="K295" i="30" a="1"/>
  <c r="K295" i="30" s="1"/>
  <c r="N295" i="30" s="1"/>
  <c r="K294" i="30" a="1"/>
  <c r="K294" i="30" s="1"/>
  <c r="N294" i="30" s="1"/>
  <c r="J836" i="25"/>
  <c r="N151" i="30"/>
  <c r="N119" i="30"/>
  <c r="N182" i="30"/>
  <c r="W182" i="30" s="1"/>
  <c r="N110" i="30"/>
  <c r="W110" i="30" s="1"/>
  <c r="N94" i="30"/>
  <c r="W94" i="30" s="1"/>
  <c r="N50" i="30"/>
  <c r="N18" i="30"/>
  <c r="N71" i="30"/>
  <c r="N289" i="30"/>
  <c r="W1058" i="25" s="1"/>
  <c r="N66" i="30"/>
  <c r="N62" i="30"/>
  <c r="N30" i="30"/>
  <c r="N92" i="30"/>
  <c r="W92" i="30" s="1"/>
  <c r="N290" i="30"/>
  <c r="W1059" i="25" s="1"/>
  <c r="M1061" i="25"/>
  <c r="U7" i="14"/>
  <c r="B80" i="29"/>
  <c r="B87" i="29"/>
  <c r="B79" i="29"/>
  <c r="B86" i="29"/>
  <c r="B78" i="29"/>
  <c r="B518" i="25"/>
  <c r="B510" i="25"/>
  <c r="B82" i="29"/>
  <c r="B85" i="29"/>
  <c r="B77" i="29"/>
  <c r="B527" i="25"/>
  <c r="B519" i="25"/>
  <c r="B511" i="25"/>
  <c r="B503" i="25"/>
  <c r="B84" i="29"/>
  <c r="B76" i="29"/>
  <c r="B83" i="29"/>
  <c r="B75" i="29"/>
  <c r="B524" i="25"/>
  <c r="B516" i="25"/>
  <c r="B508" i="25"/>
  <c r="B89" i="29"/>
  <c r="B81" i="29"/>
  <c r="B523" i="25"/>
  <c r="B515" i="25"/>
  <c r="B507" i="25"/>
  <c r="N102" i="30"/>
  <c r="N285" i="30"/>
  <c r="L111" i="30"/>
  <c r="K175" i="30" a="1"/>
  <c r="K175" i="30" s="1"/>
  <c r="N175" i="30" s="1"/>
  <c r="K158" i="30" a="1"/>
  <c r="K158" i="30" s="1"/>
  <c r="N158" i="30" s="1"/>
  <c r="K143" i="30" a="1"/>
  <c r="K143" i="30" s="1"/>
  <c r="N143" i="30" s="1"/>
  <c r="L62" i="30"/>
  <c r="L285" i="30"/>
  <c r="U1054" i="25" s="1"/>
  <c r="K293" i="30" a="1"/>
  <c r="K293" i="30" s="1"/>
  <c r="N293" i="30" s="1"/>
  <c r="L182" i="30"/>
  <c r="L110" i="30"/>
  <c r="L95" i="30"/>
  <c r="K142" i="30" a="1"/>
  <c r="K142" i="30" s="1"/>
  <c r="N142" i="30" s="1"/>
  <c r="K86" i="30" a="1"/>
  <c r="K86" i="30" s="1"/>
  <c r="N86" i="30" s="1"/>
  <c r="N28" i="30"/>
  <c r="L71" i="30"/>
  <c r="K70" i="30" a="1"/>
  <c r="K70" i="30" s="1"/>
  <c r="N70" i="30" s="1"/>
  <c r="K46" i="30" a="1"/>
  <c r="K46" i="30" s="1"/>
  <c r="N46" i="30" s="1"/>
  <c r="L159" i="30"/>
  <c r="L94" i="30"/>
  <c r="L78" i="30"/>
  <c r="N131" i="30"/>
  <c r="N72" i="30"/>
  <c r="N42" i="30"/>
  <c r="N33" i="30"/>
  <c r="K22" i="30" a="1"/>
  <c r="K22" i="30" s="1"/>
  <c r="N22" i="30" s="1"/>
  <c r="N95" i="30"/>
  <c r="K135" i="30" a="1"/>
  <c r="K135" i="30" s="1"/>
  <c r="N135" i="30" s="1"/>
  <c r="N178" i="30"/>
  <c r="N170" i="30"/>
  <c r="W170" i="30" s="1"/>
  <c r="N146" i="30"/>
  <c r="W146" i="30" s="1"/>
  <c r="N82" i="30"/>
  <c r="W82" i="30" s="1"/>
  <c r="L47" i="30"/>
  <c r="N159" i="30"/>
  <c r="L174" i="30"/>
  <c r="L119" i="30"/>
  <c r="L103" i="30"/>
  <c r="K134" i="30" a="1"/>
  <c r="K134" i="30" s="1"/>
  <c r="N134" i="30" s="1"/>
  <c r="W134" i="30" s="1"/>
  <c r="N169" i="30"/>
  <c r="W169" i="30" s="1"/>
  <c r="N137" i="30"/>
  <c r="K54" i="30" a="1"/>
  <c r="K54" i="30" s="1"/>
  <c r="N54" i="30" s="1"/>
  <c r="L118" i="30"/>
  <c r="L102" i="30"/>
  <c r="L55" i="30"/>
  <c r="N111" i="30"/>
  <c r="L51" i="30"/>
  <c r="K51" i="30" a="1"/>
  <c r="K51" i="30" s="1"/>
  <c r="N51" i="30" s="1"/>
  <c r="L43" i="30"/>
  <c r="K43" i="30" a="1"/>
  <c r="K43" i="30" s="1"/>
  <c r="N43" i="30" s="1"/>
  <c r="K35" i="30" a="1"/>
  <c r="K35" i="30" s="1"/>
  <c r="N35" i="30" s="1"/>
  <c r="L35" i="30"/>
  <c r="L19" i="30"/>
  <c r="K19" i="30" a="1"/>
  <c r="K19" i="30" s="1"/>
  <c r="N19" i="30" s="1"/>
  <c r="N286" i="30"/>
  <c r="W1055" i="25" s="1"/>
  <c r="AJ1055" i="25" s="1"/>
  <c r="L179" i="30"/>
  <c r="K179" i="30" a="1"/>
  <c r="K179" i="30" s="1"/>
  <c r="N179" i="30" s="1"/>
  <c r="L115" i="30"/>
  <c r="K115" i="30" a="1"/>
  <c r="K115" i="30" s="1"/>
  <c r="N115" i="30" s="1"/>
  <c r="L99" i="30"/>
  <c r="K99" i="30" a="1"/>
  <c r="K99" i="30" s="1"/>
  <c r="N99" i="30" s="1"/>
  <c r="W99" i="30" s="1"/>
  <c r="K67" i="30" a="1"/>
  <c r="K67" i="30" s="1"/>
  <c r="N67" i="30" s="1"/>
  <c r="K59" i="30" a="1"/>
  <c r="K59" i="30" s="1"/>
  <c r="N59" i="30" s="1"/>
  <c r="K162" i="30" a="1"/>
  <c r="K162" i="30" s="1"/>
  <c r="N162" i="30" s="1"/>
  <c r="L162" i="30"/>
  <c r="K154" i="30" a="1"/>
  <c r="K154" i="30" s="1"/>
  <c r="N154" i="30" s="1"/>
  <c r="W154" i="30" s="1"/>
  <c r="L154" i="30"/>
  <c r="L138" i="30"/>
  <c r="K138" i="30" a="1"/>
  <c r="K138" i="30" s="1"/>
  <c r="N138" i="30" s="1"/>
  <c r="W138" i="30" s="1"/>
  <c r="L114" i="30"/>
  <c r="K114" i="30" a="1"/>
  <c r="K114" i="30" s="1"/>
  <c r="N114" i="30" s="1"/>
  <c r="W114" i="30" s="1"/>
  <c r="K106" i="30" a="1"/>
  <c r="K106" i="30" s="1"/>
  <c r="N106" i="30" s="1"/>
  <c r="W106" i="30" s="1"/>
  <c r="L106" i="30"/>
  <c r="K90" i="30" a="1"/>
  <c r="K90" i="30" s="1"/>
  <c r="N90" i="30" s="1"/>
  <c r="W90" i="30" s="1"/>
  <c r="L90" i="30"/>
  <c r="K74" i="30" a="1"/>
  <c r="K74" i="30" s="1"/>
  <c r="N74" i="30" s="1"/>
  <c r="W74" i="30" s="1"/>
  <c r="L74" i="30"/>
  <c r="N145" i="30"/>
  <c r="K130" i="30" a="1"/>
  <c r="K130" i="30" s="1"/>
  <c r="N130" i="30" s="1"/>
  <c r="W130" i="30" s="1"/>
  <c r="N78" i="30"/>
  <c r="W78" i="30" s="1"/>
  <c r="K45" i="30" a="1"/>
  <c r="K45" i="30" s="1"/>
  <c r="N45" i="30" s="1"/>
  <c r="K27" i="30" a="1"/>
  <c r="K27" i="30" s="1"/>
  <c r="N27" i="30" s="1"/>
  <c r="K53" i="30" a="1"/>
  <c r="K53" i="30" s="1"/>
  <c r="N53" i="30" s="1"/>
  <c r="N26" i="30"/>
  <c r="L290" i="30"/>
  <c r="U1059" i="25" s="1"/>
  <c r="N48" i="30"/>
  <c r="N52" i="30"/>
  <c r="N12" i="30"/>
  <c r="K69" i="30" a="1"/>
  <c r="K69" i="30" s="1"/>
  <c r="N69" i="30" s="1"/>
  <c r="L69" i="30"/>
  <c r="K61" i="30" a="1"/>
  <c r="K61" i="30" s="1"/>
  <c r="N61" i="30" s="1"/>
  <c r="L61" i="30"/>
  <c r="L37" i="30"/>
  <c r="K37" i="30" a="1"/>
  <c r="K37" i="30" s="1"/>
  <c r="N37" i="30" s="1"/>
  <c r="K29" i="30" a="1"/>
  <c r="K29" i="30" s="1"/>
  <c r="N29" i="30" s="1"/>
  <c r="L29" i="30"/>
  <c r="K21" i="30" a="1"/>
  <c r="K21" i="30" s="1"/>
  <c r="N21" i="30" s="1"/>
  <c r="L21" i="30"/>
  <c r="K13" i="30" a="1"/>
  <c r="K13" i="30" s="1"/>
  <c r="N13" i="30" s="1"/>
  <c r="L13" i="30"/>
  <c r="N166" i="30"/>
  <c r="W166" i="30" s="1"/>
  <c r="N93" i="30"/>
  <c r="N79" i="30"/>
  <c r="N150" i="30"/>
  <c r="N118" i="30"/>
  <c r="W118" i="30" s="1"/>
  <c r="N24" i="30"/>
  <c r="N57" i="30"/>
  <c r="N49" i="30"/>
  <c r="N25" i="30"/>
  <c r="N17" i="30"/>
  <c r="N76" i="30"/>
  <c r="N44" i="30"/>
  <c r="W44" i="30" s="1"/>
  <c r="N63" i="30"/>
  <c r="W63" i="30" s="1"/>
  <c r="N55" i="30"/>
  <c r="N47" i="30"/>
  <c r="N39" i="30"/>
  <c r="N23" i="30"/>
  <c r="N15" i="30"/>
  <c r="N124" i="30"/>
  <c r="W124" i="30" s="1"/>
  <c r="N172" i="30"/>
  <c r="W172" i="30" s="1"/>
  <c r="N140" i="30"/>
  <c r="W140" i="30" s="1"/>
  <c r="N34" i="30"/>
  <c r="N132" i="30"/>
  <c r="W132" i="30" s="1"/>
  <c r="N65" i="30"/>
  <c r="N171" i="30"/>
  <c r="W171" i="30" s="1"/>
  <c r="N139" i="30"/>
  <c r="W139" i="30" s="1"/>
  <c r="N75" i="30"/>
  <c r="N174" i="30"/>
  <c r="L163" i="30"/>
  <c r="L131" i="30"/>
  <c r="K107" i="30" a="1"/>
  <c r="K107" i="30" s="1"/>
  <c r="N107" i="30" s="1"/>
  <c r="N157" i="30"/>
  <c r="N147" i="30"/>
  <c r="L171" i="30"/>
  <c r="L139" i="30"/>
  <c r="L75" i="30"/>
  <c r="N98" i="30"/>
  <c r="L170" i="30"/>
  <c r="N164" i="30"/>
  <c r="K91" i="30" a="1"/>
  <c r="K91" i="30" s="1"/>
  <c r="N91" i="30" s="1"/>
  <c r="K83" i="30" a="1"/>
  <c r="K83" i="30" s="1"/>
  <c r="N83" i="30" s="1"/>
  <c r="L39" i="30"/>
  <c r="N167" i="30"/>
  <c r="L147" i="30"/>
  <c r="K155" i="30" a="1"/>
  <c r="K155" i="30" s="1"/>
  <c r="N155" i="30" s="1"/>
  <c r="N103" i="30"/>
  <c r="L178" i="30"/>
  <c r="L166" i="30"/>
  <c r="L146" i="30"/>
  <c r="L82" i="30"/>
  <c r="N181" i="30"/>
  <c r="N11" i="30"/>
  <c r="N180" i="30"/>
  <c r="N116" i="30"/>
  <c r="W116" i="30" s="1"/>
  <c r="L161" i="30"/>
  <c r="K161" i="30" a="1"/>
  <c r="K161" i="30" s="1"/>
  <c r="N161" i="30" s="1"/>
  <c r="L129" i="30"/>
  <c r="K129" i="30" a="1"/>
  <c r="K129" i="30" s="1"/>
  <c r="N129" i="30" s="1"/>
  <c r="N117" i="30"/>
  <c r="L113" i="30"/>
  <c r="K113" i="30" a="1"/>
  <c r="K113" i="30" s="1"/>
  <c r="N113" i="30" s="1"/>
  <c r="L81" i="30"/>
  <c r="K136" i="30" a="1"/>
  <c r="K136" i="30" s="1"/>
  <c r="N136" i="30" s="1"/>
  <c r="K177" i="30" a="1"/>
  <c r="K177" i="30" s="1"/>
  <c r="N177" i="30" s="1"/>
  <c r="L177" i="30"/>
  <c r="K89" i="30" a="1"/>
  <c r="K89" i="30" s="1"/>
  <c r="N89" i="30" s="1"/>
  <c r="L89" i="30"/>
  <c r="L169" i="30"/>
  <c r="N163" i="30"/>
  <c r="N149" i="30"/>
  <c r="K128" i="30" a="1"/>
  <c r="K128" i="30" s="1"/>
  <c r="N128" i="30" s="1"/>
  <c r="K88" i="30" a="1"/>
  <c r="K88" i="30" s="1"/>
  <c r="N88" i="30" s="1"/>
  <c r="K121" i="30" a="1"/>
  <c r="K121" i="30" s="1"/>
  <c r="N121" i="30" s="1"/>
  <c r="L121" i="30"/>
  <c r="K80" i="30" a="1"/>
  <c r="K80" i="30" s="1"/>
  <c r="N80" i="30" s="1"/>
  <c r="N81" i="30"/>
  <c r="L137" i="30"/>
  <c r="K176" i="30" a="1"/>
  <c r="K176" i="30" s="1"/>
  <c r="N176" i="30" s="1"/>
  <c r="K160" i="30" a="1"/>
  <c r="K160" i="30" s="1"/>
  <c r="N160" i="30" s="1"/>
  <c r="K120" i="30" a="1"/>
  <c r="K120" i="30" s="1"/>
  <c r="N120" i="30" s="1"/>
  <c r="N77" i="30"/>
  <c r="L97" i="30"/>
  <c r="K97" i="30" a="1"/>
  <c r="K97" i="30" s="1"/>
  <c r="N97" i="30" s="1"/>
  <c r="L168" i="30"/>
  <c r="K168" i="30" a="1"/>
  <c r="K168" i="30" s="1"/>
  <c r="N168" i="30" s="1"/>
  <c r="L145" i="30"/>
  <c r="L105" i="30"/>
  <c r="K112" i="30" a="1"/>
  <c r="K112" i="30" s="1"/>
  <c r="N112" i="30" s="1"/>
  <c r="K153" i="30" a="1"/>
  <c r="K153" i="30" s="1"/>
  <c r="N153" i="30" s="1"/>
  <c r="L153" i="30"/>
  <c r="N105" i="30"/>
  <c r="K152" i="30" a="1"/>
  <c r="K152" i="30" s="1"/>
  <c r="N152" i="30" s="1"/>
  <c r="N125" i="30"/>
  <c r="X258" i="4" a="1"/>
  <c r="X258" i="4" s="1"/>
  <c r="AG753" i="25" s="1"/>
  <c r="AD801" i="25"/>
  <c r="Z801" i="25"/>
  <c r="X174" i="4" a="1"/>
  <c r="X174" i="4" s="1"/>
  <c r="AG669" i="25" s="1"/>
  <c r="X156" i="4" a="1"/>
  <c r="X156" i="4" s="1"/>
  <c r="AG651" i="25" s="1"/>
  <c r="X100" i="4" a="1"/>
  <c r="X100" i="4" s="1"/>
  <c r="AG595" i="25" s="1"/>
  <c r="Z667" i="25"/>
  <c r="Z571" i="25"/>
  <c r="M164" i="4" a="1"/>
  <c r="M164" i="4" s="1"/>
  <c r="V659" i="25" s="1"/>
  <c r="AI659" i="25" s="1"/>
  <c r="M36" i="4" a="1"/>
  <c r="M36" i="4" s="1"/>
  <c r="V531" i="25" s="1"/>
  <c r="AI531" i="25" s="1"/>
  <c r="M28" i="4" a="1"/>
  <c r="M28" i="4" s="1"/>
  <c r="V523" i="25" s="1"/>
  <c r="AI523" i="25" s="1"/>
  <c r="X248" i="4" a="1"/>
  <c r="X248" i="4" s="1"/>
  <c r="AG743" i="25" s="1"/>
  <c r="AA759" i="25"/>
  <c r="X228" i="4" a="1"/>
  <c r="X228" i="4" s="1"/>
  <c r="AG723" i="25" s="1"/>
  <c r="X204" i="4" a="1"/>
  <c r="X204" i="4" s="1"/>
  <c r="AG699" i="25" s="1"/>
  <c r="X172" i="4" a="1"/>
  <c r="X172" i="4" s="1"/>
  <c r="AG667" i="25" s="1"/>
  <c r="X94" i="4" a="1"/>
  <c r="X94" i="4" s="1"/>
  <c r="AG589" i="25" s="1"/>
  <c r="X36" i="4" a="1"/>
  <c r="X36" i="4" s="1"/>
  <c r="AG531" i="25" s="1"/>
  <c r="X20" i="4" a="1"/>
  <c r="X20" i="4" s="1"/>
  <c r="AG515" i="25" s="1"/>
  <c r="Z700" i="25"/>
  <c r="Z611" i="25"/>
  <c r="X411" i="4" a="1"/>
  <c r="X411" i="4" s="1"/>
  <c r="X68" i="4" a="1"/>
  <c r="X68" i="4" s="1"/>
  <c r="AG563" i="25" s="1"/>
  <c r="X312" i="4" a="1"/>
  <c r="X312" i="4" s="1"/>
  <c r="AG807" i="25" s="1"/>
  <c r="K258" i="4" a="1"/>
  <c r="K258" i="4" s="1"/>
  <c r="T753" i="25" s="1"/>
  <c r="Z547" i="25"/>
  <c r="Z507" i="25"/>
  <c r="X290" i="4" a="1"/>
  <c r="X290" i="4" s="1"/>
  <c r="AG785" i="25" s="1"/>
  <c r="X232" i="4" a="1"/>
  <c r="X232" i="4" s="1"/>
  <c r="AG727" i="25" s="1"/>
  <c r="X220" i="4" a="1"/>
  <c r="X220" i="4" s="1"/>
  <c r="AG715" i="25" s="1"/>
  <c r="X60" i="4" a="1"/>
  <c r="X60" i="4" s="1"/>
  <c r="AG555" i="25" s="1"/>
  <c r="M76" i="4" a="1"/>
  <c r="M76" i="4" s="1"/>
  <c r="V571" i="25" s="1"/>
  <c r="AI571" i="25" s="1"/>
  <c r="L314" i="4"/>
  <c r="U809" i="25" s="1"/>
  <c r="X167" i="4" a="1"/>
  <c r="X167" i="4" s="1"/>
  <c r="AG662" i="25" s="1"/>
  <c r="M102" i="4" a="1"/>
  <c r="M102" i="4" s="1"/>
  <c r="V597" i="25" s="1"/>
  <c r="AI597" i="25" s="1"/>
  <c r="L22" i="4"/>
  <c r="U517" i="25" s="1"/>
  <c r="L204" i="4"/>
  <c r="U699" i="25" s="1"/>
  <c r="L140" i="4"/>
  <c r="U635" i="25" s="1"/>
  <c r="L100" i="4"/>
  <c r="U595" i="25" s="1"/>
  <c r="L44" i="4"/>
  <c r="U539" i="25" s="1"/>
  <c r="F426" i="4"/>
  <c r="X314" i="4" a="1"/>
  <c r="X314" i="4" s="1"/>
  <c r="AG809" i="25" s="1"/>
  <c r="K206" i="4" a="1"/>
  <c r="K206" i="4" s="1"/>
  <c r="T701" i="25" s="1"/>
  <c r="F418" i="4"/>
  <c r="X242" i="4" a="1"/>
  <c r="X242" i="4" s="1"/>
  <c r="AG737" i="25" s="1"/>
  <c r="X215" i="4" a="1"/>
  <c r="X215" i="4" s="1"/>
  <c r="AG710" i="25" s="1"/>
  <c r="M229" i="4" a="1"/>
  <c r="M229" i="4" s="1"/>
  <c r="V724" i="25" s="1"/>
  <c r="AI724" i="25" s="1"/>
  <c r="M205" i="4" a="1"/>
  <c r="M205" i="4" s="1"/>
  <c r="V700" i="25" s="1"/>
  <c r="AI700" i="25" s="1"/>
  <c r="M165" i="4" a="1"/>
  <c r="M165" i="4" s="1"/>
  <c r="V660" i="25" s="1"/>
  <c r="AI660" i="25" s="1"/>
  <c r="M101" i="4" a="1"/>
  <c r="M101" i="4" s="1"/>
  <c r="V596" i="25" s="1"/>
  <c r="AI596" i="25" s="1"/>
  <c r="L77" i="4"/>
  <c r="U572" i="25" s="1"/>
  <c r="M61" i="4" a="1"/>
  <c r="M61" i="4" s="1"/>
  <c r="V556" i="25" s="1"/>
  <c r="AI556" i="25" s="1"/>
  <c r="M53" i="4" a="1"/>
  <c r="M53" i="4" s="1"/>
  <c r="V548" i="25" s="1"/>
  <c r="AI548" i="25" s="1"/>
  <c r="M37" i="4" a="1"/>
  <c r="M37" i="4" s="1"/>
  <c r="V532" i="25" s="1"/>
  <c r="AI532" i="25" s="1"/>
  <c r="X433" i="4" a="1"/>
  <c r="X433" i="4" s="1"/>
  <c r="X31" i="4" a="1"/>
  <c r="X31" i="4" s="1"/>
  <c r="AG526" i="25" s="1"/>
  <c r="X432" i="4" a="1"/>
  <c r="X432" i="4" s="1"/>
  <c r="X235" i="4" a="1"/>
  <c r="X235" i="4" s="1"/>
  <c r="AG730" i="25" s="1"/>
  <c r="X159" i="4" a="1"/>
  <c r="X159" i="4" s="1"/>
  <c r="AG654" i="25" s="1"/>
  <c r="X15" i="4" a="1"/>
  <c r="X15" i="4" s="1"/>
  <c r="AG510" i="25" s="1"/>
  <c r="L410" i="4"/>
  <c r="AA566" i="25"/>
  <c r="X79" i="4" a="1"/>
  <c r="X79" i="4" s="1"/>
  <c r="AG574" i="25" s="1"/>
  <c r="F199" i="4"/>
  <c r="N694" i="25" s="1"/>
  <c r="X331" i="4" a="1"/>
  <c r="X331" i="4" s="1"/>
  <c r="AG826" i="25" s="1"/>
  <c r="X299" i="4" a="1"/>
  <c r="X299" i="4" s="1"/>
  <c r="AG794" i="25" s="1"/>
  <c r="X250" i="4" a="1"/>
  <c r="X250" i="4" s="1"/>
  <c r="AG745" i="25" s="1"/>
  <c r="X198" i="4" a="1"/>
  <c r="X198" i="4" s="1"/>
  <c r="AG693" i="25" s="1"/>
  <c r="X46" i="4" a="1"/>
  <c r="X46" i="4" s="1"/>
  <c r="AG541" i="25" s="1"/>
  <c r="K150" i="4" a="1"/>
  <c r="K150" i="4" s="1"/>
  <c r="T645" i="25" s="1"/>
  <c r="M223" i="4" a="1"/>
  <c r="M223" i="4" s="1"/>
  <c r="V718" i="25" s="1"/>
  <c r="AI718" i="25" s="1"/>
  <c r="M215" i="4" a="1"/>
  <c r="M215" i="4" s="1"/>
  <c r="V710" i="25" s="1"/>
  <c r="AI710" i="25" s="1"/>
  <c r="M207" i="4" a="1"/>
  <c r="M207" i="4" s="1"/>
  <c r="V702" i="25" s="1"/>
  <c r="AI702" i="25" s="1"/>
  <c r="M199" i="4" a="1"/>
  <c r="M199" i="4" s="1"/>
  <c r="V694" i="25" s="1"/>
  <c r="AI694" i="25" s="1"/>
  <c r="M191" i="4" a="1"/>
  <c r="M191" i="4" s="1"/>
  <c r="V686" i="25" s="1"/>
  <c r="AI686" i="25" s="1"/>
  <c r="M183" i="4" a="1"/>
  <c r="M183" i="4" s="1"/>
  <c r="V678" i="25" s="1"/>
  <c r="AI678" i="25" s="1"/>
  <c r="M175" i="4" a="1"/>
  <c r="M175" i="4" s="1"/>
  <c r="V670" i="25" s="1"/>
  <c r="AI670" i="25" s="1"/>
  <c r="M167" i="4" a="1"/>
  <c r="M167" i="4" s="1"/>
  <c r="V662" i="25" s="1"/>
  <c r="AI662" i="25" s="1"/>
  <c r="M159" i="4" a="1"/>
  <c r="M159" i="4" s="1"/>
  <c r="V654" i="25" s="1"/>
  <c r="AI654" i="25" s="1"/>
  <c r="M151" i="4" a="1"/>
  <c r="M151" i="4" s="1"/>
  <c r="V646" i="25" s="1"/>
  <c r="AI646" i="25" s="1"/>
  <c r="M143" i="4" a="1"/>
  <c r="M143" i="4" s="1"/>
  <c r="V638" i="25" s="1"/>
  <c r="AI638" i="25" s="1"/>
  <c r="M135" i="4" a="1"/>
  <c r="M135" i="4" s="1"/>
  <c r="V630" i="25" s="1"/>
  <c r="AI630" i="25" s="1"/>
  <c r="M127" i="4" a="1"/>
  <c r="M127" i="4" s="1"/>
  <c r="V622" i="25" s="1"/>
  <c r="AI622" i="25" s="1"/>
  <c r="M119" i="4" a="1"/>
  <c r="M119" i="4" s="1"/>
  <c r="V614" i="25" s="1"/>
  <c r="AI614" i="25" s="1"/>
  <c r="M111" i="4" a="1"/>
  <c r="M111" i="4" s="1"/>
  <c r="V606" i="25" s="1"/>
  <c r="AI606" i="25" s="1"/>
  <c r="M103" i="4" a="1"/>
  <c r="M103" i="4" s="1"/>
  <c r="V598" i="25" s="1"/>
  <c r="AI598" i="25" s="1"/>
  <c r="M95" i="4" a="1"/>
  <c r="M95" i="4" s="1"/>
  <c r="V590" i="25" s="1"/>
  <c r="AI590" i="25" s="1"/>
  <c r="M87" i="4" a="1"/>
  <c r="M87" i="4" s="1"/>
  <c r="V582" i="25" s="1"/>
  <c r="AI582" i="25" s="1"/>
  <c r="M79" i="4" a="1"/>
  <c r="M79" i="4" s="1"/>
  <c r="V574" i="25" s="1"/>
  <c r="AI574" i="25" s="1"/>
  <c r="M71" i="4" a="1"/>
  <c r="M71" i="4" s="1"/>
  <c r="V566" i="25" s="1"/>
  <c r="AI566" i="25" s="1"/>
  <c r="M63" i="4" a="1"/>
  <c r="M63" i="4" s="1"/>
  <c r="V558" i="25" s="1"/>
  <c r="AI558" i="25" s="1"/>
  <c r="M55" i="4" a="1"/>
  <c r="M55" i="4" s="1"/>
  <c r="V550" i="25" s="1"/>
  <c r="AI550" i="25" s="1"/>
  <c r="M47" i="4" a="1"/>
  <c r="M47" i="4" s="1"/>
  <c r="V542" i="25" s="1"/>
  <c r="AI542" i="25" s="1"/>
  <c r="M39" i="4" a="1"/>
  <c r="M39" i="4" s="1"/>
  <c r="V534" i="25" s="1"/>
  <c r="AI534" i="25" s="1"/>
  <c r="M31" i="4" a="1"/>
  <c r="M31" i="4" s="1"/>
  <c r="V526" i="25" s="1"/>
  <c r="AI526" i="25" s="1"/>
  <c r="M23" i="4" a="1"/>
  <c r="M23" i="4" s="1"/>
  <c r="V518" i="25" s="1"/>
  <c r="AI518" i="25" s="1"/>
  <c r="M15" i="4" a="1"/>
  <c r="M15" i="4" s="1"/>
  <c r="V510" i="25" s="1"/>
  <c r="AI510" i="25" s="1"/>
  <c r="F190" i="4"/>
  <c r="N685" i="25" s="1"/>
  <c r="X442" i="4" a="1"/>
  <c r="X442" i="4" s="1"/>
  <c r="X425" i="4" a="1"/>
  <c r="X425" i="4" s="1"/>
  <c r="X409" i="4" a="1"/>
  <c r="X409" i="4" s="1"/>
  <c r="F450" i="4"/>
  <c r="F417" i="4"/>
  <c r="M894" i="25"/>
  <c r="M918" i="25"/>
  <c r="M862" i="25"/>
  <c r="X330" i="4" a="1"/>
  <c r="X330" i="4" s="1"/>
  <c r="AG825" i="25" s="1"/>
  <c r="X298" i="4" a="1"/>
  <c r="X298" i="4" s="1"/>
  <c r="AG793" i="25" s="1"/>
  <c r="X249" i="4" a="1"/>
  <c r="X249" i="4" s="1"/>
  <c r="AG744" i="25" s="1"/>
  <c r="AC776" i="25"/>
  <c r="X216" i="4" a="1"/>
  <c r="X216" i="4" s="1"/>
  <c r="AG711" i="25" s="1"/>
  <c r="X14" i="4" a="1"/>
  <c r="X14" i="4" s="1"/>
  <c r="AG509" i="25" s="1"/>
  <c r="K30" i="4" a="1"/>
  <c r="K30" i="4" s="1"/>
  <c r="T525" i="25" s="1"/>
  <c r="F143" i="4"/>
  <c r="N638" i="25" s="1"/>
  <c r="X441" i="4" a="1"/>
  <c r="X441" i="4" s="1"/>
  <c r="X424" i="4" a="1"/>
  <c r="X424" i="4" s="1"/>
  <c r="X408" i="4" a="1"/>
  <c r="X408" i="4" s="1"/>
  <c r="F442" i="4"/>
  <c r="F410" i="4"/>
  <c r="M886" i="25"/>
  <c r="X329" i="4" a="1"/>
  <c r="X329" i="4" s="1"/>
  <c r="AG824" i="25" s="1"/>
  <c r="X38" i="4" a="1"/>
  <c r="X38" i="4" s="1"/>
  <c r="AG533" i="25" s="1"/>
  <c r="M14" i="4" a="1"/>
  <c r="M14" i="4" s="1"/>
  <c r="V509" i="25" s="1"/>
  <c r="AI509" i="25" s="1"/>
  <c r="F142" i="4"/>
  <c r="N637" i="25" s="1"/>
  <c r="X322" i="4" a="1"/>
  <c r="X322" i="4" s="1"/>
  <c r="AG817" i="25" s="1"/>
  <c r="X289" i="4" a="1"/>
  <c r="X289" i="4" s="1"/>
  <c r="AG784" i="25" s="1"/>
  <c r="AD737" i="25"/>
  <c r="K234" i="4" a="1"/>
  <c r="K234" i="4" s="1"/>
  <c r="T729" i="25" s="1"/>
  <c r="X190" i="4" a="1"/>
  <c r="X190" i="4" s="1"/>
  <c r="AG685" i="25" s="1"/>
  <c r="X150" i="4" a="1"/>
  <c r="X150" i="4" s="1"/>
  <c r="AG645" i="25" s="1"/>
  <c r="X102" i="4" a="1"/>
  <c r="X102" i="4" s="1"/>
  <c r="AG597" i="25" s="1"/>
  <c r="X62" i="4" a="1"/>
  <c r="X62" i="4" s="1"/>
  <c r="AG557" i="25" s="1"/>
  <c r="AB645" i="25"/>
  <c r="K200" i="4" a="1"/>
  <c r="K200" i="4" s="1"/>
  <c r="T695" i="25" s="1"/>
  <c r="L120" i="4"/>
  <c r="U615" i="25" s="1"/>
  <c r="X418" i="4" a="1"/>
  <c r="X418" i="4" s="1"/>
  <c r="X402" i="4" a="1"/>
  <c r="X402" i="4" s="1"/>
  <c r="M878" i="25"/>
  <c r="M854" i="25"/>
  <c r="X315" i="4" a="1"/>
  <c r="X315" i="4" s="1"/>
  <c r="AG810" i="25" s="1"/>
  <c r="X273" i="4" a="1"/>
  <c r="X273" i="4" s="1"/>
  <c r="AG768" i="25" s="1"/>
  <c r="X22" i="4" a="1"/>
  <c r="X22" i="4" s="1"/>
  <c r="AG517" i="25" s="1"/>
  <c r="F103" i="4"/>
  <c r="N598" i="25" s="1"/>
  <c r="X417" i="4" a="1"/>
  <c r="X417" i="4" s="1"/>
  <c r="M910" i="25"/>
  <c r="M902" i="25"/>
  <c r="AB768" i="25"/>
  <c r="X182" i="4" a="1"/>
  <c r="X182" i="4" s="1"/>
  <c r="AG677" i="25" s="1"/>
  <c r="M942" i="25"/>
  <c r="M934" i="25"/>
  <c r="M870" i="25"/>
  <c r="M846" i="25"/>
  <c r="M306" i="4" a="1"/>
  <c r="M306" i="4" s="1"/>
  <c r="V801" i="25" s="1"/>
  <c r="AI801" i="25" s="1"/>
  <c r="X222" i="4" a="1"/>
  <c r="X222" i="4" s="1"/>
  <c r="AG717" i="25" s="1"/>
  <c r="X54" i="4" a="1"/>
  <c r="X54" i="4" s="1"/>
  <c r="AG549" i="25" s="1"/>
  <c r="F62" i="4"/>
  <c r="N557" i="25" s="1"/>
  <c r="L45" i="4"/>
  <c r="U540" i="25" s="1"/>
  <c r="X449" i="4" a="1"/>
  <c r="X449" i="4" s="1"/>
  <c r="M449" i="4" a="1"/>
  <c r="M449" i="4" s="1"/>
  <c r="M441" i="4" a="1"/>
  <c r="M441" i="4" s="1"/>
  <c r="M433" i="4" a="1"/>
  <c r="M433" i="4" s="1"/>
  <c r="M417" i="4" a="1"/>
  <c r="M417" i="4" s="1"/>
  <c r="M409" i="4" a="1"/>
  <c r="M409" i="4" s="1"/>
  <c r="M876" i="25"/>
  <c r="F98" i="4"/>
  <c r="N593" i="25" s="1"/>
  <c r="M916" i="25"/>
  <c r="X259" i="4" a="1"/>
  <c r="X259" i="4" s="1"/>
  <c r="AG754" i="25" s="1"/>
  <c r="X238" i="4" a="1"/>
  <c r="X238" i="4" s="1"/>
  <c r="AG733" i="25" s="1"/>
  <c r="AA785" i="25"/>
  <c r="Z769" i="25"/>
  <c r="F250" i="4"/>
  <c r="N745" i="25" s="1"/>
  <c r="X199" i="4" a="1"/>
  <c r="X199" i="4" s="1"/>
  <c r="AG694" i="25" s="1"/>
  <c r="X184" i="4" a="1"/>
  <c r="X184" i="4" s="1"/>
  <c r="AG679" i="25" s="1"/>
  <c r="X158" i="4" a="1"/>
  <c r="X158" i="4" s="1"/>
  <c r="AG653" i="25" s="1"/>
  <c r="X144" i="4" a="1"/>
  <c r="X144" i="4" s="1"/>
  <c r="AG639" i="25" s="1"/>
  <c r="X118" i="4" a="1"/>
  <c r="X118" i="4" s="1"/>
  <c r="AG613" i="25" s="1"/>
  <c r="X104" i="4" a="1"/>
  <c r="X104" i="4" s="1"/>
  <c r="AG599" i="25" s="1"/>
  <c r="X78" i="4" a="1"/>
  <c r="X78" i="4" s="1"/>
  <c r="AG573" i="25" s="1"/>
  <c r="X63" i="4" a="1"/>
  <c r="X63" i="4" s="1"/>
  <c r="AG558" i="25" s="1"/>
  <c r="X48" i="4" a="1"/>
  <c r="X48" i="4" s="1"/>
  <c r="AG543" i="25" s="1"/>
  <c r="X23" i="4" a="1"/>
  <c r="X23" i="4" s="1"/>
  <c r="AG518" i="25" s="1"/>
  <c r="M892" i="25"/>
  <c r="M852" i="25"/>
  <c r="X183" i="4" a="1"/>
  <c r="X183" i="4" s="1"/>
  <c r="AG678" i="25" s="1"/>
  <c r="X143" i="4" a="1"/>
  <c r="X143" i="4" s="1"/>
  <c r="AG638" i="25" s="1"/>
  <c r="X130" i="4" a="1"/>
  <c r="X130" i="4" s="1"/>
  <c r="AG625" i="25" s="1"/>
  <c r="X103" i="4" a="1"/>
  <c r="X103" i="4" s="1"/>
  <c r="AG598" i="25" s="1"/>
  <c r="X47" i="4" a="1"/>
  <c r="X47" i="4" s="1"/>
  <c r="AG542" i="25" s="1"/>
  <c r="AA694" i="25"/>
  <c r="F224" i="4"/>
  <c r="N719" i="25" s="1"/>
  <c r="F208" i="4"/>
  <c r="N703" i="25" s="1"/>
  <c r="F176" i="4"/>
  <c r="N671" i="25" s="1"/>
  <c r="F160" i="4"/>
  <c r="N655" i="25" s="1"/>
  <c r="F104" i="4"/>
  <c r="N599" i="25" s="1"/>
  <c r="F80" i="4"/>
  <c r="N575" i="25" s="1"/>
  <c r="F64" i="4"/>
  <c r="N559" i="25" s="1"/>
  <c r="F56" i="4"/>
  <c r="N551" i="25" s="1"/>
  <c r="F40" i="4"/>
  <c r="N535" i="25" s="1"/>
  <c r="F16" i="4"/>
  <c r="N511" i="25" s="1"/>
  <c r="F444" i="4"/>
  <c r="X444" i="4" a="1"/>
  <c r="X444" i="4" s="1"/>
  <c r="X436" i="4" a="1"/>
  <c r="X436" i="4" s="1"/>
  <c r="F428" i="4"/>
  <c r="X428" i="4" a="1"/>
  <c r="X428" i="4" s="1"/>
  <c r="F420" i="4"/>
  <c r="X412" i="4" a="1"/>
  <c r="X412" i="4" s="1"/>
  <c r="F412" i="4"/>
  <c r="F404" i="4"/>
  <c r="X404" i="4" a="1"/>
  <c r="X404" i="4" s="1"/>
  <c r="M932" i="25"/>
  <c r="M868" i="25"/>
  <c r="F215" i="4"/>
  <c r="N710" i="25" s="1"/>
  <c r="F191" i="4"/>
  <c r="N686" i="25" s="1"/>
  <c r="F167" i="4"/>
  <c r="N662" i="25" s="1"/>
  <c r="AB662" i="25"/>
  <c r="F119" i="4"/>
  <c r="N614" i="25" s="1"/>
  <c r="F71" i="4"/>
  <c r="N566" i="25" s="1"/>
  <c r="F55" i="4"/>
  <c r="N550" i="25" s="1"/>
  <c r="F39" i="4"/>
  <c r="N534" i="25" s="1"/>
  <c r="F23" i="4"/>
  <c r="N518" i="25" s="1"/>
  <c r="M908" i="25"/>
  <c r="X287" i="4" a="1"/>
  <c r="X287" i="4" s="1"/>
  <c r="AG782" i="25" s="1"/>
  <c r="X154" i="4" a="1"/>
  <c r="X154" i="4" s="1"/>
  <c r="AG649" i="25" s="1"/>
  <c r="X87" i="4" a="1"/>
  <c r="X87" i="4" s="1"/>
  <c r="AG582" i="25" s="1"/>
  <c r="X71" i="4" a="1"/>
  <c r="X71" i="4" s="1"/>
  <c r="AG566" i="25" s="1"/>
  <c r="X8" i="4" a="1"/>
  <c r="X8" i="4" s="1"/>
  <c r="AG503" i="25" s="1"/>
  <c r="F95" i="4"/>
  <c r="N590" i="25" s="1"/>
  <c r="F15" i="4"/>
  <c r="N510" i="25" s="1"/>
  <c r="F214" i="4"/>
  <c r="N709" i="25" s="1"/>
  <c r="AA709" i="25"/>
  <c r="F198" i="4"/>
  <c r="N693" i="25" s="1"/>
  <c r="L198" i="4"/>
  <c r="U693" i="25" s="1"/>
  <c r="L190" i="4"/>
  <c r="U685" i="25" s="1"/>
  <c r="F182" i="4"/>
  <c r="N677" i="25" s="1"/>
  <c r="M182" i="4" a="1"/>
  <c r="M182" i="4" s="1"/>
  <c r="V677" i="25" s="1"/>
  <c r="AI677" i="25" s="1"/>
  <c r="F174" i="4"/>
  <c r="N669" i="25" s="1"/>
  <c r="M166" i="4" a="1"/>
  <c r="M166" i="4" s="1"/>
  <c r="V661" i="25" s="1"/>
  <c r="AI661" i="25" s="1"/>
  <c r="F158" i="4"/>
  <c r="N653" i="25" s="1"/>
  <c r="F150" i="4"/>
  <c r="N645" i="25" s="1"/>
  <c r="L150" i="4"/>
  <c r="U645" i="25" s="1"/>
  <c r="K142" i="4" a="1"/>
  <c r="K142" i="4" s="1"/>
  <c r="T637" i="25" s="1"/>
  <c r="F134" i="4"/>
  <c r="N629" i="25" s="1"/>
  <c r="K134" i="4" a="1"/>
  <c r="K134" i="4" s="1"/>
  <c r="T629" i="25" s="1"/>
  <c r="F126" i="4"/>
  <c r="N621" i="25" s="1"/>
  <c r="AA605" i="25"/>
  <c r="F102" i="4"/>
  <c r="N597" i="25" s="1"/>
  <c r="F94" i="4"/>
  <c r="N589" i="25" s="1"/>
  <c r="F86" i="4"/>
  <c r="N581" i="25" s="1"/>
  <c r="F78" i="4"/>
  <c r="N573" i="25" s="1"/>
  <c r="L70" i="4"/>
  <c r="U565" i="25" s="1"/>
  <c r="K54" i="4" a="1"/>
  <c r="K54" i="4" s="1"/>
  <c r="T549" i="25" s="1"/>
  <c r="F54" i="4"/>
  <c r="N549" i="25" s="1"/>
  <c r="M54" i="4" a="1"/>
  <c r="M54" i="4" s="1"/>
  <c r="V549" i="25" s="1"/>
  <c r="AI549" i="25" s="1"/>
  <c r="L46" i="4"/>
  <c r="U541" i="25" s="1"/>
  <c r="F38" i="4"/>
  <c r="N533" i="25" s="1"/>
  <c r="L38" i="4"/>
  <c r="U533" i="25" s="1"/>
  <c r="F22" i="4"/>
  <c r="N517" i="25" s="1"/>
  <c r="F14" i="4"/>
  <c r="N509" i="25" s="1"/>
  <c r="K14" i="4" a="1"/>
  <c r="K14" i="4" s="1"/>
  <c r="T509" i="25" s="1"/>
  <c r="K408" i="4" a="1"/>
  <c r="K408" i="4" s="1"/>
  <c r="M408" i="4" a="1"/>
  <c r="M408" i="4" s="1"/>
  <c r="M940" i="25"/>
  <c r="F175" i="4"/>
  <c r="N670" i="25" s="1"/>
  <c r="AC646" i="25"/>
  <c r="F135" i="4"/>
  <c r="N630" i="25" s="1"/>
  <c r="F111" i="4"/>
  <c r="N606" i="25" s="1"/>
  <c r="M948" i="25"/>
  <c r="M884" i="25"/>
  <c r="M844" i="25"/>
  <c r="X206" i="4" a="1"/>
  <c r="X206" i="4" s="1"/>
  <c r="AG701" i="25" s="1"/>
  <c r="X192" i="4" a="1"/>
  <c r="X192" i="4" s="1"/>
  <c r="AG687" i="25" s="1"/>
  <c r="X176" i="4" a="1"/>
  <c r="X176" i="4" s="1"/>
  <c r="AG671" i="25" s="1"/>
  <c r="X152" i="4" a="1"/>
  <c r="X152" i="4" s="1"/>
  <c r="AG647" i="25" s="1"/>
  <c r="X136" i="4" a="1"/>
  <c r="X136" i="4" s="1"/>
  <c r="AG631" i="25" s="1"/>
  <c r="X126" i="4" a="1"/>
  <c r="X126" i="4" s="1"/>
  <c r="AG621" i="25" s="1"/>
  <c r="X110" i="4" a="1"/>
  <c r="X110" i="4" s="1"/>
  <c r="AG605" i="25" s="1"/>
  <c r="X86" i="4" a="1"/>
  <c r="X86" i="4" s="1"/>
  <c r="AG581" i="25" s="1"/>
  <c r="X70" i="4" a="1"/>
  <c r="X70" i="4" s="1"/>
  <c r="AG565" i="25" s="1"/>
  <c r="X56" i="4" a="1"/>
  <c r="X56" i="4" s="1"/>
  <c r="AG551" i="25" s="1"/>
  <c r="X40" i="4" a="1"/>
  <c r="X40" i="4" s="1"/>
  <c r="AG535" i="25" s="1"/>
  <c r="M94" i="4" a="1"/>
  <c r="M94" i="4" s="1"/>
  <c r="V589" i="25" s="1"/>
  <c r="AI589" i="25" s="1"/>
  <c r="L94" i="4"/>
  <c r="U589" i="25" s="1"/>
  <c r="F166" i="4"/>
  <c r="N661" i="25" s="1"/>
  <c r="F79" i="4"/>
  <c r="N574" i="25" s="1"/>
  <c r="F223" i="4"/>
  <c r="N718" i="25" s="1"/>
  <c r="F207" i="4"/>
  <c r="N702" i="25" s="1"/>
  <c r="F183" i="4"/>
  <c r="N678" i="25" s="1"/>
  <c r="F159" i="4"/>
  <c r="N654" i="25" s="1"/>
  <c r="F127" i="4"/>
  <c r="N622" i="25" s="1"/>
  <c r="F87" i="4"/>
  <c r="N582" i="25" s="1"/>
  <c r="F47" i="4"/>
  <c r="N542" i="25" s="1"/>
  <c r="AA542" i="25"/>
  <c r="M924" i="25"/>
  <c r="X338" i="4" a="1"/>
  <c r="X338" i="4" s="1"/>
  <c r="AG833" i="25" s="1"/>
  <c r="X306" i="4" a="1"/>
  <c r="X306" i="4" s="1"/>
  <c r="AG801" i="25" s="1"/>
  <c r="X274" i="4" a="1"/>
  <c r="X274" i="4" s="1"/>
  <c r="AG769" i="25" s="1"/>
  <c r="AA825" i="25"/>
  <c r="X191" i="4" a="1"/>
  <c r="X191" i="4" s="1"/>
  <c r="AG686" i="25" s="1"/>
  <c r="X175" i="4" a="1"/>
  <c r="X175" i="4" s="1"/>
  <c r="AG670" i="25" s="1"/>
  <c r="X151" i="4" a="1"/>
  <c r="X151" i="4" s="1"/>
  <c r="AG646" i="25" s="1"/>
  <c r="X135" i="4" a="1"/>
  <c r="X135" i="4" s="1"/>
  <c r="AG630" i="25" s="1"/>
  <c r="X96" i="4" a="1"/>
  <c r="X96" i="4" s="1"/>
  <c r="AG591" i="25" s="1"/>
  <c r="X55" i="4" a="1"/>
  <c r="X55" i="4" s="1"/>
  <c r="AG550" i="25" s="1"/>
  <c r="X39" i="4" a="1"/>
  <c r="X39" i="4" s="1"/>
  <c r="AG534" i="25" s="1"/>
  <c r="X16" i="4" a="1"/>
  <c r="X16" i="4" s="1"/>
  <c r="AG511" i="25" s="1"/>
  <c r="L86" i="4"/>
  <c r="U581" i="25" s="1"/>
  <c r="L148" i="4"/>
  <c r="U643" i="25" s="1"/>
  <c r="F151" i="4"/>
  <c r="N646" i="25" s="1"/>
  <c r="F70" i="4"/>
  <c r="N565" i="25" s="1"/>
  <c r="M222" i="4" a="1"/>
  <c r="M222" i="4" s="1"/>
  <c r="V717" i="25" s="1"/>
  <c r="AI717" i="25" s="1"/>
  <c r="M214" i="4" a="1"/>
  <c r="M214" i="4" s="1"/>
  <c r="V709" i="25" s="1"/>
  <c r="AI709" i="25" s="1"/>
  <c r="M206" i="4" a="1"/>
  <c r="M206" i="4" s="1"/>
  <c r="V701" i="25" s="1"/>
  <c r="AI701" i="25" s="1"/>
  <c r="M198" i="4" a="1"/>
  <c r="M198" i="4" s="1"/>
  <c r="V693" i="25" s="1"/>
  <c r="AI693" i="25" s="1"/>
  <c r="M190" i="4" a="1"/>
  <c r="M190" i="4" s="1"/>
  <c r="V685" i="25" s="1"/>
  <c r="AI685" i="25" s="1"/>
  <c r="M174" i="4" a="1"/>
  <c r="M174" i="4" s="1"/>
  <c r="V669" i="25" s="1"/>
  <c r="AI669" i="25" s="1"/>
  <c r="K166" i="4" a="1"/>
  <c r="K166" i="4" s="1"/>
  <c r="M158" i="4" a="1"/>
  <c r="M158" i="4" s="1"/>
  <c r="V653" i="25" s="1"/>
  <c r="AI653" i="25" s="1"/>
  <c r="M150" i="4" a="1"/>
  <c r="M150" i="4" s="1"/>
  <c r="V645" i="25" s="1"/>
  <c r="AI645" i="25" s="1"/>
  <c r="M142" i="4" a="1"/>
  <c r="M142" i="4" s="1"/>
  <c r="V637" i="25" s="1"/>
  <c r="AI637" i="25" s="1"/>
  <c r="M134" i="4" a="1"/>
  <c r="M134" i="4" s="1"/>
  <c r="V629" i="25" s="1"/>
  <c r="AI629" i="25" s="1"/>
  <c r="M126" i="4" a="1"/>
  <c r="M126" i="4" s="1"/>
  <c r="V621" i="25" s="1"/>
  <c r="AI621" i="25" s="1"/>
  <c r="M118" i="4" a="1"/>
  <c r="M118" i="4" s="1"/>
  <c r="V613" i="25" s="1"/>
  <c r="AI613" i="25" s="1"/>
  <c r="M110" i="4" a="1"/>
  <c r="M110" i="4" s="1"/>
  <c r="V605" i="25" s="1"/>
  <c r="AI605" i="25" s="1"/>
  <c r="L102" i="4"/>
  <c r="U597" i="25" s="1"/>
  <c r="M86" i="4" a="1"/>
  <c r="M86" i="4" s="1"/>
  <c r="V581" i="25" s="1"/>
  <c r="AI581" i="25" s="1"/>
  <c r="K78" i="4" a="1"/>
  <c r="K78" i="4" s="1"/>
  <c r="T573" i="25" s="1"/>
  <c r="M70" i="4" a="1"/>
  <c r="M70" i="4" s="1"/>
  <c r="V565" i="25" s="1"/>
  <c r="AI565" i="25" s="1"/>
  <c r="M62" i="4" a="1"/>
  <c r="M62" i="4" s="1"/>
  <c r="V557" i="25" s="1"/>
  <c r="AI557" i="25" s="1"/>
  <c r="M46" i="4" a="1"/>
  <c r="M46" i="4" s="1"/>
  <c r="V541" i="25" s="1"/>
  <c r="AI541" i="25" s="1"/>
  <c r="M38" i="4" a="1"/>
  <c r="M38" i="4" s="1"/>
  <c r="V533" i="25" s="1"/>
  <c r="AI533" i="25" s="1"/>
  <c r="M30" i="4" a="1"/>
  <c r="M30" i="4" s="1"/>
  <c r="M22" i="4" a="1"/>
  <c r="M22" i="4" s="1"/>
  <c r="V517" i="25" s="1"/>
  <c r="AI517" i="25" s="1"/>
  <c r="L14" i="4"/>
  <c r="U509" i="25" s="1"/>
  <c r="X451" i="4" a="1"/>
  <c r="X451" i="4" s="1"/>
  <c r="K446" i="4" a="1"/>
  <c r="K446" i="4" s="1"/>
  <c r="M425" i="4" a="1"/>
  <c r="M425" i="4" s="1"/>
  <c r="M437" i="4" a="1"/>
  <c r="M437" i="4" s="1"/>
  <c r="M224" i="4" a="1"/>
  <c r="M224" i="4" s="1"/>
  <c r="V719" i="25" s="1"/>
  <c r="AI719" i="25" s="1"/>
  <c r="M208" i="4" a="1"/>
  <c r="M208" i="4" s="1"/>
  <c r="V703" i="25" s="1"/>
  <c r="AI703" i="25" s="1"/>
  <c r="M192" i="4" a="1"/>
  <c r="M192" i="4" s="1"/>
  <c r="V687" i="25" s="1"/>
  <c r="AI687" i="25" s="1"/>
  <c r="M168" i="4" a="1"/>
  <c r="M168" i="4" s="1"/>
  <c r="V663" i="25" s="1"/>
  <c r="AI663" i="25" s="1"/>
  <c r="M152" i="4" a="1"/>
  <c r="M152" i="4" s="1"/>
  <c r="V647" i="25" s="1"/>
  <c r="AI647" i="25" s="1"/>
  <c r="M144" i="4" a="1"/>
  <c r="M144" i="4" s="1"/>
  <c r="V639" i="25" s="1"/>
  <c r="AI639" i="25" s="1"/>
  <c r="M136" i="4" a="1"/>
  <c r="M136" i="4" s="1"/>
  <c r="V631" i="25" s="1"/>
  <c r="AI631" i="25" s="1"/>
  <c r="M120" i="4" a="1"/>
  <c r="M120" i="4" s="1"/>
  <c r="V615" i="25" s="1"/>
  <c r="AI615" i="25" s="1"/>
  <c r="M112" i="4" a="1"/>
  <c r="M112" i="4" s="1"/>
  <c r="V607" i="25" s="1"/>
  <c r="AI607" i="25" s="1"/>
  <c r="M104" i="4" a="1"/>
  <c r="M104" i="4" s="1"/>
  <c r="V599" i="25" s="1"/>
  <c r="AI599" i="25" s="1"/>
  <c r="M96" i="4" a="1"/>
  <c r="M96" i="4" s="1"/>
  <c r="V591" i="25" s="1"/>
  <c r="AI591" i="25" s="1"/>
  <c r="M88" i="4" a="1"/>
  <c r="M88" i="4" s="1"/>
  <c r="V583" i="25" s="1"/>
  <c r="AI583" i="25" s="1"/>
  <c r="M80" i="4" a="1"/>
  <c r="M80" i="4" s="1"/>
  <c r="V575" i="25" s="1"/>
  <c r="AI575" i="25" s="1"/>
  <c r="K444" i="4" a="1"/>
  <c r="K444" i="4" s="1"/>
  <c r="M436" i="4" a="1"/>
  <c r="M436" i="4" s="1"/>
  <c r="K428" i="4" a="1"/>
  <c r="K428" i="4" s="1"/>
  <c r="M420" i="4" a="1"/>
  <c r="M420" i="4" s="1"/>
  <c r="M412" i="4" a="1"/>
  <c r="M412" i="4" s="1"/>
  <c r="K404" i="4" a="1"/>
  <c r="K404" i="4" s="1"/>
  <c r="X288" i="4" a="1"/>
  <c r="X288" i="4" s="1"/>
  <c r="AG783" i="25" s="1"/>
  <c r="X264" i="4" a="1"/>
  <c r="X264" i="4" s="1"/>
  <c r="AG759" i="25" s="1"/>
  <c r="AC791" i="25"/>
  <c r="F296" i="4"/>
  <c r="N791" i="25" s="1"/>
  <c r="X186" i="4" a="1"/>
  <c r="X186" i="4" s="1"/>
  <c r="AG681" i="25" s="1"/>
  <c r="X82" i="4" a="1"/>
  <c r="X82" i="4" s="1"/>
  <c r="AG577" i="25" s="1"/>
  <c r="M226" i="4" a="1"/>
  <c r="M226" i="4" s="1"/>
  <c r="V721" i="25" s="1"/>
  <c r="AI721" i="25" s="1"/>
  <c r="X304" i="4" a="1"/>
  <c r="X304" i="4" s="1"/>
  <c r="AG799" i="25" s="1"/>
  <c r="AD815" i="25"/>
  <c r="AC767" i="25"/>
  <c r="X218" i="4" a="1"/>
  <c r="X218" i="4" s="1"/>
  <c r="AG713" i="25" s="1"/>
  <c r="X162" i="4" a="1"/>
  <c r="X162" i="4" s="1"/>
  <c r="AG657" i="25" s="1"/>
  <c r="X138" i="4" a="1"/>
  <c r="X138" i="4" s="1"/>
  <c r="AG633" i="25" s="1"/>
  <c r="X114" i="4" a="1"/>
  <c r="X114" i="4" s="1"/>
  <c r="AG609" i="25" s="1"/>
  <c r="X58" i="4" a="1"/>
  <c r="X58" i="4" s="1"/>
  <c r="AG553" i="25" s="1"/>
  <c r="X34" i="4" a="1"/>
  <c r="X34" i="4" s="1"/>
  <c r="AG529" i="25" s="1"/>
  <c r="M210" i="4" a="1"/>
  <c r="M210" i="4" s="1"/>
  <c r="V705" i="25" s="1"/>
  <c r="AI705" i="25" s="1"/>
  <c r="M78" i="4" a="1"/>
  <c r="M78" i="4" s="1"/>
  <c r="V573" i="25" s="1"/>
  <c r="AI573" i="25" s="1"/>
  <c r="M34" i="4" a="1"/>
  <c r="M34" i="4" s="1"/>
  <c r="V529" i="25" s="1"/>
  <c r="AI529" i="25" s="1"/>
  <c r="K118" i="4" a="1"/>
  <c r="K118" i="4" s="1"/>
  <c r="T613" i="25" s="1"/>
  <c r="K190" i="4" a="1"/>
  <c r="K190" i="4" s="1"/>
  <c r="T685" i="25" s="1"/>
  <c r="L174" i="4"/>
  <c r="U669" i="25" s="1"/>
  <c r="X328" i="4" a="1"/>
  <c r="X328" i="4" s="1"/>
  <c r="AG823" i="25" s="1"/>
  <c r="X240" i="4" a="1"/>
  <c r="X240" i="4" s="1"/>
  <c r="AG735" i="25" s="1"/>
  <c r="AB727" i="25"/>
  <c r="K198" i="4" a="1"/>
  <c r="K198" i="4" s="1"/>
  <c r="T693" i="25" s="1"/>
  <c r="K102" i="4" a="1"/>
  <c r="K102" i="4" s="1"/>
  <c r="T597" i="25" s="1"/>
  <c r="F18" i="4"/>
  <c r="N513" i="25" s="1"/>
  <c r="X280" i="4" a="1"/>
  <c r="X280" i="4" s="1"/>
  <c r="AG775" i="25" s="1"/>
  <c r="AA799" i="25"/>
  <c r="X226" i="4" a="1"/>
  <c r="X226" i="4" s="1"/>
  <c r="AG721" i="25" s="1"/>
  <c r="X194" i="4" a="1"/>
  <c r="X194" i="4" s="1"/>
  <c r="AG689" i="25" s="1"/>
  <c r="X170" i="4" a="1"/>
  <c r="X170" i="4" s="1"/>
  <c r="AG665" i="25" s="1"/>
  <c r="X90" i="4" a="1"/>
  <c r="X90" i="4" s="1"/>
  <c r="AG585" i="25" s="1"/>
  <c r="X66" i="4" a="1"/>
  <c r="X66" i="4" s="1"/>
  <c r="AG561" i="25" s="1"/>
  <c r="X42" i="4" a="1"/>
  <c r="X42" i="4" s="1"/>
  <c r="AG537" i="25" s="1"/>
  <c r="M202" i="4" a="1"/>
  <c r="M202" i="4" s="1"/>
  <c r="V697" i="25" s="1"/>
  <c r="AI697" i="25" s="1"/>
  <c r="L126" i="4"/>
  <c r="U621" i="25" s="1"/>
  <c r="K174" i="4" a="1"/>
  <c r="K174" i="4" s="1"/>
  <c r="X320" i="4" a="1"/>
  <c r="X320" i="4" s="1"/>
  <c r="AG815" i="25" s="1"/>
  <c r="X256" i="4" a="1"/>
  <c r="X256" i="4" s="1"/>
  <c r="AG751" i="25" s="1"/>
  <c r="AB807" i="25"/>
  <c r="K314" i="4" a="1"/>
  <c r="K314" i="4" s="1"/>
  <c r="T809" i="25" s="1"/>
  <c r="L306" i="4"/>
  <c r="U801" i="25" s="1"/>
  <c r="L282" i="4"/>
  <c r="U777" i="25" s="1"/>
  <c r="L274" i="4"/>
  <c r="U769" i="25" s="1"/>
  <c r="L258" i="4"/>
  <c r="U753" i="25" s="1"/>
  <c r="L242" i="4"/>
  <c r="U737" i="25" s="1"/>
  <c r="X202" i="4" a="1"/>
  <c r="X202" i="4" s="1"/>
  <c r="AG697" i="25" s="1"/>
  <c r="X146" i="4" a="1"/>
  <c r="X146" i="4" s="1"/>
  <c r="AG641" i="25" s="1"/>
  <c r="X122" i="4" a="1"/>
  <c r="X122" i="4" s="1"/>
  <c r="AG617" i="25" s="1"/>
  <c r="L206" i="4"/>
  <c r="U701" i="25" s="1"/>
  <c r="K70" i="4" a="1"/>
  <c r="K70" i="4" s="1"/>
  <c r="K165" i="4" a="1"/>
  <c r="K165" i="4" s="1"/>
  <c r="T660" i="25" s="1"/>
  <c r="X296" i="4" a="1"/>
  <c r="X296" i="4" s="1"/>
  <c r="AG791" i="25" s="1"/>
  <c r="X178" i="4" a="1"/>
  <c r="X178" i="4" s="1"/>
  <c r="AG673" i="25" s="1"/>
  <c r="X98" i="4" a="1"/>
  <c r="X98" i="4" s="1"/>
  <c r="AG593" i="25" s="1"/>
  <c r="X74" i="4" a="1"/>
  <c r="X74" i="4" s="1"/>
  <c r="AG569" i="25" s="1"/>
  <c r="X10" i="4" a="1"/>
  <c r="X10" i="4" s="1"/>
  <c r="AG505" i="25" s="1"/>
  <c r="K154" i="4" a="1"/>
  <c r="K154" i="4" s="1"/>
  <c r="T649" i="25" s="1"/>
  <c r="K66" i="4" a="1"/>
  <c r="K66" i="4" s="1"/>
  <c r="T561" i="25" s="1"/>
  <c r="K226" i="4" a="1"/>
  <c r="K226" i="4" s="1"/>
  <c r="T721" i="25" s="1"/>
  <c r="K122" i="4" a="1"/>
  <c r="K122" i="4" s="1"/>
  <c r="T617" i="25" s="1"/>
  <c r="K34" i="4" a="1"/>
  <c r="K34" i="4" s="1"/>
  <c r="T529" i="25" s="1"/>
  <c r="X336" i="4" a="1"/>
  <c r="X336" i="4" s="1"/>
  <c r="AG831" i="25" s="1"/>
  <c r="AB775" i="25"/>
  <c r="X210" i="4" a="1"/>
  <c r="X210" i="4" s="1"/>
  <c r="AG705" i="25" s="1"/>
  <c r="X50" i="4" a="1"/>
  <c r="X50" i="4" s="1"/>
  <c r="AG545" i="25" s="1"/>
  <c r="K112" i="4" a="1"/>
  <c r="K112" i="4" s="1"/>
  <c r="T607" i="25" s="1"/>
  <c r="F241" i="4"/>
  <c r="N736" i="25" s="1"/>
  <c r="X313" i="4" a="1"/>
  <c r="X313" i="4" s="1"/>
  <c r="AG808" i="25" s="1"/>
  <c r="X283" i="4" a="1"/>
  <c r="X283" i="4" s="1"/>
  <c r="AG778" i="25" s="1"/>
  <c r="X267" i="4" a="1"/>
  <c r="X267" i="4" s="1"/>
  <c r="AG762" i="25" s="1"/>
  <c r="X245" i="4" a="1"/>
  <c r="X245" i="4" s="1"/>
  <c r="AG740" i="25" s="1"/>
  <c r="AC770" i="25"/>
  <c r="AB738" i="25"/>
  <c r="M315" i="4" a="1"/>
  <c r="M315" i="4" s="1"/>
  <c r="V810" i="25" s="1"/>
  <c r="AI810" i="25" s="1"/>
  <c r="F253" i="4"/>
  <c r="N748" i="25" s="1"/>
  <c r="F272" i="4"/>
  <c r="N767" i="25" s="1"/>
  <c r="X339" i="4" a="1"/>
  <c r="X339" i="4" s="1"/>
  <c r="AG834" i="25" s="1"/>
  <c r="X325" i="4" a="1"/>
  <c r="X325" i="4" s="1"/>
  <c r="AG820" i="25" s="1"/>
  <c r="X297" i="4" a="1"/>
  <c r="X297" i="4" s="1"/>
  <c r="AG792" i="25" s="1"/>
  <c r="X253" i="4" a="1"/>
  <c r="X253" i="4" s="1"/>
  <c r="AG748" i="25" s="1"/>
  <c r="X243" i="4" a="1"/>
  <c r="X243" i="4" s="1"/>
  <c r="AG738" i="25" s="1"/>
  <c r="X233" i="4" a="1"/>
  <c r="X233" i="4" s="1"/>
  <c r="AG728" i="25" s="1"/>
  <c r="AD784" i="25"/>
  <c r="AB824" i="25"/>
  <c r="AA808" i="25"/>
  <c r="Z818" i="25"/>
  <c r="M839" i="25"/>
  <c r="X323" i="4" a="1"/>
  <c r="X323" i="4" s="1"/>
  <c r="AG818" i="25" s="1"/>
  <c r="X307" i="4" a="1"/>
  <c r="X307" i="4" s="1"/>
  <c r="AG802" i="25" s="1"/>
  <c r="X281" i="4" a="1"/>
  <c r="X281" i="4" s="1"/>
  <c r="AG776" i="25" s="1"/>
  <c r="X251" i="4" a="1"/>
  <c r="X251" i="4" s="1"/>
  <c r="AG746" i="25" s="1"/>
  <c r="AB792" i="25"/>
  <c r="AA760" i="25"/>
  <c r="X91" i="4" a="1"/>
  <c r="X91" i="4" s="1"/>
  <c r="AG586" i="25" s="1"/>
  <c r="X337" i="4" a="1"/>
  <c r="X337" i="4" s="1"/>
  <c r="AG832" i="25" s="1"/>
  <c r="X291" i="4" a="1"/>
  <c r="X291" i="4" s="1"/>
  <c r="AG786" i="25" s="1"/>
  <c r="X265" i="4" a="1"/>
  <c r="X265" i="4" s="1"/>
  <c r="AG760" i="25" s="1"/>
  <c r="X241" i="4" a="1"/>
  <c r="X241" i="4" s="1"/>
  <c r="AG736" i="25" s="1"/>
  <c r="AD808" i="25"/>
  <c r="AD728" i="25"/>
  <c r="AB834" i="25"/>
  <c r="AA776" i="25"/>
  <c r="M267" i="4" a="1"/>
  <c r="M267" i="4" s="1"/>
  <c r="V762" i="25" s="1"/>
  <c r="AI762" i="25" s="1"/>
  <c r="M333" i="4" a="1"/>
  <c r="M333" i="4" s="1"/>
  <c r="V828" i="25" s="1"/>
  <c r="AI828" i="25" s="1"/>
  <c r="F285" i="4"/>
  <c r="N780" i="25" s="1"/>
  <c r="X277" i="4" a="1"/>
  <c r="X277" i="4" s="1"/>
  <c r="AG772" i="25" s="1"/>
  <c r="F245" i="4"/>
  <c r="N740" i="25" s="1"/>
  <c r="M237" i="4" a="1"/>
  <c r="M237" i="4" s="1"/>
  <c r="V732" i="25" s="1"/>
  <c r="AI732" i="25" s="1"/>
  <c r="X155" i="4" a="1"/>
  <c r="X155" i="4" s="1"/>
  <c r="AG650" i="25" s="1"/>
  <c r="X321" i="4" a="1"/>
  <c r="X321" i="4" s="1"/>
  <c r="AG816" i="25" s="1"/>
  <c r="X305" i="4" a="1"/>
  <c r="X305" i="4" s="1"/>
  <c r="AG800" i="25" s="1"/>
  <c r="X275" i="4" a="1"/>
  <c r="X275" i="4" s="1"/>
  <c r="AG770" i="25" s="1"/>
  <c r="AC762" i="25"/>
  <c r="K274" i="4" a="1"/>
  <c r="K274" i="4" s="1"/>
  <c r="T769" i="25" s="1"/>
  <c r="F259" i="4"/>
  <c r="N754" i="25" s="1"/>
  <c r="F227" i="4"/>
  <c r="N722" i="25" s="1"/>
  <c r="F219" i="4"/>
  <c r="N714" i="25" s="1"/>
  <c r="F211" i="4"/>
  <c r="N706" i="25" s="1"/>
  <c r="X211" i="4" a="1"/>
  <c r="X211" i="4" s="1"/>
  <c r="AG706" i="25" s="1"/>
  <c r="F203" i="4"/>
  <c r="N698" i="25" s="1"/>
  <c r="X203" i="4" a="1"/>
  <c r="X203" i="4" s="1"/>
  <c r="AG698" i="25" s="1"/>
  <c r="F195" i="4"/>
  <c r="N690" i="25" s="1"/>
  <c r="X195" i="4" a="1"/>
  <c r="X195" i="4" s="1"/>
  <c r="AG690" i="25" s="1"/>
  <c r="F187" i="4"/>
  <c r="N682" i="25" s="1"/>
  <c r="X187" i="4" a="1"/>
  <c r="X187" i="4" s="1"/>
  <c r="AG682" i="25" s="1"/>
  <c r="F179" i="4"/>
  <c r="N674" i="25" s="1"/>
  <c r="X179" i="4" a="1"/>
  <c r="X179" i="4" s="1"/>
  <c r="AG674" i="25" s="1"/>
  <c r="F171" i="4"/>
  <c r="N666" i="25" s="1"/>
  <c r="X171" i="4" a="1"/>
  <c r="X171" i="4" s="1"/>
  <c r="AG666" i="25" s="1"/>
  <c r="F163" i="4"/>
  <c r="N658" i="25" s="1"/>
  <c r="F155" i="4"/>
  <c r="N650" i="25" s="1"/>
  <c r="F147" i="4"/>
  <c r="N642" i="25" s="1"/>
  <c r="X139" i="4" a="1"/>
  <c r="X139" i="4" s="1"/>
  <c r="AG634" i="25" s="1"/>
  <c r="F139" i="4"/>
  <c r="N634" i="25" s="1"/>
  <c r="F131" i="4"/>
  <c r="N626" i="25" s="1"/>
  <c r="X131" i="4" a="1"/>
  <c r="X131" i="4" s="1"/>
  <c r="AG626" i="25" s="1"/>
  <c r="K123" i="4" a="1"/>
  <c r="K123" i="4" s="1"/>
  <c r="T618" i="25" s="1"/>
  <c r="F123" i="4"/>
  <c r="N618" i="25" s="1"/>
  <c r="X123" i="4" a="1"/>
  <c r="X123" i="4" s="1"/>
  <c r="AG618" i="25" s="1"/>
  <c r="F115" i="4"/>
  <c r="N610" i="25" s="1"/>
  <c r="X115" i="4" a="1"/>
  <c r="X115" i="4" s="1"/>
  <c r="AG610" i="25" s="1"/>
  <c r="F107" i="4"/>
  <c r="N602" i="25" s="1"/>
  <c r="X107" i="4" a="1"/>
  <c r="X107" i="4" s="1"/>
  <c r="AG602" i="25" s="1"/>
  <c r="F99" i="4"/>
  <c r="N594" i="25" s="1"/>
  <c r="F91" i="4"/>
  <c r="N586" i="25" s="1"/>
  <c r="F83" i="4"/>
  <c r="N578" i="25" s="1"/>
  <c r="Z578" i="25"/>
  <c r="F75" i="4"/>
  <c r="N570" i="25" s="1"/>
  <c r="X75" i="4" a="1"/>
  <c r="X75" i="4" s="1"/>
  <c r="AG570" i="25" s="1"/>
  <c r="F67" i="4"/>
  <c r="N562" i="25" s="1"/>
  <c r="X67" i="4" a="1"/>
  <c r="X67" i="4" s="1"/>
  <c r="AG562" i="25" s="1"/>
  <c r="F59" i="4"/>
  <c r="N554" i="25" s="1"/>
  <c r="X59" i="4" a="1"/>
  <c r="X59" i="4" s="1"/>
  <c r="AG554" i="25" s="1"/>
  <c r="F51" i="4"/>
  <c r="N546" i="25" s="1"/>
  <c r="X51" i="4" a="1"/>
  <c r="X51" i="4" s="1"/>
  <c r="AG546" i="25" s="1"/>
  <c r="F43" i="4"/>
  <c r="N538" i="25" s="1"/>
  <c r="X43" i="4" a="1"/>
  <c r="X43" i="4" s="1"/>
  <c r="AG538" i="25" s="1"/>
  <c r="F35" i="4"/>
  <c r="N530" i="25" s="1"/>
  <c r="X35" i="4" a="1"/>
  <c r="X35" i="4" s="1"/>
  <c r="AG530" i="25" s="1"/>
  <c r="F27" i="4"/>
  <c r="N522" i="25" s="1"/>
  <c r="X27" i="4" a="1"/>
  <c r="X27" i="4" s="1"/>
  <c r="AG522" i="25" s="1"/>
  <c r="F19" i="4"/>
  <c r="N514" i="25" s="1"/>
  <c r="F11" i="4"/>
  <c r="N506" i="25" s="1"/>
  <c r="F228" i="4"/>
  <c r="N723" i="25" s="1"/>
  <c r="F212" i="4"/>
  <c r="N707" i="25" s="1"/>
  <c r="L212" i="4"/>
  <c r="U707" i="25" s="1"/>
  <c r="M212" i="4" a="1"/>
  <c r="M212" i="4" s="1"/>
  <c r="V707" i="25" s="1"/>
  <c r="AI707" i="25" s="1"/>
  <c r="Z707" i="25"/>
  <c r="F204" i="4"/>
  <c r="N699" i="25" s="1"/>
  <c r="M204" i="4" a="1"/>
  <c r="M204" i="4" s="1"/>
  <c r="V699" i="25" s="1"/>
  <c r="AI699" i="25" s="1"/>
  <c r="Z699" i="25"/>
  <c r="F196" i="4"/>
  <c r="N691" i="25" s="1"/>
  <c r="M196" i="4" a="1"/>
  <c r="M196" i="4" s="1"/>
  <c r="V691" i="25" s="1"/>
  <c r="AI691" i="25" s="1"/>
  <c r="L196" i="4"/>
  <c r="U691" i="25" s="1"/>
  <c r="F188" i="4"/>
  <c r="N683" i="25" s="1"/>
  <c r="L188" i="4"/>
  <c r="U683" i="25" s="1"/>
  <c r="F180" i="4"/>
  <c r="N675" i="25" s="1"/>
  <c r="M180" i="4" a="1"/>
  <c r="M180" i="4" s="1"/>
  <c r="V675" i="25" s="1"/>
  <c r="AI675" i="25" s="1"/>
  <c r="F164" i="4"/>
  <c r="N659" i="25" s="1"/>
  <c r="K164" i="4" a="1"/>
  <c r="K164" i="4" s="1"/>
  <c r="T659" i="25" s="1"/>
  <c r="F156" i="4"/>
  <c r="N651" i="25" s="1"/>
  <c r="L156" i="4"/>
  <c r="U651" i="25" s="1"/>
  <c r="M156" i="4" a="1"/>
  <c r="M156" i="4" s="1"/>
  <c r="V651" i="25" s="1"/>
  <c r="AI651" i="25" s="1"/>
  <c r="F148" i="4"/>
  <c r="N643" i="25" s="1"/>
  <c r="Z643" i="25"/>
  <c r="F140" i="4"/>
  <c r="N635" i="25" s="1"/>
  <c r="Z635" i="25"/>
  <c r="K140" i="4" a="1"/>
  <c r="K140" i="4" s="1"/>
  <c r="T635" i="25" s="1"/>
  <c r="F132" i="4"/>
  <c r="N627" i="25" s="1"/>
  <c r="L132" i="4"/>
  <c r="U627" i="25" s="1"/>
  <c r="M132" i="4" a="1"/>
  <c r="M132" i="4" s="1"/>
  <c r="V627" i="25" s="1"/>
  <c r="AI627" i="25" s="1"/>
  <c r="K132" i="4" a="1"/>
  <c r="K132" i="4" s="1"/>
  <c r="T627" i="25" s="1"/>
  <c r="F124" i="4"/>
  <c r="N619" i="25" s="1"/>
  <c r="F116" i="4"/>
  <c r="N611" i="25" s="1"/>
  <c r="M116" i="4" a="1"/>
  <c r="M116" i="4" s="1"/>
  <c r="V611" i="25" s="1"/>
  <c r="AI611" i="25" s="1"/>
  <c r="F108" i="4"/>
  <c r="N603" i="25" s="1"/>
  <c r="L108" i="4"/>
  <c r="U603" i="25" s="1"/>
  <c r="M108" i="4" a="1"/>
  <c r="M108" i="4" s="1"/>
  <c r="V603" i="25" s="1"/>
  <c r="AI603" i="25" s="1"/>
  <c r="Z603" i="25"/>
  <c r="K108" i="4" a="1"/>
  <c r="K108" i="4" s="1"/>
  <c r="T603" i="25" s="1"/>
  <c r="F92" i="4"/>
  <c r="N587" i="25" s="1"/>
  <c r="M92" i="4" a="1"/>
  <c r="M92" i="4" s="1"/>
  <c r="V587" i="25" s="1"/>
  <c r="AI587" i="25" s="1"/>
  <c r="L92" i="4"/>
  <c r="U587" i="25" s="1"/>
  <c r="F84" i="4"/>
  <c r="N579" i="25" s="1"/>
  <c r="L84" i="4"/>
  <c r="U579" i="25" s="1"/>
  <c r="F68" i="4"/>
  <c r="N563" i="25" s="1"/>
  <c r="F60" i="4"/>
  <c r="N555" i="25" s="1"/>
  <c r="M60" i="4" a="1"/>
  <c r="M60" i="4" s="1"/>
  <c r="V555" i="25" s="1"/>
  <c r="AI555" i="25" s="1"/>
  <c r="F52" i="4"/>
  <c r="N547" i="25" s="1"/>
  <c r="L52" i="4"/>
  <c r="U547" i="25" s="1"/>
  <c r="F44" i="4"/>
  <c r="N539" i="25" s="1"/>
  <c r="M44" i="4" a="1"/>
  <c r="M44" i="4" s="1"/>
  <c r="V539" i="25" s="1"/>
  <c r="AI539" i="25" s="1"/>
  <c r="F36" i="4"/>
  <c r="N531" i="25" s="1"/>
  <c r="L36" i="4"/>
  <c r="U531" i="25" s="1"/>
  <c r="F28" i="4"/>
  <c r="N523" i="25" s="1"/>
  <c r="L28" i="4"/>
  <c r="U523" i="25" s="1"/>
  <c r="F20" i="4"/>
  <c r="N515" i="25" s="1"/>
  <c r="M20" i="4" a="1"/>
  <c r="M20" i="4" s="1"/>
  <c r="V515" i="25" s="1"/>
  <c r="AI515" i="25" s="1"/>
  <c r="F12" i="4"/>
  <c r="N507" i="25" s="1"/>
  <c r="L12" i="4"/>
  <c r="U507" i="25" s="1"/>
  <c r="M339" i="4" a="1"/>
  <c r="M339" i="4" s="1"/>
  <c r="V834" i="25" s="1"/>
  <c r="AI834" i="25" s="1"/>
  <c r="M331" i="4" a="1"/>
  <c r="M331" i="4" s="1"/>
  <c r="V826" i="25" s="1"/>
  <c r="AI826" i="25" s="1"/>
  <c r="M323" i="4" a="1"/>
  <c r="M323" i="4" s="1"/>
  <c r="V818" i="25" s="1"/>
  <c r="AI818" i="25" s="1"/>
  <c r="M307" i="4" a="1"/>
  <c r="M307" i="4" s="1"/>
  <c r="V802" i="25" s="1"/>
  <c r="AI802" i="25" s="1"/>
  <c r="M299" i="4" a="1"/>
  <c r="M299" i="4" s="1"/>
  <c r="V794" i="25" s="1"/>
  <c r="AI794" i="25" s="1"/>
  <c r="M291" i="4" a="1"/>
  <c r="M291" i="4" s="1"/>
  <c r="V786" i="25" s="1"/>
  <c r="AI786" i="25" s="1"/>
  <c r="M283" i="4" a="1"/>
  <c r="M283" i="4" s="1"/>
  <c r="V778" i="25" s="1"/>
  <c r="AI778" i="25" s="1"/>
  <c r="M275" i="4" a="1"/>
  <c r="M275" i="4" s="1"/>
  <c r="V770" i="25" s="1"/>
  <c r="AI770" i="25" s="1"/>
  <c r="M259" i="4" a="1"/>
  <c r="M259" i="4" s="1"/>
  <c r="V754" i="25" s="1"/>
  <c r="AI754" i="25" s="1"/>
  <c r="M251" i="4" a="1"/>
  <c r="M251" i="4" s="1"/>
  <c r="V746" i="25" s="1"/>
  <c r="AI746" i="25" s="1"/>
  <c r="M243" i="4" a="1"/>
  <c r="M243" i="4" s="1"/>
  <c r="V738" i="25" s="1"/>
  <c r="AI738" i="25" s="1"/>
  <c r="M235" i="4" a="1"/>
  <c r="M235" i="4" s="1"/>
  <c r="V730" i="25" s="1"/>
  <c r="AI730" i="25" s="1"/>
  <c r="L338" i="4"/>
  <c r="U833" i="25" s="1"/>
  <c r="L266" i="4"/>
  <c r="U761" i="25" s="1"/>
  <c r="X180" i="4" a="1"/>
  <c r="X180" i="4" s="1"/>
  <c r="AG675" i="25" s="1"/>
  <c r="X116" i="4" a="1"/>
  <c r="X116" i="4" s="1"/>
  <c r="AG611" i="25" s="1"/>
  <c r="X44" i="4" a="1"/>
  <c r="X44" i="4" s="1"/>
  <c r="AG539" i="25" s="1"/>
  <c r="Z579" i="25"/>
  <c r="M188" i="4" a="1"/>
  <c r="M188" i="4" s="1"/>
  <c r="V683" i="25" s="1"/>
  <c r="AI683" i="25" s="1"/>
  <c r="L180" i="4"/>
  <c r="U675" i="25" s="1"/>
  <c r="K196" i="4" a="1"/>
  <c r="K196" i="4" s="1"/>
  <c r="T691" i="25" s="1"/>
  <c r="K98" i="4" a="1"/>
  <c r="K98" i="4" s="1"/>
  <c r="T593" i="25" s="1"/>
  <c r="F226" i="4"/>
  <c r="N721" i="25" s="1"/>
  <c r="K218" i="4" a="1"/>
  <c r="K218" i="4" s="1"/>
  <c r="T713" i="25" s="1"/>
  <c r="F178" i="4"/>
  <c r="N673" i="25" s="1"/>
  <c r="F170" i="4"/>
  <c r="N665" i="25" s="1"/>
  <c r="K170" i="4" a="1"/>
  <c r="K170" i="4" s="1"/>
  <c r="T665" i="25" s="1"/>
  <c r="L162" i="4"/>
  <c r="U657" i="25" s="1"/>
  <c r="F146" i="4"/>
  <c r="N641" i="25" s="1"/>
  <c r="L138" i="4"/>
  <c r="U633" i="25" s="1"/>
  <c r="F130" i="4"/>
  <c r="N625" i="25" s="1"/>
  <c r="K130" i="4" a="1"/>
  <c r="K130" i="4" s="1"/>
  <c r="T625" i="25" s="1"/>
  <c r="L106" i="4"/>
  <c r="U601" i="25" s="1"/>
  <c r="M90" i="4" a="1"/>
  <c r="M90" i="4" s="1"/>
  <c r="V585" i="25" s="1"/>
  <c r="AI585" i="25" s="1"/>
  <c r="K82" i="4" a="1"/>
  <c r="K82" i="4" s="1"/>
  <c r="T577" i="25" s="1"/>
  <c r="M26" i="4" a="1"/>
  <c r="M26" i="4" s="1"/>
  <c r="V521" i="25" s="1"/>
  <c r="AI521" i="25" s="1"/>
  <c r="K18" i="4" a="1"/>
  <c r="K18" i="4" s="1"/>
  <c r="T513" i="25" s="1"/>
  <c r="X188" i="4" a="1"/>
  <c r="X188" i="4" s="1"/>
  <c r="AG683" i="25" s="1"/>
  <c r="X124" i="4" a="1"/>
  <c r="X124" i="4" s="1"/>
  <c r="AG619" i="25" s="1"/>
  <c r="X52" i="4" a="1"/>
  <c r="X52" i="4" s="1"/>
  <c r="AG547" i="25" s="1"/>
  <c r="Z675" i="25"/>
  <c r="M220" i="4" a="1"/>
  <c r="M220" i="4" s="1"/>
  <c r="V715" i="25" s="1"/>
  <c r="AI715" i="25" s="1"/>
  <c r="M148" i="4" a="1"/>
  <c r="M148" i="4" s="1"/>
  <c r="V643" i="25" s="1"/>
  <c r="AI643" i="25" s="1"/>
  <c r="M100" i="4" a="1"/>
  <c r="M100" i="4" s="1"/>
  <c r="V595" i="25" s="1"/>
  <c r="AI595" i="25" s="1"/>
  <c r="M12" i="4" a="1"/>
  <c r="M12" i="4" s="1"/>
  <c r="V507" i="25" s="1"/>
  <c r="AI507" i="25" s="1"/>
  <c r="L124" i="4"/>
  <c r="U619" i="25" s="1"/>
  <c r="L76" i="4"/>
  <c r="U571" i="25" s="1"/>
  <c r="K180" i="4" a="1"/>
  <c r="K180" i="4" s="1"/>
  <c r="F24" i="4"/>
  <c r="N519" i="25" s="1"/>
  <c r="Z531" i="25"/>
  <c r="M172" i="4" a="1"/>
  <c r="M172" i="4" s="1"/>
  <c r="V667" i="25" s="1"/>
  <c r="AI667" i="25" s="1"/>
  <c r="M140" i="4" a="1"/>
  <c r="M140" i="4" s="1"/>
  <c r="V635" i="25" s="1"/>
  <c r="AI635" i="25" s="1"/>
  <c r="M52" i="4" a="1"/>
  <c r="M52" i="4" s="1"/>
  <c r="V547" i="25" s="1"/>
  <c r="AI547" i="25" s="1"/>
  <c r="L228" i="4"/>
  <c r="U723" i="25" s="1"/>
  <c r="L172" i="4"/>
  <c r="U667" i="25" s="1"/>
  <c r="L20" i="4"/>
  <c r="U515" i="25" s="1"/>
  <c r="F216" i="4"/>
  <c r="N711" i="25" s="1"/>
  <c r="L216" i="4"/>
  <c r="U711" i="25" s="1"/>
  <c r="M216" i="4" a="1"/>
  <c r="M216" i="4" s="1"/>
  <c r="V711" i="25" s="1"/>
  <c r="AI711" i="25" s="1"/>
  <c r="AA711" i="25"/>
  <c r="M200" i="4" a="1"/>
  <c r="M200" i="4" s="1"/>
  <c r="V695" i="25" s="1"/>
  <c r="AI695" i="25" s="1"/>
  <c r="F200" i="4"/>
  <c r="N695" i="25" s="1"/>
  <c r="F192" i="4"/>
  <c r="N687" i="25" s="1"/>
  <c r="L184" i="4"/>
  <c r="U679" i="25" s="1"/>
  <c r="M184" i="4" a="1"/>
  <c r="M184" i="4" s="1"/>
  <c r="V679" i="25" s="1"/>
  <c r="AI679" i="25" s="1"/>
  <c r="M176" i="4" a="1"/>
  <c r="M176" i="4" s="1"/>
  <c r="V671" i="25" s="1"/>
  <c r="AI671" i="25" s="1"/>
  <c r="F168" i="4"/>
  <c r="N663" i="25" s="1"/>
  <c r="M160" i="4" a="1"/>
  <c r="M160" i="4" s="1"/>
  <c r="V655" i="25" s="1"/>
  <c r="AI655" i="25" s="1"/>
  <c r="F152" i="4"/>
  <c r="N647" i="25" s="1"/>
  <c r="F144" i="4"/>
  <c r="N639" i="25" s="1"/>
  <c r="F136" i="4"/>
  <c r="N631" i="25" s="1"/>
  <c r="M128" i="4" a="1"/>
  <c r="M128" i="4" s="1"/>
  <c r="V623" i="25" s="1"/>
  <c r="AI623" i="25" s="1"/>
  <c r="F128" i="4"/>
  <c r="N623" i="25" s="1"/>
  <c r="F112" i="4"/>
  <c r="N607" i="25" s="1"/>
  <c r="F72" i="4"/>
  <c r="N567" i="25" s="1"/>
  <c r="L56" i="4"/>
  <c r="U551" i="25" s="1"/>
  <c r="F32" i="4"/>
  <c r="N527" i="25" s="1"/>
  <c r="F8" i="4"/>
  <c r="N503" i="25" s="1"/>
  <c r="K222" i="4" a="1"/>
  <c r="K222" i="4" s="1"/>
  <c r="T717" i="25" s="1"/>
  <c r="L222" i="4"/>
  <c r="U717" i="25" s="1"/>
  <c r="K214" i="4" a="1"/>
  <c r="K214" i="4" s="1"/>
  <c r="L214" i="4"/>
  <c r="U709" i="25" s="1"/>
  <c r="L182" i="4"/>
  <c r="U677" i="25" s="1"/>
  <c r="K182" i="4" a="1"/>
  <c r="K182" i="4" s="1"/>
  <c r="L166" i="4"/>
  <c r="U661" i="25" s="1"/>
  <c r="K158" i="4" a="1"/>
  <c r="K158" i="4" s="1"/>
  <c r="T653" i="25" s="1"/>
  <c r="L158" i="4"/>
  <c r="U653" i="25" s="1"/>
  <c r="L142" i="4"/>
  <c r="U637" i="25" s="1"/>
  <c r="L134" i="4"/>
  <c r="U629" i="25" s="1"/>
  <c r="K126" i="4" a="1"/>
  <c r="K126" i="4" s="1"/>
  <c r="T621" i="25" s="1"/>
  <c r="L118" i="4"/>
  <c r="U613" i="25" s="1"/>
  <c r="L110" i="4"/>
  <c r="U605" i="25" s="1"/>
  <c r="K94" i="4" a="1"/>
  <c r="K94" i="4" s="1"/>
  <c r="T589" i="25" s="1"/>
  <c r="K86" i="4" a="1"/>
  <c r="K86" i="4" s="1"/>
  <c r="T581" i="25" s="1"/>
  <c r="L78" i="4"/>
  <c r="U573" i="25" s="1"/>
  <c r="K62" i="4" a="1"/>
  <c r="K62" i="4" s="1"/>
  <c r="L62" i="4"/>
  <c r="U557" i="25" s="1"/>
  <c r="L54" i="4"/>
  <c r="U549" i="25" s="1"/>
  <c r="K46" i="4" a="1"/>
  <c r="K46" i="4" s="1"/>
  <c r="T541" i="25" s="1"/>
  <c r="K38" i="4" a="1"/>
  <c r="K38" i="4" s="1"/>
  <c r="T533" i="25" s="1"/>
  <c r="L30" i="4"/>
  <c r="U525" i="25" s="1"/>
  <c r="M320" i="4" a="1"/>
  <c r="M320" i="4" s="1"/>
  <c r="V815" i="25" s="1"/>
  <c r="AI815" i="25" s="1"/>
  <c r="L312" i="4"/>
  <c r="U807" i="25" s="1"/>
  <c r="K304" i="4" a="1"/>
  <c r="K304" i="4" s="1"/>
  <c r="T799" i="25" s="1"/>
  <c r="K296" i="4" a="1"/>
  <c r="K296" i="4" s="1"/>
  <c r="T791" i="25" s="1"/>
  <c r="M272" i="4" a="1"/>
  <c r="M272" i="4" s="1"/>
  <c r="V767" i="25" s="1"/>
  <c r="AI767" i="25" s="1"/>
  <c r="M264" i="4" a="1"/>
  <c r="M264" i="4" s="1"/>
  <c r="L240" i="4"/>
  <c r="U735" i="25" s="1"/>
  <c r="X212" i="4" a="1"/>
  <c r="X212" i="4" s="1"/>
  <c r="AG707" i="25" s="1"/>
  <c r="X140" i="4" a="1"/>
  <c r="X140" i="4" s="1"/>
  <c r="AG635" i="25" s="1"/>
  <c r="X76" i="4" a="1"/>
  <c r="X76" i="4" s="1"/>
  <c r="AG571" i="25" s="1"/>
  <c r="AC595" i="25"/>
  <c r="M170" i="4" a="1"/>
  <c r="M170" i="4" s="1"/>
  <c r="V665" i="25" s="1"/>
  <c r="AI665" i="25" s="1"/>
  <c r="M84" i="4" a="1"/>
  <c r="M84" i="4" s="1"/>
  <c r="V579" i="25" s="1"/>
  <c r="AI579" i="25" s="1"/>
  <c r="L220" i="4"/>
  <c r="U715" i="25" s="1"/>
  <c r="L164" i="4"/>
  <c r="U659" i="25" s="1"/>
  <c r="L116" i="4"/>
  <c r="U611" i="25" s="1"/>
  <c r="L68" i="4"/>
  <c r="U563" i="25" s="1"/>
  <c r="K172" i="4" a="1"/>
  <c r="K172" i="4" s="1"/>
  <c r="T667" i="25" s="1"/>
  <c r="K110" i="4" a="1"/>
  <c r="K110" i="4" s="1"/>
  <c r="T605" i="25" s="1"/>
  <c r="K22" i="4" a="1"/>
  <c r="K22" i="4" s="1"/>
  <c r="T517" i="25" s="1"/>
  <c r="F184" i="4"/>
  <c r="N679" i="25" s="1"/>
  <c r="F96" i="4"/>
  <c r="N591" i="25" s="1"/>
  <c r="F48" i="4"/>
  <c r="N543" i="25" s="1"/>
  <c r="L285" i="4"/>
  <c r="U780" i="25" s="1"/>
  <c r="L277" i="4"/>
  <c r="U772" i="25" s="1"/>
  <c r="K269" i="4" a="1"/>
  <c r="K269" i="4" s="1"/>
  <c r="T764" i="25" s="1"/>
  <c r="K261" i="4" a="1"/>
  <c r="K261" i="4" s="1"/>
  <c r="T756" i="25" s="1"/>
  <c r="L253" i="4"/>
  <c r="U748" i="25" s="1"/>
  <c r="L245" i="4"/>
  <c r="U740" i="25" s="1"/>
  <c r="K237" i="4" a="1"/>
  <c r="K237" i="4" s="1"/>
  <c r="T732" i="25" s="1"/>
  <c r="X148" i="4" a="1"/>
  <c r="X148" i="4" s="1"/>
  <c r="AG643" i="25" s="1"/>
  <c r="X84" i="4" a="1"/>
  <c r="X84" i="4" s="1"/>
  <c r="AG579" i="25" s="1"/>
  <c r="Z539" i="25"/>
  <c r="M124" i="4" a="1"/>
  <c r="M124" i="4" s="1"/>
  <c r="V619" i="25" s="1"/>
  <c r="AI619" i="25" s="1"/>
  <c r="L152" i="4"/>
  <c r="U647" i="25" s="1"/>
  <c r="L60" i="4"/>
  <c r="U555" i="25" s="1"/>
  <c r="X443" i="4" a="1"/>
  <c r="X443" i="4" s="1"/>
  <c r="K451" i="4" a="1"/>
  <c r="K451" i="4" s="1"/>
  <c r="L443" i="4"/>
  <c r="K435" i="4" a="1"/>
  <c r="K435" i="4" s="1"/>
  <c r="M427" i="4" a="1"/>
  <c r="M427" i="4" s="1"/>
  <c r="K419" i="4" a="1"/>
  <c r="K419" i="4" s="1"/>
  <c r="L411" i="4"/>
  <c r="M403" i="4" a="1"/>
  <c r="M403" i="4" s="1"/>
  <c r="M98" i="4" a="1"/>
  <c r="M98" i="4" s="1"/>
  <c r="V593" i="25" s="1"/>
  <c r="AI593" i="25" s="1"/>
  <c r="M50" i="4" a="1"/>
  <c r="M50" i="4" s="1"/>
  <c r="V545" i="25" s="1"/>
  <c r="AI545" i="25" s="1"/>
  <c r="L42" i="4"/>
  <c r="U537" i="25" s="1"/>
  <c r="K169" i="4" a="1"/>
  <c r="K169" i="4" s="1"/>
  <c r="T664" i="25" s="1"/>
  <c r="X419" i="4" a="1"/>
  <c r="X419" i="4" s="1"/>
  <c r="K50" i="4" a="1"/>
  <c r="K50" i="4" s="1"/>
  <c r="T545" i="25" s="1"/>
  <c r="X427" i="4" a="1"/>
  <c r="X427" i="4" s="1"/>
  <c r="M432" i="4" a="1"/>
  <c r="M432" i="4" s="1"/>
  <c r="M424" i="4" a="1"/>
  <c r="M424" i="4" s="1"/>
  <c r="M416" i="4" a="1"/>
  <c r="M416" i="4" s="1"/>
  <c r="M42" i="4" a="1"/>
  <c r="M42" i="4" s="1"/>
  <c r="V537" i="25" s="1"/>
  <c r="AI537" i="25" s="1"/>
  <c r="X403" i="4" a="1"/>
  <c r="X403" i="4" s="1"/>
  <c r="M106" i="4" a="1"/>
  <c r="M106" i="4" s="1"/>
  <c r="V601" i="25" s="1"/>
  <c r="AI601" i="25" s="1"/>
  <c r="X278" i="4" a="1"/>
  <c r="X278" i="4" s="1"/>
  <c r="AG773" i="25" s="1"/>
  <c r="M445" i="4" a="1"/>
  <c r="M445" i="4" s="1"/>
  <c r="L445" i="4"/>
  <c r="X445" i="4" a="1"/>
  <c r="X445" i="4" s="1"/>
  <c r="F445" i="4"/>
  <c r="F437" i="4"/>
  <c r="L437" i="4"/>
  <c r="L429" i="4"/>
  <c r="X429" i="4" a="1"/>
  <c r="X429" i="4" s="1"/>
  <c r="M429" i="4" a="1"/>
  <c r="M429" i="4" s="1"/>
  <c r="F421" i="4"/>
  <c r="L421" i="4"/>
  <c r="M421" i="4" a="1"/>
  <c r="M421" i="4" s="1"/>
  <c r="X421" i="4" a="1"/>
  <c r="X421" i="4" s="1"/>
  <c r="F413" i="4"/>
  <c r="M413" i="4" a="1"/>
  <c r="M413" i="4" s="1"/>
  <c r="X413" i="4" a="1"/>
  <c r="X413" i="4" s="1"/>
  <c r="L413" i="4"/>
  <c r="M405" i="4" a="1"/>
  <c r="M405" i="4" s="1"/>
  <c r="L405" i="4"/>
  <c r="X405" i="4" a="1"/>
  <c r="X405" i="4" s="1"/>
  <c r="F405" i="4"/>
  <c r="K272" i="4" a="1"/>
  <c r="K272" i="4" s="1"/>
  <c r="T767" i="25" s="1"/>
  <c r="X309" i="4" a="1"/>
  <c r="X309" i="4" s="1"/>
  <c r="AG804" i="25" s="1"/>
  <c r="M274" i="4" a="1"/>
  <c r="M274" i="4" s="1"/>
  <c r="V769" i="25" s="1"/>
  <c r="AI769" i="25" s="1"/>
  <c r="M240" i="4" a="1"/>
  <c r="M240" i="4" s="1"/>
  <c r="V735" i="25" s="1"/>
  <c r="AI735" i="25" s="1"/>
  <c r="L298" i="4"/>
  <c r="U793" i="25" s="1"/>
  <c r="K330" i="4" a="1"/>
  <c r="K330" i="4" s="1"/>
  <c r="T825" i="25" s="1"/>
  <c r="M325" i="4" a="1"/>
  <c r="M325" i="4" s="1"/>
  <c r="V820" i="25" s="1"/>
  <c r="AI820" i="25" s="1"/>
  <c r="M317" i="4" a="1"/>
  <c r="M317" i="4" s="1"/>
  <c r="V812" i="25" s="1"/>
  <c r="AI812" i="25" s="1"/>
  <c r="M309" i="4" a="1"/>
  <c r="M309" i="4" s="1"/>
  <c r="V804" i="25" s="1"/>
  <c r="AI804" i="25" s="1"/>
  <c r="M301" i="4" a="1"/>
  <c r="M301" i="4" s="1"/>
  <c r="V796" i="25" s="1"/>
  <c r="AI796" i="25" s="1"/>
  <c r="M293" i="4" a="1"/>
  <c r="M293" i="4" s="1"/>
  <c r="V788" i="25" s="1"/>
  <c r="AI788" i="25" s="1"/>
  <c r="M285" i="4" a="1"/>
  <c r="M285" i="4" s="1"/>
  <c r="V780" i="25" s="1"/>
  <c r="AI780" i="25" s="1"/>
  <c r="M277" i="4" a="1"/>
  <c r="M277" i="4" s="1"/>
  <c r="V772" i="25" s="1"/>
  <c r="AI772" i="25" s="1"/>
  <c r="M269" i="4" a="1"/>
  <c r="M269" i="4" s="1"/>
  <c r="M261" i="4" a="1"/>
  <c r="M261" i="4" s="1"/>
  <c r="F322" i="4"/>
  <c r="N817" i="25" s="1"/>
  <c r="F274" i="4"/>
  <c r="N769" i="25" s="1"/>
  <c r="K450" i="4" a="1"/>
  <c r="K450" i="4" s="1"/>
  <c r="L450" i="4"/>
  <c r="M442" i="4" a="1"/>
  <c r="M442" i="4" s="1"/>
  <c r="K442" i="4" a="1"/>
  <c r="K442" i="4" s="1"/>
  <c r="M434" i="4" a="1"/>
  <c r="M434" i="4" s="1"/>
  <c r="L434" i="4"/>
  <c r="L426" i="4"/>
  <c r="K426" i="4" a="1"/>
  <c r="K426" i="4" s="1"/>
  <c r="M426" i="4" a="1"/>
  <c r="M426" i="4" s="1"/>
  <c r="K418" i="4" a="1"/>
  <c r="K418" i="4" s="1"/>
  <c r="M418" i="4" a="1"/>
  <c r="M418" i="4" s="1"/>
  <c r="L418" i="4"/>
  <c r="M410" i="4" a="1"/>
  <c r="M410" i="4" s="1"/>
  <c r="K410" i="4" a="1"/>
  <c r="K410" i="4" s="1"/>
  <c r="M402" i="4" a="1"/>
  <c r="M402" i="4" s="1"/>
  <c r="L402" i="4"/>
  <c r="K402" i="4" a="1"/>
  <c r="K402" i="4" s="1"/>
  <c r="F333" i="4"/>
  <c r="N828" i="25" s="1"/>
  <c r="F277" i="4"/>
  <c r="N772" i="25" s="1"/>
  <c r="X333" i="4" a="1"/>
  <c r="X333" i="4" s="1"/>
  <c r="AG828" i="25" s="1"/>
  <c r="X285" i="4" a="1"/>
  <c r="X285" i="4" s="1"/>
  <c r="AG780" i="25" s="1"/>
  <c r="F317" i="4"/>
  <c r="N812" i="25" s="1"/>
  <c r="F269" i="4"/>
  <c r="N764" i="25" s="1"/>
  <c r="L442" i="4"/>
  <c r="X246" i="4" a="1"/>
  <c r="X246" i="4" s="1"/>
  <c r="AG741" i="25" s="1"/>
  <c r="X261" i="4" a="1"/>
  <c r="X261" i="4" s="1"/>
  <c r="AG756" i="25" s="1"/>
  <c r="X317" i="4" a="1"/>
  <c r="X317" i="4" s="1"/>
  <c r="AG812" i="25" s="1"/>
  <c r="X293" i="4" a="1"/>
  <c r="X293" i="4" s="1"/>
  <c r="AG788" i="25" s="1"/>
  <c r="M266" i="4" a="1"/>
  <c r="M266" i="4" s="1"/>
  <c r="V761" i="25" s="1"/>
  <c r="AI761" i="25" s="1"/>
  <c r="L269" i="4"/>
  <c r="U764" i="25" s="1"/>
  <c r="K298" i="4" a="1"/>
  <c r="K298" i="4" s="1"/>
  <c r="T793" i="25" s="1"/>
  <c r="F301" i="4"/>
  <c r="N796" i="25" s="1"/>
  <c r="K320" i="4" a="1"/>
  <c r="K320" i="4" s="1"/>
  <c r="T815" i="25" s="1"/>
  <c r="M288" i="4" a="1"/>
  <c r="M288" i="4" s="1"/>
  <c r="V783" i="25" s="1"/>
  <c r="AI783" i="25" s="1"/>
  <c r="L264" i="4"/>
  <c r="U759" i="25" s="1"/>
  <c r="L330" i="4"/>
  <c r="U825" i="25" s="1"/>
  <c r="X437" i="4" a="1"/>
  <c r="X437" i="4" s="1"/>
  <c r="M450" i="4" a="1"/>
  <c r="M450" i="4" s="1"/>
  <c r="K434" i="4" a="1"/>
  <c r="K434" i="4" s="1"/>
  <c r="L433" i="4"/>
  <c r="L425" i="4"/>
  <c r="L417" i="4"/>
  <c r="L409" i="4"/>
  <c r="L82" i="4"/>
  <c r="U577" i="25" s="1"/>
  <c r="L50" i="4"/>
  <c r="U545" i="25" s="1"/>
  <c r="L18" i="4"/>
  <c r="U513" i="25" s="1"/>
  <c r="K216" i="4" a="1"/>
  <c r="K216" i="4" s="1"/>
  <c r="T711" i="25" s="1"/>
  <c r="L208" i="4"/>
  <c r="U703" i="25" s="1"/>
  <c r="L200" i="4"/>
  <c r="U695" i="25" s="1"/>
  <c r="M428" i="4" a="1"/>
  <c r="M428" i="4" s="1"/>
  <c r="K436" i="4" a="1"/>
  <c r="K436" i="4" s="1"/>
  <c r="K412" i="4" a="1"/>
  <c r="K412" i="4" s="1"/>
  <c r="K432" i="4" a="1"/>
  <c r="K432" i="4" s="1"/>
  <c r="L424" i="4"/>
  <c r="K416" i="4" a="1"/>
  <c r="K416" i="4" s="1"/>
  <c r="L408" i="4"/>
  <c r="L444" i="4"/>
  <c r="L436" i="4"/>
  <c r="L428" i="4"/>
  <c r="L420" i="4"/>
  <c r="L412" i="4"/>
  <c r="L404" i="4"/>
  <c r="K445" i="4" a="1"/>
  <c r="K445" i="4" s="1"/>
  <c r="K144" i="4" a="1"/>
  <c r="K144" i="4" s="1"/>
  <c r="T639" i="25" s="1"/>
  <c r="M444" i="4" a="1"/>
  <c r="M444" i="4" s="1"/>
  <c r="M404" i="4" a="1"/>
  <c r="M404" i="4" s="1"/>
  <c r="K420" i="4" a="1"/>
  <c r="K420" i="4" s="1"/>
  <c r="M248" i="4" a="1"/>
  <c r="M248" i="4" s="1"/>
  <c r="V743" i="25" s="1"/>
  <c r="AI743" i="25" s="1"/>
  <c r="M232" i="4" a="1"/>
  <c r="M232" i="4" s="1"/>
  <c r="V727" i="25" s="1"/>
  <c r="AI727" i="25" s="1"/>
  <c r="M227" i="4" a="1"/>
  <c r="M227" i="4" s="1"/>
  <c r="V722" i="25" s="1"/>
  <c r="AI722" i="25" s="1"/>
  <c r="M219" i="4" a="1"/>
  <c r="M219" i="4" s="1"/>
  <c r="V714" i="25" s="1"/>
  <c r="AI714" i="25" s="1"/>
  <c r="M211" i="4" a="1"/>
  <c r="M211" i="4" s="1"/>
  <c r="V706" i="25" s="1"/>
  <c r="AI706" i="25" s="1"/>
  <c r="M203" i="4" a="1"/>
  <c r="M203" i="4" s="1"/>
  <c r="V698" i="25" s="1"/>
  <c r="AI698" i="25" s="1"/>
  <c r="M195" i="4" a="1"/>
  <c r="M195" i="4" s="1"/>
  <c r="V690" i="25" s="1"/>
  <c r="AI690" i="25" s="1"/>
  <c r="M179" i="4" a="1"/>
  <c r="M179" i="4" s="1"/>
  <c r="V674" i="25" s="1"/>
  <c r="AI674" i="25" s="1"/>
  <c r="M171" i="4" a="1"/>
  <c r="M171" i="4" s="1"/>
  <c r="V666" i="25" s="1"/>
  <c r="AI666" i="25" s="1"/>
  <c r="M163" i="4" a="1"/>
  <c r="M163" i="4" s="1"/>
  <c r="V658" i="25" s="1"/>
  <c r="AI658" i="25" s="1"/>
  <c r="M155" i="4" a="1"/>
  <c r="M155" i="4" s="1"/>
  <c r="V650" i="25" s="1"/>
  <c r="AI650" i="25" s="1"/>
  <c r="M147" i="4" a="1"/>
  <c r="M147" i="4" s="1"/>
  <c r="V642" i="25" s="1"/>
  <c r="AI642" i="25" s="1"/>
  <c r="M139" i="4" a="1"/>
  <c r="M139" i="4" s="1"/>
  <c r="V634" i="25" s="1"/>
  <c r="AI634" i="25" s="1"/>
  <c r="M131" i="4" a="1"/>
  <c r="M131" i="4" s="1"/>
  <c r="V626" i="25" s="1"/>
  <c r="AI626" i="25" s="1"/>
  <c r="M123" i="4" a="1"/>
  <c r="M123" i="4" s="1"/>
  <c r="V618" i="25" s="1"/>
  <c r="AI618" i="25" s="1"/>
  <c r="K115" i="4" a="1"/>
  <c r="K115" i="4" s="1"/>
  <c r="T610" i="25" s="1"/>
  <c r="K51" i="4" a="1"/>
  <c r="K51" i="4" s="1"/>
  <c r="T546" i="25" s="1"/>
  <c r="K221" i="4" a="1"/>
  <c r="K221" i="4" s="1"/>
  <c r="T716" i="25" s="1"/>
  <c r="M213" i="4" a="1"/>
  <c r="M213" i="4" s="1"/>
  <c r="V708" i="25" s="1"/>
  <c r="AI708" i="25" s="1"/>
  <c r="L189" i="4"/>
  <c r="U684" i="25" s="1"/>
  <c r="L173" i="4"/>
  <c r="U668" i="25" s="1"/>
  <c r="M149" i="4" a="1"/>
  <c r="M149" i="4" s="1"/>
  <c r="V644" i="25" s="1"/>
  <c r="AI644" i="25" s="1"/>
  <c r="K133" i="4" a="1"/>
  <c r="K133" i="4" s="1"/>
  <c r="T628" i="25" s="1"/>
  <c r="L109" i="4"/>
  <c r="U604" i="25" s="1"/>
  <c r="L93" i="4"/>
  <c r="U588" i="25" s="1"/>
  <c r="M85" i="4" a="1"/>
  <c r="M85" i="4" s="1"/>
  <c r="V580" i="25" s="1"/>
  <c r="AI580" i="25" s="1"/>
  <c r="M69" i="4" a="1"/>
  <c r="M69" i="4" s="1"/>
  <c r="V564" i="25" s="1"/>
  <c r="AI564" i="25" s="1"/>
  <c r="L61" i="4"/>
  <c r="U556" i="25" s="1"/>
  <c r="L29" i="4"/>
  <c r="U524" i="25" s="1"/>
  <c r="M21" i="4" a="1"/>
  <c r="M21" i="4" s="1"/>
  <c r="V516" i="25" s="1"/>
  <c r="AI516" i="25" s="1"/>
  <c r="X302" i="4" a="1"/>
  <c r="X302" i="4" s="1"/>
  <c r="AG797" i="25" s="1"/>
  <c r="X294" i="4" a="1"/>
  <c r="X294" i="4" s="1"/>
  <c r="AG789" i="25" s="1"/>
  <c r="X286" i="4" a="1"/>
  <c r="X286" i="4" s="1"/>
  <c r="AG781" i="25" s="1"/>
  <c r="X230" i="4" a="1"/>
  <c r="X230" i="4" s="1"/>
  <c r="AG725" i="25" s="1"/>
  <c r="M328" i="4" a="1"/>
  <c r="M328" i="4" s="1"/>
  <c r="V823" i="25" s="1"/>
  <c r="AI823" i="25" s="1"/>
  <c r="M312" i="4" a="1"/>
  <c r="M312" i="4" s="1"/>
  <c r="V807" i="25" s="1"/>
  <c r="AI807" i="25" s="1"/>
  <c r="M256" i="4" a="1"/>
  <c r="M256" i="4" s="1"/>
  <c r="V751" i="25" s="1"/>
  <c r="AI751" i="25" s="1"/>
  <c r="L237" i="4"/>
  <c r="U732" i="25" s="1"/>
  <c r="K288" i="4" a="1"/>
  <c r="K288" i="4" s="1"/>
  <c r="T783" i="25" s="1"/>
  <c r="K256" i="4" a="1"/>
  <c r="K256" i="4" s="1"/>
  <c r="T751" i="25" s="1"/>
  <c r="F320" i="4"/>
  <c r="N815" i="25" s="1"/>
  <c r="F264" i="4"/>
  <c r="N759" i="25" s="1"/>
  <c r="F232" i="4"/>
  <c r="N727" i="25" s="1"/>
  <c r="L232" i="4"/>
  <c r="U727" i="25" s="1"/>
  <c r="K285" i="4" a="1"/>
  <c r="K285" i="4" s="1"/>
  <c r="T780" i="25" s="1"/>
  <c r="K253" i="4" a="1"/>
  <c r="K253" i="4" s="1"/>
  <c r="F288" i="4"/>
  <c r="N783" i="25" s="1"/>
  <c r="X310" i="4" a="1"/>
  <c r="X310" i="4" s="1"/>
  <c r="AG805" i="25" s="1"/>
  <c r="L288" i="4"/>
  <c r="U783" i="25" s="1"/>
  <c r="L261" i="4"/>
  <c r="U756" i="25" s="1"/>
  <c r="K277" i="4" a="1"/>
  <c r="K277" i="4" s="1"/>
  <c r="T772" i="25" s="1"/>
  <c r="K248" i="4" a="1"/>
  <c r="K248" i="4" s="1"/>
  <c r="T743" i="25" s="1"/>
  <c r="M336" i="4" a="1"/>
  <c r="M336" i="4" s="1"/>
  <c r="V831" i="25" s="1"/>
  <c r="AI831" i="25" s="1"/>
  <c r="K328" i="4" a="1"/>
  <c r="K328" i="4" s="1"/>
  <c r="T823" i="25" s="1"/>
  <c r="M304" i="4" a="1"/>
  <c r="M304" i="4" s="1"/>
  <c r="M296" i="4" a="1"/>
  <c r="M296" i="4" s="1"/>
  <c r="V791" i="25" s="1"/>
  <c r="AI791" i="25" s="1"/>
  <c r="M280" i="4" a="1"/>
  <c r="M280" i="4" s="1"/>
  <c r="V775" i="25" s="1"/>
  <c r="AI775" i="25" s="1"/>
  <c r="K245" i="4" a="1"/>
  <c r="K245" i="4" s="1"/>
  <c r="K338" i="4" a="1"/>
  <c r="K338" i="4" s="1"/>
  <c r="M314" i="4" a="1"/>
  <c r="M314" i="4" s="1"/>
  <c r="V809" i="25" s="1"/>
  <c r="AI809" i="25" s="1"/>
  <c r="X326" i="4" a="1"/>
  <c r="X326" i="4" s="1"/>
  <c r="AG821" i="25" s="1"/>
  <c r="F248" i="4"/>
  <c r="N743" i="25" s="1"/>
  <c r="L320" i="4"/>
  <c r="U815" i="25" s="1"/>
  <c r="K312" i="4" a="1"/>
  <c r="K312" i="4" s="1"/>
  <c r="T807" i="25" s="1"/>
  <c r="L304" i="4"/>
  <c r="U799" i="25" s="1"/>
  <c r="L296" i="4"/>
  <c r="U791" i="25" s="1"/>
  <c r="K280" i="4" a="1"/>
  <c r="K280" i="4" s="1"/>
  <c r="T775" i="25" s="1"/>
  <c r="L272" i="4"/>
  <c r="U767" i="25" s="1"/>
  <c r="K264" i="4" a="1"/>
  <c r="K264" i="4" s="1"/>
  <c r="T759" i="25" s="1"/>
  <c r="L256" i="4"/>
  <c r="U751" i="25" s="1"/>
  <c r="L248" i="4"/>
  <c r="U743" i="25" s="1"/>
  <c r="K240" i="4" a="1"/>
  <c r="K240" i="4" s="1"/>
  <c r="T735" i="25" s="1"/>
  <c r="K232" i="4" a="1"/>
  <c r="K232" i="4" s="1"/>
  <c r="T727" i="25" s="1"/>
  <c r="M115" i="4" a="1"/>
  <c r="M115" i="4" s="1"/>
  <c r="M51" i="4" a="1"/>
  <c r="M51" i="4" s="1"/>
  <c r="V546" i="25" s="1"/>
  <c r="AI546" i="25" s="1"/>
  <c r="M187" i="4" a="1"/>
  <c r="M187" i="4" s="1"/>
  <c r="V682" i="25" s="1"/>
  <c r="AI682" i="25" s="1"/>
  <c r="K187" i="4" a="1"/>
  <c r="K187" i="4" s="1"/>
  <c r="T682" i="25" s="1"/>
  <c r="K107" i="4" a="1"/>
  <c r="K107" i="4" s="1"/>
  <c r="T602" i="25" s="1"/>
  <c r="M107" i="4" a="1"/>
  <c r="M107" i="4" s="1"/>
  <c r="V602" i="25" s="1"/>
  <c r="AI602" i="25" s="1"/>
  <c r="K99" i="4" a="1"/>
  <c r="K99" i="4" s="1"/>
  <c r="T594" i="25" s="1"/>
  <c r="M99" i="4" a="1"/>
  <c r="M99" i="4" s="1"/>
  <c r="V594" i="25" s="1"/>
  <c r="AI594" i="25" s="1"/>
  <c r="L99" i="4"/>
  <c r="U594" i="25" s="1"/>
  <c r="K91" i="4" a="1"/>
  <c r="K91" i="4" s="1"/>
  <c r="T586" i="25" s="1"/>
  <c r="M91" i="4" a="1"/>
  <c r="M91" i="4" s="1"/>
  <c r="V586" i="25" s="1"/>
  <c r="AI586" i="25" s="1"/>
  <c r="K83" i="4" a="1"/>
  <c r="K83" i="4" s="1"/>
  <c r="T578" i="25" s="1"/>
  <c r="M83" i="4" a="1"/>
  <c r="M83" i="4" s="1"/>
  <c r="V578" i="25" s="1"/>
  <c r="AI578" i="25" s="1"/>
  <c r="K75" i="4" a="1"/>
  <c r="K75" i="4" s="1"/>
  <c r="T570" i="25" s="1"/>
  <c r="M75" i="4" a="1"/>
  <c r="M75" i="4" s="1"/>
  <c r="V570" i="25" s="1"/>
  <c r="AI570" i="25" s="1"/>
  <c r="K67" i="4" a="1"/>
  <c r="K67" i="4" s="1"/>
  <c r="T562" i="25" s="1"/>
  <c r="L67" i="4"/>
  <c r="U562" i="25" s="1"/>
  <c r="M67" i="4" a="1"/>
  <c r="M67" i="4" s="1"/>
  <c r="V562" i="25" s="1"/>
  <c r="AI562" i="25" s="1"/>
  <c r="K59" i="4" a="1"/>
  <c r="K59" i="4" s="1"/>
  <c r="T554" i="25" s="1"/>
  <c r="M59" i="4" a="1"/>
  <c r="M59" i="4" s="1"/>
  <c r="V554" i="25" s="1"/>
  <c r="AI554" i="25" s="1"/>
  <c r="K43" i="4" a="1"/>
  <c r="K43" i="4" s="1"/>
  <c r="T538" i="25" s="1"/>
  <c r="M43" i="4" a="1"/>
  <c r="M43" i="4" s="1"/>
  <c r="V538" i="25" s="1"/>
  <c r="AI538" i="25" s="1"/>
  <c r="K35" i="4" a="1"/>
  <c r="K35" i="4" s="1"/>
  <c r="T530" i="25" s="1"/>
  <c r="L35" i="4"/>
  <c r="U530" i="25" s="1"/>
  <c r="M35" i="4" a="1"/>
  <c r="M35" i="4" s="1"/>
  <c r="V530" i="25" s="1"/>
  <c r="AI530" i="25" s="1"/>
  <c r="K27" i="4" a="1"/>
  <c r="K27" i="4" s="1"/>
  <c r="T522" i="25" s="1"/>
  <c r="M27" i="4" a="1"/>
  <c r="M27" i="4" s="1"/>
  <c r="V522" i="25" s="1"/>
  <c r="AI522" i="25" s="1"/>
  <c r="K19" i="4" a="1"/>
  <c r="K19" i="4" s="1"/>
  <c r="T514" i="25" s="1"/>
  <c r="M19" i="4" a="1"/>
  <c r="M19" i="4" s="1"/>
  <c r="V514" i="25" s="1"/>
  <c r="AI514" i="25" s="1"/>
  <c r="K11" i="4" a="1"/>
  <c r="K11" i="4" s="1"/>
  <c r="T506" i="25" s="1"/>
  <c r="M11" i="4" a="1"/>
  <c r="M11" i="4" s="1"/>
  <c r="V506" i="25" s="1"/>
  <c r="AI506" i="25" s="1"/>
  <c r="L227" i="4"/>
  <c r="U722" i="25" s="1"/>
  <c r="L195" i="4"/>
  <c r="U690" i="25" s="1"/>
  <c r="K155" i="4" a="1"/>
  <c r="K155" i="4" s="1"/>
  <c r="T650" i="25" s="1"/>
  <c r="L131" i="4"/>
  <c r="U626" i="25" s="1"/>
  <c r="F447" i="4"/>
  <c r="K447" i="4" a="1"/>
  <c r="K447" i="4" s="1"/>
  <c r="L447" i="4"/>
  <c r="X447" i="4" a="1"/>
  <c r="X447" i="4" s="1"/>
  <c r="M447" i="4" a="1"/>
  <c r="M447" i="4" s="1"/>
  <c r="F439" i="4"/>
  <c r="M439" i="4" a="1"/>
  <c r="M439" i="4" s="1"/>
  <c r="K439" i="4" a="1"/>
  <c r="K439" i="4" s="1"/>
  <c r="X439" i="4" a="1"/>
  <c r="X439" i="4" s="1"/>
  <c r="L439" i="4"/>
  <c r="F431" i="4"/>
  <c r="K431" i="4" a="1"/>
  <c r="K431" i="4" s="1"/>
  <c r="M431" i="4" a="1"/>
  <c r="M431" i="4" s="1"/>
  <c r="L431" i="4"/>
  <c r="X431" i="4" a="1"/>
  <c r="X431" i="4" s="1"/>
  <c r="F423" i="4"/>
  <c r="K423" i="4" a="1"/>
  <c r="K423" i="4" s="1"/>
  <c r="X423" i="4" a="1"/>
  <c r="X423" i="4" s="1"/>
  <c r="L423" i="4"/>
  <c r="M423" i="4" a="1"/>
  <c r="M423" i="4" s="1"/>
  <c r="F415" i="4"/>
  <c r="K415" i="4" a="1"/>
  <c r="K415" i="4" s="1"/>
  <c r="L415" i="4"/>
  <c r="M415" i="4" a="1"/>
  <c r="M415" i="4" s="1"/>
  <c r="X415" i="4" a="1"/>
  <c r="X415" i="4" s="1"/>
  <c r="F407" i="4"/>
  <c r="M407" i="4" a="1"/>
  <c r="M407" i="4" s="1"/>
  <c r="K407" i="4" a="1"/>
  <c r="K407" i="4" s="1"/>
  <c r="L407" i="4"/>
  <c r="X407" i="4" a="1"/>
  <c r="X407" i="4" s="1"/>
  <c r="L218" i="4"/>
  <c r="U713" i="25" s="1"/>
  <c r="F218" i="4"/>
  <c r="N713" i="25" s="1"/>
  <c r="K210" i="4" a="1"/>
  <c r="K210" i="4" s="1"/>
  <c r="T705" i="25" s="1"/>
  <c r="L210" i="4"/>
  <c r="U705" i="25" s="1"/>
  <c r="K202" i="4" a="1"/>
  <c r="K202" i="4" s="1"/>
  <c r="F202" i="4"/>
  <c r="N697" i="25" s="1"/>
  <c r="K194" i="4" a="1"/>
  <c r="K194" i="4" s="1"/>
  <c r="T689" i="25" s="1"/>
  <c r="M194" i="4" a="1"/>
  <c r="M194" i="4" s="1"/>
  <c r="V689" i="25" s="1"/>
  <c r="AI689" i="25" s="1"/>
  <c r="F194" i="4"/>
  <c r="N689" i="25" s="1"/>
  <c r="L186" i="4"/>
  <c r="U681" i="25" s="1"/>
  <c r="K186" i="4" a="1"/>
  <c r="K186" i="4" s="1"/>
  <c r="T681" i="25" s="1"/>
  <c r="F186" i="4"/>
  <c r="N681" i="25" s="1"/>
  <c r="L178" i="4"/>
  <c r="U673" i="25" s="1"/>
  <c r="M178" i="4" a="1"/>
  <c r="M178" i="4" s="1"/>
  <c r="V673" i="25" s="1"/>
  <c r="AI673" i="25" s="1"/>
  <c r="M162" i="4" a="1"/>
  <c r="M162" i="4" s="1"/>
  <c r="V657" i="25" s="1"/>
  <c r="AI657" i="25" s="1"/>
  <c r="F162" i="4"/>
  <c r="N657" i="25" s="1"/>
  <c r="L154" i="4"/>
  <c r="U649" i="25" s="1"/>
  <c r="M154" i="4" a="1"/>
  <c r="M154" i="4" s="1"/>
  <c r="F154" i="4"/>
  <c r="N649" i="25" s="1"/>
  <c r="K146" i="4" a="1"/>
  <c r="K146" i="4" s="1"/>
  <c r="T641" i="25" s="1"/>
  <c r="L146" i="4"/>
  <c r="U641" i="25" s="1"/>
  <c r="F138" i="4"/>
  <c r="N633" i="25" s="1"/>
  <c r="K138" i="4" a="1"/>
  <c r="K138" i="4" s="1"/>
  <c r="T633" i="25" s="1"/>
  <c r="L122" i="4"/>
  <c r="U617" i="25" s="1"/>
  <c r="M122" i="4" a="1"/>
  <c r="M122" i="4" s="1"/>
  <c r="V617" i="25" s="1"/>
  <c r="AI617" i="25" s="1"/>
  <c r="F122" i="4"/>
  <c r="N617" i="25" s="1"/>
  <c r="K114" i="4" a="1"/>
  <c r="K114" i="4" s="1"/>
  <c r="T609" i="25" s="1"/>
  <c r="L114" i="4"/>
  <c r="U609" i="25" s="1"/>
  <c r="M114" i="4" a="1"/>
  <c r="M114" i="4" s="1"/>
  <c r="V609" i="25" s="1"/>
  <c r="AI609" i="25" s="1"/>
  <c r="F106" i="4"/>
  <c r="N601" i="25" s="1"/>
  <c r="K106" i="4" a="1"/>
  <c r="K106" i="4" s="1"/>
  <c r="T601" i="25" s="1"/>
  <c r="L90" i="4"/>
  <c r="U585" i="25" s="1"/>
  <c r="F90" i="4"/>
  <c r="N585" i="25" s="1"/>
  <c r="L58" i="4"/>
  <c r="U553" i="25" s="1"/>
  <c r="F58" i="4"/>
  <c r="N553" i="25" s="1"/>
  <c r="L26" i="4"/>
  <c r="U521" i="25" s="1"/>
  <c r="F26" i="4"/>
  <c r="N521" i="25" s="1"/>
  <c r="K224" i="4" a="1"/>
  <c r="K224" i="4" s="1"/>
  <c r="T719" i="25" s="1"/>
  <c r="L224" i="4"/>
  <c r="U719" i="25" s="1"/>
  <c r="K192" i="4" a="1"/>
  <c r="K192" i="4" s="1"/>
  <c r="T687" i="25" s="1"/>
  <c r="L192" i="4"/>
  <c r="U687" i="25" s="1"/>
  <c r="K184" i="4" a="1"/>
  <c r="K184" i="4" s="1"/>
  <c r="T679" i="25" s="1"/>
  <c r="L176" i="4"/>
  <c r="U671" i="25" s="1"/>
  <c r="K176" i="4" a="1"/>
  <c r="K176" i="4" s="1"/>
  <c r="T671" i="25" s="1"/>
  <c r="K168" i="4" a="1"/>
  <c r="K168" i="4" s="1"/>
  <c r="L168" i="4"/>
  <c r="U663" i="25" s="1"/>
  <c r="K160" i="4" a="1"/>
  <c r="K160" i="4" s="1"/>
  <c r="T655" i="25" s="1"/>
  <c r="L160" i="4"/>
  <c r="U655" i="25" s="1"/>
  <c r="K152" i="4" a="1"/>
  <c r="K152" i="4" s="1"/>
  <c r="L144" i="4"/>
  <c r="U639" i="25" s="1"/>
  <c r="K136" i="4" a="1"/>
  <c r="K136" i="4" s="1"/>
  <c r="L136" i="4"/>
  <c r="U631" i="25" s="1"/>
  <c r="K128" i="4" a="1"/>
  <c r="K128" i="4" s="1"/>
  <c r="T623" i="25" s="1"/>
  <c r="L128" i="4"/>
  <c r="U623" i="25" s="1"/>
  <c r="K120" i="4" a="1"/>
  <c r="K120" i="4" s="1"/>
  <c r="L112" i="4"/>
  <c r="U607" i="25" s="1"/>
  <c r="K104" i="4" a="1"/>
  <c r="K104" i="4" s="1"/>
  <c r="T599" i="25" s="1"/>
  <c r="K96" i="4" a="1"/>
  <c r="K96" i="4" s="1"/>
  <c r="T591" i="25" s="1"/>
  <c r="K88" i="4" a="1"/>
  <c r="K88" i="4" s="1"/>
  <c r="L80" i="4"/>
  <c r="U575" i="25" s="1"/>
  <c r="K72" i="4" a="1"/>
  <c r="K72" i="4" s="1"/>
  <c r="T567" i="25" s="1"/>
  <c r="M189" i="4" a="1"/>
  <c r="M189" i="4" s="1"/>
  <c r="V684" i="25" s="1"/>
  <c r="AI684" i="25" s="1"/>
  <c r="M138" i="4" a="1"/>
  <c r="M138" i="4" s="1"/>
  <c r="V633" i="25" s="1"/>
  <c r="AI633" i="25" s="1"/>
  <c r="M125" i="4" a="1"/>
  <c r="M125" i="4" s="1"/>
  <c r="V620" i="25" s="1"/>
  <c r="AI620" i="25" s="1"/>
  <c r="M74" i="4" a="1"/>
  <c r="M74" i="4" s="1"/>
  <c r="V569" i="25" s="1"/>
  <c r="AI569" i="25" s="1"/>
  <c r="M10" i="4" a="1"/>
  <c r="M10" i="4" s="1"/>
  <c r="V505" i="25" s="1"/>
  <c r="AI505" i="25" s="1"/>
  <c r="L98" i="4"/>
  <c r="U593" i="25" s="1"/>
  <c r="K178" i="4" a="1"/>
  <c r="K178" i="4" s="1"/>
  <c r="T673" i="25" s="1"/>
  <c r="F114" i="4"/>
  <c r="N609" i="25" s="1"/>
  <c r="F29" i="4"/>
  <c r="N524" i="25" s="1"/>
  <c r="M109" i="4" a="1"/>
  <c r="M109" i="4" s="1"/>
  <c r="V604" i="25" s="1"/>
  <c r="AI604" i="25" s="1"/>
  <c r="M45" i="4" a="1"/>
  <c r="M45" i="4" s="1"/>
  <c r="V540" i="25" s="1"/>
  <c r="AI540" i="25" s="1"/>
  <c r="L194" i="4"/>
  <c r="U689" i="25" s="1"/>
  <c r="L74" i="4"/>
  <c r="U569" i="25" s="1"/>
  <c r="L13" i="4"/>
  <c r="U508" i="25" s="1"/>
  <c r="K162" i="4" a="1"/>
  <c r="K162" i="4" s="1"/>
  <c r="T657" i="25" s="1"/>
  <c r="K93" i="4" a="1"/>
  <c r="K93" i="4" s="1"/>
  <c r="T588" i="25" s="1"/>
  <c r="K77" i="4" a="1"/>
  <c r="K77" i="4" s="1"/>
  <c r="T572" i="25" s="1"/>
  <c r="K61" i="4" a="1"/>
  <c r="K61" i="4" s="1"/>
  <c r="T556" i="25" s="1"/>
  <c r="K45" i="4" a="1"/>
  <c r="K45" i="4" s="1"/>
  <c r="K29" i="4" a="1"/>
  <c r="K29" i="4" s="1"/>
  <c r="T524" i="25" s="1"/>
  <c r="K13" i="4" a="1"/>
  <c r="K13" i="4" s="1"/>
  <c r="T508" i="25" s="1"/>
  <c r="M72" i="4" a="1"/>
  <c r="M72" i="4" s="1"/>
  <c r="V567" i="25" s="1"/>
  <c r="AI567" i="25" s="1"/>
  <c r="L72" i="4"/>
  <c r="U567" i="25" s="1"/>
  <c r="K64" i="4" a="1"/>
  <c r="K64" i="4" s="1"/>
  <c r="T559" i="25" s="1"/>
  <c r="M64" i="4" a="1"/>
  <c r="M64" i="4" s="1"/>
  <c r="V559" i="25" s="1"/>
  <c r="AI559" i="25" s="1"/>
  <c r="L64" i="4"/>
  <c r="U559" i="25" s="1"/>
  <c r="K56" i="4" a="1"/>
  <c r="K56" i="4" s="1"/>
  <c r="T551" i="25" s="1"/>
  <c r="M56" i="4" a="1"/>
  <c r="M56" i="4" s="1"/>
  <c r="V551" i="25" s="1"/>
  <c r="AI551" i="25" s="1"/>
  <c r="L48" i="4"/>
  <c r="U543" i="25" s="1"/>
  <c r="K48" i="4" a="1"/>
  <c r="K48" i="4" s="1"/>
  <c r="T543" i="25" s="1"/>
  <c r="M48" i="4" a="1"/>
  <c r="M48" i="4" s="1"/>
  <c r="V543" i="25" s="1"/>
  <c r="AI543" i="25" s="1"/>
  <c r="K40" i="4" a="1"/>
  <c r="K40" i="4" s="1"/>
  <c r="T535" i="25" s="1"/>
  <c r="M40" i="4" a="1"/>
  <c r="M40" i="4" s="1"/>
  <c r="V535" i="25" s="1"/>
  <c r="AI535" i="25" s="1"/>
  <c r="L40" i="4"/>
  <c r="U535" i="25" s="1"/>
  <c r="K32" i="4" a="1"/>
  <c r="K32" i="4" s="1"/>
  <c r="T527" i="25" s="1"/>
  <c r="M32" i="4" a="1"/>
  <c r="M32" i="4" s="1"/>
  <c r="V527" i="25" s="1"/>
  <c r="AI527" i="25" s="1"/>
  <c r="L32" i="4"/>
  <c r="U527" i="25" s="1"/>
  <c r="K24" i="4" a="1"/>
  <c r="K24" i="4" s="1"/>
  <c r="T519" i="25" s="1"/>
  <c r="M24" i="4" a="1"/>
  <c r="M24" i="4" s="1"/>
  <c r="V519" i="25" s="1"/>
  <c r="AI519" i="25" s="1"/>
  <c r="L16" i="4"/>
  <c r="U511" i="25" s="1"/>
  <c r="K16" i="4" a="1"/>
  <c r="K16" i="4" s="1"/>
  <c r="T511" i="25" s="1"/>
  <c r="M16" i="4" a="1"/>
  <c r="M16" i="4" s="1"/>
  <c r="V511" i="25" s="1"/>
  <c r="AI511" i="25" s="1"/>
  <c r="K8" i="4" a="1"/>
  <c r="K8" i="4" s="1"/>
  <c r="T503" i="25" s="1"/>
  <c r="M8" i="4" a="1"/>
  <c r="M8" i="4" s="1"/>
  <c r="V503" i="25" s="1"/>
  <c r="AI503" i="25" s="1"/>
  <c r="L8" i="4"/>
  <c r="U503" i="25" s="1"/>
  <c r="M221" i="4" a="1"/>
  <c r="M221" i="4" s="1"/>
  <c r="V716" i="25" s="1"/>
  <c r="AI716" i="25" s="1"/>
  <c r="M186" i="4" a="1"/>
  <c r="M186" i="4" s="1"/>
  <c r="V681" i="25" s="1"/>
  <c r="AI681" i="25" s="1"/>
  <c r="M146" i="4" a="1"/>
  <c r="M146" i="4" s="1"/>
  <c r="V641" i="25" s="1"/>
  <c r="AI641" i="25" s="1"/>
  <c r="M133" i="4" a="1"/>
  <c r="M133" i="4" s="1"/>
  <c r="V628" i="25" s="1"/>
  <c r="AI628" i="25" s="1"/>
  <c r="M58" i="4" a="1"/>
  <c r="M58" i="4" s="1"/>
  <c r="V553" i="25" s="1"/>
  <c r="AI553" i="25" s="1"/>
  <c r="L170" i="4"/>
  <c r="U665" i="25" s="1"/>
  <c r="L34" i="4"/>
  <c r="U529" i="25" s="1"/>
  <c r="F210" i="4"/>
  <c r="N705" i="25" s="1"/>
  <c r="F82" i="4"/>
  <c r="N577" i="25" s="1"/>
  <c r="M93" i="4" a="1"/>
  <c r="M93" i="4" s="1"/>
  <c r="V588" i="25" s="1"/>
  <c r="AI588" i="25" s="1"/>
  <c r="M82" i="4" a="1"/>
  <c r="M82" i="4" s="1"/>
  <c r="M29" i="4" a="1"/>
  <c r="M29" i="4" s="1"/>
  <c r="V524" i="25" s="1"/>
  <c r="AI524" i="25" s="1"/>
  <c r="M18" i="4" a="1"/>
  <c r="M18" i="4" s="1"/>
  <c r="L226" i="4"/>
  <c r="U721" i="25" s="1"/>
  <c r="L205" i="4"/>
  <c r="U700" i="25" s="1"/>
  <c r="L130" i="4"/>
  <c r="U625" i="25" s="1"/>
  <c r="L88" i="4"/>
  <c r="U583" i="25" s="1"/>
  <c r="L10" i="4"/>
  <c r="U505" i="25" s="1"/>
  <c r="K208" i="4" a="1"/>
  <c r="K208" i="4" s="1"/>
  <c r="T703" i="25" s="1"/>
  <c r="K189" i="4" a="1"/>
  <c r="K189" i="4" s="1"/>
  <c r="T684" i="25" s="1"/>
  <c r="K90" i="4" a="1"/>
  <c r="K90" i="4" s="1"/>
  <c r="T585" i="25" s="1"/>
  <c r="K74" i="4" a="1"/>
  <c r="K74" i="4" s="1"/>
  <c r="T569" i="25" s="1"/>
  <c r="K58" i="4" a="1"/>
  <c r="K58" i="4" s="1"/>
  <c r="T553" i="25" s="1"/>
  <c r="K42" i="4" a="1"/>
  <c r="K42" i="4" s="1"/>
  <c r="K26" i="4" a="1"/>
  <c r="K26" i="4" s="1"/>
  <c r="T521" i="25" s="1"/>
  <c r="K10" i="4" a="1"/>
  <c r="K10" i="4" s="1"/>
  <c r="T505" i="25" s="1"/>
  <c r="L229" i="4"/>
  <c r="U724" i="25" s="1"/>
  <c r="K229" i="4" a="1"/>
  <c r="K229" i="4" s="1"/>
  <c r="F229" i="4"/>
  <c r="N724" i="25" s="1"/>
  <c r="F213" i="4"/>
  <c r="N708" i="25" s="1"/>
  <c r="K213" i="4" a="1"/>
  <c r="K213" i="4" s="1"/>
  <c r="T708" i="25" s="1"/>
  <c r="L213" i="4"/>
  <c r="U708" i="25" s="1"/>
  <c r="L197" i="4"/>
  <c r="U692" i="25" s="1"/>
  <c r="F197" i="4"/>
  <c r="N692" i="25" s="1"/>
  <c r="K197" i="4" a="1"/>
  <c r="K197" i="4" s="1"/>
  <c r="T692" i="25" s="1"/>
  <c r="M197" i="4" a="1"/>
  <c r="M197" i="4" s="1"/>
  <c r="V692" i="25" s="1"/>
  <c r="AI692" i="25" s="1"/>
  <c r="K181" i="4" a="1"/>
  <c r="K181" i="4" s="1"/>
  <c r="T676" i="25" s="1"/>
  <c r="F181" i="4"/>
  <c r="N676" i="25" s="1"/>
  <c r="L181" i="4"/>
  <c r="U676" i="25" s="1"/>
  <c r="K173" i="4" a="1"/>
  <c r="K173" i="4" s="1"/>
  <c r="T668" i="25" s="1"/>
  <c r="M173" i="4" a="1"/>
  <c r="M173" i="4" s="1"/>
  <c r="V668" i="25" s="1"/>
  <c r="AI668" i="25" s="1"/>
  <c r="F173" i="4"/>
  <c r="N668" i="25" s="1"/>
  <c r="L165" i="4"/>
  <c r="U660" i="25" s="1"/>
  <c r="F165" i="4"/>
  <c r="N660" i="25" s="1"/>
  <c r="K157" i="4" a="1"/>
  <c r="K157" i="4" s="1"/>
  <c r="T652" i="25" s="1"/>
  <c r="L157" i="4"/>
  <c r="U652" i="25" s="1"/>
  <c r="M157" i="4" a="1"/>
  <c r="M157" i="4" s="1"/>
  <c r="V652" i="25" s="1"/>
  <c r="AI652" i="25" s="1"/>
  <c r="F149" i="4"/>
  <c r="N644" i="25" s="1"/>
  <c r="K149" i="4" a="1"/>
  <c r="K149" i="4" s="1"/>
  <c r="L149" i="4"/>
  <c r="U644" i="25" s="1"/>
  <c r="F141" i="4"/>
  <c r="N636" i="25" s="1"/>
  <c r="K141" i="4" a="1"/>
  <c r="K141" i="4" s="1"/>
  <c r="T636" i="25" s="1"/>
  <c r="L133" i="4"/>
  <c r="U628" i="25" s="1"/>
  <c r="F133" i="4"/>
  <c r="N628" i="25" s="1"/>
  <c r="K125" i="4" a="1"/>
  <c r="K125" i="4" s="1"/>
  <c r="T620" i="25" s="1"/>
  <c r="L125" i="4"/>
  <c r="U620" i="25" s="1"/>
  <c r="F117" i="4"/>
  <c r="N612" i="25" s="1"/>
  <c r="K117" i="4" a="1"/>
  <c r="K117" i="4" s="1"/>
  <c r="T612" i="25" s="1"/>
  <c r="L117" i="4"/>
  <c r="U612" i="25" s="1"/>
  <c r="M117" i="4" a="1"/>
  <c r="M117" i="4" s="1"/>
  <c r="V612" i="25" s="1"/>
  <c r="AI612" i="25" s="1"/>
  <c r="F109" i="4"/>
  <c r="N604" i="25" s="1"/>
  <c r="K109" i="4" a="1"/>
  <c r="K109" i="4" s="1"/>
  <c r="T604" i="25" s="1"/>
  <c r="L101" i="4"/>
  <c r="U596" i="25" s="1"/>
  <c r="F101" i="4"/>
  <c r="N596" i="25" s="1"/>
  <c r="F85" i="4"/>
  <c r="N580" i="25" s="1"/>
  <c r="L85" i="4"/>
  <c r="U580" i="25" s="1"/>
  <c r="L69" i="4"/>
  <c r="U564" i="25" s="1"/>
  <c r="F69" i="4"/>
  <c r="N564" i="25" s="1"/>
  <c r="F53" i="4"/>
  <c r="N548" i="25" s="1"/>
  <c r="L53" i="4"/>
  <c r="U548" i="25" s="1"/>
  <c r="L37" i="4"/>
  <c r="U532" i="25" s="1"/>
  <c r="F37" i="4"/>
  <c r="N532" i="25" s="1"/>
  <c r="F21" i="4"/>
  <c r="N516" i="25" s="1"/>
  <c r="L21" i="4"/>
  <c r="U516" i="25" s="1"/>
  <c r="K227" i="4" a="1"/>
  <c r="K227" i="4" s="1"/>
  <c r="T722" i="25" s="1"/>
  <c r="K219" i="4" a="1"/>
  <c r="K219" i="4" s="1"/>
  <c r="T714" i="25" s="1"/>
  <c r="L219" i="4"/>
  <c r="U714" i="25" s="1"/>
  <c r="K211" i="4" a="1"/>
  <c r="K211" i="4" s="1"/>
  <c r="T706" i="25" s="1"/>
  <c r="L211" i="4"/>
  <c r="U706" i="25" s="1"/>
  <c r="K203" i="4" a="1"/>
  <c r="K203" i="4" s="1"/>
  <c r="L203" i="4"/>
  <c r="U698" i="25" s="1"/>
  <c r="K195" i="4" a="1"/>
  <c r="K195" i="4" s="1"/>
  <c r="T690" i="25" s="1"/>
  <c r="L187" i="4"/>
  <c r="U682" i="25" s="1"/>
  <c r="L179" i="4"/>
  <c r="U674" i="25" s="1"/>
  <c r="K179" i="4" a="1"/>
  <c r="K179" i="4" s="1"/>
  <c r="K171" i="4" a="1"/>
  <c r="K171" i="4" s="1"/>
  <c r="T666" i="25" s="1"/>
  <c r="L171" i="4"/>
  <c r="U666" i="25" s="1"/>
  <c r="K163" i="4" a="1"/>
  <c r="K163" i="4" s="1"/>
  <c r="T658" i="25" s="1"/>
  <c r="L155" i="4"/>
  <c r="U650" i="25" s="1"/>
  <c r="K147" i="4" a="1"/>
  <c r="K147" i="4" s="1"/>
  <c r="T642" i="25" s="1"/>
  <c r="L147" i="4"/>
  <c r="U642" i="25" s="1"/>
  <c r="K139" i="4" a="1"/>
  <c r="K139" i="4" s="1"/>
  <c r="T634" i="25" s="1"/>
  <c r="L139" i="4"/>
  <c r="U634" i="25" s="1"/>
  <c r="K131" i="4" a="1"/>
  <c r="K131" i="4" s="1"/>
  <c r="L123" i="4"/>
  <c r="U618" i="25" s="1"/>
  <c r="L115" i="4"/>
  <c r="U610" i="25" s="1"/>
  <c r="L107" i="4"/>
  <c r="U602" i="25" s="1"/>
  <c r="L91" i="4"/>
  <c r="U586" i="25" s="1"/>
  <c r="L83" i="4"/>
  <c r="U578" i="25" s="1"/>
  <c r="L75" i="4"/>
  <c r="U570" i="25" s="1"/>
  <c r="L59" i="4"/>
  <c r="U554" i="25" s="1"/>
  <c r="L51" i="4"/>
  <c r="U546" i="25" s="1"/>
  <c r="L43" i="4"/>
  <c r="U538" i="25" s="1"/>
  <c r="L27" i="4"/>
  <c r="U522" i="25" s="1"/>
  <c r="L19" i="4"/>
  <c r="U514" i="25" s="1"/>
  <c r="L11" i="4"/>
  <c r="U506" i="25" s="1"/>
  <c r="M218" i="4" a="1"/>
  <c r="M218" i="4" s="1"/>
  <c r="V713" i="25" s="1"/>
  <c r="AI713" i="25" s="1"/>
  <c r="M181" i="4" a="1"/>
  <c r="M181" i="4" s="1"/>
  <c r="V676" i="25" s="1"/>
  <c r="AI676" i="25" s="1"/>
  <c r="M141" i="4" a="1"/>
  <c r="M141" i="4" s="1"/>
  <c r="V636" i="25" s="1"/>
  <c r="AI636" i="25" s="1"/>
  <c r="M130" i="4" a="1"/>
  <c r="M130" i="4" s="1"/>
  <c r="V625" i="25" s="1"/>
  <c r="AI625" i="25" s="1"/>
  <c r="M77" i="4" a="1"/>
  <c r="M77" i="4" s="1"/>
  <c r="V572" i="25" s="1"/>
  <c r="AI572" i="25" s="1"/>
  <c r="M66" i="4" a="1"/>
  <c r="M66" i="4" s="1"/>
  <c r="M13" i="4" a="1"/>
  <c r="M13" i="4" s="1"/>
  <c r="V508" i="25" s="1"/>
  <c r="AI508" i="25" s="1"/>
  <c r="L221" i="4"/>
  <c r="U716" i="25" s="1"/>
  <c r="L202" i="4"/>
  <c r="U697" i="25" s="1"/>
  <c r="L163" i="4"/>
  <c r="U658" i="25" s="1"/>
  <c r="L141" i="4"/>
  <c r="U636" i="25" s="1"/>
  <c r="L66" i="4"/>
  <c r="U561" i="25" s="1"/>
  <c r="L24" i="4"/>
  <c r="U519" i="25" s="1"/>
  <c r="K205" i="4" a="1"/>
  <c r="K205" i="4" s="1"/>
  <c r="T700" i="25" s="1"/>
  <c r="K101" i="4" a="1"/>
  <c r="K101" i="4" s="1"/>
  <c r="K85" i="4" a="1"/>
  <c r="K85" i="4" s="1"/>
  <c r="T580" i="25" s="1"/>
  <c r="K69" i="4" a="1"/>
  <c r="K69" i="4" s="1"/>
  <c r="T564" i="25" s="1"/>
  <c r="K53" i="4" a="1"/>
  <c r="K53" i="4" s="1"/>
  <c r="K37" i="4" a="1"/>
  <c r="K37" i="4" s="1"/>
  <c r="K21" i="4" a="1"/>
  <c r="K21" i="4" s="1"/>
  <c r="F446" i="4"/>
  <c r="M446" i="4" a="1"/>
  <c r="M446" i="4" s="1"/>
  <c r="L446" i="4"/>
  <c r="F438" i="4"/>
  <c r="M438" i="4" a="1"/>
  <c r="M438" i="4" s="1"/>
  <c r="K438" i="4" a="1"/>
  <c r="K438" i="4" s="1"/>
  <c r="L438" i="4"/>
  <c r="F430" i="4"/>
  <c r="M430" i="4" a="1"/>
  <c r="M430" i="4" s="1"/>
  <c r="L430" i="4"/>
  <c r="F422" i="4"/>
  <c r="M422" i="4" a="1"/>
  <c r="M422" i="4" s="1"/>
  <c r="K422" i="4" a="1"/>
  <c r="K422" i="4" s="1"/>
  <c r="F414" i="4"/>
  <c r="M414" i="4" a="1"/>
  <c r="M414" i="4" s="1"/>
  <c r="K414" i="4" a="1"/>
  <c r="K414" i="4" s="1"/>
  <c r="L414" i="4"/>
  <c r="F406" i="4"/>
  <c r="M406" i="4" a="1"/>
  <c r="M406" i="4" s="1"/>
  <c r="K406" i="4" a="1"/>
  <c r="K406" i="4" s="1"/>
  <c r="L406" i="4"/>
  <c r="K448" i="4" a="1"/>
  <c r="K448" i="4" s="1"/>
  <c r="L448" i="4"/>
  <c r="L440" i="4"/>
  <c r="K440" i="4" a="1"/>
  <c r="K440" i="4" s="1"/>
  <c r="L96" i="4"/>
  <c r="U591" i="25" s="1"/>
  <c r="K188" i="4" a="1"/>
  <c r="K188" i="4" s="1"/>
  <c r="T683" i="25" s="1"/>
  <c r="K100" i="4" a="1"/>
  <c r="K100" i="4" s="1"/>
  <c r="T595" i="25" s="1"/>
  <c r="K92" i="4" a="1"/>
  <c r="K92" i="4" s="1"/>
  <c r="T587" i="25" s="1"/>
  <c r="K84" i="4" a="1"/>
  <c r="K84" i="4" s="1"/>
  <c r="T579" i="25" s="1"/>
  <c r="K76" i="4" a="1"/>
  <c r="K76" i="4" s="1"/>
  <c r="K68" i="4" a="1"/>
  <c r="K68" i="4" s="1"/>
  <c r="K60" i="4" a="1"/>
  <c r="K60" i="4" s="1"/>
  <c r="T555" i="25" s="1"/>
  <c r="K52" i="4" a="1"/>
  <c r="K52" i="4" s="1"/>
  <c r="T547" i="25" s="1"/>
  <c r="K44" i="4" a="1"/>
  <c r="K44" i="4" s="1"/>
  <c r="K36" i="4" a="1"/>
  <c r="K36" i="4" s="1"/>
  <c r="T531" i="25" s="1"/>
  <c r="K28" i="4" a="1"/>
  <c r="K28" i="4" s="1"/>
  <c r="K20" i="4" a="1"/>
  <c r="K20" i="4" s="1"/>
  <c r="T515" i="25" s="1"/>
  <c r="K12" i="4" a="1"/>
  <c r="K12" i="4" s="1"/>
  <c r="T507" i="25" s="1"/>
  <c r="M435" i="4" a="1"/>
  <c r="M435" i="4" s="1"/>
  <c r="L422" i="4"/>
  <c r="K430" i="4" a="1"/>
  <c r="K430" i="4" s="1"/>
  <c r="L104" i="4"/>
  <c r="U599" i="25" s="1"/>
  <c r="K212" i="4" a="1"/>
  <c r="K212" i="4" s="1"/>
  <c r="T707" i="25" s="1"/>
  <c r="K204" i="4" a="1"/>
  <c r="K204" i="4" s="1"/>
  <c r="T699" i="25" s="1"/>
  <c r="K148" i="4" a="1"/>
  <c r="K148" i="4" s="1"/>
  <c r="T643" i="25" s="1"/>
  <c r="K116" i="4" a="1"/>
  <c r="K116" i="4" s="1"/>
  <c r="T611" i="25" s="1"/>
  <c r="K80" i="4" a="1"/>
  <c r="K80" i="4" s="1"/>
  <c r="K228" i="4" a="1"/>
  <c r="K228" i="4" s="1"/>
  <c r="K220" i="4" a="1"/>
  <c r="K220" i="4" s="1"/>
  <c r="T715" i="25" s="1"/>
  <c r="X414" i="4" a="1"/>
  <c r="X414" i="4" s="1"/>
  <c r="K156" i="4" a="1"/>
  <c r="K156" i="4" s="1"/>
  <c r="T651" i="25" s="1"/>
  <c r="K124" i="4" a="1"/>
  <c r="K124" i="4" s="1"/>
  <c r="T619" i="25" s="1"/>
  <c r="X446" i="4" a="1"/>
  <c r="X446" i="4" s="1"/>
  <c r="X438" i="4" a="1"/>
  <c r="X438" i="4" s="1"/>
  <c r="X430" i="4" a="1"/>
  <c r="X430" i="4" s="1"/>
  <c r="X422" i="4" a="1"/>
  <c r="X422" i="4" s="1"/>
  <c r="L432" i="4"/>
  <c r="M451" i="4" a="1"/>
  <c r="M451" i="4" s="1"/>
  <c r="K424" i="4" a="1"/>
  <c r="K424" i="4" s="1"/>
  <c r="K429" i="4" a="1"/>
  <c r="K429" i="4" s="1"/>
  <c r="K421" i="4" a="1"/>
  <c r="K421" i="4" s="1"/>
  <c r="K413" i="4" a="1"/>
  <c r="K413" i="4" s="1"/>
  <c r="K405" i="4" a="1"/>
  <c r="K405" i="4" s="1"/>
  <c r="M411" i="4" a="1"/>
  <c r="M411" i="4" s="1"/>
  <c r="L451" i="4"/>
  <c r="L419" i="4"/>
  <c r="K411" i="4" a="1"/>
  <c r="K411" i="4" s="1"/>
  <c r="F403" i="4"/>
  <c r="K437" i="4" a="1"/>
  <c r="K437" i="4" s="1"/>
  <c r="L427" i="4"/>
  <c r="L416" i="4"/>
  <c r="K443" i="4" a="1"/>
  <c r="K443" i="4" s="1"/>
  <c r="K427" i="4" a="1"/>
  <c r="K427" i="4" s="1"/>
  <c r="M419" i="4" a="1"/>
  <c r="M419" i="4" s="1"/>
  <c r="K403" i="4" a="1"/>
  <c r="K403" i="4" s="1"/>
  <c r="K449" i="4" a="1"/>
  <c r="K449" i="4" s="1"/>
  <c r="K441" i="4" a="1"/>
  <c r="K441" i="4" s="1"/>
  <c r="K433" i="4" a="1"/>
  <c r="K433" i="4" s="1"/>
  <c r="K425" i="4" a="1"/>
  <c r="K425" i="4" s="1"/>
  <c r="K417" i="4" a="1"/>
  <c r="K417" i="4" s="1"/>
  <c r="K409" i="4" a="1"/>
  <c r="K409" i="4" s="1"/>
  <c r="M443" i="4" a="1"/>
  <c r="M443" i="4" s="1"/>
  <c r="L435" i="4"/>
  <c r="L403" i="4"/>
  <c r="F271" i="4"/>
  <c r="N766" i="25" s="1"/>
  <c r="K271" i="4" a="1"/>
  <c r="K271" i="4" s="1"/>
  <c r="T766" i="25" s="1"/>
  <c r="L217" i="4"/>
  <c r="U712" i="25" s="1"/>
  <c r="F217" i="4"/>
  <c r="N712" i="25" s="1"/>
  <c r="M217" i="4" a="1"/>
  <c r="M217" i="4" s="1"/>
  <c r="V712" i="25" s="1"/>
  <c r="AI712" i="25" s="1"/>
  <c r="K217" i="4" a="1"/>
  <c r="K217" i="4" s="1"/>
  <c r="T712" i="25" s="1"/>
  <c r="X217" i="4" a="1"/>
  <c r="X217" i="4" s="1"/>
  <c r="AG712" i="25" s="1"/>
  <c r="L201" i="4"/>
  <c r="U696" i="25" s="1"/>
  <c r="F201" i="4"/>
  <c r="N696" i="25" s="1"/>
  <c r="K201" i="4" a="1"/>
  <c r="K201" i="4" s="1"/>
  <c r="T696" i="25" s="1"/>
  <c r="M201" i="4" a="1"/>
  <c r="M201" i="4" s="1"/>
  <c r="V696" i="25" s="1"/>
  <c r="AI696" i="25" s="1"/>
  <c r="X201" i="4" a="1"/>
  <c r="X201" i="4" s="1"/>
  <c r="AG696" i="25" s="1"/>
  <c r="L185" i="4"/>
  <c r="U680" i="25" s="1"/>
  <c r="F185" i="4"/>
  <c r="N680" i="25" s="1"/>
  <c r="K185" i="4" a="1"/>
  <c r="K185" i="4" s="1"/>
  <c r="T680" i="25" s="1"/>
  <c r="M185" i="4" a="1"/>
  <c r="M185" i="4" s="1"/>
  <c r="V680" i="25" s="1"/>
  <c r="AI680" i="25" s="1"/>
  <c r="X185" i="4" a="1"/>
  <c r="X185" i="4" s="1"/>
  <c r="AG680" i="25" s="1"/>
  <c r="L169" i="4"/>
  <c r="U664" i="25" s="1"/>
  <c r="F169" i="4"/>
  <c r="N664" i="25" s="1"/>
  <c r="M169" i="4" a="1"/>
  <c r="M169" i="4" s="1"/>
  <c r="V664" i="25" s="1"/>
  <c r="AI664" i="25" s="1"/>
  <c r="X169" i="4" a="1"/>
  <c r="X169" i="4" s="1"/>
  <c r="AG664" i="25" s="1"/>
  <c r="K153" i="4" a="1"/>
  <c r="K153" i="4" s="1"/>
  <c r="T648" i="25" s="1"/>
  <c r="L153" i="4"/>
  <c r="U648" i="25" s="1"/>
  <c r="F153" i="4"/>
  <c r="N648" i="25" s="1"/>
  <c r="M153" i="4" a="1"/>
  <c r="M153" i="4" s="1"/>
  <c r="V648" i="25" s="1"/>
  <c r="AI648" i="25" s="1"/>
  <c r="X153" i="4" a="1"/>
  <c r="X153" i="4" s="1"/>
  <c r="AG648" i="25" s="1"/>
  <c r="K137" i="4" a="1"/>
  <c r="K137" i="4" s="1"/>
  <c r="T632" i="25" s="1"/>
  <c r="L137" i="4"/>
  <c r="U632" i="25" s="1"/>
  <c r="F137" i="4"/>
  <c r="N632" i="25" s="1"/>
  <c r="M137" i="4" a="1"/>
  <c r="M137" i="4" s="1"/>
  <c r="V632" i="25" s="1"/>
  <c r="AI632" i="25" s="1"/>
  <c r="X137" i="4" a="1"/>
  <c r="X137" i="4" s="1"/>
  <c r="AG632" i="25" s="1"/>
  <c r="K121" i="4" a="1"/>
  <c r="K121" i="4" s="1"/>
  <c r="T616" i="25" s="1"/>
  <c r="L121" i="4"/>
  <c r="U616" i="25" s="1"/>
  <c r="F121" i="4"/>
  <c r="N616" i="25" s="1"/>
  <c r="M121" i="4" a="1"/>
  <c r="M121" i="4" s="1"/>
  <c r="V616" i="25" s="1"/>
  <c r="AI616" i="25" s="1"/>
  <c r="X121" i="4" a="1"/>
  <c r="X121" i="4" s="1"/>
  <c r="AG616" i="25" s="1"/>
  <c r="K105" i="4" a="1"/>
  <c r="K105" i="4" s="1"/>
  <c r="T600" i="25" s="1"/>
  <c r="L105" i="4"/>
  <c r="U600" i="25" s="1"/>
  <c r="F105" i="4"/>
  <c r="N600" i="25" s="1"/>
  <c r="M105" i="4" a="1"/>
  <c r="M105" i="4" s="1"/>
  <c r="V600" i="25" s="1"/>
  <c r="AI600" i="25" s="1"/>
  <c r="X105" i="4" a="1"/>
  <c r="X105" i="4" s="1"/>
  <c r="AG600" i="25" s="1"/>
  <c r="K89" i="4" a="1"/>
  <c r="K89" i="4" s="1"/>
  <c r="T584" i="25" s="1"/>
  <c r="L89" i="4"/>
  <c r="U584" i="25" s="1"/>
  <c r="F89" i="4"/>
  <c r="N584" i="25" s="1"/>
  <c r="M89" i="4" a="1"/>
  <c r="M89" i="4" s="1"/>
  <c r="V584" i="25" s="1"/>
  <c r="AI584" i="25" s="1"/>
  <c r="AB584" i="25"/>
  <c r="X89" i="4" a="1"/>
  <c r="X89" i="4" s="1"/>
  <c r="AG584" i="25" s="1"/>
  <c r="K73" i="4" a="1"/>
  <c r="K73" i="4" s="1"/>
  <c r="T568" i="25" s="1"/>
  <c r="L73" i="4"/>
  <c r="U568" i="25" s="1"/>
  <c r="F73" i="4"/>
  <c r="N568" i="25" s="1"/>
  <c r="M73" i="4" a="1"/>
  <c r="M73" i="4" s="1"/>
  <c r="V568" i="25" s="1"/>
  <c r="AI568" i="25" s="1"/>
  <c r="X73" i="4" a="1"/>
  <c r="X73" i="4" s="1"/>
  <c r="AG568" i="25" s="1"/>
  <c r="K65" i="4" a="1"/>
  <c r="K65" i="4" s="1"/>
  <c r="T560" i="25" s="1"/>
  <c r="L65" i="4"/>
  <c r="U560" i="25" s="1"/>
  <c r="F65" i="4"/>
  <c r="N560" i="25" s="1"/>
  <c r="M65" i="4" a="1"/>
  <c r="M65" i="4" s="1"/>
  <c r="V560" i="25" s="1"/>
  <c r="AI560" i="25" s="1"/>
  <c r="AA560" i="25"/>
  <c r="X65" i="4" a="1"/>
  <c r="X65" i="4" s="1"/>
  <c r="AG560" i="25" s="1"/>
  <c r="K49" i="4" a="1"/>
  <c r="K49" i="4" s="1"/>
  <c r="T544" i="25" s="1"/>
  <c r="L49" i="4"/>
  <c r="U544" i="25" s="1"/>
  <c r="F49" i="4"/>
  <c r="N544" i="25" s="1"/>
  <c r="M49" i="4" a="1"/>
  <c r="M49" i="4" s="1"/>
  <c r="V544" i="25" s="1"/>
  <c r="AI544" i="25" s="1"/>
  <c r="K25" i="4" a="1"/>
  <c r="K25" i="4" s="1"/>
  <c r="T520" i="25" s="1"/>
  <c r="L25" i="4"/>
  <c r="U520" i="25" s="1"/>
  <c r="F25" i="4"/>
  <c r="N520" i="25" s="1"/>
  <c r="M25" i="4" a="1"/>
  <c r="M25" i="4" s="1"/>
  <c r="V520" i="25" s="1"/>
  <c r="AI520" i="25" s="1"/>
  <c r="X25" i="4" a="1"/>
  <c r="X25" i="4" s="1"/>
  <c r="AG520" i="25" s="1"/>
  <c r="K9" i="4" a="1"/>
  <c r="K9" i="4" s="1"/>
  <c r="T504" i="25" s="1"/>
  <c r="L9" i="4"/>
  <c r="U504" i="25" s="1"/>
  <c r="F9" i="4"/>
  <c r="N504" i="25" s="1"/>
  <c r="M9" i="4" a="1"/>
  <c r="M9" i="4" s="1"/>
  <c r="V504" i="25" s="1"/>
  <c r="AI504" i="25" s="1"/>
  <c r="X9" i="4" a="1"/>
  <c r="X9" i="4" s="1"/>
  <c r="AG504" i="25" s="1"/>
  <c r="L207" i="4"/>
  <c r="U702" i="25" s="1"/>
  <c r="K207" i="4" a="1"/>
  <c r="K207" i="4" s="1"/>
  <c r="L191" i="4"/>
  <c r="U686" i="25" s="1"/>
  <c r="K191" i="4" a="1"/>
  <c r="K191" i="4" s="1"/>
  <c r="T686" i="25" s="1"/>
  <c r="L175" i="4"/>
  <c r="U670" i="25" s="1"/>
  <c r="K175" i="4" a="1"/>
  <c r="K175" i="4" s="1"/>
  <c r="T670" i="25" s="1"/>
  <c r="L167" i="4"/>
  <c r="U662" i="25" s="1"/>
  <c r="K167" i="4" a="1"/>
  <c r="K167" i="4" s="1"/>
  <c r="T662" i="25" s="1"/>
  <c r="L143" i="4"/>
  <c r="U638" i="25" s="1"/>
  <c r="K143" i="4" a="1"/>
  <c r="K143" i="4" s="1"/>
  <c r="L119" i="4"/>
  <c r="U614" i="25" s="1"/>
  <c r="K119" i="4" a="1"/>
  <c r="K119" i="4" s="1"/>
  <c r="L103" i="4"/>
  <c r="U598" i="25" s="1"/>
  <c r="K103" i="4" a="1"/>
  <c r="K103" i="4" s="1"/>
  <c r="T598" i="25" s="1"/>
  <c r="L79" i="4"/>
  <c r="U574" i="25" s="1"/>
  <c r="K79" i="4" a="1"/>
  <c r="K79" i="4" s="1"/>
  <c r="L63" i="4"/>
  <c r="U558" i="25" s="1"/>
  <c r="K63" i="4" a="1"/>
  <c r="K63" i="4" s="1"/>
  <c r="T558" i="25" s="1"/>
  <c r="L47" i="4"/>
  <c r="U542" i="25" s="1"/>
  <c r="K47" i="4" a="1"/>
  <c r="K47" i="4" s="1"/>
  <c r="T542" i="25" s="1"/>
  <c r="L39" i="4"/>
  <c r="U534" i="25" s="1"/>
  <c r="K39" i="4" a="1"/>
  <c r="K39" i="4" s="1"/>
  <c r="T534" i="25" s="1"/>
  <c r="L23" i="4"/>
  <c r="U518" i="25" s="1"/>
  <c r="K23" i="4" a="1"/>
  <c r="K23" i="4" s="1"/>
  <c r="Z726" i="25"/>
  <c r="X271" i="4" a="1"/>
  <c r="X271" i="4" s="1"/>
  <c r="AG766" i="25" s="1"/>
  <c r="X239" i="4" a="1"/>
  <c r="X239" i="4" s="1"/>
  <c r="AG734" i="25" s="1"/>
  <c r="K239" i="4" a="1"/>
  <c r="K239" i="4" s="1"/>
  <c r="T734" i="25" s="1"/>
  <c r="K279" i="4" a="1"/>
  <c r="K279" i="4" s="1"/>
  <c r="T774" i="25" s="1"/>
  <c r="K255" i="4" a="1"/>
  <c r="K255" i="4" s="1"/>
  <c r="T750" i="25" s="1"/>
  <c r="L225" i="4"/>
  <c r="U720" i="25" s="1"/>
  <c r="F225" i="4"/>
  <c r="N720" i="25" s="1"/>
  <c r="K225" i="4" a="1"/>
  <c r="K225" i="4" s="1"/>
  <c r="T720" i="25" s="1"/>
  <c r="M225" i="4" a="1"/>
  <c r="M225" i="4" s="1"/>
  <c r="V720" i="25" s="1"/>
  <c r="AI720" i="25" s="1"/>
  <c r="X225" i="4" a="1"/>
  <c r="X225" i="4" s="1"/>
  <c r="AG720" i="25" s="1"/>
  <c r="L209" i="4"/>
  <c r="U704" i="25" s="1"/>
  <c r="F209" i="4"/>
  <c r="N704" i="25" s="1"/>
  <c r="K209" i="4" a="1"/>
  <c r="K209" i="4" s="1"/>
  <c r="T704" i="25" s="1"/>
  <c r="M209" i="4" a="1"/>
  <c r="M209" i="4" s="1"/>
  <c r="V704" i="25" s="1"/>
  <c r="AI704" i="25" s="1"/>
  <c r="X209" i="4" a="1"/>
  <c r="X209" i="4" s="1"/>
  <c r="AG704" i="25" s="1"/>
  <c r="L193" i="4"/>
  <c r="U688" i="25" s="1"/>
  <c r="F193" i="4"/>
  <c r="N688" i="25" s="1"/>
  <c r="K193" i="4" a="1"/>
  <c r="K193" i="4" s="1"/>
  <c r="T688" i="25" s="1"/>
  <c r="M193" i="4" a="1"/>
  <c r="M193" i="4" s="1"/>
  <c r="V688" i="25" s="1"/>
  <c r="AI688" i="25" s="1"/>
  <c r="X193" i="4" a="1"/>
  <c r="X193" i="4" s="1"/>
  <c r="AG688" i="25" s="1"/>
  <c r="L177" i="4"/>
  <c r="U672" i="25" s="1"/>
  <c r="F177" i="4"/>
  <c r="N672" i="25" s="1"/>
  <c r="K177" i="4" a="1"/>
  <c r="K177" i="4" s="1"/>
  <c r="T672" i="25" s="1"/>
  <c r="M177" i="4" a="1"/>
  <c r="M177" i="4" s="1"/>
  <c r="V672" i="25" s="1"/>
  <c r="AI672" i="25" s="1"/>
  <c r="X177" i="4" a="1"/>
  <c r="X177" i="4" s="1"/>
  <c r="AG672" i="25" s="1"/>
  <c r="L161" i="4"/>
  <c r="U656" i="25" s="1"/>
  <c r="F161" i="4"/>
  <c r="N656" i="25" s="1"/>
  <c r="M161" i="4" a="1"/>
  <c r="M161" i="4" s="1"/>
  <c r="V656" i="25" s="1"/>
  <c r="AI656" i="25" s="1"/>
  <c r="K161" i="4" a="1"/>
  <c r="K161" i="4" s="1"/>
  <c r="T656" i="25" s="1"/>
  <c r="X161" i="4" a="1"/>
  <c r="X161" i="4" s="1"/>
  <c r="AG656" i="25" s="1"/>
  <c r="K145" i="4" a="1"/>
  <c r="K145" i="4" s="1"/>
  <c r="T640" i="25" s="1"/>
  <c r="L145" i="4"/>
  <c r="U640" i="25" s="1"/>
  <c r="F145" i="4"/>
  <c r="N640" i="25" s="1"/>
  <c r="M145" i="4" a="1"/>
  <c r="M145" i="4" s="1"/>
  <c r="V640" i="25" s="1"/>
  <c r="AI640" i="25" s="1"/>
  <c r="X145" i="4" a="1"/>
  <c r="X145" i="4" s="1"/>
  <c r="AG640" i="25" s="1"/>
  <c r="K129" i="4" a="1"/>
  <c r="K129" i="4" s="1"/>
  <c r="T624" i="25" s="1"/>
  <c r="L129" i="4"/>
  <c r="U624" i="25" s="1"/>
  <c r="F129" i="4"/>
  <c r="N624" i="25" s="1"/>
  <c r="M129" i="4" a="1"/>
  <c r="M129" i="4" s="1"/>
  <c r="V624" i="25" s="1"/>
  <c r="AI624" i="25" s="1"/>
  <c r="AA624" i="25"/>
  <c r="AD624" i="25"/>
  <c r="X129" i="4" a="1"/>
  <c r="X129" i="4" s="1"/>
  <c r="AG624" i="25" s="1"/>
  <c r="K113" i="4" a="1"/>
  <c r="K113" i="4" s="1"/>
  <c r="T608" i="25" s="1"/>
  <c r="L113" i="4"/>
  <c r="U608" i="25" s="1"/>
  <c r="F113" i="4"/>
  <c r="N608" i="25" s="1"/>
  <c r="M113" i="4" a="1"/>
  <c r="M113" i="4" s="1"/>
  <c r="V608" i="25" s="1"/>
  <c r="AI608" i="25" s="1"/>
  <c r="X113" i="4" a="1"/>
  <c r="X113" i="4" s="1"/>
  <c r="AG608" i="25" s="1"/>
  <c r="K97" i="4" a="1"/>
  <c r="K97" i="4" s="1"/>
  <c r="T592" i="25" s="1"/>
  <c r="L97" i="4"/>
  <c r="U592" i="25" s="1"/>
  <c r="F97" i="4"/>
  <c r="N592" i="25" s="1"/>
  <c r="M97" i="4" a="1"/>
  <c r="M97" i="4" s="1"/>
  <c r="V592" i="25" s="1"/>
  <c r="AI592" i="25" s="1"/>
  <c r="X97" i="4" a="1"/>
  <c r="X97" i="4" s="1"/>
  <c r="AG592" i="25" s="1"/>
  <c r="K81" i="4" a="1"/>
  <c r="K81" i="4" s="1"/>
  <c r="T576" i="25" s="1"/>
  <c r="L81" i="4"/>
  <c r="U576" i="25" s="1"/>
  <c r="F81" i="4"/>
  <c r="N576" i="25" s="1"/>
  <c r="M81" i="4" a="1"/>
  <c r="M81" i="4" s="1"/>
  <c r="V576" i="25" s="1"/>
  <c r="AI576" i="25" s="1"/>
  <c r="X81" i="4" a="1"/>
  <c r="X81" i="4" s="1"/>
  <c r="AG576" i="25" s="1"/>
  <c r="K57" i="4" a="1"/>
  <c r="K57" i="4" s="1"/>
  <c r="T552" i="25" s="1"/>
  <c r="L57" i="4"/>
  <c r="U552" i="25" s="1"/>
  <c r="F57" i="4"/>
  <c r="N552" i="25" s="1"/>
  <c r="M57" i="4" a="1"/>
  <c r="M57" i="4" s="1"/>
  <c r="V552" i="25" s="1"/>
  <c r="AI552" i="25" s="1"/>
  <c r="X57" i="4" a="1"/>
  <c r="X57" i="4" s="1"/>
  <c r="AG552" i="25" s="1"/>
  <c r="K41" i="4" a="1"/>
  <c r="K41" i="4" s="1"/>
  <c r="T536" i="25" s="1"/>
  <c r="L41" i="4"/>
  <c r="U536" i="25" s="1"/>
  <c r="F41" i="4"/>
  <c r="N536" i="25" s="1"/>
  <c r="M41" i="4" a="1"/>
  <c r="M41" i="4" s="1"/>
  <c r="V536" i="25" s="1"/>
  <c r="AI536" i="25" s="1"/>
  <c r="X41" i="4" a="1"/>
  <c r="X41" i="4" s="1"/>
  <c r="AG536" i="25" s="1"/>
  <c r="K33" i="4" a="1"/>
  <c r="K33" i="4" s="1"/>
  <c r="T528" i="25" s="1"/>
  <c r="L33" i="4"/>
  <c r="U528" i="25" s="1"/>
  <c r="F33" i="4"/>
  <c r="N528" i="25" s="1"/>
  <c r="M33" i="4" a="1"/>
  <c r="M33" i="4" s="1"/>
  <c r="V528" i="25" s="1"/>
  <c r="AI528" i="25" s="1"/>
  <c r="AC528" i="25"/>
  <c r="X33" i="4" a="1"/>
  <c r="X33" i="4" s="1"/>
  <c r="AG528" i="25" s="1"/>
  <c r="K17" i="4" a="1"/>
  <c r="K17" i="4" s="1"/>
  <c r="T512" i="25" s="1"/>
  <c r="L17" i="4"/>
  <c r="U512" i="25" s="1"/>
  <c r="F17" i="4"/>
  <c r="N512" i="25" s="1"/>
  <c r="M17" i="4" a="1"/>
  <c r="M17" i="4" s="1"/>
  <c r="V512" i="25" s="1"/>
  <c r="AI512" i="25" s="1"/>
  <c r="L215" i="4"/>
  <c r="U710" i="25" s="1"/>
  <c r="K215" i="4" a="1"/>
  <c r="K215" i="4" s="1"/>
  <c r="L199" i="4"/>
  <c r="U694" i="25" s="1"/>
  <c r="K199" i="4" a="1"/>
  <c r="K199" i="4" s="1"/>
  <c r="T694" i="25" s="1"/>
  <c r="L183" i="4"/>
  <c r="U678" i="25" s="1"/>
  <c r="K183" i="4" a="1"/>
  <c r="K183" i="4" s="1"/>
  <c r="L159" i="4"/>
  <c r="U654" i="25" s="1"/>
  <c r="K159" i="4" a="1"/>
  <c r="K159" i="4" s="1"/>
  <c r="L135" i="4"/>
  <c r="U630" i="25" s="1"/>
  <c r="K135" i="4" a="1"/>
  <c r="K135" i="4" s="1"/>
  <c r="T630" i="25" s="1"/>
  <c r="L111" i="4"/>
  <c r="U606" i="25" s="1"/>
  <c r="K111" i="4" a="1"/>
  <c r="K111" i="4" s="1"/>
  <c r="T606" i="25" s="1"/>
  <c r="L95" i="4"/>
  <c r="U590" i="25" s="1"/>
  <c r="K95" i="4" a="1"/>
  <c r="K95" i="4" s="1"/>
  <c r="L87" i="4"/>
  <c r="U582" i="25" s="1"/>
  <c r="K87" i="4" a="1"/>
  <c r="K87" i="4" s="1"/>
  <c r="L71" i="4"/>
  <c r="U566" i="25" s="1"/>
  <c r="K71" i="4" a="1"/>
  <c r="K71" i="4" s="1"/>
  <c r="T566" i="25" s="1"/>
  <c r="L55" i="4"/>
  <c r="U550" i="25" s="1"/>
  <c r="K55" i="4" a="1"/>
  <c r="K55" i="4" s="1"/>
  <c r="L31" i="4"/>
  <c r="U526" i="25" s="1"/>
  <c r="K31" i="4" a="1"/>
  <c r="K31" i="4" s="1"/>
  <c r="L15" i="4"/>
  <c r="U510" i="25" s="1"/>
  <c r="K15" i="4" a="1"/>
  <c r="K15" i="4" s="1"/>
  <c r="X279" i="4" a="1"/>
  <c r="X279" i="4" s="1"/>
  <c r="AG774" i="25" s="1"/>
  <c r="AB742" i="25"/>
  <c r="X335" i="4" a="1"/>
  <c r="X335" i="4" s="1"/>
  <c r="AG830" i="25" s="1"/>
  <c r="X327" i="4" a="1"/>
  <c r="X327" i="4" s="1"/>
  <c r="AG822" i="25" s="1"/>
  <c r="K303" i="4" a="1"/>
  <c r="K303" i="4" s="1"/>
  <c r="T798" i="25" s="1"/>
  <c r="F338" i="4"/>
  <c r="N833" i="25" s="1"/>
  <c r="F314" i="4"/>
  <c r="N809" i="25" s="1"/>
  <c r="F319" i="4"/>
  <c r="N814" i="25" s="1"/>
  <c r="K319" i="4" a="1"/>
  <c r="K319" i="4" s="1"/>
  <c r="T814" i="25" s="1"/>
  <c r="L127" i="4"/>
  <c r="U622" i="25" s="1"/>
  <c r="K127" i="4" a="1"/>
  <c r="K127" i="4" s="1"/>
  <c r="T622" i="25" s="1"/>
  <c r="X319" i="4" a="1"/>
  <c r="X319" i="4" s="1"/>
  <c r="AG814" i="25" s="1"/>
  <c r="X263" i="4" a="1"/>
  <c r="X263" i="4" s="1"/>
  <c r="AG758" i="25" s="1"/>
  <c r="X231" i="4" a="1"/>
  <c r="X231" i="4" s="1"/>
  <c r="AG726" i="25" s="1"/>
  <c r="AA742" i="25"/>
  <c r="X311" i="4" a="1"/>
  <c r="X311" i="4" s="1"/>
  <c r="AG806" i="25" s="1"/>
  <c r="F289" i="4"/>
  <c r="N784" i="25" s="1"/>
  <c r="F247" i="4"/>
  <c r="N742" i="25" s="1"/>
  <c r="L322" i="4"/>
  <c r="U817" i="25" s="1"/>
  <c r="M322" i="4" a="1"/>
  <c r="M322" i="4" s="1"/>
  <c r="V817" i="25" s="1"/>
  <c r="AI817" i="25" s="1"/>
  <c r="F306" i="4"/>
  <c r="N801" i="25" s="1"/>
  <c r="K306" i="4" a="1"/>
  <c r="K306" i="4" s="1"/>
  <c r="F298" i="4"/>
  <c r="N793" i="25" s="1"/>
  <c r="M298" i="4" a="1"/>
  <c r="M298" i="4" s="1"/>
  <c r="V793" i="25" s="1"/>
  <c r="AI793" i="25" s="1"/>
  <c r="F290" i="4"/>
  <c r="N785" i="25" s="1"/>
  <c r="L290" i="4"/>
  <c r="U785" i="25" s="1"/>
  <c r="K290" i="4" a="1"/>
  <c r="K290" i="4" s="1"/>
  <c r="T785" i="25" s="1"/>
  <c r="K282" i="4" a="1"/>
  <c r="K282" i="4" s="1"/>
  <c r="F282" i="4"/>
  <c r="N777" i="25" s="1"/>
  <c r="F266" i="4"/>
  <c r="N761" i="25" s="1"/>
  <c r="K266" i="4" a="1"/>
  <c r="K266" i="4" s="1"/>
  <c r="L250" i="4"/>
  <c r="U745" i="25" s="1"/>
  <c r="K250" i="4" a="1"/>
  <c r="K250" i="4" s="1"/>
  <c r="F242" i="4"/>
  <c r="N737" i="25" s="1"/>
  <c r="K242" i="4" a="1"/>
  <c r="K242" i="4" s="1"/>
  <c r="F234" i="4"/>
  <c r="N729" i="25" s="1"/>
  <c r="L234" i="4"/>
  <c r="U729" i="25" s="1"/>
  <c r="X17" i="4" a="1"/>
  <c r="X17" i="4" s="1"/>
  <c r="AG512" i="25" s="1"/>
  <c r="L223" i="4"/>
  <c r="U718" i="25" s="1"/>
  <c r="K223" i="4" a="1"/>
  <c r="K223" i="4" s="1"/>
  <c r="X303" i="4" a="1"/>
  <c r="X303" i="4" s="1"/>
  <c r="AG798" i="25" s="1"/>
  <c r="X255" i="4" a="1"/>
  <c r="X255" i="4" s="1"/>
  <c r="AG750" i="25" s="1"/>
  <c r="F311" i="4"/>
  <c r="N806" i="25" s="1"/>
  <c r="K336" i="4" a="1"/>
  <c r="K336" i="4" s="1"/>
  <c r="T831" i="25" s="1"/>
  <c r="L336" i="4"/>
  <c r="U831" i="25" s="1"/>
  <c r="L328" i="4"/>
  <c r="U823" i="25" s="1"/>
  <c r="X49" i="4" a="1"/>
  <c r="X49" i="4" s="1"/>
  <c r="AG544" i="25" s="1"/>
  <c r="L151" i="4"/>
  <c r="U646" i="25" s="1"/>
  <c r="K151" i="4" a="1"/>
  <c r="K151" i="4" s="1"/>
  <c r="X295" i="4" a="1"/>
  <c r="X295" i="4" s="1"/>
  <c r="AG790" i="25" s="1"/>
  <c r="Z816" i="25"/>
  <c r="M330" i="4" a="1"/>
  <c r="M330" i="4" s="1"/>
  <c r="M290" i="4" a="1"/>
  <c r="M290" i="4" s="1"/>
  <c r="V785" i="25" s="1"/>
  <c r="AI785" i="25" s="1"/>
  <c r="L280" i="4"/>
  <c r="U775" i="25" s="1"/>
  <c r="K322" i="4" a="1"/>
  <c r="K322" i="4" s="1"/>
  <c r="T817" i="25" s="1"/>
  <c r="L317" i="4"/>
  <c r="U812" i="25" s="1"/>
  <c r="L309" i="4"/>
  <c r="U804" i="25" s="1"/>
  <c r="L301" i="4"/>
  <c r="U796" i="25" s="1"/>
  <c r="L293" i="4"/>
  <c r="U788" i="25" s="1"/>
  <c r="F499" i="4"/>
  <c r="N947" i="25" s="1"/>
  <c r="M947" i="25"/>
  <c r="F491" i="4"/>
  <c r="N939" i="25" s="1"/>
  <c r="M939" i="25"/>
  <c r="F483" i="4"/>
  <c r="N931" i="25" s="1"/>
  <c r="M931" i="25"/>
  <c r="F475" i="4"/>
  <c r="N923" i="25" s="1"/>
  <c r="M923" i="25"/>
  <c r="F467" i="4"/>
  <c r="N915" i="25" s="1"/>
  <c r="M915" i="25"/>
  <c r="F459" i="4"/>
  <c r="N907" i="25" s="1"/>
  <c r="M907" i="25"/>
  <c r="F401" i="4"/>
  <c r="N899" i="25" s="1"/>
  <c r="M899" i="25"/>
  <c r="F393" i="4"/>
  <c r="N891" i="25" s="1"/>
  <c r="M891" i="25"/>
  <c r="F385" i="4"/>
  <c r="N883" i="25" s="1"/>
  <c r="M883" i="25"/>
  <c r="F377" i="4"/>
  <c r="N875" i="25" s="1"/>
  <c r="M875" i="25"/>
  <c r="F369" i="4"/>
  <c r="N867" i="25" s="1"/>
  <c r="M867" i="25"/>
  <c r="F361" i="4"/>
  <c r="N859" i="25" s="1"/>
  <c r="M859" i="25"/>
  <c r="F353" i="4"/>
  <c r="N851" i="25" s="1"/>
  <c r="M851" i="25"/>
  <c r="F345" i="4"/>
  <c r="N843" i="25" s="1"/>
  <c r="M843" i="25"/>
  <c r="M334" i="4" a="1"/>
  <c r="M334" i="4" s="1"/>
  <c r="V829" i="25" s="1"/>
  <c r="AI829" i="25" s="1"/>
  <c r="L334" i="4"/>
  <c r="U829" i="25" s="1"/>
  <c r="K334" i="4" a="1"/>
  <c r="K334" i="4" s="1"/>
  <c r="T829" i="25" s="1"/>
  <c r="F334" i="4"/>
  <c r="N829" i="25" s="1"/>
  <c r="M326" i="4" a="1"/>
  <c r="M326" i="4" s="1"/>
  <c r="V821" i="25" s="1"/>
  <c r="AI821" i="25" s="1"/>
  <c r="L326" i="4"/>
  <c r="U821" i="25" s="1"/>
  <c r="K326" i="4" a="1"/>
  <c r="K326" i="4" s="1"/>
  <c r="T821" i="25" s="1"/>
  <c r="F326" i="4"/>
  <c r="N821" i="25" s="1"/>
  <c r="M318" i="4" a="1"/>
  <c r="M318" i="4" s="1"/>
  <c r="V813" i="25" s="1"/>
  <c r="AI813" i="25" s="1"/>
  <c r="L318" i="4"/>
  <c r="U813" i="25" s="1"/>
  <c r="K318" i="4" a="1"/>
  <c r="K318" i="4" s="1"/>
  <c r="T813" i="25" s="1"/>
  <c r="F318" i="4"/>
  <c r="N813" i="25" s="1"/>
  <c r="AA813" i="25"/>
  <c r="M310" i="4" a="1"/>
  <c r="M310" i="4" s="1"/>
  <c r="V805" i="25" s="1"/>
  <c r="AI805" i="25" s="1"/>
  <c r="L310" i="4"/>
  <c r="U805" i="25" s="1"/>
  <c r="K310" i="4" a="1"/>
  <c r="K310" i="4" s="1"/>
  <c r="T805" i="25" s="1"/>
  <c r="F310" i="4"/>
  <c r="N805" i="25" s="1"/>
  <c r="M302" i="4" a="1"/>
  <c r="M302" i="4" s="1"/>
  <c r="V797" i="25" s="1"/>
  <c r="AI797" i="25" s="1"/>
  <c r="L302" i="4"/>
  <c r="U797" i="25" s="1"/>
  <c r="K302" i="4" a="1"/>
  <c r="K302" i="4" s="1"/>
  <c r="T797" i="25" s="1"/>
  <c r="F302" i="4"/>
  <c r="N797" i="25" s="1"/>
  <c r="M294" i="4" a="1"/>
  <c r="M294" i="4" s="1"/>
  <c r="V789" i="25" s="1"/>
  <c r="AI789" i="25" s="1"/>
  <c r="L294" i="4"/>
  <c r="U789" i="25" s="1"/>
  <c r="K294" i="4" a="1"/>
  <c r="K294" i="4" s="1"/>
  <c r="T789" i="25" s="1"/>
  <c r="F294" i="4"/>
  <c r="N789" i="25" s="1"/>
  <c r="M286" i="4" a="1"/>
  <c r="M286" i="4" s="1"/>
  <c r="V781" i="25" s="1"/>
  <c r="AI781" i="25" s="1"/>
  <c r="L286" i="4"/>
  <c r="U781" i="25" s="1"/>
  <c r="K286" i="4" a="1"/>
  <c r="K286" i="4" s="1"/>
  <c r="T781" i="25" s="1"/>
  <c r="F286" i="4"/>
  <c r="N781" i="25" s="1"/>
  <c r="M278" i="4" a="1"/>
  <c r="M278" i="4" s="1"/>
  <c r="V773" i="25" s="1"/>
  <c r="AI773" i="25" s="1"/>
  <c r="L278" i="4"/>
  <c r="U773" i="25" s="1"/>
  <c r="K278" i="4" a="1"/>
  <c r="K278" i="4" s="1"/>
  <c r="T773" i="25" s="1"/>
  <c r="F278" i="4"/>
  <c r="N773" i="25" s="1"/>
  <c r="M270" i="4" a="1"/>
  <c r="M270" i="4" s="1"/>
  <c r="V765" i="25" s="1"/>
  <c r="AI765" i="25" s="1"/>
  <c r="L270" i="4"/>
  <c r="U765" i="25" s="1"/>
  <c r="K270" i="4" a="1"/>
  <c r="K270" i="4" s="1"/>
  <c r="T765" i="25" s="1"/>
  <c r="F270" i="4"/>
  <c r="N765" i="25" s="1"/>
  <c r="M262" i="4" a="1"/>
  <c r="M262" i="4" s="1"/>
  <c r="V757" i="25" s="1"/>
  <c r="AI757" i="25" s="1"/>
  <c r="L262" i="4"/>
  <c r="U757" i="25" s="1"/>
  <c r="K262" i="4" a="1"/>
  <c r="K262" i="4" s="1"/>
  <c r="T757" i="25" s="1"/>
  <c r="F262" i="4"/>
  <c r="N757" i="25" s="1"/>
  <c r="M254" i="4" a="1"/>
  <c r="M254" i="4" s="1"/>
  <c r="V749" i="25" s="1"/>
  <c r="AI749" i="25" s="1"/>
  <c r="L254" i="4"/>
  <c r="U749" i="25" s="1"/>
  <c r="K254" i="4" a="1"/>
  <c r="K254" i="4" s="1"/>
  <c r="T749" i="25" s="1"/>
  <c r="F254" i="4"/>
  <c r="N749" i="25" s="1"/>
  <c r="M246" i="4" a="1"/>
  <c r="M246" i="4" s="1"/>
  <c r="V741" i="25" s="1"/>
  <c r="AI741" i="25" s="1"/>
  <c r="L246" i="4"/>
  <c r="U741" i="25" s="1"/>
  <c r="K246" i="4" a="1"/>
  <c r="K246" i="4" s="1"/>
  <c r="T741" i="25" s="1"/>
  <c r="F246" i="4"/>
  <c r="N741" i="25" s="1"/>
  <c r="M238" i="4" a="1"/>
  <c r="M238" i="4" s="1"/>
  <c r="V733" i="25" s="1"/>
  <c r="AI733" i="25" s="1"/>
  <c r="L238" i="4"/>
  <c r="U733" i="25" s="1"/>
  <c r="K238" i="4" a="1"/>
  <c r="K238" i="4" s="1"/>
  <c r="T733" i="25" s="1"/>
  <c r="F238" i="4"/>
  <c r="N733" i="25" s="1"/>
  <c r="M230" i="4" a="1"/>
  <c r="M230" i="4" s="1"/>
  <c r="V725" i="25" s="1"/>
  <c r="AI725" i="25" s="1"/>
  <c r="L230" i="4"/>
  <c r="U725" i="25" s="1"/>
  <c r="K230" i="4" a="1"/>
  <c r="K230" i="4" s="1"/>
  <c r="T725" i="25" s="1"/>
  <c r="F230" i="4"/>
  <c r="N725" i="25" s="1"/>
  <c r="L333" i="4"/>
  <c r="U828" i="25" s="1"/>
  <c r="K333" i="4" a="1"/>
  <c r="K333" i="4" s="1"/>
  <c r="L325" i="4"/>
  <c r="U820" i="25" s="1"/>
  <c r="K325" i="4" a="1"/>
  <c r="K325" i="4" s="1"/>
  <c r="T820" i="25" s="1"/>
  <c r="Z795" i="25"/>
  <c r="Z755" i="25"/>
  <c r="L316" i="4"/>
  <c r="U811" i="25" s="1"/>
  <c r="K321" i="4" a="1"/>
  <c r="K321" i="4" s="1"/>
  <c r="T816" i="25" s="1"/>
  <c r="L321" i="4"/>
  <c r="U816" i="25" s="1"/>
  <c r="M321" i="4" a="1"/>
  <c r="M321" i="4" s="1"/>
  <c r="V816" i="25" s="1"/>
  <c r="AI816" i="25" s="1"/>
  <c r="K281" i="4" a="1"/>
  <c r="K281" i="4" s="1"/>
  <c r="T776" i="25" s="1"/>
  <c r="L281" i="4"/>
  <c r="U776" i="25" s="1"/>
  <c r="M281" i="4" a="1"/>
  <c r="M281" i="4" s="1"/>
  <c r="V776" i="25" s="1"/>
  <c r="AI776" i="25" s="1"/>
  <c r="K241" i="4" a="1"/>
  <c r="K241" i="4" s="1"/>
  <c r="T736" i="25" s="1"/>
  <c r="L241" i="4"/>
  <c r="U736" i="25" s="1"/>
  <c r="M241" i="4" a="1"/>
  <c r="M241" i="4" s="1"/>
  <c r="V736" i="25" s="1"/>
  <c r="AI736" i="25" s="1"/>
  <c r="F332" i="4"/>
  <c r="N827" i="25" s="1"/>
  <c r="M332" i="4" a="1"/>
  <c r="M332" i="4" s="1"/>
  <c r="V827" i="25" s="1"/>
  <c r="AI827" i="25" s="1"/>
  <c r="K332" i="4" a="1"/>
  <c r="K332" i="4" s="1"/>
  <c r="T827" i="25" s="1"/>
  <c r="L332" i="4"/>
  <c r="U827" i="25" s="1"/>
  <c r="F292" i="4"/>
  <c r="N787" i="25" s="1"/>
  <c r="M292" i="4" a="1"/>
  <c r="M292" i="4" s="1"/>
  <c r="V787" i="25" s="1"/>
  <c r="AI787" i="25" s="1"/>
  <c r="L292" i="4"/>
  <c r="U787" i="25" s="1"/>
  <c r="K292" i="4" a="1"/>
  <c r="K292" i="4" s="1"/>
  <c r="T787" i="25" s="1"/>
  <c r="L339" i="4"/>
  <c r="U834" i="25" s="1"/>
  <c r="K339" i="4" a="1"/>
  <c r="K339" i="4" s="1"/>
  <c r="T834" i="25" s="1"/>
  <c r="L307" i="4"/>
  <c r="U802" i="25" s="1"/>
  <c r="K307" i="4" a="1"/>
  <c r="K307" i="4" s="1"/>
  <c r="T802" i="25" s="1"/>
  <c r="L251" i="4"/>
  <c r="U746" i="25" s="1"/>
  <c r="K251" i="4" a="1"/>
  <c r="K251" i="4" s="1"/>
  <c r="T746" i="25" s="1"/>
  <c r="AD797" i="25"/>
  <c r="AD757" i="25"/>
  <c r="K337" i="4" a="1"/>
  <c r="K337" i="4" s="1"/>
  <c r="T832" i="25" s="1"/>
  <c r="L337" i="4"/>
  <c r="U832" i="25" s="1"/>
  <c r="M337" i="4" a="1"/>
  <c r="M337" i="4" s="1"/>
  <c r="V832" i="25" s="1"/>
  <c r="AI832" i="25" s="1"/>
  <c r="K297" i="4" a="1"/>
  <c r="K297" i="4" s="1"/>
  <c r="T792" i="25" s="1"/>
  <c r="L297" i="4"/>
  <c r="U792" i="25" s="1"/>
  <c r="M297" i="4" a="1"/>
  <c r="M297" i="4" s="1"/>
  <c r="V792" i="25" s="1"/>
  <c r="AI792" i="25" s="1"/>
  <c r="K257" i="4" a="1"/>
  <c r="K257" i="4" s="1"/>
  <c r="T752" i="25" s="1"/>
  <c r="L257" i="4"/>
  <c r="U752" i="25" s="1"/>
  <c r="M257" i="4" a="1"/>
  <c r="M257" i="4" s="1"/>
  <c r="V752" i="25" s="1"/>
  <c r="AI752" i="25" s="1"/>
  <c r="F324" i="4"/>
  <c r="N819" i="25" s="1"/>
  <c r="M324" i="4" a="1"/>
  <c r="M324" i="4" s="1"/>
  <c r="V819" i="25" s="1"/>
  <c r="AI819" i="25" s="1"/>
  <c r="L324" i="4"/>
  <c r="U819" i="25" s="1"/>
  <c r="K324" i="4" a="1"/>
  <c r="K324" i="4" s="1"/>
  <c r="T819" i="25" s="1"/>
  <c r="F276" i="4"/>
  <c r="N771" i="25" s="1"/>
  <c r="M276" i="4" a="1"/>
  <c r="M276" i="4" s="1"/>
  <c r="V771" i="25" s="1"/>
  <c r="AI771" i="25" s="1"/>
  <c r="L276" i="4"/>
  <c r="U771" i="25" s="1"/>
  <c r="K276" i="4" a="1"/>
  <c r="K276" i="4" s="1"/>
  <c r="T771" i="25" s="1"/>
  <c r="F244" i="4"/>
  <c r="N739" i="25" s="1"/>
  <c r="M244" i="4" a="1"/>
  <c r="M244" i="4" s="1"/>
  <c r="V739" i="25" s="1"/>
  <c r="AI739" i="25" s="1"/>
  <c r="L244" i="4"/>
  <c r="U739" i="25" s="1"/>
  <c r="K244" i="4" a="1"/>
  <c r="K244" i="4" s="1"/>
  <c r="T739" i="25" s="1"/>
  <c r="L323" i="4"/>
  <c r="U818" i="25" s="1"/>
  <c r="K323" i="4" a="1"/>
  <c r="K323" i="4" s="1"/>
  <c r="T818" i="25" s="1"/>
  <c r="L283" i="4"/>
  <c r="U778" i="25" s="1"/>
  <c r="K283" i="4" a="1"/>
  <c r="K283" i="4" s="1"/>
  <c r="T778" i="25" s="1"/>
  <c r="L243" i="4"/>
  <c r="U738" i="25" s="1"/>
  <c r="K243" i="4" a="1"/>
  <c r="K243" i="4" s="1"/>
  <c r="T738" i="25" s="1"/>
  <c r="K313" i="4" a="1"/>
  <c r="K313" i="4" s="1"/>
  <c r="T808" i="25" s="1"/>
  <c r="L313" i="4"/>
  <c r="U808" i="25" s="1"/>
  <c r="M313" i="4" a="1"/>
  <c r="M313" i="4" s="1"/>
  <c r="V808" i="25" s="1"/>
  <c r="AI808" i="25" s="1"/>
  <c r="K265" i="4" a="1"/>
  <c r="K265" i="4" s="1"/>
  <c r="T760" i="25" s="1"/>
  <c r="L265" i="4"/>
  <c r="U760" i="25" s="1"/>
  <c r="M265" i="4" a="1"/>
  <c r="M265" i="4" s="1"/>
  <c r="V760" i="25" s="1"/>
  <c r="AI760" i="25" s="1"/>
  <c r="F300" i="4"/>
  <c r="N795" i="25" s="1"/>
  <c r="M300" i="4" a="1"/>
  <c r="M300" i="4" s="1"/>
  <c r="V795" i="25" s="1"/>
  <c r="AI795" i="25" s="1"/>
  <c r="K300" i="4" a="1"/>
  <c r="K300" i="4" s="1"/>
  <c r="T795" i="25" s="1"/>
  <c r="L300" i="4"/>
  <c r="U795" i="25" s="1"/>
  <c r="F260" i="4"/>
  <c r="N755" i="25" s="1"/>
  <c r="M260" i="4" a="1"/>
  <c r="M260" i="4" s="1"/>
  <c r="V755" i="25" s="1"/>
  <c r="AI755" i="25" s="1"/>
  <c r="L260" i="4"/>
  <c r="U755" i="25" s="1"/>
  <c r="K260" i="4" a="1"/>
  <c r="K260" i="4" s="1"/>
  <c r="T755" i="25" s="1"/>
  <c r="L331" i="4"/>
  <c r="U826" i="25" s="1"/>
  <c r="K331" i="4" a="1"/>
  <c r="K331" i="4" s="1"/>
  <c r="T826" i="25" s="1"/>
  <c r="L291" i="4"/>
  <c r="U786" i="25" s="1"/>
  <c r="K291" i="4" a="1"/>
  <c r="K291" i="4" s="1"/>
  <c r="L235" i="4"/>
  <c r="U730" i="25" s="1"/>
  <c r="K235" i="4" a="1"/>
  <c r="K235" i="4" s="1"/>
  <c r="T730" i="25" s="1"/>
  <c r="AD811" i="25"/>
  <c r="K329" i="4" a="1"/>
  <c r="K329" i="4" s="1"/>
  <c r="T824" i="25" s="1"/>
  <c r="L329" i="4"/>
  <c r="U824" i="25" s="1"/>
  <c r="M329" i="4" a="1"/>
  <c r="M329" i="4" s="1"/>
  <c r="V824" i="25" s="1"/>
  <c r="AI824" i="25" s="1"/>
  <c r="K289" i="4" a="1"/>
  <c r="K289" i="4" s="1"/>
  <c r="T784" i="25" s="1"/>
  <c r="L289" i="4"/>
  <c r="U784" i="25" s="1"/>
  <c r="M289" i="4" a="1"/>
  <c r="M289" i="4" s="1"/>
  <c r="V784" i="25" s="1"/>
  <c r="AI784" i="25" s="1"/>
  <c r="K249" i="4" a="1"/>
  <c r="K249" i="4" s="1"/>
  <c r="T744" i="25" s="1"/>
  <c r="L249" i="4"/>
  <c r="U744" i="25" s="1"/>
  <c r="M249" i="4" a="1"/>
  <c r="M249" i="4" s="1"/>
  <c r="V744" i="25" s="1"/>
  <c r="AI744" i="25" s="1"/>
  <c r="F340" i="4"/>
  <c r="N835" i="25" s="1"/>
  <c r="M340" i="4" a="1"/>
  <c r="M340" i="4" s="1"/>
  <c r="V835" i="25" s="1"/>
  <c r="AI835" i="25" s="1"/>
  <c r="L340" i="4"/>
  <c r="U835" i="25" s="1"/>
  <c r="K340" i="4" a="1"/>
  <c r="K340" i="4" s="1"/>
  <c r="T835" i="25" s="1"/>
  <c r="F308" i="4"/>
  <c r="N803" i="25" s="1"/>
  <c r="M308" i="4" a="1"/>
  <c r="M308" i="4" s="1"/>
  <c r="V803" i="25" s="1"/>
  <c r="AI803" i="25" s="1"/>
  <c r="K308" i="4" a="1"/>
  <c r="K308" i="4" s="1"/>
  <c r="T803" i="25" s="1"/>
  <c r="L308" i="4"/>
  <c r="U803" i="25" s="1"/>
  <c r="F268" i="4"/>
  <c r="N763" i="25" s="1"/>
  <c r="M268" i="4" a="1"/>
  <c r="M268" i="4" s="1"/>
  <c r="V763" i="25" s="1"/>
  <c r="AI763" i="25" s="1"/>
  <c r="L268" i="4"/>
  <c r="U763" i="25" s="1"/>
  <c r="Z731" i="25"/>
  <c r="F236" i="4"/>
  <c r="N731" i="25" s="1"/>
  <c r="M236" i="4" a="1"/>
  <c r="M236" i="4" s="1"/>
  <c r="V731" i="25" s="1"/>
  <c r="AI731" i="25" s="1"/>
  <c r="L236" i="4"/>
  <c r="U731" i="25" s="1"/>
  <c r="K236" i="4" a="1"/>
  <c r="K236" i="4" s="1"/>
  <c r="T731" i="25" s="1"/>
  <c r="L299" i="4"/>
  <c r="U794" i="25" s="1"/>
  <c r="K299" i="4" a="1"/>
  <c r="K299" i="4" s="1"/>
  <c r="T794" i="25" s="1"/>
  <c r="L259" i="4"/>
  <c r="U754" i="25" s="1"/>
  <c r="K259" i="4" a="1"/>
  <c r="K259" i="4" s="1"/>
  <c r="T754" i="25" s="1"/>
  <c r="X340" i="4" a="1"/>
  <c r="X340" i="4" s="1"/>
  <c r="AG835" i="25" s="1"/>
  <c r="X332" i="4" a="1"/>
  <c r="X332" i="4" s="1"/>
  <c r="AG827" i="25" s="1"/>
  <c r="X324" i="4" a="1"/>
  <c r="X324" i="4" s="1"/>
  <c r="AG819" i="25" s="1"/>
  <c r="X308" i="4" a="1"/>
  <c r="X308" i="4" s="1"/>
  <c r="AG803" i="25" s="1"/>
  <c r="X300" i="4" a="1"/>
  <c r="X300" i="4" s="1"/>
  <c r="AG795" i="25" s="1"/>
  <c r="X292" i="4" a="1"/>
  <c r="X292" i="4" s="1"/>
  <c r="AG787" i="25" s="1"/>
  <c r="X276" i="4" a="1"/>
  <c r="X276" i="4" s="1"/>
  <c r="AG771" i="25" s="1"/>
  <c r="X268" i="4" a="1"/>
  <c r="X268" i="4" s="1"/>
  <c r="AG763" i="25" s="1"/>
  <c r="X260" i="4" a="1"/>
  <c r="X260" i="4" s="1"/>
  <c r="AG755" i="25" s="1"/>
  <c r="X244" i="4" a="1"/>
  <c r="X244" i="4" s="1"/>
  <c r="AG739" i="25" s="1"/>
  <c r="X236" i="4" a="1"/>
  <c r="X236" i="4" s="1"/>
  <c r="AG731" i="25" s="1"/>
  <c r="K305" i="4" a="1"/>
  <c r="K305" i="4" s="1"/>
  <c r="T800" i="25" s="1"/>
  <c r="L305" i="4"/>
  <c r="U800" i="25" s="1"/>
  <c r="M305" i="4" a="1"/>
  <c r="M305" i="4" s="1"/>
  <c r="V800" i="25" s="1"/>
  <c r="AI800" i="25" s="1"/>
  <c r="K273" i="4" a="1"/>
  <c r="K273" i="4" s="1"/>
  <c r="T768" i="25" s="1"/>
  <c r="L273" i="4"/>
  <c r="U768" i="25" s="1"/>
  <c r="M273" i="4" a="1"/>
  <c r="M273" i="4" s="1"/>
  <c r="V768" i="25" s="1"/>
  <c r="AI768" i="25" s="1"/>
  <c r="K233" i="4" a="1"/>
  <c r="K233" i="4" s="1"/>
  <c r="T728" i="25" s="1"/>
  <c r="L233" i="4"/>
  <c r="U728" i="25" s="1"/>
  <c r="M233" i="4" a="1"/>
  <c r="M233" i="4" s="1"/>
  <c r="V728" i="25" s="1"/>
  <c r="AI728" i="25" s="1"/>
  <c r="F316" i="4"/>
  <c r="N811" i="25" s="1"/>
  <c r="M316" i="4" a="1"/>
  <c r="M316" i="4" s="1"/>
  <c r="V811" i="25" s="1"/>
  <c r="AI811" i="25" s="1"/>
  <c r="K316" i="4" a="1"/>
  <c r="K316" i="4" s="1"/>
  <c r="T811" i="25" s="1"/>
  <c r="F284" i="4"/>
  <c r="N779" i="25" s="1"/>
  <c r="M284" i="4" a="1"/>
  <c r="M284" i="4" s="1"/>
  <c r="V779" i="25" s="1"/>
  <c r="AI779" i="25" s="1"/>
  <c r="L284" i="4"/>
  <c r="U779" i="25" s="1"/>
  <c r="K284" i="4" a="1"/>
  <c r="K284" i="4" s="1"/>
  <c r="T779" i="25" s="1"/>
  <c r="F252" i="4"/>
  <c r="N747" i="25" s="1"/>
  <c r="M252" i="4" a="1"/>
  <c r="M252" i="4" s="1"/>
  <c r="V747" i="25" s="1"/>
  <c r="AI747" i="25" s="1"/>
  <c r="L252" i="4"/>
  <c r="U747" i="25" s="1"/>
  <c r="K252" i="4" a="1"/>
  <c r="K252" i="4" s="1"/>
  <c r="T747" i="25" s="1"/>
  <c r="L315" i="4"/>
  <c r="U810" i="25" s="1"/>
  <c r="K315" i="4" a="1"/>
  <c r="K315" i="4" s="1"/>
  <c r="T810" i="25" s="1"/>
  <c r="L275" i="4"/>
  <c r="U770" i="25" s="1"/>
  <c r="K275" i="4" a="1"/>
  <c r="K275" i="4" s="1"/>
  <c r="T770" i="25" s="1"/>
  <c r="L267" i="4"/>
  <c r="U762" i="25" s="1"/>
  <c r="K267" i="4" a="1"/>
  <c r="K267" i="4" s="1"/>
  <c r="T762" i="25" s="1"/>
  <c r="K268" i="4" a="1"/>
  <c r="K268" i="4" s="1"/>
  <c r="T763" i="25" s="1"/>
  <c r="L335" i="4"/>
  <c r="U830" i="25" s="1"/>
  <c r="M335" i="4" a="1"/>
  <c r="M335" i="4" s="1"/>
  <c r="V830" i="25" s="1"/>
  <c r="AI830" i="25" s="1"/>
  <c r="K335" i="4" a="1"/>
  <c r="K335" i="4" s="1"/>
  <c r="T830" i="25" s="1"/>
  <c r="L327" i="4"/>
  <c r="U822" i="25" s="1"/>
  <c r="M327" i="4" a="1"/>
  <c r="M327" i="4" s="1"/>
  <c r="V822" i="25" s="1"/>
  <c r="AI822" i="25" s="1"/>
  <c r="K327" i="4" a="1"/>
  <c r="K327" i="4" s="1"/>
  <c r="T822" i="25" s="1"/>
  <c r="L319" i="4"/>
  <c r="U814" i="25" s="1"/>
  <c r="M319" i="4" a="1"/>
  <c r="M319" i="4" s="1"/>
  <c r="L311" i="4"/>
  <c r="U806" i="25" s="1"/>
  <c r="M311" i="4" a="1"/>
  <c r="M311" i="4" s="1"/>
  <c r="V806" i="25" s="1"/>
  <c r="AI806" i="25" s="1"/>
  <c r="K311" i="4" a="1"/>
  <c r="K311" i="4" s="1"/>
  <c r="T806" i="25" s="1"/>
  <c r="L303" i="4"/>
  <c r="U798" i="25" s="1"/>
  <c r="M303" i="4" a="1"/>
  <c r="M303" i="4" s="1"/>
  <c r="V798" i="25" s="1"/>
  <c r="AI798" i="25" s="1"/>
  <c r="L295" i="4"/>
  <c r="U790" i="25" s="1"/>
  <c r="M295" i="4" a="1"/>
  <c r="M295" i="4" s="1"/>
  <c r="V790" i="25" s="1"/>
  <c r="AI790" i="25" s="1"/>
  <c r="K295" i="4" a="1"/>
  <c r="K295" i="4" s="1"/>
  <c r="T790" i="25" s="1"/>
  <c r="L287" i="4"/>
  <c r="U782" i="25" s="1"/>
  <c r="M287" i="4" a="1"/>
  <c r="M287" i="4" s="1"/>
  <c r="V782" i="25" s="1"/>
  <c r="AI782" i="25" s="1"/>
  <c r="L279" i="4"/>
  <c r="U774" i="25" s="1"/>
  <c r="M279" i="4" a="1"/>
  <c r="M279" i="4" s="1"/>
  <c r="V774" i="25" s="1"/>
  <c r="AI774" i="25" s="1"/>
  <c r="L271" i="4"/>
  <c r="U766" i="25" s="1"/>
  <c r="M271" i="4" a="1"/>
  <c r="M271" i="4" s="1"/>
  <c r="V766" i="25" s="1"/>
  <c r="AI766" i="25" s="1"/>
  <c r="L263" i="4"/>
  <c r="U758" i="25" s="1"/>
  <c r="M263" i="4" a="1"/>
  <c r="M263" i="4" s="1"/>
  <c r="V758" i="25" s="1"/>
  <c r="AI758" i="25" s="1"/>
  <c r="K263" i="4" a="1"/>
  <c r="K263" i="4" s="1"/>
  <c r="T758" i="25" s="1"/>
  <c r="L255" i="4"/>
  <c r="U750" i="25" s="1"/>
  <c r="M255" i="4" a="1"/>
  <c r="M255" i="4" s="1"/>
  <c r="V750" i="25" s="1"/>
  <c r="AI750" i="25" s="1"/>
  <c r="L247" i="4"/>
  <c r="U742" i="25" s="1"/>
  <c r="M247" i="4" a="1"/>
  <c r="M247" i="4" s="1"/>
  <c r="V742" i="25" s="1"/>
  <c r="AI742" i="25" s="1"/>
  <c r="L239" i="4"/>
  <c r="U734" i="25" s="1"/>
  <c r="M239" i="4" a="1"/>
  <c r="M239" i="4" s="1"/>
  <c r="V734" i="25" s="1"/>
  <c r="AI734" i="25" s="1"/>
  <c r="L231" i="4"/>
  <c r="U726" i="25" s="1"/>
  <c r="M231" i="4" a="1"/>
  <c r="M231" i="4" s="1"/>
  <c r="V726" i="25" s="1"/>
  <c r="AI726" i="25" s="1"/>
  <c r="K231" i="4" a="1"/>
  <c r="K231" i="4" s="1"/>
  <c r="T726" i="25" s="1"/>
  <c r="K247" i="4" a="1"/>
  <c r="K247" i="4" s="1"/>
  <c r="T742" i="25" s="1"/>
  <c r="K287" i="4" a="1"/>
  <c r="K287" i="4" s="1"/>
  <c r="T782" i="25" s="1"/>
  <c r="K317" i="4" a="1"/>
  <c r="K317" i="4" s="1"/>
  <c r="K309" i="4" a="1"/>
  <c r="K309" i="4" s="1"/>
  <c r="K301" i="4" a="1"/>
  <c r="K301" i="4" s="1"/>
  <c r="K293" i="4" a="1"/>
  <c r="K293" i="4" s="1"/>
  <c r="T788" i="25" s="1"/>
  <c r="T32" i="14" a="1"/>
  <c r="T32" i="14" s="1"/>
  <c r="V1061" i="25"/>
  <c r="AI1061" i="25" s="1"/>
  <c r="T37" i="14" a="1"/>
  <c r="T37" i="14" s="1"/>
  <c r="C79" i="18"/>
  <c r="B99" i="25"/>
  <c r="B83" i="25"/>
  <c r="B67" i="25"/>
  <c r="B51" i="25"/>
  <c r="B35" i="25"/>
  <c r="B19" i="25"/>
  <c r="B95" i="25"/>
  <c r="B87" i="25"/>
  <c r="B79" i="25"/>
  <c r="B71" i="25"/>
  <c r="B63" i="25"/>
  <c r="B55" i="25"/>
  <c r="B47" i="25"/>
  <c r="B39" i="25"/>
  <c r="B31" i="25"/>
  <c r="B23" i="25"/>
  <c r="B15" i="25"/>
  <c r="B7" i="25"/>
  <c r="M946" i="25"/>
  <c r="M882" i="25"/>
  <c r="F7" i="4"/>
  <c r="N502" i="25" s="1"/>
  <c r="M938" i="25"/>
  <c r="M874" i="25"/>
  <c r="N942" i="25"/>
  <c r="N878" i="25"/>
  <c r="M930" i="25"/>
  <c r="M866" i="25"/>
  <c r="N934" i="25"/>
  <c r="N870" i="25"/>
  <c r="M922" i="25"/>
  <c r="M858" i="25"/>
  <c r="N894" i="25"/>
  <c r="N926" i="25"/>
  <c r="N862" i="25"/>
  <c r="M914" i="25"/>
  <c r="M850" i="25"/>
  <c r="N918" i="25"/>
  <c r="N854" i="25"/>
  <c r="M906" i="25"/>
  <c r="M842" i="25"/>
  <c r="N910" i="25"/>
  <c r="N846" i="25"/>
  <c r="M898" i="25"/>
  <c r="N902" i="25"/>
  <c r="M890" i="25"/>
  <c r="N941" i="25"/>
  <c r="N925" i="25"/>
  <c r="N917" i="25"/>
  <c r="N909" i="25"/>
  <c r="N901" i="25"/>
  <c r="N893" i="25"/>
  <c r="N885" i="25"/>
  <c r="N877" i="25"/>
  <c r="N861" i="25"/>
  <c r="N853" i="25"/>
  <c r="N845" i="25"/>
  <c r="M945" i="25"/>
  <c r="M937" i="25"/>
  <c r="M929" i="25"/>
  <c r="M921" i="25"/>
  <c r="M913" i="25"/>
  <c r="M905" i="25"/>
  <c r="M897" i="25"/>
  <c r="M889" i="25"/>
  <c r="M881" i="25"/>
  <c r="M873" i="25"/>
  <c r="M865" i="25"/>
  <c r="M857" i="25"/>
  <c r="M849" i="25"/>
  <c r="M841" i="25"/>
  <c r="N948" i="25"/>
  <c r="N940" i="25"/>
  <c r="N932" i="25"/>
  <c r="N924" i="25"/>
  <c r="N908" i="25"/>
  <c r="N900" i="25"/>
  <c r="N892" i="25"/>
  <c r="N884" i="25"/>
  <c r="N876" i="25"/>
  <c r="N868" i="25"/>
  <c r="N860" i="25"/>
  <c r="N852" i="25"/>
  <c r="N844" i="25"/>
  <c r="M944" i="25"/>
  <c r="M936" i="25"/>
  <c r="M928" i="25"/>
  <c r="M920" i="25"/>
  <c r="M912" i="25"/>
  <c r="M904" i="25"/>
  <c r="M896" i="25"/>
  <c r="M888" i="25"/>
  <c r="M880" i="25"/>
  <c r="M872" i="25"/>
  <c r="M864" i="25"/>
  <c r="M856" i="25"/>
  <c r="M848" i="25"/>
  <c r="M840" i="25"/>
  <c r="M943" i="25"/>
  <c r="M935" i="25"/>
  <c r="M927" i="25"/>
  <c r="M919" i="25"/>
  <c r="M911" i="25"/>
  <c r="M903" i="25"/>
  <c r="M895" i="25"/>
  <c r="M887" i="25"/>
  <c r="M879" i="25"/>
  <c r="M871" i="25"/>
  <c r="M863" i="25"/>
  <c r="M855" i="25"/>
  <c r="M847" i="25"/>
  <c r="B91" i="25"/>
  <c r="B75" i="25"/>
  <c r="B59" i="25"/>
  <c r="B43" i="25"/>
  <c r="B27" i="25"/>
  <c r="B11" i="25"/>
  <c r="B98" i="25"/>
  <c r="B90" i="25"/>
  <c r="B82" i="25"/>
  <c r="B74" i="25"/>
  <c r="B66" i="25"/>
  <c r="B58" i="25"/>
  <c r="B50" i="25"/>
  <c r="B42" i="25"/>
  <c r="B34" i="25"/>
  <c r="B26" i="25"/>
  <c r="B18" i="25"/>
  <c r="B10" i="25"/>
  <c r="B93" i="25"/>
  <c r="B94" i="25"/>
  <c r="B86" i="25"/>
  <c r="B78" i="25"/>
  <c r="B70" i="25"/>
  <c r="B62" i="25"/>
  <c r="B54" i="25"/>
  <c r="B46" i="25"/>
  <c r="B38" i="25"/>
  <c r="B30" i="25"/>
  <c r="B22" i="25"/>
  <c r="B14" i="25"/>
  <c r="B6" i="25"/>
  <c r="B85" i="25"/>
  <c r="B77" i="25"/>
  <c r="B69" i="25"/>
  <c r="B61" i="25"/>
  <c r="B53" i="25"/>
  <c r="B45" i="25"/>
  <c r="B37" i="25"/>
  <c r="B29" i="25"/>
  <c r="B21" i="25"/>
  <c r="B13" i="25"/>
  <c r="B5" i="25"/>
  <c r="B500" i="25"/>
  <c r="B92" i="25"/>
  <c r="B84" i="25"/>
  <c r="B76" i="25"/>
  <c r="B68" i="25"/>
  <c r="B60" i="25"/>
  <c r="B52" i="25"/>
  <c r="B44" i="25"/>
  <c r="B36" i="25"/>
  <c r="B28" i="25"/>
  <c r="B20" i="25"/>
  <c r="B12" i="25"/>
  <c r="B4" i="25"/>
  <c r="B97" i="25"/>
  <c r="B89" i="25"/>
  <c r="B81" i="25"/>
  <c r="B73" i="25"/>
  <c r="B65" i="25"/>
  <c r="B57" i="25"/>
  <c r="B49" i="25"/>
  <c r="B41" i="25"/>
  <c r="B33" i="25"/>
  <c r="B25" i="25"/>
  <c r="B17" i="25"/>
  <c r="B9" i="25"/>
  <c r="B96" i="25"/>
  <c r="B88" i="25"/>
  <c r="B80" i="25"/>
  <c r="B72" i="25"/>
  <c r="B64" i="25"/>
  <c r="B56" i="25"/>
  <c r="B48" i="25"/>
  <c r="B40" i="25"/>
  <c r="B32" i="25"/>
  <c r="B24" i="25"/>
  <c r="B16" i="25"/>
  <c r="B8" i="25"/>
  <c r="B501" i="25"/>
  <c r="B502" i="25"/>
  <c r="H341" i="4"/>
  <c r="Q836" i="25" s="1"/>
  <c r="H342" i="4"/>
  <c r="Q837" i="25" s="1"/>
  <c r="H343" i="4"/>
  <c r="Q838" i="25" s="1"/>
  <c r="H344" i="4"/>
  <c r="H345" i="4"/>
  <c r="H346" i="4"/>
  <c r="H347" i="4"/>
  <c r="H348" i="4"/>
  <c r="H349" i="4"/>
  <c r="H350" i="4"/>
  <c r="H351" i="4"/>
  <c r="H352" i="4"/>
  <c r="H353" i="4"/>
  <c r="H354" i="4"/>
  <c r="H355" i="4"/>
  <c r="H356" i="4"/>
  <c r="H357" i="4"/>
  <c r="H358" i="4"/>
  <c r="H359" i="4"/>
  <c r="H360" i="4"/>
  <c r="H361" i="4"/>
  <c r="H362" i="4"/>
  <c r="H363" i="4"/>
  <c r="H364" i="4"/>
  <c r="H365" i="4"/>
  <c r="H366" i="4"/>
  <c r="H367" i="4"/>
  <c r="H368" i="4"/>
  <c r="H369" i="4"/>
  <c r="H370" i="4"/>
  <c r="H371" i="4"/>
  <c r="H372" i="4"/>
  <c r="H373" i="4"/>
  <c r="H374" i="4"/>
  <c r="H375" i="4"/>
  <c r="H376" i="4"/>
  <c r="H377" i="4"/>
  <c r="H378" i="4"/>
  <c r="H379" i="4"/>
  <c r="H380" i="4"/>
  <c r="H381" i="4"/>
  <c r="H382" i="4"/>
  <c r="H383" i="4"/>
  <c r="H384" i="4"/>
  <c r="H385" i="4"/>
  <c r="H386" i="4"/>
  <c r="H387" i="4"/>
  <c r="H388" i="4"/>
  <c r="H389" i="4"/>
  <c r="H390" i="4"/>
  <c r="H391" i="4"/>
  <c r="H392" i="4"/>
  <c r="H393" i="4"/>
  <c r="H394" i="4"/>
  <c r="H395" i="4"/>
  <c r="H396" i="4"/>
  <c r="H397" i="4"/>
  <c r="H398" i="4"/>
  <c r="H399" i="4"/>
  <c r="H400" i="4"/>
  <c r="H401" i="4"/>
  <c r="H452" i="4"/>
  <c r="H453" i="4"/>
  <c r="H454" i="4"/>
  <c r="H455" i="4"/>
  <c r="H456" i="4"/>
  <c r="H457" i="4"/>
  <c r="H458" i="4"/>
  <c r="H459" i="4"/>
  <c r="H460" i="4"/>
  <c r="H461" i="4"/>
  <c r="H462" i="4"/>
  <c r="H463" i="4"/>
  <c r="H464" i="4"/>
  <c r="H465" i="4"/>
  <c r="H466" i="4"/>
  <c r="H467" i="4"/>
  <c r="H468" i="4"/>
  <c r="H469" i="4"/>
  <c r="H470" i="4"/>
  <c r="H471" i="4"/>
  <c r="H472" i="4"/>
  <c r="H473" i="4"/>
  <c r="H474" i="4"/>
  <c r="H475" i="4"/>
  <c r="H476" i="4"/>
  <c r="H477" i="4"/>
  <c r="H478" i="4"/>
  <c r="H479" i="4"/>
  <c r="H480" i="4"/>
  <c r="H481" i="4"/>
  <c r="H482" i="4"/>
  <c r="H483" i="4"/>
  <c r="H484" i="4"/>
  <c r="H485" i="4"/>
  <c r="H486" i="4"/>
  <c r="H487" i="4"/>
  <c r="H488" i="4"/>
  <c r="H489" i="4"/>
  <c r="H490" i="4"/>
  <c r="H491" i="4"/>
  <c r="H492" i="4"/>
  <c r="H493" i="4"/>
  <c r="H494" i="4"/>
  <c r="H495" i="4"/>
  <c r="H496" i="4"/>
  <c r="H497" i="4"/>
  <c r="H498" i="4"/>
  <c r="H499" i="4"/>
  <c r="H500" i="4"/>
  <c r="Q948" i="25" s="1"/>
  <c r="H7" i="4"/>
  <c r="Q502" i="25" s="1"/>
  <c r="E36" i="10"/>
  <c r="E35" i="10"/>
  <c r="E34" i="10"/>
  <c r="E33" i="10"/>
  <c r="E32" i="10"/>
  <c r="E31" i="10"/>
  <c r="E30" i="10"/>
  <c r="E29" i="10"/>
  <c r="E28" i="10"/>
  <c r="E27" i="10"/>
  <c r="E26" i="10"/>
  <c r="E25" i="10"/>
  <c r="E24" i="10"/>
  <c r="E21" i="10"/>
  <c r="E20" i="10"/>
  <c r="E19" i="10"/>
  <c r="N288" i="30" l="1"/>
  <c r="W1057" i="25" s="1"/>
  <c r="N451" i="4"/>
  <c r="N409" i="4"/>
  <c r="N413" i="4"/>
  <c r="N404" i="4"/>
  <c r="N405" i="4"/>
  <c r="V405" i="4" s="1"/>
  <c r="N441" i="4"/>
  <c r="W441" i="4" s="1"/>
  <c r="N448" i="4"/>
  <c r="V448" i="4" s="1"/>
  <c r="N449" i="4"/>
  <c r="W449" i="4" s="1"/>
  <c r="N424" i="4"/>
  <c r="V424" i="4" s="1"/>
  <c r="N412" i="4"/>
  <c r="W412" i="4" s="1"/>
  <c r="N436" i="4"/>
  <c r="W436" i="4" s="1"/>
  <c r="N142" i="4"/>
  <c r="W142" i="4" s="1"/>
  <c r="AF637" i="25" s="1"/>
  <c r="N419" i="4"/>
  <c r="V419" i="4" s="1"/>
  <c r="N287" i="30"/>
  <c r="W1056" i="25" s="1"/>
  <c r="AJ1056" i="25" s="1"/>
  <c r="N134" i="4"/>
  <c r="V134" i="4" s="1"/>
  <c r="AE629" i="25" s="1"/>
  <c r="N437" i="4"/>
  <c r="V437" i="4" s="1"/>
  <c r="N429" i="4"/>
  <c r="V429" i="4" s="1"/>
  <c r="W285" i="30"/>
  <c r="AF1054" i="25" s="1"/>
  <c r="W1054" i="25"/>
  <c r="AJ1054" i="25" s="1"/>
  <c r="N408" i="4"/>
  <c r="V408" i="4" s="1"/>
  <c r="V107" i="30"/>
  <c r="W107" i="30"/>
  <c r="V165" i="30"/>
  <c r="W165" i="30"/>
  <c r="V153" i="30"/>
  <c r="W153" i="30"/>
  <c r="V77" i="30"/>
  <c r="W77" i="30"/>
  <c r="V89" i="30"/>
  <c r="W89" i="30"/>
  <c r="V129" i="30"/>
  <c r="W129" i="30"/>
  <c r="V167" i="30"/>
  <c r="W167" i="30"/>
  <c r="V98" i="30"/>
  <c r="W98" i="30"/>
  <c r="V23" i="30"/>
  <c r="W23" i="30"/>
  <c r="V17" i="30"/>
  <c r="W17" i="30"/>
  <c r="V79" i="30"/>
  <c r="W79" i="30"/>
  <c r="V12" i="30"/>
  <c r="W12" i="30"/>
  <c r="V162" i="30"/>
  <c r="W162" i="30"/>
  <c r="V179" i="30"/>
  <c r="W179" i="30"/>
  <c r="V137" i="30"/>
  <c r="W137" i="30"/>
  <c r="V64" i="30"/>
  <c r="W64" i="30"/>
  <c r="V22" i="30"/>
  <c r="W22" i="30"/>
  <c r="V175" i="30"/>
  <c r="W175" i="30"/>
  <c r="V290" i="30"/>
  <c r="AE1059" i="25" s="1"/>
  <c r="W290" i="30"/>
  <c r="AF1059" i="25" s="1"/>
  <c r="V50" i="30"/>
  <c r="W50" i="30"/>
  <c r="V56" i="30"/>
  <c r="W56" i="30"/>
  <c r="V68" i="30"/>
  <c r="W68" i="30"/>
  <c r="V69" i="30"/>
  <c r="W69" i="30"/>
  <c r="V54" i="30"/>
  <c r="W54" i="30"/>
  <c r="V112" i="30"/>
  <c r="W112" i="30"/>
  <c r="V120" i="30"/>
  <c r="W120" i="30"/>
  <c r="V121" i="30"/>
  <c r="W121" i="30"/>
  <c r="V108" i="30"/>
  <c r="W108" i="30"/>
  <c r="V39" i="30"/>
  <c r="W39" i="30"/>
  <c r="V25" i="30"/>
  <c r="W25" i="30"/>
  <c r="V93" i="30"/>
  <c r="W93" i="30"/>
  <c r="V29" i="30"/>
  <c r="W29" i="30"/>
  <c r="V52" i="30"/>
  <c r="W52" i="30"/>
  <c r="V51" i="30"/>
  <c r="W51" i="30"/>
  <c r="V33" i="30"/>
  <c r="W33" i="30"/>
  <c r="V126" i="30"/>
  <c r="W126" i="30"/>
  <c r="V295" i="30"/>
  <c r="W295" i="30"/>
  <c r="V41" i="30"/>
  <c r="W41" i="30"/>
  <c r="V87" i="30"/>
  <c r="W87" i="30"/>
  <c r="V14" i="30"/>
  <c r="W14" i="30"/>
  <c r="V16" i="30"/>
  <c r="W16" i="30"/>
  <c r="V65" i="30"/>
  <c r="W65" i="30"/>
  <c r="V43" i="30"/>
  <c r="W43" i="30"/>
  <c r="V142" i="30"/>
  <c r="W142" i="30"/>
  <c r="V160" i="30"/>
  <c r="W160" i="30"/>
  <c r="V88" i="30"/>
  <c r="W88" i="30"/>
  <c r="V177" i="30"/>
  <c r="W177" i="30"/>
  <c r="V161" i="30"/>
  <c r="W161" i="30"/>
  <c r="V83" i="30"/>
  <c r="W83" i="30"/>
  <c r="V174" i="30"/>
  <c r="W174" i="30"/>
  <c r="V34" i="30"/>
  <c r="W34" i="30"/>
  <c r="V47" i="30"/>
  <c r="W47" i="30"/>
  <c r="V49" i="30"/>
  <c r="W49" i="30"/>
  <c r="V37" i="30"/>
  <c r="W37" i="30"/>
  <c r="V48" i="30"/>
  <c r="W48" i="30"/>
  <c r="V145" i="30"/>
  <c r="W145" i="30"/>
  <c r="V59" i="30"/>
  <c r="W59" i="30"/>
  <c r="V286" i="30"/>
  <c r="AE1055" i="25" s="1"/>
  <c r="W286" i="30"/>
  <c r="AF1055" i="25" s="1"/>
  <c r="V42" i="30"/>
  <c r="W42" i="30"/>
  <c r="V46" i="30"/>
  <c r="W46" i="30"/>
  <c r="V30" i="30"/>
  <c r="W30" i="30"/>
  <c r="V127" i="30"/>
  <c r="W127" i="30"/>
  <c r="V58" i="30"/>
  <c r="W58" i="30"/>
  <c r="V60" i="30"/>
  <c r="W60" i="30"/>
  <c r="V21" i="30"/>
  <c r="W21" i="30"/>
  <c r="V158" i="30"/>
  <c r="W158" i="30"/>
  <c r="V176" i="30"/>
  <c r="W176" i="30"/>
  <c r="V128" i="30"/>
  <c r="W128" i="30"/>
  <c r="V136" i="30"/>
  <c r="W136" i="30"/>
  <c r="V91" i="30"/>
  <c r="W91" i="30"/>
  <c r="V144" i="30"/>
  <c r="W144" i="30"/>
  <c r="V55" i="30"/>
  <c r="W55" i="30"/>
  <c r="V57" i="30"/>
  <c r="W57" i="30"/>
  <c r="V67" i="30"/>
  <c r="W67" i="30"/>
  <c r="V19" i="30"/>
  <c r="W19" i="30"/>
  <c r="V111" i="30"/>
  <c r="W111" i="30"/>
  <c r="V72" i="30"/>
  <c r="W72" i="30"/>
  <c r="V70" i="30"/>
  <c r="W70" i="30"/>
  <c r="V293" i="30"/>
  <c r="W293" i="30"/>
  <c r="V102" i="30"/>
  <c r="W102" i="30"/>
  <c r="V62" i="30"/>
  <c r="W62" i="30"/>
  <c r="V73" i="30"/>
  <c r="W73" i="30"/>
  <c r="V101" i="30"/>
  <c r="W101" i="30"/>
  <c r="V40" i="30"/>
  <c r="W40" i="30"/>
  <c r="V10" i="30"/>
  <c r="W10" i="30"/>
  <c r="V181" i="30"/>
  <c r="W181" i="30"/>
  <c r="V76" i="30"/>
  <c r="W76" i="30"/>
  <c r="V18" i="30"/>
  <c r="W18" i="30"/>
  <c r="V125" i="30"/>
  <c r="W125" i="30"/>
  <c r="V168" i="30"/>
  <c r="W168" i="30"/>
  <c r="V149" i="30"/>
  <c r="W149" i="30"/>
  <c r="V147" i="30"/>
  <c r="W147" i="30"/>
  <c r="V75" i="30"/>
  <c r="W75" i="30"/>
  <c r="V24" i="30"/>
  <c r="W24" i="30"/>
  <c r="V26" i="30"/>
  <c r="W26" i="30"/>
  <c r="V178" i="30"/>
  <c r="W178" i="30"/>
  <c r="V131" i="30"/>
  <c r="W131" i="30"/>
  <c r="V66" i="30"/>
  <c r="W66" i="30"/>
  <c r="V119" i="30"/>
  <c r="W119" i="30"/>
  <c r="V148" i="30"/>
  <c r="W148" i="30"/>
  <c r="V45" i="30"/>
  <c r="W45" i="30"/>
  <c r="V95" i="30"/>
  <c r="W95" i="30"/>
  <c r="V152" i="30"/>
  <c r="W152" i="30"/>
  <c r="V81" i="30"/>
  <c r="W81" i="30"/>
  <c r="V163" i="30"/>
  <c r="W163" i="30"/>
  <c r="V113" i="30"/>
  <c r="W113" i="30"/>
  <c r="V180" i="30"/>
  <c r="W180" i="30"/>
  <c r="V103" i="30"/>
  <c r="W103" i="30"/>
  <c r="V141" i="30"/>
  <c r="W141" i="30"/>
  <c r="V157" i="30"/>
  <c r="W157" i="30"/>
  <c r="V38" i="30"/>
  <c r="W38" i="30"/>
  <c r="V13" i="30"/>
  <c r="W13" i="30"/>
  <c r="V61" i="30"/>
  <c r="W61" i="30"/>
  <c r="V53" i="30"/>
  <c r="W53" i="30"/>
  <c r="V84" i="30"/>
  <c r="W84" i="30"/>
  <c r="V28" i="30"/>
  <c r="W28" i="30"/>
  <c r="V289" i="30"/>
  <c r="AE1058" i="25" s="1"/>
  <c r="W289" i="30"/>
  <c r="AF1058" i="25" s="1"/>
  <c r="V151" i="30"/>
  <c r="W151" i="30"/>
  <c r="V173" i="30"/>
  <c r="W173" i="30"/>
  <c r="V85" i="30"/>
  <c r="W85" i="30"/>
  <c r="V117" i="30"/>
  <c r="W117" i="30"/>
  <c r="V15" i="30"/>
  <c r="W15" i="30"/>
  <c r="V294" i="30"/>
  <c r="W294" i="30"/>
  <c r="V105" i="30"/>
  <c r="W105" i="30"/>
  <c r="V97" i="30"/>
  <c r="W97" i="30"/>
  <c r="V80" i="30"/>
  <c r="W80" i="30"/>
  <c r="V11" i="30"/>
  <c r="W11" i="30"/>
  <c r="V155" i="30"/>
  <c r="W155" i="30"/>
  <c r="V164" i="30"/>
  <c r="W164" i="30"/>
  <c r="V100" i="30"/>
  <c r="W100" i="30"/>
  <c r="V150" i="30"/>
  <c r="W150" i="30"/>
  <c r="V27" i="30"/>
  <c r="W27" i="30"/>
  <c r="V115" i="30"/>
  <c r="W115" i="30"/>
  <c r="V35" i="30"/>
  <c r="W35" i="30"/>
  <c r="V159" i="30"/>
  <c r="W159" i="30"/>
  <c r="V135" i="30"/>
  <c r="W135" i="30"/>
  <c r="V86" i="30"/>
  <c r="W86" i="30"/>
  <c r="V143" i="30"/>
  <c r="W143" i="30"/>
  <c r="V71" i="30"/>
  <c r="W71" i="30"/>
  <c r="V31" i="30"/>
  <c r="W31" i="30"/>
  <c r="V109" i="30"/>
  <c r="W109" i="30"/>
  <c r="V130" i="30"/>
  <c r="V139" i="30"/>
  <c r="V169" i="30"/>
  <c r="V171" i="30"/>
  <c r="V140" i="30"/>
  <c r="V166" i="30"/>
  <c r="V138" i="30"/>
  <c r="V134" i="30"/>
  <c r="V82" i="30"/>
  <c r="V92" i="30"/>
  <c r="V94" i="30"/>
  <c r="V172" i="30"/>
  <c r="V63" i="30"/>
  <c r="V74" i="30"/>
  <c r="V99" i="30"/>
  <c r="V146" i="30"/>
  <c r="V285" i="30"/>
  <c r="AE1054" i="25" s="1"/>
  <c r="V110" i="30"/>
  <c r="V96" i="30"/>
  <c r="V20" i="30"/>
  <c r="V132" i="30"/>
  <c r="V124" i="30"/>
  <c r="V118" i="30"/>
  <c r="V170" i="30"/>
  <c r="V182" i="30"/>
  <c r="V104" i="30"/>
  <c r="V123" i="30"/>
  <c r="V44" i="30"/>
  <c r="V90" i="30"/>
  <c r="V154" i="30"/>
  <c r="V32" i="30"/>
  <c r="V116" i="30"/>
  <c r="V133" i="30"/>
  <c r="V156" i="30"/>
  <c r="V36" i="30"/>
  <c r="V122" i="30"/>
  <c r="V114" i="30"/>
  <c r="V78" i="30"/>
  <c r="V106" i="30"/>
  <c r="N258" i="4"/>
  <c r="W753" i="25" s="1"/>
  <c r="AJ753" i="25" s="1"/>
  <c r="N440" i="4"/>
  <c r="V440" i="4" s="1"/>
  <c r="N206" i="4"/>
  <c r="V206" i="4" s="1"/>
  <c r="AE701" i="25" s="1"/>
  <c r="N841" i="25"/>
  <c r="N838" i="25"/>
  <c r="N840" i="25"/>
  <c r="N837" i="25"/>
  <c r="N839" i="25"/>
  <c r="N836" i="25"/>
  <c r="N446" i="4"/>
  <c r="W446" i="4" s="1"/>
  <c r="N444" i="4"/>
  <c r="V444" i="4" s="1"/>
  <c r="N234" i="4"/>
  <c r="V234" i="4" s="1"/>
  <c r="AE729" i="25" s="1"/>
  <c r="N110" i="4"/>
  <c r="W605" i="25" s="1"/>
  <c r="AJ605" i="25" s="1"/>
  <c r="N102" i="4"/>
  <c r="V102" i="4" s="1"/>
  <c r="AE597" i="25" s="1"/>
  <c r="N14" i="4"/>
  <c r="W14" i="4" s="1"/>
  <c r="AF509" i="25" s="1"/>
  <c r="N309" i="4"/>
  <c r="W804" i="25" s="1"/>
  <c r="AJ804" i="25" s="1"/>
  <c r="T804" i="25"/>
  <c r="N242" i="4"/>
  <c r="W737" i="25" s="1"/>
  <c r="AJ737" i="25" s="1"/>
  <c r="T737" i="25"/>
  <c r="N80" i="4"/>
  <c r="V80" i="4" s="1"/>
  <c r="AE575" i="25" s="1"/>
  <c r="T575" i="25"/>
  <c r="N28" i="4"/>
  <c r="W523" i="25" s="1"/>
  <c r="AJ523" i="25" s="1"/>
  <c r="T523" i="25"/>
  <c r="N101" i="4"/>
  <c r="W596" i="25" s="1"/>
  <c r="AJ596" i="25" s="1"/>
  <c r="T596" i="25"/>
  <c r="N149" i="4"/>
  <c r="W644" i="25" s="1"/>
  <c r="AJ644" i="25" s="1"/>
  <c r="T644" i="25"/>
  <c r="N168" i="4"/>
  <c r="W663" i="25" s="1"/>
  <c r="AJ663" i="25" s="1"/>
  <c r="T663" i="25"/>
  <c r="N202" i="4"/>
  <c r="W697" i="25" s="1"/>
  <c r="AJ697" i="25" s="1"/>
  <c r="T697" i="25"/>
  <c r="N15" i="4"/>
  <c r="W510" i="25" s="1"/>
  <c r="AJ510" i="25" s="1"/>
  <c r="T510" i="25"/>
  <c r="N87" i="4"/>
  <c r="W582" i="25" s="1"/>
  <c r="AJ582" i="25" s="1"/>
  <c r="T582" i="25"/>
  <c r="N159" i="4"/>
  <c r="W654" i="25" s="1"/>
  <c r="AJ654" i="25" s="1"/>
  <c r="T654" i="25"/>
  <c r="N203" i="4"/>
  <c r="W698" i="25" s="1"/>
  <c r="AJ698" i="25" s="1"/>
  <c r="T698" i="25"/>
  <c r="N42" i="4"/>
  <c r="W537" i="25" s="1"/>
  <c r="AJ537" i="25" s="1"/>
  <c r="T537" i="25"/>
  <c r="N282" i="4"/>
  <c r="W777" i="25" s="1"/>
  <c r="AJ777" i="25" s="1"/>
  <c r="T777" i="25"/>
  <c r="N250" i="4"/>
  <c r="W745" i="25" s="1"/>
  <c r="AJ745" i="25" s="1"/>
  <c r="T745" i="25"/>
  <c r="N119" i="4"/>
  <c r="W614" i="25" s="1"/>
  <c r="AJ614" i="25" s="1"/>
  <c r="T614" i="25"/>
  <c r="N44" i="4"/>
  <c r="W539" i="25" s="1"/>
  <c r="AJ539" i="25" s="1"/>
  <c r="T539" i="25"/>
  <c r="N88" i="4"/>
  <c r="W88" i="4" s="1"/>
  <c r="AF583" i="25" s="1"/>
  <c r="T583" i="25"/>
  <c r="N136" i="4"/>
  <c r="W631" i="25" s="1"/>
  <c r="AJ631" i="25" s="1"/>
  <c r="T631" i="25"/>
  <c r="N182" i="4"/>
  <c r="W677" i="25" s="1"/>
  <c r="AJ677" i="25" s="1"/>
  <c r="T677" i="25"/>
  <c r="N301" i="4"/>
  <c r="W796" i="25" s="1"/>
  <c r="AJ796" i="25" s="1"/>
  <c r="T796" i="25"/>
  <c r="N333" i="4"/>
  <c r="W828" i="25" s="1"/>
  <c r="AJ828" i="25" s="1"/>
  <c r="T828" i="25"/>
  <c r="N215" i="4"/>
  <c r="W710" i="25" s="1"/>
  <c r="AJ710" i="25" s="1"/>
  <c r="T710" i="25"/>
  <c r="N223" i="4"/>
  <c r="W718" i="25" s="1"/>
  <c r="AJ718" i="25" s="1"/>
  <c r="T718" i="25"/>
  <c r="N31" i="4"/>
  <c r="W526" i="25" s="1"/>
  <c r="AJ526" i="25" s="1"/>
  <c r="T526" i="25"/>
  <c r="N95" i="4"/>
  <c r="W590" i="25" s="1"/>
  <c r="AJ590" i="25" s="1"/>
  <c r="T590" i="25"/>
  <c r="N183" i="4"/>
  <c r="W678" i="25" s="1"/>
  <c r="AJ678" i="25" s="1"/>
  <c r="T678" i="25"/>
  <c r="N21" i="4"/>
  <c r="W21" i="4" s="1"/>
  <c r="AF516" i="25" s="1"/>
  <c r="T516" i="25"/>
  <c r="N131" i="4"/>
  <c r="W626" i="25" s="1"/>
  <c r="AJ626" i="25" s="1"/>
  <c r="T626" i="25"/>
  <c r="N45" i="4"/>
  <c r="W540" i="25" s="1"/>
  <c r="AJ540" i="25" s="1"/>
  <c r="T540" i="25"/>
  <c r="N338" i="4"/>
  <c r="W833" i="25" s="1"/>
  <c r="AJ833" i="25" s="1"/>
  <c r="T833" i="25"/>
  <c r="N253" i="4"/>
  <c r="W748" i="25" s="1"/>
  <c r="AJ748" i="25" s="1"/>
  <c r="T748" i="25"/>
  <c r="N317" i="4"/>
  <c r="W812" i="25" s="1"/>
  <c r="AJ812" i="25" s="1"/>
  <c r="T812" i="25"/>
  <c r="N291" i="4"/>
  <c r="W786" i="25" s="1"/>
  <c r="AJ786" i="25" s="1"/>
  <c r="T786" i="25"/>
  <c r="N266" i="4"/>
  <c r="W761" i="25" s="1"/>
  <c r="AJ761" i="25" s="1"/>
  <c r="T761" i="25"/>
  <c r="N143" i="4"/>
  <c r="W638" i="25" s="1"/>
  <c r="AJ638" i="25" s="1"/>
  <c r="T638" i="25"/>
  <c r="N207" i="4"/>
  <c r="W702" i="25" s="1"/>
  <c r="AJ702" i="25" s="1"/>
  <c r="T702" i="25"/>
  <c r="N37" i="4"/>
  <c r="W532" i="25" s="1"/>
  <c r="AJ532" i="25" s="1"/>
  <c r="T532" i="25"/>
  <c r="N179" i="4"/>
  <c r="W674" i="25" s="1"/>
  <c r="AJ674" i="25" s="1"/>
  <c r="T674" i="25"/>
  <c r="N152" i="4"/>
  <c r="W647" i="25" s="1"/>
  <c r="AJ647" i="25" s="1"/>
  <c r="T647" i="25"/>
  <c r="N245" i="4"/>
  <c r="W740" i="25" s="1"/>
  <c r="AJ740" i="25" s="1"/>
  <c r="T740" i="25"/>
  <c r="N180" i="4"/>
  <c r="W675" i="25" s="1"/>
  <c r="AJ675" i="25" s="1"/>
  <c r="T675" i="25"/>
  <c r="N166" i="4"/>
  <c r="W661" i="25" s="1"/>
  <c r="AJ661" i="25" s="1"/>
  <c r="T661" i="25"/>
  <c r="N306" i="4"/>
  <c r="W801" i="25" s="1"/>
  <c r="AJ801" i="25" s="1"/>
  <c r="T801" i="25"/>
  <c r="N55" i="4"/>
  <c r="W550" i="25" s="1"/>
  <c r="AJ550" i="25" s="1"/>
  <c r="T550" i="25"/>
  <c r="N228" i="4"/>
  <c r="W723" i="25" s="1"/>
  <c r="AJ723" i="25" s="1"/>
  <c r="T723" i="25"/>
  <c r="N68" i="4"/>
  <c r="W563" i="25" s="1"/>
  <c r="AJ563" i="25" s="1"/>
  <c r="T563" i="25"/>
  <c r="N53" i="4"/>
  <c r="W53" i="4" s="1"/>
  <c r="AF548" i="25" s="1"/>
  <c r="T548" i="25"/>
  <c r="N229" i="4"/>
  <c r="W724" i="25" s="1"/>
  <c r="AJ724" i="25" s="1"/>
  <c r="T724" i="25"/>
  <c r="N214" i="4"/>
  <c r="W709" i="25" s="1"/>
  <c r="AJ709" i="25" s="1"/>
  <c r="T709" i="25"/>
  <c r="N174" i="4"/>
  <c r="W669" i="25" s="1"/>
  <c r="AJ669" i="25" s="1"/>
  <c r="T669" i="25"/>
  <c r="N70" i="4"/>
  <c r="W565" i="25" s="1"/>
  <c r="AJ565" i="25" s="1"/>
  <c r="T565" i="25"/>
  <c r="N151" i="4"/>
  <c r="W646" i="25" s="1"/>
  <c r="AJ646" i="25" s="1"/>
  <c r="T646" i="25"/>
  <c r="N23" i="4"/>
  <c r="W518" i="25" s="1"/>
  <c r="AJ518" i="25" s="1"/>
  <c r="T518" i="25"/>
  <c r="N79" i="4"/>
  <c r="W574" i="25" s="1"/>
  <c r="AJ574" i="25" s="1"/>
  <c r="T574" i="25"/>
  <c r="N76" i="4"/>
  <c r="W571" i="25" s="1"/>
  <c r="AJ571" i="25" s="1"/>
  <c r="T571" i="25"/>
  <c r="N120" i="4"/>
  <c r="W615" i="25" s="1"/>
  <c r="AJ615" i="25" s="1"/>
  <c r="T615" i="25"/>
  <c r="N62" i="4"/>
  <c r="W557" i="25" s="1"/>
  <c r="AJ557" i="25" s="1"/>
  <c r="T557" i="25"/>
  <c r="N63" i="4"/>
  <c r="W558" i="25" s="1"/>
  <c r="AJ558" i="25" s="1"/>
  <c r="N90" i="4"/>
  <c r="W585" i="25" s="1"/>
  <c r="AJ585" i="25" s="1"/>
  <c r="N118" i="4"/>
  <c r="W613" i="25" s="1"/>
  <c r="AJ613" i="25" s="1"/>
  <c r="N190" i="4"/>
  <c r="W685" i="25" s="1"/>
  <c r="AJ685" i="25" s="1"/>
  <c r="N275" i="4"/>
  <c r="W770" i="25" s="1"/>
  <c r="AJ770" i="25" s="1"/>
  <c r="N285" i="4"/>
  <c r="W780" i="25" s="1"/>
  <c r="AJ780" i="25" s="1"/>
  <c r="N165" i="4"/>
  <c r="W165" i="4" s="1"/>
  <c r="AF660" i="25" s="1"/>
  <c r="N427" i="4"/>
  <c r="V427" i="4" s="1"/>
  <c r="N38" i="4"/>
  <c r="W533" i="25" s="1"/>
  <c r="AJ533" i="25" s="1"/>
  <c r="N200" i="4"/>
  <c r="W695" i="25" s="1"/>
  <c r="AJ695" i="25" s="1"/>
  <c r="N127" i="4"/>
  <c r="W622" i="25" s="1"/>
  <c r="AJ622" i="25" s="1"/>
  <c r="N36" i="4"/>
  <c r="W531" i="25" s="1"/>
  <c r="AJ531" i="25" s="1"/>
  <c r="N191" i="4"/>
  <c r="W686" i="25" s="1"/>
  <c r="AJ686" i="25" s="1"/>
  <c r="N280" i="4"/>
  <c r="W775" i="25" s="1"/>
  <c r="AJ775" i="25" s="1"/>
  <c r="N304" i="4"/>
  <c r="W799" i="25" s="1"/>
  <c r="AJ799" i="25" s="1"/>
  <c r="V799" i="25"/>
  <c r="AI799" i="25" s="1"/>
  <c r="N30" i="4"/>
  <c r="W525" i="25" s="1"/>
  <c r="AJ525" i="25" s="1"/>
  <c r="V525" i="25"/>
  <c r="AI525" i="25" s="1"/>
  <c r="N330" i="4"/>
  <c r="W825" i="25" s="1"/>
  <c r="AJ825" i="25" s="1"/>
  <c r="V825" i="25"/>
  <c r="AI825" i="25" s="1"/>
  <c r="N18" i="4"/>
  <c r="W513" i="25" s="1"/>
  <c r="AJ513" i="25" s="1"/>
  <c r="V513" i="25"/>
  <c r="AI513" i="25" s="1"/>
  <c r="N154" i="4"/>
  <c r="W649" i="25" s="1"/>
  <c r="AJ649" i="25" s="1"/>
  <c r="V649" i="25"/>
  <c r="AI649" i="25" s="1"/>
  <c r="N115" i="4"/>
  <c r="W610" i="25" s="1"/>
  <c r="AJ610" i="25" s="1"/>
  <c r="V610" i="25"/>
  <c r="AI610" i="25" s="1"/>
  <c r="N34" i="4"/>
  <c r="N82" i="4"/>
  <c r="V82" i="4" s="1"/>
  <c r="AE577" i="25" s="1"/>
  <c r="V577" i="25"/>
  <c r="AI577" i="25" s="1"/>
  <c r="N319" i="4"/>
  <c r="W814" i="25" s="1"/>
  <c r="AJ814" i="25" s="1"/>
  <c r="V814" i="25"/>
  <c r="AI814" i="25" s="1"/>
  <c r="N66" i="4"/>
  <c r="W561" i="25" s="1"/>
  <c r="AJ561" i="25" s="1"/>
  <c r="V561" i="25"/>
  <c r="AI561" i="25" s="1"/>
  <c r="N163" i="4"/>
  <c r="W658" i="25" s="1"/>
  <c r="AJ658" i="25" s="1"/>
  <c r="N432" i="4"/>
  <c r="W432" i="4" s="1"/>
  <c r="N261" i="4"/>
  <c r="W756" i="25" s="1"/>
  <c r="AJ756" i="25" s="1"/>
  <c r="V756" i="25"/>
  <c r="AI756" i="25" s="1"/>
  <c r="N264" i="4"/>
  <c r="W759" i="25" s="1"/>
  <c r="AJ759" i="25" s="1"/>
  <c r="V759" i="25"/>
  <c r="AI759" i="25" s="1"/>
  <c r="N269" i="4"/>
  <c r="W764" i="25" s="1"/>
  <c r="AJ764" i="25" s="1"/>
  <c r="V764" i="25"/>
  <c r="AI764" i="25" s="1"/>
  <c r="N251" i="4"/>
  <c r="W746" i="25" s="1"/>
  <c r="AJ746" i="25" s="1"/>
  <c r="N323" i="4"/>
  <c r="W818" i="25" s="1"/>
  <c r="AJ818" i="25" s="1"/>
  <c r="N175" i="4"/>
  <c r="V175" i="4" s="1"/>
  <c r="AE670" i="25" s="1"/>
  <c r="N61" i="4"/>
  <c r="W556" i="25" s="1"/>
  <c r="AJ556" i="25" s="1"/>
  <c r="N112" i="4"/>
  <c r="W607" i="25" s="1"/>
  <c r="AJ607" i="25" s="1"/>
  <c r="N47" i="4"/>
  <c r="W47" i="4" s="1"/>
  <c r="AF542" i="25" s="1"/>
  <c r="N147" i="4"/>
  <c r="N160" i="4"/>
  <c r="V160" i="4" s="1"/>
  <c r="AE655" i="25" s="1"/>
  <c r="N26" i="4"/>
  <c r="W521" i="25" s="1"/>
  <c r="AJ521" i="25" s="1"/>
  <c r="N224" i="4"/>
  <c r="W719" i="25" s="1"/>
  <c r="AJ719" i="25" s="1"/>
  <c r="N164" i="4"/>
  <c r="W164" i="4" s="1"/>
  <c r="AF659" i="25" s="1"/>
  <c r="N331" i="4"/>
  <c r="W826" i="25" s="1"/>
  <c r="AJ826" i="25" s="1"/>
  <c r="N243" i="4"/>
  <c r="W243" i="4" s="1"/>
  <c r="AF738" i="25" s="1"/>
  <c r="N254" i="4"/>
  <c r="N318" i="4"/>
  <c r="W813" i="25" s="1"/>
  <c r="AJ813" i="25" s="1"/>
  <c r="N111" i="4"/>
  <c r="W606" i="25" s="1"/>
  <c r="AJ606" i="25" s="1"/>
  <c r="N433" i="4"/>
  <c r="W433" i="4" s="1"/>
  <c r="N173" i="4"/>
  <c r="W173" i="4" s="1"/>
  <c r="AF668" i="25" s="1"/>
  <c r="N128" i="4"/>
  <c r="N272" i="4"/>
  <c r="W767" i="25" s="1"/>
  <c r="AJ767" i="25" s="1"/>
  <c r="N71" i="4"/>
  <c r="W566" i="25" s="1"/>
  <c r="AJ566" i="25" s="1"/>
  <c r="N135" i="4"/>
  <c r="N314" i="4"/>
  <c r="W809" i="25" s="1"/>
  <c r="AJ809" i="25" s="1"/>
  <c r="N46" i="4"/>
  <c r="W541" i="25" s="1"/>
  <c r="AJ541" i="25" s="1"/>
  <c r="N212" i="4"/>
  <c r="N60" i="4"/>
  <c r="N144" i="4"/>
  <c r="W639" i="25" s="1"/>
  <c r="AJ639" i="25" s="1"/>
  <c r="N126" i="4"/>
  <c r="V126" i="4" s="1"/>
  <c r="AE621" i="25" s="1"/>
  <c r="N122" i="4"/>
  <c r="W122" i="4" s="1"/>
  <c r="AF617" i="25" s="1"/>
  <c r="N78" i="4"/>
  <c r="V78" i="4" s="1"/>
  <c r="AE573" i="25" s="1"/>
  <c r="N222" i="4"/>
  <c r="W717" i="25" s="1"/>
  <c r="AJ717" i="25" s="1"/>
  <c r="N299" i="4"/>
  <c r="N106" i="4"/>
  <c r="W106" i="4" s="1"/>
  <c r="AF601" i="25" s="1"/>
  <c r="N274" i="4"/>
  <c r="W769" i="25" s="1"/>
  <c r="AJ769" i="25" s="1"/>
  <c r="N54" i="4"/>
  <c r="N425" i="4"/>
  <c r="W425" i="4" s="1"/>
  <c r="N199" i="4"/>
  <c r="W694" i="25" s="1"/>
  <c r="AJ694" i="25" s="1"/>
  <c r="N205" i="4"/>
  <c r="W700" i="25" s="1"/>
  <c r="AJ700" i="25" s="1"/>
  <c r="N198" i="4"/>
  <c r="W693" i="25" s="1"/>
  <c r="AJ693" i="25" s="1"/>
  <c r="N288" i="4"/>
  <c r="W288" i="4" s="1"/>
  <c r="AF783" i="25" s="1"/>
  <c r="N150" i="4"/>
  <c r="W645" i="25" s="1"/>
  <c r="AJ645" i="25" s="1"/>
  <c r="N100" i="4"/>
  <c r="N315" i="4"/>
  <c r="N188" i="4"/>
  <c r="N213" i="4"/>
  <c r="W708" i="25" s="1"/>
  <c r="AJ708" i="25" s="1"/>
  <c r="N204" i="4"/>
  <c r="N52" i="4"/>
  <c r="W547" i="25" s="1"/>
  <c r="AJ547" i="25" s="1"/>
  <c r="N171" i="4"/>
  <c r="N210" i="4"/>
  <c r="W705" i="25" s="1"/>
  <c r="AJ705" i="25" s="1"/>
  <c r="N155" i="4"/>
  <c r="N51" i="4"/>
  <c r="N123" i="4"/>
  <c r="V123" i="4" s="1"/>
  <c r="AE618" i="25" s="1"/>
  <c r="N216" i="4"/>
  <c r="V216" i="4" s="1"/>
  <c r="AE711" i="25" s="1"/>
  <c r="N220" i="4"/>
  <c r="N96" i="4"/>
  <c r="W96" i="4" s="1"/>
  <c r="AF591" i="25" s="1"/>
  <c r="N22" i="4"/>
  <c r="N124" i="4"/>
  <c r="W619" i="25" s="1"/>
  <c r="AJ619" i="25" s="1"/>
  <c r="N420" i="4"/>
  <c r="W420" i="4" s="1"/>
  <c r="N156" i="4"/>
  <c r="W156" i="4" s="1"/>
  <c r="AF651" i="25" s="1"/>
  <c r="N69" i="4"/>
  <c r="W564" i="25" s="1"/>
  <c r="AJ564" i="25" s="1"/>
  <c r="N218" i="4"/>
  <c r="W713" i="25" s="1"/>
  <c r="AJ713" i="25" s="1"/>
  <c r="N227" i="4"/>
  <c r="N192" i="4"/>
  <c r="W687" i="25" s="1"/>
  <c r="AJ687" i="25" s="1"/>
  <c r="N172" i="4"/>
  <c r="N167" i="4"/>
  <c r="W662" i="25" s="1"/>
  <c r="AJ662" i="25" s="1"/>
  <c r="N403" i="4"/>
  <c r="V403" i="4" s="1"/>
  <c r="N39" i="4"/>
  <c r="N103" i="4"/>
  <c r="N417" i="4"/>
  <c r="W417" i="4" s="1"/>
  <c r="N434" i="4"/>
  <c r="W434" i="4" s="1"/>
  <c r="N217" i="4"/>
  <c r="W217" i="4" s="1"/>
  <c r="AF712" i="25" s="1"/>
  <c r="N283" i="4"/>
  <c r="N181" i="4"/>
  <c r="W676" i="25" s="1"/>
  <c r="AJ676" i="25" s="1"/>
  <c r="N104" i="4"/>
  <c r="W104" i="4" s="1"/>
  <c r="AF599" i="25" s="1"/>
  <c r="N298" i="4"/>
  <c r="W298" i="4" s="1"/>
  <c r="AF793" i="25" s="1"/>
  <c r="N208" i="4"/>
  <c r="V208" i="4" s="1"/>
  <c r="AE703" i="25" s="1"/>
  <c r="N232" i="4"/>
  <c r="N421" i="4"/>
  <c r="V421" i="4" s="1"/>
  <c r="N240" i="4"/>
  <c r="W735" i="25" s="1"/>
  <c r="AJ735" i="25" s="1"/>
  <c r="N170" i="4"/>
  <c r="N428" i="4"/>
  <c r="V428" i="4" s="1"/>
  <c r="N293" i="4"/>
  <c r="N148" i="4"/>
  <c r="W643" i="25" s="1"/>
  <c r="AJ643" i="25" s="1"/>
  <c r="N19" i="4"/>
  <c r="V19" i="4" s="1"/>
  <c r="AE514" i="25" s="1"/>
  <c r="N320" i="4"/>
  <c r="N86" i="4"/>
  <c r="N158" i="4"/>
  <c r="N290" i="4"/>
  <c r="V290" i="4" s="1"/>
  <c r="AE785" i="25" s="1"/>
  <c r="N130" i="4"/>
  <c r="N442" i="4"/>
  <c r="W442" i="4" s="1"/>
  <c r="N94" i="4"/>
  <c r="N162" i="4"/>
  <c r="W657" i="25" s="1"/>
  <c r="AJ657" i="25" s="1"/>
  <c r="N336" i="4"/>
  <c r="N277" i="4"/>
  <c r="W772" i="25" s="1"/>
  <c r="AJ772" i="25" s="1"/>
  <c r="N169" i="4"/>
  <c r="W664" i="25" s="1"/>
  <c r="AJ664" i="25" s="1"/>
  <c r="N157" i="4"/>
  <c r="N176" i="4"/>
  <c r="N221" i="4"/>
  <c r="N226" i="4"/>
  <c r="W721" i="25" s="1"/>
  <c r="AJ721" i="25" s="1"/>
  <c r="N259" i="4"/>
  <c r="N211" i="4"/>
  <c r="W706" i="25" s="1"/>
  <c r="AJ706" i="25" s="1"/>
  <c r="N256" i="4"/>
  <c r="N237" i="4"/>
  <c r="W732" i="25" s="1"/>
  <c r="AJ732" i="25" s="1"/>
  <c r="N184" i="4"/>
  <c r="N296" i="4"/>
  <c r="N267" i="4"/>
  <c r="N12" i="4"/>
  <c r="W507" i="25" s="1"/>
  <c r="AJ507" i="25" s="1"/>
  <c r="N139" i="4"/>
  <c r="W634" i="25" s="1"/>
  <c r="AJ634" i="25" s="1"/>
  <c r="N219" i="4"/>
  <c r="N138" i="4"/>
  <c r="N328" i="4"/>
  <c r="V328" i="4" s="1"/>
  <c r="AE823" i="25" s="1"/>
  <c r="N339" i="4"/>
  <c r="W834" i="25" s="1"/>
  <c r="AJ834" i="25" s="1"/>
  <c r="N108" i="4"/>
  <c r="N57" i="4"/>
  <c r="W552" i="25" s="1"/>
  <c r="AJ552" i="25" s="1"/>
  <c r="N418" i="4"/>
  <c r="V418" i="4" s="1"/>
  <c r="N445" i="4"/>
  <c r="N196" i="4"/>
  <c r="W691" i="25" s="1"/>
  <c r="AJ691" i="25" s="1"/>
  <c r="N35" i="4"/>
  <c r="V35" i="4" s="1"/>
  <c r="AE530" i="25" s="1"/>
  <c r="N235" i="4"/>
  <c r="N411" i="4"/>
  <c r="V411" i="4" s="1"/>
  <c r="N29" i="4"/>
  <c r="W524" i="25" s="1"/>
  <c r="AJ524" i="25" s="1"/>
  <c r="N426" i="4"/>
  <c r="W426" i="4" s="1"/>
  <c r="N307" i="4"/>
  <c r="W307" i="4" s="1"/>
  <c r="AF802" i="25" s="1"/>
  <c r="N415" i="4"/>
  <c r="W415" i="4" s="1"/>
  <c r="N416" i="4"/>
  <c r="N140" i="4"/>
  <c r="W635" i="25" s="1"/>
  <c r="AJ635" i="25" s="1"/>
  <c r="N255" i="4"/>
  <c r="N20" i="4"/>
  <c r="W515" i="25" s="1"/>
  <c r="AJ515" i="25" s="1"/>
  <c r="N84" i="4"/>
  <c r="N422" i="4"/>
  <c r="W422" i="4" s="1"/>
  <c r="N248" i="4"/>
  <c r="W743" i="25" s="1"/>
  <c r="AJ743" i="25" s="1"/>
  <c r="N410" i="4"/>
  <c r="V410" i="4" s="1"/>
  <c r="N50" i="4"/>
  <c r="W545" i="25" s="1"/>
  <c r="AJ545" i="25" s="1"/>
  <c r="N276" i="4"/>
  <c r="W771" i="25" s="1"/>
  <c r="AJ771" i="25" s="1"/>
  <c r="N116" i="4"/>
  <c r="N92" i="4"/>
  <c r="N85" i="4"/>
  <c r="W580" i="25" s="1"/>
  <c r="AJ580" i="25" s="1"/>
  <c r="N407" i="4"/>
  <c r="V407" i="4" s="1"/>
  <c r="N132" i="4"/>
  <c r="W627" i="25" s="1"/>
  <c r="AJ627" i="25" s="1"/>
  <c r="N325" i="4"/>
  <c r="N41" i="4"/>
  <c r="W536" i="25" s="1"/>
  <c r="AJ536" i="25" s="1"/>
  <c r="N113" i="4"/>
  <c r="N435" i="4"/>
  <c r="V435" i="4" s="1"/>
  <c r="N98" i="4"/>
  <c r="W593" i="25" s="1"/>
  <c r="AJ593" i="25" s="1"/>
  <c r="N268" i="4"/>
  <c r="N406" i="4"/>
  <c r="W406" i="4" s="1"/>
  <c r="N141" i="4"/>
  <c r="W636" i="25" s="1"/>
  <c r="AJ636" i="25" s="1"/>
  <c r="N189" i="4"/>
  <c r="W684" i="25" s="1"/>
  <c r="AJ684" i="25" s="1"/>
  <c r="N72" i="4"/>
  <c r="W567" i="25" s="1"/>
  <c r="AJ567" i="25" s="1"/>
  <c r="N107" i="4"/>
  <c r="N402" i="4"/>
  <c r="N450" i="4"/>
  <c r="N271" i="4"/>
  <c r="N225" i="4"/>
  <c r="N49" i="4"/>
  <c r="N105" i="4"/>
  <c r="N197" i="4"/>
  <c r="W692" i="25" s="1"/>
  <c r="AJ692" i="25" s="1"/>
  <c r="N178" i="4"/>
  <c r="N59" i="4"/>
  <c r="N312" i="4"/>
  <c r="W404" i="4"/>
  <c r="V404" i="4"/>
  <c r="N195" i="4"/>
  <c r="N8" i="4"/>
  <c r="W503" i="25" s="1"/>
  <c r="AJ503" i="25" s="1"/>
  <c r="N32" i="4"/>
  <c r="W527" i="25" s="1"/>
  <c r="AJ527" i="25" s="1"/>
  <c r="N56" i="4"/>
  <c r="W551" i="25" s="1"/>
  <c r="AJ551" i="25" s="1"/>
  <c r="N27" i="4"/>
  <c r="N322" i="4"/>
  <c r="N145" i="4"/>
  <c r="N65" i="4"/>
  <c r="W560" i="25" s="1"/>
  <c r="AJ560" i="25" s="1"/>
  <c r="N121" i="4"/>
  <c r="N133" i="4"/>
  <c r="W628" i="25" s="1"/>
  <c r="AJ628" i="25" s="1"/>
  <c r="N230" i="4"/>
  <c r="N302" i="4"/>
  <c r="W797" i="25" s="1"/>
  <c r="AJ797" i="25" s="1"/>
  <c r="N146" i="4"/>
  <c r="N16" i="4"/>
  <c r="N77" i="4"/>
  <c r="N67" i="4"/>
  <c r="N239" i="4"/>
  <c r="N231" i="4"/>
  <c r="V451" i="4"/>
  <c r="W451" i="4"/>
  <c r="N10" i="4"/>
  <c r="W505" i="25" s="1"/>
  <c r="AJ505" i="25" s="1"/>
  <c r="N186" i="4"/>
  <c r="W681" i="25" s="1"/>
  <c r="AJ681" i="25" s="1"/>
  <c r="N40" i="4"/>
  <c r="W535" i="25" s="1"/>
  <c r="AJ535" i="25" s="1"/>
  <c r="N64" i="4"/>
  <c r="W559" i="25" s="1"/>
  <c r="AJ559" i="25" s="1"/>
  <c r="N93" i="4"/>
  <c r="W588" i="25" s="1"/>
  <c r="AJ588" i="25" s="1"/>
  <c r="N74" i="4"/>
  <c r="W569" i="25" s="1"/>
  <c r="AJ569" i="25" s="1"/>
  <c r="N11" i="4"/>
  <c r="W506" i="25" s="1"/>
  <c r="AJ506" i="25" s="1"/>
  <c r="N99" i="4"/>
  <c r="W594" i="25" s="1"/>
  <c r="AJ594" i="25" s="1"/>
  <c r="N187" i="4"/>
  <c r="W682" i="25" s="1"/>
  <c r="AJ682" i="25" s="1"/>
  <c r="N447" i="4"/>
  <c r="N125" i="4"/>
  <c r="W620" i="25" s="1"/>
  <c r="AJ620" i="25" s="1"/>
  <c r="N43" i="4"/>
  <c r="W538" i="25" s="1"/>
  <c r="AJ538" i="25" s="1"/>
  <c r="N75" i="4"/>
  <c r="W570" i="25" s="1"/>
  <c r="AJ570" i="25" s="1"/>
  <c r="N249" i="4"/>
  <c r="W409" i="4"/>
  <c r="V409" i="4"/>
  <c r="N430" i="4"/>
  <c r="N117" i="4"/>
  <c r="W612" i="25" s="1"/>
  <c r="AJ612" i="25" s="1"/>
  <c r="N24" i="4"/>
  <c r="W519" i="25" s="1"/>
  <c r="AJ519" i="25" s="1"/>
  <c r="N48" i="4"/>
  <c r="W543" i="25" s="1"/>
  <c r="AJ543" i="25" s="1"/>
  <c r="N273" i="4"/>
  <c r="V413" i="4"/>
  <c r="W413" i="4"/>
  <c r="N58" i="4"/>
  <c r="W553" i="25" s="1"/>
  <c r="AJ553" i="25" s="1"/>
  <c r="N13" i="4"/>
  <c r="W508" i="25" s="1"/>
  <c r="AJ508" i="25" s="1"/>
  <c r="N194" i="4"/>
  <c r="W689" i="25" s="1"/>
  <c r="AJ689" i="25" s="1"/>
  <c r="N431" i="4"/>
  <c r="N439" i="4"/>
  <c r="N83" i="4"/>
  <c r="W578" i="25" s="1"/>
  <c r="AJ578" i="25" s="1"/>
  <c r="N443" i="4"/>
  <c r="N279" i="4"/>
  <c r="N284" i="4"/>
  <c r="N260" i="4"/>
  <c r="N238" i="4"/>
  <c r="N286" i="4"/>
  <c r="N438" i="4"/>
  <c r="N114" i="4"/>
  <c r="W609" i="25" s="1"/>
  <c r="AJ609" i="25" s="1"/>
  <c r="N91" i="4"/>
  <c r="W586" i="25" s="1"/>
  <c r="AJ586" i="25" s="1"/>
  <c r="N252" i="4"/>
  <c r="N324" i="4"/>
  <c r="N321" i="4"/>
  <c r="N262" i="4"/>
  <c r="N326" i="4"/>
  <c r="N129" i="4"/>
  <c r="N414" i="4"/>
  <c r="N109" i="4"/>
  <c r="W604" i="25" s="1"/>
  <c r="AJ604" i="25" s="1"/>
  <c r="N423" i="4"/>
  <c r="N311" i="4"/>
  <c r="N335" i="4"/>
  <c r="N161" i="4"/>
  <c r="W656" i="25" s="1"/>
  <c r="AJ656" i="25" s="1"/>
  <c r="N201" i="4"/>
  <c r="W696" i="25" s="1"/>
  <c r="AJ696" i="25" s="1"/>
  <c r="N278" i="4"/>
  <c r="N81" i="4"/>
  <c r="W576" i="25" s="1"/>
  <c r="AJ576" i="25" s="1"/>
  <c r="N177" i="4"/>
  <c r="W672" i="25" s="1"/>
  <c r="AJ672" i="25" s="1"/>
  <c r="N265" i="4"/>
  <c r="N244" i="4"/>
  <c r="N17" i="4"/>
  <c r="W512" i="25" s="1"/>
  <c r="AJ512" i="25" s="1"/>
  <c r="N73" i="4"/>
  <c r="W568" i="25" s="1"/>
  <c r="AJ568" i="25" s="1"/>
  <c r="N137" i="4"/>
  <c r="W632" i="25" s="1"/>
  <c r="AJ632" i="25" s="1"/>
  <c r="N287" i="4"/>
  <c r="N33" i="4"/>
  <c r="W528" i="25" s="1"/>
  <c r="AJ528" i="25" s="1"/>
  <c r="N97" i="4"/>
  <c r="W592" i="25" s="1"/>
  <c r="AJ592" i="25" s="1"/>
  <c r="N193" i="4"/>
  <c r="W688" i="25" s="1"/>
  <c r="AJ688" i="25" s="1"/>
  <c r="N9" i="4"/>
  <c r="W504" i="25" s="1"/>
  <c r="AJ504" i="25" s="1"/>
  <c r="N297" i="4"/>
  <c r="N236" i="4"/>
  <c r="N340" i="4"/>
  <c r="N209" i="4"/>
  <c r="W704" i="25" s="1"/>
  <c r="AJ704" i="25" s="1"/>
  <c r="N89" i="4"/>
  <c r="W584" i="25" s="1"/>
  <c r="AJ584" i="25" s="1"/>
  <c r="N153" i="4"/>
  <c r="W648" i="25" s="1"/>
  <c r="AJ648" i="25" s="1"/>
  <c r="N303" i="4"/>
  <c r="N300" i="4"/>
  <c r="V300" i="4" s="1"/>
  <c r="AE795" i="25" s="1"/>
  <c r="N25" i="4"/>
  <c r="W520" i="25" s="1"/>
  <c r="AJ520" i="25" s="1"/>
  <c r="N185" i="4"/>
  <c r="W680" i="25" s="1"/>
  <c r="AJ680" i="25" s="1"/>
  <c r="N310" i="4"/>
  <c r="W805" i="25" s="1"/>
  <c r="AJ805" i="25" s="1"/>
  <c r="N327" i="4"/>
  <c r="W822" i="25" s="1"/>
  <c r="AJ822" i="25" s="1"/>
  <c r="N316" i="4"/>
  <c r="W811" i="25" s="1"/>
  <c r="AJ811" i="25" s="1"/>
  <c r="N247" i="4"/>
  <c r="W742" i="25" s="1"/>
  <c r="AJ742" i="25" s="1"/>
  <c r="N289" i="4"/>
  <c r="W784" i="25" s="1"/>
  <c r="AJ784" i="25" s="1"/>
  <c r="N305" i="4"/>
  <c r="W800" i="25" s="1"/>
  <c r="AJ800" i="25" s="1"/>
  <c r="N313" i="4"/>
  <c r="W808" i="25" s="1"/>
  <c r="AJ808" i="25" s="1"/>
  <c r="N241" i="4"/>
  <c r="W736" i="25" s="1"/>
  <c r="AJ736" i="25" s="1"/>
  <c r="N337" i="4"/>
  <c r="W832" i="25" s="1"/>
  <c r="AJ832" i="25" s="1"/>
  <c r="N263" i="4"/>
  <c r="W758" i="25" s="1"/>
  <c r="AJ758" i="25" s="1"/>
  <c r="N233" i="4"/>
  <c r="W728" i="25" s="1"/>
  <c r="AJ728" i="25" s="1"/>
  <c r="N308" i="4"/>
  <c r="W803" i="25" s="1"/>
  <c r="AJ803" i="25" s="1"/>
  <c r="N329" i="4"/>
  <c r="W824" i="25" s="1"/>
  <c r="AJ824" i="25" s="1"/>
  <c r="N294" i="4"/>
  <c r="W789" i="25" s="1"/>
  <c r="AJ789" i="25" s="1"/>
  <c r="N295" i="4"/>
  <c r="W790" i="25" s="1"/>
  <c r="AJ790" i="25" s="1"/>
  <c r="N257" i="4"/>
  <c r="W752" i="25" s="1"/>
  <c r="AJ752" i="25" s="1"/>
  <c r="N292" i="4"/>
  <c r="W787" i="25" s="1"/>
  <c r="AJ787" i="25" s="1"/>
  <c r="N332" i="4"/>
  <c r="W827" i="25" s="1"/>
  <c r="AJ827" i="25" s="1"/>
  <c r="N281" i="4"/>
  <c r="W776" i="25" s="1"/>
  <c r="AJ776" i="25" s="1"/>
  <c r="N246" i="4"/>
  <c r="W741" i="25" s="1"/>
  <c r="AJ741" i="25" s="1"/>
  <c r="N270" i="4"/>
  <c r="W765" i="25" s="1"/>
  <c r="AJ765" i="25" s="1"/>
  <c r="N334" i="4"/>
  <c r="W829" i="25" s="1"/>
  <c r="AJ829" i="25" s="1"/>
  <c r="I8" i="28"/>
  <c r="I9" i="28"/>
  <c r="I10" i="28"/>
  <c r="I11" i="28"/>
  <c r="I12" i="28"/>
  <c r="I13" i="28"/>
  <c r="I14" i="28"/>
  <c r="I15" i="28"/>
  <c r="I16" i="28"/>
  <c r="I17" i="28"/>
  <c r="I18" i="28"/>
  <c r="I19" i="28"/>
  <c r="I20" i="28"/>
  <c r="I21" i="28"/>
  <c r="I22" i="28"/>
  <c r="I23" i="28"/>
  <c r="I24" i="28"/>
  <c r="I25" i="28"/>
  <c r="I26" i="28"/>
  <c r="I27" i="28"/>
  <c r="I28" i="28"/>
  <c r="I29" i="28"/>
  <c r="I30" i="28"/>
  <c r="I31" i="28"/>
  <c r="I32" i="28"/>
  <c r="I7" i="28"/>
  <c r="H7" i="28" a="1"/>
  <c r="H7" i="28" s="1"/>
  <c r="H13" i="28" a="1"/>
  <c r="H13" i="28" s="1"/>
  <c r="H20" i="28" a="1"/>
  <c r="H20" i="28" s="1"/>
  <c r="H21" i="28" a="1"/>
  <c r="H21" i="28" s="1"/>
  <c r="H28" i="28" a="1"/>
  <c r="H28" i="28" s="1"/>
  <c r="H29" i="28" a="1"/>
  <c r="H29" i="28" s="1"/>
  <c r="H8" i="28" a="1"/>
  <c r="H8" i="28" s="1"/>
  <c r="H9" i="28" a="1"/>
  <c r="H9" i="28" s="1"/>
  <c r="H10" i="28" a="1"/>
  <c r="H10" i="28" s="1"/>
  <c r="H11" i="28" a="1"/>
  <c r="H11" i="28" s="1"/>
  <c r="H12" i="28" a="1"/>
  <c r="H12" i="28" s="1"/>
  <c r="H15" i="28" a="1"/>
  <c r="H15" i="28" s="1"/>
  <c r="H16" i="28" a="1"/>
  <c r="H16" i="28" s="1"/>
  <c r="H17" i="28" a="1"/>
  <c r="H17" i="28" s="1"/>
  <c r="H18" i="28" a="1"/>
  <c r="H18" i="28" s="1"/>
  <c r="H19" i="28" a="1"/>
  <c r="H19" i="28" s="1"/>
  <c r="H23" i="28" a="1"/>
  <c r="H23" i="28" s="1"/>
  <c r="H24" i="28" a="1"/>
  <c r="H24" i="28" s="1"/>
  <c r="H25" i="28" a="1"/>
  <c r="H25" i="28" s="1"/>
  <c r="H26" i="28" a="1"/>
  <c r="H26" i="28" s="1"/>
  <c r="H27" i="28" a="1"/>
  <c r="H27" i="28" s="1"/>
  <c r="H31" i="28" a="1"/>
  <c r="H31" i="28" s="1"/>
  <c r="H32" i="28"/>
  <c r="V333" i="4" l="1"/>
  <c r="AE828" i="25" s="1"/>
  <c r="W288" i="30"/>
  <c r="AF1057" i="25" s="1"/>
  <c r="V288" i="30"/>
  <c r="AE1057" i="25" s="1"/>
  <c r="W448" i="4"/>
  <c r="W405" i="4"/>
  <c r="W143" i="4"/>
  <c r="AF638" i="25" s="1"/>
  <c r="V203" i="4"/>
  <c r="AE698" i="25" s="1"/>
  <c r="W419" i="4"/>
  <c r="V441" i="4"/>
  <c r="V449" i="4"/>
  <c r="W242" i="4"/>
  <c r="AF737" i="25" s="1"/>
  <c r="W429" i="4"/>
  <c r="W437" i="4"/>
  <c r="W424" i="4"/>
  <c r="W214" i="4"/>
  <c r="AF709" i="25" s="1"/>
  <c r="W444" i="4"/>
  <c r="V136" i="4"/>
  <c r="AE631" i="25" s="1"/>
  <c r="V142" i="4"/>
  <c r="AE637" i="25" s="1"/>
  <c r="W200" i="4"/>
  <c r="AF695" i="25" s="1"/>
  <c r="V436" i="4"/>
  <c r="W637" i="25"/>
  <c r="AJ637" i="25" s="1"/>
  <c r="W203" i="4"/>
  <c r="AF698" i="25" s="1"/>
  <c r="W36" i="4"/>
  <c r="AF531" i="25" s="1"/>
  <c r="V28" i="4"/>
  <c r="AE523" i="25" s="1"/>
  <c r="W102" i="4"/>
  <c r="AF597" i="25" s="1"/>
  <c r="V228" i="4"/>
  <c r="AE723" i="25" s="1"/>
  <c r="W206" i="4"/>
  <c r="AF701" i="25" s="1"/>
  <c r="V412" i="4"/>
  <c r="W31" i="4"/>
  <c r="AF526" i="25" s="1"/>
  <c r="V258" i="4"/>
  <c r="AE753" i="25" s="1"/>
  <c r="V192" i="4"/>
  <c r="AE687" i="25" s="1"/>
  <c r="W190" i="4"/>
  <c r="AF685" i="25" s="1"/>
  <c r="W597" i="25"/>
  <c r="AJ597" i="25" s="1"/>
  <c r="V152" i="4"/>
  <c r="AE647" i="25" s="1"/>
  <c r="V36" i="4"/>
  <c r="AE531" i="25" s="1"/>
  <c r="W134" i="4"/>
  <c r="AF629" i="25" s="1"/>
  <c r="V330" i="4"/>
  <c r="AE825" i="25" s="1"/>
  <c r="W629" i="25"/>
  <c r="AJ629" i="25" s="1"/>
  <c r="V446" i="4"/>
  <c r="W440" i="4"/>
  <c r="V14" i="4"/>
  <c r="AE509" i="25" s="1"/>
  <c r="W287" i="30"/>
  <c r="AF1056" i="25" s="1"/>
  <c r="V287" i="30"/>
  <c r="AE1056" i="25" s="1"/>
  <c r="V151" i="4"/>
  <c r="AE646" i="25" s="1"/>
  <c r="W152" i="4"/>
  <c r="AF647" i="25" s="1"/>
  <c r="W701" i="25"/>
  <c r="AJ701" i="25" s="1"/>
  <c r="V304" i="4"/>
  <c r="AE799" i="25" s="1"/>
  <c r="V143" i="4"/>
  <c r="AE638" i="25" s="1"/>
  <c r="W168" i="4"/>
  <c r="AF663" i="25" s="1"/>
  <c r="V218" i="4"/>
  <c r="AE713" i="25" s="1"/>
  <c r="V253" i="4"/>
  <c r="AE748" i="25" s="1"/>
  <c r="V190" i="4"/>
  <c r="AE685" i="25" s="1"/>
  <c r="V162" i="4"/>
  <c r="AE657" i="25" s="1"/>
  <c r="V120" i="4"/>
  <c r="AE615" i="25" s="1"/>
  <c r="W509" i="25"/>
  <c r="AJ509" i="25" s="1"/>
  <c r="W317" i="4"/>
  <c r="AF812" i="25" s="1"/>
  <c r="V31" i="4"/>
  <c r="AE526" i="25" s="1"/>
  <c r="W120" i="4"/>
  <c r="AF615" i="25" s="1"/>
  <c r="W229" i="4"/>
  <c r="AF724" i="25" s="1"/>
  <c r="W408" i="4"/>
  <c r="V131" i="4"/>
  <c r="AE626" i="25" s="1"/>
  <c r="V301" i="4"/>
  <c r="AE796" i="25" s="1"/>
  <c r="W258" i="4"/>
  <c r="AF753" i="25" s="1"/>
  <c r="W151" i="4"/>
  <c r="AF646" i="25" s="1"/>
  <c r="W301" i="4"/>
  <c r="AF796" i="25" s="1"/>
  <c r="W234" i="4"/>
  <c r="AF729" i="25" s="1"/>
  <c r="V154" i="4"/>
  <c r="AE649" i="25" s="1"/>
  <c r="W154" i="4"/>
  <c r="AF649" i="25" s="1"/>
  <c r="W729" i="25"/>
  <c r="AJ729" i="25" s="1"/>
  <c r="W63" i="4"/>
  <c r="AF558" i="25" s="1"/>
  <c r="V79" i="4"/>
  <c r="AE574" i="25" s="1"/>
  <c r="W159" i="4"/>
  <c r="AF654" i="25" s="1"/>
  <c r="V250" i="4"/>
  <c r="AE745" i="25" s="1"/>
  <c r="V110" i="4"/>
  <c r="AE605" i="25" s="1"/>
  <c r="W250" i="4"/>
  <c r="AF745" i="25" s="1"/>
  <c r="V168" i="4"/>
  <c r="AE663" i="25" s="1"/>
  <c r="W136" i="4"/>
  <c r="AF631" i="25" s="1"/>
  <c r="W79" i="4"/>
  <c r="AF574" i="25" s="1"/>
  <c r="W44" i="4"/>
  <c r="AF539" i="25" s="1"/>
  <c r="V44" i="4"/>
  <c r="AE539" i="25" s="1"/>
  <c r="W261" i="4"/>
  <c r="AF756" i="25" s="1"/>
  <c r="V87" i="4"/>
  <c r="AE582" i="25" s="1"/>
  <c r="V261" i="4"/>
  <c r="AE756" i="25" s="1"/>
  <c r="W87" i="4"/>
  <c r="AF582" i="25" s="1"/>
  <c r="W333" i="4"/>
  <c r="AF828" i="25" s="1"/>
  <c r="W28" i="4"/>
  <c r="AF523" i="25" s="1"/>
  <c r="W174" i="4"/>
  <c r="AF669" i="25" s="1"/>
  <c r="V174" i="4"/>
  <c r="AE669" i="25" s="1"/>
  <c r="V127" i="4"/>
  <c r="AE622" i="25" s="1"/>
  <c r="V68" i="4"/>
  <c r="AE563" i="25" s="1"/>
  <c r="V95" i="4"/>
  <c r="AE590" i="25" s="1"/>
  <c r="V207" i="4"/>
  <c r="AE702" i="25" s="1"/>
  <c r="W127" i="4"/>
  <c r="AF622" i="25" s="1"/>
  <c r="W68" i="4"/>
  <c r="AF563" i="25" s="1"/>
  <c r="W95" i="4"/>
  <c r="AF590" i="25" s="1"/>
  <c r="W207" i="4"/>
  <c r="AF702" i="25" s="1"/>
  <c r="W245" i="4"/>
  <c r="AF740" i="25" s="1"/>
  <c r="W202" i="4"/>
  <c r="AF697" i="25" s="1"/>
  <c r="V245" i="4"/>
  <c r="AE740" i="25" s="1"/>
  <c r="W118" i="4"/>
  <c r="AF613" i="25" s="1"/>
  <c r="V317" i="4"/>
  <c r="AE812" i="25" s="1"/>
  <c r="V202" i="4"/>
  <c r="AE697" i="25" s="1"/>
  <c r="V118" i="4"/>
  <c r="AE613" i="25" s="1"/>
  <c r="V242" i="4"/>
  <c r="AE737" i="25" s="1"/>
  <c r="W110" i="4"/>
  <c r="AF605" i="25" s="1"/>
  <c r="V55" i="4"/>
  <c r="AE550" i="25" s="1"/>
  <c r="W162" i="4"/>
  <c r="AF657" i="25" s="1"/>
  <c r="W253" i="4"/>
  <c r="AF748" i="25" s="1"/>
  <c r="W149" i="4"/>
  <c r="AF644" i="25" s="1"/>
  <c r="V432" i="4"/>
  <c r="V165" i="4"/>
  <c r="AE660" i="25" s="1"/>
  <c r="W266" i="4"/>
  <c r="AF761" i="25" s="1"/>
  <c r="W55" i="4"/>
  <c r="AF550" i="25" s="1"/>
  <c r="V149" i="4"/>
  <c r="AE644" i="25" s="1"/>
  <c r="V166" i="4"/>
  <c r="AE661" i="25" s="1"/>
  <c r="V266" i="4"/>
  <c r="AE761" i="25" s="1"/>
  <c r="V179" i="4"/>
  <c r="AE674" i="25" s="1"/>
  <c r="W166" i="4"/>
  <c r="AF661" i="25" s="1"/>
  <c r="W304" i="4"/>
  <c r="AF799" i="25" s="1"/>
  <c r="V223" i="4"/>
  <c r="AE718" i="25" s="1"/>
  <c r="W179" i="4"/>
  <c r="AF674" i="25" s="1"/>
  <c r="W223" i="4"/>
  <c r="AF718" i="25" s="1"/>
  <c r="V21" i="4"/>
  <c r="AE516" i="25" s="1"/>
  <c r="V229" i="4"/>
  <c r="AE724" i="25" s="1"/>
  <c r="V63" i="4"/>
  <c r="AE558" i="25" s="1"/>
  <c r="V52" i="4"/>
  <c r="AE547" i="25" s="1"/>
  <c r="W124" i="4"/>
  <c r="AF619" i="25" s="1"/>
  <c r="W131" i="4"/>
  <c r="AF626" i="25" s="1"/>
  <c r="W52" i="4"/>
  <c r="AF547" i="25" s="1"/>
  <c r="W228" i="4"/>
  <c r="AF723" i="25" s="1"/>
  <c r="V214" i="4"/>
  <c r="AE709" i="25" s="1"/>
  <c r="W112" i="4"/>
  <c r="AF607" i="25" s="1"/>
  <c r="W80" i="4"/>
  <c r="AF575" i="25" s="1"/>
  <c r="W45" i="4"/>
  <c r="AF540" i="25" s="1"/>
  <c r="V213" i="4"/>
  <c r="AE708" i="25" s="1"/>
  <c r="V70" i="4"/>
  <c r="AE565" i="25" s="1"/>
  <c r="W70" i="4"/>
  <c r="AF565" i="25" s="1"/>
  <c r="W38" i="4"/>
  <c r="AF533" i="25" s="1"/>
  <c r="V38" i="4"/>
  <c r="AE533" i="25" s="1"/>
  <c r="V30" i="4"/>
  <c r="AE525" i="25" s="1"/>
  <c r="W12" i="4"/>
  <c r="AF507" i="25" s="1"/>
  <c r="W516" i="25"/>
  <c r="AJ516" i="25" s="1"/>
  <c r="V248" i="4"/>
  <c r="AE743" i="25" s="1"/>
  <c r="W101" i="4"/>
  <c r="AF596" i="25" s="1"/>
  <c r="W275" i="4"/>
  <c r="AF770" i="25" s="1"/>
  <c r="W248" i="4"/>
  <c r="AF743" i="25" s="1"/>
  <c r="V339" i="4"/>
  <c r="AE834" i="25" s="1"/>
  <c r="W339" i="4"/>
  <c r="AF834" i="25" s="1"/>
  <c r="W192" i="4"/>
  <c r="AF687" i="25" s="1"/>
  <c r="W218" i="4"/>
  <c r="AF713" i="25" s="1"/>
  <c r="V112" i="4"/>
  <c r="AE607" i="25" s="1"/>
  <c r="V45" i="4"/>
  <c r="AE540" i="25" s="1"/>
  <c r="W575" i="25"/>
  <c r="AJ575" i="25" s="1"/>
  <c r="W276" i="4"/>
  <c r="AF771" i="25" s="1"/>
  <c r="W213" i="4"/>
  <c r="AF708" i="25" s="1"/>
  <c r="W30" i="4"/>
  <c r="AF525" i="25" s="1"/>
  <c r="V276" i="4"/>
  <c r="AE771" i="25" s="1"/>
  <c r="V224" i="4"/>
  <c r="AE719" i="25" s="1"/>
  <c r="V323" i="4"/>
  <c r="AE818" i="25" s="1"/>
  <c r="V306" i="4"/>
  <c r="AE801" i="25" s="1"/>
  <c r="V433" i="4"/>
  <c r="V338" i="4"/>
  <c r="AE833" i="25" s="1"/>
  <c r="W338" i="4"/>
  <c r="AF833" i="25" s="1"/>
  <c r="V71" i="4"/>
  <c r="AE566" i="25" s="1"/>
  <c r="W211" i="4"/>
  <c r="AF706" i="25" s="1"/>
  <c r="V115" i="4"/>
  <c r="AE610" i="25" s="1"/>
  <c r="V275" i="4"/>
  <c r="AE770" i="25" s="1"/>
  <c r="W71" i="4"/>
  <c r="AF566" i="25" s="1"/>
  <c r="V211" i="4"/>
  <c r="AE706" i="25" s="1"/>
  <c r="V66" i="4"/>
  <c r="AE561" i="25" s="1"/>
  <c r="W66" i="4"/>
  <c r="AF561" i="25" s="1"/>
  <c r="W323" i="4"/>
  <c r="AF818" i="25" s="1"/>
  <c r="W224" i="4"/>
  <c r="AF719" i="25" s="1"/>
  <c r="W115" i="4"/>
  <c r="AF610" i="25" s="1"/>
  <c r="W330" i="4"/>
  <c r="AF825" i="25" s="1"/>
  <c r="V318" i="4"/>
  <c r="AE813" i="25" s="1"/>
  <c r="W306" i="4"/>
  <c r="AF801" i="25" s="1"/>
  <c r="W57" i="4"/>
  <c r="AF552" i="25" s="1"/>
  <c r="V144" i="4"/>
  <c r="AE639" i="25" s="1"/>
  <c r="V20" i="4"/>
  <c r="AE515" i="25" s="1"/>
  <c r="W20" i="4"/>
  <c r="AF515" i="25" s="1"/>
  <c r="W318" i="4"/>
  <c r="AF813" i="25" s="1"/>
  <c r="W41" i="4"/>
  <c r="AF536" i="25" s="1"/>
  <c r="V57" i="4"/>
  <c r="AE552" i="25" s="1"/>
  <c r="W144" i="4"/>
  <c r="AF639" i="25" s="1"/>
  <c r="V251" i="4"/>
  <c r="AE746" i="25" s="1"/>
  <c r="V41" i="4"/>
  <c r="AE536" i="25" s="1"/>
  <c r="V167" i="4"/>
  <c r="AE662" i="25" s="1"/>
  <c r="V264" i="4"/>
  <c r="AE759" i="25" s="1"/>
  <c r="V309" i="4"/>
  <c r="AE804" i="25" s="1"/>
  <c r="W251" i="4"/>
  <c r="AF746" i="25" s="1"/>
  <c r="W167" i="4"/>
  <c r="AF662" i="25" s="1"/>
  <c r="V191" i="4"/>
  <c r="AE686" i="25" s="1"/>
  <c r="W180" i="4"/>
  <c r="AF675" i="25" s="1"/>
  <c r="V42" i="4"/>
  <c r="AE537" i="25" s="1"/>
  <c r="W210" i="4"/>
  <c r="AF705" i="25" s="1"/>
  <c r="V291" i="4"/>
  <c r="AE786" i="25" s="1"/>
  <c r="W264" i="4"/>
  <c r="AF759" i="25" s="1"/>
  <c r="W309" i="4"/>
  <c r="AF804" i="25" s="1"/>
  <c r="V183" i="4"/>
  <c r="AE678" i="25" s="1"/>
  <c r="V215" i="4"/>
  <c r="AE710" i="25" s="1"/>
  <c r="W191" i="4"/>
  <c r="AF686" i="25" s="1"/>
  <c r="V180" i="4"/>
  <c r="AE675" i="25" s="1"/>
  <c r="V150" i="4"/>
  <c r="AE645" i="25" s="1"/>
  <c r="V210" i="4"/>
  <c r="AE705" i="25" s="1"/>
  <c r="V37" i="4"/>
  <c r="AE532" i="25" s="1"/>
  <c r="W291" i="4"/>
  <c r="AF786" i="25" s="1"/>
  <c r="W183" i="4"/>
  <c r="AF678" i="25" s="1"/>
  <c r="W215" i="4"/>
  <c r="AF710" i="25" s="1"/>
  <c r="V119" i="4"/>
  <c r="AE614" i="25" s="1"/>
  <c r="W150" i="4"/>
  <c r="AF645" i="25" s="1"/>
  <c r="V124" i="4"/>
  <c r="AE619" i="25" s="1"/>
  <c r="V101" i="4"/>
  <c r="AE596" i="25" s="1"/>
  <c r="W37" i="4"/>
  <c r="AF532" i="25" s="1"/>
  <c r="V272" i="4"/>
  <c r="AE767" i="25" s="1"/>
  <c r="W119" i="4"/>
  <c r="AF614" i="25" s="1"/>
  <c r="W42" i="4"/>
  <c r="AF537" i="25" s="1"/>
  <c r="W660" i="25"/>
  <c r="AJ660" i="25" s="1"/>
  <c r="W272" i="4"/>
  <c r="AF767" i="25" s="1"/>
  <c r="W319" i="4"/>
  <c r="AF814" i="25" s="1"/>
  <c r="V319" i="4"/>
  <c r="AE814" i="25" s="1"/>
  <c r="W205" i="4"/>
  <c r="AF700" i="25" s="1"/>
  <c r="W548" i="25"/>
  <c r="AJ548" i="25" s="1"/>
  <c r="V23" i="4"/>
  <c r="AE518" i="25" s="1"/>
  <c r="V15" i="4"/>
  <c r="AE510" i="25" s="1"/>
  <c r="V285" i="4"/>
  <c r="AE780" i="25" s="1"/>
  <c r="V205" i="4"/>
  <c r="AE700" i="25" s="1"/>
  <c r="W182" i="4"/>
  <c r="AF677" i="25" s="1"/>
  <c r="V331" i="4"/>
  <c r="AE826" i="25" s="1"/>
  <c r="W23" i="4"/>
  <c r="AF518" i="25" s="1"/>
  <c r="W15" i="4"/>
  <c r="AF510" i="25" s="1"/>
  <c r="W285" i="4"/>
  <c r="AF780" i="25" s="1"/>
  <c r="W46" i="4"/>
  <c r="AF541" i="25" s="1"/>
  <c r="V182" i="4"/>
  <c r="AE677" i="25" s="1"/>
  <c r="W331" i="4"/>
  <c r="AF826" i="25" s="1"/>
  <c r="V46" i="4"/>
  <c r="AE541" i="25" s="1"/>
  <c r="W62" i="4"/>
  <c r="AF557" i="25" s="1"/>
  <c r="W65" i="4"/>
  <c r="AF560" i="25" s="1"/>
  <c r="V65" i="4"/>
  <c r="AE560" i="25" s="1"/>
  <c r="V12" i="4"/>
  <c r="AE507" i="25" s="1"/>
  <c r="V62" i="4"/>
  <c r="AE557" i="25" s="1"/>
  <c r="V26" i="4"/>
  <c r="AE521" i="25" s="1"/>
  <c r="W583" i="25"/>
  <c r="AJ583" i="25" s="1"/>
  <c r="W26" i="4"/>
  <c r="AF521" i="25" s="1"/>
  <c r="V88" i="4"/>
  <c r="AE583" i="25" s="1"/>
  <c r="V282" i="4"/>
  <c r="AE777" i="25" s="1"/>
  <c r="V90" i="4"/>
  <c r="AE585" i="25" s="1"/>
  <c r="W280" i="4"/>
  <c r="AF775" i="25" s="1"/>
  <c r="W282" i="4"/>
  <c r="AF777" i="25" s="1"/>
  <c r="V111" i="4"/>
  <c r="AE606" i="25" s="1"/>
  <c r="W90" i="4"/>
  <c r="AF585" i="25" s="1"/>
  <c r="V53" i="4"/>
  <c r="AE548" i="25" s="1"/>
  <c r="V280" i="4"/>
  <c r="AE775" i="25" s="1"/>
  <c r="V274" i="4"/>
  <c r="AE769" i="25" s="1"/>
  <c r="W111" i="4"/>
  <c r="AF606" i="25" s="1"/>
  <c r="V76" i="4"/>
  <c r="AE571" i="25" s="1"/>
  <c r="W274" i="4"/>
  <c r="AF769" i="25" s="1"/>
  <c r="W76" i="4"/>
  <c r="AF571" i="25" s="1"/>
  <c r="V159" i="4"/>
  <c r="AE654" i="25" s="1"/>
  <c r="V200" i="4"/>
  <c r="AE695" i="25" s="1"/>
  <c r="W421" i="4"/>
  <c r="W427" i="4"/>
  <c r="V302" i="4"/>
  <c r="AE797" i="25" s="1"/>
  <c r="W302" i="4"/>
  <c r="AF797" i="25" s="1"/>
  <c r="W169" i="4"/>
  <c r="AF664" i="25" s="1"/>
  <c r="V169" i="4"/>
  <c r="AE664" i="25" s="1"/>
  <c r="W278" i="4"/>
  <c r="AF773" i="25" s="1"/>
  <c r="W773" i="25"/>
  <c r="AJ773" i="25" s="1"/>
  <c r="V155" i="4"/>
  <c r="AE650" i="25" s="1"/>
  <c r="W650" i="25"/>
  <c r="AJ650" i="25" s="1"/>
  <c r="V34" i="4"/>
  <c r="AE529" i="25" s="1"/>
  <c r="W529" i="25"/>
  <c r="AJ529" i="25" s="1"/>
  <c r="W34" i="4"/>
  <c r="AF529" i="25" s="1"/>
  <c r="V314" i="4"/>
  <c r="AE809" i="25" s="1"/>
  <c r="W236" i="4"/>
  <c r="AF731" i="25" s="1"/>
  <c r="W731" i="25"/>
  <c r="AJ731" i="25" s="1"/>
  <c r="W287" i="4"/>
  <c r="AF782" i="25" s="1"/>
  <c r="W782" i="25"/>
  <c r="AJ782" i="25" s="1"/>
  <c r="W129" i="4"/>
  <c r="AF624" i="25" s="1"/>
  <c r="W624" i="25"/>
  <c r="AJ624" i="25" s="1"/>
  <c r="V279" i="4"/>
  <c r="AE774" i="25" s="1"/>
  <c r="W774" i="25"/>
  <c r="AJ774" i="25" s="1"/>
  <c r="W403" i="4"/>
  <c r="V67" i="4"/>
  <c r="AE562" i="25" s="1"/>
  <c r="W562" i="25"/>
  <c r="AJ562" i="25" s="1"/>
  <c r="V49" i="4"/>
  <c r="AE544" i="25" s="1"/>
  <c r="W544" i="25"/>
  <c r="AJ544" i="25" s="1"/>
  <c r="V307" i="4"/>
  <c r="AE802" i="25" s="1"/>
  <c r="W802" i="25"/>
  <c r="AJ802" i="25" s="1"/>
  <c r="V219" i="4"/>
  <c r="AE714" i="25" s="1"/>
  <c r="W714" i="25"/>
  <c r="AJ714" i="25" s="1"/>
  <c r="W94" i="4"/>
  <c r="AF589" i="25" s="1"/>
  <c r="W589" i="25"/>
  <c r="AJ589" i="25" s="1"/>
  <c r="V122" i="4"/>
  <c r="AE617" i="25" s="1"/>
  <c r="W617" i="25"/>
  <c r="AJ617" i="25" s="1"/>
  <c r="W135" i="4"/>
  <c r="AF630" i="25" s="1"/>
  <c r="W630" i="25"/>
  <c r="AJ630" i="25" s="1"/>
  <c r="V173" i="4"/>
  <c r="AE668" i="25" s="1"/>
  <c r="W668" i="25"/>
  <c r="AJ668" i="25" s="1"/>
  <c r="V164" i="4"/>
  <c r="AE659" i="25" s="1"/>
  <c r="W659" i="25"/>
  <c r="AJ659" i="25" s="1"/>
  <c r="W175" i="4"/>
  <c r="AF670" i="25" s="1"/>
  <c r="W670" i="25"/>
  <c r="AJ670" i="25" s="1"/>
  <c r="V239" i="4"/>
  <c r="AE734" i="25" s="1"/>
  <c r="W734" i="25"/>
  <c r="AJ734" i="25" s="1"/>
  <c r="W105" i="4"/>
  <c r="AF600" i="25" s="1"/>
  <c r="W600" i="25"/>
  <c r="AJ600" i="25" s="1"/>
  <c r="W35" i="4"/>
  <c r="AF530" i="25" s="1"/>
  <c r="W530" i="25"/>
  <c r="AJ530" i="25" s="1"/>
  <c r="V157" i="4"/>
  <c r="AE652" i="25" s="1"/>
  <c r="W652" i="25"/>
  <c r="AJ652" i="25" s="1"/>
  <c r="W78" i="4"/>
  <c r="AF573" i="25" s="1"/>
  <c r="W573" i="25"/>
  <c r="AJ573" i="25" s="1"/>
  <c r="W314" i="4"/>
  <c r="AF809" i="25" s="1"/>
  <c r="V335" i="4"/>
  <c r="AE830" i="25" s="1"/>
  <c r="W830" i="25"/>
  <c r="AJ830" i="25" s="1"/>
  <c r="W326" i="4"/>
  <c r="AF821" i="25" s="1"/>
  <c r="W821" i="25"/>
  <c r="AJ821" i="25" s="1"/>
  <c r="W249" i="4"/>
  <c r="AF744" i="25" s="1"/>
  <c r="W744" i="25"/>
  <c r="AJ744" i="25" s="1"/>
  <c r="W77" i="4"/>
  <c r="AF572" i="25" s="1"/>
  <c r="W572" i="25"/>
  <c r="AJ572" i="25" s="1"/>
  <c r="V225" i="4"/>
  <c r="AE720" i="25" s="1"/>
  <c r="W720" i="25"/>
  <c r="AJ720" i="25" s="1"/>
  <c r="W325" i="4"/>
  <c r="AF820" i="25" s="1"/>
  <c r="W820" i="25"/>
  <c r="AJ820" i="25" s="1"/>
  <c r="V92" i="4"/>
  <c r="AE587" i="25" s="1"/>
  <c r="W587" i="25"/>
  <c r="AJ587" i="25" s="1"/>
  <c r="W108" i="4"/>
  <c r="AF603" i="25" s="1"/>
  <c r="W603" i="25"/>
  <c r="AJ603" i="25" s="1"/>
  <c r="W256" i="4"/>
  <c r="AF751" i="25" s="1"/>
  <c r="W751" i="25"/>
  <c r="AJ751" i="25" s="1"/>
  <c r="W232" i="4"/>
  <c r="AF727" i="25" s="1"/>
  <c r="W727" i="25"/>
  <c r="AJ727" i="25" s="1"/>
  <c r="V217" i="4"/>
  <c r="AE712" i="25" s="1"/>
  <c r="W712" i="25"/>
  <c r="AJ712" i="25" s="1"/>
  <c r="V172" i="4"/>
  <c r="AE667" i="25" s="1"/>
  <c r="W667" i="25"/>
  <c r="AJ667" i="25" s="1"/>
  <c r="W22" i="4"/>
  <c r="AF517" i="25" s="1"/>
  <c r="W517" i="25"/>
  <c r="AJ517" i="25" s="1"/>
  <c r="W171" i="4"/>
  <c r="AF666" i="25" s="1"/>
  <c r="W666" i="25"/>
  <c r="AJ666" i="25" s="1"/>
  <c r="V288" i="4"/>
  <c r="AE783" i="25" s="1"/>
  <c r="W783" i="25"/>
  <c r="AJ783" i="25" s="1"/>
  <c r="W54" i="4"/>
  <c r="AF549" i="25" s="1"/>
  <c r="W549" i="25"/>
  <c r="AJ549" i="25" s="1"/>
  <c r="W126" i="4"/>
  <c r="AF621" i="25" s="1"/>
  <c r="W621" i="25"/>
  <c r="AJ621" i="25" s="1"/>
  <c r="W244" i="4"/>
  <c r="AF739" i="25" s="1"/>
  <c r="W739" i="25"/>
  <c r="AJ739" i="25" s="1"/>
  <c r="W311" i="4"/>
  <c r="AF806" i="25" s="1"/>
  <c r="W806" i="25"/>
  <c r="AJ806" i="25" s="1"/>
  <c r="V262" i="4"/>
  <c r="AE757" i="25" s="1"/>
  <c r="W757" i="25"/>
  <c r="AJ757" i="25" s="1"/>
  <c r="V16" i="4"/>
  <c r="AE511" i="25" s="1"/>
  <c r="W511" i="25"/>
  <c r="AJ511" i="25" s="1"/>
  <c r="V121" i="4"/>
  <c r="AE616" i="25" s="1"/>
  <c r="W616" i="25"/>
  <c r="AJ616" i="25" s="1"/>
  <c r="V27" i="4"/>
  <c r="AE522" i="25" s="1"/>
  <c r="W522" i="25"/>
  <c r="AJ522" i="25" s="1"/>
  <c r="V271" i="4"/>
  <c r="AE766" i="25" s="1"/>
  <c r="W766" i="25"/>
  <c r="AJ766" i="25" s="1"/>
  <c r="V269" i="4"/>
  <c r="AE764" i="25" s="1"/>
  <c r="W116" i="4"/>
  <c r="AF611" i="25" s="1"/>
  <c r="W611" i="25"/>
  <c r="AJ611" i="25" s="1"/>
  <c r="W84" i="4"/>
  <c r="AF579" i="25" s="1"/>
  <c r="W579" i="25"/>
  <c r="AJ579" i="25" s="1"/>
  <c r="W130" i="4"/>
  <c r="AF625" i="25" s="1"/>
  <c r="W625" i="25"/>
  <c r="AJ625" i="25" s="1"/>
  <c r="W293" i="4"/>
  <c r="AF788" i="25" s="1"/>
  <c r="W788" i="25"/>
  <c r="AJ788" i="25" s="1"/>
  <c r="W208" i="4"/>
  <c r="AF703" i="25" s="1"/>
  <c r="W703" i="25"/>
  <c r="AJ703" i="25" s="1"/>
  <c r="V96" i="4"/>
  <c r="AE591" i="25" s="1"/>
  <c r="W591" i="25"/>
  <c r="AJ591" i="25" s="1"/>
  <c r="V54" i="4"/>
  <c r="AE549" i="25" s="1"/>
  <c r="W113" i="4"/>
  <c r="AF608" i="25" s="1"/>
  <c r="W608" i="25"/>
  <c r="AJ608" i="25" s="1"/>
  <c r="W138" i="4"/>
  <c r="AF633" i="25" s="1"/>
  <c r="W633" i="25"/>
  <c r="AJ633" i="25" s="1"/>
  <c r="W19" i="4"/>
  <c r="AF514" i="25" s="1"/>
  <c r="W514" i="25"/>
  <c r="AJ514" i="25" s="1"/>
  <c r="W128" i="4"/>
  <c r="AF623" i="25" s="1"/>
  <c r="W623" i="25"/>
  <c r="AJ623" i="25" s="1"/>
  <c r="W300" i="4"/>
  <c r="AF795" i="25" s="1"/>
  <c r="W795" i="25"/>
  <c r="AJ795" i="25" s="1"/>
  <c r="W265" i="4"/>
  <c r="AF760" i="25" s="1"/>
  <c r="W760" i="25"/>
  <c r="AJ760" i="25" s="1"/>
  <c r="V199" i="4"/>
  <c r="AE694" i="25" s="1"/>
  <c r="V321" i="4"/>
  <c r="AE816" i="25" s="1"/>
  <c r="W816" i="25"/>
  <c r="AJ816" i="25" s="1"/>
  <c r="W146" i="4"/>
  <c r="AF641" i="25" s="1"/>
  <c r="W641" i="25"/>
  <c r="AJ641" i="25" s="1"/>
  <c r="W312" i="4"/>
  <c r="AF807" i="25" s="1"/>
  <c r="W807" i="25"/>
  <c r="AJ807" i="25" s="1"/>
  <c r="V268" i="4"/>
  <c r="AE763" i="25" s="1"/>
  <c r="W763" i="25"/>
  <c r="AJ763" i="25" s="1"/>
  <c r="W269" i="4"/>
  <c r="AF764" i="25" s="1"/>
  <c r="W259" i="4"/>
  <c r="AF754" i="25" s="1"/>
  <c r="W754" i="25"/>
  <c r="AJ754" i="25" s="1"/>
  <c r="W336" i="4"/>
  <c r="AF831" i="25" s="1"/>
  <c r="W831" i="25"/>
  <c r="AJ831" i="25" s="1"/>
  <c r="W290" i="4"/>
  <c r="AF785" i="25" s="1"/>
  <c r="W785" i="25"/>
  <c r="AJ785" i="25" s="1"/>
  <c r="V298" i="4"/>
  <c r="AE793" i="25" s="1"/>
  <c r="W793" i="25"/>
  <c r="AJ793" i="25" s="1"/>
  <c r="W227" i="4"/>
  <c r="AF722" i="25" s="1"/>
  <c r="W722" i="25"/>
  <c r="AJ722" i="25" s="1"/>
  <c r="W220" i="4"/>
  <c r="AF715" i="25" s="1"/>
  <c r="W715" i="25"/>
  <c r="AJ715" i="25" s="1"/>
  <c r="W204" i="4"/>
  <c r="AF699" i="25" s="1"/>
  <c r="W699" i="25"/>
  <c r="AJ699" i="25" s="1"/>
  <c r="W222" i="4"/>
  <c r="AF717" i="25" s="1"/>
  <c r="V106" i="4"/>
  <c r="AE601" i="25" s="1"/>
  <c r="W601" i="25"/>
  <c r="AJ601" i="25" s="1"/>
  <c r="W160" i="4"/>
  <c r="AF655" i="25" s="1"/>
  <c r="W655" i="25"/>
  <c r="AJ655" i="25" s="1"/>
  <c r="W303" i="4"/>
  <c r="AF798" i="25" s="1"/>
  <c r="W798" i="25"/>
  <c r="AJ798" i="25" s="1"/>
  <c r="W199" i="4"/>
  <c r="AF694" i="25" s="1"/>
  <c r="W324" i="4"/>
  <c r="AF819" i="25" s="1"/>
  <c r="W819" i="25"/>
  <c r="AJ819" i="25" s="1"/>
  <c r="V18" i="4"/>
  <c r="AE513" i="25" s="1"/>
  <c r="W286" i="4"/>
  <c r="AF781" i="25" s="1"/>
  <c r="W781" i="25"/>
  <c r="AJ781" i="25" s="1"/>
  <c r="W273" i="4"/>
  <c r="AF768" i="25" s="1"/>
  <c r="W768" i="25"/>
  <c r="AJ768" i="25" s="1"/>
  <c r="V163" i="4"/>
  <c r="AE658" i="25" s="1"/>
  <c r="W59" i="4"/>
  <c r="AF554" i="25" s="1"/>
  <c r="W554" i="25"/>
  <c r="AJ554" i="25" s="1"/>
  <c r="V255" i="4"/>
  <c r="AE750" i="25" s="1"/>
  <c r="W750" i="25"/>
  <c r="AJ750" i="25" s="1"/>
  <c r="W235" i="4"/>
  <c r="AF730" i="25" s="1"/>
  <c r="W730" i="25"/>
  <c r="AJ730" i="25" s="1"/>
  <c r="W267" i="4"/>
  <c r="AF762" i="25" s="1"/>
  <c r="W762" i="25"/>
  <c r="AJ762" i="25" s="1"/>
  <c r="W158" i="4"/>
  <c r="AF653" i="25" s="1"/>
  <c r="W653" i="25"/>
  <c r="AJ653" i="25" s="1"/>
  <c r="V104" i="4"/>
  <c r="AE599" i="25" s="1"/>
  <c r="W599" i="25"/>
  <c r="AJ599" i="25" s="1"/>
  <c r="V128" i="4"/>
  <c r="AE623" i="25" s="1"/>
  <c r="W216" i="4"/>
  <c r="AF711" i="25" s="1"/>
  <c r="W711" i="25"/>
  <c r="AJ711" i="25" s="1"/>
  <c r="V222" i="4"/>
  <c r="AE717" i="25" s="1"/>
  <c r="W299" i="4"/>
  <c r="AF794" i="25" s="1"/>
  <c r="W794" i="25"/>
  <c r="AJ794" i="25" s="1"/>
  <c r="V60" i="4"/>
  <c r="AE555" i="25" s="1"/>
  <c r="W555" i="25"/>
  <c r="AJ555" i="25" s="1"/>
  <c r="W254" i="4"/>
  <c r="AF749" i="25" s="1"/>
  <c r="W749" i="25"/>
  <c r="AJ749" i="25" s="1"/>
  <c r="W147" i="4"/>
  <c r="AF642" i="25" s="1"/>
  <c r="W642" i="25"/>
  <c r="AJ642" i="25" s="1"/>
  <c r="V340" i="4"/>
  <c r="AE835" i="25" s="1"/>
  <c r="W835" i="25"/>
  <c r="AJ835" i="25" s="1"/>
  <c r="W100" i="4"/>
  <c r="AF595" i="25" s="1"/>
  <c r="W595" i="25"/>
  <c r="AJ595" i="25" s="1"/>
  <c r="V240" i="4"/>
  <c r="AE735" i="25" s="1"/>
  <c r="W240" i="4"/>
  <c r="AF735" i="25" s="1"/>
  <c r="W297" i="4"/>
  <c r="AF792" i="25" s="1"/>
  <c r="W792" i="25"/>
  <c r="AJ792" i="25" s="1"/>
  <c r="V252" i="4"/>
  <c r="AE747" i="25" s="1"/>
  <c r="W747" i="25"/>
  <c r="AJ747" i="25" s="1"/>
  <c r="W18" i="4"/>
  <c r="AF513" i="25" s="1"/>
  <c r="W238" i="4"/>
  <c r="AF733" i="25" s="1"/>
  <c r="W733" i="25"/>
  <c r="AJ733" i="25" s="1"/>
  <c r="W163" i="4"/>
  <c r="AF658" i="25" s="1"/>
  <c r="W230" i="4"/>
  <c r="AF725" i="25" s="1"/>
  <c r="W725" i="25"/>
  <c r="AJ725" i="25" s="1"/>
  <c r="W145" i="4"/>
  <c r="AF640" i="25" s="1"/>
  <c r="W640" i="25"/>
  <c r="AJ640" i="25" s="1"/>
  <c r="W178" i="4"/>
  <c r="AF673" i="25" s="1"/>
  <c r="W673" i="25"/>
  <c r="AJ673" i="25" s="1"/>
  <c r="V107" i="4"/>
  <c r="AE602" i="25" s="1"/>
  <c r="W602" i="25"/>
  <c r="AJ602" i="25" s="1"/>
  <c r="V296" i="4"/>
  <c r="AE791" i="25" s="1"/>
  <c r="W791" i="25"/>
  <c r="AJ791" i="25" s="1"/>
  <c r="W221" i="4"/>
  <c r="AF716" i="25" s="1"/>
  <c r="W716" i="25"/>
  <c r="AJ716" i="25" s="1"/>
  <c r="W86" i="4"/>
  <c r="AF581" i="25" s="1"/>
  <c r="W581" i="25"/>
  <c r="AJ581" i="25" s="1"/>
  <c r="W170" i="4"/>
  <c r="AF665" i="25" s="1"/>
  <c r="W665" i="25"/>
  <c r="AJ665" i="25" s="1"/>
  <c r="W103" i="4"/>
  <c r="AF598" i="25" s="1"/>
  <c r="W598" i="25"/>
  <c r="AJ598" i="25" s="1"/>
  <c r="W123" i="4"/>
  <c r="AF618" i="25" s="1"/>
  <c r="W618" i="25"/>
  <c r="AJ618" i="25" s="1"/>
  <c r="V188" i="4"/>
  <c r="AE683" i="25" s="1"/>
  <c r="W683" i="25"/>
  <c r="AJ683" i="25" s="1"/>
  <c r="V212" i="4"/>
  <c r="AE707" i="25" s="1"/>
  <c r="W707" i="25"/>
  <c r="AJ707" i="25" s="1"/>
  <c r="V243" i="4"/>
  <c r="AE738" i="25" s="1"/>
  <c r="W738" i="25"/>
  <c r="AJ738" i="25" s="1"/>
  <c r="V47" i="4"/>
  <c r="AE542" i="25" s="1"/>
  <c r="W542" i="25"/>
  <c r="AJ542" i="25" s="1"/>
  <c r="V284" i="4"/>
  <c r="AE779" i="25" s="1"/>
  <c r="W779" i="25"/>
  <c r="AJ779" i="25" s="1"/>
  <c r="W284" i="4"/>
  <c r="AF779" i="25" s="1"/>
  <c r="W260" i="4"/>
  <c r="AF755" i="25" s="1"/>
  <c r="W755" i="25"/>
  <c r="AJ755" i="25" s="1"/>
  <c r="V231" i="4"/>
  <c r="AE726" i="25" s="1"/>
  <c r="W726" i="25"/>
  <c r="AJ726" i="25" s="1"/>
  <c r="W322" i="4"/>
  <c r="AF817" i="25" s="1"/>
  <c r="W817" i="25"/>
  <c r="AJ817" i="25" s="1"/>
  <c r="W195" i="4"/>
  <c r="AF690" i="25" s="1"/>
  <c r="W690" i="25"/>
  <c r="AJ690" i="25" s="1"/>
  <c r="W328" i="4"/>
  <c r="AF823" i="25" s="1"/>
  <c r="W823" i="25"/>
  <c r="AJ823" i="25" s="1"/>
  <c r="W184" i="4"/>
  <c r="AF679" i="25" s="1"/>
  <c r="W679" i="25"/>
  <c r="AJ679" i="25" s="1"/>
  <c r="W176" i="4"/>
  <c r="AF671" i="25" s="1"/>
  <c r="W671" i="25"/>
  <c r="AJ671" i="25" s="1"/>
  <c r="V320" i="4"/>
  <c r="AE815" i="25" s="1"/>
  <c r="W815" i="25"/>
  <c r="AJ815" i="25" s="1"/>
  <c r="W283" i="4"/>
  <c r="AF778" i="25" s="1"/>
  <c r="W778" i="25"/>
  <c r="AJ778" i="25" s="1"/>
  <c r="W39" i="4"/>
  <c r="AF534" i="25" s="1"/>
  <c r="W534" i="25"/>
  <c r="AJ534" i="25" s="1"/>
  <c r="V156" i="4"/>
  <c r="AE651" i="25" s="1"/>
  <c r="W651" i="25"/>
  <c r="AJ651" i="25" s="1"/>
  <c r="V51" i="4"/>
  <c r="AE546" i="25" s="1"/>
  <c r="W546" i="25"/>
  <c r="AJ546" i="25" s="1"/>
  <c r="W315" i="4"/>
  <c r="AF810" i="25" s="1"/>
  <c r="W810" i="25"/>
  <c r="AJ810" i="25" s="1"/>
  <c r="W82" i="4"/>
  <c r="AF577" i="25" s="1"/>
  <c r="W577" i="25"/>
  <c r="AJ577" i="25" s="1"/>
  <c r="V147" i="4"/>
  <c r="AE642" i="25" s="1"/>
  <c r="V425" i="4"/>
  <c r="W212" i="4"/>
  <c r="AF707" i="25" s="1"/>
  <c r="V171" i="4"/>
  <c r="AE666" i="25" s="1"/>
  <c r="V22" i="4"/>
  <c r="AE517" i="25" s="1"/>
  <c r="V254" i="4"/>
  <c r="AE749" i="25" s="1"/>
  <c r="W61" i="4"/>
  <c r="AF556" i="25" s="1"/>
  <c r="V61" i="4"/>
  <c r="AE556" i="25" s="1"/>
  <c r="V230" i="4"/>
  <c r="AE725" i="25" s="1"/>
  <c r="V256" i="4"/>
  <c r="AE751" i="25" s="1"/>
  <c r="V145" i="4"/>
  <c r="AE640" i="25" s="1"/>
  <c r="W188" i="4"/>
  <c r="AF683" i="25" s="1"/>
  <c r="V299" i="4"/>
  <c r="AE794" i="25" s="1"/>
  <c r="V238" i="4"/>
  <c r="AE733" i="25" s="1"/>
  <c r="V103" i="4"/>
  <c r="AE598" i="25" s="1"/>
  <c r="V135" i="4"/>
  <c r="AE630" i="25" s="1"/>
  <c r="V184" i="4"/>
  <c r="AE679" i="25" s="1"/>
  <c r="W60" i="4"/>
  <c r="AF555" i="25" s="1"/>
  <c r="V108" i="4"/>
  <c r="AE603" i="25" s="1"/>
  <c r="W271" i="4"/>
  <c r="AF766" i="25" s="1"/>
  <c r="W172" i="4"/>
  <c r="AF667" i="25" s="1"/>
  <c r="V204" i="4"/>
  <c r="AE699" i="25" s="1"/>
  <c r="V198" i="4"/>
  <c r="AE693" i="25" s="1"/>
  <c r="W198" i="4"/>
  <c r="AF693" i="25" s="1"/>
  <c r="V220" i="4"/>
  <c r="AE715" i="25" s="1"/>
  <c r="V227" i="4"/>
  <c r="AE722" i="25" s="1"/>
  <c r="V265" i="4"/>
  <c r="AE760" i="25" s="1"/>
  <c r="V336" i="4"/>
  <c r="AE831" i="25" s="1"/>
  <c r="W107" i="4"/>
  <c r="AF602" i="25" s="1"/>
  <c r="V84" i="4"/>
  <c r="AE579" i="25" s="1"/>
  <c r="V417" i="4"/>
  <c r="V326" i="4"/>
  <c r="AE821" i="25" s="1"/>
  <c r="W320" i="4"/>
  <c r="AF815" i="25" s="1"/>
  <c r="V315" i="4"/>
  <c r="AE810" i="25" s="1"/>
  <c r="V39" i="4"/>
  <c r="AE534" i="25" s="1"/>
  <c r="W219" i="4"/>
  <c r="AF714" i="25" s="1"/>
  <c r="V420" i="4"/>
  <c r="V176" i="4"/>
  <c r="AE671" i="25" s="1"/>
  <c r="V260" i="4"/>
  <c r="AE755" i="25" s="1"/>
  <c r="W155" i="4"/>
  <c r="AF650" i="25" s="1"/>
  <c r="V113" i="4"/>
  <c r="AE608" i="25" s="1"/>
  <c r="V283" i="4"/>
  <c r="AE778" i="25" s="1"/>
  <c r="V138" i="4"/>
  <c r="AE633" i="25" s="1"/>
  <c r="W157" i="4"/>
  <c r="AF652" i="25" s="1"/>
  <c r="V170" i="4"/>
  <c r="AE665" i="25" s="1"/>
  <c r="W51" i="4"/>
  <c r="AF546" i="25" s="1"/>
  <c r="V100" i="4"/>
  <c r="AE595" i="25" s="1"/>
  <c r="W407" i="4"/>
  <c r="W69" i="4"/>
  <c r="AF564" i="25" s="1"/>
  <c r="V69" i="4"/>
  <c r="AE564" i="25" s="1"/>
  <c r="V235" i="4"/>
  <c r="AE730" i="25" s="1"/>
  <c r="V311" i="4"/>
  <c r="AE806" i="25" s="1"/>
  <c r="V105" i="4"/>
  <c r="AE600" i="25" s="1"/>
  <c r="W49" i="4"/>
  <c r="AF544" i="25" s="1"/>
  <c r="V77" i="4"/>
  <c r="AE572" i="25" s="1"/>
  <c r="W255" i="4"/>
  <c r="AF750" i="25" s="1"/>
  <c r="V146" i="4"/>
  <c r="AE641" i="25" s="1"/>
  <c r="V221" i="4"/>
  <c r="AE716" i="25" s="1"/>
  <c r="V434" i="4"/>
  <c r="W121" i="4"/>
  <c r="AF616" i="25" s="1"/>
  <c r="W435" i="4"/>
  <c r="W428" i="4"/>
  <c r="W296" i="4"/>
  <c r="AF791" i="25" s="1"/>
  <c r="V158" i="4"/>
  <c r="AE653" i="25" s="1"/>
  <c r="W231" i="4"/>
  <c r="AF726" i="25" s="1"/>
  <c r="V267" i="4"/>
  <c r="AE762" i="25" s="1"/>
  <c r="V312" i="4"/>
  <c r="AE807" i="25" s="1"/>
  <c r="V86" i="4"/>
  <c r="AE581" i="25" s="1"/>
  <c r="V415" i="4"/>
  <c r="V297" i="4"/>
  <c r="AE792" i="25" s="1"/>
  <c r="V129" i="4"/>
  <c r="AE624" i="25" s="1"/>
  <c r="V442" i="4"/>
  <c r="V116" i="4"/>
  <c r="AE611" i="25" s="1"/>
  <c r="W340" i="4"/>
  <c r="AF835" i="25" s="1"/>
  <c r="W181" i="4"/>
  <c r="AF676" i="25" s="1"/>
  <c r="V181" i="4"/>
  <c r="AE676" i="25" s="1"/>
  <c r="V293" i="4"/>
  <c r="AE788" i="25" s="1"/>
  <c r="V178" i="4"/>
  <c r="AE673" i="25" s="1"/>
  <c r="W27" i="4"/>
  <c r="AF522" i="25" s="1"/>
  <c r="V94" i="4"/>
  <c r="AE589" i="25" s="1"/>
  <c r="V232" i="4"/>
  <c r="AE727" i="25" s="1"/>
  <c r="V236" i="4"/>
  <c r="AE731" i="25" s="1"/>
  <c r="V249" i="4"/>
  <c r="AE744" i="25" s="1"/>
  <c r="V130" i="4"/>
  <c r="AE625" i="25" s="1"/>
  <c r="W148" i="4"/>
  <c r="AF643" i="25" s="1"/>
  <c r="V148" i="4"/>
  <c r="AE643" i="25" s="1"/>
  <c r="V226" i="4"/>
  <c r="AE721" i="25" s="1"/>
  <c r="W226" i="4"/>
  <c r="AF721" i="25" s="1"/>
  <c r="V277" i="4"/>
  <c r="AE772" i="25" s="1"/>
  <c r="W277" i="4"/>
  <c r="AF772" i="25" s="1"/>
  <c r="V422" i="4"/>
  <c r="V259" i="4"/>
  <c r="AE754" i="25" s="1"/>
  <c r="V325" i="4"/>
  <c r="AE820" i="25" s="1"/>
  <c r="W279" i="4"/>
  <c r="AF774" i="25" s="1"/>
  <c r="V237" i="4"/>
  <c r="AE732" i="25" s="1"/>
  <c r="W237" i="4"/>
  <c r="AF732" i="25" s="1"/>
  <c r="W252" i="4"/>
  <c r="AF747" i="25" s="1"/>
  <c r="W92" i="4"/>
  <c r="AF587" i="25" s="1"/>
  <c r="W139" i="4"/>
  <c r="AF634" i="25" s="1"/>
  <c r="V139" i="4"/>
  <c r="AE634" i="25" s="1"/>
  <c r="V426" i="4"/>
  <c r="V287" i="4"/>
  <c r="AE782" i="25" s="1"/>
  <c r="W67" i="4"/>
  <c r="AF562" i="25" s="1"/>
  <c r="W410" i="4"/>
  <c r="W418" i="4"/>
  <c r="V85" i="4"/>
  <c r="AE580" i="25" s="1"/>
  <c r="W85" i="4"/>
  <c r="AF580" i="25" s="1"/>
  <c r="W416" i="4"/>
  <c r="V416" i="4"/>
  <c r="V195" i="4"/>
  <c r="AE690" i="25" s="1"/>
  <c r="V59" i="4"/>
  <c r="AE554" i="25" s="1"/>
  <c r="W335" i="4"/>
  <c r="AF830" i="25" s="1"/>
  <c r="W268" i="4"/>
  <c r="AF763" i="25" s="1"/>
  <c r="W262" i="4"/>
  <c r="AF757" i="25" s="1"/>
  <c r="W411" i="4"/>
  <c r="W16" i="4"/>
  <c r="AF511" i="25" s="1"/>
  <c r="W445" i="4"/>
  <c r="V445" i="4"/>
  <c r="W321" i="4"/>
  <c r="AF816" i="25" s="1"/>
  <c r="V98" i="4"/>
  <c r="AE593" i="25" s="1"/>
  <c r="W98" i="4"/>
  <c r="AF593" i="25" s="1"/>
  <c r="W132" i="4"/>
  <c r="AF627" i="25" s="1"/>
  <c r="V132" i="4"/>
  <c r="AE627" i="25" s="1"/>
  <c r="V303" i="4"/>
  <c r="AE798" i="25" s="1"/>
  <c r="V140" i="4"/>
  <c r="AE635" i="25" s="1"/>
  <c r="W140" i="4"/>
  <c r="AF635" i="25" s="1"/>
  <c r="W50" i="4"/>
  <c r="AF545" i="25" s="1"/>
  <c r="V50" i="4"/>
  <c r="AE545" i="25" s="1"/>
  <c r="W29" i="4"/>
  <c r="AF524" i="25" s="1"/>
  <c r="V29" i="4"/>
  <c r="AE524" i="25" s="1"/>
  <c r="V196" i="4"/>
  <c r="AE691" i="25" s="1"/>
  <c r="W196" i="4"/>
  <c r="AF691" i="25" s="1"/>
  <c r="V56" i="4"/>
  <c r="AE551" i="25" s="1"/>
  <c r="W56" i="4"/>
  <c r="AF551" i="25" s="1"/>
  <c r="V324" i="4"/>
  <c r="AE819" i="25" s="1"/>
  <c r="V406" i="4"/>
  <c r="V8" i="4"/>
  <c r="AE503" i="25" s="1"/>
  <c r="W8" i="4"/>
  <c r="AF503" i="25" s="1"/>
  <c r="V450" i="4"/>
  <c r="W450" i="4"/>
  <c r="V141" i="4"/>
  <c r="AE636" i="25" s="1"/>
  <c r="W141" i="4"/>
  <c r="AF636" i="25" s="1"/>
  <c r="V322" i="4"/>
  <c r="AE817" i="25" s="1"/>
  <c r="V273" i="4"/>
  <c r="AE768" i="25" s="1"/>
  <c r="W225" i="4"/>
  <c r="AF720" i="25" s="1"/>
  <c r="V133" i="4"/>
  <c r="AE628" i="25" s="1"/>
  <c r="W133" i="4"/>
  <c r="AF628" i="25" s="1"/>
  <c r="V402" i="4"/>
  <c r="W402" i="4"/>
  <c r="W239" i="4"/>
  <c r="AF734" i="25" s="1"/>
  <c r="V197" i="4"/>
  <c r="AE692" i="25" s="1"/>
  <c r="W197" i="4"/>
  <c r="AF692" i="25" s="1"/>
  <c r="V286" i="4"/>
  <c r="AE781" i="25" s="1"/>
  <c r="V72" i="4"/>
  <c r="AE567" i="25" s="1"/>
  <c r="W72" i="4"/>
  <c r="AF567" i="25" s="1"/>
  <c r="V32" i="4"/>
  <c r="AE527" i="25" s="1"/>
  <c r="W32" i="4"/>
  <c r="AF527" i="25" s="1"/>
  <c r="V189" i="4"/>
  <c r="AE684" i="25" s="1"/>
  <c r="W189" i="4"/>
  <c r="AF684" i="25" s="1"/>
  <c r="V125" i="4"/>
  <c r="AE620" i="25" s="1"/>
  <c r="W125" i="4"/>
  <c r="AF620" i="25" s="1"/>
  <c r="W187" i="4"/>
  <c r="AF682" i="25" s="1"/>
  <c r="V187" i="4"/>
  <c r="AE682" i="25" s="1"/>
  <c r="W40" i="4"/>
  <c r="AF535" i="25" s="1"/>
  <c r="V40" i="4"/>
  <c r="AE535" i="25" s="1"/>
  <c r="W114" i="4"/>
  <c r="AF609" i="25" s="1"/>
  <c r="V114" i="4"/>
  <c r="AE609" i="25" s="1"/>
  <c r="V439" i="4"/>
  <c r="W439" i="4"/>
  <c r="V24" i="4"/>
  <c r="AE519" i="25" s="1"/>
  <c r="W24" i="4"/>
  <c r="AF519" i="25" s="1"/>
  <c r="V99" i="4"/>
  <c r="AE594" i="25" s="1"/>
  <c r="W99" i="4"/>
  <c r="AF594" i="25" s="1"/>
  <c r="V186" i="4"/>
  <c r="AE681" i="25" s="1"/>
  <c r="W186" i="4"/>
  <c r="AF681" i="25" s="1"/>
  <c r="V75" i="4"/>
  <c r="AE570" i="25" s="1"/>
  <c r="W75" i="4"/>
  <c r="AF570" i="25" s="1"/>
  <c r="V10" i="4"/>
  <c r="AE505" i="25" s="1"/>
  <c r="W10" i="4"/>
  <c r="AF505" i="25" s="1"/>
  <c r="V244" i="4"/>
  <c r="AE739" i="25" s="1"/>
  <c r="V194" i="4"/>
  <c r="AE689" i="25" s="1"/>
  <c r="W194" i="4"/>
  <c r="AF689" i="25" s="1"/>
  <c r="V43" i="4"/>
  <c r="AE538" i="25" s="1"/>
  <c r="W43" i="4"/>
  <c r="AF538" i="25" s="1"/>
  <c r="V447" i="4"/>
  <c r="W447" i="4"/>
  <c r="V48" i="4"/>
  <c r="AE543" i="25" s="1"/>
  <c r="W48" i="4"/>
  <c r="AF543" i="25" s="1"/>
  <c r="V443" i="4"/>
  <c r="W443" i="4"/>
  <c r="W13" i="4"/>
  <c r="AF508" i="25" s="1"/>
  <c r="V13" i="4"/>
  <c r="AE508" i="25" s="1"/>
  <c r="W117" i="4"/>
  <c r="AF612" i="25" s="1"/>
  <c r="V117" i="4"/>
  <c r="AE612" i="25" s="1"/>
  <c r="V83" i="4"/>
  <c r="AE578" i="25" s="1"/>
  <c r="W83" i="4"/>
  <c r="AF578" i="25" s="1"/>
  <c r="V423" i="4"/>
  <c r="W423" i="4"/>
  <c r="V58" i="4"/>
  <c r="AE553" i="25" s="1"/>
  <c r="W58" i="4"/>
  <c r="AF553" i="25" s="1"/>
  <c r="W430" i="4"/>
  <c r="V430" i="4"/>
  <c r="V74" i="4"/>
  <c r="AE569" i="25" s="1"/>
  <c r="W74" i="4"/>
  <c r="AF569" i="25" s="1"/>
  <c r="W11" i="4"/>
  <c r="AF506" i="25" s="1"/>
  <c r="V11" i="4"/>
  <c r="AE506" i="25" s="1"/>
  <c r="V109" i="4"/>
  <c r="AE604" i="25" s="1"/>
  <c r="W109" i="4"/>
  <c r="AF604" i="25" s="1"/>
  <c r="W91" i="4"/>
  <c r="AF586" i="25" s="1"/>
  <c r="V91" i="4"/>
  <c r="AE586" i="25" s="1"/>
  <c r="W438" i="4"/>
  <c r="V438" i="4"/>
  <c r="W93" i="4"/>
  <c r="AF588" i="25" s="1"/>
  <c r="V93" i="4"/>
  <c r="AE588" i="25" s="1"/>
  <c r="V431" i="4"/>
  <c r="W431" i="4"/>
  <c r="W414" i="4"/>
  <c r="V414" i="4"/>
  <c r="V64" i="4"/>
  <c r="AE559" i="25" s="1"/>
  <c r="W64" i="4"/>
  <c r="AF559" i="25" s="1"/>
  <c r="V25" i="4"/>
  <c r="AE520" i="25" s="1"/>
  <c r="W25" i="4"/>
  <c r="AF520" i="25" s="1"/>
  <c r="V81" i="4"/>
  <c r="AE576" i="25" s="1"/>
  <c r="W81" i="4"/>
  <c r="AF576" i="25" s="1"/>
  <c r="V73" i="4"/>
  <c r="AE568" i="25" s="1"/>
  <c r="W73" i="4"/>
  <c r="AF568" i="25" s="1"/>
  <c r="V185" i="4"/>
  <c r="AE680" i="25" s="1"/>
  <c r="W185" i="4"/>
  <c r="AF680" i="25" s="1"/>
  <c r="V9" i="4"/>
  <c r="AE504" i="25" s="1"/>
  <c r="W9" i="4"/>
  <c r="AF504" i="25" s="1"/>
  <c r="V177" i="4"/>
  <c r="AE672" i="25" s="1"/>
  <c r="W177" i="4"/>
  <c r="AF672" i="25" s="1"/>
  <c r="V17" i="4"/>
  <c r="AE512" i="25" s="1"/>
  <c r="W17" i="4"/>
  <c r="AF512" i="25" s="1"/>
  <c r="V161" i="4"/>
  <c r="AE656" i="25" s="1"/>
  <c r="W161" i="4"/>
  <c r="AF656" i="25" s="1"/>
  <c r="V33" i="4"/>
  <c r="AE528" i="25" s="1"/>
  <c r="W33" i="4"/>
  <c r="AF528" i="25" s="1"/>
  <c r="V278" i="4"/>
  <c r="AE773" i="25" s="1"/>
  <c r="V153" i="4"/>
  <c r="AE648" i="25" s="1"/>
  <c r="W153" i="4"/>
  <c r="AF648" i="25" s="1"/>
  <c r="V137" i="4"/>
  <c r="AE632" i="25" s="1"/>
  <c r="W137" i="4"/>
  <c r="AF632" i="25" s="1"/>
  <c r="V89" i="4"/>
  <c r="AE584" i="25" s="1"/>
  <c r="W89" i="4"/>
  <c r="AF584" i="25" s="1"/>
  <c r="V193" i="4"/>
  <c r="AE688" i="25" s="1"/>
  <c r="W193" i="4"/>
  <c r="AF688" i="25" s="1"/>
  <c r="V97" i="4"/>
  <c r="AE592" i="25" s="1"/>
  <c r="W97" i="4"/>
  <c r="AF592" i="25" s="1"/>
  <c r="V201" i="4"/>
  <c r="AE696" i="25" s="1"/>
  <c r="W201" i="4"/>
  <c r="AF696" i="25" s="1"/>
  <c r="V209" i="4"/>
  <c r="AE704" i="25" s="1"/>
  <c r="W209" i="4"/>
  <c r="AF704" i="25" s="1"/>
  <c r="V308" i="4"/>
  <c r="AE803" i="25" s="1"/>
  <c r="W308" i="4"/>
  <c r="AF803" i="25" s="1"/>
  <c r="W305" i="4"/>
  <c r="AF800" i="25" s="1"/>
  <c r="V305" i="4"/>
  <c r="AE800" i="25" s="1"/>
  <c r="V247" i="4"/>
  <c r="AE742" i="25" s="1"/>
  <c r="W247" i="4"/>
  <c r="AF742" i="25" s="1"/>
  <c r="V327" i="4"/>
  <c r="AE822" i="25" s="1"/>
  <c r="W327" i="4"/>
  <c r="AF822" i="25" s="1"/>
  <c r="W281" i="4"/>
  <c r="AF776" i="25" s="1"/>
  <c r="V281" i="4"/>
  <c r="AE776" i="25" s="1"/>
  <c r="W270" i="4"/>
  <c r="AF765" i="25" s="1"/>
  <c r="V270" i="4"/>
  <c r="AE765" i="25" s="1"/>
  <c r="W246" i="4"/>
  <c r="AF741" i="25" s="1"/>
  <c r="V246" i="4"/>
  <c r="AE741" i="25" s="1"/>
  <c r="W233" i="4"/>
  <c r="AF728" i="25" s="1"/>
  <c r="V233" i="4"/>
  <c r="AE728" i="25" s="1"/>
  <c r="V263" i="4"/>
  <c r="AE758" i="25" s="1"/>
  <c r="W263" i="4"/>
  <c r="AF758" i="25" s="1"/>
  <c r="W289" i="4"/>
  <c r="AF784" i="25" s="1"/>
  <c r="V289" i="4"/>
  <c r="AE784" i="25" s="1"/>
  <c r="V332" i="4"/>
  <c r="AE827" i="25" s="1"/>
  <c r="W332" i="4"/>
  <c r="AF827" i="25" s="1"/>
  <c r="W294" i="4"/>
  <c r="AF789" i="25" s="1"/>
  <c r="V294" i="4"/>
  <c r="AE789" i="25" s="1"/>
  <c r="V292" i="4"/>
  <c r="AE787" i="25" s="1"/>
  <c r="W292" i="4"/>
  <c r="AF787" i="25" s="1"/>
  <c r="W337" i="4"/>
  <c r="AF832" i="25" s="1"/>
  <c r="V337" i="4"/>
  <c r="AE832" i="25" s="1"/>
  <c r="W313" i="4"/>
  <c r="AF808" i="25" s="1"/>
  <c r="V313" i="4"/>
  <c r="AE808" i="25" s="1"/>
  <c r="W310" i="4"/>
  <c r="AF805" i="25" s="1"/>
  <c r="V310" i="4"/>
  <c r="AE805" i="25" s="1"/>
  <c r="V295" i="4"/>
  <c r="AE790" i="25" s="1"/>
  <c r="W295" i="4"/>
  <c r="AF790" i="25" s="1"/>
  <c r="W334" i="4"/>
  <c r="AF829" i="25" s="1"/>
  <c r="V334" i="4"/>
  <c r="AE829" i="25" s="1"/>
  <c r="W257" i="4"/>
  <c r="AF752" i="25" s="1"/>
  <c r="V257" i="4"/>
  <c r="AE752" i="25" s="1"/>
  <c r="W241" i="4"/>
  <c r="AF736" i="25" s="1"/>
  <c r="V241" i="4"/>
  <c r="AE736" i="25" s="1"/>
  <c r="W329" i="4"/>
  <c r="AF824" i="25" s="1"/>
  <c r="V329" i="4"/>
  <c r="AE824" i="25" s="1"/>
  <c r="V316" i="4"/>
  <c r="AE811" i="25" s="1"/>
  <c r="W316" i="4"/>
  <c r="AF811" i="25" s="1"/>
  <c r="I6" i="28"/>
  <c r="H22" i="28" a="1"/>
  <c r="H22" i="28" s="1"/>
  <c r="H14" i="28" a="1"/>
  <c r="H14" i="28" s="1"/>
  <c r="H30" i="28" a="1"/>
  <c r="H30" i="28" s="1"/>
  <c r="I31" i="14" l="1"/>
  <c r="I30" i="14"/>
  <c r="I29" i="14"/>
  <c r="I28" i="14"/>
  <c r="I27" i="14"/>
  <c r="I26" i="14"/>
  <c r="I25" i="14"/>
  <c r="I24" i="14"/>
  <c r="I23" i="14"/>
  <c r="I22" i="14"/>
  <c r="I21" i="14"/>
  <c r="I20" i="14"/>
  <c r="I19" i="14"/>
  <c r="I18" i="14"/>
  <c r="I17" i="14"/>
  <c r="I16" i="14"/>
  <c r="I15" i="14"/>
  <c r="I14" i="14"/>
  <c r="I13" i="14"/>
  <c r="I12" i="14"/>
  <c r="I11" i="14"/>
  <c r="I10" i="14"/>
  <c r="I9" i="14"/>
  <c r="I8" i="14"/>
  <c r="O9" i="29" l="1"/>
  <c r="T14" i="14" a="1"/>
  <c r="T14" i="14" s="1"/>
  <c r="O18" i="29"/>
  <c r="T23" i="14" a="1"/>
  <c r="T23" i="14" s="1"/>
  <c r="O19" i="29"/>
  <c r="T24" i="14" a="1"/>
  <c r="T24" i="14" s="1"/>
  <c r="O17" i="29"/>
  <c r="T22" i="14" a="1"/>
  <c r="T22" i="14" s="1"/>
  <c r="O10" i="29"/>
  <c r="T15" i="14" a="1"/>
  <c r="T15" i="14" s="1"/>
  <c r="O21" i="29"/>
  <c r="T26" i="14" a="1"/>
  <c r="T26" i="14" s="1"/>
  <c r="O25" i="29"/>
  <c r="T30" i="14" a="1"/>
  <c r="T30" i="14" s="1"/>
  <c r="O26" i="29"/>
  <c r="T31" i="14" a="1"/>
  <c r="T31" i="14" s="1"/>
  <c r="O11" i="29"/>
  <c r="T16" i="14" a="1"/>
  <c r="T16" i="14" s="1"/>
  <c r="O12" i="29"/>
  <c r="T17" i="14" a="1"/>
  <c r="T17" i="14" s="1"/>
  <c r="O20" i="29"/>
  <c r="T25" i="14" a="1"/>
  <c r="T25" i="14" s="1"/>
  <c r="O5" i="29"/>
  <c r="T10" i="14" a="1"/>
  <c r="T10" i="14" s="1"/>
  <c r="O13" i="29"/>
  <c r="T18" i="14" a="1"/>
  <c r="T18" i="14" s="1"/>
  <c r="O6" i="29"/>
  <c r="T11" i="14" a="1"/>
  <c r="T11" i="14" s="1"/>
  <c r="O14" i="29"/>
  <c r="T19" i="14" a="1"/>
  <c r="T19" i="14" s="1"/>
  <c r="O22" i="29"/>
  <c r="T27" i="14" a="1"/>
  <c r="T27" i="14" s="1"/>
  <c r="O7" i="29"/>
  <c r="T12" i="14" a="1"/>
  <c r="T12" i="14" s="1"/>
  <c r="O15" i="29"/>
  <c r="T20" i="14" a="1"/>
  <c r="T20" i="14" s="1"/>
  <c r="O23" i="29"/>
  <c r="T28" i="14" a="1"/>
  <c r="T28" i="14" s="1"/>
  <c r="O3" i="29"/>
  <c r="T8" i="14" a="1"/>
  <c r="T8" i="14" s="1"/>
  <c r="O4" i="29"/>
  <c r="T9" i="14" a="1"/>
  <c r="T9" i="14" s="1"/>
  <c r="O8" i="29"/>
  <c r="T13" i="14" a="1"/>
  <c r="T13" i="14" s="1"/>
  <c r="O16" i="29"/>
  <c r="T21" i="14" a="1"/>
  <c r="T21" i="14" s="1"/>
  <c r="O24" i="29"/>
  <c r="T29" i="14" a="1"/>
  <c r="T29" i="14" s="1"/>
  <c r="H8" i="30"/>
  <c r="Q950" i="25" s="1"/>
  <c r="H9" i="30"/>
  <c r="Q951" i="25" s="1"/>
  <c r="H183" i="30"/>
  <c r="Q952" i="25" s="1"/>
  <c r="H184" i="30"/>
  <c r="Q953" i="25" s="1"/>
  <c r="H185" i="30"/>
  <c r="Q954" i="25" s="1"/>
  <c r="H186" i="30"/>
  <c r="Q955" i="25" s="1"/>
  <c r="H187" i="30"/>
  <c r="Q956" i="25" s="1"/>
  <c r="H188" i="30"/>
  <c r="Q957" i="25" s="1"/>
  <c r="H189" i="30"/>
  <c r="Q958" i="25" s="1"/>
  <c r="H190" i="30"/>
  <c r="Q959" i="25" s="1"/>
  <c r="H191" i="30"/>
  <c r="Q960" i="25" s="1"/>
  <c r="H192" i="30"/>
  <c r="Q961" i="25" s="1"/>
  <c r="H193" i="30"/>
  <c r="Q962" i="25" s="1"/>
  <c r="H194" i="30"/>
  <c r="Q963" i="25" s="1"/>
  <c r="H195" i="30"/>
  <c r="Q964" i="25" s="1"/>
  <c r="H196" i="30"/>
  <c r="Q965" i="25" s="1"/>
  <c r="H197" i="30"/>
  <c r="Q966" i="25" s="1"/>
  <c r="H198" i="30"/>
  <c r="Q967" i="25" s="1"/>
  <c r="H199" i="30"/>
  <c r="Q968" i="25" s="1"/>
  <c r="H200" i="30"/>
  <c r="Q969" i="25" s="1"/>
  <c r="H201" i="30"/>
  <c r="Q970" i="25" s="1"/>
  <c r="H202" i="30"/>
  <c r="Q971" i="25" s="1"/>
  <c r="H203" i="30"/>
  <c r="Q972" i="25" s="1"/>
  <c r="H204" i="30"/>
  <c r="Q973" i="25" s="1"/>
  <c r="H205" i="30"/>
  <c r="Q974" i="25" s="1"/>
  <c r="H206" i="30"/>
  <c r="Q975" i="25" s="1"/>
  <c r="H207" i="30"/>
  <c r="Q976" i="25" s="1"/>
  <c r="H208" i="30"/>
  <c r="Q977" i="25" s="1"/>
  <c r="H209" i="30"/>
  <c r="Q978" i="25" s="1"/>
  <c r="H210" i="30"/>
  <c r="Q979" i="25" s="1"/>
  <c r="H211" i="30"/>
  <c r="Q980" i="25" s="1"/>
  <c r="H212" i="30"/>
  <c r="Q981" i="25" s="1"/>
  <c r="H213" i="30"/>
  <c r="Q982" i="25" s="1"/>
  <c r="H214" i="30"/>
  <c r="Q983" i="25" s="1"/>
  <c r="H215" i="30"/>
  <c r="Q984" i="25" s="1"/>
  <c r="H216" i="30"/>
  <c r="Q985" i="25" s="1"/>
  <c r="H217" i="30"/>
  <c r="Q986" i="25" s="1"/>
  <c r="H218" i="30"/>
  <c r="Q987" i="25" s="1"/>
  <c r="H219" i="30"/>
  <c r="Q988" i="25" s="1"/>
  <c r="H220" i="30"/>
  <c r="Q989" i="25" s="1"/>
  <c r="H221" i="30"/>
  <c r="Q990" i="25" s="1"/>
  <c r="H222" i="30"/>
  <c r="Q991" i="25" s="1"/>
  <c r="H223" i="30"/>
  <c r="Q992" i="25" s="1"/>
  <c r="H224" i="30"/>
  <c r="Q993" i="25" s="1"/>
  <c r="H225" i="30"/>
  <c r="Q994" i="25" s="1"/>
  <c r="H226" i="30"/>
  <c r="Q995" i="25" s="1"/>
  <c r="H227" i="30"/>
  <c r="Q996" i="25" s="1"/>
  <c r="H228" i="30"/>
  <c r="Q997" i="25" s="1"/>
  <c r="H229" i="30"/>
  <c r="Q998" i="25" s="1"/>
  <c r="H230" i="30"/>
  <c r="Q999" i="25" s="1"/>
  <c r="H231" i="30"/>
  <c r="Q1000" i="25" s="1"/>
  <c r="H232" i="30"/>
  <c r="Q1001" i="25" s="1"/>
  <c r="H233" i="30"/>
  <c r="Q1002" i="25" s="1"/>
  <c r="H234" i="30"/>
  <c r="Q1003" i="25" s="1"/>
  <c r="H235" i="30"/>
  <c r="Q1004" i="25" s="1"/>
  <c r="H236" i="30"/>
  <c r="Q1005" i="25" s="1"/>
  <c r="H237" i="30"/>
  <c r="Q1006" i="25" s="1"/>
  <c r="H238" i="30"/>
  <c r="Q1007" i="25" s="1"/>
  <c r="H239" i="30"/>
  <c r="Q1008" i="25" s="1"/>
  <c r="H240" i="30"/>
  <c r="Q1009" i="25" s="1"/>
  <c r="H241" i="30"/>
  <c r="Q1010" i="25" s="1"/>
  <c r="H242" i="30"/>
  <c r="Q1011" i="25" s="1"/>
  <c r="H243" i="30"/>
  <c r="Q1012" i="25" s="1"/>
  <c r="H244" i="30"/>
  <c r="Q1013" i="25" s="1"/>
  <c r="H245" i="30"/>
  <c r="Q1014" i="25" s="1"/>
  <c r="H246" i="30"/>
  <c r="Q1015" i="25" s="1"/>
  <c r="H247" i="30"/>
  <c r="Q1016" i="25" s="1"/>
  <c r="H248" i="30"/>
  <c r="Q1017" i="25" s="1"/>
  <c r="H249" i="30"/>
  <c r="Q1018" i="25" s="1"/>
  <c r="H250" i="30"/>
  <c r="Q1019" i="25" s="1"/>
  <c r="H251" i="30"/>
  <c r="Q1020" i="25" s="1"/>
  <c r="H252" i="30"/>
  <c r="Q1021" i="25" s="1"/>
  <c r="H253" i="30"/>
  <c r="Q1022" i="25" s="1"/>
  <c r="H254" i="30"/>
  <c r="Q1023" i="25" s="1"/>
  <c r="H255" i="30"/>
  <c r="Q1024" i="25" s="1"/>
  <c r="H256" i="30"/>
  <c r="Q1025" i="25" s="1"/>
  <c r="H257" i="30"/>
  <c r="Q1026" i="25" s="1"/>
  <c r="H258" i="30"/>
  <c r="Q1027" i="25" s="1"/>
  <c r="H259" i="30"/>
  <c r="Q1028" i="25" s="1"/>
  <c r="H260" i="30"/>
  <c r="Q1029" i="25" s="1"/>
  <c r="H261" i="30"/>
  <c r="Q1030" i="25" s="1"/>
  <c r="H262" i="30"/>
  <c r="Q1031" i="25" s="1"/>
  <c r="H263" i="30"/>
  <c r="Q1032" i="25" s="1"/>
  <c r="H264" i="30"/>
  <c r="Q1033" i="25" s="1"/>
  <c r="H265" i="30"/>
  <c r="Q1034" i="25" s="1"/>
  <c r="H266" i="30"/>
  <c r="Q1035" i="25" s="1"/>
  <c r="H267" i="30"/>
  <c r="Q1036" i="25" s="1"/>
  <c r="H268" i="30"/>
  <c r="Q1037" i="25" s="1"/>
  <c r="H269" i="30"/>
  <c r="Q1038" i="25" s="1"/>
  <c r="H270" i="30"/>
  <c r="Q1039" i="25" s="1"/>
  <c r="H271" i="30"/>
  <c r="Q1040" i="25" s="1"/>
  <c r="H272" i="30"/>
  <c r="Q1041" i="25" s="1"/>
  <c r="H273" i="30"/>
  <c r="Q1042" i="25" s="1"/>
  <c r="H274" i="30"/>
  <c r="Q1043" i="25" s="1"/>
  <c r="H275" i="30"/>
  <c r="Q1044" i="25" s="1"/>
  <c r="H276" i="30"/>
  <c r="Q1045" i="25" s="1"/>
  <c r="H277" i="30"/>
  <c r="Q1046" i="25" s="1"/>
  <c r="H278" i="30"/>
  <c r="Q1047" i="25" s="1"/>
  <c r="H279" i="30"/>
  <c r="Q1048" i="25" s="1"/>
  <c r="H280" i="30"/>
  <c r="Q1049" i="25" s="1"/>
  <c r="H281" i="30"/>
  <c r="Q1050" i="25" s="1"/>
  <c r="H282" i="30"/>
  <c r="Q1051" i="25" s="1"/>
  <c r="H283" i="30"/>
  <c r="Q1052" i="25" s="1"/>
  <c r="H284" i="30"/>
  <c r="Q1053" i="25" s="1"/>
  <c r="H291" i="30"/>
  <c r="H292" i="30"/>
  <c r="H296" i="30"/>
  <c r="H297" i="30"/>
  <c r="H298" i="30"/>
  <c r="H299" i="30"/>
  <c r="H300" i="30"/>
  <c r="D8" i="30"/>
  <c r="J950" i="25" s="1"/>
  <c r="D9" i="30"/>
  <c r="J951" i="25" s="1"/>
  <c r="D183" i="30"/>
  <c r="J952" i="25" s="1"/>
  <c r="D184" i="30"/>
  <c r="D185" i="30"/>
  <c r="D186" i="30"/>
  <c r="D187" i="30"/>
  <c r="D188" i="30"/>
  <c r="D189" i="30"/>
  <c r="J958" i="25" s="1"/>
  <c r="D190" i="30"/>
  <c r="J959" i="25" s="1"/>
  <c r="D191" i="30"/>
  <c r="J960" i="25" s="1"/>
  <c r="D192" i="30"/>
  <c r="D193" i="30"/>
  <c r="D194" i="30"/>
  <c r="D195" i="30"/>
  <c r="D196" i="30"/>
  <c r="D197" i="30"/>
  <c r="D198" i="30"/>
  <c r="J967" i="25" s="1"/>
  <c r="D199" i="30"/>
  <c r="J968" i="25" s="1"/>
  <c r="D200" i="30"/>
  <c r="D201" i="30"/>
  <c r="J970" i="25" s="1"/>
  <c r="D202" i="30"/>
  <c r="J971" i="25" s="1"/>
  <c r="D203" i="30"/>
  <c r="J972" i="25" s="1"/>
  <c r="D204" i="30"/>
  <c r="J973" i="25" s="1"/>
  <c r="D205" i="30"/>
  <c r="D206" i="30"/>
  <c r="J975" i="25" s="1"/>
  <c r="D207" i="30"/>
  <c r="J976" i="25" s="1"/>
  <c r="D208" i="30"/>
  <c r="D209" i="30"/>
  <c r="D210" i="30"/>
  <c r="D211" i="30"/>
  <c r="D212" i="30"/>
  <c r="D213" i="30"/>
  <c r="D214" i="30"/>
  <c r="J983" i="25" s="1"/>
  <c r="D215" i="30"/>
  <c r="J984" i="25" s="1"/>
  <c r="D216" i="30"/>
  <c r="D217" i="30"/>
  <c r="J986" i="25" s="1"/>
  <c r="D218" i="30"/>
  <c r="J987" i="25" s="1"/>
  <c r="D219" i="30"/>
  <c r="D220" i="30"/>
  <c r="D221" i="30"/>
  <c r="D222" i="30"/>
  <c r="J991" i="25" s="1"/>
  <c r="D223" i="30"/>
  <c r="J992" i="25" s="1"/>
  <c r="D224" i="30"/>
  <c r="D225" i="30"/>
  <c r="J994" i="25" s="1"/>
  <c r="D226" i="30"/>
  <c r="D227" i="30"/>
  <c r="D228" i="30"/>
  <c r="D229" i="30"/>
  <c r="J998" i="25" s="1"/>
  <c r="D230" i="30"/>
  <c r="J999" i="25" s="1"/>
  <c r="D231" i="30"/>
  <c r="J1000" i="25" s="1"/>
  <c r="D232" i="30"/>
  <c r="D233" i="30"/>
  <c r="J1002" i="25" s="1"/>
  <c r="D234" i="30"/>
  <c r="D235" i="30"/>
  <c r="D236" i="30"/>
  <c r="D237" i="30"/>
  <c r="J1006" i="25" s="1"/>
  <c r="D238" i="30"/>
  <c r="J1007" i="25" s="1"/>
  <c r="D239" i="30"/>
  <c r="J1008" i="25" s="1"/>
  <c r="D240" i="30"/>
  <c r="J1009" i="25" s="1"/>
  <c r="D241" i="30"/>
  <c r="J1010" i="25" s="1"/>
  <c r="D242" i="30"/>
  <c r="D243" i="30"/>
  <c r="D244" i="30"/>
  <c r="D245" i="30"/>
  <c r="D246" i="30"/>
  <c r="J1015" i="25" s="1"/>
  <c r="D247" i="30"/>
  <c r="J1016" i="25" s="1"/>
  <c r="D248" i="30"/>
  <c r="J1017" i="25" s="1"/>
  <c r="D249" i="30"/>
  <c r="J1018" i="25" s="1"/>
  <c r="D250" i="30"/>
  <c r="D251" i="30"/>
  <c r="D252" i="30"/>
  <c r="D253" i="30"/>
  <c r="D254" i="30"/>
  <c r="J1023" i="25" s="1"/>
  <c r="D255" i="30"/>
  <c r="J1024" i="25" s="1"/>
  <c r="D256" i="30"/>
  <c r="J1025" i="25" s="1"/>
  <c r="D257" i="30"/>
  <c r="J1026" i="25" s="1"/>
  <c r="D258" i="30"/>
  <c r="D259" i="30"/>
  <c r="D260" i="30"/>
  <c r="J1029" i="25" s="1"/>
  <c r="D261" i="30"/>
  <c r="J1030" i="25" s="1"/>
  <c r="D262" i="30"/>
  <c r="J1031" i="25" s="1"/>
  <c r="D263" i="30"/>
  <c r="J1032" i="25" s="1"/>
  <c r="D264" i="30"/>
  <c r="J1033" i="25" s="1"/>
  <c r="D265" i="30"/>
  <c r="D266" i="30"/>
  <c r="D267" i="30"/>
  <c r="D268" i="30"/>
  <c r="J1037" i="25" s="1"/>
  <c r="D269" i="30"/>
  <c r="D270" i="30"/>
  <c r="J1039" i="25" s="1"/>
  <c r="D271" i="30"/>
  <c r="J1040" i="25" s="1"/>
  <c r="D272" i="30"/>
  <c r="J1041" i="25" s="1"/>
  <c r="D273" i="30"/>
  <c r="D274" i="30"/>
  <c r="D275" i="30"/>
  <c r="D276" i="30"/>
  <c r="J1045" i="25" s="1"/>
  <c r="D277" i="30"/>
  <c r="D278" i="30"/>
  <c r="J1047" i="25" s="1"/>
  <c r="D279" i="30"/>
  <c r="D280" i="30"/>
  <c r="D281" i="30"/>
  <c r="D282" i="30"/>
  <c r="J1051" i="25" s="1"/>
  <c r="D283" i="30"/>
  <c r="D284" i="30"/>
  <c r="J1053" i="25" s="1"/>
  <c r="D291" i="30"/>
  <c r="J1060" i="25" s="1"/>
  <c r="D292" i="30"/>
  <c r="D296" i="30"/>
  <c r="D297" i="30"/>
  <c r="D298" i="30"/>
  <c r="D299" i="30"/>
  <c r="K299" i="30" s="1" a="1"/>
  <c r="K299" i="30" s="1"/>
  <c r="D300" i="30"/>
  <c r="L300" i="30" s="1"/>
  <c r="M7" i="30" a="1"/>
  <c r="M7" i="30" s="1"/>
  <c r="V949" i="25" s="1"/>
  <c r="AI949" i="25" s="1"/>
  <c r="M8" i="30" a="1"/>
  <c r="M8" i="30" s="1"/>
  <c r="V950" i="25" s="1"/>
  <c r="AI950" i="25" s="1"/>
  <c r="M9" i="30" a="1"/>
  <c r="M9" i="30" s="1"/>
  <c r="V951" i="25" s="1"/>
  <c r="AI951" i="25" s="1"/>
  <c r="M183" i="30" a="1"/>
  <c r="M183" i="30" s="1"/>
  <c r="V952" i="25" s="1"/>
  <c r="AI952" i="25" s="1"/>
  <c r="M184" i="30" a="1"/>
  <c r="M184" i="30" s="1"/>
  <c r="V953" i="25" s="1"/>
  <c r="AI953" i="25" s="1"/>
  <c r="M185" i="30" a="1"/>
  <c r="M185" i="30" s="1"/>
  <c r="V954" i="25" s="1"/>
  <c r="AI954" i="25" s="1"/>
  <c r="M186" i="30" a="1"/>
  <c r="M186" i="30" s="1"/>
  <c r="V955" i="25" s="1"/>
  <c r="AI955" i="25" s="1"/>
  <c r="M187" i="30" a="1"/>
  <c r="M187" i="30" s="1"/>
  <c r="V956" i="25" s="1"/>
  <c r="AI956" i="25" s="1"/>
  <c r="M188" i="30" a="1"/>
  <c r="M188" i="30" s="1"/>
  <c r="V957" i="25" s="1"/>
  <c r="AI957" i="25" s="1"/>
  <c r="M189" i="30" a="1"/>
  <c r="M189" i="30" s="1"/>
  <c r="V958" i="25" s="1"/>
  <c r="AI958" i="25" s="1"/>
  <c r="M190" i="30" a="1"/>
  <c r="M190" i="30" s="1"/>
  <c r="V959" i="25" s="1"/>
  <c r="AI959" i="25" s="1"/>
  <c r="M191" i="30" a="1"/>
  <c r="M191" i="30" s="1"/>
  <c r="V960" i="25" s="1"/>
  <c r="AI960" i="25" s="1"/>
  <c r="M192" i="30" a="1"/>
  <c r="M192" i="30" s="1"/>
  <c r="V961" i="25" s="1"/>
  <c r="AI961" i="25" s="1"/>
  <c r="M193" i="30" a="1"/>
  <c r="M193" i="30" s="1"/>
  <c r="V962" i="25" s="1"/>
  <c r="AI962" i="25" s="1"/>
  <c r="M194" i="30" a="1"/>
  <c r="M194" i="30" s="1"/>
  <c r="V963" i="25" s="1"/>
  <c r="AI963" i="25" s="1"/>
  <c r="M195" i="30" a="1"/>
  <c r="M195" i="30" s="1"/>
  <c r="V964" i="25" s="1"/>
  <c r="AI964" i="25" s="1"/>
  <c r="M196" i="30" a="1"/>
  <c r="M196" i="30" s="1"/>
  <c r="V965" i="25" s="1"/>
  <c r="AI965" i="25" s="1"/>
  <c r="M197" i="30" a="1"/>
  <c r="M197" i="30" s="1"/>
  <c r="V966" i="25" s="1"/>
  <c r="AI966" i="25" s="1"/>
  <c r="M198" i="30" a="1"/>
  <c r="M198" i="30" s="1"/>
  <c r="V967" i="25" s="1"/>
  <c r="AI967" i="25" s="1"/>
  <c r="M199" i="30" a="1"/>
  <c r="M199" i="30" s="1"/>
  <c r="V968" i="25" s="1"/>
  <c r="AI968" i="25" s="1"/>
  <c r="M200" i="30" a="1"/>
  <c r="M200" i="30" s="1"/>
  <c r="V969" i="25" s="1"/>
  <c r="AI969" i="25" s="1"/>
  <c r="M201" i="30" a="1"/>
  <c r="M201" i="30" s="1"/>
  <c r="V970" i="25" s="1"/>
  <c r="AI970" i="25" s="1"/>
  <c r="M202" i="30" a="1"/>
  <c r="M202" i="30" s="1"/>
  <c r="V971" i="25" s="1"/>
  <c r="AI971" i="25" s="1"/>
  <c r="M203" i="30" a="1"/>
  <c r="M203" i="30" s="1"/>
  <c r="V972" i="25" s="1"/>
  <c r="AI972" i="25" s="1"/>
  <c r="M204" i="30" a="1"/>
  <c r="M204" i="30" s="1"/>
  <c r="V973" i="25" s="1"/>
  <c r="AI973" i="25" s="1"/>
  <c r="M205" i="30" a="1"/>
  <c r="M205" i="30" s="1"/>
  <c r="V974" i="25" s="1"/>
  <c r="AI974" i="25" s="1"/>
  <c r="M206" i="30" a="1"/>
  <c r="M206" i="30" s="1"/>
  <c r="V975" i="25" s="1"/>
  <c r="AI975" i="25" s="1"/>
  <c r="M207" i="30" a="1"/>
  <c r="M207" i="30" s="1"/>
  <c r="V976" i="25" s="1"/>
  <c r="AI976" i="25" s="1"/>
  <c r="M208" i="30" a="1"/>
  <c r="M208" i="30" s="1"/>
  <c r="V977" i="25" s="1"/>
  <c r="AI977" i="25" s="1"/>
  <c r="M209" i="30" a="1"/>
  <c r="M209" i="30" s="1"/>
  <c r="V978" i="25" s="1"/>
  <c r="AI978" i="25" s="1"/>
  <c r="M210" i="30" a="1"/>
  <c r="M210" i="30" s="1"/>
  <c r="V979" i="25" s="1"/>
  <c r="AI979" i="25" s="1"/>
  <c r="M211" i="30" a="1"/>
  <c r="M211" i="30" s="1"/>
  <c r="V980" i="25" s="1"/>
  <c r="AI980" i="25" s="1"/>
  <c r="M212" i="30" a="1"/>
  <c r="M212" i="30" s="1"/>
  <c r="V981" i="25" s="1"/>
  <c r="AI981" i="25" s="1"/>
  <c r="M213" i="30" a="1"/>
  <c r="M213" i="30" s="1"/>
  <c r="V982" i="25" s="1"/>
  <c r="AI982" i="25" s="1"/>
  <c r="M214" i="30" a="1"/>
  <c r="M214" i="30" s="1"/>
  <c r="V983" i="25" s="1"/>
  <c r="AI983" i="25" s="1"/>
  <c r="M215" i="30" a="1"/>
  <c r="M215" i="30" s="1"/>
  <c r="V984" i="25" s="1"/>
  <c r="AI984" i="25" s="1"/>
  <c r="M216" i="30" a="1"/>
  <c r="M216" i="30" s="1"/>
  <c r="V985" i="25" s="1"/>
  <c r="AI985" i="25" s="1"/>
  <c r="M217" i="30" a="1"/>
  <c r="M217" i="30" s="1"/>
  <c r="V986" i="25" s="1"/>
  <c r="AI986" i="25" s="1"/>
  <c r="M218" i="30" a="1"/>
  <c r="M218" i="30" s="1"/>
  <c r="V987" i="25" s="1"/>
  <c r="AI987" i="25" s="1"/>
  <c r="M219" i="30" a="1"/>
  <c r="M219" i="30" s="1"/>
  <c r="V988" i="25" s="1"/>
  <c r="AI988" i="25" s="1"/>
  <c r="M220" i="30" a="1"/>
  <c r="M220" i="30" s="1"/>
  <c r="V989" i="25" s="1"/>
  <c r="AI989" i="25" s="1"/>
  <c r="M221" i="30" a="1"/>
  <c r="M221" i="30" s="1"/>
  <c r="V990" i="25" s="1"/>
  <c r="AI990" i="25" s="1"/>
  <c r="M222" i="30" a="1"/>
  <c r="M222" i="30" s="1"/>
  <c r="V991" i="25" s="1"/>
  <c r="AI991" i="25" s="1"/>
  <c r="M223" i="30" a="1"/>
  <c r="M223" i="30" s="1"/>
  <c r="V992" i="25" s="1"/>
  <c r="AI992" i="25" s="1"/>
  <c r="M224" i="30" a="1"/>
  <c r="M224" i="30" s="1"/>
  <c r="V993" i="25" s="1"/>
  <c r="AI993" i="25" s="1"/>
  <c r="M225" i="30" a="1"/>
  <c r="M225" i="30" s="1"/>
  <c r="V994" i="25" s="1"/>
  <c r="AI994" i="25" s="1"/>
  <c r="M226" i="30" a="1"/>
  <c r="M226" i="30" s="1"/>
  <c r="V995" i="25" s="1"/>
  <c r="AI995" i="25" s="1"/>
  <c r="M227" i="30" a="1"/>
  <c r="M227" i="30" s="1"/>
  <c r="V996" i="25" s="1"/>
  <c r="AI996" i="25" s="1"/>
  <c r="M228" i="30" a="1"/>
  <c r="M228" i="30" s="1"/>
  <c r="V997" i="25" s="1"/>
  <c r="AI997" i="25" s="1"/>
  <c r="M229" i="30" a="1"/>
  <c r="M229" i="30" s="1"/>
  <c r="V998" i="25" s="1"/>
  <c r="AI998" i="25" s="1"/>
  <c r="M230" i="30" a="1"/>
  <c r="M230" i="30" s="1"/>
  <c r="V999" i="25" s="1"/>
  <c r="AI999" i="25" s="1"/>
  <c r="M231" i="30" a="1"/>
  <c r="M231" i="30" s="1"/>
  <c r="V1000" i="25" s="1"/>
  <c r="AI1000" i="25" s="1"/>
  <c r="M232" i="30" a="1"/>
  <c r="M232" i="30" s="1"/>
  <c r="V1001" i="25" s="1"/>
  <c r="AI1001" i="25" s="1"/>
  <c r="M233" i="30" a="1"/>
  <c r="M233" i="30" s="1"/>
  <c r="V1002" i="25" s="1"/>
  <c r="AI1002" i="25" s="1"/>
  <c r="M234" i="30" a="1"/>
  <c r="M234" i="30" s="1"/>
  <c r="V1003" i="25" s="1"/>
  <c r="AI1003" i="25" s="1"/>
  <c r="M235" i="30" a="1"/>
  <c r="M235" i="30" s="1"/>
  <c r="V1004" i="25" s="1"/>
  <c r="AI1004" i="25" s="1"/>
  <c r="M236" i="30" a="1"/>
  <c r="M236" i="30" s="1"/>
  <c r="V1005" i="25" s="1"/>
  <c r="AI1005" i="25" s="1"/>
  <c r="M237" i="30" a="1"/>
  <c r="M237" i="30" s="1"/>
  <c r="V1006" i="25" s="1"/>
  <c r="AI1006" i="25" s="1"/>
  <c r="M238" i="30" a="1"/>
  <c r="M238" i="30" s="1"/>
  <c r="V1007" i="25" s="1"/>
  <c r="AI1007" i="25" s="1"/>
  <c r="M239" i="30" a="1"/>
  <c r="M239" i="30" s="1"/>
  <c r="V1008" i="25" s="1"/>
  <c r="AI1008" i="25" s="1"/>
  <c r="M240" i="30" a="1"/>
  <c r="M240" i="30" s="1"/>
  <c r="V1009" i="25" s="1"/>
  <c r="AI1009" i="25" s="1"/>
  <c r="M241" i="30" a="1"/>
  <c r="M241" i="30" s="1"/>
  <c r="V1010" i="25" s="1"/>
  <c r="AI1010" i="25" s="1"/>
  <c r="M242" i="30" a="1"/>
  <c r="M242" i="30" s="1"/>
  <c r="V1011" i="25" s="1"/>
  <c r="AI1011" i="25" s="1"/>
  <c r="M243" i="30" a="1"/>
  <c r="M243" i="30" s="1"/>
  <c r="V1012" i="25" s="1"/>
  <c r="AI1012" i="25" s="1"/>
  <c r="M244" i="30" a="1"/>
  <c r="M244" i="30" s="1"/>
  <c r="V1013" i="25" s="1"/>
  <c r="AI1013" i="25" s="1"/>
  <c r="M245" i="30" a="1"/>
  <c r="M245" i="30" s="1"/>
  <c r="V1014" i="25" s="1"/>
  <c r="AI1014" i="25" s="1"/>
  <c r="M246" i="30" a="1"/>
  <c r="M246" i="30" s="1"/>
  <c r="V1015" i="25" s="1"/>
  <c r="AI1015" i="25" s="1"/>
  <c r="M247" i="30" a="1"/>
  <c r="M247" i="30" s="1"/>
  <c r="V1016" i="25" s="1"/>
  <c r="AI1016" i="25" s="1"/>
  <c r="M248" i="30" a="1"/>
  <c r="M248" i="30" s="1"/>
  <c r="V1017" i="25" s="1"/>
  <c r="AI1017" i="25" s="1"/>
  <c r="M249" i="30" a="1"/>
  <c r="M249" i="30" s="1"/>
  <c r="V1018" i="25" s="1"/>
  <c r="AI1018" i="25" s="1"/>
  <c r="M250" i="30" a="1"/>
  <c r="M250" i="30" s="1"/>
  <c r="V1019" i="25" s="1"/>
  <c r="AI1019" i="25" s="1"/>
  <c r="M251" i="30" a="1"/>
  <c r="M251" i="30" s="1"/>
  <c r="V1020" i="25" s="1"/>
  <c r="AI1020" i="25" s="1"/>
  <c r="M252" i="30" a="1"/>
  <c r="M252" i="30" s="1"/>
  <c r="V1021" i="25" s="1"/>
  <c r="AI1021" i="25" s="1"/>
  <c r="M253" i="30" a="1"/>
  <c r="M253" i="30" s="1"/>
  <c r="V1022" i="25" s="1"/>
  <c r="AI1022" i="25" s="1"/>
  <c r="M254" i="30" a="1"/>
  <c r="M254" i="30" s="1"/>
  <c r="V1023" i="25" s="1"/>
  <c r="AI1023" i="25" s="1"/>
  <c r="M255" i="30" a="1"/>
  <c r="M255" i="30" s="1"/>
  <c r="V1024" i="25" s="1"/>
  <c r="AI1024" i="25" s="1"/>
  <c r="M256" i="30" a="1"/>
  <c r="M256" i="30" s="1"/>
  <c r="V1025" i="25" s="1"/>
  <c r="AI1025" i="25" s="1"/>
  <c r="M257" i="30" a="1"/>
  <c r="M257" i="30" s="1"/>
  <c r="V1026" i="25" s="1"/>
  <c r="AI1026" i="25" s="1"/>
  <c r="M258" i="30" a="1"/>
  <c r="M258" i="30" s="1"/>
  <c r="V1027" i="25" s="1"/>
  <c r="AI1027" i="25" s="1"/>
  <c r="M259" i="30" a="1"/>
  <c r="M259" i="30" s="1"/>
  <c r="V1028" i="25" s="1"/>
  <c r="AI1028" i="25" s="1"/>
  <c r="M260" i="30" a="1"/>
  <c r="M260" i="30" s="1"/>
  <c r="V1029" i="25" s="1"/>
  <c r="AI1029" i="25" s="1"/>
  <c r="M261" i="30" a="1"/>
  <c r="M261" i="30" s="1"/>
  <c r="V1030" i="25" s="1"/>
  <c r="AI1030" i="25" s="1"/>
  <c r="M262" i="30" a="1"/>
  <c r="M262" i="30" s="1"/>
  <c r="V1031" i="25" s="1"/>
  <c r="AI1031" i="25" s="1"/>
  <c r="M263" i="30" a="1"/>
  <c r="M263" i="30" s="1"/>
  <c r="V1032" i="25" s="1"/>
  <c r="AI1032" i="25" s="1"/>
  <c r="M264" i="30" a="1"/>
  <c r="M264" i="30" s="1"/>
  <c r="V1033" i="25" s="1"/>
  <c r="AI1033" i="25" s="1"/>
  <c r="M265" i="30" a="1"/>
  <c r="M265" i="30" s="1"/>
  <c r="V1034" i="25" s="1"/>
  <c r="AI1034" i="25" s="1"/>
  <c r="M266" i="30" a="1"/>
  <c r="M266" i="30" s="1"/>
  <c r="V1035" i="25" s="1"/>
  <c r="AI1035" i="25" s="1"/>
  <c r="M267" i="30" a="1"/>
  <c r="M267" i="30" s="1"/>
  <c r="V1036" i="25" s="1"/>
  <c r="AI1036" i="25" s="1"/>
  <c r="M268" i="30" a="1"/>
  <c r="M268" i="30" s="1"/>
  <c r="V1037" i="25" s="1"/>
  <c r="AI1037" i="25" s="1"/>
  <c r="M269" i="30" a="1"/>
  <c r="M269" i="30" s="1"/>
  <c r="V1038" i="25" s="1"/>
  <c r="AI1038" i="25" s="1"/>
  <c r="M270" i="30" a="1"/>
  <c r="M270" i="30" s="1"/>
  <c r="V1039" i="25" s="1"/>
  <c r="AI1039" i="25" s="1"/>
  <c r="M271" i="30" a="1"/>
  <c r="M271" i="30" s="1"/>
  <c r="V1040" i="25" s="1"/>
  <c r="AI1040" i="25" s="1"/>
  <c r="M272" i="30" a="1"/>
  <c r="M272" i="30" s="1"/>
  <c r="V1041" i="25" s="1"/>
  <c r="AI1041" i="25" s="1"/>
  <c r="M273" i="30" a="1"/>
  <c r="M273" i="30" s="1"/>
  <c r="V1042" i="25" s="1"/>
  <c r="AI1042" i="25" s="1"/>
  <c r="M274" i="30" a="1"/>
  <c r="M274" i="30" s="1"/>
  <c r="V1043" i="25" s="1"/>
  <c r="AI1043" i="25" s="1"/>
  <c r="M275" i="30" a="1"/>
  <c r="M275" i="30" s="1"/>
  <c r="V1044" i="25" s="1"/>
  <c r="AI1044" i="25" s="1"/>
  <c r="M276" i="30" a="1"/>
  <c r="M276" i="30" s="1"/>
  <c r="V1045" i="25" s="1"/>
  <c r="AI1045" i="25" s="1"/>
  <c r="M277" i="30" a="1"/>
  <c r="M277" i="30" s="1"/>
  <c r="V1046" i="25" s="1"/>
  <c r="AI1046" i="25" s="1"/>
  <c r="M278" i="30" a="1"/>
  <c r="M278" i="30" s="1"/>
  <c r="V1047" i="25" s="1"/>
  <c r="AI1047" i="25" s="1"/>
  <c r="M279" i="30" a="1"/>
  <c r="M279" i="30" s="1"/>
  <c r="V1048" i="25" s="1"/>
  <c r="AI1048" i="25" s="1"/>
  <c r="M280" i="30" a="1"/>
  <c r="M280" i="30" s="1"/>
  <c r="V1049" i="25" s="1"/>
  <c r="AI1049" i="25" s="1"/>
  <c r="M281" i="30" a="1"/>
  <c r="M281" i="30" s="1"/>
  <c r="V1050" i="25" s="1"/>
  <c r="AI1050" i="25" s="1"/>
  <c r="M282" i="30" a="1"/>
  <c r="M282" i="30" s="1"/>
  <c r="V1051" i="25" s="1"/>
  <c r="AI1051" i="25" s="1"/>
  <c r="M283" i="30" a="1"/>
  <c r="M283" i="30" s="1"/>
  <c r="V1052" i="25" s="1"/>
  <c r="AI1052" i="25" s="1"/>
  <c r="M284" i="30" a="1"/>
  <c r="M284" i="30" s="1"/>
  <c r="V1053" i="25" s="1"/>
  <c r="AI1053" i="25" s="1"/>
  <c r="M291" i="30" a="1"/>
  <c r="M291" i="30" s="1"/>
  <c r="V1060" i="25" s="1"/>
  <c r="M292" i="30" a="1"/>
  <c r="M292" i="30" s="1"/>
  <c r="AI1058" i="25" s="1"/>
  <c r="M296" i="30" a="1"/>
  <c r="M296" i="30" s="1"/>
  <c r="AI1059" i="25" s="1"/>
  <c r="M297" i="30" a="1"/>
  <c r="M297" i="30" s="1"/>
  <c r="M298" i="30" a="1"/>
  <c r="M298" i="30" s="1"/>
  <c r="M299" i="30" a="1"/>
  <c r="M299" i="30" s="1"/>
  <c r="M300" i="30" a="1"/>
  <c r="M300" i="30" s="1"/>
  <c r="AA7" i="30"/>
  <c r="AA342" i="4"/>
  <c r="AA343" i="4"/>
  <c r="AA344" i="4"/>
  <c r="AA345" i="4"/>
  <c r="AA346" i="4"/>
  <c r="AA347" i="4"/>
  <c r="AA348" i="4"/>
  <c r="AA349" i="4"/>
  <c r="AA350" i="4"/>
  <c r="AA351" i="4"/>
  <c r="AA352" i="4"/>
  <c r="AA353" i="4"/>
  <c r="AA354" i="4"/>
  <c r="AA355" i="4"/>
  <c r="AA356" i="4"/>
  <c r="AA357" i="4"/>
  <c r="AA358" i="4"/>
  <c r="AA359" i="4"/>
  <c r="AA360" i="4"/>
  <c r="AA361" i="4"/>
  <c r="AA362" i="4"/>
  <c r="AA363" i="4"/>
  <c r="AA364" i="4"/>
  <c r="AA365" i="4"/>
  <c r="AA366" i="4"/>
  <c r="AA367" i="4"/>
  <c r="AA368" i="4"/>
  <c r="AA369" i="4"/>
  <c r="AA370" i="4"/>
  <c r="AA371" i="4"/>
  <c r="AA372" i="4"/>
  <c r="AA373" i="4"/>
  <c r="AA374" i="4"/>
  <c r="AA375" i="4"/>
  <c r="AA376" i="4"/>
  <c r="AA377" i="4"/>
  <c r="AA378" i="4"/>
  <c r="AA379" i="4"/>
  <c r="AA380" i="4"/>
  <c r="AA381" i="4"/>
  <c r="AA382" i="4"/>
  <c r="AA383" i="4"/>
  <c r="AA384" i="4"/>
  <c r="AA385" i="4"/>
  <c r="AA386" i="4"/>
  <c r="AA387" i="4"/>
  <c r="AA388" i="4"/>
  <c r="AA389" i="4"/>
  <c r="AA390" i="4"/>
  <c r="AA391" i="4"/>
  <c r="AA392" i="4"/>
  <c r="AA393" i="4"/>
  <c r="AA394" i="4"/>
  <c r="AA395" i="4"/>
  <c r="AA396" i="4"/>
  <c r="AA397" i="4"/>
  <c r="AA398" i="4"/>
  <c r="AA399" i="4"/>
  <c r="AA400" i="4"/>
  <c r="AA401" i="4"/>
  <c r="AA452" i="4"/>
  <c r="AA453" i="4"/>
  <c r="AA454" i="4"/>
  <c r="AA455" i="4"/>
  <c r="AA456" i="4"/>
  <c r="AA457" i="4"/>
  <c r="AA458" i="4"/>
  <c r="AA459" i="4"/>
  <c r="AA460" i="4"/>
  <c r="AA461" i="4"/>
  <c r="AA462" i="4"/>
  <c r="AA463" i="4"/>
  <c r="AA464" i="4"/>
  <c r="AA465" i="4"/>
  <c r="AA466" i="4"/>
  <c r="AA467" i="4"/>
  <c r="AA468" i="4"/>
  <c r="AA469" i="4"/>
  <c r="AA470" i="4"/>
  <c r="AA471" i="4"/>
  <c r="AA472" i="4"/>
  <c r="AA473" i="4"/>
  <c r="AA474" i="4"/>
  <c r="AA475" i="4"/>
  <c r="AA476" i="4"/>
  <c r="AA477" i="4"/>
  <c r="AA478" i="4"/>
  <c r="AA479" i="4"/>
  <c r="AA480" i="4"/>
  <c r="AA481" i="4"/>
  <c r="AA482" i="4"/>
  <c r="AA483" i="4"/>
  <c r="AA484" i="4"/>
  <c r="AA485" i="4"/>
  <c r="AA486" i="4"/>
  <c r="AA487" i="4"/>
  <c r="AA488" i="4"/>
  <c r="AA489" i="4"/>
  <c r="AA490" i="4"/>
  <c r="AA491" i="4"/>
  <c r="AA492" i="4"/>
  <c r="AA493" i="4"/>
  <c r="AA494" i="4"/>
  <c r="AA495" i="4"/>
  <c r="AA496" i="4"/>
  <c r="AA497" i="4"/>
  <c r="AA498" i="4"/>
  <c r="AA499" i="4"/>
  <c r="AA341" i="4"/>
  <c r="AA7" i="4"/>
  <c r="AA118" i="31"/>
  <c r="X118" i="31" a="1"/>
  <c r="X118" i="31" s="1"/>
  <c r="U118" i="31" a="1"/>
  <c r="U118" i="31" s="1"/>
  <c r="T118" i="31" a="1"/>
  <c r="T118" i="31" s="1"/>
  <c r="S118" i="31" a="1"/>
  <c r="S118" i="31" s="1"/>
  <c r="R118" i="31" a="1"/>
  <c r="R118" i="31" s="1"/>
  <c r="Q118" i="31" a="1"/>
  <c r="Q118" i="31" s="1"/>
  <c r="H118" i="31"/>
  <c r="D118" i="31"/>
  <c r="L118" i="31" s="1"/>
  <c r="X117" i="31" a="1"/>
  <c r="X117" i="31" s="1"/>
  <c r="H117" i="31"/>
  <c r="D117" i="31"/>
  <c r="AA116" i="31"/>
  <c r="X116" i="31" a="1"/>
  <c r="X116" i="31" s="1"/>
  <c r="U116" i="31" a="1"/>
  <c r="U116" i="31" s="1"/>
  <c r="T116" i="31" a="1"/>
  <c r="T116" i="31" s="1"/>
  <c r="S116" i="31" a="1"/>
  <c r="S116" i="31" s="1"/>
  <c r="R116" i="31" a="1"/>
  <c r="R116" i="31" s="1"/>
  <c r="Q116" i="31" a="1"/>
  <c r="Q116" i="31" s="1"/>
  <c r="H116" i="31"/>
  <c r="D116" i="31"/>
  <c r="L116" i="31" s="1"/>
  <c r="AA115" i="31"/>
  <c r="X115" i="31" a="1"/>
  <c r="X115" i="31" s="1"/>
  <c r="U115" i="31" a="1"/>
  <c r="U115" i="31" s="1"/>
  <c r="T115" i="31" a="1"/>
  <c r="T115" i="31" s="1"/>
  <c r="S115" i="31" a="1"/>
  <c r="S115" i="31" s="1"/>
  <c r="R115" i="31" a="1"/>
  <c r="R115" i="31" s="1"/>
  <c r="Q115" i="31" a="1"/>
  <c r="Q115" i="31" s="1"/>
  <c r="H115" i="31"/>
  <c r="D115" i="31"/>
  <c r="L115" i="31" s="1"/>
  <c r="AA114" i="31"/>
  <c r="X114" i="31" a="1"/>
  <c r="X114" i="31" s="1"/>
  <c r="U114" i="31" a="1"/>
  <c r="U114" i="31" s="1"/>
  <c r="T114" i="31" a="1"/>
  <c r="T114" i="31" s="1"/>
  <c r="S114" i="31" a="1"/>
  <c r="S114" i="31" s="1"/>
  <c r="R114" i="31" a="1"/>
  <c r="R114" i="31" s="1"/>
  <c r="Q114" i="31" a="1"/>
  <c r="Q114" i="31" s="1"/>
  <c r="H114" i="31"/>
  <c r="D114" i="31"/>
  <c r="K114" i="31" s="1" a="1"/>
  <c r="K114" i="31" s="1"/>
  <c r="AA113" i="31"/>
  <c r="X113" i="31" a="1"/>
  <c r="X113" i="31" s="1"/>
  <c r="U113" i="31" a="1"/>
  <c r="U113" i="31" s="1"/>
  <c r="T113" i="31" a="1"/>
  <c r="T113" i="31" s="1"/>
  <c r="S113" i="31" a="1"/>
  <c r="S113" i="31" s="1"/>
  <c r="R113" i="31" a="1"/>
  <c r="R113" i="31" s="1"/>
  <c r="Q113" i="31" a="1"/>
  <c r="Q113" i="31" s="1"/>
  <c r="H113" i="31"/>
  <c r="D113" i="31"/>
  <c r="AA112" i="31"/>
  <c r="X112" i="31" a="1"/>
  <c r="X112" i="31" s="1"/>
  <c r="U112" i="31" a="1"/>
  <c r="U112" i="31" s="1"/>
  <c r="T112" i="31" a="1"/>
  <c r="T112" i="31" s="1"/>
  <c r="S112" i="31" a="1"/>
  <c r="S112" i="31" s="1"/>
  <c r="R112" i="31" a="1"/>
  <c r="R112" i="31" s="1"/>
  <c r="Q112" i="31" a="1"/>
  <c r="Q112" i="31" s="1"/>
  <c r="H112" i="31"/>
  <c r="D112" i="31"/>
  <c r="AA111" i="31"/>
  <c r="X111" i="31" a="1"/>
  <c r="X111" i="31" s="1"/>
  <c r="U111" i="31" a="1"/>
  <c r="U111" i="31" s="1"/>
  <c r="T111" i="31" a="1"/>
  <c r="T111" i="31" s="1"/>
  <c r="S111" i="31" a="1"/>
  <c r="S111" i="31" s="1"/>
  <c r="R111" i="31" a="1"/>
  <c r="R111" i="31" s="1"/>
  <c r="Q111" i="31" a="1"/>
  <c r="Q111" i="31" s="1"/>
  <c r="H111" i="31"/>
  <c r="D111" i="31"/>
  <c r="AA110" i="31"/>
  <c r="X110" i="31" a="1"/>
  <c r="X110" i="31" s="1"/>
  <c r="U110" i="31" a="1"/>
  <c r="U110" i="31" s="1"/>
  <c r="T110" i="31" a="1"/>
  <c r="T110" i="31" s="1"/>
  <c r="S110" i="31" a="1"/>
  <c r="S110" i="31" s="1"/>
  <c r="R110" i="31" a="1"/>
  <c r="R110" i="31" s="1"/>
  <c r="Q110" i="31" a="1"/>
  <c r="Q110" i="31" s="1"/>
  <c r="H110" i="31"/>
  <c r="D110" i="31"/>
  <c r="AA109" i="31"/>
  <c r="X109" i="31" a="1"/>
  <c r="X109" i="31" s="1"/>
  <c r="U109" i="31" a="1"/>
  <c r="U109" i="31" s="1"/>
  <c r="T109" i="31" a="1"/>
  <c r="T109" i="31" s="1"/>
  <c r="S109" i="31" a="1"/>
  <c r="S109" i="31" s="1"/>
  <c r="R109" i="31" a="1"/>
  <c r="R109" i="31" s="1"/>
  <c r="Q109" i="31" a="1"/>
  <c r="Q109" i="31" s="1"/>
  <c r="H109" i="31"/>
  <c r="D109" i="31"/>
  <c r="K109" i="31" s="1" a="1"/>
  <c r="K109" i="31" s="1"/>
  <c r="AA108" i="31"/>
  <c r="X108" i="31" a="1"/>
  <c r="X108" i="31" s="1"/>
  <c r="U108" i="31" a="1"/>
  <c r="U108" i="31" s="1"/>
  <c r="T108" i="31" a="1"/>
  <c r="T108" i="31" s="1"/>
  <c r="S108" i="31" a="1"/>
  <c r="S108" i="31" s="1"/>
  <c r="R108" i="31" a="1"/>
  <c r="R108" i="31" s="1"/>
  <c r="Q108" i="31" a="1"/>
  <c r="Q108" i="31" s="1"/>
  <c r="H108" i="31"/>
  <c r="D108" i="31"/>
  <c r="L108" i="31" s="1"/>
  <c r="AA107" i="31"/>
  <c r="X107" i="31" a="1"/>
  <c r="X107" i="31" s="1"/>
  <c r="U107" i="31" a="1"/>
  <c r="U107" i="31" s="1"/>
  <c r="T107" i="31" a="1"/>
  <c r="T107" i="31" s="1"/>
  <c r="S107" i="31" a="1"/>
  <c r="S107" i="31" s="1"/>
  <c r="R107" i="31" a="1"/>
  <c r="R107" i="31" s="1"/>
  <c r="Q107" i="31" a="1"/>
  <c r="Q107" i="31" s="1"/>
  <c r="H107" i="31"/>
  <c r="D107" i="31"/>
  <c r="L107" i="31" s="1"/>
  <c r="AA106" i="31"/>
  <c r="X106" i="31" a="1"/>
  <c r="X106" i="31" s="1"/>
  <c r="U106" i="31" a="1"/>
  <c r="U106" i="31" s="1"/>
  <c r="T106" i="31" a="1"/>
  <c r="T106" i="31" s="1"/>
  <c r="S106" i="31" a="1"/>
  <c r="S106" i="31" s="1"/>
  <c r="R106" i="31" a="1"/>
  <c r="R106" i="31" s="1"/>
  <c r="Q106" i="31" a="1"/>
  <c r="Q106" i="31" s="1"/>
  <c r="H106" i="31"/>
  <c r="D106" i="31"/>
  <c r="K106" i="31" s="1" a="1"/>
  <c r="K106" i="31" s="1"/>
  <c r="AA105" i="31"/>
  <c r="X105" i="31" a="1"/>
  <c r="X105" i="31" s="1"/>
  <c r="U105" i="31" a="1"/>
  <c r="U105" i="31" s="1"/>
  <c r="T105" i="31" a="1"/>
  <c r="T105" i="31" s="1"/>
  <c r="S105" i="31" a="1"/>
  <c r="S105" i="31" s="1"/>
  <c r="R105" i="31" a="1"/>
  <c r="R105" i="31" s="1"/>
  <c r="Q105" i="31" a="1"/>
  <c r="Q105" i="31" s="1"/>
  <c r="H105" i="31"/>
  <c r="D105" i="31"/>
  <c r="AA104" i="31"/>
  <c r="X104" i="31" a="1"/>
  <c r="X104" i="31" s="1"/>
  <c r="U104" i="31" a="1"/>
  <c r="U104" i="31" s="1"/>
  <c r="T104" i="31" a="1"/>
  <c r="T104" i="31" s="1"/>
  <c r="S104" i="31" a="1"/>
  <c r="S104" i="31" s="1"/>
  <c r="R104" i="31" a="1"/>
  <c r="R104" i="31" s="1"/>
  <c r="Q104" i="31" a="1"/>
  <c r="Q104" i="31" s="1"/>
  <c r="H104" i="31"/>
  <c r="D104" i="31"/>
  <c r="L104" i="31" s="1"/>
  <c r="AA103" i="31"/>
  <c r="X103" i="31" a="1"/>
  <c r="X103" i="31" s="1"/>
  <c r="U103" i="31" a="1"/>
  <c r="U103" i="31" s="1"/>
  <c r="T103" i="31" a="1"/>
  <c r="T103" i="31" s="1"/>
  <c r="S103" i="31" a="1"/>
  <c r="S103" i="31" s="1"/>
  <c r="R103" i="31" a="1"/>
  <c r="R103" i="31" s="1"/>
  <c r="Q103" i="31" a="1"/>
  <c r="Q103" i="31" s="1"/>
  <c r="H103" i="31"/>
  <c r="D103" i="31"/>
  <c r="L103" i="31" s="1"/>
  <c r="AA102" i="31"/>
  <c r="X102" i="31" a="1"/>
  <c r="X102" i="31" s="1"/>
  <c r="U102" i="31" a="1"/>
  <c r="U102" i="31" s="1"/>
  <c r="T102" i="31" a="1"/>
  <c r="T102" i="31" s="1"/>
  <c r="S102" i="31" a="1"/>
  <c r="S102" i="31" s="1"/>
  <c r="R102" i="31" a="1"/>
  <c r="R102" i="31" s="1"/>
  <c r="Q102" i="31" a="1"/>
  <c r="Q102" i="31" s="1"/>
  <c r="H102" i="31"/>
  <c r="D102" i="31"/>
  <c r="K102" i="31" s="1" a="1"/>
  <c r="K102" i="31" s="1"/>
  <c r="AA101" i="31"/>
  <c r="X101" i="31" a="1"/>
  <c r="X101" i="31" s="1"/>
  <c r="U101" i="31" a="1"/>
  <c r="U101" i="31" s="1"/>
  <c r="T101" i="31" a="1"/>
  <c r="T101" i="31" s="1"/>
  <c r="S101" i="31" a="1"/>
  <c r="S101" i="31" s="1"/>
  <c r="R101" i="31" a="1"/>
  <c r="R101" i="31" s="1"/>
  <c r="Q101" i="31" a="1"/>
  <c r="Q101" i="31" s="1"/>
  <c r="H101" i="31"/>
  <c r="D101" i="31"/>
  <c r="K101" i="31" s="1" a="1"/>
  <c r="K101" i="31" s="1"/>
  <c r="AA100" i="31"/>
  <c r="X100" i="31" a="1"/>
  <c r="X100" i="31" s="1"/>
  <c r="U100" i="31" a="1"/>
  <c r="U100" i="31" s="1"/>
  <c r="T100" i="31" a="1"/>
  <c r="T100" i="31" s="1"/>
  <c r="S100" i="31" a="1"/>
  <c r="S100" i="31" s="1"/>
  <c r="R100" i="31" a="1"/>
  <c r="R100" i="31" s="1"/>
  <c r="Q100" i="31" a="1"/>
  <c r="Q100" i="31" s="1"/>
  <c r="H100" i="31"/>
  <c r="D100" i="31"/>
  <c r="L100" i="31" s="1"/>
  <c r="AA99" i="31"/>
  <c r="X99" i="31" a="1"/>
  <c r="X99" i="31" s="1"/>
  <c r="U99" i="31" a="1"/>
  <c r="U99" i="31" s="1"/>
  <c r="T99" i="31" a="1"/>
  <c r="T99" i="31" s="1"/>
  <c r="S99" i="31" a="1"/>
  <c r="S99" i="31" s="1"/>
  <c r="R99" i="31" a="1"/>
  <c r="R99" i="31" s="1"/>
  <c r="Q99" i="31" a="1"/>
  <c r="Q99" i="31" s="1"/>
  <c r="H99" i="31"/>
  <c r="D99" i="31"/>
  <c r="L99" i="31" s="1"/>
  <c r="AA98" i="31"/>
  <c r="X98" i="31" a="1"/>
  <c r="X98" i="31" s="1"/>
  <c r="U98" i="31" a="1"/>
  <c r="U98" i="31" s="1"/>
  <c r="T98" i="31" a="1"/>
  <c r="T98" i="31" s="1"/>
  <c r="S98" i="31" a="1"/>
  <c r="S98" i="31" s="1"/>
  <c r="R98" i="31" a="1"/>
  <c r="R98" i="31" s="1"/>
  <c r="Q98" i="31" a="1"/>
  <c r="Q98" i="31" s="1"/>
  <c r="H98" i="31"/>
  <c r="D98" i="31"/>
  <c r="K98" i="31" s="1" a="1"/>
  <c r="K98" i="31" s="1"/>
  <c r="AA97" i="31"/>
  <c r="X97" i="31" a="1"/>
  <c r="X97" i="31" s="1"/>
  <c r="U97" i="31" a="1"/>
  <c r="U97" i="31" s="1"/>
  <c r="T97" i="31" a="1"/>
  <c r="T97" i="31" s="1"/>
  <c r="S97" i="31" a="1"/>
  <c r="S97" i="31" s="1"/>
  <c r="R97" i="31" a="1"/>
  <c r="R97" i="31" s="1"/>
  <c r="Q97" i="31" a="1"/>
  <c r="Q97" i="31" s="1"/>
  <c r="H97" i="31"/>
  <c r="D97" i="31"/>
  <c r="AA96" i="31"/>
  <c r="X96" i="31" a="1"/>
  <c r="X96" i="31" s="1"/>
  <c r="U96" i="31" a="1"/>
  <c r="U96" i="31" s="1"/>
  <c r="T96" i="31" a="1"/>
  <c r="T96" i="31" s="1"/>
  <c r="S96" i="31" a="1"/>
  <c r="S96" i="31" s="1"/>
  <c r="R96" i="31" a="1"/>
  <c r="R96" i="31" s="1"/>
  <c r="Q96" i="31" a="1"/>
  <c r="Q96" i="31" s="1"/>
  <c r="H96" i="31"/>
  <c r="D96" i="31"/>
  <c r="L96" i="31" s="1"/>
  <c r="AA95" i="31"/>
  <c r="X95" i="31" a="1"/>
  <c r="X95" i="31" s="1"/>
  <c r="U95" i="31" a="1"/>
  <c r="U95" i="31" s="1"/>
  <c r="T95" i="31" a="1"/>
  <c r="T95" i="31" s="1"/>
  <c r="S95" i="31" a="1"/>
  <c r="S95" i="31" s="1"/>
  <c r="R95" i="31" a="1"/>
  <c r="R95" i="31" s="1"/>
  <c r="Q95" i="31" a="1"/>
  <c r="Q95" i="31" s="1"/>
  <c r="H95" i="31"/>
  <c r="D95" i="31"/>
  <c r="L95" i="31" s="1"/>
  <c r="AA94" i="31"/>
  <c r="X94" i="31" a="1"/>
  <c r="X94" i="31" s="1"/>
  <c r="U94" i="31" a="1"/>
  <c r="U94" i="31" s="1"/>
  <c r="T94" i="31" a="1"/>
  <c r="T94" i="31" s="1"/>
  <c r="S94" i="31" a="1"/>
  <c r="S94" i="31" s="1"/>
  <c r="R94" i="31" a="1"/>
  <c r="R94" i="31" s="1"/>
  <c r="Q94" i="31" a="1"/>
  <c r="Q94" i="31" s="1"/>
  <c r="H94" i="31"/>
  <c r="D94" i="31"/>
  <c r="K94" i="31" s="1" a="1"/>
  <c r="K94" i="31" s="1"/>
  <c r="AA93" i="31"/>
  <c r="X93" i="31" a="1"/>
  <c r="X93" i="31" s="1"/>
  <c r="U93" i="31" a="1"/>
  <c r="U93" i="31" s="1"/>
  <c r="T93" i="31" a="1"/>
  <c r="T93" i="31" s="1"/>
  <c r="S93" i="31" a="1"/>
  <c r="S93" i="31" s="1"/>
  <c r="R93" i="31" a="1"/>
  <c r="R93" i="31" s="1"/>
  <c r="Q93" i="31" a="1"/>
  <c r="Q93" i="31" s="1"/>
  <c r="H93" i="31"/>
  <c r="D93" i="31"/>
  <c r="K93" i="31" s="1" a="1"/>
  <c r="K93" i="31" s="1"/>
  <c r="AA92" i="31"/>
  <c r="X92" i="31" a="1"/>
  <c r="X92" i="31" s="1"/>
  <c r="U92" i="31" a="1"/>
  <c r="U92" i="31" s="1"/>
  <c r="T92" i="31" a="1"/>
  <c r="T92" i="31" s="1"/>
  <c r="S92" i="31" a="1"/>
  <c r="S92" i="31" s="1"/>
  <c r="R92" i="31" a="1"/>
  <c r="R92" i="31" s="1"/>
  <c r="Q92" i="31" a="1"/>
  <c r="Q92" i="31" s="1"/>
  <c r="H92" i="31"/>
  <c r="D92" i="31"/>
  <c r="L92" i="31" s="1"/>
  <c r="AA91" i="31"/>
  <c r="X91" i="31" a="1"/>
  <c r="X91" i="31" s="1"/>
  <c r="U91" i="31" a="1"/>
  <c r="U91" i="31" s="1"/>
  <c r="T91" i="31" a="1"/>
  <c r="T91" i="31" s="1"/>
  <c r="S91" i="31" a="1"/>
  <c r="S91" i="31" s="1"/>
  <c r="R91" i="31" a="1"/>
  <c r="R91" i="31" s="1"/>
  <c r="Q91" i="31" a="1"/>
  <c r="Q91" i="31" s="1"/>
  <c r="H91" i="31"/>
  <c r="D91" i="31"/>
  <c r="L91" i="31" s="1"/>
  <c r="AA90" i="31"/>
  <c r="X90" i="31" a="1"/>
  <c r="X90" i="31" s="1"/>
  <c r="U90" i="31" a="1"/>
  <c r="U90" i="31" s="1"/>
  <c r="T90" i="31" a="1"/>
  <c r="T90" i="31" s="1"/>
  <c r="S90" i="31" a="1"/>
  <c r="S90" i="31" s="1"/>
  <c r="R90" i="31" a="1"/>
  <c r="R90" i="31" s="1"/>
  <c r="Q90" i="31" a="1"/>
  <c r="Q90" i="31" s="1"/>
  <c r="H90" i="31"/>
  <c r="D90" i="31"/>
  <c r="K90" i="31" s="1" a="1"/>
  <c r="K90" i="31" s="1"/>
  <c r="AA89" i="31"/>
  <c r="X89" i="31" a="1"/>
  <c r="X89" i="31" s="1"/>
  <c r="U89" i="31" a="1"/>
  <c r="U89" i="31" s="1"/>
  <c r="T89" i="31" a="1"/>
  <c r="T89" i="31" s="1"/>
  <c r="S89" i="31" a="1"/>
  <c r="S89" i="31" s="1"/>
  <c r="R89" i="31" a="1"/>
  <c r="R89" i="31" s="1"/>
  <c r="Q89" i="31" a="1"/>
  <c r="Q89" i="31" s="1"/>
  <c r="H89" i="31"/>
  <c r="D89" i="31"/>
  <c r="AA88" i="31"/>
  <c r="X88" i="31" a="1"/>
  <c r="X88" i="31" s="1"/>
  <c r="U88" i="31" a="1"/>
  <c r="U88" i="31" s="1"/>
  <c r="T88" i="31" a="1"/>
  <c r="T88" i="31" s="1"/>
  <c r="S88" i="31" a="1"/>
  <c r="S88" i="31" s="1"/>
  <c r="R88" i="31" a="1"/>
  <c r="R88" i="31" s="1"/>
  <c r="Q88" i="31" a="1"/>
  <c r="Q88" i="31" s="1"/>
  <c r="H88" i="31"/>
  <c r="D88" i="31"/>
  <c r="L88" i="31" s="1"/>
  <c r="AA87" i="31"/>
  <c r="X87" i="31" a="1"/>
  <c r="X87" i="31" s="1"/>
  <c r="U87" i="31" a="1"/>
  <c r="U87" i="31" s="1"/>
  <c r="T87" i="31" a="1"/>
  <c r="T87" i="31" s="1"/>
  <c r="S87" i="31" a="1"/>
  <c r="S87" i="31" s="1"/>
  <c r="R87" i="31" a="1"/>
  <c r="R87" i="31" s="1"/>
  <c r="Q87" i="31" a="1"/>
  <c r="Q87" i="31" s="1"/>
  <c r="H87" i="31"/>
  <c r="D87" i="31"/>
  <c r="K87" i="31" s="1" a="1"/>
  <c r="K87" i="31" s="1"/>
  <c r="AA86" i="31"/>
  <c r="X86" i="31" a="1"/>
  <c r="X86" i="31" s="1"/>
  <c r="U86" i="31" a="1"/>
  <c r="U86" i="31" s="1"/>
  <c r="T86" i="31" a="1"/>
  <c r="T86" i="31" s="1"/>
  <c r="S86" i="31" a="1"/>
  <c r="S86" i="31" s="1"/>
  <c r="R86" i="31" a="1"/>
  <c r="R86" i="31" s="1"/>
  <c r="Q86" i="31" a="1"/>
  <c r="Q86" i="31" s="1"/>
  <c r="H86" i="31"/>
  <c r="D86" i="31"/>
  <c r="K86" i="31" s="1" a="1"/>
  <c r="K86" i="31" s="1"/>
  <c r="AA85" i="31"/>
  <c r="X85" i="31" a="1"/>
  <c r="X85" i="31" s="1"/>
  <c r="U85" i="31" a="1"/>
  <c r="U85" i="31" s="1"/>
  <c r="T85" i="31" a="1"/>
  <c r="T85" i="31" s="1"/>
  <c r="S85" i="31" a="1"/>
  <c r="S85" i="31" s="1"/>
  <c r="R85" i="31" a="1"/>
  <c r="R85" i="31" s="1"/>
  <c r="Q85" i="31" a="1"/>
  <c r="Q85" i="31" s="1"/>
  <c r="H85" i="31"/>
  <c r="D85" i="31"/>
  <c r="L85" i="31" s="1"/>
  <c r="AA84" i="31"/>
  <c r="X84" i="31" a="1"/>
  <c r="X84" i="31" s="1"/>
  <c r="U84" i="31" a="1"/>
  <c r="U84" i="31" s="1"/>
  <c r="T84" i="31" a="1"/>
  <c r="T84" i="31" s="1"/>
  <c r="S84" i="31" a="1"/>
  <c r="S84" i="31" s="1"/>
  <c r="R84" i="31" a="1"/>
  <c r="R84" i="31" s="1"/>
  <c r="Q84" i="31" a="1"/>
  <c r="Q84" i="31" s="1"/>
  <c r="H84" i="31"/>
  <c r="D84" i="31"/>
  <c r="L84" i="31" s="1"/>
  <c r="AA83" i="31"/>
  <c r="X83" i="31" a="1"/>
  <c r="X83" i="31" s="1"/>
  <c r="AG1137" i="25" s="1"/>
  <c r="U83" i="31" a="1"/>
  <c r="U83" i="31" s="1"/>
  <c r="AD1137" i="25" s="1"/>
  <c r="T83" i="31" a="1"/>
  <c r="T83" i="31" s="1"/>
  <c r="AC1137" i="25" s="1"/>
  <c r="S83" i="31" a="1"/>
  <c r="S83" i="31" s="1"/>
  <c r="AB1137" i="25" s="1"/>
  <c r="R83" i="31" a="1"/>
  <c r="R83" i="31" s="1"/>
  <c r="AA1137" i="25" s="1"/>
  <c r="Q83" i="31" a="1"/>
  <c r="Q83" i="31" s="1"/>
  <c r="Z1137" i="25" s="1"/>
  <c r="H83" i="31"/>
  <c r="Q1137" i="25" s="1"/>
  <c r="D83" i="31"/>
  <c r="AA82" i="31"/>
  <c r="X82" i="31" a="1"/>
  <c r="X82" i="31" s="1"/>
  <c r="AG1136" i="25" s="1"/>
  <c r="U82" i="31" a="1"/>
  <c r="U82" i="31" s="1"/>
  <c r="AD1136" i="25" s="1"/>
  <c r="T82" i="31" a="1"/>
  <c r="T82" i="31" s="1"/>
  <c r="AC1136" i="25" s="1"/>
  <c r="S82" i="31" a="1"/>
  <c r="S82" i="31" s="1"/>
  <c r="AB1136" i="25" s="1"/>
  <c r="R82" i="31" a="1"/>
  <c r="R82" i="31" s="1"/>
  <c r="AA1136" i="25" s="1"/>
  <c r="Q82" i="31" a="1"/>
  <c r="Q82" i="31" s="1"/>
  <c r="Z1136" i="25" s="1"/>
  <c r="H82" i="31"/>
  <c r="Q1136" i="25" s="1"/>
  <c r="D82" i="31"/>
  <c r="AA81" i="31"/>
  <c r="X81" i="31" a="1"/>
  <c r="X81" i="31" s="1"/>
  <c r="AG1135" i="25" s="1"/>
  <c r="U81" i="31" a="1"/>
  <c r="U81" i="31" s="1"/>
  <c r="AD1135" i="25" s="1"/>
  <c r="T81" i="31" a="1"/>
  <c r="T81" i="31" s="1"/>
  <c r="AC1135" i="25" s="1"/>
  <c r="S81" i="31" a="1"/>
  <c r="S81" i="31" s="1"/>
  <c r="AB1135" i="25" s="1"/>
  <c r="R81" i="31" a="1"/>
  <c r="R81" i="31" s="1"/>
  <c r="AA1135" i="25" s="1"/>
  <c r="Q81" i="31" a="1"/>
  <c r="Q81" i="31" s="1"/>
  <c r="Z1135" i="25" s="1"/>
  <c r="H81" i="31"/>
  <c r="Q1135" i="25" s="1"/>
  <c r="D81" i="31"/>
  <c r="AA80" i="31"/>
  <c r="X80" i="31" a="1"/>
  <c r="X80" i="31" s="1"/>
  <c r="AG1134" i="25" s="1"/>
  <c r="U80" i="31" a="1"/>
  <c r="U80" i="31" s="1"/>
  <c r="AD1134" i="25" s="1"/>
  <c r="T80" i="31" a="1"/>
  <c r="T80" i="31" s="1"/>
  <c r="AC1134" i="25" s="1"/>
  <c r="S80" i="31" a="1"/>
  <c r="S80" i="31" s="1"/>
  <c r="AB1134" i="25" s="1"/>
  <c r="R80" i="31" a="1"/>
  <c r="R80" i="31" s="1"/>
  <c r="AA1134" i="25" s="1"/>
  <c r="Q80" i="31" a="1"/>
  <c r="Q80" i="31" s="1"/>
  <c r="Z1134" i="25" s="1"/>
  <c r="H80" i="31"/>
  <c r="Q1134" i="25" s="1"/>
  <c r="D80" i="31"/>
  <c r="AA79" i="31"/>
  <c r="X79" i="31" a="1"/>
  <c r="X79" i="31" s="1"/>
  <c r="AG1133" i="25" s="1"/>
  <c r="U79" i="31" a="1"/>
  <c r="U79" i="31" s="1"/>
  <c r="AD1133" i="25" s="1"/>
  <c r="T79" i="31" a="1"/>
  <c r="T79" i="31" s="1"/>
  <c r="AC1133" i="25" s="1"/>
  <c r="S79" i="31" a="1"/>
  <c r="S79" i="31" s="1"/>
  <c r="AB1133" i="25" s="1"/>
  <c r="R79" i="31" a="1"/>
  <c r="R79" i="31" s="1"/>
  <c r="AA1133" i="25" s="1"/>
  <c r="Q79" i="31" a="1"/>
  <c r="Q79" i="31" s="1"/>
  <c r="Z1133" i="25" s="1"/>
  <c r="H79" i="31"/>
  <c r="Q1133" i="25" s="1"/>
  <c r="D79" i="31"/>
  <c r="AA78" i="31"/>
  <c r="X78" i="31" a="1"/>
  <c r="X78" i="31" s="1"/>
  <c r="AG1132" i="25" s="1"/>
  <c r="U78" i="31" a="1"/>
  <c r="U78" i="31" s="1"/>
  <c r="AD1132" i="25" s="1"/>
  <c r="T78" i="31" a="1"/>
  <c r="T78" i="31" s="1"/>
  <c r="AC1132" i="25" s="1"/>
  <c r="S78" i="31" a="1"/>
  <c r="S78" i="31" s="1"/>
  <c r="AB1132" i="25" s="1"/>
  <c r="R78" i="31" a="1"/>
  <c r="R78" i="31" s="1"/>
  <c r="AA1132" i="25" s="1"/>
  <c r="Q78" i="31" a="1"/>
  <c r="Q78" i="31" s="1"/>
  <c r="Z1132" i="25" s="1"/>
  <c r="H78" i="31"/>
  <c r="Q1132" i="25" s="1"/>
  <c r="D78" i="31"/>
  <c r="AA77" i="31"/>
  <c r="X77" i="31" a="1"/>
  <c r="X77" i="31" s="1"/>
  <c r="AG1131" i="25" s="1"/>
  <c r="U77" i="31" a="1"/>
  <c r="U77" i="31" s="1"/>
  <c r="AD1131" i="25" s="1"/>
  <c r="T77" i="31" a="1"/>
  <c r="T77" i="31" s="1"/>
  <c r="AC1131" i="25" s="1"/>
  <c r="S77" i="31" a="1"/>
  <c r="S77" i="31" s="1"/>
  <c r="AB1131" i="25" s="1"/>
  <c r="R77" i="31" a="1"/>
  <c r="R77" i="31" s="1"/>
  <c r="AA1131" i="25" s="1"/>
  <c r="Q77" i="31" a="1"/>
  <c r="Q77" i="31" s="1"/>
  <c r="Z1131" i="25" s="1"/>
  <c r="H77" i="31"/>
  <c r="Q1131" i="25" s="1"/>
  <c r="D77" i="31"/>
  <c r="AA76" i="31"/>
  <c r="X76" i="31" a="1"/>
  <c r="X76" i="31" s="1"/>
  <c r="AG1130" i="25" s="1"/>
  <c r="U76" i="31" a="1"/>
  <c r="U76" i="31" s="1"/>
  <c r="AD1130" i="25" s="1"/>
  <c r="T76" i="31" a="1"/>
  <c r="T76" i="31" s="1"/>
  <c r="AC1130" i="25" s="1"/>
  <c r="S76" i="31" a="1"/>
  <c r="S76" i="31" s="1"/>
  <c r="AB1130" i="25" s="1"/>
  <c r="R76" i="31" a="1"/>
  <c r="R76" i="31" s="1"/>
  <c r="AA1130" i="25" s="1"/>
  <c r="Q76" i="31" a="1"/>
  <c r="Q76" i="31" s="1"/>
  <c r="Z1130" i="25" s="1"/>
  <c r="H76" i="31"/>
  <c r="Q1130" i="25" s="1"/>
  <c r="D76" i="31"/>
  <c r="AA75" i="31"/>
  <c r="X75" i="31" a="1"/>
  <c r="X75" i="31" s="1"/>
  <c r="AG1129" i="25" s="1"/>
  <c r="U75" i="31" a="1"/>
  <c r="U75" i="31" s="1"/>
  <c r="AD1129" i="25" s="1"/>
  <c r="T75" i="31" a="1"/>
  <c r="T75" i="31" s="1"/>
  <c r="AC1129" i="25" s="1"/>
  <c r="S75" i="31" a="1"/>
  <c r="S75" i="31" s="1"/>
  <c r="AB1129" i="25" s="1"/>
  <c r="R75" i="31" a="1"/>
  <c r="R75" i="31" s="1"/>
  <c r="AA1129" i="25" s="1"/>
  <c r="Q75" i="31" a="1"/>
  <c r="Q75" i="31" s="1"/>
  <c r="Z1129" i="25" s="1"/>
  <c r="H75" i="31"/>
  <c r="Q1129" i="25" s="1"/>
  <c r="D75" i="31"/>
  <c r="AA74" i="31"/>
  <c r="X74" i="31" a="1"/>
  <c r="X74" i="31" s="1"/>
  <c r="AG1128" i="25" s="1"/>
  <c r="U74" i="31" a="1"/>
  <c r="U74" i="31" s="1"/>
  <c r="AD1128" i="25" s="1"/>
  <c r="T74" i="31" a="1"/>
  <c r="T74" i="31" s="1"/>
  <c r="AC1128" i="25" s="1"/>
  <c r="S74" i="31" a="1"/>
  <c r="S74" i="31" s="1"/>
  <c r="AB1128" i="25" s="1"/>
  <c r="R74" i="31" a="1"/>
  <c r="R74" i="31" s="1"/>
  <c r="AA1128" i="25" s="1"/>
  <c r="Q74" i="31" a="1"/>
  <c r="Q74" i="31" s="1"/>
  <c r="Z1128" i="25" s="1"/>
  <c r="H74" i="31"/>
  <c r="Q1128" i="25" s="1"/>
  <c r="D74" i="31"/>
  <c r="J1128" i="25" s="1"/>
  <c r="AA73" i="31"/>
  <c r="X73" i="31" a="1"/>
  <c r="X73" i="31" s="1"/>
  <c r="AG1127" i="25" s="1"/>
  <c r="U73" i="31" a="1"/>
  <c r="U73" i="31" s="1"/>
  <c r="AD1127" i="25" s="1"/>
  <c r="T73" i="31" a="1"/>
  <c r="T73" i="31" s="1"/>
  <c r="AC1127" i="25" s="1"/>
  <c r="S73" i="31" a="1"/>
  <c r="S73" i="31" s="1"/>
  <c r="AB1127" i="25" s="1"/>
  <c r="R73" i="31" a="1"/>
  <c r="R73" i="31" s="1"/>
  <c r="AA1127" i="25" s="1"/>
  <c r="Q73" i="31" a="1"/>
  <c r="Q73" i="31" s="1"/>
  <c r="Z1127" i="25" s="1"/>
  <c r="H73" i="31"/>
  <c r="Q1127" i="25" s="1"/>
  <c r="D73" i="31"/>
  <c r="AA72" i="31"/>
  <c r="X72" i="31" a="1"/>
  <c r="X72" i="31" s="1"/>
  <c r="AG1126" i="25" s="1"/>
  <c r="U72" i="31" a="1"/>
  <c r="U72" i="31" s="1"/>
  <c r="AD1126" i="25" s="1"/>
  <c r="T72" i="31" a="1"/>
  <c r="T72" i="31" s="1"/>
  <c r="AC1126" i="25" s="1"/>
  <c r="S72" i="31" a="1"/>
  <c r="S72" i="31" s="1"/>
  <c r="AB1126" i="25" s="1"/>
  <c r="R72" i="31" a="1"/>
  <c r="R72" i="31" s="1"/>
  <c r="AA1126" i="25" s="1"/>
  <c r="Q72" i="31" a="1"/>
  <c r="Q72" i="31" s="1"/>
  <c r="Z1126" i="25" s="1"/>
  <c r="H72" i="31"/>
  <c r="Q1126" i="25" s="1"/>
  <c r="D72" i="31"/>
  <c r="AA71" i="31"/>
  <c r="X71" i="31" a="1"/>
  <c r="X71" i="31" s="1"/>
  <c r="AG1125" i="25" s="1"/>
  <c r="U71" i="31" a="1"/>
  <c r="U71" i="31" s="1"/>
  <c r="AD1125" i="25" s="1"/>
  <c r="T71" i="31" a="1"/>
  <c r="T71" i="31" s="1"/>
  <c r="AC1125" i="25" s="1"/>
  <c r="S71" i="31" a="1"/>
  <c r="S71" i="31" s="1"/>
  <c r="AB1125" i="25" s="1"/>
  <c r="R71" i="31" a="1"/>
  <c r="R71" i="31" s="1"/>
  <c r="AA1125" i="25" s="1"/>
  <c r="Q71" i="31" a="1"/>
  <c r="Q71" i="31" s="1"/>
  <c r="Z1125" i="25" s="1"/>
  <c r="H71" i="31"/>
  <c r="Q1125" i="25" s="1"/>
  <c r="D71" i="31"/>
  <c r="AA70" i="31"/>
  <c r="X70" i="31" a="1"/>
  <c r="X70" i="31" s="1"/>
  <c r="AG1124" i="25" s="1"/>
  <c r="U70" i="31" a="1"/>
  <c r="U70" i="31" s="1"/>
  <c r="AD1124" i="25" s="1"/>
  <c r="T70" i="31" a="1"/>
  <c r="T70" i="31" s="1"/>
  <c r="AC1124" i="25" s="1"/>
  <c r="S70" i="31" a="1"/>
  <c r="S70" i="31" s="1"/>
  <c r="AB1124" i="25" s="1"/>
  <c r="R70" i="31" a="1"/>
  <c r="R70" i="31" s="1"/>
  <c r="AA1124" i="25" s="1"/>
  <c r="Q70" i="31" a="1"/>
  <c r="Q70" i="31" s="1"/>
  <c r="Z1124" i="25" s="1"/>
  <c r="H70" i="31"/>
  <c r="Q1124" i="25" s="1"/>
  <c r="D70" i="31"/>
  <c r="AA69" i="31"/>
  <c r="X69" i="31" a="1"/>
  <c r="X69" i="31" s="1"/>
  <c r="AG1123" i="25" s="1"/>
  <c r="U69" i="31" a="1"/>
  <c r="U69" i="31" s="1"/>
  <c r="AD1123" i="25" s="1"/>
  <c r="T69" i="31" a="1"/>
  <c r="T69" i="31" s="1"/>
  <c r="AC1123" i="25" s="1"/>
  <c r="S69" i="31" a="1"/>
  <c r="S69" i="31" s="1"/>
  <c r="AB1123" i="25" s="1"/>
  <c r="R69" i="31" a="1"/>
  <c r="R69" i="31" s="1"/>
  <c r="AA1123" i="25" s="1"/>
  <c r="Q69" i="31" a="1"/>
  <c r="Q69" i="31" s="1"/>
  <c r="Z1123" i="25" s="1"/>
  <c r="H69" i="31"/>
  <c r="Q1123" i="25" s="1"/>
  <c r="D69" i="31"/>
  <c r="AA68" i="31"/>
  <c r="X68" i="31" a="1"/>
  <c r="X68" i="31" s="1"/>
  <c r="AG1122" i="25" s="1"/>
  <c r="U68" i="31" a="1"/>
  <c r="U68" i="31" s="1"/>
  <c r="AD1122" i="25" s="1"/>
  <c r="T68" i="31" a="1"/>
  <c r="T68" i="31" s="1"/>
  <c r="AC1122" i="25" s="1"/>
  <c r="S68" i="31" a="1"/>
  <c r="S68" i="31" s="1"/>
  <c r="AB1122" i="25" s="1"/>
  <c r="R68" i="31" a="1"/>
  <c r="R68" i="31" s="1"/>
  <c r="AA1122" i="25" s="1"/>
  <c r="Q68" i="31" a="1"/>
  <c r="Q68" i="31" s="1"/>
  <c r="Z1122" i="25" s="1"/>
  <c r="H68" i="31"/>
  <c r="Q1122" i="25" s="1"/>
  <c r="D68" i="31"/>
  <c r="J1122" i="25" s="1"/>
  <c r="AA67" i="31"/>
  <c r="X67" i="31" a="1"/>
  <c r="X67" i="31" s="1"/>
  <c r="AG1121" i="25" s="1"/>
  <c r="U67" i="31" a="1"/>
  <c r="U67" i="31" s="1"/>
  <c r="AD1121" i="25" s="1"/>
  <c r="T67" i="31" a="1"/>
  <c r="T67" i="31" s="1"/>
  <c r="AC1121" i="25" s="1"/>
  <c r="S67" i="31" a="1"/>
  <c r="S67" i="31" s="1"/>
  <c r="AB1121" i="25" s="1"/>
  <c r="R67" i="31" a="1"/>
  <c r="R67" i="31" s="1"/>
  <c r="AA1121" i="25" s="1"/>
  <c r="Q67" i="31" a="1"/>
  <c r="Q67" i="31" s="1"/>
  <c r="Z1121" i="25" s="1"/>
  <c r="H67" i="31"/>
  <c r="Q1121" i="25" s="1"/>
  <c r="D67" i="31"/>
  <c r="AA66" i="31"/>
  <c r="X66" i="31" a="1"/>
  <c r="X66" i="31" s="1"/>
  <c r="AG1120" i="25" s="1"/>
  <c r="U66" i="31" a="1"/>
  <c r="U66" i="31" s="1"/>
  <c r="AD1120" i="25" s="1"/>
  <c r="T66" i="31" a="1"/>
  <c r="T66" i="31" s="1"/>
  <c r="AC1120" i="25" s="1"/>
  <c r="S66" i="31" a="1"/>
  <c r="S66" i="31" s="1"/>
  <c r="AB1120" i="25" s="1"/>
  <c r="R66" i="31" a="1"/>
  <c r="R66" i="31" s="1"/>
  <c r="AA1120" i="25" s="1"/>
  <c r="Q66" i="31" a="1"/>
  <c r="Q66" i="31" s="1"/>
  <c r="Z1120" i="25" s="1"/>
  <c r="H66" i="31"/>
  <c r="Q1120" i="25" s="1"/>
  <c r="D66" i="31"/>
  <c r="AA65" i="31"/>
  <c r="X65" i="31" a="1"/>
  <c r="X65" i="31" s="1"/>
  <c r="AG1119" i="25" s="1"/>
  <c r="U65" i="31" a="1"/>
  <c r="U65" i="31" s="1"/>
  <c r="AD1119" i="25" s="1"/>
  <c r="T65" i="31" a="1"/>
  <c r="T65" i="31" s="1"/>
  <c r="AC1119" i="25" s="1"/>
  <c r="S65" i="31" a="1"/>
  <c r="S65" i="31" s="1"/>
  <c r="AB1119" i="25" s="1"/>
  <c r="R65" i="31" a="1"/>
  <c r="R65" i="31" s="1"/>
  <c r="AA1119" i="25" s="1"/>
  <c r="Q65" i="31" a="1"/>
  <c r="Q65" i="31" s="1"/>
  <c r="Z1119" i="25" s="1"/>
  <c r="H65" i="31"/>
  <c r="Q1119" i="25" s="1"/>
  <c r="D65" i="31"/>
  <c r="J1119" i="25" s="1"/>
  <c r="AA64" i="31"/>
  <c r="X64" i="31" a="1"/>
  <c r="X64" i="31" s="1"/>
  <c r="AG1118" i="25" s="1"/>
  <c r="U64" i="31" a="1"/>
  <c r="U64" i="31" s="1"/>
  <c r="AD1118" i="25" s="1"/>
  <c r="T64" i="31" a="1"/>
  <c r="T64" i="31" s="1"/>
  <c r="AC1118" i="25" s="1"/>
  <c r="S64" i="31" a="1"/>
  <c r="S64" i="31" s="1"/>
  <c r="AB1118" i="25" s="1"/>
  <c r="R64" i="31" a="1"/>
  <c r="R64" i="31" s="1"/>
  <c r="AA1118" i="25" s="1"/>
  <c r="Q64" i="31" a="1"/>
  <c r="Q64" i="31" s="1"/>
  <c r="Z1118" i="25" s="1"/>
  <c r="H64" i="31"/>
  <c r="Q1118" i="25" s="1"/>
  <c r="D64" i="31"/>
  <c r="AA63" i="31"/>
  <c r="X63" i="31" a="1"/>
  <c r="X63" i="31" s="1"/>
  <c r="AG1117" i="25" s="1"/>
  <c r="U63" i="31" a="1"/>
  <c r="U63" i="31" s="1"/>
  <c r="AD1117" i="25" s="1"/>
  <c r="T63" i="31" a="1"/>
  <c r="T63" i="31" s="1"/>
  <c r="AC1117" i="25" s="1"/>
  <c r="S63" i="31" a="1"/>
  <c r="S63" i="31" s="1"/>
  <c r="AB1117" i="25" s="1"/>
  <c r="R63" i="31" a="1"/>
  <c r="R63" i="31" s="1"/>
  <c r="AA1117" i="25" s="1"/>
  <c r="Q63" i="31" a="1"/>
  <c r="Q63" i="31" s="1"/>
  <c r="Z1117" i="25" s="1"/>
  <c r="H63" i="31"/>
  <c r="Q1117" i="25" s="1"/>
  <c r="D63" i="31"/>
  <c r="AA62" i="31"/>
  <c r="X62" i="31" a="1"/>
  <c r="X62" i="31" s="1"/>
  <c r="AG1116" i="25" s="1"/>
  <c r="U62" i="31" a="1"/>
  <c r="U62" i="31" s="1"/>
  <c r="AD1116" i="25" s="1"/>
  <c r="T62" i="31" a="1"/>
  <c r="T62" i="31" s="1"/>
  <c r="AC1116" i="25" s="1"/>
  <c r="S62" i="31" a="1"/>
  <c r="S62" i="31" s="1"/>
  <c r="AB1116" i="25" s="1"/>
  <c r="R62" i="31" a="1"/>
  <c r="R62" i="31" s="1"/>
  <c r="AA1116" i="25" s="1"/>
  <c r="Q62" i="31" a="1"/>
  <c r="Q62" i="31" s="1"/>
  <c r="Z1116" i="25" s="1"/>
  <c r="H62" i="31"/>
  <c r="Q1116" i="25" s="1"/>
  <c r="D62" i="31"/>
  <c r="AA61" i="31"/>
  <c r="X61" i="31" a="1"/>
  <c r="X61" i="31" s="1"/>
  <c r="AG1115" i="25" s="1"/>
  <c r="U61" i="31" a="1"/>
  <c r="U61" i="31" s="1"/>
  <c r="AD1115" i="25" s="1"/>
  <c r="T61" i="31" a="1"/>
  <c r="T61" i="31" s="1"/>
  <c r="AC1115" i="25" s="1"/>
  <c r="S61" i="31" a="1"/>
  <c r="S61" i="31" s="1"/>
  <c r="AB1115" i="25" s="1"/>
  <c r="R61" i="31" a="1"/>
  <c r="R61" i="31" s="1"/>
  <c r="AA1115" i="25" s="1"/>
  <c r="Q61" i="31" a="1"/>
  <c r="Q61" i="31" s="1"/>
  <c r="Z1115" i="25" s="1"/>
  <c r="H61" i="31"/>
  <c r="Q1115" i="25" s="1"/>
  <c r="D61" i="31"/>
  <c r="J1115" i="25" s="1"/>
  <c r="AA60" i="31"/>
  <c r="X60" i="31" a="1"/>
  <c r="X60" i="31" s="1"/>
  <c r="AG1114" i="25" s="1"/>
  <c r="U60" i="31" a="1"/>
  <c r="U60" i="31" s="1"/>
  <c r="AD1114" i="25" s="1"/>
  <c r="T60" i="31" a="1"/>
  <c r="T60" i="31" s="1"/>
  <c r="AC1114" i="25" s="1"/>
  <c r="S60" i="31" a="1"/>
  <c r="S60" i="31" s="1"/>
  <c r="AB1114" i="25" s="1"/>
  <c r="R60" i="31" a="1"/>
  <c r="R60" i="31" s="1"/>
  <c r="AA1114" i="25" s="1"/>
  <c r="Q60" i="31" a="1"/>
  <c r="Q60" i="31" s="1"/>
  <c r="Z1114" i="25" s="1"/>
  <c r="H60" i="31"/>
  <c r="Q1114" i="25" s="1"/>
  <c r="D60" i="31"/>
  <c r="AA59" i="31"/>
  <c r="X59" i="31" a="1"/>
  <c r="X59" i="31" s="1"/>
  <c r="AG1113" i="25" s="1"/>
  <c r="U59" i="31" a="1"/>
  <c r="U59" i="31" s="1"/>
  <c r="AD1113" i="25" s="1"/>
  <c r="T59" i="31" a="1"/>
  <c r="T59" i="31" s="1"/>
  <c r="AC1113" i="25" s="1"/>
  <c r="S59" i="31" a="1"/>
  <c r="S59" i="31" s="1"/>
  <c r="AB1113" i="25" s="1"/>
  <c r="R59" i="31" a="1"/>
  <c r="R59" i="31" s="1"/>
  <c r="AA1113" i="25" s="1"/>
  <c r="Q59" i="31" a="1"/>
  <c r="Q59" i="31" s="1"/>
  <c r="Z1113" i="25" s="1"/>
  <c r="H59" i="31"/>
  <c r="Q1113" i="25" s="1"/>
  <c r="D59" i="31"/>
  <c r="J1113" i="25" s="1"/>
  <c r="AA58" i="31"/>
  <c r="X58" i="31" a="1"/>
  <c r="X58" i="31" s="1"/>
  <c r="AG1112" i="25" s="1"/>
  <c r="U58" i="31" a="1"/>
  <c r="U58" i="31" s="1"/>
  <c r="AD1112" i="25" s="1"/>
  <c r="T58" i="31" a="1"/>
  <c r="T58" i="31" s="1"/>
  <c r="AC1112" i="25" s="1"/>
  <c r="S58" i="31" a="1"/>
  <c r="S58" i="31" s="1"/>
  <c r="AB1112" i="25" s="1"/>
  <c r="R58" i="31" a="1"/>
  <c r="R58" i="31" s="1"/>
  <c r="AA1112" i="25" s="1"/>
  <c r="Q58" i="31" a="1"/>
  <c r="Q58" i="31" s="1"/>
  <c r="Z1112" i="25" s="1"/>
  <c r="H58" i="31"/>
  <c r="Q1112" i="25" s="1"/>
  <c r="D58" i="31"/>
  <c r="AA57" i="31"/>
  <c r="X57" i="31" a="1"/>
  <c r="X57" i="31" s="1"/>
  <c r="AG1111" i="25" s="1"/>
  <c r="U57" i="31" a="1"/>
  <c r="U57" i="31" s="1"/>
  <c r="AD1111" i="25" s="1"/>
  <c r="T57" i="31" a="1"/>
  <c r="T57" i="31" s="1"/>
  <c r="AC1111" i="25" s="1"/>
  <c r="S57" i="31" a="1"/>
  <c r="S57" i="31" s="1"/>
  <c r="AB1111" i="25" s="1"/>
  <c r="R57" i="31" a="1"/>
  <c r="R57" i="31" s="1"/>
  <c r="AA1111" i="25" s="1"/>
  <c r="Q57" i="31" a="1"/>
  <c r="Q57" i="31" s="1"/>
  <c r="Z1111" i="25" s="1"/>
  <c r="H57" i="31"/>
  <c r="Q1111" i="25" s="1"/>
  <c r="D57" i="31"/>
  <c r="AA56" i="31"/>
  <c r="X56" i="31" a="1"/>
  <c r="X56" i="31" s="1"/>
  <c r="AG1110" i="25" s="1"/>
  <c r="U56" i="31" a="1"/>
  <c r="U56" i="31" s="1"/>
  <c r="AD1110" i="25" s="1"/>
  <c r="T56" i="31" a="1"/>
  <c r="T56" i="31" s="1"/>
  <c r="AC1110" i="25" s="1"/>
  <c r="S56" i="31" a="1"/>
  <c r="S56" i="31" s="1"/>
  <c r="AB1110" i="25" s="1"/>
  <c r="R56" i="31" a="1"/>
  <c r="R56" i="31" s="1"/>
  <c r="AA1110" i="25" s="1"/>
  <c r="Q56" i="31" a="1"/>
  <c r="Q56" i="31" s="1"/>
  <c r="Z1110" i="25" s="1"/>
  <c r="H56" i="31"/>
  <c r="Q1110" i="25" s="1"/>
  <c r="D56" i="31"/>
  <c r="AA55" i="31"/>
  <c r="X55" i="31" a="1"/>
  <c r="X55" i="31" s="1"/>
  <c r="AG1109" i="25" s="1"/>
  <c r="U55" i="31" a="1"/>
  <c r="U55" i="31" s="1"/>
  <c r="AD1109" i="25" s="1"/>
  <c r="T55" i="31" a="1"/>
  <c r="T55" i="31" s="1"/>
  <c r="AC1109" i="25" s="1"/>
  <c r="S55" i="31" a="1"/>
  <c r="S55" i="31" s="1"/>
  <c r="AB1109" i="25" s="1"/>
  <c r="R55" i="31" a="1"/>
  <c r="R55" i="31" s="1"/>
  <c r="AA1109" i="25" s="1"/>
  <c r="Q55" i="31" a="1"/>
  <c r="Q55" i="31" s="1"/>
  <c r="Z1109" i="25" s="1"/>
  <c r="H55" i="31"/>
  <c r="Q1109" i="25" s="1"/>
  <c r="D55" i="31"/>
  <c r="AA54" i="31"/>
  <c r="X54" i="31" a="1"/>
  <c r="X54" i="31" s="1"/>
  <c r="AG1108" i="25" s="1"/>
  <c r="U54" i="31" a="1"/>
  <c r="U54" i="31" s="1"/>
  <c r="AD1108" i="25" s="1"/>
  <c r="T54" i="31" a="1"/>
  <c r="T54" i="31" s="1"/>
  <c r="AC1108" i="25" s="1"/>
  <c r="S54" i="31" a="1"/>
  <c r="S54" i="31" s="1"/>
  <c r="AB1108" i="25" s="1"/>
  <c r="R54" i="31" a="1"/>
  <c r="R54" i="31" s="1"/>
  <c r="AA1108" i="25" s="1"/>
  <c r="Q54" i="31" a="1"/>
  <c r="Q54" i="31" s="1"/>
  <c r="Z1108" i="25" s="1"/>
  <c r="H54" i="31"/>
  <c r="Q1108" i="25" s="1"/>
  <c r="D54" i="31"/>
  <c r="AA53" i="31"/>
  <c r="X53" i="31" a="1"/>
  <c r="X53" i="31" s="1"/>
  <c r="AG1107" i="25" s="1"/>
  <c r="U53" i="31" a="1"/>
  <c r="U53" i="31" s="1"/>
  <c r="AD1107" i="25" s="1"/>
  <c r="T53" i="31" a="1"/>
  <c r="T53" i="31" s="1"/>
  <c r="AC1107" i="25" s="1"/>
  <c r="S53" i="31" a="1"/>
  <c r="S53" i="31" s="1"/>
  <c r="AB1107" i="25" s="1"/>
  <c r="R53" i="31" a="1"/>
  <c r="R53" i="31" s="1"/>
  <c r="AA1107" i="25" s="1"/>
  <c r="Q53" i="31" a="1"/>
  <c r="Q53" i="31" s="1"/>
  <c r="Z1107" i="25" s="1"/>
  <c r="H53" i="31"/>
  <c r="Q1107" i="25" s="1"/>
  <c r="D53" i="31"/>
  <c r="AA52" i="31"/>
  <c r="X52" i="31" a="1"/>
  <c r="X52" i="31" s="1"/>
  <c r="AG1106" i="25" s="1"/>
  <c r="U52" i="31" a="1"/>
  <c r="U52" i="31" s="1"/>
  <c r="AD1106" i="25" s="1"/>
  <c r="T52" i="31" a="1"/>
  <c r="T52" i="31" s="1"/>
  <c r="AC1106" i="25" s="1"/>
  <c r="S52" i="31" a="1"/>
  <c r="S52" i="31" s="1"/>
  <c r="AB1106" i="25" s="1"/>
  <c r="R52" i="31" a="1"/>
  <c r="R52" i="31" s="1"/>
  <c r="AA1106" i="25" s="1"/>
  <c r="Q52" i="31" a="1"/>
  <c r="Q52" i="31" s="1"/>
  <c r="Z1106" i="25" s="1"/>
  <c r="H52" i="31"/>
  <c r="Q1106" i="25" s="1"/>
  <c r="D52" i="31"/>
  <c r="AA51" i="31"/>
  <c r="X51" i="31" a="1"/>
  <c r="X51" i="31" s="1"/>
  <c r="AG1105" i="25" s="1"/>
  <c r="U51" i="31" a="1"/>
  <c r="U51" i="31" s="1"/>
  <c r="AD1105" i="25" s="1"/>
  <c r="T51" i="31" a="1"/>
  <c r="T51" i="31" s="1"/>
  <c r="AC1105" i="25" s="1"/>
  <c r="S51" i="31" a="1"/>
  <c r="S51" i="31" s="1"/>
  <c r="AB1105" i="25" s="1"/>
  <c r="R51" i="31" a="1"/>
  <c r="R51" i="31" s="1"/>
  <c r="AA1105" i="25" s="1"/>
  <c r="Q51" i="31" a="1"/>
  <c r="Q51" i="31" s="1"/>
  <c r="Z1105" i="25" s="1"/>
  <c r="H51" i="31"/>
  <c r="Q1105" i="25" s="1"/>
  <c r="D51" i="31"/>
  <c r="AA50" i="31"/>
  <c r="X50" i="31" a="1"/>
  <c r="X50" i="31" s="1"/>
  <c r="AG1104" i="25" s="1"/>
  <c r="U50" i="31" a="1"/>
  <c r="U50" i="31" s="1"/>
  <c r="AD1104" i="25" s="1"/>
  <c r="T50" i="31" a="1"/>
  <c r="T50" i="31" s="1"/>
  <c r="AC1104" i="25" s="1"/>
  <c r="S50" i="31" a="1"/>
  <c r="S50" i="31" s="1"/>
  <c r="AB1104" i="25" s="1"/>
  <c r="R50" i="31" a="1"/>
  <c r="R50" i="31" s="1"/>
  <c r="AA1104" i="25" s="1"/>
  <c r="Q50" i="31" a="1"/>
  <c r="Q50" i="31" s="1"/>
  <c r="Z1104" i="25" s="1"/>
  <c r="H50" i="31"/>
  <c r="Q1104" i="25" s="1"/>
  <c r="D50" i="31"/>
  <c r="AA49" i="31"/>
  <c r="X49" i="31" a="1"/>
  <c r="X49" i="31" s="1"/>
  <c r="AG1103" i="25" s="1"/>
  <c r="U49" i="31" a="1"/>
  <c r="U49" i="31" s="1"/>
  <c r="AD1103" i="25" s="1"/>
  <c r="T49" i="31" a="1"/>
  <c r="T49" i="31" s="1"/>
  <c r="AC1103" i="25" s="1"/>
  <c r="S49" i="31" a="1"/>
  <c r="S49" i="31" s="1"/>
  <c r="AB1103" i="25" s="1"/>
  <c r="R49" i="31" a="1"/>
  <c r="R49" i="31" s="1"/>
  <c r="AA1103" i="25" s="1"/>
  <c r="Q49" i="31" a="1"/>
  <c r="Q49" i="31" s="1"/>
  <c r="Z1103" i="25" s="1"/>
  <c r="H49" i="31"/>
  <c r="Q1103" i="25" s="1"/>
  <c r="D49" i="31"/>
  <c r="J1103" i="25" s="1"/>
  <c r="AA48" i="31"/>
  <c r="X48" i="31" a="1"/>
  <c r="X48" i="31" s="1"/>
  <c r="AG1102" i="25" s="1"/>
  <c r="U48" i="31" a="1"/>
  <c r="U48" i="31" s="1"/>
  <c r="AD1102" i="25" s="1"/>
  <c r="T48" i="31" a="1"/>
  <c r="T48" i="31" s="1"/>
  <c r="AC1102" i="25" s="1"/>
  <c r="S48" i="31" a="1"/>
  <c r="S48" i="31" s="1"/>
  <c r="AB1102" i="25" s="1"/>
  <c r="R48" i="31" a="1"/>
  <c r="R48" i="31" s="1"/>
  <c r="AA1102" i="25" s="1"/>
  <c r="Q48" i="31" a="1"/>
  <c r="Q48" i="31" s="1"/>
  <c r="Z1102" i="25" s="1"/>
  <c r="H48" i="31"/>
  <c r="Q1102" i="25" s="1"/>
  <c r="D48" i="31"/>
  <c r="AA47" i="31"/>
  <c r="X47" i="31" a="1"/>
  <c r="X47" i="31" s="1"/>
  <c r="AG1101" i="25" s="1"/>
  <c r="U47" i="31" a="1"/>
  <c r="U47" i="31" s="1"/>
  <c r="AD1101" i="25" s="1"/>
  <c r="T47" i="31" a="1"/>
  <c r="T47" i="31" s="1"/>
  <c r="AC1101" i="25" s="1"/>
  <c r="S47" i="31" a="1"/>
  <c r="S47" i="31" s="1"/>
  <c r="AB1101" i="25" s="1"/>
  <c r="R47" i="31" a="1"/>
  <c r="R47" i="31" s="1"/>
  <c r="AA1101" i="25" s="1"/>
  <c r="Q47" i="31" a="1"/>
  <c r="Q47" i="31" s="1"/>
  <c r="Z1101" i="25" s="1"/>
  <c r="H47" i="31"/>
  <c r="Q1101" i="25" s="1"/>
  <c r="D47" i="31"/>
  <c r="AA46" i="31"/>
  <c r="X46" i="31" a="1"/>
  <c r="X46" i="31" s="1"/>
  <c r="AG1100" i="25" s="1"/>
  <c r="U46" i="31" a="1"/>
  <c r="U46" i="31" s="1"/>
  <c r="AD1100" i="25" s="1"/>
  <c r="T46" i="31" a="1"/>
  <c r="T46" i="31" s="1"/>
  <c r="AC1100" i="25" s="1"/>
  <c r="S46" i="31" a="1"/>
  <c r="S46" i="31" s="1"/>
  <c r="AB1100" i="25" s="1"/>
  <c r="R46" i="31" a="1"/>
  <c r="R46" i="31" s="1"/>
  <c r="AA1100" i="25" s="1"/>
  <c r="Q46" i="31" a="1"/>
  <c r="Q46" i="31" s="1"/>
  <c r="Z1100" i="25" s="1"/>
  <c r="H46" i="31"/>
  <c r="Q1100" i="25" s="1"/>
  <c r="D46" i="31"/>
  <c r="AA45" i="31"/>
  <c r="X45" i="31" a="1"/>
  <c r="X45" i="31" s="1"/>
  <c r="AG1099" i="25" s="1"/>
  <c r="U45" i="31" a="1"/>
  <c r="U45" i="31" s="1"/>
  <c r="AD1099" i="25" s="1"/>
  <c r="T45" i="31" a="1"/>
  <c r="T45" i="31" s="1"/>
  <c r="AC1099" i="25" s="1"/>
  <c r="S45" i="31" a="1"/>
  <c r="S45" i="31" s="1"/>
  <c r="AB1099" i="25" s="1"/>
  <c r="R45" i="31" a="1"/>
  <c r="R45" i="31" s="1"/>
  <c r="AA1099" i="25" s="1"/>
  <c r="Q45" i="31" a="1"/>
  <c r="Q45" i="31" s="1"/>
  <c r="Z1099" i="25" s="1"/>
  <c r="H45" i="31"/>
  <c r="Q1099" i="25" s="1"/>
  <c r="D45" i="31"/>
  <c r="AA44" i="31"/>
  <c r="X44" i="31" a="1"/>
  <c r="X44" i="31" s="1"/>
  <c r="AG1098" i="25" s="1"/>
  <c r="U44" i="31" a="1"/>
  <c r="U44" i="31" s="1"/>
  <c r="AD1098" i="25" s="1"/>
  <c r="T44" i="31" a="1"/>
  <c r="T44" i="31" s="1"/>
  <c r="AC1098" i="25" s="1"/>
  <c r="S44" i="31" a="1"/>
  <c r="S44" i="31" s="1"/>
  <c r="AB1098" i="25" s="1"/>
  <c r="R44" i="31" a="1"/>
  <c r="R44" i="31" s="1"/>
  <c r="AA1098" i="25" s="1"/>
  <c r="Q44" i="31" a="1"/>
  <c r="Q44" i="31" s="1"/>
  <c r="Z1098" i="25" s="1"/>
  <c r="H44" i="31"/>
  <c r="Q1098" i="25" s="1"/>
  <c r="D44" i="31"/>
  <c r="J1098" i="25" s="1"/>
  <c r="AA43" i="31"/>
  <c r="X43" i="31" a="1"/>
  <c r="X43" i="31" s="1"/>
  <c r="AG1097" i="25" s="1"/>
  <c r="U43" i="31" a="1"/>
  <c r="U43" i="31" s="1"/>
  <c r="AD1097" i="25" s="1"/>
  <c r="T43" i="31" a="1"/>
  <c r="T43" i="31" s="1"/>
  <c r="AC1097" i="25" s="1"/>
  <c r="S43" i="31" a="1"/>
  <c r="S43" i="31" s="1"/>
  <c r="AB1097" i="25" s="1"/>
  <c r="R43" i="31" a="1"/>
  <c r="R43" i="31" s="1"/>
  <c r="AA1097" i="25" s="1"/>
  <c r="Q43" i="31" a="1"/>
  <c r="Q43" i="31" s="1"/>
  <c r="Z1097" i="25" s="1"/>
  <c r="H43" i="31"/>
  <c r="Q1097" i="25" s="1"/>
  <c r="D43" i="31"/>
  <c r="J1097" i="25" s="1"/>
  <c r="AA42" i="31"/>
  <c r="X42" i="31" a="1"/>
  <c r="X42" i="31" s="1"/>
  <c r="AG1096" i="25" s="1"/>
  <c r="U42" i="31" a="1"/>
  <c r="U42" i="31" s="1"/>
  <c r="AD1096" i="25" s="1"/>
  <c r="T42" i="31" a="1"/>
  <c r="T42" i="31" s="1"/>
  <c r="AC1096" i="25" s="1"/>
  <c r="S42" i="31" a="1"/>
  <c r="S42" i="31" s="1"/>
  <c r="AB1096" i="25" s="1"/>
  <c r="R42" i="31" a="1"/>
  <c r="R42" i="31" s="1"/>
  <c r="AA1096" i="25" s="1"/>
  <c r="Q42" i="31" a="1"/>
  <c r="Q42" i="31" s="1"/>
  <c r="Z1096" i="25" s="1"/>
  <c r="H42" i="31"/>
  <c r="Q1096" i="25" s="1"/>
  <c r="D42" i="31"/>
  <c r="AA41" i="31"/>
  <c r="X41" i="31" a="1"/>
  <c r="X41" i="31" s="1"/>
  <c r="AG1095" i="25" s="1"/>
  <c r="U41" i="31" a="1"/>
  <c r="U41" i="31" s="1"/>
  <c r="AD1095" i="25" s="1"/>
  <c r="T41" i="31" a="1"/>
  <c r="T41" i="31" s="1"/>
  <c r="AC1095" i="25" s="1"/>
  <c r="S41" i="31" a="1"/>
  <c r="S41" i="31" s="1"/>
  <c r="AB1095" i="25" s="1"/>
  <c r="R41" i="31" a="1"/>
  <c r="R41" i="31" s="1"/>
  <c r="AA1095" i="25" s="1"/>
  <c r="Q41" i="31" a="1"/>
  <c r="Q41" i="31" s="1"/>
  <c r="Z1095" i="25" s="1"/>
  <c r="H41" i="31"/>
  <c r="Q1095" i="25" s="1"/>
  <c r="D41" i="31"/>
  <c r="AA40" i="31"/>
  <c r="X40" i="31" a="1"/>
  <c r="X40" i="31" s="1"/>
  <c r="AG1094" i="25" s="1"/>
  <c r="U40" i="31" a="1"/>
  <c r="U40" i="31" s="1"/>
  <c r="AD1094" i="25" s="1"/>
  <c r="T40" i="31" a="1"/>
  <c r="T40" i="31" s="1"/>
  <c r="AC1094" i="25" s="1"/>
  <c r="S40" i="31" a="1"/>
  <c r="S40" i="31" s="1"/>
  <c r="AB1094" i="25" s="1"/>
  <c r="R40" i="31" a="1"/>
  <c r="R40" i="31" s="1"/>
  <c r="AA1094" i="25" s="1"/>
  <c r="Q40" i="31" a="1"/>
  <c r="Q40" i="31" s="1"/>
  <c r="Z1094" i="25" s="1"/>
  <c r="H40" i="31"/>
  <c r="Q1094" i="25" s="1"/>
  <c r="D40" i="31"/>
  <c r="AA39" i="31"/>
  <c r="X39" i="31" a="1"/>
  <c r="X39" i="31" s="1"/>
  <c r="AG1093" i="25" s="1"/>
  <c r="U39" i="31" a="1"/>
  <c r="U39" i="31" s="1"/>
  <c r="AD1093" i="25" s="1"/>
  <c r="T39" i="31" a="1"/>
  <c r="T39" i="31" s="1"/>
  <c r="AC1093" i="25" s="1"/>
  <c r="S39" i="31" a="1"/>
  <c r="S39" i="31" s="1"/>
  <c r="AB1093" i="25" s="1"/>
  <c r="R39" i="31" a="1"/>
  <c r="R39" i="31" s="1"/>
  <c r="AA1093" i="25" s="1"/>
  <c r="Q39" i="31" a="1"/>
  <c r="Q39" i="31" s="1"/>
  <c r="Z1093" i="25" s="1"/>
  <c r="H39" i="31"/>
  <c r="Q1093" i="25" s="1"/>
  <c r="D39" i="31"/>
  <c r="AA38" i="31"/>
  <c r="X38" i="31" a="1"/>
  <c r="X38" i="31" s="1"/>
  <c r="AG1092" i="25" s="1"/>
  <c r="U38" i="31" a="1"/>
  <c r="U38" i="31" s="1"/>
  <c r="AD1092" i="25" s="1"/>
  <c r="T38" i="31" a="1"/>
  <c r="T38" i="31" s="1"/>
  <c r="AC1092" i="25" s="1"/>
  <c r="S38" i="31" a="1"/>
  <c r="S38" i="31" s="1"/>
  <c r="AB1092" i="25" s="1"/>
  <c r="R38" i="31" a="1"/>
  <c r="R38" i="31" s="1"/>
  <c r="AA1092" i="25" s="1"/>
  <c r="Q38" i="31" a="1"/>
  <c r="Q38" i="31" s="1"/>
  <c r="Z1092" i="25" s="1"/>
  <c r="H38" i="31"/>
  <c r="Q1092" i="25" s="1"/>
  <c r="D38" i="31"/>
  <c r="AA37" i="31"/>
  <c r="X37" i="31" a="1"/>
  <c r="X37" i="31" s="1"/>
  <c r="AG1091" i="25" s="1"/>
  <c r="U37" i="31" a="1"/>
  <c r="U37" i="31" s="1"/>
  <c r="AD1091" i="25" s="1"/>
  <c r="T37" i="31" a="1"/>
  <c r="T37" i="31" s="1"/>
  <c r="AC1091" i="25" s="1"/>
  <c r="S37" i="31" a="1"/>
  <c r="S37" i="31" s="1"/>
  <c r="AB1091" i="25" s="1"/>
  <c r="R37" i="31" a="1"/>
  <c r="R37" i="31" s="1"/>
  <c r="AA1091" i="25" s="1"/>
  <c r="Q37" i="31" a="1"/>
  <c r="Q37" i="31" s="1"/>
  <c r="Z1091" i="25" s="1"/>
  <c r="H37" i="31"/>
  <c r="Q1091" i="25" s="1"/>
  <c r="D37" i="31"/>
  <c r="AA36" i="31"/>
  <c r="X36" i="31" a="1"/>
  <c r="X36" i="31" s="1"/>
  <c r="AG1090" i="25" s="1"/>
  <c r="U36" i="31" a="1"/>
  <c r="U36" i="31" s="1"/>
  <c r="AD1090" i="25" s="1"/>
  <c r="T36" i="31" a="1"/>
  <c r="T36" i="31" s="1"/>
  <c r="AC1090" i="25" s="1"/>
  <c r="S36" i="31" a="1"/>
  <c r="S36" i="31" s="1"/>
  <c r="AB1090" i="25" s="1"/>
  <c r="R36" i="31" a="1"/>
  <c r="R36" i="31" s="1"/>
  <c r="AA1090" i="25" s="1"/>
  <c r="Q36" i="31" a="1"/>
  <c r="Q36" i="31" s="1"/>
  <c r="Z1090" i="25" s="1"/>
  <c r="H36" i="31"/>
  <c r="Q1090" i="25" s="1"/>
  <c r="D36" i="31"/>
  <c r="J1090" i="25" s="1"/>
  <c r="AA35" i="31"/>
  <c r="X35" i="31" a="1"/>
  <c r="X35" i="31" s="1"/>
  <c r="AG1089" i="25" s="1"/>
  <c r="U35" i="31" a="1"/>
  <c r="U35" i="31" s="1"/>
  <c r="AD1089" i="25" s="1"/>
  <c r="T35" i="31" a="1"/>
  <c r="T35" i="31" s="1"/>
  <c r="AC1089" i="25" s="1"/>
  <c r="S35" i="31" a="1"/>
  <c r="S35" i="31" s="1"/>
  <c r="AB1089" i="25" s="1"/>
  <c r="R35" i="31" a="1"/>
  <c r="R35" i="31" s="1"/>
  <c r="AA1089" i="25" s="1"/>
  <c r="Q35" i="31" a="1"/>
  <c r="Q35" i="31" s="1"/>
  <c r="Z1089" i="25" s="1"/>
  <c r="H35" i="31"/>
  <c r="Q1089" i="25" s="1"/>
  <c r="D35" i="31"/>
  <c r="AA34" i="31"/>
  <c r="X34" i="31" a="1"/>
  <c r="X34" i="31" s="1"/>
  <c r="AG1088" i="25" s="1"/>
  <c r="U34" i="31" a="1"/>
  <c r="U34" i="31" s="1"/>
  <c r="AD1088" i="25" s="1"/>
  <c r="T34" i="31" a="1"/>
  <c r="T34" i="31" s="1"/>
  <c r="AC1088" i="25" s="1"/>
  <c r="S34" i="31" a="1"/>
  <c r="S34" i="31" s="1"/>
  <c r="AB1088" i="25" s="1"/>
  <c r="R34" i="31" a="1"/>
  <c r="R34" i="31" s="1"/>
  <c r="AA1088" i="25" s="1"/>
  <c r="Q34" i="31" a="1"/>
  <c r="Q34" i="31" s="1"/>
  <c r="Z1088" i="25" s="1"/>
  <c r="H34" i="31"/>
  <c r="Q1088" i="25" s="1"/>
  <c r="D34" i="31"/>
  <c r="AA33" i="31"/>
  <c r="X33" i="31" a="1"/>
  <c r="X33" i="31" s="1"/>
  <c r="AG1087" i="25" s="1"/>
  <c r="U33" i="31" a="1"/>
  <c r="U33" i="31" s="1"/>
  <c r="AD1087" i="25" s="1"/>
  <c r="T33" i="31" a="1"/>
  <c r="T33" i="31" s="1"/>
  <c r="AC1087" i="25" s="1"/>
  <c r="S33" i="31" a="1"/>
  <c r="S33" i="31" s="1"/>
  <c r="AB1087" i="25" s="1"/>
  <c r="R33" i="31" a="1"/>
  <c r="R33" i="31" s="1"/>
  <c r="AA1087" i="25" s="1"/>
  <c r="Q33" i="31" a="1"/>
  <c r="Q33" i="31" s="1"/>
  <c r="Z1087" i="25" s="1"/>
  <c r="H33" i="31"/>
  <c r="Q1087" i="25" s="1"/>
  <c r="D33" i="31"/>
  <c r="J1087" i="25" s="1"/>
  <c r="AA32" i="31"/>
  <c r="X32" i="31" a="1"/>
  <c r="X32" i="31" s="1"/>
  <c r="AG1086" i="25" s="1"/>
  <c r="U32" i="31" a="1"/>
  <c r="U32" i="31" s="1"/>
  <c r="AD1086" i="25" s="1"/>
  <c r="T32" i="31" a="1"/>
  <c r="T32" i="31" s="1"/>
  <c r="AC1086" i="25" s="1"/>
  <c r="S32" i="31" a="1"/>
  <c r="S32" i="31" s="1"/>
  <c r="AB1086" i="25" s="1"/>
  <c r="R32" i="31" a="1"/>
  <c r="R32" i="31" s="1"/>
  <c r="AA1086" i="25" s="1"/>
  <c r="Q32" i="31" a="1"/>
  <c r="Q32" i="31" s="1"/>
  <c r="Z1086" i="25" s="1"/>
  <c r="H32" i="31"/>
  <c r="Q1086" i="25" s="1"/>
  <c r="D32" i="31"/>
  <c r="AA31" i="31"/>
  <c r="X31" i="31" a="1"/>
  <c r="X31" i="31" s="1"/>
  <c r="AG1085" i="25" s="1"/>
  <c r="U31" i="31" a="1"/>
  <c r="U31" i="31" s="1"/>
  <c r="AD1085" i="25" s="1"/>
  <c r="T31" i="31" a="1"/>
  <c r="T31" i="31" s="1"/>
  <c r="AC1085" i="25" s="1"/>
  <c r="S31" i="31" a="1"/>
  <c r="S31" i="31" s="1"/>
  <c r="AB1085" i="25" s="1"/>
  <c r="R31" i="31" a="1"/>
  <c r="R31" i="31" s="1"/>
  <c r="AA1085" i="25" s="1"/>
  <c r="Q31" i="31" a="1"/>
  <c r="Q31" i="31" s="1"/>
  <c r="Z1085" i="25" s="1"/>
  <c r="H31" i="31"/>
  <c r="Q1085" i="25" s="1"/>
  <c r="D31" i="31"/>
  <c r="AA30" i="31"/>
  <c r="X30" i="31" a="1"/>
  <c r="X30" i="31" s="1"/>
  <c r="AG1084" i="25" s="1"/>
  <c r="U30" i="31" a="1"/>
  <c r="U30" i="31" s="1"/>
  <c r="AD1084" i="25" s="1"/>
  <c r="T30" i="31" a="1"/>
  <c r="T30" i="31" s="1"/>
  <c r="AC1084" i="25" s="1"/>
  <c r="S30" i="31" a="1"/>
  <c r="S30" i="31" s="1"/>
  <c r="AB1084" i="25" s="1"/>
  <c r="R30" i="31" a="1"/>
  <c r="R30" i="31" s="1"/>
  <c r="AA1084" i="25" s="1"/>
  <c r="Q30" i="31" a="1"/>
  <c r="Q30" i="31" s="1"/>
  <c r="Z1084" i="25" s="1"/>
  <c r="H30" i="31"/>
  <c r="Q1084" i="25" s="1"/>
  <c r="D30" i="31"/>
  <c r="AA29" i="31"/>
  <c r="X29" i="31" a="1"/>
  <c r="X29" i="31" s="1"/>
  <c r="AG1083" i="25" s="1"/>
  <c r="U29" i="31" a="1"/>
  <c r="U29" i="31" s="1"/>
  <c r="AD1083" i="25" s="1"/>
  <c r="T29" i="31" a="1"/>
  <c r="T29" i="31" s="1"/>
  <c r="AC1083" i="25" s="1"/>
  <c r="S29" i="31" a="1"/>
  <c r="S29" i="31" s="1"/>
  <c r="AB1083" i="25" s="1"/>
  <c r="R29" i="31" a="1"/>
  <c r="R29" i="31" s="1"/>
  <c r="AA1083" i="25" s="1"/>
  <c r="Q29" i="31" a="1"/>
  <c r="Q29" i="31" s="1"/>
  <c r="Z1083" i="25" s="1"/>
  <c r="H29" i="31"/>
  <c r="Q1083" i="25" s="1"/>
  <c r="D29" i="31"/>
  <c r="J1083" i="25" s="1"/>
  <c r="AA28" i="31"/>
  <c r="X28" i="31" a="1"/>
  <c r="X28" i="31" s="1"/>
  <c r="AG1082" i="25" s="1"/>
  <c r="U28" i="31" a="1"/>
  <c r="U28" i="31" s="1"/>
  <c r="AD1082" i="25" s="1"/>
  <c r="T28" i="31" a="1"/>
  <c r="T28" i="31" s="1"/>
  <c r="AC1082" i="25" s="1"/>
  <c r="S28" i="31" a="1"/>
  <c r="S28" i="31" s="1"/>
  <c r="AB1082" i="25" s="1"/>
  <c r="R28" i="31" a="1"/>
  <c r="R28" i="31" s="1"/>
  <c r="AA1082" i="25" s="1"/>
  <c r="Q28" i="31" a="1"/>
  <c r="Q28" i="31" s="1"/>
  <c r="Z1082" i="25" s="1"/>
  <c r="H28" i="31"/>
  <c r="Q1082" i="25" s="1"/>
  <c r="D28" i="31"/>
  <c r="J1082" i="25" s="1"/>
  <c r="AA27" i="31"/>
  <c r="X27" i="31" a="1"/>
  <c r="X27" i="31" s="1"/>
  <c r="AG1081" i="25" s="1"/>
  <c r="U27" i="31" a="1"/>
  <c r="U27" i="31" s="1"/>
  <c r="AD1081" i="25" s="1"/>
  <c r="T27" i="31" a="1"/>
  <c r="T27" i="31" s="1"/>
  <c r="AC1081" i="25" s="1"/>
  <c r="S27" i="31" a="1"/>
  <c r="S27" i="31" s="1"/>
  <c r="AB1081" i="25" s="1"/>
  <c r="R27" i="31" a="1"/>
  <c r="R27" i="31" s="1"/>
  <c r="AA1081" i="25" s="1"/>
  <c r="Q27" i="31" a="1"/>
  <c r="Q27" i="31" s="1"/>
  <c r="Z1081" i="25" s="1"/>
  <c r="H27" i="31"/>
  <c r="Q1081" i="25" s="1"/>
  <c r="D27" i="31"/>
  <c r="AA26" i="31"/>
  <c r="X26" i="31" a="1"/>
  <c r="X26" i="31" s="1"/>
  <c r="AG1080" i="25" s="1"/>
  <c r="U26" i="31" a="1"/>
  <c r="U26" i="31" s="1"/>
  <c r="AD1080" i="25" s="1"/>
  <c r="T26" i="31" a="1"/>
  <c r="T26" i="31" s="1"/>
  <c r="AC1080" i="25" s="1"/>
  <c r="S26" i="31" a="1"/>
  <c r="S26" i="31" s="1"/>
  <c r="AB1080" i="25" s="1"/>
  <c r="R26" i="31" a="1"/>
  <c r="R26" i="31" s="1"/>
  <c r="AA1080" i="25" s="1"/>
  <c r="Q26" i="31" a="1"/>
  <c r="Q26" i="31" s="1"/>
  <c r="Z1080" i="25" s="1"/>
  <c r="H26" i="31"/>
  <c r="Q1080" i="25" s="1"/>
  <c r="D26" i="31"/>
  <c r="AA25" i="31"/>
  <c r="X25" i="31" a="1"/>
  <c r="X25" i="31" s="1"/>
  <c r="AG1079" i="25" s="1"/>
  <c r="U25" i="31" a="1"/>
  <c r="U25" i="31" s="1"/>
  <c r="AD1079" i="25" s="1"/>
  <c r="T25" i="31" a="1"/>
  <c r="T25" i="31" s="1"/>
  <c r="AC1079" i="25" s="1"/>
  <c r="S25" i="31" a="1"/>
  <c r="S25" i="31" s="1"/>
  <c r="AB1079" i="25" s="1"/>
  <c r="R25" i="31" a="1"/>
  <c r="R25" i="31" s="1"/>
  <c r="AA1079" i="25" s="1"/>
  <c r="Q25" i="31" a="1"/>
  <c r="Q25" i="31" s="1"/>
  <c r="Z1079" i="25" s="1"/>
  <c r="H25" i="31"/>
  <c r="Q1079" i="25" s="1"/>
  <c r="D25" i="31"/>
  <c r="AA24" i="31"/>
  <c r="X24" i="31" a="1"/>
  <c r="X24" i="31" s="1"/>
  <c r="AG1078" i="25" s="1"/>
  <c r="U24" i="31" a="1"/>
  <c r="U24" i="31" s="1"/>
  <c r="AD1078" i="25" s="1"/>
  <c r="T24" i="31" a="1"/>
  <c r="T24" i="31" s="1"/>
  <c r="AC1078" i="25" s="1"/>
  <c r="S24" i="31" a="1"/>
  <c r="S24" i="31" s="1"/>
  <c r="AB1078" i="25" s="1"/>
  <c r="R24" i="31" a="1"/>
  <c r="R24" i="31" s="1"/>
  <c r="AA1078" i="25" s="1"/>
  <c r="Q24" i="31" a="1"/>
  <c r="Q24" i="31" s="1"/>
  <c r="Z1078" i="25" s="1"/>
  <c r="H24" i="31"/>
  <c r="Q1078" i="25" s="1"/>
  <c r="D24" i="31"/>
  <c r="AA23" i="31"/>
  <c r="X23" i="31" a="1"/>
  <c r="X23" i="31" s="1"/>
  <c r="AG1077" i="25" s="1"/>
  <c r="U23" i="31" a="1"/>
  <c r="U23" i="31" s="1"/>
  <c r="AD1077" i="25" s="1"/>
  <c r="T23" i="31" a="1"/>
  <c r="T23" i="31" s="1"/>
  <c r="AC1077" i="25" s="1"/>
  <c r="S23" i="31" a="1"/>
  <c r="S23" i="31" s="1"/>
  <c r="AB1077" i="25" s="1"/>
  <c r="R23" i="31" a="1"/>
  <c r="R23" i="31" s="1"/>
  <c r="AA1077" i="25" s="1"/>
  <c r="Q23" i="31" a="1"/>
  <c r="Q23" i="31" s="1"/>
  <c r="Z1077" i="25" s="1"/>
  <c r="H23" i="31"/>
  <c r="Q1077" i="25" s="1"/>
  <c r="D23" i="31"/>
  <c r="AA22" i="31"/>
  <c r="X22" i="31" a="1"/>
  <c r="X22" i="31" s="1"/>
  <c r="AG1076" i="25" s="1"/>
  <c r="U22" i="31" a="1"/>
  <c r="U22" i="31" s="1"/>
  <c r="AD1076" i="25" s="1"/>
  <c r="T22" i="31" a="1"/>
  <c r="T22" i="31" s="1"/>
  <c r="AC1076" i="25" s="1"/>
  <c r="S22" i="31" a="1"/>
  <c r="S22" i="31" s="1"/>
  <c r="AB1076" i="25" s="1"/>
  <c r="R22" i="31" a="1"/>
  <c r="R22" i="31" s="1"/>
  <c r="AA1076" i="25" s="1"/>
  <c r="Q22" i="31" a="1"/>
  <c r="Q22" i="31" s="1"/>
  <c r="Z1076" i="25" s="1"/>
  <c r="H22" i="31"/>
  <c r="Q1076" i="25" s="1"/>
  <c r="D22" i="31"/>
  <c r="J1076" i="25" s="1"/>
  <c r="AA21" i="31"/>
  <c r="X21" i="31" a="1"/>
  <c r="X21" i="31" s="1"/>
  <c r="AG1075" i="25" s="1"/>
  <c r="U21" i="31" a="1"/>
  <c r="U21" i="31" s="1"/>
  <c r="AD1075" i="25" s="1"/>
  <c r="T21" i="31" a="1"/>
  <c r="T21" i="31" s="1"/>
  <c r="AC1075" i="25" s="1"/>
  <c r="S21" i="31" a="1"/>
  <c r="S21" i="31" s="1"/>
  <c r="AB1075" i="25" s="1"/>
  <c r="R21" i="31" a="1"/>
  <c r="R21" i="31" s="1"/>
  <c r="AA1075" i="25" s="1"/>
  <c r="Q21" i="31" a="1"/>
  <c r="Q21" i="31" s="1"/>
  <c r="Z1075" i="25" s="1"/>
  <c r="H21" i="31"/>
  <c r="Q1075" i="25" s="1"/>
  <c r="D21" i="31"/>
  <c r="AA20" i="31"/>
  <c r="X20" i="31" a="1"/>
  <c r="X20" i="31" s="1"/>
  <c r="AG1074" i="25" s="1"/>
  <c r="U20" i="31" a="1"/>
  <c r="U20" i="31" s="1"/>
  <c r="AD1074" i="25" s="1"/>
  <c r="T20" i="31" a="1"/>
  <c r="T20" i="31" s="1"/>
  <c r="AC1074" i="25" s="1"/>
  <c r="S20" i="31" a="1"/>
  <c r="S20" i="31" s="1"/>
  <c r="AB1074" i="25" s="1"/>
  <c r="R20" i="31" a="1"/>
  <c r="R20" i="31" s="1"/>
  <c r="AA1074" i="25" s="1"/>
  <c r="Q20" i="31" a="1"/>
  <c r="Q20" i="31" s="1"/>
  <c r="Z1074" i="25" s="1"/>
  <c r="H20" i="31"/>
  <c r="Q1074" i="25" s="1"/>
  <c r="D20" i="31"/>
  <c r="J1074" i="25" s="1"/>
  <c r="AA19" i="31"/>
  <c r="X19" i="31" a="1"/>
  <c r="X19" i="31" s="1"/>
  <c r="AG1073" i="25" s="1"/>
  <c r="U19" i="31" a="1"/>
  <c r="U19" i="31" s="1"/>
  <c r="AD1073" i="25" s="1"/>
  <c r="T19" i="31" a="1"/>
  <c r="T19" i="31" s="1"/>
  <c r="AC1073" i="25" s="1"/>
  <c r="S19" i="31" a="1"/>
  <c r="S19" i="31" s="1"/>
  <c r="AB1073" i="25" s="1"/>
  <c r="R19" i="31" a="1"/>
  <c r="R19" i="31" s="1"/>
  <c r="AA1073" i="25" s="1"/>
  <c r="Q19" i="31" a="1"/>
  <c r="Q19" i="31" s="1"/>
  <c r="Z1073" i="25" s="1"/>
  <c r="H19" i="31"/>
  <c r="Q1073" i="25" s="1"/>
  <c r="D19" i="31"/>
  <c r="J1073" i="25" s="1"/>
  <c r="AA18" i="31"/>
  <c r="X18" i="31" a="1"/>
  <c r="X18" i="31" s="1"/>
  <c r="AG1072" i="25" s="1"/>
  <c r="U18" i="31" a="1"/>
  <c r="U18" i="31" s="1"/>
  <c r="AD1072" i="25" s="1"/>
  <c r="T18" i="31" a="1"/>
  <c r="T18" i="31" s="1"/>
  <c r="AC1072" i="25" s="1"/>
  <c r="S18" i="31" a="1"/>
  <c r="S18" i="31" s="1"/>
  <c r="AB1072" i="25" s="1"/>
  <c r="R18" i="31" a="1"/>
  <c r="R18" i="31" s="1"/>
  <c r="AA1072" i="25" s="1"/>
  <c r="Q18" i="31" a="1"/>
  <c r="Q18" i="31" s="1"/>
  <c r="Z1072" i="25" s="1"/>
  <c r="H18" i="31"/>
  <c r="Q1072" i="25" s="1"/>
  <c r="D18" i="31"/>
  <c r="J1072" i="25" s="1"/>
  <c r="AA17" i="31"/>
  <c r="X17" i="31" a="1"/>
  <c r="X17" i="31" s="1"/>
  <c r="AG1071" i="25" s="1"/>
  <c r="U17" i="31" a="1"/>
  <c r="U17" i="31" s="1"/>
  <c r="AD1071" i="25" s="1"/>
  <c r="T17" i="31" a="1"/>
  <c r="T17" i="31" s="1"/>
  <c r="AC1071" i="25" s="1"/>
  <c r="S17" i="31" a="1"/>
  <c r="S17" i="31" s="1"/>
  <c r="AB1071" i="25" s="1"/>
  <c r="R17" i="31" a="1"/>
  <c r="R17" i="31" s="1"/>
  <c r="AA1071" i="25" s="1"/>
  <c r="Q17" i="31" a="1"/>
  <c r="Q17" i="31" s="1"/>
  <c r="Z1071" i="25" s="1"/>
  <c r="H17" i="31"/>
  <c r="Q1071" i="25" s="1"/>
  <c r="D17" i="31"/>
  <c r="AA16" i="31"/>
  <c r="X16" i="31" a="1"/>
  <c r="X16" i="31" s="1"/>
  <c r="AG1070" i="25" s="1"/>
  <c r="U16" i="31" a="1"/>
  <c r="U16" i="31" s="1"/>
  <c r="AD1070" i="25" s="1"/>
  <c r="T16" i="31" a="1"/>
  <c r="T16" i="31" s="1"/>
  <c r="AC1070" i="25" s="1"/>
  <c r="S16" i="31" a="1"/>
  <c r="S16" i="31" s="1"/>
  <c r="AB1070" i="25" s="1"/>
  <c r="R16" i="31" a="1"/>
  <c r="R16" i="31" s="1"/>
  <c r="AA1070" i="25" s="1"/>
  <c r="Q16" i="31" a="1"/>
  <c r="Q16" i="31" s="1"/>
  <c r="Z1070" i="25" s="1"/>
  <c r="H16" i="31"/>
  <c r="Q1070" i="25" s="1"/>
  <c r="D16" i="31"/>
  <c r="AA15" i="31"/>
  <c r="X15" i="31" a="1"/>
  <c r="X15" i="31" s="1"/>
  <c r="AG1069" i="25" s="1"/>
  <c r="U15" i="31" a="1"/>
  <c r="U15" i="31" s="1"/>
  <c r="AD1069" i="25" s="1"/>
  <c r="T15" i="31" a="1"/>
  <c r="T15" i="31" s="1"/>
  <c r="AC1069" i="25" s="1"/>
  <c r="S15" i="31" a="1"/>
  <c r="S15" i="31" s="1"/>
  <c r="AB1069" i="25" s="1"/>
  <c r="R15" i="31" a="1"/>
  <c r="R15" i="31" s="1"/>
  <c r="AA1069" i="25" s="1"/>
  <c r="Q15" i="31" a="1"/>
  <c r="Q15" i="31" s="1"/>
  <c r="Z1069" i="25" s="1"/>
  <c r="H15" i="31"/>
  <c r="Q1069" i="25" s="1"/>
  <c r="D15" i="31"/>
  <c r="AA14" i="31"/>
  <c r="X14" i="31" a="1"/>
  <c r="X14" i="31" s="1"/>
  <c r="AG1068" i="25" s="1"/>
  <c r="U14" i="31" a="1"/>
  <c r="U14" i="31" s="1"/>
  <c r="AD1068" i="25" s="1"/>
  <c r="T14" i="31" a="1"/>
  <c r="T14" i="31" s="1"/>
  <c r="AC1068" i="25" s="1"/>
  <c r="S14" i="31" a="1"/>
  <c r="S14" i="31" s="1"/>
  <c r="AB1068" i="25" s="1"/>
  <c r="R14" i="31" a="1"/>
  <c r="R14" i="31" s="1"/>
  <c r="AA1068" i="25" s="1"/>
  <c r="Q14" i="31" a="1"/>
  <c r="Q14" i="31" s="1"/>
  <c r="Z1068" i="25" s="1"/>
  <c r="H14" i="31"/>
  <c r="Q1068" i="25" s="1"/>
  <c r="D14" i="31"/>
  <c r="J1068" i="25" s="1"/>
  <c r="AA13" i="31"/>
  <c r="X13" i="31" a="1"/>
  <c r="X13" i="31" s="1"/>
  <c r="AG1067" i="25" s="1"/>
  <c r="U13" i="31" a="1"/>
  <c r="U13" i="31" s="1"/>
  <c r="AD1067" i="25" s="1"/>
  <c r="T13" i="31" a="1"/>
  <c r="T13" i="31" s="1"/>
  <c r="AC1067" i="25" s="1"/>
  <c r="S13" i="31" a="1"/>
  <c r="S13" i="31" s="1"/>
  <c r="AB1067" i="25" s="1"/>
  <c r="R13" i="31" a="1"/>
  <c r="R13" i="31" s="1"/>
  <c r="AA1067" i="25" s="1"/>
  <c r="Q13" i="31" a="1"/>
  <c r="Q13" i="31" s="1"/>
  <c r="Z1067" i="25" s="1"/>
  <c r="H13" i="31"/>
  <c r="Q1067" i="25" s="1"/>
  <c r="D13" i="31"/>
  <c r="AA12" i="31"/>
  <c r="X12" i="31" a="1"/>
  <c r="X12" i="31" s="1"/>
  <c r="AG1066" i="25" s="1"/>
  <c r="U12" i="31" a="1"/>
  <c r="U12" i="31" s="1"/>
  <c r="AD1066" i="25" s="1"/>
  <c r="T12" i="31" a="1"/>
  <c r="T12" i="31" s="1"/>
  <c r="AC1066" i="25" s="1"/>
  <c r="S12" i="31" a="1"/>
  <c r="S12" i="31" s="1"/>
  <c r="AB1066" i="25" s="1"/>
  <c r="R12" i="31" a="1"/>
  <c r="R12" i="31" s="1"/>
  <c r="AA1066" i="25" s="1"/>
  <c r="Q12" i="31" a="1"/>
  <c r="Q12" i="31" s="1"/>
  <c r="Z1066" i="25" s="1"/>
  <c r="H12" i="31"/>
  <c r="Q1066" i="25" s="1"/>
  <c r="D12" i="31"/>
  <c r="AA11" i="31"/>
  <c r="X11" i="31" a="1"/>
  <c r="X11" i="31" s="1"/>
  <c r="AG1065" i="25" s="1"/>
  <c r="U11" i="31" a="1"/>
  <c r="U11" i="31" s="1"/>
  <c r="AD1065" i="25" s="1"/>
  <c r="T11" i="31" a="1"/>
  <c r="T11" i="31" s="1"/>
  <c r="AC1065" i="25" s="1"/>
  <c r="S11" i="31" a="1"/>
  <c r="S11" i="31" s="1"/>
  <c r="AB1065" i="25" s="1"/>
  <c r="R11" i="31" a="1"/>
  <c r="R11" i="31" s="1"/>
  <c r="AA1065" i="25" s="1"/>
  <c r="Q11" i="31" a="1"/>
  <c r="Q11" i="31" s="1"/>
  <c r="Z1065" i="25" s="1"/>
  <c r="H11" i="31"/>
  <c r="Q1065" i="25" s="1"/>
  <c r="D11" i="31"/>
  <c r="AA10" i="31"/>
  <c r="X10" i="31" a="1"/>
  <c r="X10" i="31" s="1"/>
  <c r="AG1064" i="25" s="1"/>
  <c r="U10" i="31" a="1"/>
  <c r="U10" i="31" s="1"/>
  <c r="AD1064" i="25" s="1"/>
  <c r="T10" i="31" a="1"/>
  <c r="T10" i="31" s="1"/>
  <c r="AC1064" i="25" s="1"/>
  <c r="S10" i="31" a="1"/>
  <c r="S10" i="31" s="1"/>
  <c r="AB1064" i="25" s="1"/>
  <c r="R10" i="31" a="1"/>
  <c r="R10" i="31" s="1"/>
  <c r="AA1064" i="25" s="1"/>
  <c r="Q10" i="31" a="1"/>
  <c r="Q10" i="31" s="1"/>
  <c r="Z1064" i="25" s="1"/>
  <c r="H10" i="31"/>
  <c r="Q1064" i="25" s="1"/>
  <c r="D10" i="31"/>
  <c r="J1064" i="25" s="1"/>
  <c r="AA9" i="31"/>
  <c r="X9" i="31" a="1"/>
  <c r="X9" i="31" s="1"/>
  <c r="AG1063" i="25" s="1"/>
  <c r="U9" i="31" a="1"/>
  <c r="U9" i="31" s="1"/>
  <c r="AD1063" i="25" s="1"/>
  <c r="T9" i="31" a="1"/>
  <c r="T9" i="31" s="1"/>
  <c r="AC1063" i="25" s="1"/>
  <c r="S9" i="31" a="1"/>
  <c r="S9" i="31" s="1"/>
  <c r="AB1063" i="25" s="1"/>
  <c r="R9" i="31" a="1"/>
  <c r="R9" i="31" s="1"/>
  <c r="AA1063" i="25" s="1"/>
  <c r="Q9" i="31" a="1"/>
  <c r="Q9" i="31" s="1"/>
  <c r="Z1063" i="25" s="1"/>
  <c r="H9" i="31"/>
  <c r="Q1063" i="25" s="1"/>
  <c r="D9" i="31"/>
  <c r="J1063" i="25" s="1"/>
  <c r="AA8" i="31"/>
  <c r="H8" i="31"/>
  <c r="Q1062" i="25" s="1"/>
  <c r="D8" i="31"/>
  <c r="K8" i="31" s="1" a="1"/>
  <c r="K8" i="31" s="1"/>
  <c r="AA7" i="31"/>
  <c r="H7" i="31"/>
  <c r="Q1061" i="25" s="1"/>
  <c r="D7" i="31"/>
  <c r="J1061" i="25" s="1"/>
  <c r="AA321" i="30"/>
  <c r="Z321" i="30"/>
  <c r="W321" i="30" a="1"/>
  <c r="W321" i="30" s="1"/>
  <c r="AG1160" i="25" s="1"/>
  <c r="T321" i="30" a="1"/>
  <c r="T321" i="30" s="1"/>
  <c r="AD1160" i="25" s="1"/>
  <c r="S321" i="30" a="1"/>
  <c r="S321" i="30" s="1"/>
  <c r="AC1160" i="25" s="1"/>
  <c r="R321" i="30" a="1"/>
  <c r="R321" i="30" s="1"/>
  <c r="AB1160" i="25" s="1"/>
  <c r="Q321" i="30" a="1"/>
  <c r="Q321" i="30" s="1"/>
  <c r="AA1160" i="25" s="1"/>
  <c r="Z1160" i="25"/>
  <c r="V1160" i="25"/>
  <c r="U1160" i="25"/>
  <c r="J321" i="30" a="1"/>
  <c r="J321" i="30" s="1"/>
  <c r="T1160" i="25" s="1"/>
  <c r="G321" i="30"/>
  <c r="Q1160" i="25" s="1"/>
  <c r="AA320" i="30"/>
  <c r="Z320" i="30"/>
  <c r="Z319" i="30" s="1"/>
  <c r="Z318" i="30" s="1"/>
  <c r="Z317" i="30" s="1"/>
  <c r="Z316" i="30" s="1"/>
  <c r="W320" i="30" a="1"/>
  <c r="W320" i="30" s="1"/>
  <c r="AG1159" i="25" s="1"/>
  <c r="T320" i="30" a="1"/>
  <c r="T320" i="30" s="1"/>
  <c r="AD1159" i="25" s="1"/>
  <c r="S320" i="30" a="1"/>
  <c r="S320" i="30" s="1"/>
  <c r="AC1159" i="25" s="1"/>
  <c r="R320" i="30" a="1"/>
  <c r="R320" i="30" s="1"/>
  <c r="AB1159" i="25" s="1"/>
  <c r="Q320" i="30" a="1"/>
  <c r="Q320" i="30" s="1"/>
  <c r="AA1159" i="25" s="1"/>
  <c r="Z1159" i="25"/>
  <c r="V1159" i="25"/>
  <c r="U1159" i="25"/>
  <c r="J320" i="30" a="1"/>
  <c r="J320" i="30" s="1"/>
  <c r="T1159" i="25" s="1"/>
  <c r="G320" i="30"/>
  <c r="Q1159" i="25" s="1"/>
  <c r="AA319" i="30"/>
  <c r="W319" i="30" a="1"/>
  <c r="W319" i="30" s="1"/>
  <c r="AG1158" i="25" s="1"/>
  <c r="T319" i="30" a="1"/>
  <c r="T319" i="30" s="1"/>
  <c r="AD1158" i="25" s="1"/>
  <c r="S319" i="30" a="1"/>
  <c r="S319" i="30" s="1"/>
  <c r="AC1158" i="25" s="1"/>
  <c r="R319" i="30" a="1"/>
  <c r="R319" i="30" s="1"/>
  <c r="AB1158" i="25" s="1"/>
  <c r="Q319" i="30" a="1"/>
  <c r="Q319" i="30" s="1"/>
  <c r="AA1158" i="25" s="1"/>
  <c r="Z1158" i="25"/>
  <c r="V1158" i="25"/>
  <c r="U1158" i="25"/>
  <c r="J319" i="30" a="1"/>
  <c r="J319" i="30" s="1"/>
  <c r="T1158" i="25" s="1"/>
  <c r="G319" i="30"/>
  <c r="Q1158" i="25" s="1"/>
  <c r="AA318" i="30"/>
  <c r="W318" i="30" a="1"/>
  <c r="W318" i="30" s="1"/>
  <c r="AG1157" i="25" s="1"/>
  <c r="T318" i="30" a="1"/>
  <c r="T318" i="30" s="1"/>
  <c r="AD1157" i="25" s="1"/>
  <c r="S318" i="30" a="1"/>
  <c r="S318" i="30" s="1"/>
  <c r="AC1157" i="25" s="1"/>
  <c r="R318" i="30" a="1"/>
  <c r="R318" i="30" s="1"/>
  <c r="AB1157" i="25" s="1"/>
  <c r="Q318" i="30" a="1"/>
  <c r="Q318" i="30" s="1"/>
  <c r="AA1157" i="25" s="1"/>
  <c r="Z1157" i="25"/>
  <c r="V1157" i="25"/>
  <c r="U1157" i="25"/>
  <c r="J318" i="30" a="1"/>
  <c r="J318" i="30" s="1"/>
  <c r="T1157" i="25" s="1"/>
  <c r="G318" i="30"/>
  <c r="Q1157" i="25" s="1"/>
  <c r="AA317" i="30"/>
  <c r="W317" i="30" a="1"/>
  <c r="W317" i="30" s="1"/>
  <c r="AG1156" i="25" s="1"/>
  <c r="T317" i="30" a="1"/>
  <c r="T317" i="30" s="1"/>
  <c r="AD1156" i="25" s="1"/>
  <c r="S317" i="30" a="1"/>
  <c r="S317" i="30" s="1"/>
  <c r="AC1156" i="25" s="1"/>
  <c r="R317" i="30" a="1"/>
  <c r="R317" i="30" s="1"/>
  <c r="AB1156" i="25" s="1"/>
  <c r="Q317" i="30" a="1"/>
  <c r="Q317" i="30" s="1"/>
  <c r="AA1156" i="25" s="1"/>
  <c r="Z1156" i="25"/>
  <c r="V1156" i="25"/>
  <c r="U1156" i="25"/>
  <c r="J317" i="30" a="1"/>
  <c r="J317" i="30" s="1"/>
  <c r="T1156" i="25" s="1"/>
  <c r="G317" i="30"/>
  <c r="Q1156" i="25" s="1"/>
  <c r="AA316" i="30"/>
  <c r="W316" i="30" a="1"/>
  <c r="W316" i="30" s="1"/>
  <c r="AG1155" i="25" s="1"/>
  <c r="T316" i="30" a="1"/>
  <c r="T316" i="30" s="1"/>
  <c r="AD1155" i="25" s="1"/>
  <c r="S316" i="30" a="1"/>
  <c r="S316" i="30" s="1"/>
  <c r="AC1155" i="25" s="1"/>
  <c r="R316" i="30" a="1"/>
  <c r="R316" i="30" s="1"/>
  <c r="AB1155" i="25" s="1"/>
  <c r="Q316" i="30" a="1"/>
  <c r="Q316" i="30" s="1"/>
  <c r="AA1155" i="25" s="1"/>
  <c r="Z1155" i="25"/>
  <c r="V1155" i="25"/>
  <c r="U1155" i="25"/>
  <c r="J316" i="30" a="1"/>
  <c r="J316" i="30" s="1"/>
  <c r="T1155" i="25" s="1"/>
  <c r="G316" i="30"/>
  <c r="Q1155" i="25" s="1"/>
  <c r="AA315" i="30"/>
  <c r="W315" i="30" a="1"/>
  <c r="W315" i="30" s="1"/>
  <c r="AG1154" i="25" s="1"/>
  <c r="T315" i="30" a="1"/>
  <c r="T315" i="30" s="1"/>
  <c r="AD1154" i="25" s="1"/>
  <c r="S315" i="30" a="1"/>
  <c r="S315" i="30" s="1"/>
  <c r="AC1154" i="25" s="1"/>
  <c r="R315" i="30" a="1"/>
  <c r="R315" i="30" s="1"/>
  <c r="AB1154" i="25" s="1"/>
  <c r="Q315" i="30" a="1"/>
  <c r="Q315" i="30" s="1"/>
  <c r="AA1154" i="25" s="1"/>
  <c r="Z1154" i="25"/>
  <c r="V1154" i="25"/>
  <c r="U1154" i="25"/>
  <c r="J315" i="30" a="1"/>
  <c r="J315" i="30" s="1"/>
  <c r="T1154" i="25" s="1"/>
  <c r="G315" i="30"/>
  <c r="Q1154" i="25" s="1"/>
  <c r="AA314" i="30"/>
  <c r="W314" i="30" a="1"/>
  <c r="W314" i="30" s="1"/>
  <c r="AG1153" i="25" s="1"/>
  <c r="T314" i="30" a="1"/>
  <c r="T314" i="30" s="1"/>
  <c r="AD1153" i="25" s="1"/>
  <c r="S314" i="30" a="1"/>
  <c r="S314" i="30" s="1"/>
  <c r="AC1153" i="25" s="1"/>
  <c r="R314" i="30" a="1"/>
  <c r="R314" i="30" s="1"/>
  <c r="AB1153" i="25" s="1"/>
  <c r="Q314" i="30" a="1"/>
  <c r="Q314" i="30" s="1"/>
  <c r="AA1153" i="25" s="1"/>
  <c r="Z1153" i="25"/>
  <c r="V1153" i="25"/>
  <c r="U1153" i="25"/>
  <c r="J314" i="30" a="1"/>
  <c r="J314" i="30" s="1"/>
  <c r="T1153" i="25" s="1"/>
  <c r="G314" i="30"/>
  <c r="Q1153" i="25" s="1"/>
  <c r="AA313" i="30"/>
  <c r="W313" i="30" a="1"/>
  <c r="W313" i="30" s="1"/>
  <c r="AG1152" i="25" s="1"/>
  <c r="T313" i="30" a="1"/>
  <c r="T313" i="30" s="1"/>
  <c r="AD1152" i="25" s="1"/>
  <c r="S313" i="30" a="1"/>
  <c r="S313" i="30" s="1"/>
  <c r="AC1152" i="25" s="1"/>
  <c r="R313" i="30" a="1"/>
  <c r="R313" i="30" s="1"/>
  <c r="AB1152" i="25" s="1"/>
  <c r="Q313" i="30" a="1"/>
  <c r="Q313" i="30" s="1"/>
  <c r="AA1152" i="25" s="1"/>
  <c r="Z1152" i="25"/>
  <c r="V1152" i="25"/>
  <c r="U1152" i="25"/>
  <c r="J313" i="30" a="1"/>
  <c r="J313" i="30" s="1"/>
  <c r="T1152" i="25" s="1"/>
  <c r="G313" i="30"/>
  <c r="Q1152" i="25" s="1"/>
  <c r="AA312" i="30"/>
  <c r="W312" i="30" a="1"/>
  <c r="W312" i="30" s="1"/>
  <c r="AG1151" i="25" s="1"/>
  <c r="T312" i="30" a="1"/>
  <c r="T312" i="30" s="1"/>
  <c r="AD1151" i="25" s="1"/>
  <c r="S312" i="30" a="1"/>
  <c r="S312" i="30" s="1"/>
  <c r="AC1151" i="25" s="1"/>
  <c r="R312" i="30" a="1"/>
  <c r="R312" i="30" s="1"/>
  <c r="AB1151" i="25" s="1"/>
  <c r="Q312" i="30" a="1"/>
  <c r="Q312" i="30" s="1"/>
  <c r="AA1151" i="25" s="1"/>
  <c r="Z1151" i="25"/>
  <c r="V1151" i="25"/>
  <c r="U1151" i="25"/>
  <c r="J312" i="30" a="1"/>
  <c r="J312" i="30" s="1"/>
  <c r="T1151" i="25" s="1"/>
  <c r="G312" i="30"/>
  <c r="Q1151" i="25" s="1"/>
  <c r="AA311" i="30"/>
  <c r="W311" i="30" a="1"/>
  <c r="W311" i="30" s="1"/>
  <c r="AG1150" i="25" s="1"/>
  <c r="T311" i="30" a="1"/>
  <c r="T311" i="30" s="1"/>
  <c r="AD1150" i="25" s="1"/>
  <c r="S311" i="30" a="1"/>
  <c r="S311" i="30" s="1"/>
  <c r="AC1150" i="25" s="1"/>
  <c r="R311" i="30" a="1"/>
  <c r="R311" i="30" s="1"/>
  <c r="AB1150" i="25" s="1"/>
  <c r="Q311" i="30" a="1"/>
  <c r="Q311" i="30" s="1"/>
  <c r="AA1150" i="25" s="1"/>
  <c r="Z1150" i="25"/>
  <c r="V1150" i="25"/>
  <c r="U1150" i="25"/>
  <c r="J311" i="30" a="1"/>
  <c r="J311" i="30" s="1"/>
  <c r="T1150" i="25" s="1"/>
  <c r="G311" i="30"/>
  <c r="Q1150" i="25" s="1"/>
  <c r="AA310" i="30"/>
  <c r="W310" i="30" a="1"/>
  <c r="W310" i="30" s="1"/>
  <c r="AG1149" i="25" s="1"/>
  <c r="T310" i="30" a="1"/>
  <c r="T310" i="30" s="1"/>
  <c r="AD1149" i="25" s="1"/>
  <c r="S310" i="30" a="1"/>
  <c r="S310" i="30" s="1"/>
  <c r="AC1149" i="25" s="1"/>
  <c r="R310" i="30" a="1"/>
  <c r="R310" i="30" s="1"/>
  <c r="AB1149" i="25" s="1"/>
  <c r="Q310" i="30" a="1"/>
  <c r="Q310" i="30" s="1"/>
  <c r="AA1149" i="25" s="1"/>
  <c r="Z1149" i="25"/>
  <c r="V1149" i="25"/>
  <c r="U1149" i="25"/>
  <c r="J310" i="30" a="1"/>
  <c r="J310" i="30" s="1"/>
  <c r="T1149" i="25" s="1"/>
  <c r="G310" i="30"/>
  <c r="Q1149" i="25" s="1"/>
  <c r="AA309" i="30"/>
  <c r="W309" i="30" a="1"/>
  <c r="W309" i="30" s="1"/>
  <c r="AG1148" i="25" s="1"/>
  <c r="T309" i="30" a="1"/>
  <c r="T309" i="30" s="1"/>
  <c r="AD1148" i="25" s="1"/>
  <c r="S309" i="30" a="1"/>
  <c r="S309" i="30" s="1"/>
  <c r="AC1148" i="25" s="1"/>
  <c r="R309" i="30" a="1"/>
  <c r="R309" i="30" s="1"/>
  <c r="AB1148" i="25" s="1"/>
  <c r="Q309" i="30" a="1"/>
  <c r="Q309" i="30" s="1"/>
  <c r="AA1148" i="25" s="1"/>
  <c r="Z1148" i="25"/>
  <c r="V1148" i="25"/>
  <c r="U1148" i="25"/>
  <c r="J309" i="30" a="1"/>
  <c r="J309" i="30" s="1"/>
  <c r="T1148" i="25" s="1"/>
  <c r="G309" i="30"/>
  <c r="Q1148" i="25" s="1"/>
  <c r="AA308" i="30"/>
  <c r="W308" i="30" a="1"/>
  <c r="W308" i="30" s="1"/>
  <c r="AG1147" i="25" s="1"/>
  <c r="T308" i="30" a="1"/>
  <c r="T308" i="30" s="1"/>
  <c r="AD1147" i="25" s="1"/>
  <c r="S308" i="30" a="1"/>
  <c r="S308" i="30" s="1"/>
  <c r="AC1147" i="25" s="1"/>
  <c r="R308" i="30" a="1"/>
  <c r="R308" i="30" s="1"/>
  <c r="AB1147" i="25" s="1"/>
  <c r="Q308" i="30" a="1"/>
  <c r="Q308" i="30" s="1"/>
  <c r="AA1147" i="25" s="1"/>
  <c r="Z1147" i="25"/>
  <c r="V1147" i="25"/>
  <c r="U1147" i="25"/>
  <c r="J308" i="30" a="1"/>
  <c r="J308" i="30" s="1"/>
  <c r="T1147" i="25" s="1"/>
  <c r="G308" i="30"/>
  <c r="Q1147" i="25" s="1"/>
  <c r="AA307" i="30"/>
  <c r="W307" i="30" a="1"/>
  <c r="W307" i="30" s="1"/>
  <c r="AG1146" i="25" s="1"/>
  <c r="T307" i="30" a="1"/>
  <c r="T307" i="30" s="1"/>
  <c r="AD1146" i="25" s="1"/>
  <c r="S307" i="30" a="1"/>
  <c r="S307" i="30" s="1"/>
  <c r="AC1146" i="25" s="1"/>
  <c r="R307" i="30" a="1"/>
  <c r="R307" i="30" s="1"/>
  <c r="AB1146" i="25" s="1"/>
  <c r="Q307" i="30" a="1"/>
  <c r="Q307" i="30" s="1"/>
  <c r="AA1146" i="25" s="1"/>
  <c r="Z1146" i="25"/>
  <c r="V1146" i="25"/>
  <c r="U1146" i="25"/>
  <c r="J307" i="30" a="1"/>
  <c r="J307" i="30" s="1"/>
  <c r="T1146" i="25" s="1"/>
  <c r="G307" i="30"/>
  <c r="Q1146" i="25" s="1"/>
  <c r="AA306" i="30"/>
  <c r="W306" i="30" a="1"/>
  <c r="W306" i="30" s="1"/>
  <c r="AG1145" i="25" s="1"/>
  <c r="T306" i="30" a="1"/>
  <c r="T306" i="30" s="1"/>
  <c r="AD1145" i="25" s="1"/>
  <c r="S306" i="30" a="1"/>
  <c r="S306" i="30" s="1"/>
  <c r="AC1145" i="25" s="1"/>
  <c r="R306" i="30" a="1"/>
  <c r="R306" i="30" s="1"/>
  <c r="AB1145" i="25" s="1"/>
  <c r="Q306" i="30" a="1"/>
  <c r="Q306" i="30" s="1"/>
  <c r="AA1145" i="25" s="1"/>
  <c r="Z1145" i="25"/>
  <c r="V1145" i="25"/>
  <c r="U1145" i="25"/>
  <c r="J306" i="30" a="1"/>
  <c r="J306" i="30" s="1"/>
  <c r="T1145" i="25" s="1"/>
  <c r="G306" i="30"/>
  <c r="Q1145" i="25" s="1"/>
  <c r="AA305" i="30"/>
  <c r="V1144" i="25"/>
  <c r="U1144" i="25"/>
  <c r="J305" i="30" a="1"/>
  <c r="J305" i="30" s="1"/>
  <c r="M305" i="30" s="1"/>
  <c r="Q1144" i="25"/>
  <c r="K296" i="30" a="1"/>
  <c r="K296" i="30" s="1"/>
  <c r="AA284" i="30"/>
  <c r="AG1053" i="25"/>
  <c r="AD1053" i="25"/>
  <c r="AB1053" i="25"/>
  <c r="AA1053" i="25"/>
  <c r="AA283" i="30"/>
  <c r="AG1052" i="25"/>
  <c r="AD1052" i="25"/>
  <c r="AC1052" i="25"/>
  <c r="AB1052" i="25"/>
  <c r="AA1052" i="25"/>
  <c r="Z1052" i="25"/>
  <c r="AA282" i="30"/>
  <c r="AG1051" i="25"/>
  <c r="AD1051" i="25"/>
  <c r="AC1051" i="25"/>
  <c r="AB1051" i="25"/>
  <c r="AA1051" i="25"/>
  <c r="Z1051" i="25"/>
  <c r="AA281" i="30"/>
  <c r="AG1050" i="25"/>
  <c r="AD1050" i="25"/>
  <c r="AC1050" i="25"/>
  <c r="AB1050" i="25"/>
  <c r="AA1050" i="25"/>
  <c r="Z1050" i="25"/>
  <c r="AA280" i="30"/>
  <c r="AG1049" i="25"/>
  <c r="AD1049" i="25"/>
  <c r="AC1049" i="25"/>
  <c r="AB1049" i="25"/>
  <c r="AA1049" i="25"/>
  <c r="Z1049" i="25"/>
  <c r="AA279" i="30"/>
  <c r="AG1048" i="25"/>
  <c r="AD1048" i="25"/>
  <c r="AC1048" i="25"/>
  <c r="AB1048" i="25"/>
  <c r="AA1048" i="25"/>
  <c r="Z1048" i="25"/>
  <c r="AA278" i="30"/>
  <c r="AG1047" i="25"/>
  <c r="AD1047" i="25"/>
  <c r="AC1047" i="25"/>
  <c r="AB1047" i="25"/>
  <c r="AA1047" i="25"/>
  <c r="Z1047" i="25"/>
  <c r="AA277" i="30"/>
  <c r="AG1046" i="25"/>
  <c r="AD1046" i="25"/>
  <c r="AC1046" i="25"/>
  <c r="AB1046" i="25"/>
  <c r="AA1046" i="25"/>
  <c r="Z1046" i="25"/>
  <c r="AA276" i="30"/>
  <c r="AG1045" i="25"/>
  <c r="AD1045" i="25"/>
  <c r="AC1045" i="25"/>
  <c r="AB1045" i="25"/>
  <c r="AA1045" i="25"/>
  <c r="Z1045" i="25"/>
  <c r="AA275" i="30"/>
  <c r="AG1044" i="25"/>
  <c r="AD1044" i="25"/>
  <c r="AC1044" i="25"/>
  <c r="AB1044" i="25"/>
  <c r="AA1044" i="25"/>
  <c r="Z1044" i="25"/>
  <c r="AA274" i="30"/>
  <c r="AG1043" i="25"/>
  <c r="AD1043" i="25"/>
  <c r="AC1043" i="25"/>
  <c r="AB1043" i="25"/>
  <c r="AA1043" i="25"/>
  <c r="Z1043" i="25"/>
  <c r="AA273" i="30"/>
  <c r="AG1042" i="25"/>
  <c r="AD1042" i="25"/>
  <c r="AC1042" i="25"/>
  <c r="AB1042" i="25"/>
  <c r="AA1042" i="25"/>
  <c r="Z1042" i="25"/>
  <c r="AA272" i="30"/>
  <c r="AG1041" i="25"/>
  <c r="AD1041" i="25"/>
  <c r="AC1041" i="25"/>
  <c r="AB1041" i="25"/>
  <c r="AA1041" i="25"/>
  <c r="Z1041" i="25"/>
  <c r="AA271" i="30"/>
  <c r="AG1040" i="25"/>
  <c r="AD1040" i="25"/>
  <c r="AC1040" i="25"/>
  <c r="AB1040" i="25"/>
  <c r="AA1040" i="25"/>
  <c r="Z1040" i="25"/>
  <c r="L271" i="30"/>
  <c r="U1040" i="25" s="1"/>
  <c r="AA270" i="30"/>
  <c r="AG1039" i="25"/>
  <c r="AD1039" i="25"/>
  <c r="AC1039" i="25"/>
  <c r="AB1039" i="25"/>
  <c r="AA1039" i="25"/>
  <c r="Z1039" i="25"/>
  <c r="L270" i="30"/>
  <c r="U1039" i="25" s="1"/>
  <c r="AA269" i="30"/>
  <c r="AG1038" i="25"/>
  <c r="AD1038" i="25"/>
  <c r="AC1038" i="25"/>
  <c r="AB1038" i="25"/>
  <c r="AA1038" i="25"/>
  <c r="Z1038" i="25"/>
  <c r="AA268" i="30"/>
  <c r="AG1037" i="25"/>
  <c r="AD1037" i="25"/>
  <c r="AC1037" i="25"/>
  <c r="AB1037" i="25"/>
  <c r="AA1037" i="25"/>
  <c r="Z1037" i="25"/>
  <c r="AA267" i="30"/>
  <c r="AG1036" i="25"/>
  <c r="AD1036" i="25"/>
  <c r="AC1036" i="25"/>
  <c r="AB1036" i="25"/>
  <c r="AA1036" i="25"/>
  <c r="Z1036" i="25"/>
  <c r="AA266" i="30"/>
  <c r="AG1035" i="25"/>
  <c r="AD1035" i="25"/>
  <c r="AC1035" i="25"/>
  <c r="AB1035" i="25"/>
  <c r="AA1035" i="25"/>
  <c r="Z1035" i="25"/>
  <c r="AA265" i="30"/>
  <c r="AG1034" i="25"/>
  <c r="AD1034" i="25"/>
  <c r="AC1034" i="25"/>
  <c r="AB1034" i="25"/>
  <c r="AA1034" i="25"/>
  <c r="Z1034" i="25"/>
  <c r="AA264" i="30"/>
  <c r="AG1033" i="25"/>
  <c r="AD1033" i="25"/>
  <c r="AC1033" i="25"/>
  <c r="AB1033" i="25"/>
  <c r="AA1033" i="25"/>
  <c r="Z1033" i="25"/>
  <c r="AA263" i="30"/>
  <c r="AG1032" i="25"/>
  <c r="AD1032" i="25"/>
  <c r="AC1032" i="25"/>
  <c r="AB1032" i="25"/>
  <c r="AA1032" i="25"/>
  <c r="Z1032" i="25"/>
  <c r="K263" i="30" a="1"/>
  <c r="K263" i="30" s="1"/>
  <c r="T1032" i="25" s="1"/>
  <c r="AA262" i="30"/>
  <c r="AG1031" i="25"/>
  <c r="AD1031" i="25"/>
  <c r="AC1031" i="25"/>
  <c r="AB1031" i="25"/>
  <c r="AA1031" i="25"/>
  <c r="Z1031" i="25"/>
  <c r="K262" i="30" a="1"/>
  <c r="K262" i="30" s="1"/>
  <c r="T1031" i="25" s="1"/>
  <c r="AA261" i="30"/>
  <c r="AG1030" i="25"/>
  <c r="AD1030" i="25"/>
  <c r="AC1030" i="25"/>
  <c r="AB1030" i="25"/>
  <c r="AA1030" i="25"/>
  <c r="Z1030" i="25"/>
  <c r="AA260" i="30"/>
  <c r="AG1029" i="25"/>
  <c r="AD1029" i="25"/>
  <c r="AC1029" i="25"/>
  <c r="AB1029" i="25"/>
  <c r="AA1029" i="25"/>
  <c r="Z1029" i="25"/>
  <c r="AA259" i="30"/>
  <c r="AG1028" i="25"/>
  <c r="AD1028" i="25"/>
  <c r="AC1028" i="25"/>
  <c r="AB1028" i="25"/>
  <c r="AA1028" i="25"/>
  <c r="Z1028" i="25"/>
  <c r="AA258" i="30"/>
  <c r="AG1027" i="25"/>
  <c r="AD1027" i="25"/>
  <c r="AC1027" i="25"/>
  <c r="AB1027" i="25"/>
  <c r="AA1027" i="25"/>
  <c r="Z1027" i="25"/>
  <c r="AA257" i="30"/>
  <c r="AG1026" i="25"/>
  <c r="AD1026" i="25"/>
  <c r="AC1026" i="25"/>
  <c r="AB1026" i="25"/>
  <c r="AA1026" i="25"/>
  <c r="Z1026" i="25"/>
  <c r="AA256" i="30"/>
  <c r="AG1025" i="25"/>
  <c r="AD1025" i="25"/>
  <c r="AC1025" i="25"/>
  <c r="AB1025" i="25"/>
  <c r="AA1025" i="25"/>
  <c r="Z1025" i="25"/>
  <c r="AA255" i="30"/>
  <c r="AG1024" i="25"/>
  <c r="AD1024" i="25"/>
  <c r="AC1024" i="25"/>
  <c r="AB1024" i="25"/>
  <c r="AA1024" i="25"/>
  <c r="Z1024" i="25"/>
  <c r="K255" i="30" a="1"/>
  <c r="K255" i="30" s="1"/>
  <c r="T1024" i="25" s="1"/>
  <c r="AA254" i="30"/>
  <c r="AG1023" i="25"/>
  <c r="AD1023" i="25"/>
  <c r="AC1023" i="25"/>
  <c r="AB1023" i="25"/>
  <c r="AA1023" i="25"/>
  <c r="Z1023" i="25"/>
  <c r="L254" i="30"/>
  <c r="U1023" i="25" s="1"/>
  <c r="AA253" i="30"/>
  <c r="AG1022" i="25"/>
  <c r="AD1022" i="25"/>
  <c r="AC1022" i="25"/>
  <c r="AB1022" i="25"/>
  <c r="AA1022" i="25"/>
  <c r="Z1022" i="25"/>
  <c r="AA252" i="30"/>
  <c r="AG1021" i="25"/>
  <c r="AD1021" i="25"/>
  <c r="AC1021" i="25"/>
  <c r="AB1021" i="25"/>
  <c r="AA1021" i="25"/>
  <c r="Z1021" i="25"/>
  <c r="AA251" i="30"/>
  <c r="AG1020" i="25"/>
  <c r="AD1020" i="25"/>
  <c r="AC1020" i="25"/>
  <c r="AB1020" i="25"/>
  <c r="AA1020" i="25"/>
  <c r="Z1020" i="25"/>
  <c r="AA250" i="30"/>
  <c r="AG1019" i="25"/>
  <c r="AD1019" i="25"/>
  <c r="AC1019" i="25"/>
  <c r="AB1019" i="25"/>
  <c r="AA1019" i="25"/>
  <c r="Z1019" i="25"/>
  <c r="AA249" i="30"/>
  <c r="AG1018" i="25"/>
  <c r="AD1018" i="25"/>
  <c r="AC1018" i="25"/>
  <c r="AB1018" i="25"/>
  <c r="AA1018" i="25"/>
  <c r="Z1018" i="25"/>
  <c r="AA248" i="30"/>
  <c r="AG1017" i="25"/>
  <c r="AD1017" i="25"/>
  <c r="AC1017" i="25"/>
  <c r="AB1017" i="25"/>
  <c r="AA1017" i="25"/>
  <c r="Z1017" i="25"/>
  <c r="AA247" i="30"/>
  <c r="AG1016" i="25"/>
  <c r="AD1016" i="25"/>
  <c r="AC1016" i="25"/>
  <c r="AB1016" i="25"/>
  <c r="AA1016" i="25"/>
  <c r="Z1016" i="25"/>
  <c r="K247" i="30" a="1"/>
  <c r="K247" i="30" s="1"/>
  <c r="T1016" i="25" s="1"/>
  <c r="AA246" i="30"/>
  <c r="AG1015" i="25"/>
  <c r="AD1015" i="25"/>
  <c r="AC1015" i="25"/>
  <c r="AB1015" i="25"/>
  <c r="AA1015" i="25"/>
  <c r="Z1015" i="25"/>
  <c r="AA245" i="30"/>
  <c r="AG1014" i="25"/>
  <c r="AD1014" i="25"/>
  <c r="AC1014" i="25"/>
  <c r="AB1014" i="25"/>
  <c r="AA1014" i="25"/>
  <c r="Z1014" i="25"/>
  <c r="AA244" i="30"/>
  <c r="AG1013" i="25"/>
  <c r="AD1013" i="25"/>
  <c r="AC1013" i="25"/>
  <c r="AB1013" i="25"/>
  <c r="AA1013" i="25"/>
  <c r="Z1013" i="25"/>
  <c r="AA243" i="30"/>
  <c r="AG1012" i="25"/>
  <c r="AD1012" i="25"/>
  <c r="AC1012" i="25"/>
  <c r="AB1012" i="25"/>
  <c r="AA1012" i="25"/>
  <c r="Z1012" i="25"/>
  <c r="AA242" i="30"/>
  <c r="AG1011" i="25"/>
  <c r="AD1011" i="25"/>
  <c r="AC1011" i="25"/>
  <c r="AB1011" i="25"/>
  <c r="AA1011" i="25"/>
  <c r="Z1011" i="25"/>
  <c r="AA241" i="30"/>
  <c r="AG1010" i="25"/>
  <c r="AD1010" i="25"/>
  <c r="AC1010" i="25"/>
  <c r="AB1010" i="25"/>
  <c r="AA1010" i="25"/>
  <c r="Z1010" i="25"/>
  <c r="AA240" i="30"/>
  <c r="AG1009" i="25"/>
  <c r="AD1009" i="25"/>
  <c r="AC1009" i="25"/>
  <c r="AB1009" i="25"/>
  <c r="AA1009" i="25"/>
  <c r="Z1009" i="25"/>
  <c r="AA239" i="30"/>
  <c r="AG1008" i="25"/>
  <c r="AD1008" i="25"/>
  <c r="AC1008" i="25"/>
  <c r="AB1008" i="25"/>
  <c r="AA1008" i="25"/>
  <c r="Z1008" i="25"/>
  <c r="K239" i="30" a="1"/>
  <c r="K239" i="30" s="1"/>
  <c r="T1008" i="25" s="1"/>
  <c r="AA238" i="30"/>
  <c r="AG1007" i="25"/>
  <c r="AD1007" i="25"/>
  <c r="AC1007" i="25"/>
  <c r="AB1007" i="25"/>
  <c r="AA1007" i="25"/>
  <c r="Z1007" i="25"/>
  <c r="K238" i="30" a="1"/>
  <c r="K238" i="30" s="1"/>
  <c r="T1007" i="25" s="1"/>
  <c r="AA237" i="30"/>
  <c r="AG1006" i="25"/>
  <c r="AD1006" i="25"/>
  <c r="AC1006" i="25"/>
  <c r="AB1006" i="25"/>
  <c r="AA1006" i="25"/>
  <c r="Z1006" i="25"/>
  <c r="AA236" i="30"/>
  <c r="AG1005" i="25"/>
  <c r="AD1005" i="25"/>
  <c r="AC1005" i="25"/>
  <c r="AB1005" i="25"/>
  <c r="AA1005" i="25"/>
  <c r="Z1005" i="25"/>
  <c r="AA235" i="30"/>
  <c r="AG1004" i="25"/>
  <c r="AD1004" i="25"/>
  <c r="AC1004" i="25"/>
  <c r="AB1004" i="25"/>
  <c r="AA1004" i="25"/>
  <c r="Z1004" i="25"/>
  <c r="AA234" i="30"/>
  <c r="AG1003" i="25"/>
  <c r="AD1003" i="25"/>
  <c r="AC1003" i="25"/>
  <c r="AB1003" i="25"/>
  <c r="AA1003" i="25"/>
  <c r="Z1003" i="25"/>
  <c r="AA233" i="30"/>
  <c r="AG1002" i="25"/>
  <c r="AD1002" i="25"/>
  <c r="AC1002" i="25"/>
  <c r="AB1002" i="25"/>
  <c r="AA1002" i="25"/>
  <c r="Z1002" i="25"/>
  <c r="AA232" i="30"/>
  <c r="AG1001" i="25"/>
  <c r="AD1001" i="25"/>
  <c r="AC1001" i="25"/>
  <c r="AB1001" i="25"/>
  <c r="AA1001" i="25"/>
  <c r="Z1001" i="25"/>
  <c r="AA231" i="30"/>
  <c r="AG1000" i="25"/>
  <c r="AD1000" i="25"/>
  <c r="AC1000" i="25"/>
  <c r="AB1000" i="25"/>
  <c r="AA1000" i="25"/>
  <c r="Z1000" i="25"/>
  <c r="L231" i="30"/>
  <c r="U1000" i="25" s="1"/>
  <c r="AA230" i="30"/>
  <c r="AG999" i="25"/>
  <c r="AD999" i="25"/>
  <c r="AC999" i="25"/>
  <c r="AB999" i="25"/>
  <c r="AA999" i="25"/>
  <c r="Z999" i="25"/>
  <c r="L230" i="30"/>
  <c r="U999" i="25" s="1"/>
  <c r="AA229" i="30"/>
  <c r="AG998" i="25"/>
  <c r="AD998" i="25"/>
  <c r="AC998" i="25"/>
  <c r="AB998" i="25"/>
  <c r="AA998" i="25"/>
  <c r="Z998" i="25"/>
  <c r="AA228" i="30"/>
  <c r="AG997" i="25"/>
  <c r="AD997" i="25"/>
  <c r="AC997" i="25"/>
  <c r="AB997" i="25"/>
  <c r="AA997" i="25"/>
  <c r="Z997" i="25"/>
  <c r="AA227" i="30"/>
  <c r="AG996" i="25"/>
  <c r="AD996" i="25"/>
  <c r="AC996" i="25"/>
  <c r="AB996" i="25"/>
  <c r="AA996" i="25"/>
  <c r="Z996" i="25"/>
  <c r="AA226" i="30"/>
  <c r="AG995" i="25"/>
  <c r="AD995" i="25"/>
  <c r="AC995" i="25"/>
  <c r="AB995" i="25"/>
  <c r="AA995" i="25"/>
  <c r="Z995" i="25"/>
  <c r="AA225" i="30"/>
  <c r="AG994" i="25"/>
  <c r="AD994" i="25"/>
  <c r="AC994" i="25"/>
  <c r="AB994" i="25"/>
  <c r="AA994" i="25"/>
  <c r="Z994" i="25"/>
  <c r="AA224" i="30"/>
  <c r="AG993" i="25"/>
  <c r="AD993" i="25"/>
  <c r="AC993" i="25"/>
  <c r="AB993" i="25"/>
  <c r="AA993" i="25"/>
  <c r="Z993" i="25"/>
  <c r="AA223" i="30"/>
  <c r="AG992" i="25"/>
  <c r="AD992" i="25"/>
  <c r="AC992" i="25"/>
  <c r="AB992" i="25"/>
  <c r="AA992" i="25"/>
  <c r="Z992" i="25"/>
  <c r="K223" i="30" a="1"/>
  <c r="K223" i="30" s="1"/>
  <c r="T992" i="25" s="1"/>
  <c r="AA222" i="30"/>
  <c r="AG991" i="25"/>
  <c r="AD991" i="25"/>
  <c r="AC991" i="25"/>
  <c r="AB991" i="25"/>
  <c r="AA991" i="25"/>
  <c r="Z991" i="25"/>
  <c r="L222" i="30"/>
  <c r="U991" i="25" s="1"/>
  <c r="AA221" i="30"/>
  <c r="AG990" i="25"/>
  <c r="AD990" i="25"/>
  <c r="AC990" i="25"/>
  <c r="AB990" i="25"/>
  <c r="AA990" i="25"/>
  <c r="Z990" i="25"/>
  <c r="AA220" i="30"/>
  <c r="AG989" i="25"/>
  <c r="AD989" i="25"/>
  <c r="AC989" i="25"/>
  <c r="AB989" i="25"/>
  <c r="AA989" i="25"/>
  <c r="Z989" i="25"/>
  <c r="AA219" i="30"/>
  <c r="AG988" i="25"/>
  <c r="AD988" i="25"/>
  <c r="AC988" i="25"/>
  <c r="AB988" i="25"/>
  <c r="AA988" i="25"/>
  <c r="Z988" i="25"/>
  <c r="AA218" i="30"/>
  <c r="AG987" i="25"/>
  <c r="AD987" i="25"/>
  <c r="AC987" i="25"/>
  <c r="AB987" i="25"/>
  <c r="AA987" i="25"/>
  <c r="Z987" i="25"/>
  <c r="AA217" i="30"/>
  <c r="AG986" i="25"/>
  <c r="AD986" i="25"/>
  <c r="AC986" i="25"/>
  <c r="AB986" i="25"/>
  <c r="AA986" i="25"/>
  <c r="Z986" i="25"/>
  <c r="AA216" i="30"/>
  <c r="AG985" i="25"/>
  <c r="AD985" i="25"/>
  <c r="AC985" i="25"/>
  <c r="AB985" i="25"/>
  <c r="AA985" i="25"/>
  <c r="Z985" i="25"/>
  <c r="AA215" i="30"/>
  <c r="AG984" i="25"/>
  <c r="AD984" i="25"/>
  <c r="AC984" i="25"/>
  <c r="AB984" i="25"/>
  <c r="AA984" i="25"/>
  <c r="Z984" i="25"/>
  <c r="K215" i="30" a="1"/>
  <c r="K215" i="30" s="1"/>
  <c r="T984" i="25" s="1"/>
  <c r="AA214" i="30"/>
  <c r="AG983" i="25"/>
  <c r="AD983" i="25"/>
  <c r="AC983" i="25"/>
  <c r="AB983" i="25"/>
  <c r="AA983" i="25"/>
  <c r="Z983" i="25"/>
  <c r="L214" i="30"/>
  <c r="U983" i="25" s="1"/>
  <c r="AA213" i="30"/>
  <c r="AG982" i="25"/>
  <c r="AD982" i="25"/>
  <c r="AC982" i="25"/>
  <c r="AB982" i="25"/>
  <c r="AA982" i="25"/>
  <c r="Z982" i="25"/>
  <c r="AA212" i="30"/>
  <c r="AG981" i="25"/>
  <c r="AD981" i="25"/>
  <c r="AC981" i="25"/>
  <c r="AB981" i="25"/>
  <c r="AA981" i="25"/>
  <c r="Z981" i="25"/>
  <c r="AA211" i="30"/>
  <c r="AG980" i="25"/>
  <c r="AD980" i="25"/>
  <c r="AC980" i="25"/>
  <c r="AB980" i="25"/>
  <c r="AA980" i="25"/>
  <c r="Z980" i="25"/>
  <c r="AA210" i="30"/>
  <c r="AG979" i="25"/>
  <c r="AD979" i="25"/>
  <c r="AC979" i="25"/>
  <c r="AB979" i="25"/>
  <c r="AA979" i="25"/>
  <c r="Z979" i="25"/>
  <c r="AA209" i="30"/>
  <c r="AG978" i="25"/>
  <c r="AD978" i="25"/>
  <c r="AC978" i="25"/>
  <c r="AB978" i="25"/>
  <c r="AA978" i="25"/>
  <c r="Z978" i="25"/>
  <c r="AA208" i="30"/>
  <c r="AG977" i="25"/>
  <c r="AD977" i="25"/>
  <c r="AC977" i="25"/>
  <c r="AB977" i="25"/>
  <c r="AA977" i="25"/>
  <c r="Z977" i="25"/>
  <c r="AA207" i="30"/>
  <c r="AG976" i="25"/>
  <c r="AD976" i="25"/>
  <c r="AC976" i="25"/>
  <c r="AB976" i="25"/>
  <c r="AA976" i="25"/>
  <c r="Z976" i="25"/>
  <c r="AA206" i="30"/>
  <c r="AG975" i="25"/>
  <c r="AD975" i="25"/>
  <c r="AC975" i="25"/>
  <c r="AB975" i="25"/>
  <c r="AA975" i="25"/>
  <c r="Z975" i="25"/>
  <c r="L206" i="30"/>
  <c r="U975" i="25" s="1"/>
  <c r="AA205" i="30"/>
  <c r="AG974" i="25"/>
  <c r="AD974" i="25"/>
  <c r="AC974" i="25"/>
  <c r="AB974" i="25"/>
  <c r="AA974" i="25"/>
  <c r="Z974" i="25"/>
  <c r="AA204" i="30"/>
  <c r="AG973" i="25"/>
  <c r="AD973" i="25"/>
  <c r="AC973" i="25"/>
  <c r="AB973" i="25"/>
  <c r="AA973" i="25"/>
  <c r="Z973" i="25"/>
  <c r="AA203" i="30"/>
  <c r="AG972" i="25"/>
  <c r="AD972" i="25"/>
  <c r="AC972" i="25"/>
  <c r="AB972" i="25"/>
  <c r="AA972" i="25"/>
  <c r="Z972" i="25"/>
  <c r="AA202" i="30"/>
  <c r="AG971" i="25"/>
  <c r="AD971" i="25"/>
  <c r="AC971" i="25"/>
  <c r="AB971" i="25"/>
  <c r="AA971" i="25"/>
  <c r="Z971" i="25"/>
  <c r="AA201" i="30"/>
  <c r="AG970" i="25"/>
  <c r="AD970" i="25"/>
  <c r="AC970" i="25"/>
  <c r="AB970" i="25"/>
  <c r="AA970" i="25"/>
  <c r="Z970" i="25"/>
  <c r="AA200" i="30"/>
  <c r="AG969" i="25"/>
  <c r="AD969" i="25"/>
  <c r="AC969" i="25"/>
  <c r="AB969" i="25"/>
  <c r="AA969" i="25"/>
  <c r="Z969" i="25"/>
  <c r="AA199" i="30"/>
  <c r="AG968" i="25"/>
  <c r="AD968" i="25"/>
  <c r="AC968" i="25"/>
  <c r="AB968" i="25"/>
  <c r="AA968" i="25"/>
  <c r="Z968" i="25"/>
  <c r="AA198" i="30"/>
  <c r="AG967" i="25"/>
  <c r="AD967" i="25"/>
  <c r="AC967" i="25"/>
  <c r="AB967" i="25"/>
  <c r="AA967" i="25"/>
  <c r="Z967" i="25"/>
  <c r="L198" i="30"/>
  <c r="U967" i="25" s="1"/>
  <c r="AA197" i="30"/>
  <c r="AG966" i="25"/>
  <c r="AD966" i="25"/>
  <c r="AC966" i="25"/>
  <c r="AB966" i="25"/>
  <c r="AA966" i="25"/>
  <c r="Z966" i="25"/>
  <c r="AA196" i="30"/>
  <c r="AG965" i="25"/>
  <c r="AD965" i="25"/>
  <c r="AC965" i="25"/>
  <c r="AB965" i="25"/>
  <c r="AA965" i="25"/>
  <c r="Z965" i="25"/>
  <c r="AA195" i="30"/>
  <c r="AG964" i="25"/>
  <c r="AD964" i="25"/>
  <c r="AC964" i="25"/>
  <c r="AB964" i="25"/>
  <c r="AA964" i="25"/>
  <c r="Z964" i="25"/>
  <c r="AA194" i="30"/>
  <c r="AG963" i="25"/>
  <c r="AD963" i="25"/>
  <c r="AC963" i="25"/>
  <c r="AB963" i="25"/>
  <c r="AA963" i="25"/>
  <c r="Z963" i="25"/>
  <c r="AA193" i="30"/>
  <c r="AG962" i="25"/>
  <c r="AD962" i="25"/>
  <c r="AC962" i="25"/>
  <c r="AB962" i="25"/>
  <c r="AA962" i="25"/>
  <c r="Z962" i="25"/>
  <c r="AA192" i="30"/>
  <c r="AG961" i="25"/>
  <c r="AD961" i="25"/>
  <c r="AC961" i="25"/>
  <c r="AB961" i="25"/>
  <c r="AA961" i="25"/>
  <c r="Z961" i="25"/>
  <c r="AA191" i="30"/>
  <c r="AG960" i="25"/>
  <c r="AD960" i="25"/>
  <c r="AC960" i="25"/>
  <c r="AB960" i="25"/>
  <c r="AA960" i="25"/>
  <c r="Z960" i="25"/>
  <c r="AA190" i="30"/>
  <c r="AG959" i="25"/>
  <c r="AD959" i="25"/>
  <c r="AC959" i="25"/>
  <c r="AB959" i="25"/>
  <c r="AA959" i="25"/>
  <c r="Z959" i="25"/>
  <c r="AA189" i="30"/>
  <c r="AG958" i="25"/>
  <c r="AD958" i="25"/>
  <c r="AC958" i="25"/>
  <c r="AB958" i="25"/>
  <c r="AA958" i="25"/>
  <c r="Z958" i="25"/>
  <c r="AA188" i="30"/>
  <c r="AG957" i="25"/>
  <c r="AD957" i="25"/>
  <c r="AC957" i="25"/>
  <c r="AB957" i="25"/>
  <c r="AA957" i="25"/>
  <c r="Z957" i="25"/>
  <c r="AA187" i="30"/>
  <c r="AG956" i="25"/>
  <c r="AD956" i="25"/>
  <c r="AC956" i="25"/>
  <c r="AB956" i="25"/>
  <c r="AA956" i="25"/>
  <c r="Z956" i="25"/>
  <c r="AA186" i="30"/>
  <c r="AG955" i="25"/>
  <c r="AD955" i="25"/>
  <c r="AC955" i="25"/>
  <c r="AB955" i="25"/>
  <c r="AA955" i="25"/>
  <c r="Z955" i="25"/>
  <c r="AA185" i="30"/>
  <c r="AG954" i="25"/>
  <c r="AD954" i="25"/>
  <c r="AC954" i="25"/>
  <c r="AB954" i="25"/>
  <c r="AA954" i="25"/>
  <c r="Z954" i="25"/>
  <c r="AA184" i="30"/>
  <c r="AG953" i="25"/>
  <c r="AD953" i="25"/>
  <c r="AC953" i="25"/>
  <c r="AB953" i="25"/>
  <c r="AA953" i="25"/>
  <c r="Z953" i="25"/>
  <c r="AA183" i="30"/>
  <c r="AG952" i="25"/>
  <c r="AD952" i="25"/>
  <c r="AC952" i="25"/>
  <c r="AB952" i="25"/>
  <c r="AA952" i="25"/>
  <c r="Z952" i="25"/>
  <c r="L183" i="30"/>
  <c r="U952" i="25" s="1"/>
  <c r="AA9" i="30"/>
  <c r="X9" i="30" a="1"/>
  <c r="X9" i="30" s="1"/>
  <c r="AG951" i="25" s="1"/>
  <c r="U9" i="30" a="1"/>
  <c r="U9" i="30" s="1"/>
  <c r="AD951" i="25" s="1"/>
  <c r="T9" i="30" a="1"/>
  <c r="T9" i="30" s="1"/>
  <c r="AC951" i="25" s="1"/>
  <c r="S9" i="30" a="1"/>
  <c r="S9" i="30" s="1"/>
  <c r="AB951" i="25" s="1"/>
  <c r="R9" i="30" a="1"/>
  <c r="R9" i="30" s="1"/>
  <c r="AA951" i="25" s="1"/>
  <c r="Q9" i="30" a="1"/>
  <c r="Q9" i="30" s="1"/>
  <c r="Z951" i="25" s="1"/>
  <c r="AA8" i="30"/>
  <c r="X8" i="30" a="1"/>
  <c r="X8" i="30" s="1"/>
  <c r="AG950" i="25" s="1"/>
  <c r="U8" i="30" a="1"/>
  <c r="U8" i="30" s="1"/>
  <c r="AD950" i="25" s="1"/>
  <c r="T8" i="30" a="1"/>
  <c r="T8" i="30" s="1"/>
  <c r="AC950" i="25" s="1"/>
  <c r="S8" i="30" a="1"/>
  <c r="S8" i="30" s="1"/>
  <c r="AB950" i="25" s="1"/>
  <c r="R8" i="30" a="1"/>
  <c r="R8" i="30" s="1"/>
  <c r="AA950" i="25" s="1"/>
  <c r="Q8" i="30" a="1"/>
  <c r="Q8" i="30" s="1"/>
  <c r="Z950" i="25" s="1"/>
  <c r="U88" i="14"/>
  <c r="U87" i="14"/>
  <c r="U86" i="14"/>
  <c r="U85" i="14"/>
  <c r="U84" i="14"/>
  <c r="U83" i="14"/>
  <c r="U82" i="14"/>
  <c r="U81" i="14"/>
  <c r="U80" i="14"/>
  <c r="U79" i="14"/>
  <c r="U78" i="14"/>
  <c r="U77" i="14"/>
  <c r="U76" i="14"/>
  <c r="U75" i="14"/>
  <c r="U74" i="14"/>
  <c r="U73" i="14"/>
  <c r="U72" i="14"/>
  <c r="U71" i="14"/>
  <c r="U70" i="14"/>
  <c r="U69" i="14"/>
  <c r="U68" i="14"/>
  <c r="U67" i="14"/>
  <c r="U66" i="14"/>
  <c r="U11" i="17"/>
  <c r="T1144" i="25" l="1"/>
  <c r="AD1144" i="25"/>
  <c r="C19" i="18"/>
  <c r="D19" i="18"/>
  <c r="AB1144" i="25"/>
  <c r="AC1144" i="25"/>
  <c r="AI1060" i="25"/>
  <c r="L278" i="30"/>
  <c r="U1047" i="25" s="1"/>
  <c r="Z315" i="30"/>
  <c r="Z314" i="30" s="1"/>
  <c r="Z313" i="30" s="1"/>
  <c r="Z312" i="30" s="1"/>
  <c r="Z311" i="30" s="1"/>
  <c r="Z310" i="30" s="1"/>
  <c r="Z309" i="30" s="1"/>
  <c r="Z308" i="30" s="1"/>
  <c r="Z307" i="30" s="1"/>
  <c r="Z306" i="30" s="1"/>
  <c r="Z305" i="30" s="1"/>
  <c r="Z304" i="30" s="1"/>
  <c r="L201" i="30"/>
  <c r="U970" i="25" s="1"/>
  <c r="L233" i="30"/>
  <c r="U1002" i="25" s="1"/>
  <c r="T7" i="14"/>
  <c r="I19" i="18"/>
  <c r="AG1144" i="25"/>
  <c r="L8" i="31"/>
  <c r="U1062" i="25" s="1"/>
  <c r="J1062" i="25"/>
  <c r="K11" i="31" a="1"/>
  <c r="K11" i="31" s="1"/>
  <c r="T1065" i="25" s="1"/>
  <c r="J1065" i="25"/>
  <c r="L12" i="31"/>
  <c r="U1066" i="25" s="1"/>
  <c r="J1066" i="25"/>
  <c r="L13" i="31"/>
  <c r="U1067" i="25" s="1"/>
  <c r="J1067" i="25"/>
  <c r="L15" i="31"/>
  <c r="U1069" i="25" s="1"/>
  <c r="J1069" i="25"/>
  <c r="L16" i="31"/>
  <c r="U1070" i="25" s="1"/>
  <c r="J1070" i="25"/>
  <c r="K17" i="31" a="1"/>
  <c r="K17" i="31" s="1"/>
  <c r="T1071" i="25" s="1"/>
  <c r="J1071" i="25"/>
  <c r="K21" i="31" a="1"/>
  <c r="K21" i="31" s="1"/>
  <c r="T1075" i="25" s="1"/>
  <c r="J1075" i="25"/>
  <c r="K23" i="31" a="1"/>
  <c r="K23" i="31" s="1"/>
  <c r="T1077" i="25" s="1"/>
  <c r="J1077" i="25"/>
  <c r="K24" i="31" a="1"/>
  <c r="K24" i="31" s="1"/>
  <c r="T1078" i="25" s="1"/>
  <c r="J1078" i="25"/>
  <c r="K25" i="31" a="1"/>
  <c r="K25" i="31" s="1"/>
  <c r="T1079" i="25" s="1"/>
  <c r="J1079" i="25"/>
  <c r="K26" i="31" a="1"/>
  <c r="K26" i="31" s="1"/>
  <c r="T1080" i="25" s="1"/>
  <c r="J1080" i="25"/>
  <c r="L27" i="31"/>
  <c r="U1081" i="25" s="1"/>
  <c r="J1081" i="25"/>
  <c r="L30" i="31"/>
  <c r="U1084" i="25" s="1"/>
  <c r="J1084" i="25"/>
  <c r="L31" i="31"/>
  <c r="U1085" i="25" s="1"/>
  <c r="J1085" i="25"/>
  <c r="L32" i="31"/>
  <c r="U1086" i="25" s="1"/>
  <c r="J1086" i="25"/>
  <c r="L34" i="31"/>
  <c r="U1088" i="25" s="1"/>
  <c r="J1088" i="25"/>
  <c r="K35" i="31" a="1"/>
  <c r="K35" i="31" s="1"/>
  <c r="T1089" i="25" s="1"/>
  <c r="J1089" i="25"/>
  <c r="L37" i="31"/>
  <c r="U1091" i="25" s="1"/>
  <c r="J1091" i="25"/>
  <c r="L38" i="31"/>
  <c r="U1092" i="25" s="1"/>
  <c r="J1092" i="25"/>
  <c r="L39" i="31"/>
  <c r="U1093" i="25" s="1"/>
  <c r="J1093" i="25"/>
  <c r="L40" i="31"/>
  <c r="U1094" i="25" s="1"/>
  <c r="J1094" i="25"/>
  <c r="K41" i="31" a="1"/>
  <c r="K41" i="31" s="1"/>
  <c r="T1095" i="25" s="1"/>
  <c r="J1095" i="25"/>
  <c r="L42" i="31"/>
  <c r="U1096" i="25" s="1"/>
  <c r="J1096" i="25"/>
  <c r="L45" i="31"/>
  <c r="U1099" i="25" s="1"/>
  <c r="J1099" i="25"/>
  <c r="L46" i="31"/>
  <c r="U1100" i="25" s="1"/>
  <c r="J1100" i="25"/>
  <c r="L47" i="31"/>
  <c r="U1101" i="25" s="1"/>
  <c r="J1101" i="25"/>
  <c r="L48" i="31"/>
  <c r="U1102" i="25" s="1"/>
  <c r="J1102" i="25"/>
  <c r="L50" i="31"/>
  <c r="U1104" i="25" s="1"/>
  <c r="J1104" i="25"/>
  <c r="K51" i="31" a="1"/>
  <c r="K51" i="31" s="1"/>
  <c r="T1105" i="25" s="1"/>
  <c r="J1105" i="25"/>
  <c r="K52" i="31" a="1"/>
  <c r="K52" i="31" s="1"/>
  <c r="T1106" i="25" s="1"/>
  <c r="J1106" i="25"/>
  <c r="K53" i="31" a="1"/>
  <c r="K53" i="31" s="1"/>
  <c r="T1107" i="25" s="1"/>
  <c r="J1107" i="25"/>
  <c r="L54" i="31"/>
  <c r="U1108" i="25" s="1"/>
  <c r="J1108" i="25"/>
  <c r="K55" i="31" a="1"/>
  <c r="K55" i="31" s="1"/>
  <c r="T1109" i="25" s="1"/>
  <c r="J1109" i="25"/>
  <c r="K56" i="31" a="1"/>
  <c r="K56" i="31" s="1"/>
  <c r="T1110" i="25" s="1"/>
  <c r="J1110" i="25"/>
  <c r="K57" i="31" a="1"/>
  <c r="K57" i="31" s="1"/>
  <c r="T1111" i="25" s="1"/>
  <c r="J1111" i="25"/>
  <c r="L58" i="31"/>
  <c r="U1112" i="25" s="1"/>
  <c r="J1112" i="25"/>
  <c r="K60" i="31" a="1"/>
  <c r="K60" i="31" s="1"/>
  <c r="T1114" i="25" s="1"/>
  <c r="J1114" i="25"/>
  <c r="K62" i="31" a="1"/>
  <c r="K62" i="31" s="1"/>
  <c r="T1116" i="25" s="1"/>
  <c r="J1116" i="25"/>
  <c r="K63" i="31" a="1"/>
  <c r="K63" i="31" s="1"/>
  <c r="T1117" i="25" s="1"/>
  <c r="J1117" i="25"/>
  <c r="K64" i="31" a="1"/>
  <c r="K64" i="31" s="1"/>
  <c r="T1118" i="25" s="1"/>
  <c r="J1118" i="25"/>
  <c r="K66" i="31" a="1"/>
  <c r="K66" i="31" s="1"/>
  <c r="T1120" i="25" s="1"/>
  <c r="J1120" i="25"/>
  <c r="L67" i="31"/>
  <c r="U1121" i="25" s="1"/>
  <c r="J1121" i="25"/>
  <c r="L69" i="31"/>
  <c r="U1123" i="25" s="1"/>
  <c r="J1123" i="25"/>
  <c r="L70" i="31"/>
  <c r="U1124" i="25" s="1"/>
  <c r="J1124" i="25"/>
  <c r="K71" i="31" a="1"/>
  <c r="K71" i="31" s="1"/>
  <c r="T1125" i="25" s="1"/>
  <c r="J1125" i="25"/>
  <c r="L72" i="31"/>
  <c r="U1126" i="25" s="1"/>
  <c r="J1126" i="25"/>
  <c r="K73" i="31" a="1"/>
  <c r="K73" i="31" s="1"/>
  <c r="T1127" i="25" s="1"/>
  <c r="J1127" i="25"/>
  <c r="L75" i="31"/>
  <c r="U1129" i="25" s="1"/>
  <c r="J1129" i="25"/>
  <c r="L76" i="31"/>
  <c r="U1130" i="25" s="1"/>
  <c r="J1130" i="25"/>
  <c r="L77" i="31"/>
  <c r="U1131" i="25" s="1"/>
  <c r="J1131" i="25"/>
  <c r="K78" i="31" a="1"/>
  <c r="K78" i="31" s="1"/>
  <c r="T1132" i="25" s="1"/>
  <c r="J1132" i="25"/>
  <c r="K79" i="31" a="1"/>
  <c r="K79" i="31" s="1"/>
  <c r="T1133" i="25" s="1"/>
  <c r="J1133" i="25"/>
  <c r="L80" i="31"/>
  <c r="U1134" i="25" s="1"/>
  <c r="J1134" i="25"/>
  <c r="L81" i="31"/>
  <c r="U1135" i="25" s="1"/>
  <c r="J1135" i="25"/>
  <c r="L82" i="31"/>
  <c r="U1136" i="25" s="1"/>
  <c r="J1136" i="25"/>
  <c r="L83" i="31"/>
  <c r="U1137" i="25" s="1"/>
  <c r="J1137" i="25"/>
  <c r="K277" i="30" a="1"/>
  <c r="K277" i="30" s="1"/>
  <c r="T1046" i="25" s="1"/>
  <c r="J1046" i="25"/>
  <c r="K269" i="30" a="1"/>
  <c r="K269" i="30" s="1"/>
  <c r="T1038" i="25" s="1"/>
  <c r="J1038" i="25"/>
  <c r="L253" i="30"/>
  <c r="U1022" i="25" s="1"/>
  <c r="J1022" i="25"/>
  <c r="L245" i="30"/>
  <c r="U1014" i="25" s="1"/>
  <c r="J1014" i="25"/>
  <c r="L221" i="30"/>
  <c r="U990" i="25" s="1"/>
  <c r="J990" i="25"/>
  <c r="L213" i="30"/>
  <c r="U982" i="25" s="1"/>
  <c r="J982" i="25"/>
  <c r="K205" i="30" a="1"/>
  <c r="K205" i="30" s="1"/>
  <c r="T974" i="25" s="1"/>
  <c r="J974" i="25"/>
  <c r="L197" i="30"/>
  <c r="U966" i="25" s="1"/>
  <c r="J966" i="25"/>
  <c r="K252" i="30" a="1"/>
  <c r="K252" i="30" s="1"/>
  <c r="T1021" i="25" s="1"/>
  <c r="J1021" i="25"/>
  <c r="K244" i="30" a="1"/>
  <c r="K244" i="30" s="1"/>
  <c r="T1013" i="25" s="1"/>
  <c r="J1013" i="25"/>
  <c r="K236" i="30" a="1"/>
  <c r="K236" i="30" s="1"/>
  <c r="T1005" i="25" s="1"/>
  <c r="J1005" i="25"/>
  <c r="L228" i="30"/>
  <c r="U997" i="25" s="1"/>
  <c r="J997" i="25"/>
  <c r="L220" i="30"/>
  <c r="U989" i="25" s="1"/>
  <c r="J989" i="25"/>
  <c r="L212" i="30"/>
  <c r="U981" i="25" s="1"/>
  <c r="J981" i="25"/>
  <c r="L196" i="30"/>
  <c r="U965" i="25" s="1"/>
  <c r="J965" i="25"/>
  <c r="L188" i="30"/>
  <c r="U957" i="25" s="1"/>
  <c r="J957" i="25"/>
  <c r="L267" i="30"/>
  <c r="U1036" i="25" s="1"/>
  <c r="J1036" i="25"/>
  <c r="K227" i="30" a="1"/>
  <c r="K227" i="30" s="1"/>
  <c r="T996" i="25" s="1"/>
  <c r="J996" i="25"/>
  <c r="K195" i="30" a="1"/>
  <c r="K195" i="30" s="1"/>
  <c r="T964" i="25" s="1"/>
  <c r="J964" i="25"/>
  <c r="K274" i="30" a="1"/>
  <c r="K274" i="30" s="1"/>
  <c r="T1043" i="25" s="1"/>
  <c r="J1043" i="25"/>
  <c r="L266" i="30"/>
  <c r="U1035" i="25" s="1"/>
  <c r="J1035" i="25"/>
  <c r="L258" i="30"/>
  <c r="U1027" i="25" s="1"/>
  <c r="J1027" i="25"/>
  <c r="L250" i="30"/>
  <c r="U1019" i="25" s="1"/>
  <c r="J1019" i="25"/>
  <c r="L242" i="30"/>
  <c r="U1011" i="25" s="1"/>
  <c r="J1011" i="25"/>
  <c r="L234" i="30"/>
  <c r="U1003" i="25" s="1"/>
  <c r="J1003" i="25"/>
  <c r="L226" i="30"/>
  <c r="U995" i="25" s="1"/>
  <c r="J995" i="25"/>
  <c r="L210" i="30"/>
  <c r="U979" i="25" s="1"/>
  <c r="J979" i="25"/>
  <c r="L194" i="30"/>
  <c r="U963" i="25" s="1"/>
  <c r="J963" i="25"/>
  <c r="L186" i="30"/>
  <c r="U955" i="25" s="1"/>
  <c r="J955" i="25"/>
  <c r="K283" i="30" a="1"/>
  <c r="K283" i="30" s="1"/>
  <c r="T1052" i="25" s="1"/>
  <c r="J1052" i="25"/>
  <c r="L259" i="30"/>
  <c r="U1028" i="25" s="1"/>
  <c r="J1028" i="25"/>
  <c r="L235" i="30"/>
  <c r="U1004" i="25" s="1"/>
  <c r="J1004" i="25"/>
  <c r="L187" i="30"/>
  <c r="U956" i="25" s="1"/>
  <c r="J956" i="25"/>
  <c r="L298" i="30"/>
  <c r="L281" i="30"/>
  <c r="U1050" i="25" s="1"/>
  <c r="J1050" i="25"/>
  <c r="L273" i="30"/>
  <c r="U1042" i="25" s="1"/>
  <c r="J1042" i="25"/>
  <c r="L265" i="30"/>
  <c r="U1034" i="25" s="1"/>
  <c r="J1034" i="25"/>
  <c r="L209" i="30"/>
  <c r="U978" i="25" s="1"/>
  <c r="J978" i="25"/>
  <c r="K193" i="30" a="1"/>
  <c r="K193" i="30" s="1"/>
  <c r="T962" i="25" s="1"/>
  <c r="J962" i="25"/>
  <c r="K185" i="30" a="1"/>
  <c r="K185" i="30" s="1"/>
  <c r="T954" i="25" s="1"/>
  <c r="J954" i="25"/>
  <c r="L275" i="30"/>
  <c r="U1044" i="25" s="1"/>
  <c r="J1044" i="25"/>
  <c r="L243" i="30"/>
  <c r="U1012" i="25" s="1"/>
  <c r="J1012" i="25"/>
  <c r="L297" i="30"/>
  <c r="K280" i="30" a="1"/>
  <c r="K280" i="30" s="1"/>
  <c r="T1049" i="25" s="1"/>
  <c r="J1049" i="25"/>
  <c r="K232" i="30" a="1"/>
  <c r="K232" i="30" s="1"/>
  <c r="T1001" i="25" s="1"/>
  <c r="J1001" i="25"/>
  <c r="L224" i="30"/>
  <c r="U993" i="25" s="1"/>
  <c r="J993" i="25"/>
  <c r="L216" i="30"/>
  <c r="U985" i="25" s="1"/>
  <c r="J985" i="25"/>
  <c r="L208" i="30"/>
  <c r="U977" i="25" s="1"/>
  <c r="J977" i="25"/>
  <c r="L200" i="30"/>
  <c r="U969" i="25" s="1"/>
  <c r="J969" i="25"/>
  <c r="L192" i="30"/>
  <c r="U961" i="25" s="1"/>
  <c r="J961" i="25"/>
  <c r="L184" i="30"/>
  <c r="U953" i="25" s="1"/>
  <c r="J953" i="25"/>
  <c r="L251" i="30"/>
  <c r="U1020" i="25" s="1"/>
  <c r="J1020" i="25"/>
  <c r="L219" i="30"/>
  <c r="U988" i="25" s="1"/>
  <c r="J988" i="25"/>
  <c r="L279" i="30"/>
  <c r="U1048" i="25" s="1"/>
  <c r="J1048" i="25"/>
  <c r="K211" i="30" a="1"/>
  <c r="K211" i="30" s="1"/>
  <c r="T980" i="25" s="1"/>
  <c r="J980" i="25"/>
  <c r="N87" i="31"/>
  <c r="W87" i="31" s="1"/>
  <c r="K103" i="31" a="1"/>
  <c r="K103" i="31" s="1"/>
  <c r="N103" i="31" s="1"/>
  <c r="K75" i="31" a="1"/>
  <c r="K75" i="31" s="1"/>
  <c r="K82" i="31" a="1"/>
  <c r="K82" i="31" s="1"/>
  <c r="L11" i="31"/>
  <c r="U1065" i="25" s="1"/>
  <c r="L21" i="31"/>
  <c r="U1075" i="25" s="1"/>
  <c r="K81" i="31" a="1"/>
  <c r="K81" i="31" s="1"/>
  <c r="L51" i="31"/>
  <c r="U1105" i="25" s="1"/>
  <c r="K42" i="31" a="1"/>
  <c r="K42" i="31" s="1"/>
  <c r="U64" i="14"/>
  <c r="M313" i="30"/>
  <c r="V313" i="30" s="1"/>
  <c r="AF1152" i="25" s="1"/>
  <c r="N238" i="30"/>
  <c r="L252" i="30"/>
  <c r="U1021" i="25" s="1"/>
  <c r="K213" i="30" a="1"/>
  <c r="K213" i="30" s="1"/>
  <c r="K187" i="30" a="1"/>
  <c r="K187" i="30" s="1"/>
  <c r="K253" i="30" a="1"/>
  <c r="K253" i="30" s="1"/>
  <c r="L227" i="30"/>
  <c r="U996" i="25" s="1"/>
  <c r="K230" i="30" a="1"/>
  <c r="K230" i="30" s="1"/>
  <c r="AA6" i="30"/>
  <c r="K188" i="30" a="1"/>
  <c r="K188" i="30" s="1"/>
  <c r="K186" i="30" a="1"/>
  <c r="K186" i="30" s="1"/>
  <c r="K194" i="30" a="1"/>
  <c r="K194" i="30" s="1"/>
  <c r="K245" i="30" a="1"/>
  <c r="K245" i="30" s="1"/>
  <c r="K279" i="30" a="1"/>
  <c r="K279" i="30" s="1"/>
  <c r="L205" i="30"/>
  <c r="U974" i="25" s="1"/>
  <c r="M307" i="30"/>
  <c r="AA304" i="30"/>
  <c r="M309" i="30"/>
  <c r="M320" i="30"/>
  <c r="M315" i="30"/>
  <c r="M311" i="30"/>
  <c r="N239" i="30"/>
  <c r="M316" i="30"/>
  <c r="N223" i="30"/>
  <c r="N262" i="30"/>
  <c r="M321" i="30"/>
  <c r="N299" i="30"/>
  <c r="W299" i="30" s="1"/>
  <c r="N255" i="30"/>
  <c r="N247" i="30"/>
  <c r="N296" i="30"/>
  <c r="M308" i="30"/>
  <c r="M312" i="30"/>
  <c r="M319" i="30"/>
  <c r="M317" i="30"/>
  <c r="L101" i="31"/>
  <c r="K210" i="30" a="1"/>
  <c r="K210" i="30" s="1"/>
  <c r="K226" i="30" a="1"/>
  <c r="K226" i="30" s="1"/>
  <c r="K254" i="30" a="1"/>
  <c r="K254" i="30" s="1"/>
  <c r="L262" i="30"/>
  <c r="U1031" i="25" s="1"/>
  <c r="K48" i="31" a="1"/>
  <c r="K48" i="31" s="1"/>
  <c r="L93" i="31"/>
  <c r="L60" i="31"/>
  <c r="U1114" i="25" s="1"/>
  <c r="L7" i="30"/>
  <c r="L274" i="30"/>
  <c r="U1043" i="25" s="1"/>
  <c r="K15" i="31" a="1"/>
  <c r="K15" i="31" s="1"/>
  <c r="L25" i="31"/>
  <c r="U1079" i="25" s="1"/>
  <c r="K34" i="31" a="1"/>
  <c r="K34" i="31" s="1"/>
  <c r="K37" i="31" a="1"/>
  <c r="K37" i="31" s="1"/>
  <c r="K39" i="31" a="1"/>
  <c r="K39" i="31" s="1"/>
  <c r="K47" i="31" a="1"/>
  <c r="K47" i="31" s="1"/>
  <c r="K83" i="31" a="1"/>
  <c r="K83" i="31" s="1"/>
  <c r="K88" i="31" a="1"/>
  <c r="K88" i="31" s="1"/>
  <c r="N88" i="31" s="1"/>
  <c r="K50" i="31" a="1"/>
  <c r="K50" i="31" s="1"/>
  <c r="K192" i="30" a="1"/>
  <c r="K192" i="30" s="1"/>
  <c r="L269" i="30"/>
  <c r="U1038" i="25" s="1"/>
  <c r="L299" i="30"/>
  <c r="L52" i="31"/>
  <c r="U1106" i="25" s="1"/>
  <c r="K80" i="31" a="1"/>
  <c r="K80" i="31" s="1"/>
  <c r="K104" i="31" a="1"/>
  <c r="K104" i="31" s="1"/>
  <c r="N104" i="31" s="1"/>
  <c r="K266" i="30" a="1"/>
  <c r="K266" i="30" s="1"/>
  <c r="L24" i="31"/>
  <c r="U1078" i="25" s="1"/>
  <c r="L26" i="31"/>
  <c r="U1080" i="25" s="1"/>
  <c r="K67" i="31" a="1"/>
  <c r="K67" i="31" s="1"/>
  <c r="N114" i="31"/>
  <c r="W114" i="31" s="1"/>
  <c r="N86" i="31"/>
  <c r="W86" i="31" s="1"/>
  <c r="N109" i="31"/>
  <c r="V109" i="31" s="1"/>
  <c r="N90" i="31"/>
  <c r="V90" i="31" s="1"/>
  <c r="N101" i="31"/>
  <c r="W101" i="31" s="1"/>
  <c r="N106" i="31"/>
  <c r="W106" i="31" s="1"/>
  <c r="N93" i="31"/>
  <c r="V93" i="31" s="1"/>
  <c r="N98" i="31"/>
  <c r="W98" i="31" s="1"/>
  <c r="L111" i="31"/>
  <c r="K111" i="31" a="1"/>
  <c r="K111" i="31" s="1"/>
  <c r="N111" i="31" s="1"/>
  <c r="L18" i="31"/>
  <c r="U1072" i="25" s="1"/>
  <c r="K18" i="31" a="1"/>
  <c r="K18" i="31" s="1"/>
  <c r="L195" i="30"/>
  <c r="U964" i="25" s="1"/>
  <c r="L218" i="30"/>
  <c r="U987" i="25" s="1"/>
  <c r="K218" i="30" a="1"/>
  <c r="K218" i="30" s="1"/>
  <c r="K231" i="30" a="1"/>
  <c r="K231" i="30" s="1"/>
  <c r="L237" i="30"/>
  <c r="U1006" i="25" s="1"/>
  <c r="K237" i="30" a="1"/>
  <c r="K237" i="30" s="1"/>
  <c r="L202" i="30"/>
  <c r="U971" i="25" s="1"/>
  <c r="K202" i="30" a="1"/>
  <c r="K202" i="30" s="1"/>
  <c r="L43" i="31"/>
  <c r="U1097" i="25" s="1"/>
  <c r="K43" i="31" a="1"/>
  <c r="K43" i="31" s="1"/>
  <c r="K110" i="31" a="1"/>
  <c r="K110" i="31" s="1"/>
  <c r="N110" i="31" s="1"/>
  <c r="L110" i="31"/>
  <c r="K203" i="30" a="1"/>
  <c r="K203" i="30" s="1"/>
  <c r="L203" i="30"/>
  <c r="U972" i="25" s="1"/>
  <c r="L229" i="30"/>
  <c r="U998" i="25" s="1"/>
  <c r="K229" i="30" a="1"/>
  <c r="K229" i="30" s="1"/>
  <c r="L282" i="30"/>
  <c r="U1051" i="25" s="1"/>
  <c r="K282" i="30" a="1"/>
  <c r="K282" i="30" s="1"/>
  <c r="K260" i="30" a="1"/>
  <c r="K260" i="30" s="1"/>
  <c r="L260" i="30"/>
  <c r="U1029" i="25" s="1"/>
  <c r="K272" i="30" a="1"/>
  <c r="K272" i="30" s="1"/>
  <c r="L272" i="30"/>
  <c r="U1041" i="25" s="1"/>
  <c r="L244" i="30"/>
  <c r="U1013" i="25" s="1"/>
  <c r="L74" i="31"/>
  <c r="U1128" i="25" s="1"/>
  <c r="K74" i="31" a="1"/>
  <c r="K74" i="31" s="1"/>
  <c r="K198" i="30" a="1"/>
  <c r="K198" i="30" s="1"/>
  <c r="K222" i="30" a="1"/>
  <c r="K222" i="30" s="1"/>
  <c r="L185" i="30"/>
  <c r="U954" i="25" s="1"/>
  <c r="L246" i="30"/>
  <c r="U1015" i="25" s="1"/>
  <c r="K246" i="30" a="1"/>
  <c r="K246" i="30" s="1"/>
  <c r="L7" i="31"/>
  <c r="K10" i="31" a="1"/>
  <c r="K10" i="31" s="1"/>
  <c r="L10" i="31"/>
  <c r="U1064" i="25" s="1"/>
  <c r="L112" i="31"/>
  <c r="K112" i="31" a="1"/>
  <c r="K112" i="31" s="1"/>
  <c r="N112" i="31" s="1"/>
  <c r="W112" i="31" s="1"/>
  <c r="K29" i="31" a="1"/>
  <c r="K29" i="31" s="1"/>
  <c r="L29" i="31"/>
  <c r="U1083" i="25" s="1"/>
  <c r="L59" i="31"/>
  <c r="U1113" i="25" s="1"/>
  <c r="K59" i="31" a="1"/>
  <c r="K59" i="31" s="1"/>
  <c r="K117" i="31" a="1"/>
  <c r="K117" i="31" s="1"/>
  <c r="N117" i="31" s="1"/>
  <c r="L117" i="31"/>
  <c r="L199" i="30"/>
  <c r="U968" i="25" s="1"/>
  <c r="K199" i="30" a="1"/>
  <c r="K199" i="30" s="1"/>
  <c r="K206" i="30" a="1"/>
  <c r="K206" i="30" s="1"/>
  <c r="L261" i="30"/>
  <c r="U1030" i="25" s="1"/>
  <c r="K261" i="30" a="1"/>
  <c r="K261" i="30" s="1"/>
  <c r="L49" i="31"/>
  <c r="U1103" i="25" s="1"/>
  <c r="K49" i="31" a="1"/>
  <c r="K49" i="31" s="1"/>
  <c r="K65" i="31" a="1"/>
  <c r="K65" i="31" s="1"/>
  <c r="L65" i="31"/>
  <c r="U1119" i="25" s="1"/>
  <c r="L73" i="31"/>
  <c r="U1127" i="25" s="1"/>
  <c r="K271" i="30" a="1"/>
  <c r="K271" i="30" s="1"/>
  <c r="L280" i="30"/>
  <c r="U1049" i="25" s="1"/>
  <c r="K281" i="30" a="1"/>
  <c r="K281" i="30" s="1"/>
  <c r="L23" i="31"/>
  <c r="U1077" i="25" s="1"/>
  <c r="K32" i="31" a="1"/>
  <c r="K32" i="31" s="1"/>
  <c r="L35" i="31"/>
  <c r="U1089" i="25" s="1"/>
  <c r="K40" i="31" a="1"/>
  <c r="K40" i="31" s="1"/>
  <c r="K72" i="31" a="1"/>
  <c r="K72" i="31" s="1"/>
  <c r="K95" i="31" a="1"/>
  <c r="K95" i="31" s="1"/>
  <c r="N95" i="31" s="1"/>
  <c r="W95" i="31" s="1"/>
  <c r="K221" i="30" a="1"/>
  <c r="K221" i="30" s="1"/>
  <c r="L236" i="30"/>
  <c r="U1005" i="25" s="1"/>
  <c r="K16" i="31" a="1"/>
  <c r="K16" i="31" s="1"/>
  <c r="L17" i="31"/>
  <c r="U1071" i="25" s="1"/>
  <c r="L41" i="31"/>
  <c r="U1095" i="25" s="1"/>
  <c r="K45" i="31" a="1"/>
  <c r="K45" i="31" s="1"/>
  <c r="L57" i="31"/>
  <c r="U1111" i="25" s="1"/>
  <c r="K58" i="31" a="1"/>
  <c r="K58" i="31" s="1"/>
  <c r="K214" i="30" a="1"/>
  <c r="K214" i="30" s="1"/>
  <c r="T1062" i="25"/>
  <c r="K12" i="31" a="1"/>
  <c r="K12" i="31" s="1"/>
  <c r="L109" i="31"/>
  <c r="AA6" i="31"/>
  <c r="K9" i="31" a="1"/>
  <c r="K9" i="31" s="1"/>
  <c r="L14" i="31"/>
  <c r="U1068" i="25" s="1"/>
  <c r="K14" i="31" a="1"/>
  <c r="K14" i="31" s="1"/>
  <c r="L19" i="31"/>
  <c r="U1073" i="25" s="1"/>
  <c r="K19" i="31" a="1"/>
  <c r="K19" i="31" s="1"/>
  <c r="L61" i="31"/>
  <c r="U1115" i="25" s="1"/>
  <c r="K61" i="31" a="1"/>
  <c r="K61" i="31" s="1"/>
  <c r="L68" i="31"/>
  <c r="U1122" i="25" s="1"/>
  <c r="K68" i="31" a="1"/>
  <c r="K68" i="31" s="1"/>
  <c r="L9" i="31"/>
  <c r="U1063" i="25" s="1"/>
  <c r="K13" i="31" a="1"/>
  <c r="K13" i="31" s="1"/>
  <c r="L33" i="31"/>
  <c r="U1087" i="25" s="1"/>
  <c r="K33" i="31" a="1"/>
  <c r="K33" i="31" s="1"/>
  <c r="T1087" i="25" s="1"/>
  <c r="L36" i="31"/>
  <c r="U1090" i="25" s="1"/>
  <c r="K36" i="31" a="1"/>
  <c r="K36" i="31" s="1"/>
  <c r="L56" i="31"/>
  <c r="U1110" i="25" s="1"/>
  <c r="K31" i="31" a="1"/>
  <c r="K31" i="31" s="1"/>
  <c r="T1085" i="25" s="1"/>
  <c r="L53" i="31"/>
  <c r="U1107" i="25" s="1"/>
  <c r="L62" i="31"/>
  <c r="U1116" i="25" s="1"/>
  <c r="L20" i="31"/>
  <c r="U1074" i="25" s="1"/>
  <c r="L28" i="31"/>
  <c r="U1082" i="25" s="1"/>
  <c r="K28" i="31" a="1"/>
  <c r="K28" i="31" s="1"/>
  <c r="K27" i="31" a="1"/>
  <c r="K27" i="31" s="1"/>
  <c r="L64" i="31"/>
  <c r="U1118" i="25" s="1"/>
  <c r="K20" i="31" a="1"/>
  <c r="K20" i="31" s="1"/>
  <c r="L22" i="31"/>
  <c r="U1076" i="25" s="1"/>
  <c r="K22" i="31" a="1"/>
  <c r="K22" i="31" s="1"/>
  <c r="L44" i="31"/>
  <c r="U1098" i="25" s="1"/>
  <c r="K44" i="31" a="1"/>
  <c r="K44" i="31" s="1"/>
  <c r="K54" i="31" a="1"/>
  <c r="K54" i="31" s="1"/>
  <c r="L66" i="31"/>
  <c r="U1120" i="25" s="1"/>
  <c r="K70" i="31" a="1"/>
  <c r="K70" i="31" s="1"/>
  <c r="K30" i="31" a="1"/>
  <c r="K30" i="31" s="1"/>
  <c r="K38" i="31" a="1"/>
  <c r="K38" i="31" s="1"/>
  <c r="K46" i="31" a="1"/>
  <c r="K46" i="31" s="1"/>
  <c r="T1100" i="25" s="1"/>
  <c r="K76" i="31" a="1"/>
  <c r="K76" i="31" s="1"/>
  <c r="L78" i="31"/>
  <c r="U1132" i="25" s="1"/>
  <c r="K84" i="31" a="1"/>
  <c r="K84" i="31" s="1"/>
  <c r="N84" i="31" s="1"/>
  <c r="L86" i="31"/>
  <c r="L55" i="31"/>
  <c r="U1109" i="25" s="1"/>
  <c r="L63" i="31"/>
  <c r="U1117" i="25" s="1"/>
  <c r="L71" i="31"/>
  <c r="U1125" i="25" s="1"/>
  <c r="L79" i="31"/>
  <c r="U1133" i="25" s="1"/>
  <c r="L87" i="31"/>
  <c r="N94" i="31"/>
  <c r="N102" i="31"/>
  <c r="L105" i="31"/>
  <c r="K105" i="31" a="1"/>
  <c r="K105" i="31" s="1"/>
  <c r="N105" i="31" s="1"/>
  <c r="L113" i="31"/>
  <c r="K113" i="31" a="1"/>
  <c r="K113" i="31" s="1"/>
  <c r="N113" i="31" s="1"/>
  <c r="K69" i="31" a="1"/>
  <c r="K69" i="31" s="1"/>
  <c r="K77" i="31" a="1"/>
  <c r="K77" i="31" s="1"/>
  <c r="K85" i="31" a="1"/>
  <c r="K85" i="31" s="1"/>
  <c r="N85" i="31" s="1"/>
  <c r="K89" i="31" a="1"/>
  <c r="K89" i="31" s="1"/>
  <c r="N89" i="31" s="1"/>
  <c r="K91" i="31" a="1"/>
  <c r="K91" i="31" s="1"/>
  <c r="N91" i="31" s="1"/>
  <c r="L97" i="31"/>
  <c r="K97" i="31" a="1"/>
  <c r="K97" i="31" s="1"/>
  <c r="N97" i="31" s="1"/>
  <c r="L89" i="31"/>
  <c r="L94" i="31"/>
  <c r="K96" i="31" a="1"/>
  <c r="K96" i="31" s="1"/>
  <c r="N96" i="31" s="1"/>
  <c r="L102" i="31"/>
  <c r="K99" i="31" a="1"/>
  <c r="K99" i="31" s="1"/>
  <c r="K107" i="31" a="1"/>
  <c r="K107" i="31" s="1"/>
  <c r="K115" i="31" a="1"/>
  <c r="K115" i="31" s="1"/>
  <c r="K118" i="31" a="1"/>
  <c r="K118" i="31" s="1"/>
  <c r="L90" i="31"/>
  <c r="K92" i="31" a="1"/>
  <c r="K92" i="31" s="1"/>
  <c r="N92" i="31" s="1"/>
  <c r="L98" i="31"/>
  <c r="K100" i="31" a="1"/>
  <c r="K100" i="31" s="1"/>
  <c r="N100" i="31" s="1"/>
  <c r="L106" i="31"/>
  <c r="K108" i="31" a="1"/>
  <c r="K108" i="31" s="1"/>
  <c r="N108" i="31" s="1"/>
  <c r="L114" i="31"/>
  <c r="K116" i="31" a="1"/>
  <c r="K116" i="31" s="1"/>
  <c r="N116" i="31" s="1"/>
  <c r="K8" i="30" a="1"/>
  <c r="K8" i="30" s="1"/>
  <c r="K189" i="30" a="1"/>
  <c r="K189" i="30" s="1"/>
  <c r="K197" i="30" a="1"/>
  <c r="K197" i="30" s="1"/>
  <c r="N215" i="30"/>
  <c r="W215" i="30" s="1"/>
  <c r="K190" i="30" a="1"/>
  <c r="K190" i="30" s="1"/>
  <c r="L217" i="30"/>
  <c r="U986" i="25" s="1"/>
  <c r="K217" i="30" a="1"/>
  <c r="K217" i="30" s="1"/>
  <c r="L8" i="30"/>
  <c r="U950" i="25" s="1"/>
  <c r="K183" i="30" a="1"/>
  <c r="K183" i="30" s="1"/>
  <c r="T952" i="25" s="1"/>
  <c r="L189" i="30"/>
  <c r="U958" i="25" s="1"/>
  <c r="K191" i="30" a="1"/>
  <c r="K191" i="30" s="1"/>
  <c r="L207" i="30"/>
  <c r="U976" i="25" s="1"/>
  <c r="L225" i="30"/>
  <c r="U994" i="25" s="1"/>
  <c r="K225" i="30" a="1"/>
  <c r="K225" i="30" s="1"/>
  <c r="K209" i="30" a="1"/>
  <c r="K209" i="30" s="1"/>
  <c r="L9" i="30"/>
  <c r="U951" i="25" s="1"/>
  <c r="K184" i="30" a="1"/>
  <c r="K184" i="30" s="1"/>
  <c r="T953" i="25" s="1"/>
  <c r="L190" i="30"/>
  <c r="U959" i="25" s="1"/>
  <c r="L193" i="30"/>
  <c r="U962" i="25" s="1"/>
  <c r="K201" i="30" a="1"/>
  <c r="K201" i="30" s="1"/>
  <c r="K207" i="30" a="1"/>
  <c r="K207" i="30" s="1"/>
  <c r="L211" i="30"/>
  <c r="U980" i="25" s="1"/>
  <c r="L191" i="30"/>
  <c r="U960" i="25" s="1"/>
  <c r="L204" i="30"/>
  <c r="U973" i="25" s="1"/>
  <c r="K204" i="30" a="1"/>
  <c r="K204" i="30" s="1"/>
  <c r="K9" i="30" a="1"/>
  <c r="K9" i="30" s="1"/>
  <c r="K196" i="30" a="1"/>
  <c r="K196" i="30" s="1"/>
  <c r="K200" i="30" a="1"/>
  <c r="K200" i="30" s="1"/>
  <c r="L249" i="30"/>
  <c r="U1018" i="25" s="1"/>
  <c r="K249" i="30" a="1"/>
  <c r="K249" i="30" s="1"/>
  <c r="K208" i="30" a="1"/>
  <c r="K208" i="30" s="1"/>
  <c r="K216" i="30" a="1"/>
  <c r="K216" i="30" s="1"/>
  <c r="K224" i="30" a="1"/>
  <c r="K224" i="30" s="1"/>
  <c r="L248" i="30"/>
  <c r="U1017" i="25" s="1"/>
  <c r="K248" i="30" a="1"/>
  <c r="K248" i="30" s="1"/>
  <c r="L215" i="30"/>
  <c r="U984" i="25" s="1"/>
  <c r="L223" i="30"/>
  <c r="U992" i="25" s="1"/>
  <c r="L257" i="30"/>
  <c r="U1026" i="25" s="1"/>
  <c r="K257" i="30" a="1"/>
  <c r="K257" i="30" s="1"/>
  <c r="N263" i="30"/>
  <c r="W263" i="30" s="1"/>
  <c r="K219" i="30" a="1"/>
  <c r="K219" i="30" s="1"/>
  <c r="T988" i="25" s="1"/>
  <c r="L241" i="30"/>
  <c r="U1010" i="25" s="1"/>
  <c r="K241" i="30" a="1"/>
  <c r="K241" i="30" s="1"/>
  <c r="K212" i="30" a="1"/>
  <c r="K212" i="30" s="1"/>
  <c r="K220" i="30" a="1"/>
  <c r="K220" i="30" s="1"/>
  <c r="K228" i="30" a="1"/>
  <c r="K228" i="30" s="1"/>
  <c r="K233" i="30" a="1"/>
  <c r="K233" i="30" s="1"/>
  <c r="L240" i="30"/>
  <c r="U1009" i="25" s="1"/>
  <c r="K240" i="30" a="1"/>
  <c r="K240" i="30" s="1"/>
  <c r="L232" i="30"/>
  <c r="U1001" i="25" s="1"/>
  <c r="L238" i="30"/>
  <c r="U1007" i="25" s="1"/>
  <c r="K256" i="30" a="1"/>
  <c r="K256" i="30" s="1"/>
  <c r="K264" i="30" a="1"/>
  <c r="K264" i="30" s="1"/>
  <c r="K265" i="30" a="1"/>
  <c r="K265" i="30" s="1"/>
  <c r="K273" i="30" a="1"/>
  <c r="K273" i="30" s="1"/>
  <c r="K275" i="30" a="1"/>
  <c r="K275" i="30" s="1"/>
  <c r="M310" i="30"/>
  <c r="W1149" i="25" s="1"/>
  <c r="M314" i="30"/>
  <c r="W1153" i="25" s="1"/>
  <c r="L239" i="30"/>
  <c r="U1008" i="25" s="1"/>
  <c r="L247" i="30"/>
  <c r="U1016" i="25" s="1"/>
  <c r="L255" i="30"/>
  <c r="U1024" i="25" s="1"/>
  <c r="L263" i="30"/>
  <c r="U1032" i="25" s="1"/>
  <c r="K234" i="30" a="1"/>
  <c r="K234" i="30" s="1"/>
  <c r="K242" i="30" a="1"/>
  <c r="K242" i="30" s="1"/>
  <c r="T1011" i="25" s="1"/>
  <c r="K250" i="30" a="1"/>
  <c r="K250" i="30" s="1"/>
  <c r="T1019" i="25" s="1"/>
  <c r="L256" i="30"/>
  <c r="U1025" i="25" s="1"/>
  <c r="K258" i="30" a="1"/>
  <c r="K258" i="30" s="1"/>
  <c r="T1027" i="25" s="1"/>
  <c r="L264" i="30"/>
  <c r="U1033" i="25" s="1"/>
  <c r="L268" i="30"/>
  <c r="U1037" i="25" s="1"/>
  <c r="K268" i="30" a="1"/>
  <c r="K268" i="30" s="1"/>
  <c r="L277" i="30"/>
  <c r="U1046" i="25" s="1"/>
  <c r="K235" i="30" a="1"/>
  <c r="K235" i="30" s="1"/>
  <c r="T1004" i="25" s="1"/>
  <c r="K243" i="30" a="1"/>
  <c r="K243" i="30" s="1"/>
  <c r="T1012" i="25" s="1"/>
  <c r="K251" i="30" a="1"/>
  <c r="K251" i="30" s="1"/>
  <c r="T1020" i="25" s="1"/>
  <c r="K259" i="30" a="1"/>
  <c r="K259" i="30" s="1"/>
  <c r="T1028" i="25" s="1"/>
  <c r="K267" i="30" a="1"/>
  <c r="K267" i="30" s="1"/>
  <c r="L284" i="30"/>
  <c r="U1053" i="25" s="1"/>
  <c r="K284" i="30" a="1"/>
  <c r="K284" i="30" s="1"/>
  <c r="M306" i="30"/>
  <c r="W1145" i="25" s="1"/>
  <c r="M318" i="30"/>
  <c r="W1157" i="25" s="1"/>
  <c r="L276" i="30"/>
  <c r="U1045" i="25" s="1"/>
  <c r="K276" i="30" a="1"/>
  <c r="K276" i="30" s="1"/>
  <c r="L283" i="30"/>
  <c r="U1052" i="25" s="1"/>
  <c r="L291" i="30"/>
  <c r="U1060" i="25" s="1"/>
  <c r="K291" i="30" a="1"/>
  <c r="K291" i="30" s="1"/>
  <c r="T1060" i="25" s="1"/>
  <c r="K270" i="30" a="1"/>
  <c r="K270" i="30" s="1"/>
  <c r="T1039" i="25" s="1"/>
  <c r="K278" i="30" a="1"/>
  <c r="K278" i="30" s="1"/>
  <c r="T1047" i="25" s="1"/>
  <c r="K292" i="30" a="1"/>
  <c r="K292" i="30" s="1"/>
  <c r="L292" i="30"/>
  <c r="K297" i="30" a="1"/>
  <c r="K297" i="30" s="1"/>
  <c r="K300" i="30" a="1"/>
  <c r="K300" i="30" s="1"/>
  <c r="N300" i="30" s="1"/>
  <c r="L296" i="30"/>
  <c r="K298" i="30" a="1"/>
  <c r="K298" i="30" s="1"/>
  <c r="D84" i="18"/>
  <c r="C84" i="18"/>
  <c r="D82" i="18"/>
  <c r="C81" i="18"/>
  <c r="M500" i="4" a="1"/>
  <c r="M500" i="4" s="1"/>
  <c r="V948" i="25" s="1"/>
  <c r="Z948" i="25"/>
  <c r="AA948" i="25"/>
  <c r="AB948" i="25"/>
  <c r="AC948" i="25"/>
  <c r="AD948" i="25"/>
  <c r="X500" i="4" a="1"/>
  <c r="X500" i="4" s="1"/>
  <c r="AG948" i="25" s="1"/>
  <c r="E74" i="29"/>
  <c r="D74" i="29"/>
  <c r="E73" i="29"/>
  <c r="D73" i="29"/>
  <c r="E72" i="29"/>
  <c r="D72" i="29"/>
  <c r="E71" i="29"/>
  <c r="D71" i="29"/>
  <c r="E70" i="29"/>
  <c r="D70" i="29"/>
  <c r="E69" i="29"/>
  <c r="D69" i="29"/>
  <c r="E68" i="29"/>
  <c r="D68" i="29"/>
  <c r="E67" i="29"/>
  <c r="D67" i="29"/>
  <c r="E66" i="29"/>
  <c r="D66" i="29"/>
  <c r="E65" i="29"/>
  <c r="D65" i="29"/>
  <c r="E64" i="29"/>
  <c r="D64" i="29"/>
  <c r="E63" i="29"/>
  <c r="D63" i="29"/>
  <c r="E62" i="29"/>
  <c r="D62" i="29"/>
  <c r="E61" i="29"/>
  <c r="D61" i="29"/>
  <c r="E60" i="29"/>
  <c r="D60" i="29"/>
  <c r="E59" i="29"/>
  <c r="D59" i="29"/>
  <c r="E58" i="29"/>
  <c r="D58" i="29"/>
  <c r="E57" i="29"/>
  <c r="D57" i="29"/>
  <c r="E56" i="29"/>
  <c r="D56" i="29"/>
  <c r="E55" i="29"/>
  <c r="D55" i="29"/>
  <c r="E54" i="29"/>
  <c r="D54" i="29"/>
  <c r="E53" i="29"/>
  <c r="D53" i="29"/>
  <c r="E52" i="29"/>
  <c r="D52" i="29"/>
  <c r="E51" i="29"/>
  <c r="D51" i="29"/>
  <c r="E50" i="29"/>
  <c r="D50" i="29"/>
  <c r="E49" i="29"/>
  <c r="D49" i="29"/>
  <c r="E48" i="29"/>
  <c r="D48" i="29"/>
  <c r="E47" i="29"/>
  <c r="D47" i="29"/>
  <c r="E46" i="29"/>
  <c r="D46" i="29"/>
  <c r="E45" i="29"/>
  <c r="D45" i="29"/>
  <c r="E44" i="29"/>
  <c r="D44" i="29"/>
  <c r="E43" i="29"/>
  <c r="D43" i="29"/>
  <c r="E42" i="29"/>
  <c r="D42" i="29"/>
  <c r="E41" i="29"/>
  <c r="D41" i="29"/>
  <c r="E40" i="29"/>
  <c r="D40" i="29"/>
  <c r="E39" i="29"/>
  <c r="D39" i="29"/>
  <c r="E38" i="29"/>
  <c r="D38" i="29"/>
  <c r="E37" i="29"/>
  <c r="D37" i="29"/>
  <c r="E36" i="29"/>
  <c r="D36" i="29"/>
  <c r="E35" i="29"/>
  <c r="D35" i="29"/>
  <c r="E34" i="29"/>
  <c r="D34" i="29"/>
  <c r="E33" i="29"/>
  <c r="D33" i="29"/>
  <c r="E32" i="29"/>
  <c r="D32" i="29"/>
  <c r="E31" i="29"/>
  <c r="D31" i="29"/>
  <c r="E30" i="29"/>
  <c r="D30" i="29"/>
  <c r="E29" i="29"/>
  <c r="D29" i="29"/>
  <c r="E28" i="29"/>
  <c r="D28" i="29"/>
  <c r="E27" i="29"/>
  <c r="D27" i="29"/>
  <c r="E26" i="29"/>
  <c r="D26" i="29"/>
  <c r="E25" i="29"/>
  <c r="D25" i="29"/>
  <c r="E24" i="29"/>
  <c r="D24" i="29"/>
  <c r="E23" i="29"/>
  <c r="D23" i="29"/>
  <c r="E22" i="29"/>
  <c r="D22" i="29"/>
  <c r="E21" i="29"/>
  <c r="D21" i="29"/>
  <c r="E20" i="29"/>
  <c r="D20" i="29"/>
  <c r="E19" i="29"/>
  <c r="D19" i="29"/>
  <c r="E18" i="29"/>
  <c r="D18" i="29"/>
  <c r="E17" i="29"/>
  <c r="D17" i="29"/>
  <c r="E16" i="29"/>
  <c r="D16" i="29"/>
  <c r="E15" i="29"/>
  <c r="D15" i="29"/>
  <c r="E14" i="29"/>
  <c r="D14" i="29"/>
  <c r="E13" i="29"/>
  <c r="D13" i="29"/>
  <c r="E12" i="29"/>
  <c r="D12" i="29"/>
  <c r="E11" i="29"/>
  <c r="D11" i="29"/>
  <c r="E10" i="29"/>
  <c r="D10" i="29"/>
  <c r="E9" i="29"/>
  <c r="D9" i="29"/>
  <c r="E8" i="29"/>
  <c r="D8" i="29"/>
  <c r="E7" i="29"/>
  <c r="D7" i="29"/>
  <c r="E6" i="29"/>
  <c r="D6" i="29"/>
  <c r="E5" i="29"/>
  <c r="D5" i="29"/>
  <c r="E4" i="29"/>
  <c r="D4" i="29"/>
  <c r="E3" i="29"/>
  <c r="D3" i="29"/>
  <c r="O1182" i="25"/>
  <c r="O1183" i="25"/>
  <c r="O1184" i="25"/>
  <c r="O1185" i="25"/>
  <c r="O1186" i="25"/>
  <c r="O1187" i="25"/>
  <c r="O1188" i="25"/>
  <c r="O1189" i="25"/>
  <c r="O1190" i="25"/>
  <c r="O1191" i="25"/>
  <c r="O1192" i="25"/>
  <c r="O1193" i="25"/>
  <c r="O1194" i="25"/>
  <c r="O1195" i="25"/>
  <c r="O1196" i="25"/>
  <c r="O1197" i="25"/>
  <c r="O1198" i="25"/>
  <c r="O1199" i="25"/>
  <c r="O1200" i="25"/>
  <c r="O1181" i="25"/>
  <c r="O1162" i="25"/>
  <c r="O1163" i="25"/>
  <c r="O1164" i="25"/>
  <c r="O1165" i="25"/>
  <c r="O1166" i="25"/>
  <c r="O1167" i="25"/>
  <c r="O1168" i="25"/>
  <c r="O1169" i="25"/>
  <c r="O1170" i="25"/>
  <c r="O1171" i="25"/>
  <c r="O1172" i="25"/>
  <c r="O1173" i="25"/>
  <c r="O1174" i="25"/>
  <c r="O1175" i="25"/>
  <c r="O1176" i="25"/>
  <c r="O1177" i="25"/>
  <c r="O1178" i="25"/>
  <c r="O1179" i="25"/>
  <c r="O1180" i="25"/>
  <c r="O1161" i="25"/>
  <c r="U38" i="14"/>
  <c r="U39" i="14"/>
  <c r="U40" i="14"/>
  <c r="U41" i="14"/>
  <c r="U42" i="14"/>
  <c r="U43" i="14"/>
  <c r="U44" i="14"/>
  <c r="U45" i="14"/>
  <c r="U46" i="14"/>
  <c r="U47" i="14"/>
  <c r="U48" i="14"/>
  <c r="U49" i="14"/>
  <c r="U50" i="14"/>
  <c r="U51" i="14"/>
  <c r="U52" i="14"/>
  <c r="U53" i="14"/>
  <c r="U54" i="14"/>
  <c r="U55" i="14"/>
  <c r="U56" i="14"/>
  <c r="U57" i="14"/>
  <c r="U58" i="14"/>
  <c r="U59" i="14"/>
  <c r="U60" i="14"/>
  <c r="J840" i="25"/>
  <c r="J841" i="25"/>
  <c r="J842" i="25"/>
  <c r="J843" i="25"/>
  <c r="J844" i="25"/>
  <c r="J845" i="25"/>
  <c r="J846" i="25"/>
  <c r="J847" i="25"/>
  <c r="J848" i="25"/>
  <c r="J849" i="25"/>
  <c r="J850" i="25"/>
  <c r="J851" i="25"/>
  <c r="J852" i="25"/>
  <c r="J853" i="25"/>
  <c r="J854" i="25"/>
  <c r="J855" i="25"/>
  <c r="J856" i="25"/>
  <c r="J857" i="25"/>
  <c r="J858" i="25"/>
  <c r="J859" i="25"/>
  <c r="J860" i="25"/>
  <c r="J861" i="25"/>
  <c r="J862" i="25"/>
  <c r="J863" i="25"/>
  <c r="J864" i="25"/>
  <c r="J865" i="25"/>
  <c r="J866" i="25"/>
  <c r="J867" i="25"/>
  <c r="J868" i="25"/>
  <c r="J869" i="25"/>
  <c r="J870" i="25"/>
  <c r="J871" i="25"/>
  <c r="J872" i="25"/>
  <c r="J873" i="25"/>
  <c r="J874" i="25"/>
  <c r="J875" i="25"/>
  <c r="J876" i="25"/>
  <c r="J877" i="25"/>
  <c r="J878" i="25"/>
  <c r="J879" i="25"/>
  <c r="J880" i="25"/>
  <c r="J881" i="25"/>
  <c r="J882" i="25"/>
  <c r="J883" i="25"/>
  <c r="J884" i="25"/>
  <c r="J885" i="25"/>
  <c r="J886" i="25"/>
  <c r="J887" i="25"/>
  <c r="J888" i="25"/>
  <c r="J889" i="25"/>
  <c r="J890" i="25"/>
  <c r="J891" i="25"/>
  <c r="J892" i="25"/>
  <c r="J893" i="25"/>
  <c r="J894" i="25"/>
  <c r="J895" i="25"/>
  <c r="J896" i="25"/>
  <c r="J897" i="25"/>
  <c r="J898" i="25"/>
  <c r="J899" i="25"/>
  <c r="J900" i="25"/>
  <c r="J901" i="25"/>
  <c r="J902" i="25"/>
  <c r="J903" i="25"/>
  <c r="J904" i="25"/>
  <c r="J905" i="25"/>
  <c r="J906" i="25"/>
  <c r="J907" i="25"/>
  <c r="J908" i="25"/>
  <c r="J909" i="25"/>
  <c r="J910" i="25"/>
  <c r="J911" i="25"/>
  <c r="J912" i="25"/>
  <c r="J913" i="25"/>
  <c r="J914" i="25"/>
  <c r="J915" i="25"/>
  <c r="J916" i="25"/>
  <c r="J917" i="25"/>
  <c r="J918" i="25"/>
  <c r="J919" i="25"/>
  <c r="J920" i="25"/>
  <c r="J921" i="25"/>
  <c r="J922" i="25"/>
  <c r="J923" i="25"/>
  <c r="J924" i="25"/>
  <c r="J925" i="25"/>
  <c r="J926" i="25"/>
  <c r="J927" i="25"/>
  <c r="J928" i="25"/>
  <c r="J929" i="25"/>
  <c r="J930" i="25"/>
  <c r="J931" i="25"/>
  <c r="J932" i="25"/>
  <c r="J933" i="25"/>
  <c r="J934" i="25"/>
  <c r="J935" i="25"/>
  <c r="J936" i="25"/>
  <c r="J937" i="25"/>
  <c r="J938" i="25"/>
  <c r="J939" i="25"/>
  <c r="J940" i="25"/>
  <c r="J941" i="25"/>
  <c r="J942" i="25"/>
  <c r="J943" i="25"/>
  <c r="J944" i="25"/>
  <c r="J945" i="25"/>
  <c r="J946" i="25"/>
  <c r="J947" i="25"/>
  <c r="I88" i="14"/>
  <c r="I87" i="14"/>
  <c r="I86" i="14"/>
  <c r="I85" i="14"/>
  <c r="I84" i="14"/>
  <c r="I83" i="14"/>
  <c r="I82" i="14"/>
  <c r="I81" i="14"/>
  <c r="I80" i="14"/>
  <c r="I79" i="14"/>
  <c r="I78" i="14"/>
  <c r="I77" i="14"/>
  <c r="I76" i="14"/>
  <c r="I75" i="14"/>
  <c r="I74" i="14"/>
  <c r="I73" i="14"/>
  <c r="I72" i="14"/>
  <c r="I71" i="14"/>
  <c r="I70" i="14"/>
  <c r="I69" i="14"/>
  <c r="I68" i="14"/>
  <c r="I67" i="14"/>
  <c r="I66" i="14"/>
  <c r="I65" i="14"/>
  <c r="AA1144" i="25" l="1"/>
  <c r="Z1144" i="25"/>
  <c r="E19" i="18"/>
  <c r="V262" i="30"/>
  <c r="W262" i="30"/>
  <c r="V223" i="30"/>
  <c r="W223" i="30"/>
  <c r="AF992" i="25" s="1"/>
  <c r="V239" i="30"/>
  <c r="AE1008" i="25" s="1"/>
  <c r="W239" i="30"/>
  <c r="V296" i="30"/>
  <c r="W296" i="30"/>
  <c r="V247" i="30"/>
  <c r="AE1016" i="25" s="1"/>
  <c r="W247" i="30"/>
  <c r="V300" i="30"/>
  <c r="W300" i="30"/>
  <c r="V255" i="30"/>
  <c r="W255" i="30"/>
  <c r="V238" i="30"/>
  <c r="AE1007" i="25" s="1"/>
  <c r="W238" i="30"/>
  <c r="W984" i="25"/>
  <c r="AJ984" i="25" s="1"/>
  <c r="V215" i="30"/>
  <c r="AE984" i="25" s="1"/>
  <c r="W1032" i="25"/>
  <c r="AJ1032" i="25" s="1"/>
  <c r="V263" i="30"/>
  <c r="AE1032" i="25" s="1"/>
  <c r="V299" i="30"/>
  <c r="N23" i="31"/>
  <c r="W1077" i="25" s="1"/>
  <c r="AJ1077" i="25" s="1"/>
  <c r="I303" i="30"/>
  <c r="N17" i="31"/>
  <c r="W1071" i="25" s="1"/>
  <c r="AJ1071" i="25" s="1"/>
  <c r="O65" i="29"/>
  <c r="T78" i="14" a="1"/>
  <c r="T78" i="14" s="1"/>
  <c r="O59" i="29"/>
  <c r="T72" i="14" a="1"/>
  <c r="T72" i="14" s="1"/>
  <c r="O67" i="29"/>
  <c r="T80" i="14" a="1"/>
  <c r="T80" i="14" s="1"/>
  <c r="O75" i="29"/>
  <c r="T88" i="14" a="1"/>
  <c r="T88" i="14" s="1"/>
  <c r="O52" i="29"/>
  <c r="T65" i="14" a="1"/>
  <c r="T65" i="14" s="1"/>
  <c r="O60" i="29"/>
  <c r="T73" i="14" a="1"/>
  <c r="T73" i="14" s="1"/>
  <c r="O68" i="29"/>
  <c r="T81" i="14" a="1"/>
  <c r="T81" i="14" s="1"/>
  <c r="O54" i="29"/>
  <c r="T67" i="14" a="1"/>
  <c r="T67" i="14" s="1"/>
  <c r="O57" i="29"/>
  <c r="T70" i="14" a="1"/>
  <c r="T70" i="14" s="1"/>
  <c r="O61" i="29"/>
  <c r="T74" i="14" a="1"/>
  <c r="T74" i="14" s="1"/>
  <c r="O53" i="29"/>
  <c r="T66" i="14" a="1"/>
  <c r="T66" i="14" s="1"/>
  <c r="O69" i="29"/>
  <c r="T82" i="14" a="1"/>
  <c r="T82" i="14" s="1"/>
  <c r="O62" i="29"/>
  <c r="T75" i="14" a="1"/>
  <c r="T75" i="14" s="1"/>
  <c r="O70" i="29"/>
  <c r="T83" i="14" a="1"/>
  <c r="T83" i="14" s="1"/>
  <c r="O55" i="29"/>
  <c r="T68" i="14" a="1"/>
  <c r="T68" i="14" s="1"/>
  <c r="O63" i="29"/>
  <c r="T76" i="14" a="1"/>
  <c r="T76" i="14" s="1"/>
  <c r="O71" i="29"/>
  <c r="T84" i="14" a="1"/>
  <c r="T84" i="14" s="1"/>
  <c r="O56" i="29"/>
  <c r="T69" i="14" a="1"/>
  <c r="T69" i="14" s="1"/>
  <c r="O64" i="29"/>
  <c r="T77" i="14" a="1"/>
  <c r="T77" i="14" s="1"/>
  <c r="O72" i="29"/>
  <c r="T85" i="14" a="1"/>
  <c r="T85" i="14" s="1"/>
  <c r="O73" i="29"/>
  <c r="T86" i="14" a="1"/>
  <c r="T86" i="14" s="1"/>
  <c r="O58" i="29"/>
  <c r="T71" i="14" a="1"/>
  <c r="T71" i="14" s="1"/>
  <c r="O66" i="29"/>
  <c r="T79" i="14" a="1"/>
  <c r="T79" i="14" s="1"/>
  <c r="O74" i="29"/>
  <c r="T87" i="14" a="1"/>
  <c r="T87" i="14" s="1"/>
  <c r="N71" i="31"/>
  <c r="W1125" i="25" s="1"/>
  <c r="AJ1125" i="25" s="1"/>
  <c r="N11" i="31"/>
  <c r="W1065" i="25" s="1"/>
  <c r="AJ1065" i="25" s="1"/>
  <c r="N55" i="31"/>
  <c r="V55" i="31" s="1"/>
  <c r="AE1109" i="25" s="1"/>
  <c r="N24" i="31"/>
  <c r="W1078" i="25" s="1"/>
  <c r="AJ1078" i="25" s="1"/>
  <c r="N51" i="31"/>
  <c r="W1105" i="25" s="1"/>
  <c r="AJ1105" i="25" s="1"/>
  <c r="N35" i="31"/>
  <c r="W1089" i="25" s="1"/>
  <c r="AJ1089" i="25" s="1"/>
  <c r="N60" i="31"/>
  <c r="W1114" i="25" s="1"/>
  <c r="AJ1114" i="25" s="1"/>
  <c r="N252" i="30"/>
  <c r="W252" i="30" s="1"/>
  <c r="N25" i="31"/>
  <c r="V25" i="31" s="1"/>
  <c r="AE1079" i="25" s="1"/>
  <c r="N52" i="31"/>
  <c r="V52" i="31" s="1"/>
  <c r="AE1106" i="25" s="1"/>
  <c r="N26" i="31"/>
  <c r="W26" i="31" s="1"/>
  <c r="AF1080" i="25" s="1"/>
  <c r="N63" i="31"/>
  <c r="W1117" i="25" s="1"/>
  <c r="AJ1117" i="25" s="1"/>
  <c r="N21" i="31"/>
  <c r="W1075" i="25" s="1"/>
  <c r="AJ1075" i="25" s="1"/>
  <c r="N205" i="30"/>
  <c r="W205" i="30" s="1"/>
  <c r="N79" i="31"/>
  <c r="V79" i="31" s="1"/>
  <c r="AE1133" i="25" s="1"/>
  <c r="N236" i="30"/>
  <c r="W236" i="30" s="1"/>
  <c r="W117" i="31"/>
  <c r="W1144" i="25"/>
  <c r="F19" i="18"/>
  <c r="V311" i="30"/>
  <c r="AF1150" i="25" s="1"/>
  <c r="W1150" i="25"/>
  <c r="U317" i="30"/>
  <c r="AE1156" i="25" s="1"/>
  <c r="W1156" i="25"/>
  <c r="V321" i="30"/>
  <c r="AF1160" i="25" s="1"/>
  <c r="W1160" i="25"/>
  <c r="V315" i="30"/>
  <c r="AF1154" i="25" s="1"/>
  <c r="W1154" i="25"/>
  <c r="V319" i="30"/>
  <c r="AF1158" i="25" s="1"/>
  <c r="W1158" i="25"/>
  <c r="U320" i="30"/>
  <c r="AE1159" i="25" s="1"/>
  <c r="W1159" i="25"/>
  <c r="U312" i="30"/>
  <c r="AE1151" i="25" s="1"/>
  <c r="W1151" i="25"/>
  <c r="V309" i="30"/>
  <c r="AF1148" i="25" s="1"/>
  <c r="W1148" i="25"/>
  <c r="U308" i="30"/>
  <c r="AE1147" i="25" s="1"/>
  <c r="W1147" i="25"/>
  <c r="U313" i="30"/>
  <c r="AE1152" i="25" s="1"/>
  <c r="W1152" i="25"/>
  <c r="U316" i="30"/>
  <c r="AE1155" i="25" s="1"/>
  <c r="W1155" i="25"/>
  <c r="U307" i="30"/>
  <c r="AE1146" i="25" s="1"/>
  <c r="W1146" i="25"/>
  <c r="N78" i="31"/>
  <c r="W78" i="31" s="1"/>
  <c r="AF1132" i="25" s="1"/>
  <c r="N283" i="30"/>
  <c r="W283" i="30" s="1"/>
  <c r="N73" i="31"/>
  <c r="V73" i="31" s="1"/>
  <c r="AE1127" i="25" s="1"/>
  <c r="N195" i="30"/>
  <c r="W195" i="30" s="1"/>
  <c r="N56" i="31"/>
  <c r="W56" i="31" s="1"/>
  <c r="AF1110" i="25" s="1"/>
  <c r="N227" i="30"/>
  <c r="W227" i="30" s="1"/>
  <c r="N41" i="31"/>
  <c r="W41" i="31" s="1"/>
  <c r="N269" i="30"/>
  <c r="W269" i="30" s="1"/>
  <c r="N62" i="31"/>
  <c r="W62" i="31" s="1"/>
  <c r="AF1116" i="25" s="1"/>
  <c r="N244" i="30"/>
  <c r="W244" i="30" s="1"/>
  <c r="N64" i="31"/>
  <c r="W64" i="31" s="1"/>
  <c r="AF1118" i="25" s="1"/>
  <c r="N277" i="30"/>
  <c r="W277" i="30" s="1"/>
  <c r="N232" i="30"/>
  <c r="N211" i="30"/>
  <c r="W211" i="30" s="1"/>
  <c r="N66" i="31"/>
  <c r="W1120" i="25" s="1"/>
  <c r="AJ1120" i="25" s="1"/>
  <c r="N53" i="31"/>
  <c r="V53" i="31" s="1"/>
  <c r="AE1107" i="25" s="1"/>
  <c r="N57" i="31"/>
  <c r="W1111" i="25" s="1"/>
  <c r="AJ1111" i="25" s="1"/>
  <c r="N193" i="30"/>
  <c r="W193" i="30" s="1"/>
  <c r="N280" i="30"/>
  <c r="W280" i="30" s="1"/>
  <c r="N77" i="31"/>
  <c r="W1131" i="25" s="1"/>
  <c r="AJ1131" i="25" s="1"/>
  <c r="T1131" i="25"/>
  <c r="N69" i="31"/>
  <c r="W1123" i="25" s="1"/>
  <c r="AJ1123" i="25" s="1"/>
  <c r="T1123" i="25"/>
  <c r="N76" i="31"/>
  <c r="W1130" i="25" s="1"/>
  <c r="AJ1130" i="25" s="1"/>
  <c r="T1130" i="25"/>
  <c r="N38" i="31"/>
  <c r="W1092" i="25" s="1"/>
  <c r="AJ1092" i="25" s="1"/>
  <c r="T1092" i="25"/>
  <c r="N30" i="31"/>
  <c r="W1084" i="25" s="1"/>
  <c r="AJ1084" i="25" s="1"/>
  <c r="T1084" i="25"/>
  <c r="N70" i="31"/>
  <c r="W1124" i="25" s="1"/>
  <c r="AJ1124" i="25" s="1"/>
  <c r="T1124" i="25"/>
  <c r="N54" i="31"/>
  <c r="W1108" i="25" s="1"/>
  <c r="AJ1108" i="25" s="1"/>
  <c r="T1108" i="25"/>
  <c r="N44" i="31"/>
  <c r="W1098" i="25" s="1"/>
  <c r="AJ1098" i="25" s="1"/>
  <c r="T1098" i="25"/>
  <c r="N22" i="31"/>
  <c r="W1076" i="25" s="1"/>
  <c r="AJ1076" i="25" s="1"/>
  <c r="T1076" i="25"/>
  <c r="N20" i="31"/>
  <c r="W1074" i="25" s="1"/>
  <c r="AJ1074" i="25" s="1"/>
  <c r="T1074" i="25"/>
  <c r="N27" i="31"/>
  <c r="W1081" i="25" s="1"/>
  <c r="AJ1081" i="25" s="1"/>
  <c r="T1081" i="25"/>
  <c r="N28" i="31"/>
  <c r="W1082" i="25" s="1"/>
  <c r="AJ1082" i="25" s="1"/>
  <c r="T1082" i="25"/>
  <c r="N36" i="31"/>
  <c r="W1090" i="25" s="1"/>
  <c r="AJ1090" i="25" s="1"/>
  <c r="T1090" i="25"/>
  <c r="N13" i="31"/>
  <c r="W1067" i="25" s="1"/>
  <c r="AJ1067" i="25" s="1"/>
  <c r="T1067" i="25"/>
  <c r="N68" i="31"/>
  <c r="W1122" i="25" s="1"/>
  <c r="AJ1122" i="25" s="1"/>
  <c r="T1122" i="25"/>
  <c r="N61" i="31"/>
  <c r="W1115" i="25" s="1"/>
  <c r="AJ1115" i="25" s="1"/>
  <c r="T1115" i="25"/>
  <c r="N19" i="31"/>
  <c r="W1073" i="25" s="1"/>
  <c r="AJ1073" i="25" s="1"/>
  <c r="T1073" i="25"/>
  <c r="N14" i="31"/>
  <c r="W1068" i="25" s="1"/>
  <c r="AJ1068" i="25" s="1"/>
  <c r="T1068" i="25"/>
  <c r="N9" i="31"/>
  <c r="W1063" i="25" s="1"/>
  <c r="AJ1063" i="25" s="1"/>
  <c r="T1063" i="25"/>
  <c r="N12" i="31"/>
  <c r="W12" i="31" s="1"/>
  <c r="T1066" i="25"/>
  <c r="N58" i="31"/>
  <c r="W1112" i="25" s="1"/>
  <c r="AJ1112" i="25" s="1"/>
  <c r="T1112" i="25"/>
  <c r="N45" i="31"/>
  <c r="W1099" i="25" s="1"/>
  <c r="AJ1099" i="25" s="1"/>
  <c r="T1099" i="25"/>
  <c r="N16" i="31"/>
  <c r="W1070" i="25" s="1"/>
  <c r="AJ1070" i="25" s="1"/>
  <c r="T1070" i="25"/>
  <c r="N72" i="31"/>
  <c r="W1126" i="25" s="1"/>
  <c r="AJ1126" i="25" s="1"/>
  <c r="T1126" i="25"/>
  <c r="N40" i="31"/>
  <c r="V40" i="31" s="1"/>
  <c r="T1094" i="25"/>
  <c r="N32" i="31"/>
  <c r="V32" i="31" s="1"/>
  <c r="T1086" i="25"/>
  <c r="N65" i="31"/>
  <c r="W1119" i="25" s="1"/>
  <c r="AJ1119" i="25" s="1"/>
  <c r="T1119" i="25"/>
  <c r="N49" i="31"/>
  <c r="W1103" i="25" s="1"/>
  <c r="AJ1103" i="25" s="1"/>
  <c r="T1103" i="25"/>
  <c r="N59" i="31"/>
  <c r="V59" i="31" s="1"/>
  <c r="T1113" i="25"/>
  <c r="N29" i="31"/>
  <c r="V29" i="31" s="1"/>
  <c r="T1083" i="25"/>
  <c r="N10" i="31"/>
  <c r="W10" i="31" s="1"/>
  <c r="T1064" i="25"/>
  <c r="K7" i="31" a="1"/>
  <c r="K7" i="31" s="1"/>
  <c r="T1061" i="25" s="1"/>
  <c r="U1061" i="25"/>
  <c r="N74" i="31"/>
  <c r="V74" i="31" s="1"/>
  <c r="T1128" i="25"/>
  <c r="N43" i="31"/>
  <c r="W1097" i="25" s="1"/>
  <c r="AJ1097" i="25" s="1"/>
  <c r="T1097" i="25"/>
  <c r="N18" i="31"/>
  <c r="W18" i="31" s="1"/>
  <c r="T1072" i="25"/>
  <c r="W21" i="31"/>
  <c r="AF1075" i="25" s="1"/>
  <c r="N67" i="31"/>
  <c r="W1121" i="25" s="1"/>
  <c r="AJ1121" i="25" s="1"/>
  <c r="T1121" i="25"/>
  <c r="N80" i="31"/>
  <c r="W1134" i="25" s="1"/>
  <c r="AJ1134" i="25" s="1"/>
  <c r="T1134" i="25"/>
  <c r="N50" i="31"/>
  <c r="W1104" i="25" s="1"/>
  <c r="AJ1104" i="25" s="1"/>
  <c r="T1104" i="25"/>
  <c r="N83" i="31"/>
  <c r="W1137" i="25" s="1"/>
  <c r="AJ1137" i="25" s="1"/>
  <c r="T1137" i="25"/>
  <c r="N47" i="31"/>
  <c r="W1101" i="25" s="1"/>
  <c r="AJ1101" i="25" s="1"/>
  <c r="T1101" i="25"/>
  <c r="N39" i="31"/>
  <c r="W1093" i="25" s="1"/>
  <c r="AJ1093" i="25" s="1"/>
  <c r="T1093" i="25"/>
  <c r="N37" i="31"/>
  <c r="W1091" i="25" s="1"/>
  <c r="AJ1091" i="25" s="1"/>
  <c r="T1091" i="25"/>
  <c r="N34" i="31"/>
  <c r="W1088" i="25" s="1"/>
  <c r="AJ1088" i="25" s="1"/>
  <c r="T1088" i="25"/>
  <c r="N15" i="31"/>
  <c r="W1069" i="25" s="1"/>
  <c r="AJ1069" i="25" s="1"/>
  <c r="T1069" i="25"/>
  <c r="N48" i="31"/>
  <c r="W48" i="31" s="1"/>
  <c r="T1102" i="25"/>
  <c r="N42" i="31"/>
  <c r="W42" i="31" s="1"/>
  <c r="T1096" i="25"/>
  <c r="N81" i="31"/>
  <c r="V81" i="31" s="1"/>
  <c r="T1135" i="25"/>
  <c r="N82" i="31"/>
  <c r="W82" i="31" s="1"/>
  <c r="T1136" i="25"/>
  <c r="N75" i="31"/>
  <c r="W1129" i="25" s="1"/>
  <c r="AJ1129" i="25" s="1"/>
  <c r="T1129" i="25"/>
  <c r="N229" i="30"/>
  <c r="W229" i="30" s="1"/>
  <c r="T998" i="25"/>
  <c r="N230" i="30"/>
  <c r="W230" i="30" s="1"/>
  <c r="T999" i="25"/>
  <c r="N212" i="30"/>
  <c r="W212" i="30" s="1"/>
  <c r="T981" i="25"/>
  <c r="N207" i="30"/>
  <c r="W207" i="30" s="1"/>
  <c r="T976" i="25"/>
  <c r="N190" i="30"/>
  <c r="W190" i="30" s="1"/>
  <c r="T959" i="25"/>
  <c r="N281" i="30"/>
  <c r="T1050" i="25"/>
  <c r="N266" i="30"/>
  <c r="T1035" i="25"/>
  <c r="N210" i="30"/>
  <c r="T979" i="25"/>
  <c r="N241" i="30"/>
  <c r="W241" i="30" s="1"/>
  <c r="T1010" i="25"/>
  <c r="N200" i="30"/>
  <c r="W200" i="30" s="1"/>
  <c r="T969" i="25"/>
  <c r="N201" i="30"/>
  <c r="W201" i="30" s="1"/>
  <c r="T970" i="25"/>
  <c r="N214" i="30"/>
  <c r="W214" i="30" s="1"/>
  <c r="T983" i="25"/>
  <c r="N221" i="30"/>
  <c r="W221" i="30" s="1"/>
  <c r="T990" i="25"/>
  <c r="N261" i="30"/>
  <c r="T1030" i="25"/>
  <c r="N246" i="30"/>
  <c r="W246" i="30" s="1"/>
  <c r="T1015" i="25"/>
  <c r="N237" i="30"/>
  <c r="W237" i="30" s="1"/>
  <c r="T1006" i="25"/>
  <c r="K7" i="30" a="1"/>
  <c r="K7" i="30" s="1"/>
  <c r="T949" i="25" s="1"/>
  <c r="U949" i="25"/>
  <c r="AJ1059" i="25"/>
  <c r="W1008" i="25"/>
  <c r="AJ1008" i="25" s="1"/>
  <c r="N279" i="30"/>
  <c r="W279" i="30" s="1"/>
  <c r="T1048" i="25"/>
  <c r="N253" i="30"/>
  <c r="W253" i="30" s="1"/>
  <c r="T1022" i="25"/>
  <c r="N225" i="30"/>
  <c r="W225" i="30" s="1"/>
  <c r="T994" i="25"/>
  <c r="N298" i="30"/>
  <c r="W298" i="30" s="1"/>
  <c r="N291" i="30"/>
  <c r="N284" i="30"/>
  <c r="W284" i="30" s="1"/>
  <c r="T1053" i="25"/>
  <c r="N248" i="30"/>
  <c r="W248" i="30" s="1"/>
  <c r="T1017" i="25"/>
  <c r="N196" i="30"/>
  <c r="W196" i="30" s="1"/>
  <c r="T965" i="25"/>
  <c r="N191" i="30"/>
  <c r="W191" i="30" s="1"/>
  <c r="T960" i="25"/>
  <c r="N271" i="30"/>
  <c r="W271" i="30" s="1"/>
  <c r="T1040" i="25"/>
  <c r="N272" i="30"/>
  <c r="W272" i="30" s="1"/>
  <c r="T1041" i="25"/>
  <c r="N203" i="30"/>
  <c r="W203" i="30" s="1"/>
  <c r="T972" i="25"/>
  <c r="W1016" i="25"/>
  <c r="AJ1016" i="25" s="1"/>
  <c r="N245" i="30"/>
  <c r="W245" i="30" s="1"/>
  <c r="T1014" i="25"/>
  <c r="N187" i="30"/>
  <c r="T956" i="25"/>
  <c r="N292" i="30"/>
  <c r="W292" i="30" s="1"/>
  <c r="N220" i="30"/>
  <c r="W220" i="30" s="1"/>
  <c r="T989" i="25"/>
  <c r="V307" i="30"/>
  <c r="AF1146" i="25" s="1"/>
  <c r="N275" i="30"/>
  <c r="W275" i="30" s="1"/>
  <c r="T1044" i="25"/>
  <c r="N240" i="30"/>
  <c r="W240" i="30" s="1"/>
  <c r="T1009" i="25"/>
  <c r="N9" i="30"/>
  <c r="W951" i="25" s="1"/>
  <c r="AJ951" i="25" s="1"/>
  <c r="T951" i="25"/>
  <c r="N197" i="30"/>
  <c r="W197" i="30" s="1"/>
  <c r="T966" i="25"/>
  <c r="N206" i="30"/>
  <c r="W206" i="30" s="1"/>
  <c r="T975" i="25"/>
  <c r="N231" i="30"/>
  <c r="T1000" i="25"/>
  <c r="N194" i="30"/>
  <c r="T963" i="25"/>
  <c r="N213" i="30"/>
  <c r="W213" i="30" s="1"/>
  <c r="T982" i="25"/>
  <c r="V312" i="30"/>
  <c r="AF1151" i="25" s="1"/>
  <c r="N234" i="30"/>
  <c r="W234" i="30" s="1"/>
  <c r="T1003" i="25"/>
  <c r="N273" i="30"/>
  <c r="W273" i="30" s="1"/>
  <c r="T1042" i="25"/>
  <c r="N224" i="30"/>
  <c r="W224" i="30" s="1"/>
  <c r="T993" i="25"/>
  <c r="N204" i="30"/>
  <c r="W204" i="30" s="1"/>
  <c r="T973" i="25"/>
  <c r="N189" i="30"/>
  <c r="W189" i="30" s="1"/>
  <c r="T958" i="25"/>
  <c r="N199" i="30"/>
  <c r="W199" i="30" s="1"/>
  <c r="T968" i="25"/>
  <c r="N222" i="30"/>
  <c r="W222" i="30" s="1"/>
  <c r="T991" i="25"/>
  <c r="N260" i="30"/>
  <c r="W260" i="30" s="1"/>
  <c r="T1029" i="25"/>
  <c r="N218" i="30"/>
  <c r="W218" i="30" s="1"/>
  <c r="T987" i="25"/>
  <c r="N274" i="30"/>
  <c r="AE1031" i="25"/>
  <c r="W1031" i="25"/>
  <c r="AJ1031" i="25" s="1"/>
  <c r="N186" i="30"/>
  <c r="T955" i="25"/>
  <c r="N256" i="30"/>
  <c r="W256" i="30" s="1"/>
  <c r="T1025" i="25"/>
  <c r="N249" i="30"/>
  <c r="W249" i="30" s="1"/>
  <c r="T1018" i="25"/>
  <c r="N226" i="30"/>
  <c r="W226" i="30" s="1"/>
  <c r="T995" i="25"/>
  <c r="N297" i="30"/>
  <c r="W297" i="30" s="1"/>
  <c r="N276" i="30"/>
  <c r="W276" i="30" s="1"/>
  <c r="T1045" i="25"/>
  <c r="N267" i="30"/>
  <c r="W267" i="30" s="1"/>
  <c r="T1036" i="25"/>
  <c r="N268" i="30"/>
  <c r="W268" i="30" s="1"/>
  <c r="T1037" i="25"/>
  <c r="N265" i="30"/>
  <c r="W265" i="30" s="1"/>
  <c r="T1034" i="25"/>
  <c r="N233" i="30"/>
  <c r="W233" i="30" s="1"/>
  <c r="T1002" i="25"/>
  <c r="N216" i="30"/>
  <c r="W216" i="30" s="1"/>
  <c r="T985" i="25"/>
  <c r="N8" i="30"/>
  <c r="W950" i="25" s="1"/>
  <c r="AJ950" i="25" s="1"/>
  <c r="T950" i="25"/>
  <c r="N198" i="30"/>
  <c r="W198" i="30" s="1"/>
  <c r="T967" i="25"/>
  <c r="N282" i="30"/>
  <c r="W282" i="30" s="1"/>
  <c r="T1051" i="25"/>
  <c r="AF1024" i="25"/>
  <c r="W1024" i="25"/>
  <c r="AJ1024" i="25" s="1"/>
  <c r="W992" i="25"/>
  <c r="AJ992" i="25" s="1"/>
  <c r="N188" i="30"/>
  <c r="W188" i="30" s="1"/>
  <c r="T957" i="25"/>
  <c r="W1007" i="25"/>
  <c r="AJ1007" i="25" s="1"/>
  <c r="N202" i="30"/>
  <c r="W202" i="30" s="1"/>
  <c r="T971" i="25"/>
  <c r="N264" i="30"/>
  <c r="W264" i="30" s="1"/>
  <c r="T1033" i="25"/>
  <c r="N228" i="30"/>
  <c r="W228" i="30" s="1"/>
  <c r="T997" i="25"/>
  <c r="N257" i="30"/>
  <c r="W257" i="30" s="1"/>
  <c r="T1026" i="25"/>
  <c r="N208" i="30"/>
  <c r="W208" i="30" s="1"/>
  <c r="T977" i="25"/>
  <c r="N209" i="30"/>
  <c r="W209" i="30" s="1"/>
  <c r="T978" i="25"/>
  <c r="N217" i="30"/>
  <c r="W217" i="30" s="1"/>
  <c r="T986" i="25"/>
  <c r="N185" i="30"/>
  <c r="W185" i="30" s="1"/>
  <c r="N192" i="30"/>
  <c r="T961" i="25"/>
  <c r="N254" i="30"/>
  <c r="W254" i="30" s="1"/>
  <c r="T1023" i="25"/>
  <c r="V320" i="30"/>
  <c r="AF1159" i="25" s="1"/>
  <c r="K500" i="4" a="1"/>
  <c r="K500" i="4" s="1"/>
  <c r="J948" i="25"/>
  <c r="V87" i="31"/>
  <c r="Z87" i="31" s="1" a="1"/>
  <c r="Z87" i="31" s="1"/>
  <c r="U319" i="30"/>
  <c r="AE1158" i="25" s="1"/>
  <c r="S8" i="31" a="1"/>
  <c r="S8" i="31" s="1"/>
  <c r="AB1062" i="25" s="1"/>
  <c r="R8" i="31" a="1"/>
  <c r="R8" i="31" s="1"/>
  <c r="AA1062" i="25" s="1"/>
  <c r="Q8" i="31" a="1"/>
  <c r="Q8" i="31" s="1"/>
  <c r="Z1062" i="25" s="1"/>
  <c r="T8" i="31" a="1"/>
  <c r="T8" i="31" s="1"/>
  <c r="AC1062" i="25" s="1"/>
  <c r="X8" i="31" a="1"/>
  <c r="X8" i="31" s="1"/>
  <c r="AG1062" i="25" s="1"/>
  <c r="U8" i="31" a="1"/>
  <c r="U8" i="31" s="1"/>
  <c r="AD1062" i="25" s="1"/>
  <c r="Q7" i="31" a="1"/>
  <c r="Q7" i="31" s="1"/>
  <c r="U7" i="31" a="1"/>
  <c r="U7" i="31" s="1"/>
  <c r="AD1061" i="25" s="1"/>
  <c r="U315" i="30"/>
  <c r="AE1154" i="25" s="1"/>
  <c r="W109" i="31"/>
  <c r="Z109" i="31" s="1" a="1"/>
  <c r="Z109" i="31" s="1"/>
  <c r="U36" i="14"/>
  <c r="U321" i="30"/>
  <c r="AE1160" i="25" s="1"/>
  <c r="U309" i="30"/>
  <c r="AE1148" i="25" s="1"/>
  <c r="V316" i="30"/>
  <c r="AF1155" i="25" s="1"/>
  <c r="V317" i="30"/>
  <c r="AF1156" i="25" s="1"/>
  <c r="U311" i="30"/>
  <c r="AE1150" i="25" s="1"/>
  <c r="V101" i="31"/>
  <c r="Z101" i="31" s="1" a="1"/>
  <c r="Z101" i="31" s="1"/>
  <c r="V308" i="30"/>
  <c r="AF1147" i="25" s="1"/>
  <c r="V106" i="31"/>
  <c r="Z106" i="31" s="1" a="1"/>
  <c r="Z106" i="31" s="1"/>
  <c r="V86" i="31"/>
  <c r="Z86" i="31" s="1" a="1"/>
  <c r="Z86" i="31" s="1"/>
  <c r="W90" i="31"/>
  <c r="Z90" i="31" s="1" a="1"/>
  <c r="Z90" i="31" s="1"/>
  <c r="V104" i="31"/>
  <c r="W104" i="31"/>
  <c r="W93" i="31"/>
  <c r="Z93" i="31" s="1" a="1"/>
  <c r="Z93" i="31" s="1"/>
  <c r="V98" i="31"/>
  <c r="Z98" i="31" s="1" a="1"/>
  <c r="Z98" i="31" s="1"/>
  <c r="V114" i="31"/>
  <c r="Z114" i="31" s="1" a="1"/>
  <c r="Z114" i="31" s="1"/>
  <c r="V95" i="31"/>
  <c r="Z95" i="31" s="1" a="1"/>
  <c r="Z95" i="31" s="1"/>
  <c r="V112" i="31"/>
  <c r="Z112" i="31" s="1" a="1"/>
  <c r="Z112" i="31" s="1"/>
  <c r="V117" i="31"/>
  <c r="N33" i="31"/>
  <c r="W1087" i="25" s="1"/>
  <c r="AJ1087" i="25" s="1"/>
  <c r="W89" i="31"/>
  <c r="V89" i="31"/>
  <c r="W103" i="31"/>
  <c r="V103" i="31"/>
  <c r="W100" i="31"/>
  <c r="V100" i="31"/>
  <c r="W96" i="31"/>
  <c r="V96" i="31"/>
  <c r="V102" i="31"/>
  <c r="W102" i="31"/>
  <c r="W111" i="31"/>
  <c r="V111" i="31"/>
  <c r="W85" i="31"/>
  <c r="V85" i="31"/>
  <c r="N31" i="31"/>
  <c r="W1085" i="25" s="1"/>
  <c r="AJ1085" i="25" s="1"/>
  <c r="W108" i="31"/>
  <c r="V108" i="31"/>
  <c r="W84" i="31"/>
  <c r="V84" i="31"/>
  <c r="W92" i="31"/>
  <c r="V92" i="31"/>
  <c r="W97" i="31"/>
  <c r="V97" i="31"/>
  <c r="W91" i="31"/>
  <c r="V91" i="31"/>
  <c r="V94" i="31"/>
  <c r="W94" i="31"/>
  <c r="N107" i="31"/>
  <c r="W88" i="31"/>
  <c r="V88" i="31"/>
  <c r="N99" i="31"/>
  <c r="V110" i="31"/>
  <c r="W110" i="31"/>
  <c r="N115" i="31"/>
  <c r="N46" i="31"/>
  <c r="W1100" i="25" s="1"/>
  <c r="AJ1100" i="25" s="1"/>
  <c r="W113" i="31"/>
  <c r="V113" i="31"/>
  <c r="W116" i="31"/>
  <c r="V116" i="31"/>
  <c r="N118" i="31"/>
  <c r="W105" i="31"/>
  <c r="V105" i="31"/>
  <c r="N278" i="30"/>
  <c r="W278" i="30" s="1"/>
  <c r="N251" i="30"/>
  <c r="W251" i="30" s="1"/>
  <c r="N258" i="30"/>
  <c r="W258" i="30" s="1"/>
  <c r="AF1032" i="25"/>
  <c r="N270" i="30"/>
  <c r="W270" i="30" s="1"/>
  <c r="N243" i="30"/>
  <c r="W243" i="30" s="1"/>
  <c r="V310" i="30"/>
  <c r="AF1149" i="25" s="1"/>
  <c r="U310" i="30"/>
  <c r="AE1149" i="25" s="1"/>
  <c r="N235" i="30"/>
  <c r="W235" i="30" s="1"/>
  <c r="N250" i="30"/>
  <c r="W250" i="30" s="1"/>
  <c r="V318" i="30"/>
  <c r="AF1157" i="25" s="1"/>
  <c r="U318" i="30"/>
  <c r="AE1157" i="25" s="1"/>
  <c r="N242" i="30"/>
  <c r="W242" i="30" s="1"/>
  <c r="V306" i="30"/>
  <c r="AF1145" i="25" s="1"/>
  <c r="U306" i="30"/>
  <c r="AE1145" i="25" s="1"/>
  <c r="N184" i="30"/>
  <c r="W184" i="30" s="1"/>
  <c r="AF984" i="25"/>
  <c r="N259" i="30"/>
  <c r="W259" i="30" s="1"/>
  <c r="V305" i="30"/>
  <c r="U305" i="30"/>
  <c r="N219" i="30"/>
  <c r="W219" i="30" s="1"/>
  <c r="V314" i="30"/>
  <c r="AF1153" i="25" s="1"/>
  <c r="U314" i="30"/>
  <c r="AE1153" i="25" s="1"/>
  <c r="N183" i="30"/>
  <c r="W183" i="30" s="1"/>
  <c r="L500" i="4"/>
  <c r="U948" i="25" s="1"/>
  <c r="X36" i="11" a="1"/>
  <c r="X36" i="11" s="1"/>
  <c r="Y36" i="11"/>
  <c r="X37" i="11" a="1"/>
  <c r="X37" i="11" s="1"/>
  <c r="Y37" i="11"/>
  <c r="X38" i="11" a="1"/>
  <c r="X38" i="11" s="1"/>
  <c r="Y38" i="11"/>
  <c r="X39" i="11" a="1"/>
  <c r="X39" i="11" s="1"/>
  <c r="Y39" i="11"/>
  <c r="X40" i="11" a="1"/>
  <c r="X40" i="11" s="1"/>
  <c r="Y40" i="11"/>
  <c r="X41" i="11" a="1"/>
  <c r="X41" i="11" s="1"/>
  <c r="Y41" i="11"/>
  <c r="X42" i="11" a="1"/>
  <c r="X42" i="11"/>
  <c r="Y42" i="11"/>
  <c r="X43" i="11" a="1"/>
  <c r="X43" i="11"/>
  <c r="Y43" i="11"/>
  <c r="X44" i="11" a="1"/>
  <c r="X44" i="11" s="1"/>
  <c r="Y44" i="11"/>
  <c r="X45" i="11" a="1"/>
  <c r="X45" i="11" s="1"/>
  <c r="Y45" i="11"/>
  <c r="X46" i="11" a="1"/>
  <c r="X46" i="11"/>
  <c r="Y46" i="11"/>
  <c r="X47" i="11" a="1"/>
  <c r="X47" i="11"/>
  <c r="Y47" i="11"/>
  <c r="X48" i="11" a="1"/>
  <c r="X48" i="11"/>
  <c r="Y48" i="11"/>
  <c r="X49" i="11" a="1"/>
  <c r="X49" i="11"/>
  <c r="Y49" i="11"/>
  <c r="X50" i="11" a="1"/>
  <c r="X50" i="11"/>
  <c r="Y50" i="11"/>
  <c r="X51" i="11" a="1"/>
  <c r="X51" i="11"/>
  <c r="Y51" i="11"/>
  <c r="X52" i="11" a="1"/>
  <c r="X52" i="11" s="1"/>
  <c r="Y52" i="11"/>
  <c r="X53" i="11" a="1"/>
  <c r="X53" i="11" s="1"/>
  <c r="Y53" i="11"/>
  <c r="X54" i="11" a="1"/>
  <c r="X54" i="11"/>
  <c r="Y54" i="11"/>
  <c r="X55" i="11" a="1"/>
  <c r="X55" i="11"/>
  <c r="Y55" i="11"/>
  <c r="X56" i="11" a="1"/>
  <c r="X56" i="11"/>
  <c r="Y56" i="11"/>
  <c r="X57" i="11" a="1"/>
  <c r="X57" i="11"/>
  <c r="Y57" i="11"/>
  <c r="X58" i="11" a="1"/>
  <c r="X58" i="11"/>
  <c r="Y58" i="11"/>
  <c r="X59" i="11" a="1"/>
  <c r="X59" i="11"/>
  <c r="Y59" i="11"/>
  <c r="X60" i="11" a="1"/>
  <c r="X60" i="11" s="1"/>
  <c r="Y60" i="11"/>
  <c r="X61" i="11" a="1"/>
  <c r="X61" i="11" s="1"/>
  <c r="Y61" i="11"/>
  <c r="X62" i="11" a="1"/>
  <c r="X62" i="11"/>
  <c r="Y62" i="11"/>
  <c r="X63" i="11" a="1"/>
  <c r="X63" i="11"/>
  <c r="Y63" i="11"/>
  <c r="X64" i="11" a="1"/>
  <c r="X64" i="11"/>
  <c r="Y64" i="11"/>
  <c r="X65" i="11" a="1"/>
  <c r="X65" i="11"/>
  <c r="Y65" i="11"/>
  <c r="X66" i="11" a="1"/>
  <c r="X66" i="11"/>
  <c r="Y66" i="11"/>
  <c r="X67" i="11" a="1"/>
  <c r="X67" i="11"/>
  <c r="Y67" i="11"/>
  <c r="X68" i="11" a="1"/>
  <c r="X68" i="11" s="1"/>
  <c r="Y68" i="11"/>
  <c r="X69" i="11" a="1"/>
  <c r="X69" i="11" s="1"/>
  <c r="Y69" i="11"/>
  <c r="X70" i="11" a="1"/>
  <c r="X70" i="11"/>
  <c r="Y70" i="11"/>
  <c r="X71" i="11" a="1"/>
  <c r="X71" i="11"/>
  <c r="Y71" i="11"/>
  <c r="X72" i="11" a="1"/>
  <c r="X72" i="11"/>
  <c r="Y72" i="11"/>
  <c r="X73" i="11" a="1"/>
  <c r="X73" i="11"/>
  <c r="Y73" i="11"/>
  <c r="X74" i="11" a="1"/>
  <c r="X74" i="11"/>
  <c r="Y74" i="11"/>
  <c r="X75" i="11" a="1"/>
  <c r="X75" i="11"/>
  <c r="Y75" i="11"/>
  <c r="X76" i="11" a="1"/>
  <c r="X76" i="11" s="1"/>
  <c r="Y76" i="11"/>
  <c r="X77" i="11" a="1"/>
  <c r="X77" i="11" s="1"/>
  <c r="Y77" i="11"/>
  <c r="X78" i="11" a="1"/>
  <c r="X78" i="11"/>
  <c r="Y78" i="11"/>
  <c r="X79" i="11" a="1"/>
  <c r="X79" i="11"/>
  <c r="Y79" i="11"/>
  <c r="X80" i="11" a="1"/>
  <c r="X80" i="11"/>
  <c r="Y80" i="11"/>
  <c r="X81" i="11" a="1"/>
  <c r="X81" i="11"/>
  <c r="Y81" i="11"/>
  <c r="X82" i="11" a="1"/>
  <c r="X82" i="11"/>
  <c r="Y82" i="11"/>
  <c r="X83" i="11" a="1"/>
  <c r="X83" i="11"/>
  <c r="Y83" i="11"/>
  <c r="X84" i="11" a="1"/>
  <c r="X84" i="11" s="1"/>
  <c r="Y84" i="11"/>
  <c r="X85" i="11" a="1"/>
  <c r="X85" i="11" s="1"/>
  <c r="Y85" i="11"/>
  <c r="X86" i="11" a="1"/>
  <c r="X86" i="11"/>
  <c r="Y86" i="11"/>
  <c r="X87" i="11" a="1"/>
  <c r="X87" i="11"/>
  <c r="Y87" i="11"/>
  <c r="X88" i="11" a="1"/>
  <c r="X88" i="11"/>
  <c r="Y88" i="11"/>
  <c r="X89" i="11" a="1"/>
  <c r="X89" i="11"/>
  <c r="Y89" i="11"/>
  <c r="X90" i="11" a="1"/>
  <c r="X90" i="11"/>
  <c r="Y90" i="11"/>
  <c r="X91" i="11" a="1"/>
  <c r="X91" i="11"/>
  <c r="Y91" i="11"/>
  <c r="X92" i="11" a="1"/>
  <c r="X92" i="11"/>
  <c r="Y92" i="11"/>
  <c r="X93" i="11" a="1"/>
  <c r="X93" i="11" s="1"/>
  <c r="Y93" i="11"/>
  <c r="X94" i="11" a="1"/>
  <c r="X94" i="11"/>
  <c r="Y94" i="11"/>
  <c r="X95" i="11" a="1"/>
  <c r="X95" i="11"/>
  <c r="Y95" i="11"/>
  <c r="X96" i="11" a="1"/>
  <c r="X96" i="11"/>
  <c r="Y96" i="11"/>
  <c r="X97" i="11" a="1"/>
  <c r="X97" i="11"/>
  <c r="Y97" i="11"/>
  <c r="X98" i="11" a="1"/>
  <c r="X98" i="11"/>
  <c r="Y98" i="11"/>
  <c r="J1692" i="25"/>
  <c r="M1692" i="25"/>
  <c r="N1692" i="25"/>
  <c r="P1692" i="25"/>
  <c r="S1692" i="25"/>
  <c r="T1692" i="25"/>
  <c r="U1692" i="25"/>
  <c r="V1692" i="25"/>
  <c r="W1692" i="25"/>
  <c r="X1692" i="25"/>
  <c r="Y1692" i="25"/>
  <c r="Z1692" i="25"/>
  <c r="AA1692" i="25"/>
  <c r="AB1692" i="25"/>
  <c r="AC1692" i="25"/>
  <c r="AD1692" i="25"/>
  <c r="AG1692" i="25"/>
  <c r="J1693" i="25"/>
  <c r="M1693" i="25"/>
  <c r="N1693" i="25"/>
  <c r="P1693" i="25"/>
  <c r="S1693" i="25"/>
  <c r="T1693" i="25"/>
  <c r="U1693" i="25"/>
  <c r="V1693" i="25"/>
  <c r="W1693" i="25"/>
  <c r="X1693" i="25"/>
  <c r="Y1693" i="25"/>
  <c r="Z1693" i="25"/>
  <c r="AA1693" i="25"/>
  <c r="AB1693" i="25"/>
  <c r="AC1693" i="25"/>
  <c r="AD1693" i="25"/>
  <c r="AG1693" i="25"/>
  <c r="J1694" i="25"/>
  <c r="M1694" i="25"/>
  <c r="N1694" i="25"/>
  <c r="P1694" i="25"/>
  <c r="S1694" i="25"/>
  <c r="T1694" i="25"/>
  <c r="U1694" i="25"/>
  <c r="V1694" i="25"/>
  <c r="W1694" i="25"/>
  <c r="X1694" i="25"/>
  <c r="Y1694" i="25"/>
  <c r="Z1694" i="25"/>
  <c r="AA1694" i="25"/>
  <c r="AB1694" i="25"/>
  <c r="AC1694" i="25"/>
  <c r="AD1694" i="25"/>
  <c r="AG1694" i="25"/>
  <c r="J1695" i="25"/>
  <c r="M1695" i="25"/>
  <c r="N1695" i="25"/>
  <c r="P1695" i="25"/>
  <c r="S1695" i="25"/>
  <c r="T1695" i="25"/>
  <c r="U1695" i="25"/>
  <c r="V1695" i="25"/>
  <c r="W1695" i="25"/>
  <c r="X1695" i="25"/>
  <c r="Y1695" i="25"/>
  <c r="Z1695" i="25"/>
  <c r="AA1695" i="25"/>
  <c r="AB1695" i="25"/>
  <c r="AC1695" i="25"/>
  <c r="AD1695" i="25"/>
  <c r="AG1695" i="25"/>
  <c r="J1696" i="25"/>
  <c r="M1696" i="25"/>
  <c r="N1696" i="25"/>
  <c r="P1696" i="25"/>
  <c r="S1696" i="25"/>
  <c r="T1696" i="25"/>
  <c r="U1696" i="25"/>
  <c r="V1696" i="25"/>
  <c r="W1696" i="25"/>
  <c r="X1696" i="25"/>
  <c r="Y1696" i="25"/>
  <c r="Z1696" i="25"/>
  <c r="AA1696" i="25"/>
  <c r="AB1696" i="25"/>
  <c r="AC1696" i="25"/>
  <c r="AD1696" i="25"/>
  <c r="AG1696" i="25"/>
  <c r="J1697" i="25"/>
  <c r="M1697" i="25"/>
  <c r="N1697" i="25"/>
  <c r="P1697" i="25"/>
  <c r="S1697" i="25"/>
  <c r="T1697" i="25"/>
  <c r="U1697" i="25"/>
  <c r="V1697" i="25"/>
  <c r="W1697" i="25"/>
  <c r="X1697" i="25"/>
  <c r="Y1697" i="25"/>
  <c r="Z1697" i="25"/>
  <c r="AA1697" i="25"/>
  <c r="AB1697" i="25"/>
  <c r="AC1697" i="25"/>
  <c r="AD1697" i="25"/>
  <c r="AG1697" i="25"/>
  <c r="J1698" i="25"/>
  <c r="M1698" i="25"/>
  <c r="N1698" i="25"/>
  <c r="P1698" i="25"/>
  <c r="S1698" i="25"/>
  <c r="T1698" i="25"/>
  <c r="U1698" i="25"/>
  <c r="V1698" i="25"/>
  <c r="W1698" i="25"/>
  <c r="X1698" i="25"/>
  <c r="Y1698" i="25"/>
  <c r="Z1698" i="25"/>
  <c r="AA1698" i="25"/>
  <c r="AB1698" i="25"/>
  <c r="AC1698" i="25"/>
  <c r="AD1698" i="25"/>
  <c r="AG1698" i="25"/>
  <c r="J1699" i="25"/>
  <c r="M1699" i="25"/>
  <c r="N1699" i="25"/>
  <c r="P1699" i="25"/>
  <c r="S1699" i="25"/>
  <c r="T1699" i="25"/>
  <c r="U1699" i="25"/>
  <c r="V1699" i="25"/>
  <c r="W1699" i="25"/>
  <c r="X1699" i="25"/>
  <c r="Y1699" i="25"/>
  <c r="Z1699" i="25"/>
  <c r="AA1699" i="25"/>
  <c r="AB1699" i="25"/>
  <c r="AC1699" i="25"/>
  <c r="AD1699" i="25"/>
  <c r="AG1699" i="25"/>
  <c r="J1700" i="25"/>
  <c r="M1700" i="25"/>
  <c r="N1700" i="25"/>
  <c r="P1700" i="25"/>
  <c r="S1700" i="25"/>
  <c r="T1700" i="25"/>
  <c r="U1700" i="25"/>
  <c r="V1700" i="25"/>
  <c r="W1700" i="25"/>
  <c r="X1700" i="25"/>
  <c r="Y1700" i="25"/>
  <c r="Z1700" i="25"/>
  <c r="AA1700" i="25"/>
  <c r="AB1700" i="25"/>
  <c r="AC1700" i="25"/>
  <c r="AD1700" i="25"/>
  <c r="AG1700" i="25"/>
  <c r="J1701" i="25"/>
  <c r="M1701" i="25"/>
  <c r="N1701" i="25"/>
  <c r="P1701" i="25"/>
  <c r="S1701" i="25"/>
  <c r="T1701" i="25"/>
  <c r="U1701" i="25"/>
  <c r="V1701" i="25"/>
  <c r="W1701" i="25"/>
  <c r="X1701" i="25"/>
  <c r="Y1701" i="25"/>
  <c r="Z1701" i="25"/>
  <c r="AA1701" i="25"/>
  <c r="AB1701" i="25"/>
  <c r="AC1701" i="25"/>
  <c r="AD1701" i="25"/>
  <c r="AG1701" i="25"/>
  <c r="J1702" i="25"/>
  <c r="M1702" i="25"/>
  <c r="N1702" i="25"/>
  <c r="P1702" i="25"/>
  <c r="S1702" i="25"/>
  <c r="T1702" i="25"/>
  <c r="U1702" i="25"/>
  <c r="V1702" i="25"/>
  <c r="W1702" i="25"/>
  <c r="X1702" i="25"/>
  <c r="Y1702" i="25"/>
  <c r="Z1702" i="25"/>
  <c r="AA1702" i="25"/>
  <c r="AB1702" i="25"/>
  <c r="AC1702" i="25"/>
  <c r="AD1702" i="25"/>
  <c r="AG1702" i="25"/>
  <c r="J1703" i="25"/>
  <c r="M1703" i="25"/>
  <c r="N1703" i="25"/>
  <c r="P1703" i="25"/>
  <c r="S1703" i="25"/>
  <c r="T1703" i="25"/>
  <c r="U1703" i="25"/>
  <c r="V1703" i="25"/>
  <c r="W1703" i="25"/>
  <c r="X1703" i="25"/>
  <c r="Y1703" i="25"/>
  <c r="Z1703" i="25"/>
  <c r="AA1703" i="25"/>
  <c r="AB1703" i="25"/>
  <c r="AC1703" i="25"/>
  <c r="AD1703" i="25"/>
  <c r="AG1703" i="25"/>
  <c r="J1704" i="25"/>
  <c r="M1704" i="25"/>
  <c r="N1704" i="25"/>
  <c r="P1704" i="25"/>
  <c r="S1704" i="25"/>
  <c r="T1704" i="25"/>
  <c r="U1704" i="25"/>
  <c r="V1704" i="25"/>
  <c r="W1704" i="25"/>
  <c r="X1704" i="25"/>
  <c r="Y1704" i="25"/>
  <c r="Z1704" i="25"/>
  <c r="AA1704" i="25"/>
  <c r="AB1704" i="25"/>
  <c r="AC1704" i="25"/>
  <c r="AD1704" i="25"/>
  <c r="AG1704" i="25"/>
  <c r="J1705" i="25"/>
  <c r="M1705" i="25"/>
  <c r="N1705" i="25"/>
  <c r="P1705" i="25"/>
  <c r="S1705" i="25"/>
  <c r="T1705" i="25"/>
  <c r="U1705" i="25"/>
  <c r="V1705" i="25"/>
  <c r="W1705" i="25"/>
  <c r="X1705" i="25"/>
  <c r="Y1705" i="25"/>
  <c r="Z1705" i="25"/>
  <c r="AA1705" i="25"/>
  <c r="AB1705" i="25"/>
  <c r="AC1705" i="25"/>
  <c r="AD1705" i="25"/>
  <c r="AG1705" i="25"/>
  <c r="J1706" i="25"/>
  <c r="M1706" i="25"/>
  <c r="N1706" i="25"/>
  <c r="P1706" i="25"/>
  <c r="S1706" i="25"/>
  <c r="T1706" i="25"/>
  <c r="U1706" i="25"/>
  <c r="V1706" i="25"/>
  <c r="W1706" i="25"/>
  <c r="X1706" i="25"/>
  <c r="Y1706" i="25"/>
  <c r="Z1706" i="25"/>
  <c r="AA1706" i="25"/>
  <c r="AB1706" i="25"/>
  <c r="AC1706" i="25"/>
  <c r="AD1706" i="25"/>
  <c r="AG1706" i="25"/>
  <c r="J1707" i="25"/>
  <c r="M1707" i="25"/>
  <c r="N1707" i="25"/>
  <c r="P1707" i="25"/>
  <c r="S1707" i="25"/>
  <c r="T1707" i="25"/>
  <c r="U1707" i="25"/>
  <c r="V1707" i="25"/>
  <c r="W1707" i="25"/>
  <c r="X1707" i="25"/>
  <c r="Y1707" i="25"/>
  <c r="Z1707" i="25"/>
  <c r="AA1707" i="25"/>
  <c r="AB1707" i="25"/>
  <c r="AC1707" i="25"/>
  <c r="AD1707" i="25"/>
  <c r="AG1707" i="25"/>
  <c r="J1708" i="25"/>
  <c r="M1708" i="25"/>
  <c r="N1708" i="25"/>
  <c r="P1708" i="25"/>
  <c r="S1708" i="25"/>
  <c r="T1708" i="25"/>
  <c r="U1708" i="25"/>
  <c r="V1708" i="25"/>
  <c r="W1708" i="25"/>
  <c r="X1708" i="25"/>
  <c r="Y1708" i="25"/>
  <c r="Z1708" i="25"/>
  <c r="AA1708" i="25"/>
  <c r="AB1708" i="25"/>
  <c r="AC1708" i="25"/>
  <c r="AD1708" i="25"/>
  <c r="AG1708" i="25"/>
  <c r="J1709" i="25"/>
  <c r="M1709" i="25"/>
  <c r="N1709" i="25"/>
  <c r="P1709" i="25"/>
  <c r="S1709" i="25"/>
  <c r="T1709" i="25"/>
  <c r="U1709" i="25"/>
  <c r="V1709" i="25"/>
  <c r="W1709" i="25"/>
  <c r="X1709" i="25"/>
  <c r="Y1709" i="25"/>
  <c r="Z1709" i="25"/>
  <c r="AA1709" i="25"/>
  <c r="AB1709" i="25"/>
  <c r="AC1709" i="25"/>
  <c r="AD1709" i="25"/>
  <c r="AG1709" i="25"/>
  <c r="J1710" i="25"/>
  <c r="M1710" i="25"/>
  <c r="N1710" i="25"/>
  <c r="P1710" i="25"/>
  <c r="S1710" i="25"/>
  <c r="T1710" i="25"/>
  <c r="U1710" i="25"/>
  <c r="V1710" i="25"/>
  <c r="W1710" i="25"/>
  <c r="X1710" i="25"/>
  <c r="Y1710" i="25"/>
  <c r="Z1710" i="25"/>
  <c r="AA1710" i="25"/>
  <c r="AB1710" i="25"/>
  <c r="AC1710" i="25"/>
  <c r="AD1710" i="25"/>
  <c r="AG1710" i="25"/>
  <c r="J1711" i="25"/>
  <c r="M1711" i="25"/>
  <c r="N1711" i="25"/>
  <c r="P1711" i="25"/>
  <c r="S1711" i="25"/>
  <c r="T1711" i="25"/>
  <c r="U1711" i="25"/>
  <c r="V1711" i="25"/>
  <c r="W1711" i="25"/>
  <c r="X1711" i="25"/>
  <c r="Y1711" i="25"/>
  <c r="Z1711" i="25"/>
  <c r="AA1711" i="25"/>
  <c r="AB1711" i="25"/>
  <c r="AC1711" i="25"/>
  <c r="AD1711" i="25"/>
  <c r="AG1711" i="25"/>
  <c r="J1712" i="25"/>
  <c r="M1712" i="25"/>
  <c r="N1712" i="25"/>
  <c r="P1712" i="25"/>
  <c r="S1712" i="25"/>
  <c r="T1712" i="25"/>
  <c r="U1712" i="25"/>
  <c r="V1712" i="25"/>
  <c r="W1712" i="25"/>
  <c r="X1712" i="25"/>
  <c r="Y1712" i="25"/>
  <c r="Z1712" i="25"/>
  <c r="AA1712" i="25"/>
  <c r="AB1712" i="25"/>
  <c r="AC1712" i="25"/>
  <c r="AD1712" i="25"/>
  <c r="AG1712" i="25"/>
  <c r="J1713" i="25"/>
  <c r="M1713" i="25"/>
  <c r="N1713" i="25"/>
  <c r="P1713" i="25"/>
  <c r="S1713" i="25"/>
  <c r="T1713" i="25"/>
  <c r="U1713" i="25"/>
  <c r="V1713" i="25"/>
  <c r="W1713" i="25"/>
  <c r="X1713" i="25"/>
  <c r="Y1713" i="25"/>
  <c r="Z1713" i="25"/>
  <c r="AA1713" i="25"/>
  <c r="AB1713" i="25"/>
  <c r="AC1713" i="25"/>
  <c r="AD1713" i="25"/>
  <c r="AG1713" i="25"/>
  <c r="M1691" i="25"/>
  <c r="N1691" i="25"/>
  <c r="P1691" i="25"/>
  <c r="S1691" i="25"/>
  <c r="T1691" i="25"/>
  <c r="U1691" i="25"/>
  <c r="V1691" i="25"/>
  <c r="W1691" i="25"/>
  <c r="X1691" i="25"/>
  <c r="Y1691" i="25"/>
  <c r="Z1691" i="25"/>
  <c r="AA1691" i="25"/>
  <c r="AB1691" i="25"/>
  <c r="AC1691" i="25"/>
  <c r="AD1691" i="25"/>
  <c r="AG1691" i="25"/>
  <c r="J1686" i="25"/>
  <c r="M1686" i="25"/>
  <c r="N1686" i="25"/>
  <c r="P1686" i="25"/>
  <c r="Q1686" i="25"/>
  <c r="S1686" i="25"/>
  <c r="T1686" i="25"/>
  <c r="U1686" i="25"/>
  <c r="V1686" i="25"/>
  <c r="W1686" i="25"/>
  <c r="X1686" i="25"/>
  <c r="Y1686" i="25"/>
  <c r="Z1686" i="25"/>
  <c r="AA1686" i="25"/>
  <c r="AB1686" i="25"/>
  <c r="AC1686" i="25"/>
  <c r="AD1686" i="25"/>
  <c r="AE1686" i="25"/>
  <c r="AF1686" i="25"/>
  <c r="AG1686" i="25"/>
  <c r="J1687" i="25"/>
  <c r="M1687" i="25"/>
  <c r="N1687" i="25"/>
  <c r="P1687" i="25"/>
  <c r="Q1687" i="25"/>
  <c r="S1687" i="25"/>
  <c r="T1687" i="25"/>
  <c r="U1687" i="25"/>
  <c r="V1687" i="25"/>
  <c r="W1687" i="25"/>
  <c r="X1687" i="25"/>
  <c r="Y1687" i="25"/>
  <c r="Z1687" i="25"/>
  <c r="AA1687" i="25"/>
  <c r="AB1687" i="25"/>
  <c r="AC1687" i="25"/>
  <c r="AD1687" i="25"/>
  <c r="AE1687" i="25"/>
  <c r="AF1687" i="25"/>
  <c r="AG1687" i="25"/>
  <c r="J1688" i="25"/>
  <c r="M1688" i="25"/>
  <c r="N1688" i="25"/>
  <c r="P1688" i="25"/>
  <c r="Q1688" i="25"/>
  <c r="S1688" i="25"/>
  <c r="T1688" i="25"/>
  <c r="U1688" i="25"/>
  <c r="V1688" i="25"/>
  <c r="W1688" i="25"/>
  <c r="X1688" i="25"/>
  <c r="Y1688" i="25"/>
  <c r="Z1688" i="25"/>
  <c r="AA1688" i="25"/>
  <c r="AB1688" i="25"/>
  <c r="AC1688" i="25"/>
  <c r="AD1688" i="25"/>
  <c r="AE1688" i="25"/>
  <c r="AF1688" i="25"/>
  <c r="AG1688" i="25"/>
  <c r="J1689" i="25"/>
  <c r="M1689" i="25"/>
  <c r="N1689" i="25"/>
  <c r="P1689" i="25"/>
  <c r="Q1689" i="25"/>
  <c r="S1689" i="25"/>
  <c r="T1689" i="25"/>
  <c r="U1689" i="25"/>
  <c r="V1689" i="25"/>
  <c r="W1689" i="25"/>
  <c r="X1689" i="25"/>
  <c r="Y1689" i="25"/>
  <c r="Z1689" i="25"/>
  <c r="AA1689" i="25"/>
  <c r="AB1689" i="25"/>
  <c r="AC1689" i="25"/>
  <c r="AD1689" i="25"/>
  <c r="AE1689" i="25"/>
  <c r="AF1689" i="25"/>
  <c r="AG1689" i="25"/>
  <c r="J1627" i="25"/>
  <c r="M1627" i="25"/>
  <c r="N1627" i="25"/>
  <c r="P1627" i="25"/>
  <c r="Q1627" i="25"/>
  <c r="S1627" i="25"/>
  <c r="T1627" i="25"/>
  <c r="U1627" i="25"/>
  <c r="V1627" i="25"/>
  <c r="W1627" i="25"/>
  <c r="X1627" i="25"/>
  <c r="Y1627" i="25"/>
  <c r="Z1627" i="25"/>
  <c r="AA1627" i="25"/>
  <c r="AB1627" i="25"/>
  <c r="AC1627" i="25"/>
  <c r="AD1627" i="25"/>
  <c r="AE1627" i="25"/>
  <c r="AF1627" i="25"/>
  <c r="AG1627" i="25"/>
  <c r="J1628" i="25"/>
  <c r="M1628" i="25"/>
  <c r="N1628" i="25"/>
  <c r="P1628" i="25"/>
  <c r="Q1628" i="25"/>
  <c r="S1628" i="25"/>
  <c r="T1628" i="25"/>
  <c r="U1628" i="25"/>
  <c r="V1628" i="25"/>
  <c r="W1628" i="25"/>
  <c r="X1628" i="25"/>
  <c r="Y1628" i="25"/>
  <c r="Z1628" i="25"/>
  <c r="AA1628" i="25"/>
  <c r="AB1628" i="25"/>
  <c r="AC1628" i="25"/>
  <c r="AD1628" i="25"/>
  <c r="AE1628" i="25"/>
  <c r="AF1628" i="25"/>
  <c r="AG1628" i="25"/>
  <c r="J1629" i="25"/>
  <c r="M1629" i="25"/>
  <c r="N1629" i="25"/>
  <c r="P1629" i="25"/>
  <c r="Q1629" i="25"/>
  <c r="S1629" i="25"/>
  <c r="T1629" i="25"/>
  <c r="U1629" i="25"/>
  <c r="V1629" i="25"/>
  <c r="W1629" i="25"/>
  <c r="AJ1629" i="25" s="1"/>
  <c r="X1629" i="25"/>
  <c r="Y1629" i="25"/>
  <c r="Z1629" i="25"/>
  <c r="AA1629" i="25"/>
  <c r="AB1629" i="25"/>
  <c r="AC1629" i="25"/>
  <c r="AD1629" i="25"/>
  <c r="AE1629" i="25"/>
  <c r="AF1629" i="25"/>
  <c r="AG1629" i="25"/>
  <c r="J1630" i="25"/>
  <c r="M1630" i="25"/>
  <c r="N1630" i="25"/>
  <c r="P1630" i="25"/>
  <c r="Q1630" i="25"/>
  <c r="S1630" i="25"/>
  <c r="T1630" i="25"/>
  <c r="U1630" i="25"/>
  <c r="V1630" i="25"/>
  <c r="W1630" i="25"/>
  <c r="X1630" i="25"/>
  <c r="Y1630" i="25"/>
  <c r="Z1630" i="25"/>
  <c r="AA1630" i="25"/>
  <c r="AB1630" i="25"/>
  <c r="AC1630" i="25"/>
  <c r="AD1630" i="25"/>
  <c r="AE1630" i="25"/>
  <c r="AF1630" i="25"/>
  <c r="AG1630" i="25"/>
  <c r="J1631" i="25"/>
  <c r="M1631" i="25"/>
  <c r="N1631" i="25"/>
  <c r="P1631" i="25"/>
  <c r="Q1631" i="25"/>
  <c r="S1631" i="25"/>
  <c r="T1631" i="25"/>
  <c r="U1631" i="25"/>
  <c r="V1631" i="25"/>
  <c r="W1631" i="25"/>
  <c r="X1631" i="25"/>
  <c r="Y1631" i="25"/>
  <c r="Z1631" i="25"/>
  <c r="AA1631" i="25"/>
  <c r="AB1631" i="25"/>
  <c r="AC1631" i="25"/>
  <c r="AD1631" i="25"/>
  <c r="AE1631" i="25"/>
  <c r="AF1631" i="25"/>
  <c r="AG1631" i="25"/>
  <c r="J1632" i="25"/>
  <c r="M1632" i="25"/>
  <c r="N1632" i="25"/>
  <c r="P1632" i="25"/>
  <c r="Q1632" i="25"/>
  <c r="S1632" i="25"/>
  <c r="T1632" i="25"/>
  <c r="U1632" i="25"/>
  <c r="V1632" i="25"/>
  <c r="W1632" i="25"/>
  <c r="X1632" i="25"/>
  <c r="Y1632" i="25"/>
  <c r="Z1632" i="25"/>
  <c r="AA1632" i="25"/>
  <c r="AB1632" i="25"/>
  <c r="AC1632" i="25"/>
  <c r="AD1632" i="25"/>
  <c r="AE1632" i="25"/>
  <c r="AF1632" i="25"/>
  <c r="AG1632" i="25"/>
  <c r="J1633" i="25"/>
  <c r="M1633" i="25"/>
  <c r="N1633" i="25"/>
  <c r="P1633" i="25"/>
  <c r="Q1633" i="25"/>
  <c r="S1633" i="25"/>
  <c r="T1633" i="25"/>
  <c r="U1633" i="25"/>
  <c r="V1633" i="25"/>
  <c r="W1633" i="25"/>
  <c r="X1633" i="25"/>
  <c r="Y1633" i="25"/>
  <c r="Z1633" i="25"/>
  <c r="AA1633" i="25"/>
  <c r="AB1633" i="25"/>
  <c r="AC1633" i="25"/>
  <c r="AD1633" i="25"/>
  <c r="AE1633" i="25"/>
  <c r="AF1633" i="25"/>
  <c r="AG1633" i="25"/>
  <c r="J1634" i="25"/>
  <c r="M1634" i="25"/>
  <c r="N1634" i="25"/>
  <c r="P1634" i="25"/>
  <c r="Q1634" i="25"/>
  <c r="S1634" i="25"/>
  <c r="T1634" i="25"/>
  <c r="U1634" i="25"/>
  <c r="V1634" i="25"/>
  <c r="W1634" i="25"/>
  <c r="X1634" i="25"/>
  <c r="Y1634" i="25"/>
  <c r="Z1634" i="25"/>
  <c r="AA1634" i="25"/>
  <c r="AB1634" i="25"/>
  <c r="AC1634" i="25"/>
  <c r="AD1634" i="25"/>
  <c r="AE1634" i="25"/>
  <c r="AF1634" i="25"/>
  <c r="AG1634" i="25"/>
  <c r="J1635" i="25"/>
  <c r="M1635" i="25"/>
  <c r="N1635" i="25"/>
  <c r="P1635" i="25"/>
  <c r="Q1635" i="25"/>
  <c r="S1635" i="25"/>
  <c r="T1635" i="25"/>
  <c r="U1635" i="25"/>
  <c r="V1635" i="25"/>
  <c r="W1635" i="25"/>
  <c r="X1635" i="25"/>
  <c r="Y1635" i="25"/>
  <c r="Z1635" i="25"/>
  <c r="AA1635" i="25"/>
  <c r="AB1635" i="25"/>
  <c r="AC1635" i="25"/>
  <c r="AD1635" i="25"/>
  <c r="AE1635" i="25"/>
  <c r="AF1635" i="25"/>
  <c r="AG1635" i="25"/>
  <c r="J1636" i="25"/>
  <c r="M1636" i="25"/>
  <c r="N1636" i="25"/>
  <c r="P1636" i="25"/>
  <c r="Q1636" i="25"/>
  <c r="S1636" i="25"/>
  <c r="T1636" i="25"/>
  <c r="U1636" i="25"/>
  <c r="V1636" i="25"/>
  <c r="W1636" i="25"/>
  <c r="X1636" i="25"/>
  <c r="Y1636" i="25"/>
  <c r="Z1636" i="25"/>
  <c r="AA1636" i="25"/>
  <c r="AB1636" i="25"/>
  <c r="AC1636" i="25"/>
  <c r="AD1636" i="25"/>
  <c r="AE1636" i="25"/>
  <c r="AF1636" i="25"/>
  <c r="AG1636" i="25"/>
  <c r="J1637" i="25"/>
  <c r="M1637" i="25"/>
  <c r="N1637" i="25"/>
  <c r="P1637" i="25"/>
  <c r="Q1637" i="25"/>
  <c r="S1637" i="25"/>
  <c r="T1637" i="25"/>
  <c r="U1637" i="25"/>
  <c r="V1637" i="25"/>
  <c r="W1637" i="25"/>
  <c r="AJ1637" i="25" s="1"/>
  <c r="X1637" i="25"/>
  <c r="Y1637" i="25"/>
  <c r="Z1637" i="25"/>
  <c r="AA1637" i="25"/>
  <c r="AB1637" i="25"/>
  <c r="AC1637" i="25"/>
  <c r="AD1637" i="25"/>
  <c r="AE1637" i="25"/>
  <c r="AF1637" i="25"/>
  <c r="AG1637" i="25"/>
  <c r="J1638" i="25"/>
  <c r="M1638" i="25"/>
  <c r="N1638" i="25"/>
  <c r="P1638" i="25"/>
  <c r="Q1638" i="25"/>
  <c r="S1638" i="25"/>
  <c r="T1638" i="25"/>
  <c r="U1638" i="25"/>
  <c r="V1638" i="25"/>
  <c r="W1638" i="25"/>
  <c r="X1638" i="25"/>
  <c r="Y1638" i="25"/>
  <c r="Z1638" i="25"/>
  <c r="AA1638" i="25"/>
  <c r="AB1638" i="25"/>
  <c r="AC1638" i="25"/>
  <c r="AD1638" i="25"/>
  <c r="AE1638" i="25"/>
  <c r="AF1638" i="25"/>
  <c r="AG1638" i="25"/>
  <c r="J1639" i="25"/>
  <c r="M1639" i="25"/>
  <c r="N1639" i="25"/>
  <c r="P1639" i="25"/>
  <c r="Q1639" i="25"/>
  <c r="S1639" i="25"/>
  <c r="T1639" i="25"/>
  <c r="U1639" i="25"/>
  <c r="V1639" i="25"/>
  <c r="W1639" i="25"/>
  <c r="X1639" i="25"/>
  <c r="Y1639" i="25"/>
  <c r="Z1639" i="25"/>
  <c r="AA1639" i="25"/>
  <c r="AB1639" i="25"/>
  <c r="AC1639" i="25"/>
  <c r="AD1639" i="25"/>
  <c r="AE1639" i="25"/>
  <c r="AF1639" i="25"/>
  <c r="AG1639" i="25"/>
  <c r="J1640" i="25"/>
  <c r="M1640" i="25"/>
  <c r="N1640" i="25"/>
  <c r="P1640" i="25"/>
  <c r="Q1640" i="25"/>
  <c r="S1640" i="25"/>
  <c r="T1640" i="25"/>
  <c r="U1640" i="25"/>
  <c r="V1640" i="25"/>
  <c r="W1640" i="25"/>
  <c r="X1640" i="25"/>
  <c r="Y1640" i="25"/>
  <c r="Z1640" i="25"/>
  <c r="AA1640" i="25"/>
  <c r="AB1640" i="25"/>
  <c r="AC1640" i="25"/>
  <c r="AD1640" i="25"/>
  <c r="AE1640" i="25"/>
  <c r="AF1640" i="25"/>
  <c r="AG1640" i="25"/>
  <c r="J1641" i="25"/>
  <c r="M1641" i="25"/>
  <c r="N1641" i="25"/>
  <c r="P1641" i="25"/>
  <c r="Q1641" i="25"/>
  <c r="S1641" i="25"/>
  <c r="T1641" i="25"/>
  <c r="U1641" i="25"/>
  <c r="V1641" i="25"/>
  <c r="W1641" i="25"/>
  <c r="X1641" i="25"/>
  <c r="Y1641" i="25"/>
  <c r="Z1641" i="25"/>
  <c r="AA1641" i="25"/>
  <c r="AB1641" i="25"/>
  <c r="AC1641" i="25"/>
  <c r="AD1641" i="25"/>
  <c r="AE1641" i="25"/>
  <c r="AF1641" i="25"/>
  <c r="AG1641" i="25"/>
  <c r="J1642" i="25"/>
  <c r="M1642" i="25"/>
  <c r="N1642" i="25"/>
  <c r="P1642" i="25"/>
  <c r="Q1642" i="25"/>
  <c r="S1642" i="25"/>
  <c r="T1642" i="25"/>
  <c r="U1642" i="25"/>
  <c r="V1642" i="25"/>
  <c r="W1642" i="25"/>
  <c r="X1642" i="25"/>
  <c r="Y1642" i="25"/>
  <c r="Z1642" i="25"/>
  <c r="AA1642" i="25"/>
  <c r="AB1642" i="25"/>
  <c r="AC1642" i="25"/>
  <c r="AD1642" i="25"/>
  <c r="AE1642" i="25"/>
  <c r="AF1642" i="25"/>
  <c r="AG1642" i="25"/>
  <c r="J1643" i="25"/>
  <c r="M1643" i="25"/>
  <c r="N1643" i="25"/>
  <c r="P1643" i="25"/>
  <c r="Q1643" i="25"/>
  <c r="S1643" i="25"/>
  <c r="T1643" i="25"/>
  <c r="U1643" i="25"/>
  <c r="V1643" i="25"/>
  <c r="W1643" i="25"/>
  <c r="X1643" i="25"/>
  <c r="Y1643" i="25"/>
  <c r="Z1643" i="25"/>
  <c r="AA1643" i="25"/>
  <c r="AB1643" i="25"/>
  <c r="AC1643" i="25"/>
  <c r="AD1643" i="25"/>
  <c r="AE1643" i="25"/>
  <c r="AF1643" i="25"/>
  <c r="AG1643" i="25"/>
  <c r="J1644" i="25"/>
  <c r="M1644" i="25"/>
  <c r="N1644" i="25"/>
  <c r="P1644" i="25"/>
  <c r="Q1644" i="25"/>
  <c r="S1644" i="25"/>
  <c r="T1644" i="25"/>
  <c r="U1644" i="25"/>
  <c r="V1644" i="25"/>
  <c r="W1644" i="25"/>
  <c r="X1644" i="25"/>
  <c r="Y1644" i="25"/>
  <c r="Z1644" i="25"/>
  <c r="AA1644" i="25"/>
  <c r="AB1644" i="25"/>
  <c r="AC1644" i="25"/>
  <c r="AD1644" i="25"/>
  <c r="AE1644" i="25"/>
  <c r="AF1644" i="25"/>
  <c r="AG1644" i="25"/>
  <c r="J1645" i="25"/>
  <c r="M1645" i="25"/>
  <c r="N1645" i="25"/>
  <c r="P1645" i="25"/>
  <c r="Q1645" i="25"/>
  <c r="S1645" i="25"/>
  <c r="T1645" i="25"/>
  <c r="U1645" i="25"/>
  <c r="V1645" i="25"/>
  <c r="W1645" i="25"/>
  <c r="AJ1645" i="25" s="1"/>
  <c r="X1645" i="25"/>
  <c r="Y1645" i="25"/>
  <c r="Z1645" i="25"/>
  <c r="AA1645" i="25"/>
  <c r="AB1645" i="25"/>
  <c r="AC1645" i="25"/>
  <c r="AD1645" i="25"/>
  <c r="AE1645" i="25"/>
  <c r="AF1645" i="25"/>
  <c r="AG1645" i="25"/>
  <c r="J1646" i="25"/>
  <c r="M1646" i="25"/>
  <c r="N1646" i="25"/>
  <c r="P1646" i="25"/>
  <c r="Q1646" i="25"/>
  <c r="S1646" i="25"/>
  <c r="T1646" i="25"/>
  <c r="U1646" i="25"/>
  <c r="V1646" i="25"/>
  <c r="W1646" i="25"/>
  <c r="X1646" i="25"/>
  <c r="Y1646" i="25"/>
  <c r="Z1646" i="25"/>
  <c r="AA1646" i="25"/>
  <c r="AB1646" i="25"/>
  <c r="AC1646" i="25"/>
  <c r="AD1646" i="25"/>
  <c r="AE1646" i="25"/>
  <c r="AF1646" i="25"/>
  <c r="AG1646" i="25"/>
  <c r="J1647" i="25"/>
  <c r="M1647" i="25"/>
  <c r="N1647" i="25"/>
  <c r="P1647" i="25"/>
  <c r="Q1647" i="25"/>
  <c r="S1647" i="25"/>
  <c r="T1647" i="25"/>
  <c r="U1647" i="25"/>
  <c r="V1647" i="25"/>
  <c r="W1647" i="25"/>
  <c r="X1647" i="25"/>
  <c r="Y1647" i="25"/>
  <c r="Z1647" i="25"/>
  <c r="AA1647" i="25"/>
  <c r="AB1647" i="25"/>
  <c r="AC1647" i="25"/>
  <c r="AD1647" i="25"/>
  <c r="AE1647" i="25"/>
  <c r="AF1647" i="25"/>
  <c r="AG1647" i="25"/>
  <c r="J1648" i="25"/>
  <c r="M1648" i="25"/>
  <c r="N1648" i="25"/>
  <c r="P1648" i="25"/>
  <c r="Q1648" i="25"/>
  <c r="S1648" i="25"/>
  <c r="T1648" i="25"/>
  <c r="U1648" i="25"/>
  <c r="V1648" i="25"/>
  <c r="W1648" i="25"/>
  <c r="X1648" i="25"/>
  <c r="Y1648" i="25"/>
  <c r="Z1648" i="25"/>
  <c r="AA1648" i="25"/>
  <c r="AB1648" i="25"/>
  <c r="AC1648" i="25"/>
  <c r="AD1648" i="25"/>
  <c r="AE1648" i="25"/>
  <c r="AF1648" i="25"/>
  <c r="AG1648" i="25"/>
  <c r="J1649" i="25"/>
  <c r="M1649" i="25"/>
  <c r="N1649" i="25"/>
  <c r="P1649" i="25"/>
  <c r="Q1649" i="25"/>
  <c r="S1649" i="25"/>
  <c r="T1649" i="25"/>
  <c r="U1649" i="25"/>
  <c r="V1649" i="25"/>
  <c r="W1649" i="25"/>
  <c r="X1649" i="25"/>
  <c r="Y1649" i="25"/>
  <c r="Z1649" i="25"/>
  <c r="AA1649" i="25"/>
  <c r="AB1649" i="25"/>
  <c r="AC1649" i="25"/>
  <c r="AD1649" i="25"/>
  <c r="AE1649" i="25"/>
  <c r="AF1649" i="25"/>
  <c r="AG1649" i="25"/>
  <c r="J1650" i="25"/>
  <c r="M1650" i="25"/>
  <c r="N1650" i="25"/>
  <c r="P1650" i="25"/>
  <c r="Q1650" i="25"/>
  <c r="S1650" i="25"/>
  <c r="T1650" i="25"/>
  <c r="U1650" i="25"/>
  <c r="V1650" i="25"/>
  <c r="W1650" i="25"/>
  <c r="X1650" i="25"/>
  <c r="Y1650" i="25"/>
  <c r="Z1650" i="25"/>
  <c r="AA1650" i="25"/>
  <c r="AB1650" i="25"/>
  <c r="AC1650" i="25"/>
  <c r="AD1650" i="25"/>
  <c r="AE1650" i="25"/>
  <c r="AF1650" i="25"/>
  <c r="AG1650" i="25"/>
  <c r="J1651" i="25"/>
  <c r="M1651" i="25"/>
  <c r="N1651" i="25"/>
  <c r="P1651" i="25"/>
  <c r="Q1651" i="25"/>
  <c r="S1651" i="25"/>
  <c r="T1651" i="25"/>
  <c r="U1651" i="25"/>
  <c r="V1651" i="25"/>
  <c r="W1651" i="25"/>
  <c r="X1651" i="25"/>
  <c r="Y1651" i="25"/>
  <c r="Z1651" i="25"/>
  <c r="AA1651" i="25"/>
  <c r="AB1651" i="25"/>
  <c r="AC1651" i="25"/>
  <c r="AD1651" i="25"/>
  <c r="AE1651" i="25"/>
  <c r="AF1651" i="25"/>
  <c r="AG1651" i="25"/>
  <c r="J1652" i="25"/>
  <c r="M1652" i="25"/>
  <c r="N1652" i="25"/>
  <c r="P1652" i="25"/>
  <c r="Q1652" i="25"/>
  <c r="S1652" i="25"/>
  <c r="T1652" i="25"/>
  <c r="U1652" i="25"/>
  <c r="V1652" i="25"/>
  <c r="W1652" i="25"/>
  <c r="X1652" i="25"/>
  <c r="Y1652" i="25"/>
  <c r="Z1652" i="25"/>
  <c r="AA1652" i="25"/>
  <c r="AB1652" i="25"/>
  <c r="AC1652" i="25"/>
  <c r="AD1652" i="25"/>
  <c r="AE1652" i="25"/>
  <c r="AF1652" i="25"/>
  <c r="AG1652" i="25"/>
  <c r="J1653" i="25"/>
  <c r="M1653" i="25"/>
  <c r="N1653" i="25"/>
  <c r="P1653" i="25"/>
  <c r="Q1653" i="25"/>
  <c r="S1653" i="25"/>
  <c r="T1653" i="25"/>
  <c r="U1653" i="25"/>
  <c r="V1653" i="25"/>
  <c r="W1653" i="25"/>
  <c r="X1653" i="25"/>
  <c r="Y1653" i="25"/>
  <c r="Z1653" i="25"/>
  <c r="AA1653" i="25"/>
  <c r="AB1653" i="25"/>
  <c r="AC1653" i="25"/>
  <c r="AD1653" i="25"/>
  <c r="AE1653" i="25"/>
  <c r="AF1653" i="25"/>
  <c r="AG1653" i="25"/>
  <c r="J1654" i="25"/>
  <c r="M1654" i="25"/>
  <c r="N1654" i="25"/>
  <c r="P1654" i="25"/>
  <c r="Q1654" i="25"/>
  <c r="S1654" i="25"/>
  <c r="T1654" i="25"/>
  <c r="U1654" i="25"/>
  <c r="V1654" i="25"/>
  <c r="W1654" i="25"/>
  <c r="X1654" i="25"/>
  <c r="Y1654" i="25"/>
  <c r="Z1654" i="25"/>
  <c r="AA1654" i="25"/>
  <c r="AB1654" i="25"/>
  <c r="AC1654" i="25"/>
  <c r="AD1654" i="25"/>
  <c r="AE1654" i="25"/>
  <c r="AF1654" i="25"/>
  <c r="AG1654" i="25"/>
  <c r="J1655" i="25"/>
  <c r="M1655" i="25"/>
  <c r="N1655" i="25"/>
  <c r="P1655" i="25"/>
  <c r="Q1655" i="25"/>
  <c r="S1655" i="25"/>
  <c r="T1655" i="25"/>
  <c r="U1655" i="25"/>
  <c r="V1655" i="25"/>
  <c r="W1655" i="25"/>
  <c r="X1655" i="25"/>
  <c r="Y1655" i="25"/>
  <c r="Z1655" i="25"/>
  <c r="AA1655" i="25"/>
  <c r="AB1655" i="25"/>
  <c r="AC1655" i="25"/>
  <c r="AD1655" i="25"/>
  <c r="AE1655" i="25"/>
  <c r="AF1655" i="25"/>
  <c r="AG1655" i="25"/>
  <c r="J1656" i="25"/>
  <c r="M1656" i="25"/>
  <c r="N1656" i="25"/>
  <c r="P1656" i="25"/>
  <c r="Q1656" i="25"/>
  <c r="S1656" i="25"/>
  <c r="T1656" i="25"/>
  <c r="U1656" i="25"/>
  <c r="V1656" i="25"/>
  <c r="W1656" i="25"/>
  <c r="X1656" i="25"/>
  <c r="Y1656" i="25"/>
  <c r="Z1656" i="25"/>
  <c r="AA1656" i="25"/>
  <c r="AB1656" i="25"/>
  <c r="AC1656" i="25"/>
  <c r="AD1656" i="25"/>
  <c r="AE1656" i="25"/>
  <c r="AF1656" i="25"/>
  <c r="AG1656" i="25"/>
  <c r="J1657" i="25"/>
  <c r="M1657" i="25"/>
  <c r="N1657" i="25"/>
  <c r="P1657" i="25"/>
  <c r="Q1657" i="25"/>
  <c r="S1657" i="25"/>
  <c r="T1657" i="25"/>
  <c r="U1657" i="25"/>
  <c r="V1657" i="25"/>
  <c r="W1657" i="25"/>
  <c r="X1657" i="25"/>
  <c r="Y1657" i="25"/>
  <c r="Z1657" i="25"/>
  <c r="AA1657" i="25"/>
  <c r="AB1657" i="25"/>
  <c r="AC1657" i="25"/>
  <c r="AD1657" i="25"/>
  <c r="AE1657" i="25"/>
  <c r="AF1657" i="25"/>
  <c r="AG1657" i="25"/>
  <c r="J1658" i="25"/>
  <c r="M1658" i="25"/>
  <c r="N1658" i="25"/>
  <c r="P1658" i="25"/>
  <c r="Q1658" i="25"/>
  <c r="S1658" i="25"/>
  <c r="T1658" i="25"/>
  <c r="U1658" i="25"/>
  <c r="V1658" i="25"/>
  <c r="W1658" i="25"/>
  <c r="X1658" i="25"/>
  <c r="Y1658" i="25"/>
  <c r="Z1658" i="25"/>
  <c r="AA1658" i="25"/>
  <c r="AB1658" i="25"/>
  <c r="AC1658" i="25"/>
  <c r="AD1658" i="25"/>
  <c r="AE1658" i="25"/>
  <c r="AF1658" i="25"/>
  <c r="AG1658" i="25"/>
  <c r="J1659" i="25"/>
  <c r="M1659" i="25"/>
  <c r="N1659" i="25"/>
  <c r="P1659" i="25"/>
  <c r="Q1659" i="25"/>
  <c r="S1659" i="25"/>
  <c r="T1659" i="25"/>
  <c r="U1659" i="25"/>
  <c r="V1659" i="25"/>
  <c r="W1659" i="25"/>
  <c r="X1659" i="25"/>
  <c r="Y1659" i="25"/>
  <c r="Z1659" i="25"/>
  <c r="AA1659" i="25"/>
  <c r="AB1659" i="25"/>
  <c r="AC1659" i="25"/>
  <c r="AD1659" i="25"/>
  <c r="AE1659" i="25"/>
  <c r="AF1659" i="25"/>
  <c r="AG1659" i="25"/>
  <c r="J1660" i="25"/>
  <c r="M1660" i="25"/>
  <c r="N1660" i="25"/>
  <c r="P1660" i="25"/>
  <c r="Q1660" i="25"/>
  <c r="S1660" i="25"/>
  <c r="T1660" i="25"/>
  <c r="U1660" i="25"/>
  <c r="V1660" i="25"/>
  <c r="W1660" i="25"/>
  <c r="X1660" i="25"/>
  <c r="Y1660" i="25"/>
  <c r="Z1660" i="25"/>
  <c r="AA1660" i="25"/>
  <c r="AB1660" i="25"/>
  <c r="AC1660" i="25"/>
  <c r="AD1660" i="25"/>
  <c r="AE1660" i="25"/>
  <c r="AF1660" i="25"/>
  <c r="AG1660" i="25"/>
  <c r="J1661" i="25"/>
  <c r="M1661" i="25"/>
  <c r="N1661" i="25"/>
  <c r="P1661" i="25"/>
  <c r="Q1661" i="25"/>
  <c r="S1661" i="25"/>
  <c r="T1661" i="25"/>
  <c r="U1661" i="25"/>
  <c r="V1661" i="25"/>
  <c r="W1661" i="25"/>
  <c r="X1661" i="25"/>
  <c r="Y1661" i="25"/>
  <c r="Z1661" i="25"/>
  <c r="AA1661" i="25"/>
  <c r="AB1661" i="25"/>
  <c r="AC1661" i="25"/>
  <c r="AD1661" i="25"/>
  <c r="AE1661" i="25"/>
  <c r="AF1661" i="25"/>
  <c r="AG1661" i="25"/>
  <c r="J1662" i="25"/>
  <c r="M1662" i="25"/>
  <c r="N1662" i="25"/>
  <c r="P1662" i="25"/>
  <c r="Q1662" i="25"/>
  <c r="S1662" i="25"/>
  <c r="T1662" i="25"/>
  <c r="U1662" i="25"/>
  <c r="V1662" i="25"/>
  <c r="W1662" i="25"/>
  <c r="X1662" i="25"/>
  <c r="Y1662" i="25"/>
  <c r="Z1662" i="25"/>
  <c r="AA1662" i="25"/>
  <c r="AB1662" i="25"/>
  <c r="AC1662" i="25"/>
  <c r="AD1662" i="25"/>
  <c r="AE1662" i="25"/>
  <c r="AF1662" i="25"/>
  <c r="AG1662" i="25"/>
  <c r="J1663" i="25"/>
  <c r="M1663" i="25"/>
  <c r="N1663" i="25"/>
  <c r="P1663" i="25"/>
  <c r="Q1663" i="25"/>
  <c r="S1663" i="25"/>
  <c r="T1663" i="25"/>
  <c r="U1663" i="25"/>
  <c r="V1663" i="25"/>
  <c r="W1663" i="25"/>
  <c r="X1663" i="25"/>
  <c r="Y1663" i="25"/>
  <c r="Z1663" i="25"/>
  <c r="AA1663" i="25"/>
  <c r="AB1663" i="25"/>
  <c r="AC1663" i="25"/>
  <c r="AD1663" i="25"/>
  <c r="AE1663" i="25"/>
  <c r="AF1663" i="25"/>
  <c r="AG1663" i="25"/>
  <c r="J1664" i="25"/>
  <c r="M1664" i="25"/>
  <c r="N1664" i="25"/>
  <c r="P1664" i="25"/>
  <c r="Q1664" i="25"/>
  <c r="S1664" i="25"/>
  <c r="T1664" i="25"/>
  <c r="U1664" i="25"/>
  <c r="V1664" i="25"/>
  <c r="W1664" i="25"/>
  <c r="X1664" i="25"/>
  <c r="Y1664" i="25"/>
  <c r="Z1664" i="25"/>
  <c r="AA1664" i="25"/>
  <c r="AB1664" i="25"/>
  <c r="AC1664" i="25"/>
  <c r="AD1664" i="25"/>
  <c r="AE1664" i="25"/>
  <c r="AF1664" i="25"/>
  <c r="AG1664" i="25"/>
  <c r="J1665" i="25"/>
  <c r="M1665" i="25"/>
  <c r="N1665" i="25"/>
  <c r="P1665" i="25"/>
  <c r="Q1665" i="25"/>
  <c r="S1665" i="25"/>
  <c r="T1665" i="25"/>
  <c r="U1665" i="25"/>
  <c r="V1665" i="25"/>
  <c r="W1665" i="25"/>
  <c r="X1665" i="25"/>
  <c r="Y1665" i="25"/>
  <c r="Z1665" i="25"/>
  <c r="AA1665" i="25"/>
  <c r="AB1665" i="25"/>
  <c r="AC1665" i="25"/>
  <c r="AD1665" i="25"/>
  <c r="AE1665" i="25"/>
  <c r="AF1665" i="25"/>
  <c r="AG1665" i="25"/>
  <c r="J1666" i="25"/>
  <c r="M1666" i="25"/>
  <c r="N1666" i="25"/>
  <c r="P1666" i="25"/>
  <c r="Q1666" i="25"/>
  <c r="S1666" i="25"/>
  <c r="T1666" i="25"/>
  <c r="U1666" i="25"/>
  <c r="V1666" i="25"/>
  <c r="W1666" i="25"/>
  <c r="X1666" i="25"/>
  <c r="Y1666" i="25"/>
  <c r="Z1666" i="25"/>
  <c r="AA1666" i="25"/>
  <c r="AB1666" i="25"/>
  <c r="AC1666" i="25"/>
  <c r="AD1666" i="25"/>
  <c r="AE1666" i="25"/>
  <c r="AF1666" i="25"/>
  <c r="AG1666" i="25"/>
  <c r="J1667" i="25"/>
  <c r="M1667" i="25"/>
  <c r="N1667" i="25"/>
  <c r="P1667" i="25"/>
  <c r="Q1667" i="25"/>
  <c r="S1667" i="25"/>
  <c r="T1667" i="25"/>
  <c r="U1667" i="25"/>
  <c r="V1667" i="25"/>
  <c r="W1667" i="25"/>
  <c r="X1667" i="25"/>
  <c r="Y1667" i="25"/>
  <c r="Z1667" i="25"/>
  <c r="AA1667" i="25"/>
  <c r="AB1667" i="25"/>
  <c r="AC1667" i="25"/>
  <c r="AD1667" i="25"/>
  <c r="AE1667" i="25"/>
  <c r="AF1667" i="25"/>
  <c r="AG1667" i="25"/>
  <c r="J1668" i="25"/>
  <c r="M1668" i="25"/>
  <c r="N1668" i="25"/>
  <c r="P1668" i="25"/>
  <c r="Q1668" i="25"/>
  <c r="S1668" i="25"/>
  <c r="T1668" i="25"/>
  <c r="U1668" i="25"/>
  <c r="V1668" i="25"/>
  <c r="W1668" i="25"/>
  <c r="X1668" i="25"/>
  <c r="Y1668" i="25"/>
  <c r="Z1668" i="25"/>
  <c r="AA1668" i="25"/>
  <c r="AB1668" i="25"/>
  <c r="AC1668" i="25"/>
  <c r="AD1668" i="25"/>
  <c r="AE1668" i="25"/>
  <c r="AF1668" i="25"/>
  <c r="AG1668" i="25"/>
  <c r="J1669" i="25"/>
  <c r="M1669" i="25"/>
  <c r="N1669" i="25"/>
  <c r="P1669" i="25"/>
  <c r="Q1669" i="25"/>
  <c r="S1669" i="25"/>
  <c r="T1669" i="25"/>
  <c r="U1669" i="25"/>
  <c r="V1669" i="25"/>
  <c r="W1669" i="25"/>
  <c r="X1669" i="25"/>
  <c r="Y1669" i="25"/>
  <c r="Z1669" i="25"/>
  <c r="AA1669" i="25"/>
  <c r="AB1669" i="25"/>
  <c r="AC1669" i="25"/>
  <c r="AD1669" i="25"/>
  <c r="AE1669" i="25"/>
  <c r="AF1669" i="25"/>
  <c r="AG1669" i="25"/>
  <c r="J1670" i="25"/>
  <c r="M1670" i="25"/>
  <c r="N1670" i="25"/>
  <c r="P1670" i="25"/>
  <c r="Q1670" i="25"/>
  <c r="S1670" i="25"/>
  <c r="T1670" i="25"/>
  <c r="U1670" i="25"/>
  <c r="V1670" i="25"/>
  <c r="W1670" i="25"/>
  <c r="X1670" i="25"/>
  <c r="Y1670" i="25"/>
  <c r="Z1670" i="25"/>
  <c r="AA1670" i="25"/>
  <c r="AB1670" i="25"/>
  <c r="AC1670" i="25"/>
  <c r="AD1670" i="25"/>
  <c r="AE1670" i="25"/>
  <c r="AF1670" i="25"/>
  <c r="AG1670" i="25"/>
  <c r="J1671" i="25"/>
  <c r="M1671" i="25"/>
  <c r="N1671" i="25"/>
  <c r="P1671" i="25"/>
  <c r="Q1671" i="25"/>
  <c r="S1671" i="25"/>
  <c r="T1671" i="25"/>
  <c r="U1671" i="25"/>
  <c r="V1671" i="25"/>
  <c r="W1671" i="25"/>
  <c r="X1671" i="25"/>
  <c r="Y1671" i="25"/>
  <c r="Z1671" i="25"/>
  <c r="AA1671" i="25"/>
  <c r="AB1671" i="25"/>
  <c r="AC1671" i="25"/>
  <c r="AD1671" i="25"/>
  <c r="AE1671" i="25"/>
  <c r="AF1671" i="25"/>
  <c r="AG1671" i="25"/>
  <c r="J1672" i="25"/>
  <c r="M1672" i="25"/>
  <c r="N1672" i="25"/>
  <c r="P1672" i="25"/>
  <c r="Q1672" i="25"/>
  <c r="S1672" i="25"/>
  <c r="T1672" i="25"/>
  <c r="U1672" i="25"/>
  <c r="V1672" i="25"/>
  <c r="W1672" i="25"/>
  <c r="X1672" i="25"/>
  <c r="Y1672" i="25"/>
  <c r="Z1672" i="25"/>
  <c r="AA1672" i="25"/>
  <c r="AB1672" i="25"/>
  <c r="AC1672" i="25"/>
  <c r="AD1672" i="25"/>
  <c r="AE1672" i="25"/>
  <c r="AF1672" i="25"/>
  <c r="AG1672" i="25"/>
  <c r="J1673" i="25"/>
  <c r="M1673" i="25"/>
  <c r="N1673" i="25"/>
  <c r="P1673" i="25"/>
  <c r="Q1673" i="25"/>
  <c r="S1673" i="25"/>
  <c r="T1673" i="25"/>
  <c r="U1673" i="25"/>
  <c r="V1673" i="25"/>
  <c r="W1673" i="25"/>
  <c r="X1673" i="25"/>
  <c r="Y1673" i="25"/>
  <c r="Z1673" i="25"/>
  <c r="AA1673" i="25"/>
  <c r="AB1673" i="25"/>
  <c r="AC1673" i="25"/>
  <c r="AD1673" i="25"/>
  <c r="AE1673" i="25"/>
  <c r="AF1673" i="25"/>
  <c r="AG1673" i="25"/>
  <c r="J1674" i="25"/>
  <c r="M1674" i="25"/>
  <c r="N1674" i="25"/>
  <c r="P1674" i="25"/>
  <c r="Q1674" i="25"/>
  <c r="S1674" i="25"/>
  <c r="T1674" i="25"/>
  <c r="U1674" i="25"/>
  <c r="V1674" i="25"/>
  <c r="W1674" i="25"/>
  <c r="X1674" i="25"/>
  <c r="Y1674" i="25"/>
  <c r="Z1674" i="25"/>
  <c r="AA1674" i="25"/>
  <c r="AB1674" i="25"/>
  <c r="AC1674" i="25"/>
  <c r="AD1674" i="25"/>
  <c r="AE1674" i="25"/>
  <c r="AF1674" i="25"/>
  <c r="AG1674" i="25"/>
  <c r="J1675" i="25"/>
  <c r="M1675" i="25"/>
  <c r="N1675" i="25"/>
  <c r="P1675" i="25"/>
  <c r="Q1675" i="25"/>
  <c r="S1675" i="25"/>
  <c r="T1675" i="25"/>
  <c r="U1675" i="25"/>
  <c r="V1675" i="25"/>
  <c r="W1675" i="25"/>
  <c r="X1675" i="25"/>
  <c r="Y1675" i="25"/>
  <c r="Z1675" i="25"/>
  <c r="AA1675" i="25"/>
  <c r="AB1675" i="25"/>
  <c r="AC1675" i="25"/>
  <c r="AD1675" i="25"/>
  <c r="AE1675" i="25"/>
  <c r="AF1675" i="25"/>
  <c r="AG1675" i="25"/>
  <c r="J1676" i="25"/>
  <c r="M1676" i="25"/>
  <c r="N1676" i="25"/>
  <c r="P1676" i="25"/>
  <c r="Q1676" i="25"/>
  <c r="S1676" i="25"/>
  <c r="T1676" i="25"/>
  <c r="U1676" i="25"/>
  <c r="V1676" i="25"/>
  <c r="W1676" i="25"/>
  <c r="X1676" i="25"/>
  <c r="Y1676" i="25"/>
  <c r="Z1676" i="25"/>
  <c r="AA1676" i="25"/>
  <c r="AB1676" i="25"/>
  <c r="AC1676" i="25"/>
  <c r="AD1676" i="25"/>
  <c r="AE1676" i="25"/>
  <c r="AF1676" i="25"/>
  <c r="AG1676" i="25"/>
  <c r="J1677" i="25"/>
  <c r="M1677" i="25"/>
  <c r="N1677" i="25"/>
  <c r="P1677" i="25"/>
  <c r="Q1677" i="25"/>
  <c r="S1677" i="25"/>
  <c r="T1677" i="25"/>
  <c r="U1677" i="25"/>
  <c r="V1677" i="25"/>
  <c r="W1677" i="25"/>
  <c r="X1677" i="25"/>
  <c r="Y1677" i="25"/>
  <c r="Z1677" i="25"/>
  <c r="AA1677" i="25"/>
  <c r="AB1677" i="25"/>
  <c r="AC1677" i="25"/>
  <c r="AD1677" i="25"/>
  <c r="AE1677" i="25"/>
  <c r="AF1677" i="25"/>
  <c r="AG1677" i="25"/>
  <c r="J1678" i="25"/>
  <c r="M1678" i="25"/>
  <c r="N1678" i="25"/>
  <c r="P1678" i="25"/>
  <c r="Q1678" i="25"/>
  <c r="S1678" i="25"/>
  <c r="T1678" i="25"/>
  <c r="U1678" i="25"/>
  <c r="V1678" i="25"/>
  <c r="W1678" i="25"/>
  <c r="X1678" i="25"/>
  <c r="Y1678" i="25"/>
  <c r="Z1678" i="25"/>
  <c r="AA1678" i="25"/>
  <c r="AB1678" i="25"/>
  <c r="AC1678" i="25"/>
  <c r="AD1678" i="25"/>
  <c r="AE1678" i="25"/>
  <c r="AF1678" i="25"/>
  <c r="AG1678" i="25"/>
  <c r="J1679" i="25"/>
  <c r="M1679" i="25"/>
  <c r="N1679" i="25"/>
  <c r="P1679" i="25"/>
  <c r="Q1679" i="25"/>
  <c r="S1679" i="25"/>
  <c r="T1679" i="25"/>
  <c r="U1679" i="25"/>
  <c r="V1679" i="25"/>
  <c r="W1679" i="25"/>
  <c r="X1679" i="25"/>
  <c r="Y1679" i="25"/>
  <c r="Z1679" i="25"/>
  <c r="AA1679" i="25"/>
  <c r="AB1679" i="25"/>
  <c r="AC1679" i="25"/>
  <c r="AD1679" i="25"/>
  <c r="AE1679" i="25"/>
  <c r="AF1679" i="25"/>
  <c r="AG1679" i="25"/>
  <c r="J1680" i="25"/>
  <c r="M1680" i="25"/>
  <c r="N1680" i="25"/>
  <c r="P1680" i="25"/>
  <c r="Q1680" i="25"/>
  <c r="S1680" i="25"/>
  <c r="T1680" i="25"/>
  <c r="U1680" i="25"/>
  <c r="V1680" i="25"/>
  <c r="W1680" i="25"/>
  <c r="X1680" i="25"/>
  <c r="Y1680" i="25"/>
  <c r="Z1680" i="25"/>
  <c r="AA1680" i="25"/>
  <c r="AB1680" i="25"/>
  <c r="AC1680" i="25"/>
  <c r="AD1680" i="25"/>
  <c r="AE1680" i="25"/>
  <c r="AF1680" i="25"/>
  <c r="AG1680" i="25"/>
  <c r="J1681" i="25"/>
  <c r="M1681" i="25"/>
  <c r="N1681" i="25"/>
  <c r="P1681" i="25"/>
  <c r="Q1681" i="25"/>
  <c r="S1681" i="25"/>
  <c r="T1681" i="25"/>
  <c r="U1681" i="25"/>
  <c r="V1681" i="25"/>
  <c r="W1681" i="25"/>
  <c r="X1681" i="25"/>
  <c r="Y1681" i="25"/>
  <c r="Z1681" i="25"/>
  <c r="AA1681" i="25"/>
  <c r="AB1681" i="25"/>
  <c r="AC1681" i="25"/>
  <c r="AD1681" i="25"/>
  <c r="AE1681" i="25"/>
  <c r="AF1681" i="25"/>
  <c r="AG1681" i="25"/>
  <c r="J1682" i="25"/>
  <c r="M1682" i="25"/>
  <c r="N1682" i="25"/>
  <c r="P1682" i="25"/>
  <c r="Q1682" i="25"/>
  <c r="S1682" i="25"/>
  <c r="T1682" i="25"/>
  <c r="U1682" i="25"/>
  <c r="V1682" i="25"/>
  <c r="W1682" i="25"/>
  <c r="X1682" i="25"/>
  <c r="Y1682" i="25"/>
  <c r="Z1682" i="25"/>
  <c r="AA1682" i="25"/>
  <c r="AB1682" i="25"/>
  <c r="AC1682" i="25"/>
  <c r="AD1682" i="25"/>
  <c r="AE1682" i="25"/>
  <c r="AF1682" i="25"/>
  <c r="AG1682" i="25"/>
  <c r="J1683" i="25"/>
  <c r="M1683" i="25"/>
  <c r="N1683" i="25"/>
  <c r="P1683" i="25"/>
  <c r="Q1683" i="25"/>
  <c r="S1683" i="25"/>
  <c r="T1683" i="25"/>
  <c r="U1683" i="25"/>
  <c r="V1683" i="25"/>
  <c r="W1683" i="25"/>
  <c r="X1683" i="25"/>
  <c r="Y1683" i="25"/>
  <c r="Z1683" i="25"/>
  <c r="AA1683" i="25"/>
  <c r="AB1683" i="25"/>
  <c r="AC1683" i="25"/>
  <c r="AD1683" i="25"/>
  <c r="AE1683" i="25"/>
  <c r="AF1683" i="25"/>
  <c r="AG1683" i="25"/>
  <c r="J1684" i="25"/>
  <c r="M1684" i="25"/>
  <c r="N1684" i="25"/>
  <c r="P1684" i="25"/>
  <c r="Q1684" i="25"/>
  <c r="S1684" i="25"/>
  <c r="T1684" i="25"/>
  <c r="U1684" i="25"/>
  <c r="V1684" i="25"/>
  <c r="W1684" i="25"/>
  <c r="X1684" i="25"/>
  <c r="Y1684" i="25"/>
  <c r="Z1684" i="25"/>
  <c r="AA1684" i="25"/>
  <c r="AB1684" i="25"/>
  <c r="AC1684" i="25"/>
  <c r="AD1684" i="25"/>
  <c r="AE1684" i="25"/>
  <c r="AF1684" i="25"/>
  <c r="AG1684" i="25"/>
  <c r="J1685" i="25"/>
  <c r="M1685" i="25"/>
  <c r="N1685" i="25"/>
  <c r="P1685" i="25"/>
  <c r="Q1685" i="25"/>
  <c r="S1685" i="25"/>
  <c r="T1685" i="25"/>
  <c r="U1685" i="25"/>
  <c r="V1685" i="25"/>
  <c r="W1685" i="25"/>
  <c r="X1685" i="25"/>
  <c r="Y1685" i="25"/>
  <c r="Z1685" i="25"/>
  <c r="AA1685" i="25"/>
  <c r="AB1685" i="25"/>
  <c r="AC1685" i="25"/>
  <c r="AD1685" i="25"/>
  <c r="AE1685" i="25"/>
  <c r="AF1685" i="25"/>
  <c r="AG1685" i="25"/>
  <c r="T30" i="11"/>
  <c r="U30" i="11"/>
  <c r="V30" i="11"/>
  <c r="T31" i="11"/>
  <c r="U31" i="11"/>
  <c r="V31" i="11"/>
  <c r="T32" i="11"/>
  <c r="U32" i="11"/>
  <c r="V32" i="11"/>
  <c r="T33" i="11"/>
  <c r="U33" i="11"/>
  <c r="V33" i="11"/>
  <c r="T34" i="11"/>
  <c r="U34" i="11"/>
  <c r="V34" i="11"/>
  <c r="T35" i="11"/>
  <c r="U35" i="11"/>
  <c r="V35" i="11"/>
  <c r="T36" i="11"/>
  <c r="U36" i="11"/>
  <c r="V36" i="11"/>
  <c r="T37" i="11"/>
  <c r="U37" i="11"/>
  <c r="V37" i="11"/>
  <c r="T38" i="11"/>
  <c r="U38" i="11"/>
  <c r="V38" i="11"/>
  <c r="T39" i="11"/>
  <c r="U39" i="11"/>
  <c r="V39" i="11"/>
  <c r="T40" i="11"/>
  <c r="U40" i="11"/>
  <c r="V40" i="11"/>
  <c r="T41" i="11"/>
  <c r="U41" i="11"/>
  <c r="V41" i="11"/>
  <c r="T42" i="11"/>
  <c r="U42" i="11"/>
  <c r="V42" i="11"/>
  <c r="T43" i="11"/>
  <c r="U43" i="11"/>
  <c r="V43" i="11"/>
  <c r="T44" i="11"/>
  <c r="U44" i="11"/>
  <c r="V44" i="11"/>
  <c r="T45" i="11"/>
  <c r="U45" i="11"/>
  <c r="V45" i="11"/>
  <c r="T46" i="11"/>
  <c r="U46" i="11"/>
  <c r="V46" i="11"/>
  <c r="T47" i="11"/>
  <c r="U47" i="11"/>
  <c r="V47" i="11"/>
  <c r="T48" i="11"/>
  <c r="U48" i="11"/>
  <c r="V48" i="11"/>
  <c r="T50" i="11"/>
  <c r="U50" i="11"/>
  <c r="V50" i="11"/>
  <c r="T51" i="11"/>
  <c r="U51" i="11"/>
  <c r="V51" i="11"/>
  <c r="T52" i="11"/>
  <c r="U52" i="11"/>
  <c r="V52" i="11"/>
  <c r="T53" i="11"/>
  <c r="U53" i="11"/>
  <c r="V53" i="11"/>
  <c r="T54" i="11"/>
  <c r="U54" i="11"/>
  <c r="V54" i="11"/>
  <c r="T55" i="11"/>
  <c r="U55" i="11"/>
  <c r="V55" i="11"/>
  <c r="T56" i="11"/>
  <c r="U56" i="11"/>
  <c r="V56" i="11"/>
  <c r="T57" i="11"/>
  <c r="U57" i="11"/>
  <c r="V57" i="11"/>
  <c r="T58" i="11"/>
  <c r="U58" i="11"/>
  <c r="V58" i="11"/>
  <c r="T59" i="11"/>
  <c r="U59" i="11"/>
  <c r="V59" i="11"/>
  <c r="T60" i="11"/>
  <c r="U60" i="11"/>
  <c r="V60" i="11"/>
  <c r="T61" i="11"/>
  <c r="U61" i="11"/>
  <c r="V61" i="11"/>
  <c r="T62" i="11"/>
  <c r="U62" i="11"/>
  <c r="V62" i="11"/>
  <c r="T63" i="11"/>
  <c r="U63" i="11"/>
  <c r="V63" i="11"/>
  <c r="T64" i="11"/>
  <c r="U64" i="11"/>
  <c r="V64" i="11"/>
  <c r="T65" i="11"/>
  <c r="U65" i="11"/>
  <c r="V65" i="11"/>
  <c r="T66" i="11"/>
  <c r="U66" i="11"/>
  <c r="V66" i="11"/>
  <c r="T67" i="11"/>
  <c r="U67" i="11"/>
  <c r="V67" i="11"/>
  <c r="T68" i="11"/>
  <c r="U68" i="11"/>
  <c r="V68" i="11"/>
  <c r="T69" i="11"/>
  <c r="U69" i="11"/>
  <c r="V69" i="11"/>
  <c r="T70" i="11"/>
  <c r="U70" i="11"/>
  <c r="V70" i="11"/>
  <c r="T71" i="11"/>
  <c r="U71" i="11"/>
  <c r="V71" i="11"/>
  <c r="T72" i="11"/>
  <c r="U72" i="11"/>
  <c r="V72" i="11"/>
  <c r="T73" i="11"/>
  <c r="U73" i="11"/>
  <c r="V73" i="11"/>
  <c r="T74" i="11"/>
  <c r="U74" i="11"/>
  <c r="V74" i="11"/>
  <c r="T75" i="11"/>
  <c r="U75" i="11"/>
  <c r="V75" i="11"/>
  <c r="T76" i="11"/>
  <c r="U76" i="11"/>
  <c r="V76" i="11"/>
  <c r="T77" i="11"/>
  <c r="U77" i="11"/>
  <c r="V77" i="11"/>
  <c r="T78" i="11"/>
  <c r="U78" i="11"/>
  <c r="V78" i="11"/>
  <c r="T79" i="11"/>
  <c r="U79" i="11"/>
  <c r="V79" i="11"/>
  <c r="T80" i="11"/>
  <c r="U80" i="11"/>
  <c r="V80" i="11"/>
  <c r="T81" i="11"/>
  <c r="U81" i="11"/>
  <c r="V81" i="11"/>
  <c r="T82" i="11"/>
  <c r="U82" i="11"/>
  <c r="V82" i="11"/>
  <c r="T83" i="11"/>
  <c r="U83" i="11"/>
  <c r="V83" i="11"/>
  <c r="T84" i="11"/>
  <c r="U84" i="11"/>
  <c r="V84" i="11"/>
  <c r="T85" i="11"/>
  <c r="U85" i="11"/>
  <c r="V85" i="11"/>
  <c r="T86" i="11"/>
  <c r="U86" i="11"/>
  <c r="V86" i="11"/>
  <c r="T87" i="11"/>
  <c r="U87" i="11"/>
  <c r="V87" i="11"/>
  <c r="T88" i="11"/>
  <c r="U88" i="11"/>
  <c r="V88" i="11"/>
  <c r="T89" i="11"/>
  <c r="U89" i="11"/>
  <c r="V89" i="11"/>
  <c r="T90" i="11"/>
  <c r="U90" i="11"/>
  <c r="V90" i="11"/>
  <c r="T91" i="11"/>
  <c r="U91" i="11"/>
  <c r="V91" i="11"/>
  <c r="T92" i="11"/>
  <c r="U92" i="11"/>
  <c r="V92" i="11"/>
  <c r="T93" i="11"/>
  <c r="U93" i="11"/>
  <c r="V93" i="11"/>
  <c r="T94" i="11"/>
  <c r="U94" i="11"/>
  <c r="V94" i="11"/>
  <c r="T95" i="11"/>
  <c r="U95" i="11"/>
  <c r="V95" i="11"/>
  <c r="T97" i="11"/>
  <c r="U97" i="11"/>
  <c r="V97" i="11"/>
  <c r="T98" i="11"/>
  <c r="U98" i="11"/>
  <c r="V98" i="11"/>
  <c r="T99" i="11"/>
  <c r="U99" i="11"/>
  <c r="V99" i="11"/>
  <c r="K17" i="11" a="1"/>
  <c r="K17" i="11" s="1"/>
  <c r="L17" i="11" s="1"/>
  <c r="K18" i="11" a="1"/>
  <c r="K18" i="11" s="1"/>
  <c r="L18" i="11" s="1"/>
  <c r="K19" i="11" a="1"/>
  <c r="K19" i="11"/>
  <c r="L19" i="11" s="1"/>
  <c r="K20" i="11" a="1"/>
  <c r="K20" i="11" s="1"/>
  <c r="L20" i="11" s="1"/>
  <c r="K21" i="11" a="1"/>
  <c r="K21" i="11"/>
  <c r="L21" i="11" s="1"/>
  <c r="K22" i="11" a="1"/>
  <c r="K22" i="11" s="1"/>
  <c r="L22" i="11" s="1"/>
  <c r="K23" i="11" a="1"/>
  <c r="K23" i="11"/>
  <c r="L23" i="11" s="1"/>
  <c r="K24" i="11" a="1"/>
  <c r="K24" i="11" s="1"/>
  <c r="L24" i="11" s="1"/>
  <c r="K25" i="11" a="1"/>
  <c r="K25" i="11" s="1"/>
  <c r="L25" i="11" s="1"/>
  <c r="K26" i="11" a="1"/>
  <c r="K26" i="11" s="1"/>
  <c r="L26" i="11" s="1"/>
  <c r="K27" i="11" a="1"/>
  <c r="K27" i="11"/>
  <c r="L27" i="11" s="1"/>
  <c r="K28" i="11" a="1"/>
  <c r="K28" i="11" s="1"/>
  <c r="L28" i="11" s="1"/>
  <c r="K29" i="11" a="1"/>
  <c r="K29" i="11"/>
  <c r="L29" i="11" s="1"/>
  <c r="K30" i="11" a="1"/>
  <c r="K30" i="11" s="1"/>
  <c r="L30" i="11" s="1"/>
  <c r="K31" i="11" a="1"/>
  <c r="K31" i="11"/>
  <c r="L31" i="11" s="1"/>
  <c r="F31" i="11" s="1"/>
  <c r="K32" i="11" a="1"/>
  <c r="K32" i="11" s="1"/>
  <c r="L32" i="11" s="1"/>
  <c r="F32" i="11" s="1"/>
  <c r="K33" i="11" a="1"/>
  <c r="K33" i="11" s="1"/>
  <c r="L33" i="11" s="1"/>
  <c r="F33" i="11" s="1"/>
  <c r="K34" i="11" a="1"/>
  <c r="K34" i="11" s="1"/>
  <c r="L34" i="11" s="1"/>
  <c r="F34" i="11" s="1"/>
  <c r="K35" i="11" a="1"/>
  <c r="K35" i="11"/>
  <c r="L35" i="11" s="1"/>
  <c r="F35" i="11" s="1"/>
  <c r="K36" i="11" a="1"/>
  <c r="K36" i="11" s="1"/>
  <c r="L36" i="11" s="1"/>
  <c r="F36" i="11" s="1"/>
  <c r="K37" i="11" a="1"/>
  <c r="K37" i="11"/>
  <c r="L37" i="11" s="1"/>
  <c r="F37" i="11" s="1"/>
  <c r="K38" i="11" a="1"/>
  <c r="K38" i="11" s="1"/>
  <c r="L38" i="11" s="1"/>
  <c r="F38" i="11" s="1"/>
  <c r="K39" i="11" a="1"/>
  <c r="K39" i="11"/>
  <c r="L39" i="11" s="1"/>
  <c r="F39" i="11" s="1"/>
  <c r="K40" i="11" a="1"/>
  <c r="K40" i="11" s="1"/>
  <c r="L40" i="11" s="1"/>
  <c r="F40" i="11" s="1"/>
  <c r="K41" i="11" a="1"/>
  <c r="K41" i="11" s="1"/>
  <c r="L41" i="11" s="1"/>
  <c r="F41" i="11" s="1"/>
  <c r="K42" i="11" a="1"/>
  <c r="K42" i="11" s="1"/>
  <c r="L42" i="11" s="1"/>
  <c r="F42" i="11" s="1"/>
  <c r="K43" i="11" a="1"/>
  <c r="K43" i="11"/>
  <c r="L43" i="11" s="1"/>
  <c r="F43" i="11" s="1"/>
  <c r="K44" i="11" a="1"/>
  <c r="K44" i="11" s="1"/>
  <c r="L44" i="11" s="1"/>
  <c r="F44" i="11" s="1"/>
  <c r="K45" i="11" a="1"/>
  <c r="K45" i="11"/>
  <c r="L45" i="11" s="1"/>
  <c r="F45" i="11" s="1"/>
  <c r="K46" i="11" a="1"/>
  <c r="K46" i="11" s="1"/>
  <c r="L46" i="11" s="1"/>
  <c r="F46" i="11" s="1"/>
  <c r="K47" i="11" a="1"/>
  <c r="K47" i="11"/>
  <c r="L47" i="11" s="1"/>
  <c r="F47" i="11" s="1"/>
  <c r="K48" i="11" a="1"/>
  <c r="K48" i="11" s="1"/>
  <c r="L48" i="11" s="1"/>
  <c r="F48" i="11" s="1"/>
  <c r="K49" i="11" a="1"/>
  <c r="K49" i="11" s="1"/>
  <c r="L49" i="11" s="1"/>
  <c r="F49" i="11" s="1"/>
  <c r="K50" i="11" a="1"/>
  <c r="K50" i="11" s="1"/>
  <c r="L50" i="11" s="1"/>
  <c r="F50" i="11" s="1"/>
  <c r="K51" i="11" a="1"/>
  <c r="K51" i="11"/>
  <c r="L51" i="11" s="1"/>
  <c r="F51" i="11" s="1"/>
  <c r="K52" i="11" a="1"/>
  <c r="K52" i="11" s="1"/>
  <c r="L52" i="11" s="1"/>
  <c r="F52" i="11" s="1"/>
  <c r="K53" i="11" a="1"/>
  <c r="K53" i="11"/>
  <c r="L53" i="11" s="1"/>
  <c r="F53" i="11" s="1"/>
  <c r="K54" i="11" a="1"/>
  <c r="K54" i="11" s="1"/>
  <c r="L54" i="11" s="1"/>
  <c r="K55" i="11" a="1"/>
  <c r="K55" i="11"/>
  <c r="L55" i="11"/>
  <c r="K56" i="11" a="1"/>
  <c r="K56" i="11" s="1"/>
  <c r="L56" i="11" s="1"/>
  <c r="F56" i="11" s="1"/>
  <c r="K57" i="11" a="1"/>
  <c r="K57" i="11" s="1"/>
  <c r="L57" i="11" s="1"/>
  <c r="F57" i="11" s="1"/>
  <c r="K58" i="11" a="1"/>
  <c r="K58" i="11"/>
  <c r="L58" i="11"/>
  <c r="K59" i="11" a="1"/>
  <c r="K59" i="11"/>
  <c r="L59" i="11" s="1"/>
  <c r="F59" i="11" s="1"/>
  <c r="K60" i="11" a="1"/>
  <c r="K60" i="11" s="1"/>
  <c r="L60" i="11" s="1"/>
  <c r="F60" i="11" s="1"/>
  <c r="K61" i="11" a="1"/>
  <c r="K61" i="11"/>
  <c r="L61" i="11" s="1"/>
  <c r="F61" i="11" s="1"/>
  <c r="K62" i="11" a="1"/>
  <c r="K62" i="11" s="1"/>
  <c r="L62" i="11" s="1"/>
  <c r="F62" i="11" s="1"/>
  <c r="K63" i="11" a="1"/>
  <c r="K63" i="11" s="1"/>
  <c r="L63" i="11" s="1"/>
  <c r="F63" i="11" s="1"/>
  <c r="K64" i="11" a="1"/>
  <c r="K64" i="11" s="1"/>
  <c r="L64" i="11" s="1"/>
  <c r="F64" i="11" s="1"/>
  <c r="K65" i="11" a="1"/>
  <c r="K65" i="11" s="1"/>
  <c r="L65" i="11" s="1"/>
  <c r="F65" i="11" s="1"/>
  <c r="K66" i="11" a="1"/>
  <c r="K66" i="11"/>
  <c r="L66" i="11"/>
  <c r="K67" i="11" a="1"/>
  <c r="K67" i="11"/>
  <c r="L67" i="11" s="1"/>
  <c r="F67" i="11" s="1"/>
  <c r="K68" i="11" a="1"/>
  <c r="K68" i="11" s="1"/>
  <c r="L68" i="11" s="1"/>
  <c r="F68" i="11" s="1"/>
  <c r="K69" i="11" a="1"/>
  <c r="K69" i="11"/>
  <c r="L69" i="11" s="1"/>
  <c r="F69" i="11" s="1"/>
  <c r="K70" i="11" a="1"/>
  <c r="K70" i="11" s="1"/>
  <c r="L70" i="11" s="1"/>
  <c r="F70" i="11" s="1"/>
  <c r="K71" i="11" a="1"/>
  <c r="K71" i="11"/>
  <c r="L71" i="11"/>
  <c r="K72" i="11" a="1"/>
  <c r="K72" i="11" s="1"/>
  <c r="L72" i="11" s="1"/>
  <c r="F72" i="11" s="1"/>
  <c r="K73" i="11" a="1"/>
  <c r="K73" i="11" s="1"/>
  <c r="L73" i="11" s="1"/>
  <c r="F73" i="11" s="1"/>
  <c r="K74" i="11" a="1"/>
  <c r="K74" i="11"/>
  <c r="L74" i="11"/>
  <c r="K75" i="11" a="1"/>
  <c r="K75" i="11"/>
  <c r="L75" i="11" s="1"/>
  <c r="F75" i="11" s="1"/>
  <c r="K76" i="11" a="1"/>
  <c r="K76" i="11" s="1"/>
  <c r="L76" i="11" s="1"/>
  <c r="F76" i="11" s="1"/>
  <c r="K77" i="11" a="1"/>
  <c r="K77" i="11"/>
  <c r="L77" i="11" s="1"/>
  <c r="F77" i="11" s="1"/>
  <c r="K78" i="11" a="1"/>
  <c r="K78" i="11" s="1"/>
  <c r="L78" i="11" s="1"/>
  <c r="F78" i="11" s="1"/>
  <c r="K79" i="11" a="1"/>
  <c r="K79" i="11" s="1"/>
  <c r="L79" i="11" s="1"/>
  <c r="F79" i="11" s="1"/>
  <c r="K80" i="11" a="1"/>
  <c r="K80" i="11" s="1"/>
  <c r="L80" i="11" s="1"/>
  <c r="F80" i="11" s="1"/>
  <c r="K81" i="11" a="1"/>
  <c r="K81" i="11" s="1"/>
  <c r="L81" i="11" s="1"/>
  <c r="F81" i="11" s="1"/>
  <c r="K82" i="11" a="1"/>
  <c r="K82" i="11"/>
  <c r="L82" i="11"/>
  <c r="K83" i="11" a="1"/>
  <c r="K83" i="11"/>
  <c r="L83" i="11" s="1"/>
  <c r="F83" i="11" s="1"/>
  <c r="K84" i="11" a="1"/>
  <c r="K84" i="11" s="1"/>
  <c r="L84" i="11" s="1"/>
  <c r="F84" i="11" s="1"/>
  <c r="K85" i="11" a="1"/>
  <c r="K85" i="11"/>
  <c r="L85" i="11" s="1"/>
  <c r="F85" i="11" s="1"/>
  <c r="K86" i="11" a="1"/>
  <c r="K86" i="11" s="1"/>
  <c r="L86" i="11" s="1"/>
  <c r="F86" i="11" s="1"/>
  <c r="K87" i="11" a="1"/>
  <c r="K87" i="11" s="1"/>
  <c r="L87" i="11" s="1"/>
  <c r="F87" i="11" s="1"/>
  <c r="K88" i="11" a="1"/>
  <c r="K88" i="11" s="1"/>
  <c r="L88" i="11" s="1"/>
  <c r="F88" i="11" s="1"/>
  <c r="K89" i="11" a="1"/>
  <c r="K89" i="11" s="1"/>
  <c r="L89" i="11" s="1"/>
  <c r="F89" i="11" s="1"/>
  <c r="K90" i="11" a="1"/>
  <c r="K90" i="11" s="1"/>
  <c r="L90" i="11" s="1"/>
  <c r="F90" i="11" s="1"/>
  <c r="K91" i="11" a="1"/>
  <c r="K91" i="11"/>
  <c r="L91" i="11" s="1"/>
  <c r="F91" i="11" s="1"/>
  <c r="K92" i="11" a="1"/>
  <c r="K92" i="11" s="1"/>
  <c r="L92" i="11" s="1"/>
  <c r="F92" i="11" s="1"/>
  <c r="K93" i="11" a="1"/>
  <c r="K93" i="11"/>
  <c r="L93" i="11" s="1"/>
  <c r="F93" i="11" s="1"/>
  <c r="K94" i="11" a="1"/>
  <c r="K94" i="11" s="1"/>
  <c r="L94" i="11" s="1"/>
  <c r="F94" i="11" s="1"/>
  <c r="K95" i="11" a="1"/>
  <c r="K95" i="11" s="1"/>
  <c r="L95" i="11" s="1"/>
  <c r="F95" i="11" s="1"/>
  <c r="K96" i="11" a="1"/>
  <c r="K96" i="11" s="1"/>
  <c r="L96" i="11" s="1"/>
  <c r="F96" i="11" s="1"/>
  <c r="K97" i="11" a="1"/>
  <c r="K97" i="11" s="1"/>
  <c r="L97" i="11" s="1"/>
  <c r="F97" i="11" s="1"/>
  <c r="K98" i="11" a="1"/>
  <c r="K98" i="11" s="1"/>
  <c r="L98" i="11" s="1"/>
  <c r="F98" i="11" s="1"/>
  <c r="K99" i="11" a="1"/>
  <c r="K99" i="11"/>
  <c r="L99" i="11" s="1"/>
  <c r="I96" i="11"/>
  <c r="F55" i="11"/>
  <c r="F58" i="11"/>
  <c r="F66" i="11"/>
  <c r="F71" i="11"/>
  <c r="F74" i="11"/>
  <c r="F82" i="11"/>
  <c r="I39" i="11"/>
  <c r="I40" i="11"/>
  <c r="I41" i="11"/>
  <c r="I42" i="11"/>
  <c r="I43" i="11"/>
  <c r="I44" i="11"/>
  <c r="I45" i="11"/>
  <c r="I46" i="11"/>
  <c r="I47" i="11"/>
  <c r="I48" i="11"/>
  <c r="I49" i="11"/>
  <c r="I50" i="11"/>
  <c r="I51" i="11"/>
  <c r="I52" i="11"/>
  <c r="I53" i="11"/>
  <c r="I54" i="11"/>
  <c r="I55" i="11"/>
  <c r="I56" i="11"/>
  <c r="I57" i="11"/>
  <c r="I58" i="11"/>
  <c r="I59" i="11"/>
  <c r="I60" i="11"/>
  <c r="I61" i="11"/>
  <c r="I62" i="11"/>
  <c r="I63" i="11"/>
  <c r="I64" i="11"/>
  <c r="I65" i="11"/>
  <c r="I66" i="11"/>
  <c r="I67" i="11"/>
  <c r="I68" i="11"/>
  <c r="I69" i="11"/>
  <c r="I70" i="11"/>
  <c r="I71" i="11"/>
  <c r="I72" i="11"/>
  <c r="I73" i="11"/>
  <c r="I74" i="11"/>
  <c r="I75" i="11"/>
  <c r="I76" i="11"/>
  <c r="I77" i="11"/>
  <c r="I78" i="11"/>
  <c r="I36" i="11"/>
  <c r="I37" i="11"/>
  <c r="I38" i="11"/>
  <c r="I79" i="11"/>
  <c r="I80" i="11"/>
  <c r="I81" i="11"/>
  <c r="I82" i="11"/>
  <c r="I83" i="11"/>
  <c r="I84" i="11"/>
  <c r="I85" i="11"/>
  <c r="I86" i="11"/>
  <c r="I87" i="11"/>
  <c r="I88" i="11"/>
  <c r="I89" i="11"/>
  <c r="I90" i="11"/>
  <c r="I91" i="11"/>
  <c r="I92" i="11"/>
  <c r="I94" i="11"/>
  <c r="I95" i="11"/>
  <c r="I97" i="11"/>
  <c r="I93" i="11"/>
  <c r="I98" i="11"/>
  <c r="V71" i="31" l="1"/>
  <c r="AE1125" i="25" s="1"/>
  <c r="W25" i="31"/>
  <c r="V11" i="31"/>
  <c r="AE1065" i="25" s="1"/>
  <c r="W11" i="31"/>
  <c r="AF1065" i="25" s="1"/>
  <c r="R7" i="31" a="1"/>
  <c r="R7" i="31" s="1"/>
  <c r="D17" i="18" s="1"/>
  <c r="S7" i="31" a="1"/>
  <c r="S7" i="31" s="1"/>
  <c r="AB1061" i="25" s="1"/>
  <c r="W55" i="31"/>
  <c r="Z55" i="31" s="1" a="1"/>
  <c r="Z55" i="31" s="1"/>
  <c r="W23" i="31"/>
  <c r="AF1077" i="25" s="1"/>
  <c r="W291" i="30"/>
  <c r="AF1060" i="25" s="1"/>
  <c r="W1060" i="25"/>
  <c r="AJ1060" i="25" s="1"/>
  <c r="V17" i="31"/>
  <c r="AE1071" i="25" s="1"/>
  <c r="W17" i="31"/>
  <c r="AF1071" i="25" s="1"/>
  <c r="V23" i="31"/>
  <c r="AE1077" i="25" s="1"/>
  <c r="V194" i="30"/>
  <c r="AE963" i="25" s="1"/>
  <c r="W194" i="30"/>
  <c r="AF963" i="25" s="1"/>
  <c r="V274" i="30"/>
  <c r="AE1043" i="25" s="1"/>
  <c r="W274" i="30"/>
  <c r="AF1043" i="25" s="1"/>
  <c r="V266" i="30"/>
  <c r="AE1035" i="25" s="1"/>
  <c r="W266" i="30"/>
  <c r="AF1035" i="25" s="1"/>
  <c r="V232" i="30"/>
  <c r="AE1001" i="25" s="1"/>
  <c r="W232" i="30"/>
  <c r="AF1001" i="25" s="1"/>
  <c r="V231" i="30"/>
  <c r="AE1000" i="25" s="1"/>
  <c r="W231" i="30"/>
  <c r="AF1000" i="25" s="1"/>
  <c r="V192" i="30"/>
  <c r="W192" i="30"/>
  <c r="AF961" i="25" s="1"/>
  <c r="V187" i="30"/>
  <c r="AE956" i="25" s="1"/>
  <c r="W187" i="30"/>
  <c r="AF956" i="25" s="1"/>
  <c r="V261" i="30"/>
  <c r="AE1030" i="25" s="1"/>
  <c r="W261" i="30"/>
  <c r="AF1030" i="25" s="1"/>
  <c r="V281" i="30"/>
  <c r="AE1050" i="25" s="1"/>
  <c r="W281" i="30"/>
  <c r="AF1050" i="25" s="1"/>
  <c r="V210" i="30"/>
  <c r="AE979" i="25" s="1"/>
  <c r="W210" i="30"/>
  <c r="V186" i="30"/>
  <c r="AE955" i="25" s="1"/>
  <c r="W186" i="30"/>
  <c r="AF964" i="25"/>
  <c r="V195" i="30"/>
  <c r="AE964" i="25" s="1"/>
  <c r="W952" i="25"/>
  <c r="AJ952" i="25" s="1"/>
  <c r="V183" i="30"/>
  <c r="AE952" i="25" s="1"/>
  <c r="W1019" i="25"/>
  <c r="AJ1019" i="25" s="1"/>
  <c r="V250" i="30"/>
  <c r="AE1019" i="25" s="1"/>
  <c r="W1027" i="25"/>
  <c r="AJ1027" i="25" s="1"/>
  <c r="V258" i="30"/>
  <c r="AE1027" i="25" s="1"/>
  <c r="W1023" i="25"/>
  <c r="AJ1023" i="25" s="1"/>
  <c r="V254" i="30"/>
  <c r="AE1023" i="25" s="1"/>
  <c r="W968" i="25"/>
  <c r="AJ968" i="25" s="1"/>
  <c r="V199" i="30"/>
  <c r="AE968" i="25" s="1"/>
  <c r="W1042" i="25"/>
  <c r="AJ1042" i="25" s="1"/>
  <c r="V273" i="30"/>
  <c r="AJ1058" i="25"/>
  <c r="V292" i="30"/>
  <c r="W972" i="25"/>
  <c r="AJ972" i="25" s="1"/>
  <c r="V203" i="30"/>
  <c r="AE972" i="25" s="1"/>
  <c r="W965" i="25"/>
  <c r="AJ965" i="25" s="1"/>
  <c r="V196" i="30"/>
  <c r="AE965" i="25" s="1"/>
  <c r="V298" i="30"/>
  <c r="V246" i="30"/>
  <c r="AE1015" i="25" s="1"/>
  <c r="W970" i="25"/>
  <c r="AJ970" i="25" s="1"/>
  <c r="V201" i="30"/>
  <c r="AE970" i="25" s="1"/>
  <c r="W981" i="25"/>
  <c r="AJ981" i="25" s="1"/>
  <c r="V212" i="30"/>
  <c r="AE981" i="25" s="1"/>
  <c r="V280" i="30"/>
  <c r="AE1049" i="25" s="1"/>
  <c r="W974" i="25"/>
  <c r="AJ974" i="25" s="1"/>
  <c r="V205" i="30"/>
  <c r="AE974" i="25" s="1"/>
  <c r="W953" i="25"/>
  <c r="AJ953" i="25" s="1"/>
  <c r="V184" i="30"/>
  <c r="AE953" i="25" s="1"/>
  <c r="W1004" i="25"/>
  <c r="AJ1004" i="25" s="1"/>
  <c r="V235" i="30"/>
  <c r="AE1004" i="25" s="1"/>
  <c r="W1020" i="25"/>
  <c r="AJ1020" i="25" s="1"/>
  <c r="V251" i="30"/>
  <c r="AE1020" i="25" s="1"/>
  <c r="W977" i="25"/>
  <c r="AJ977" i="25" s="1"/>
  <c r="V208" i="30"/>
  <c r="AE977" i="25" s="1"/>
  <c r="W971" i="25"/>
  <c r="AJ971" i="25" s="1"/>
  <c r="V202" i="30"/>
  <c r="AE971" i="25" s="1"/>
  <c r="W985" i="25"/>
  <c r="AJ985" i="25" s="1"/>
  <c r="V216" i="30"/>
  <c r="AE985" i="25" s="1"/>
  <c r="W1036" i="25"/>
  <c r="AJ1036" i="25" s="1"/>
  <c r="V267" i="30"/>
  <c r="AE1036" i="25" s="1"/>
  <c r="W1018" i="25"/>
  <c r="AJ1018" i="25" s="1"/>
  <c r="V249" i="30"/>
  <c r="AE1018" i="25" s="1"/>
  <c r="W1009" i="25"/>
  <c r="AJ1009" i="25" s="1"/>
  <c r="V240" i="30"/>
  <c r="AE1009" i="25" s="1"/>
  <c r="AF962" i="25"/>
  <c r="V193" i="30"/>
  <c r="Z193" i="30" s="1" a="1"/>
  <c r="Z193" i="30" s="1"/>
  <c r="W1013" i="25"/>
  <c r="AJ1013" i="25" s="1"/>
  <c r="V244" i="30"/>
  <c r="Z244" i="30" s="1" a="1"/>
  <c r="Z244" i="30" s="1"/>
  <c r="W1052" i="25"/>
  <c r="AJ1052" i="25" s="1"/>
  <c r="V283" i="30"/>
  <c r="AE1052" i="25" s="1"/>
  <c r="W1046" i="25"/>
  <c r="AJ1046" i="25" s="1"/>
  <c r="V277" i="30"/>
  <c r="AE1046" i="25" s="1"/>
  <c r="W1047" i="25"/>
  <c r="AJ1047" i="25" s="1"/>
  <c r="V278" i="30"/>
  <c r="AE1047" i="25" s="1"/>
  <c r="V218" i="30"/>
  <c r="AE987" i="25" s="1"/>
  <c r="W958" i="25"/>
  <c r="AJ958" i="25" s="1"/>
  <c r="V189" i="30"/>
  <c r="AE958" i="25" s="1"/>
  <c r="W1003" i="25"/>
  <c r="AJ1003" i="25" s="1"/>
  <c r="V234" i="30"/>
  <c r="AE1003" i="25" s="1"/>
  <c r="V272" i="30"/>
  <c r="AE1041" i="25" s="1"/>
  <c r="W1017" i="25"/>
  <c r="AJ1017" i="25" s="1"/>
  <c r="V248" i="30"/>
  <c r="AE1017" i="25" s="1"/>
  <c r="W994" i="25"/>
  <c r="AJ994" i="25" s="1"/>
  <c r="V225" i="30"/>
  <c r="AE994" i="25" s="1"/>
  <c r="W969" i="25"/>
  <c r="AJ969" i="25" s="1"/>
  <c r="V200" i="30"/>
  <c r="AE969" i="25" s="1"/>
  <c r="W999" i="25"/>
  <c r="AJ999" i="25" s="1"/>
  <c r="V230" i="30"/>
  <c r="AE999" i="25" s="1"/>
  <c r="W1037" i="25"/>
  <c r="AJ1037" i="25" s="1"/>
  <c r="V268" i="30"/>
  <c r="AE1037" i="25" s="1"/>
  <c r="W988" i="25"/>
  <c r="AJ988" i="25" s="1"/>
  <c r="V219" i="30"/>
  <c r="AE988" i="25" s="1"/>
  <c r="W954" i="25"/>
  <c r="AJ954" i="25" s="1"/>
  <c r="V185" i="30"/>
  <c r="AE954" i="25" s="1"/>
  <c r="W1026" i="25"/>
  <c r="AJ1026" i="25" s="1"/>
  <c r="V257" i="30"/>
  <c r="AE1026" i="25" s="1"/>
  <c r="W1051" i="25"/>
  <c r="AJ1051" i="25" s="1"/>
  <c r="V282" i="30"/>
  <c r="AE1051" i="25" s="1"/>
  <c r="W1002" i="25"/>
  <c r="AJ1002" i="25" s="1"/>
  <c r="V233" i="30"/>
  <c r="AE1002" i="25" s="1"/>
  <c r="W1045" i="25"/>
  <c r="AJ1045" i="25" s="1"/>
  <c r="V276" i="30"/>
  <c r="AE1045" i="25" s="1"/>
  <c r="W1025" i="25"/>
  <c r="AJ1025" i="25" s="1"/>
  <c r="V256" i="30"/>
  <c r="AE1025" i="25" s="1"/>
  <c r="W975" i="25"/>
  <c r="AJ975" i="25" s="1"/>
  <c r="V206" i="30"/>
  <c r="AE975" i="25" s="1"/>
  <c r="W1044" i="25"/>
  <c r="AJ1044" i="25" s="1"/>
  <c r="V275" i="30"/>
  <c r="AE1044" i="25" s="1"/>
  <c r="AF1038" i="25"/>
  <c r="V269" i="30"/>
  <c r="Z269" i="30" s="1" a="1"/>
  <c r="Z269" i="30" s="1"/>
  <c r="W1012" i="25"/>
  <c r="AJ1012" i="25" s="1"/>
  <c r="V243" i="30"/>
  <c r="AE1012" i="25" s="1"/>
  <c r="W1029" i="25"/>
  <c r="AJ1029" i="25" s="1"/>
  <c r="V260" i="30"/>
  <c r="AE1029" i="25" s="1"/>
  <c r="W973" i="25"/>
  <c r="AJ973" i="25" s="1"/>
  <c r="V204" i="30"/>
  <c r="AE973" i="25" s="1"/>
  <c r="W1014" i="25"/>
  <c r="AJ1014" i="25" s="1"/>
  <c r="V245" i="30"/>
  <c r="AE1014" i="25" s="1"/>
  <c r="W1040" i="25"/>
  <c r="AJ1040" i="25" s="1"/>
  <c r="V271" i="30"/>
  <c r="AE1040" i="25" s="1"/>
  <c r="W1053" i="25"/>
  <c r="AJ1053" i="25" s="1"/>
  <c r="V284" i="30"/>
  <c r="AE1053" i="25" s="1"/>
  <c r="W1022" i="25"/>
  <c r="AJ1022" i="25" s="1"/>
  <c r="V253" i="30"/>
  <c r="AE1022" i="25" s="1"/>
  <c r="W990" i="25"/>
  <c r="AJ990" i="25" s="1"/>
  <c r="V221" i="30"/>
  <c r="AE990" i="25" s="1"/>
  <c r="W1010" i="25"/>
  <c r="AJ1010" i="25" s="1"/>
  <c r="V241" i="30"/>
  <c r="AE1010" i="25" s="1"/>
  <c r="W959" i="25"/>
  <c r="AJ959" i="25" s="1"/>
  <c r="V190" i="30"/>
  <c r="AE959" i="25" s="1"/>
  <c r="W998" i="25"/>
  <c r="AJ998" i="25" s="1"/>
  <c r="V229" i="30"/>
  <c r="AE998" i="25" s="1"/>
  <c r="W1033" i="25"/>
  <c r="AJ1033" i="25" s="1"/>
  <c r="V264" i="30"/>
  <c r="AE1033" i="25" s="1"/>
  <c r="V226" i="30"/>
  <c r="W1011" i="25"/>
  <c r="AJ1011" i="25" s="1"/>
  <c r="V242" i="30"/>
  <c r="AE1011" i="25" s="1"/>
  <c r="W1039" i="25"/>
  <c r="AJ1039" i="25" s="1"/>
  <c r="V270" i="30"/>
  <c r="AE1039" i="25" s="1"/>
  <c r="W986" i="25"/>
  <c r="AJ986" i="25" s="1"/>
  <c r="V217" i="30"/>
  <c r="AE986" i="25" s="1"/>
  <c r="W997" i="25"/>
  <c r="AJ997" i="25" s="1"/>
  <c r="V228" i="30"/>
  <c r="AE997" i="25" s="1"/>
  <c r="W957" i="25"/>
  <c r="AJ957" i="25" s="1"/>
  <c r="V188" i="30"/>
  <c r="AE957" i="25" s="1"/>
  <c r="W967" i="25"/>
  <c r="AJ967" i="25" s="1"/>
  <c r="V198" i="30"/>
  <c r="AE967" i="25" s="1"/>
  <c r="W1034" i="25"/>
  <c r="AJ1034" i="25" s="1"/>
  <c r="V265" i="30"/>
  <c r="AE1034" i="25" s="1"/>
  <c r="V297" i="30"/>
  <c r="W982" i="25"/>
  <c r="AJ982" i="25" s="1"/>
  <c r="V213" i="30"/>
  <c r="AE982" i="25" s="1"/>
  <c r="W966" i="25"/>
  <c r="AJ966" i="25" s="1"/>
  <c r="V197" i="30"/>
  <c r="AE966" i="25" s="1"/>
  <c r="AF980" i="25"/>
  <c r="V211" i="30"/>
  <c r="AE980" i="25" s="1"/>
  <c r="AF996" i="25"/>
  <c r="V227" i="30"/>
  <c r="Z227" i="30" s="1" a="1"/>
  <c r="Z227" i="30" s="1"/>
  <c r="W978" i="25"/>
  <c r="AJ978" i="25" s="1"/>
  <c r="V209" i="30"/>
  <c r="AE978" i="25" s="1"/>
  <c r="W1028" i="25"/>
  <c r="AJ1028" i="25" s="1"/>
  <c r="V259" i="30"/>
  <c r="AE1028" i="25" s="1"/>
  <c r="W991" i="25"/>
  <c r="AJ991" i="25" s="1"/>
  <c r="V222" i="30"/>
  <c r="AE991" i="25" s="1"/>
  <c r="W993" i="25"/>
  <c r="AJ993" i="25" s="1"/>
  <c r="V224" i="30"/>
  <c r="AE993" i="25" s="1"/>
  <c r="W989" i="25"/>
  <c r="AJ989" i="25" s="1"/>
  <c r="V220" i="30"/>
  <c r="AE989" i="25" s="1"/>
  <c r="W960" i="25"/>
  <c r="AJ960" i="25" s="1"/>
  <c r="V191" i="30"/>
  <c r="AE960" i="25" s="1"/>
  <c r="AJ1057" i="25"/>
  <c r="V291" i="30"/>
  <c r="AE1060" i="25" s="1"/>
  <c r="W1048" i="25"/>
  <c r="AJ1048" i="25" s="1"/>
  <c r="V279" i="30"/>
  <c r="AE1048" i="25" s="1"/>
  <c r="W1006" i="25"/>
  <c r="AJ1006" i="25" s="1"/>
  <c r="V237" i="30"/>
  <c r="AE1006" i="25" s="1"/>
  <c r="V214" i="30"/>
  <c r="AE983" i="25" s="1"/>
  <c r="W976" i="25"/>
  <c r="AJ976" i="25" s="1"/>
  <c r="V207" i="30"/>
  <c r="Z207" i="30" s="1" a="1"/>
  <c r="Z207" i="30" s="1"/>
  <c r="W1005" i="25"/>
  <c r="AJ1005" i="25" s="1"/>
  <c r="V236" i="30"/>
  <c r="AE1005" i="25" s="1"/>
  <c r="W1021" i="25"/>
  <c r="AJ1021" i="25" s="1"/>
  <c r="V252" i="30"/>
  <c r="AE1021" i="25" s="1"/>
  <c r="W24" i="31"/>
  <c r="AF1078" i="25" s="1"/>
  <c r="W63" i="31"/>
  <c r="AF1117" i="25" s="1"/>
  <c r="V44" i="31"/>
  <c r="AE1098" i="25" s="1"/>
  <c r="W49" i="31"/>
  <c r="AF1103" i="25" s="1"/>
  <c r="W28" i="31"/>
  <c r="AF1082" i="25" s="1"/>
  <c r="V38" i="31"/>
  <c r="AE1092" i="25" s="1"/>
  <c r="V72" i="31"/>
  <c r="AE1126" i="25" s="1"/>
  <c r="W72" i="31"/>
  <c r="AF1126" i="25" s="1"/>
  <c r="V28" i="31"/>
  <c r="AE1082" i="25" s="1"/>
  <c r="V49" i="31"/>
  <c r="AE1103" i="25" s="1"/>
  <c r="V21" i="31"/>
  <c r="Z21" i="31" s="1" a="1"/>
  <c r="Z21" i="31" s="1"/>
  <c r="V61" i="31"/>
  <c r="AE1115" i="25" s="1"/>
  <c r="W38" i="31"/>
  <c r="AF1092" i="25" s="1"/>
  <c r="W51" i="31"/>
  <c r="AF1105" i="25" s="1"/>
  <c r="W20" i="31"/>
  <c r="AF1074" i="25" s="1"/>
  <c r="AF976" i="25"/>
  <c r="AF989" i="25"/>
  <c r="N500" i="4"/>
  <c r="V500" i="4" s="1"/>
  <c r="AE948" i="25" s="1"/>
  <c r="T948" i="25"/>
  <c r="W962" i="25"/>
  <c r="AJ962" i="25" s="1"/>
  <c r="AF1013" i="25"/>
  <c r="AF1023" i="25"/>
  <c r="V8" i="30"/>
  <c r="AE950" i="25" s="1"/>
  <c r="AF1029" i="25"/>
  <c r="W1109" i="25"/>
  <c r="AJ1109" i="25" s="1"/>
  <c r="W44" i="31"/>
  <c r="AF1098" i="25" s="1"/>
  <c r="W61" i="31"/>
  <c r="AF1115" i="25" s="1"/>
  <c r="W71" i="31"/>
  <c r="AF1125" i="25" s="1"/>
  <c r="V51" i="31"/>
  <c r="AE1105" i="25" s="1"/>
  <c r="W996" i="25"/>
  <c r="AJ996" i="25" s="1"/>
  <c r="V43" i="31"/>
  <c r="AE1097" i="25" s="1"/>
  <c r="T64" i="14"/>
  <c r="X7" i="31" a="1"/>
  <c r="X7" i="31" s="1"/>
  <c r="AG1061" i="25" s="1"/>
  <c r="W1049" i="25"/>
  <c r="AJ1049" i="25" s="1"/>
  <c r="T7" i="31" a="1"/>
  <c r="T7" i="31" s="1"/>
  <c r="AC1061" i="25" s="1"/>
  <c r="W75" i="31"/>
  <c r="AF1129" i="25" s="1"/>
  <c r="W1001" i="25"/>
  <c r="AJ1001" i="25" s="1"/>
  <c r="AF999" i="25"/>
  <c r="AF974" i="25"/>
  <c r="V35" i="31"/>
  <c r="AE1089" i="25" s="1"/>
  <c r="AF966" i="25"/>
  <c r="W73" i="31"/>
  <c r="Z73" i="31" s="1" a="1"/>
  <c r="Z73" i="31" s="1"/>
  <c r="V64" i="31"/>
  <c r="AE1118" i="25" s="1"/>
  <c r="AF1049" i="25"/>
  <c r="W35" i="31"/>
  <c r="AF1021" i="25"/>
  <c r="W1110" i="25"/>
  <c r="AJ1110" i="25" s="1"/>
  <c r="AF1003" i="25"/>
  <c r="W60" i="31"/>
  <c r="AF1114" i="25" s="1"/>
  <c r="W79" i="31"/>
  <c r="AF1133" i="25" s="1"/>
  <c r="W1079" i="25"/>
  <c r="AJ1079" i="25" s="1"/>
  <c r="AF958" i="25"/>
  <c r="AF1005" i="25"/>
  <c r="W15" i="31"/>
  <c r="AF1069" i="25" s="1"/>
  <c r="V47" i="31"/>
  <c r="AE1101" i="25" s="1"/>
  <c r="V56" i="31"/>
  <c r="Z56" i="31" s="1" a="1"/>
  <c r="Z56" i="31" s="1"/>
  <c r="V24" i="31"/>
  <c r="AE1078" i="25" s="1"/>
  <c r="AF969" i="25"/>
  <c r="AF1017" i="25"/>
  <c r="V67" i="31"/>
  <c r="AE1121" i="25" s="1"/>
  <c r="W964" i="25"/>
  <c r="AJ964" i="25" s="1"/>
  <c r="V60" i="31"/>
  <c r="AE1114" i="25" s="1"/>
  <c r="AF994" i="25"/>
  <c r="V75" i="31"/>
  <c r="AE1129" i="25" s="1"/>
  <c r="W67" i="31"/>
  <c r="AF1121" i="25" s="1"/>
  <c r="W1106" i="25"/>
  <c r="AJ1106" i="25" s="1"/>
  <c r="V15" i="31"/>
  <c r="AE1069" i="25" s="1"/>
  <c r="W47" i="31"/>
  <c r="AF1101" i="25" s="1"/>
  <c r="AF968" i="25"/>
  <c r="V9" i="31"/>
  <c r="AE1063" i="25" s="1"/>
  <c r="W52" i="31"/>
  <c r="Z52" i="31" s="1" a="1"/>
  <c r="Z52" i="31" s="1"/>
  <c r="V54" i="31"/>
  <c r="AE1108" i="25" s="1"/>
  <c r="W1095" i="25"/>
  <c r="AJ1095" i="25" s="1"/>
  <c r="W50" i="31"/>
  <c r="AF1104" i="25" s="1"/>
  <c r="V41" i="31"/>
  <c r="AE1095" i="25" s="1"/>
  <c r="AF954" i="25"/>
  <c r="V37" i="31"/>
  <c r="AE1091" i="25" s="1"/>
  <c r="V50" i="31"/>
  <c r="AE1104" i="25" s="1"/>
  <c r="W37" i="31"/>
  <c r="AF1091" i="25" s="1"/>
  <c r="W9" i="31"/>
  <c r="AF1063" i="25" s="1"/>
  <c r="V16" i="31"/>
  <c r="AE1070" i="25" s="1"/>
  <c r="V76" i="31"/>
  <c r="AE1130" i="25" s="1"/>
  <c r="W54" i="31"/>
  <c r="AF1108" i="25" s="1"/>
  <c r="W53" i="31"/>
  <c r="Z53" i="31" s="1" a="1"/>
  <c r="Z53" i="31" s="1"/>
  <c r="X7" i="30" a="1"/>
  <c r="X7" i="30" s="1"/>
  <c r="AG949" i="25" s="1"/>
  <c r="AF1040" i="25"/>
  <c r="W16" i="31"/>
  <c r="AF1070" i="25" s="1"/>
  <c r="W76" i="31"/>
  <c r="AF1130" i="25" s="1"/>
  <c r="V68" i="31"/>
  <c r="AE1122" i="25" s="1"/>
  <c r="V26" i="31"/>
  <c r="AE1080" i="25" s="1"/>
  <c r="W1038" i="25"/>
  <c r="AJ1038" i="25" s="1"/>
  <c r="W1127" i="25"/>
  <c r="AJ1127" i="25" s="1"/>
  <c r="W68" i="31"/>
  <c r="AF1122" i="25" s="1"/>
  <c r="W65" i="31"/>
  <c r="AF1119" i="25" s="1"/>
  <c r="W1080" i="25"/>
  <c r="AJ1080" i="25" s="1"/>
  <c r="V65" i="31"/>
  <c r="AE1119" i="25" s="1"/>
  <c r="V27" i="31"/>
  <c r="AE1081" i="25" s="1"/>
  <c r="AF1053" i="25"/>
  <c r="W27" i="31"/>
  <c r="AF1081" i="25" s="1"/>
  <c r="AF960" i="25"/>
  <c r="AF1006" i="25"/>
  <c r="W1118" i="25"/>
  <c r="AJ1118" i="25" s="1"/>
  <c r="AF1045" i="25"/>
  <c r="W57" i="31"/>
  <c r="AF1111" i="25" s="1"/>
  <c r="AF1048" i="25"/>
  <c r="AF993" i="25"/>
  <c r="V63" i="31"/>
  <c r="AE1117" i="25" s="1"/>
  <c r="V78" i="31"/>
  <c r="AE1132" i="25" s="1"/>
  <c r="AF1044" i="25"/>
  <c r="AF981" i="25"/>
  <c r="V57" i="31"/>
  <c r="AE1111" i="25" s="1"/>
  <c r="V62" i="31"/>
  <c r="Z62" i="31" s="1" a="1"/>
  <c r="Z62" i="31" s="1"/>
  <c r="W1116" i="25"/>
  <c r="AJ1116" i="25" s="1"/>
  <c r="W1132" i="25"/>
  <c r="AJ1132" i="25" s="1"/>
  <c r="AF975" i="25"/>
  <c r="AF957" i="25"/>
  <c r="AF1025" i="25"/>
  <c r="W14" i="31"/>
  <c r="AF1068" i="25" s="1"/>
  <c r="V13" i="31"/>
  <c r="AE1067" i="25" s="1"/>
  <c r="V14" i="31"/>
  <c r="AE1068" i="25" s="1"/>
  <c r="W70" i="31"/>
  <c r="AF1124" i="25" s="1"/>
  <c r="W9" i="30"/>
  <c r="AF951" i="25" s="1"/>
  <c r="W13" i="31"/>
  <c r="AF1067" i="25" s="1"/>
  <c r="V69" i="31"/>
  <c r="AE1123" i="25" s="1"/>
  <c r="V70" i="31"/>
  <c r="AE1124" i="25" s="1"/>
  <c r="V9" i="30"/>
  <c r="AE951" i="25" s="1"/>
  <c r="W69" i="31"/>
  <c r="AF1123" i="25" s="1"/>
  <c r="V45" i="31"/>
  <c r="AE1099" i="25" s="1"/>
  <c r="V20" i="31"/>
  <c r="AE1074" i="25" s="1"/>
  <c r="W45" i="31"/>
  <c r="AF1099" i="25" s="1"/>
  <c r="W8" i="30"/>
  <c r="AF950" i="25" s="1"/>
  <c r="AF978" i="25"/>
  <c r="AF1034" i="25"/>
  <c r="AF967" i="25"/>
  <c r="AF977" i="25"/>
  <c r="AF1037" i="25"/>
  <c r="AF1033" i="25"/>
  <c r="W43" i="31"/>
  <c r="AF1097" i="25" s="1"/>
  <c r="W980" i="25"/>
  <c r="AJ980" i="25" s="1"/>
  <c r="W1133" i="25"/>
  <c r="AJ1133" i="25" s="1"/>
  <c r="Z117" i="31" a="1"/>
  <c r="Z117" i="31" s="1"/>
  <c r="G19" i="18"/>
  <c r="AE1144" i="25"/>
  <c r="H19" i="18"/>
  <c r="AF1144" i="25"/>
  <c r="AF985" i="25"/>
  <c r="AF971" i="25"/>
  <c r="AF1046" i="25"/>
  <c r="W1107" i="25"/>
  <c r="AJ1107" i="25" s="1"/>
  <c r="AF1036" i="25"/>
  <c r="AF1026" i="25"/>
  <c r="AE1042" i="25"/>
  <c r="V39" i="31"/>
  <c r="AE1093" i="25" s="1"/>
  <c r="T7" i="30" a="1"/>
  <c r="T7" i="30" s="1"/>
  <c r="AC949" i="25" s="1"/>
  <c r="AF990" i="25"/>
  <c r="AF1042" i="25"/>
  <c r="W39" i="31"/>
  <c r="AF1093" i="25" s="1"/>
  <c r="AF1022" i="25"/>
  <c r="AF1014" i="25"/>
  <c r="V80" i="31"/>
  <c r="AE1134" i="25" s="1"/>
  <c r="Q7" i="30" a="1"/>
  <c r="Q7" i="30" s="1"/>
  <c r="Z949" i="25" s="1"/>
  <c r="W80" i="31"/>
  <c r="AF1134" i="25" s="1"/>
  <c r="R7" i="30" a="1"/>
  <c r="R7" i="30" s="1"/>
  <c r="AA949" i="25" s="1"/>
  <c r="AF1010" i="25"/>
  <c r="S7" i="30" a="1"/>
  <c r="S7" i="30" s="1"/>
  <c r="V66" i="31"/>
  <c r="U7" i="30" a="1"/>
  <c r="U7" i="30" s="1"/>
  <c r="AD949" i="25" s="1"/>
  <c r="W66" i="31"/>
  <c r="AF1120" i="25" s="1"/>
  <c r="AF998" i="25"/>
  <c r="V77" i="31"/>
  <c r="AE1131" i="25" s="1"/>
  <c r="W36" i="31"/>
  <c r="AF1090" i="25" s="1"/>
  <c r="W77" i="31"/>
  <c r="AF1131" i="25" s="1"/>
  <c r="AF973" i="25"/>
  <c r="W83" i="31"/>
  <c r="AF1137" i="25" s="1"/>
  <c r="V36" i="31"/>
  <c r="AE1090" i="25" s="1"/>
  <c r="W22" i="31"/>
  <c r="AF1076" i="25" s="1"/>
  <c r="W19" i="31"/>
  <c r="AF1073" i="25" s="1"/>
  <c r="V34" i="31"/>
  <c r="AE1088" i="25" s="1"/>
  <c r="AF965" i="25"/>
  <c r="AF970" i="25"/>
  <c r="V83" i="31"/>
  <c r="AE1137" i="25" s="1"/>
  <c r="V22" i="31"/>
  <c r="AE1076" i="25" s="1"/>
  <c r="V19" i="31"/>
  <c r="AE1073" i="25" s="1"/>
  <c r="W34" i="31"/>
  <c r="AF1088" i="25" s="1"/>
  <c r="AF959" i="25"/>
  <c r="AF972" i="25"/>
  <c r="W30" i="31"/>
  <c r="AF1084" i="25" s="1"/>
  <c r="W58" i="31"/>
  <c r="AF1112" i="25" s="1"/>
  <c r="AF991" i="25"/>
  <c r="V30" i="31"/>
  <c r="AE1084" i="25" s="1"/>
  <c r="V58" i="31"/>
  <c r="AE1112" i="25" s="1"/>
  <c r="AF1064" i="25"/>
  <c r="AE1128" i="25"/>
  <c r="AE1113" i="25"/>
  <c r="AF1072" i="25"/>
  <c r="AE1094" i="25"/>
  <c r="AF1136" i="25"/>
  <c r="Z25" i="31" a="1"/>
  <c r="Z25" i="31" s="1"/>
  <c r="AF1079" i="25"/>
  <c r="AF1102" i="25"/>
  <c r="AF1066" i="25"/>
  <c r="AF1095" i="25"/>
  <c r="AF1096" i="25"/>
  <c r="AE1086" i="25"/>
  <c r="AE1083" i="25"/>
  <c r="AE1135" i="25"/>
  <c r="C17" i="18"/>
  <c r="Z1061" i="25"/>
  <c r="V82" i="31"/>
  <c r="W1136" i="25"/>
  <c r="AJ1136" i="25" s="1"/>
  <c r="W81" i="31"/>
  <c r="W1135" i="25"/>
  <c r="AJ1135" i="25" s="1"/>
  <c r="V42" i="31"/>
  <c r="W1096" i="25"/>
  <c r="AJ1096" i="25" s="1"/>
  <c r="V48" i="31"/>
  <c r="W1102" i="25"/>
  <c r="AJ1102" i="25" s="1"/>
  <c r="V18" i="31"/>
  <c r="W1072" i="25"/>
  <c r="AJ1072" i="25" s="1"/>
  <c r="W74" i="31"/>
  <c r="W1128" i="25"/>
  <c r="AJ1128" i="25" s="1"/>
  <c r="V10" i="31"/>
  <c r="W1064" i="25"/>
  <c r="AJ1064" i="25" s="1"/>
  <c r="W29" i="31"/>
  <c r="W1083" i="25"/>
  <c r="AJ1083" i="25" s="1"/>
  <c r="W59" i="31"/>
  <c r="W1113" i="25"/>
  <c r="AJ1113" i="25" s="1"/>
  <c r="W32" i="31"/>
  <c r="W1086" i="25"/>
  <c r="AJ1086" i="25" s="1"/>
  <c r="W40" i="31"/>
  <c r="W1094" i="25"/>
  <c r="AJ1094" i="25" s="1"/>
  <c r="V12" i="31"/>
  <c r="W1066" i="25"/>
  <c r="AJ1066" i="25" s="1"/>
  <c r="AF1018" i="25"/>
  <c r="AF997" i="25"/>
  <c r="AF1015" i="25"/>
  <c r="W1043" i="25"/>
  <c r="AJ1043" i="25" s="1"/>
  <c r="W956" i="25"/>
  <c r="AJ956" i="25" s="1"/>
  <c r="W1041" i="25"/>
  <c r="AJ1041" i="25" s="1"/>
  <c r="W1030" i="25"/>
  <c r="AJ1030" i="25" s="1"/>
  <c r="AF979" i="25"/>
  <c r="W979" i="25"/>
  <c r="AJ979" i="25" s="1"/>
  <c r="AF987" i="25"/>
  <c r="W963" i="25"/>
  <c r="AJ963" i="25" s="1"/>
  <c r="Z223" i="30" a="1"/>
  <c r="Z223" i="30" s="1"/>
  <c r="AE992" i="25"/>
  <c r="AF986" i="25"/>
  <c r="AF1051" i="25"/>
  <c r="AF1041" i="25"/>
  <c r="Z239" i="30" a="1"/>
  <c r="Z239" i="30" s="1"/>
  <c r="AF1008" i="25"/>
  <c r="Z262" i="30" a="1"/>
  <c r="Z262" i="30" s="1"/>
  <c r="AF1031" i="25"/>
  <c r="W987" i="25"/>
  <c r="AJ987" i="25" s="1"/>
  <c r="W1035" i="25"/>
  <c r="AJ1035" i="25" s="1"/>
  <c r="AF982" i="25"/>
  <c r="Z247" i="30" a="1"/>
  <c r="Z247" i="30" s="1"/>
  <c r="AF1016" i="25"/>
  <c r="Z255" i="30" a="1"/>
  <c r="Z255" i="30" s="1"/>
  <c r="AE1024" i="25"/>
  <c r="W955" i="25"/>
  <c r="AJ955" i="25" s="1"/>
  <c r="AF995" i="25"/>
  <c r="Z238" i="30" a="1"/>
  <c r="Z238" i="30" s="1"/>
  <c r="AF1007" i="25"/>
  <c r="W961" i="25"/>
  <c r="AJ961" i="25" s="1"/>
  <c r="W983" i="25"/>
  <c r="AJ983" i="25" s="1"/>
  <c r="W1050" i="25"/>
  <c r="AJ1050" i="25" s="1"/>
  <c r="AF1009" i="25"/>
  <c r="W995" i="25"/>
  <c r="AJ995" i="25" s="1"/>
  <c r="W1000" i="25"/>
  <c r="AJ1000" i="25" s="1"/>
  <c r="AF1002" i="25"/>
  <c r="AF983" i="25"/>
  <c r="W1015" i="25"/>
  <c r="AJ1015" i="25" s="1"/>
  <c r="AI1631" i="25"/>
  <c r="AI1686" i="25"/>
  <c r="AJ1686" i="25"/>
  <c r="AI1689" i="25"/>
  <c r="AJ1664" i="25"/>
  <c r="AJ1640" i="25"/>
  <c r="AJ1687" i="25"/>
  <c r="AI1680" i="25"/>
  <c r="AI1664" i="25"/>
  <c r="AJ1628" i="25"/>
  <c r="AI1683" i="25"/>
  <c r="AI1651" i="25"/>
  <c r="AJ1689" i="25"/>
  <c r="AJ1677" i="25"/>
  <c r="AJ1669" i="25"/>
  <c r="AI1658" i="25"/>
  <c r="AI1647" i="25"/>
  <c r="AI1628" i="25"/>
  <c r="N7" i="31"/>
  <c r="N8" i="31"/>
  <c r="Z104" i="31" a="1"/>
  <c r="Z104" i="31" s="1"/>
  <c r="Z215" i="30" a="1"/>
  <c r="Z215" i="30" s="1"/>
  <c r="Z97" i="31" a="1"/>
  <c r="Z97" i="31" s="1"/>
  <c r="Z105" i="31" a="1"/>
  <c r="Z105" i="31" s="1"/>
  <c r="Z94" i="31" a="1"/>
  <c r="Z94" i="31" s="1"/>
  <c r="Z100" i="31" a="1"/>
  <c r="Z100" i="31" s="1"/>
  <c r="Z89" i="31" a="1"/>
  <c r="Z89" i="31" s="1"/>
  <c r="Z103" i="31" a="1"/>
  <c r="Z103" i="31" s="1"/>
  <c r="Z11" i="31" a="1"/>
  <c r="Z11" i="31" s="1"/>
  <c r="Z102" i="31" a="1"/>
  <c r="Z102" i="31" s="1"/>
  <c r="Z116" i="31" a="1"/>
  <c r="Z116" i="31" s="1"/>
  <c r="Z111" i="31" a="1"/>
  <c r="Z111" i="31" s="1"/>
  <c r="Z300" i="30" a="1"/>
  <c r="Z300" i="30" s="1"/>
  <c r="Z263" i="30" a="1"/>
  <c r="Z263" i="30" s="1"/>
  <c r="Z92" i="31" a="1"/>
  <c r="Z92" i="31" s="1"/>
  <c r="Z91" i="31" a="1"/>
  <c r="Z91" i="31" s="1"/>
  <c r="Z84" i="31" a="1"/>
  <c r="Z84" i="31" s="1"/>
  <c r="Z88" i="31" a="1"/>
  <c r="Z88" i="31" s="1"/>
  <c r="Z113" i="31" a="1"/>
  <c r="Z113" i="31" s="1"/>
  <c r="Z108" i="31" a="1"/>
  <c r="Z108" i="31" s="1"/>
  <c r="Z85" i="31" a="1"/>
  <c r="Z85" i="31" s="1"/>
  <c r="Z110" i="31" a="1"/>
  <c r="Z110" i="31" s="1"/>
  <c r="W115" i="31"/>
  <c r="V115" i="31"/>
  <c r="W118" i="31"/>
  <c r="V118" i="31"/>
  <c r="W99" i="31"/>
  <c r="V99" i="31"/>
  <c r="W31" i="31"/>
  <c r="AF1085" i="25" s="1"/>
  <c r="V31" i="31"/>
  <c r="AE1085" i="25" s="1"/>
  <c r="Z96" i="31" a="1"/>
  <c r="Z96" i="31" s="1"/>
  <c r="W107" i="31"/>
  <c r="V107" i="31"/>
  <c r="V46" i="31"/>
  <c r="AE1100" i="25" s="1"/>
  <c r="W46" i="31"/>
  <c r="AF1100" i="25" s="1"/>
  <c r="W33" i="31"/>
  <c r="AF1087" i="25" s="1"/>
  <c r="V33" i="31"/>
  <c r="AE1087" i="25" s="1"/>
  <c r="AF952" i="25"/>
  <c r="AF1028" i="25"/>
  <c r="AF953" i="25"/>
  <c r="AF1019" i="25"/>
  <c r="AF1004" i="25"/>
  <c r="AF1027" i="25"/>
  <c r="AF1020" i="25"/>
  <c r="AF1011" i="25"/>
  <c r="AF988" i="25"/>
  <c r="AF1047" i="25"/>
  <c r="AF1012" i="25"/>
  <c r="AF1039" i="25"/>
  <c r="AJ1668" i="25"/>
  <c r="AJ1647" i="25"/>
  <c r="AJ1632" i="25"/>
  <c r="AJ1684" i="25"/>
  <c r="AI1676" i="25"/>
  <c r="AJ1682" i="25"/>
  <c r="AJ1644" i="25"/>
  <c r="AI1641" i="25"/>
  <c r="AI1682" i="25"/>
  <c r="AJ1660" i="25"/>
  <c r="AJ1685" i="25"/>
  <c r="AI1667" i="25"/>
  <c r="AI1659" i="25"/>
  <c r="AI1685" i="25"/>
  <c r="AJ1683" i="25"/>
  <c r="AI1673" i="25"/>
  <c r="AJ1666" i="25"/>
  <c r="AI1668" i="25"/>
  <c r="AI1652" i="25"/>
  <c r="AI1649" i="25"/>
  <c r="AI1635" i="25"/>
  <c r="AI1644" i="25"/>
  <c r="AJ1653" i="25"/>
  <c r="AJ1650" i="25"/>
  <c r="AI1650" i="25"/>
  <c r="AJ1633" i="25"/>
  <c r="AI1674" i="25"/>
  <c r="AI1660" i="25"/>
  <c r="AJ1657" i="25"/>
  <c r="AI1654" i="25"/>
  <c r="AI1642" i="25"/>
  <c r="AJ1639" i="25"/>
  <c r="AI1633" i="25"/>
  <c r="AJ1630" i="25"/>
  <c r="AJ1678" i="25"/>
  <c r="AI1657" i="25"/>
  <c r="AJ1651" i="25"/>
  <c r="AI1639" i="25"/>
  <c r="AI1636" i="25"/>
  <c r="AI1630" i="25"/>
  <c r="AI1681" i="25"/>
  <c r="AI1678" i="25"/>
  <c r="AI1666" i="25"/>
  <c r="AJ1661" i="25"/>
  <c r="AJ1659" i="25"/>
  <c r="AJ1643" i="25"/>
  <c r="AJ1674" i="25"/>
  <c r="AI1675" i="25"/>
  <c r="AI1661" i="25"/>
  <c r="AI1643" i="25"/>
  <c r="AJ1662" i="25"/>
  <c r="AJ1658" i="25"/>
  <c r="AJ1655" i="25"/>
  <c r="AJ1627" i="25"/>
  <c r="AJ1676" i="25"/>
  <c r="AJ1672" i="25"/>
  <c r="AJ1665" i="25"/>
  <c r="AI1662" i="25"/>
  <c r="AI1655" i="25"/>
  <c r="AJ1652" i="25"/>
  <c r="AI1640" i="25"/>
  <c r="AJ1634" i="25"/>
  <c r="AI1627" i="25"/>
  <c r="AI1687" i="25"/>
  <c r="AI1672" i="25"/>
  <c r="AI1669" i="25"/>
  <c r="AJ1667" i="25"/>
  <c r="AI1665" i="25"/>
  <c r="AJ1641" i="25"/>
  <c r="AI1634" i="25"/>
  <c r="AJ1631" i="25"/>
  <c r="AJ1688" i="25"/>
  <c r="AJ1680" i="25"/>
  <c r="AJ1670" i="25"/>
  <c r="AJ1663" i="25"/>
  <c r="AJ1646" i="25"/>
  <c r="AJ1638" i="25"/>
  <c r="AI1688" i="25"/>
  <c r="AI1684" i="25"/>
  <c r="AI1677" i="25"/>
  <c r="AJ1675" i="25"/>
  <c r="AJ1673" i="25"/>
  <c r="AI1670" i="25"/>
  <c r="AI1663" i="25"/>
  <c r="AJ1649" i="25"/>
  <c r="AI1646" i="25"/>
  <c r="AJ1642" i="25"/>
  <c r="AI1638" i="25"/>
  <c r="AJ1636" i="25"/>
  <c r="AJ1635" i="25"/>
  <c r="AJ1671" i="25"/>
  <c r="AJ1679" i="25"/>
  <c r="AI1671" i="25"/>
  <c r="AJ1656" i="25"/>
  <c r="AJ1648" i="25"/>
  <c r="AI1679" i="25"/>
  <c r="AI1656" i="25"/>
  <c r="AI1653" i="25"/>
  <c r="AI1648" i="25"/>
  <c r="AI1645" i="25"/>
  <c r="AJ1681" i="25"/>
  <c r="AJ1654" i="25"/>
  <c r="AI1632" i="25"/>
  <c r="AI1637" i="25"/>
  <c r="AI1629" i="25"/>
  <c r="V49" i="11"/>
  <c r="U49" i="11"/>
  <c r="T49" i="11"/>
  <c r="U96" i="11"/>
  <c r="V96" i="11"/>
  <c r="T96" i="11"/>
  <c r="F54" i="11"/>
  <c r="V378" i="17"/>
  <c r="N1421" i="25"/>
  <c r="P1421" i="25"/>
  <c r="Q1421" i="25"/>
  <c r="S1421" i="25"/>
  <c r="U1421" i="25"/>
  <c r="W1421" i="25"/>
  <c r="X1421" i="25"/>
  <c r="Y1421" i="25"/>
  <c r="Z1421" i="25"/>
  <c r="AA1421" i="25"/>
  <c r="AC1421" i="25"/>
  <c r="AD1421" i="25"/>
  <c r="AG1421" i="25"/>
  <c r="N1422" i="25"/>
  <c r="P1422" i="25"/>
  <c r="Q1422" i="25"/>
  <c r="S1422" i="25"/>
  <c r="U1422" i="25"/>
  <c r="W1422" i="25"/>
  <c r="X1422" i="25"/>
  <c r="Y1422" i="25"/>
  <c r="Z1422" i="25"/>
  <c r="AA1422" i="25"/>
  <c r="AC1422" i="25"/>
  <c r="AD1422" i="25"/>
  <c r="AG1422" i="25"/>
  <c r="N1423" i="25"/>
  <c r="P1423" i="25"/>
  <c r="Q1423" i="25"/>
  <c r="S1423" i="25"/>
  <c r="U1423" i="25"/>
  <c r="W1423" i="25"/>
  <c r="X1423" i="25"/>
  <c r="Y1423" i="25"/>
  <c r="Z1423" i="25"/>
  <c r="AA1423" i="25"/>
  <c r="AC1423" i="25"/>
  <c r="AD1423" i="25"/>
  <c r="AG1423" i="25"/>
  <c r="N1424" i="25"/>
  <c r="P1424" i="25"/>
  <c r="Q1424" i="25"/>
  <c r="S1424" i="25"/>
  <c r="U1424" i="25"/>
  <c r="W1424" i="25"/>
  <c r="X1424" i="25"/>
  <c r="Y1424" i="25"/>
  <c r="Z1424" i="25"/>
  <c r="AA1424" i="25"/>
  <c r="AC1424" i="25"/>
  <c r="AD1424" i="25"/>
  <c r="AG1424" i="25"/>
  <c r="N1425" i="25"/>
  <c r="P1425" i="25"/>
  <c r="Q1425" i="25"/>
  <c r="S1425" i="25"/>
  <c r="U1425" i="25"/>
  <c r="W1425" i="25"/>
  <c r="X1425" i="25"/>
  <c r="Y1425" i="25"/>
  <c r="Z1425" i="25"/>
  <c r="AA1425" i="25"/>
  <c r="AC1425" i="25"/>
  <c r="AD1425" i="25"/>
  <c r="AG1425" i="25"/>
  <c r="N1426" i="25"/>
  <c r="P1426" i="25"/>
  <c r="Q1426" i="25"/>
  <c r="S1426" i="25"/>
  <c r="U1426" i="25"/>
  <c r="W1426" i="25"/>
  <c r="X1426" i="25"/>
  <c r="Y1426" i="25"/>
  <c r="Z1426" i="25"/>
  <c r="AA1426" i="25"/>
  <c r="AC1426" i="25"/>
  <c r="AD1426" i="25"/>
  <c r="AG1426" i="25"/>
  <c r="N1427" i="25"/>
  <c r="P1427" i="25"/>
  <c r="Q1427" i="25"/>
  <c r="S1427" i="25"/>
  <c r="U1427" i="25"/>
  <c r="W1427" i="25"/>
  <c r="X1427" i="25"/>
  <c r="Y1427" i="25"/>
  <c r="Z1427" i="25"/>
  <c r="AA1427" i="25"/>
  <c r="AC1427" i="25"/>
  <c r="AD1427" i="25"/>
  <c r="AG1427" i="25"/>
  <c r="N1428" i="25"/>
  <c r="P1428" i="25"/>
  <c r="Q1428" i="25"/>
  <c r="S1428" i="25"/>
  <c r="U1428" i="25"/>
  <c r="W1428" i="25"/>
  <c r="X1428" i="25"/>
  <c r="Y1428" i="25"/>
  <c r="Z1428" i="25"/>
  <c r="AA1428" i="25"/>
  <c r="AC1428" i="25"/>
  <c r="AD1428" i="25"/>
  <c r="AG1428" i="25"/>
  <c r="N1429" i="25"/>
  <c r="P1429" i="25"/>
  <c r="Q1429" i="25"/>
  <c r="S1429" i="25"/>
  <c r="U1429" i="25"/>
  <c r="W1429" i="25"/>
  <c r="X1429" i="25"/>
  <c r="Y1429" i="25"/>
  <c r="Z1429" i="25"/>
  <c r="AA1429" i="25"/>
  <c r="AC1429" i="25"/>
  <c r="AD1429" i="25"/>
  <c r="AG1429" i="25"/>
  <c r="N1430" i="25"/>
  <c r="P1430" i="25"/>
  <c r="Q1430" i="25"/>
  <c r="S1430" i="25"/>
  <c r="U1430" i="25"/>
  <c r="W1430" i="25"/>
  <c r="X1430" i="25"/>
  <c r="Y1430" i="25"/>
  <c r="Z1430" i="25"/>
  <c r="AA1430" i="25"/>
  <c r="AC1430" i="25"/>
  <c r="AD1430" i="25"/>
  <c r="AG1430" i="25"/>
  <c r="N1431" i="25"/>
  <c r="P1431" i="25"/>
  <c r="Q1431" i="25"/>
  <c r="S1431" i="25"/>
  <c r="U1431" i="25"/>
  <c r="W1431" i="25"/>
  <c r="X1431" i="25"/>
  <c r="Y1431" i="25"/>
  <c r="Z1431" i="25"/>
  <c r="AA1431" i="25"/>
  <c r="AC1431" i="25"/>
  <c r="AD1431" i="25"/>
  <c r="AG1431" i="25"/>
  <c r="N1432" i="25"/>
  <c r="P1432" i="25"/>
  <c r="Q1432" i="25"/>
  <c r="S1432" i="25"/>
  <c r="U1432" i="25"/>
  <c r="W1432" i="25"/>
  <c r="X1432" i="25"/>
  <c r="Y1432" i="25"/>
  <c r="Z1432" i="25"/>
  <c r="AA1432" i="25"/>
  <c r="AC1432" i="25"/>
  <c r="AD1432" i="25"/>
  <c r="AG1432" i="25"/>
  <c r="N1433" i="25"/>
  <c r="P1433" i="25"/>
  <c r="Q1433" i="25"/>
  <c r="S1433" i="25"/>
  <c r="U1433" i="25"/>
  <c r="W1433" i="25"/>
  <c r="X1433" i="25"/>
  <c r="Y1433" i="25"/>
  <c r="Z1433" i="25"/>
  <c r="AA1433" i="25"/>
  <c r="AC1433" i="25"/>
  <c r="AD1433" i="25"/>
  <c r="AG1433" i="25"/>
  <c r="N1434" i="25"/>
  <c r="P1434" i="25"/>
  <c r="Q1434" i="25"/>
  <c r="S1434" i="25"/>
  <c r="U1434" i="25"/>
  <c r="W1434" i="25"/>
  <c r="X1434" i="25"/>
  <c r="Y1434" i="25"/>
  <c r="Z1434" i="25"/>
  <c r="AA1434" i="25"/>
  <c r="AC1434" i="25"/>
  <c r="AD1434" i="25"/>
  <c r="AG1434" i="25"/>
  <c r="N1435" i="25"/>
  <c r="P1435" i="25"/>
  <c r="Q1435" i="25"/>
  <c r="S1435" i="25"/>
  <c r="U1435" i="25"/>
  <c r="W1435" i="25"/>
  <c r="X1435" i="25"/>
  <c r="Y1435" i="25"/>
  <c r="Z1435" i="25"/>
  <c r="AA1435" i="25"/>
  <c r="AC1435" i="25"/>
  <c r="AD1435" i="25"/>
  <c r="AG1435" i="25"/>
  <c r="N1436" i="25"/>
  <c r="P1436" i="25"/>
  <c r="Q1436" i="25"/>
  <c r="S1436" i="25"/>
  <c r="U1436" i="25"/>
  <c r="W1436" i="25"/>
  <c r="X1436" i="25"/>
  <c r="Y1436" i="25"/>
  <c r="Z1436" i="25"/>
  <c r="AA1436" i="25"/>
  <c r="AC1436" i="25"/>
  <c r="AD1436" i="25"/>
  <c r="AG1436" i="25"/>
  <c r="N1437" i="25"/>
  <c r="P1437" i="25"/>
  <c r="Q1437" i="25"/>
  <c r="S1437" i="25"/>
  <c r="U1437" i="25"/>
  <c r="W1437" i="25"/>
  <c r="X1437" i="25"/>
  <c r="Y1437" i="25"/>
  <c r="Z1437" i="25"/>
  <c r="AA1437" i="25"/>
  <c r="AC1437" i="25"/>
  <c r="AD1437" i="25"/>
  <c r="AG1437" i="25"/>
  <c r="N1438" i="25"/>
  <c r="P1438" i="25"/>
  <c r="Q1438" i="25"/>
  <c r="S1438" i="25"/>
  <c r="U1438" i="25"/>
  <c r="W1438" i="25"/>
  <c r="X1438" i="25"/>
  <c r="Y1438" i="25"/>
  <c r="Z1438" i="25"/>
  <c r="AA1438" i="25"/>
  <c r="AC1438" i="25"/>
  <c r="AD1438" i="25"/>
  <c r="AG1438" i="25"/>
  <c r="N1439" i="25"/>
  <c r="P1439" i="25"/>
  <c r="Q1439" i="25"/>
  <c r="S1439" i="25"/>
  <c r="U1439" i="25"/>
  <c r="W1439" i="25"/>
  <c r="X1439" i="25"/>
  <c r="Y1439" i="25"/>
  <c r="Z1439" i="25"/>
  <c r="AA1439" i="25"/>
  <c r="AC1439" i="25"/>
  <c r="AD1439" i="25"/>
  <c r="AG1439" i="25"/>
  <c r="N1440" i="25"/>
  <c r="P1440" i="25"/>
  <c r="Q1440" i="25"/>
  <c r="S1440" i="25"/>
  <c r="U1440" i="25"/>
  <c r="W1440" i="25"/>
  <c r="X1440" i="25"/>
  <c r="Y1440" i="25"/>
  <c r="Z1440" i="25"/>
  <c r="AA1440" i="25"/>
  <c r="AC1440" i="25"/>
  <c r="AD1440" i="25"/>
  <c r="AG1440" i="25"/>
  <c r="N1441" i="25"/>
  <c r="P1441" i="25"/>
  <c r="Q1441" i="25"/>
  <c r="S1441" i="25"/>
  <c r="U1441" i="25"/>
  <c r="W1441" i="25"/>
  <c r="X1441" i="25"/>
  <c r="Y1441" i="25"/>
  <c r="Z1441" i="25"/>
  <c r="AA1441" i="25"/>
  <c r="AC1441" i="25"/>
  <c r="AD1441" i="25"/>
  <c r="AG1441" i="25"/>
  <c r="N1442" i="25"/>
  <c r="P1442" i="25"/>
  <c r="Q1442" i="25"/>
  <c r="S1442" i="25"/>
  <c r="U1442" i="25"/>
  <c r="W1442" i="25"/>
  <c r="X1442" i="25"/>
  <c r="Y1442" i="25"/>
  <c r="Z1442" i="25"/>
  <c r="AA1442" i="25"/>
  <c r="AC1442" i="25"/>
  <c r="AD1442" i="25"/>
  <c r="AG1442" i="25"/>
  <c r="N1443" i="25"/>
  <c r="P1443" i="25"/>
  <c r="Q1443" i="25"/>
  <c r="S1443" i="25"/>
  <c r="U1443" i="25"/>
  <c r="W1443" i="25"/>
  <c r="X1443" i="25"/>
  <c r="Y1443" i="25"/>
  <c r="Z1443" i="25"/>
  <c r="AA1443" i="25"/>
  <c r="AC1443" i="25"/>
  <c r="AD1443" i="25"/>
  <c r="AG1443" i="25"/>
  <c r="N1444" i="25"/>
  <c r="P1444" i="25"/>
  <c r="Q1444" i="25"/>
  <c r="S1444" i="25"/>
  <c r="U1444" i="25"/>
  <c r="W1444" i="25"/>
  <c r="X1444" i="25"/>
  <c r="Y1444" i="25"/>
  <c r="Z1444" i="25"/>
  <c r="AA1444" i="25"/>
  <c r="AC1444" i="25"/>
  <c r="AD1444" i="25"/>
  <c r="AG1444" i="25"/>
  <c r="N1445" i="25"/>
  <c r="P1445" i="25"/>
  <c r="Q1445" i="25"/>
  <c r="S1445" i="25"/>
  <c r="U1445" i="25"/>
  <c r="W1445" i="25"/>
  <c r="X1445" i="25"/>
  <c r="Y1445" i="25"/>
  <c r="Z1445" i="25"/>
  <c r="AA1445" i="25"/>
  <c r="AC1445" i="25"/>
  <c r="AD1445" i="25"/>
  <c r="AG1445" i="25"/>
  <c r="N1446" i="25"/>
  <c r="P1446" i="25"/>
  <c r="Q1446" i="25"/>
  <c r="S1446" i="25"/>
  <c r="U1446" i="25"/>
  <c r="W1446" i="25"/>
  <c r="X1446" i="25"/>
  <c r="Y1446" i="25"/>
  <c r="Z1446" i="25"/>
  <c r="AA1446" i="25"/>
  <c r="AC1446" i="25"/>
  <c r="AD1446" i="25"/>
  <c r="AG1446" i="25"/>
  <c r="N1447" i="25"/>
  <c r="P1447" i="25"/>
  <c r="Q1447" i="25"/>
  <c r="S1447" i="25"/>
  <c r="U1447" i="25"/>
  <c r="W1447" i="25"/>
  <c r="X1447" i="25"/>
  <c r="Y1447" i="25"/>
  <c r="Z1447" i="25"/>
  <c r="AA1447" i="25"/>
  <c r="AC1447" i="25"/>
  <c r="AD1447" i="25"/>
  <c r="AG1447" i="25"/>
  <c r="N1448" i="25"/>
  <c r="P1448" i="25"/>
  <c r="Q1448" i="25"/>
  <c r="S1448" i="25"/>
  <c r="U1448" i="25"/>
  <c r="W1448" i="25"/>
  <c r="X1448" i="25"/>
  <c r="Y1448" i="25"/>
  <c r="Z1448" i="25"/>
  <c r="AA1448" i="25"/>
  <c r="AC1448" i="25"/>
  <c r="AD1448" i="25"/>
  <c r="AG1448" i="25"/>
  <c r="N1449" i="25"/>
  <c r="P1449" i="25"/>
  <c r="Q1449" i="25"/>
  <c r="S1449" i="25"/>
  <c r="U1449" i="25"/>
  <c r="W1449" i="25"/>
  <c r="X1449" i="25"/>
  <c r="Y1449" i="25"/>
  <c r="Z1449" i="25"/>
  <c r="AA1449" i="25"/>
  <c r="AC1449" i="25"/>
  <c r="AD1449" i="25"/>
  <c r="AG1449" i="25"/>
  <c r="N1450" i="25"/>
  <c r="P1450" i="25"/>
  <c r="Q1450" i="25"/>
  <c r="S1450" i="25"/>
  <c r="U1450" i="25"/>
  <c r="W1450" i="25"/>
  <c r="X1450" i="25"/>
  <c r="Y1450" i="25"/>
  <c r="Z1450" i="25"/>
  <c r="AA1450" i="25"/>
  <c r="AC1450" i="25"/>
  <c r="AD1450" i="25"/>
  <c r="AG1450" i="25"/>
  <c r="N1451" i="25"/>
  <c r="P1451" i="25"/>
  <c r="Q1451" i="25"/>
  <c r="S1451" i="25"/>
  <c r="U1451" i="25"/>
  <c r="W1451" i="25"/>
  <c r="X1451" i="25"/>
  <c r="Y1451" i="25"/>
  <c r="Z1451" i="25"/>
  <c r="AA1451" i="25"/>
  <c r="AC1451" i="25"/>
  <c r="AD1451" i="25"/>
  <c r="AG1451" i="25"/>
  <c r="N1452" i="25"/>
  <c r="P1452" i="25"/>
  <c r="Q1452" i="25"/>
  <c r="S1452" i="25"/>
  <c r="U1452" i="25"/>
  <c r="W1452" i="25"/>
  <c r="X1452" i="25"/>
  <c r="Y1452" i="25"/>
  <c r="Z1452" i="25"/>
  <c r="AA1452" i="25"/>
  <c r="AC1452" i="25"/>
  <c r="AD1452" i="25"/>
  <c r="AG1452" i="25"/>
  <c r="N1453" i="25"/>
  <c r="P1453" i="25"/>
  <c r="Q1453" i="25"/>
  <c r="S1453" i="25"/>
  <c r="U1453" i="25"/>
  <c r="W1453" i="25"/>
  <c r="X1453" i="25"/>
  <c r="Y1453" i="25"/>
  <c r="Z1453" i="25"/>
  <c r="AA1453" i="25"/>
  <c r="AC1453" i="25"/>
  <c r="AD1453" i="25"/>
  <c r="AG1453" i="25"/>
  <c r="N1454" i="25"/>
  <c r="P1454" i="25"/>
  <c r="Q1454" i="25"/>
  <c r="S1454" i="25"/>
  <c r="U1454" i="25"/>
  <c r="W1454" i="25"/>
  <c r="X1454" i="25"/>
  <c r="Y1454" i="25"/>
  <c r="Z1454" i="25"/>
  <c r="AA1454" i="25"/>
  <c r="AC1454" i="25"/>
  <c r="AD1454" i="25"/>
  <c r="AG1454" i="25"/>
  <c r="N1455" i="25"/>
  <c r="P1455" i="25"/>
  <c r="Q1455" i="25"/>
  <c r="S1455" i="25"/>
  <c r="U1455" i="25"/>
  <c r="W1455" i="25"/>
  <c r="X1455" i="25"/>
  <c r="Y1455" i="25"/>
  <c r="Z1455" i="25"/>
  <c r="AA1455" i="25"/>
  <c r="AC1455" i="25"/>
  <c r="AD1455" i="25"/>
  <c r="AG1455" i="25"/>
  <c r="N1456" i="25"/>
  <c r="P1456" i="25"/>
  <c r="Q1456" i="25"/>
  <c r="S1456" i="25"/>
  <c r="U1456" i="25"/>
  <c r="W1456" i="25"/>
  <c r="X1456" i="25"/>
  <c r="Y1456" i="25"/>
  <c r="Z1456" i="25"/>
  <c r="AA1456" i="25"/>
  <c r="AC1456" i="25"/>
  <c r="AD1456" i="25"/>
  <c r="AG1456" i="25"/>
  <c r="N1457" i="25"/>
  <c r="P1457" i="25"/>
  <c r="Q1457" i="25"/>
  <c r="S1457" i="25"/>
  <c r="U1457" i="25"/>
  <c r="W1457" i="25"/>
  <c r="X1457" i="25"/>
  <c r="Y1457" i="25"/>
  <c r="Z1457" i="25"/>
  <c r="AA1457" i="25"/>
  <c r="AC1457" i="25"/>
  <c r="AD1457" i="25"/>
  <c r="AG1457" i="25"/>
  <c r="N1458" i="25"/>
  <c r="P1458" i="25"/>
  <c r="Q1458" i="25"/>
  <c r="S1458" i="25"/>
  <c r="U1458" i="25"/>
  <c r="W1458" i="25"/>
  <c r="X1458" i="25"/>
  <c r="Y1458" i="25"/>
  <c r="Z1458" i="25"/>
  <c r="AA1458" i="25"/>
  <c r="AC1458" i="25"/>
  <c r="AD1458" i="25"/>
  <c r="AG1458" i="25"/>
  <c r="N1459" i="25"/>
  <c r="P1459" i="25"/>
  <c r="Q1459" i="25"/>
  <c r="S1459" i="25"/>
  <c r="U1459" i="25"/>
  <c r="W1459" i="25"/>
  <c r="X1459" i="25"/>
  <c r="Y1459" i="25"/>
  <c r="Z1459" i="25"/>
  <c r="AA1459" i="25"/>
  <c r="AC1459" i="25"/>
  <c r="AD1459" i="25"/>
  <c r="AG1459" i="25"/>
  <c r="N1460" i="25"/>
  <c r="P1460" i="25"/>
  <c r="Q1460" i="25"/>
  <c r="S1460" i="25"/>
  <c r="U1460" i="25"/>
  <c r="W1460" i="25"/>
  <c r="X1460" i="25"/>
  <c r="Y1460" i="25"/>
  <c r="Z1460" i="25"/>
  <c r="AA1460" i="25"/>
  <c r="AC1460" i="25"/>
  <c r="AD1460" i="25"/>
  <c r="AG1460" i="25"/>
  <c r="N1461" i="25"/>
  <c r="P1461" i="25"/>
  <c r="Q1461" i="25"/>
  <c r="S1461" i="25"/>
  <c r="U1461" i="25"/>
  <c r="W1461" i="25"/>
  <c r="X1461" i="25"/>
  <c r="Y1461" i="25"/>
  <c r="Z1461" i="25"/>
  <c r="AA1461" i="25"/>
  <c r="AC1461" i="25"/>
  <c r="AD1461" i="25"/>
  <c r="AG1461" i="25"/>
  <c r="N1462" i="25"/>
  <c r="P1462" i="25"/>
  <c r="Q1462" i="25"/>
  <c r="S1462" i="25"/>
  <c r="U1462" i="25"/>
  <c r="W1462" i="25"/>
  <c r="X1462" i="25"/>
  <c r="Y1462" i="25"/>
  <c r="Z1462" i="25"/>
  <c r="AA1462" i="25"/>
  <c r="AC1462" i="25"/>
  <c r="AD1462" i="25"/>
  <c r="AG1462" i="25"/>
  <c r="N1463" i="25"/>
  <c r="P1463" i="25"/>
  <c r="Q1463" i="25"/>
  <c r="S1463" i="25"/>
  <c r="U1463" i="25"/>
  <c r="W1463" i="25"/>
  <c r="X1463" i="25"/>
  <c r="Y1463" i="25"/>
  <c r="Z1463" i="25"/>
  <c r="AA1463" i="25"/>
  <c r="AC1463" i="25"/>
  <c r="AD1463" i="25"/>
  <c r="AG1463" i="25"/>
  <c r="N1464" i="25"/>
  <c r="P1464" i="25"/>
  <c r="Q1464" i="25"/>
  <c r="S1464" i="25"/>
  <c r="U1464" i="25"/>
  <c r="W1464" i="25"/>
  <c r="X1464" i="25"/>
  <c r="Y1464" i="25"/>
  <c r="Z1464" i="25"/>
  <c r="AA1464" i="25"/>
  <c r="AC1464" i="25"/>
  <c r="AD1464" i="25"/>
  <c r="AG1464" i="25"/>
  <c r="N1465" i="25"/>
  <c r="P1465" i="25"/>
  <c r="Q1465" i="25"/>
  <c r="S1465" i="25"/>
  <c r="U1465" i="25"/>
  <c r="W1465" i="25"/>
  <c r="X1465" i="25"/>
  <c r="Y1465" i="25"/>
  <c r="Z1465" i="25"/>
  <c r="AA1465" i="25"/>
  <c r="AC1465" i="25"/>
  <c r="AD1465" i="25"/>
  <c r="AG1465" i="25"/>
  <c r="N1466" i="25"/>
  <c r="P1466" i="25"/>
  <c r="Q1466" i="25"/>
  <c r="S1466" i="25"/>
  <c r="U1466" i="25"/>
  <c r="W1466" i="25"/>
  <c r="X1466" i="25"/>
  <c r="Y1466" i="25"/>
  <c r="Z1466" i="25"/>
  <c r="AA1466" i="25"/>
  <c r="AC1466" i="25"/>
  <c r="AD1466" i="25"/>
  <c r="AG1466" i="25"/>
  <c r="N1467" i="25"/>
  <c r="P1467" i="25"/>
  <c r="Q1467" i="25"/>
  <c r="S1467" i="25"/>
  <c r="U1467" i="25"/>
  <c r="W1467" i="25"/>
  <c r="X1467" i="25"/>
  <c r="Y1467" i="25"/>
  <c r="Z1467" i="25"/>
  <c r="AA1467" i="25"/>
  <c r="AC1467" i="25"/>
  <c r="AD1467" i="25"/>
  <c r="AG1467" i="25"/>
  <c r="N1468" i="25"/>
  <c r="P1468" i="25"/>
  <c r="Q1468" i="25"/>
  <c r="S1468" i="25"/>
  <c r="U1468" i="25"/>
  <c r="W1468" i="25"/>
  <c r="X1468" i="25"/>
  <c r="Y1468" i="25"/>
  <c r="Z1468" i="25"/>
  <c r="AA1468" i="25"/>
  <c r="AC1468" i="25"/>
  <c r="AD1468" i="25"/>
  <c r="AG1468" i="25"/>
  <c r="N1469" i="25"/>
  <c r="P1469" i="25"/>
  <c r="Q1469" i="25"/>
  <c r="S1469" i="25"/>
  <c r="U1469" i="25"/>
  <c r="W1469" i="25"/>
  <c r="X1469" i="25"/>
  <c r="Y1469" i="25"/>
  <c r="Z1469" i="25"/>
  <c r="AA1469" i="25"/>
  <c r="AC1469" i="25"/>
  <c r="AD1469" i="25"/>
  <c r="AG1469" i="25"/>
  <c r="N1470" i="25"/>
  <c r="P1470" i="25"/>
  <c r="Q1470" i="25"/>
  <c r="S1470" i="25"/>
  <c r="U1470" i="25"/>
  <c r="W1470" i="25"/>
  <c r="X1470" i="25"/>
  <c r="Y1470" i="25"/>
  <c r="Z1470" i="25"/>
  <c r="AA1470" i="25"/>
  <c r="AC1470" i="25"/>
  <c r="AD1470" i="25"/>
  <c r="AG1470" i="25"/>
  <c r="N1471" i="25"/>
  <c r="P1471" i="25"/>
  <c r="Q1471" i="25"/>
  <c r="S1471" i="25"/>
  <c r="U1471" i="25"/>
  <c r="W1471" i="25"/>
  <c r="X1471" i="25"/>
  <c r="Y1471" i="25"/>
  <c r="Z1471" i="25"/>
  <c r="AA1471" i="25"/>
  <c r="AC1471" i="25"/>
  <c r="AD1471" i="25"/>
  <c r="AG1471" i="25"/>
  <c r="N1472" i="25"/>
  <c r="P1472" i="25"/>
  <c r="Q1472" i="25"/>
  <c r="S1472" i="25"/>
  <c r="U1472" i="25"/>
  <c r="W1472" i="25"/>
  <c r="X1472" i="25"/>
  <c r="Y1472" i="25"/>
  <c r="Z1472" i="25"/>
  <c r="AA1472" i="25"/>
  <c r="AC1472" i="25"/>
  <c r="AD1472" i="25"/>
  <c r="AG1472" i="25"/>
  <c r="N1473" i="25"/>
  <c r="P1473" i="25"/>
  <c r="Q1473" i="25"/>
  <c r="S1473" i="25"/>
  <c r="U1473" i="25"/>
  <c r="W1473" i="25"/>
  <c r="X1473" i="25"/>
  <c r="Y1473" i="25"/>
  <c r="Z1473" i="25"/>
  <c r="AA1473" i="25"/>
  <c r="AC1473" i="25"/>
  <c r="AD1473" i="25"/>
  <c r="AG1473" i="25"/>
  <c r="N1474" i="25"/>
  <c r="P1474" i="25"/>
  <c r="Q1474" i="25"/>
  <c r="S1474" i="25"/>
  <c r="U1474" i="25"/>
  <c r="W1474" i="25"/>
  <c r="X1474" i="25"/>
  <c r="Y1474" i="25"/>
  <c r="Z1474" i="25"/>
  <c r="AA1474" i="25"/>
  <c r="AC1474" i="25"/>
  <c r="AD1474" i="25"/>
  <c r="AG1474" i="25"/>
  <c r="N1475" i="25"/>
  <c r="P1475" i="25"/>
  <c r="Q1475" i="25"/>
  <c r="S1475" i="25"/>
  <c r="U1475" i="25"/>
  <c r="W1475" i="25"/>
  <c r="X1475" i="25"/>
  <c r="Y1475" i="25"/>
  <c r="Z1475" i="25"/>
  <c r="AA1475" i="25"/>
  <c r="AC1475" i="25"/>
  <c r="AD1475" i="25"/>
  <c r="AG1475" i="25"/>
  <c r="N1476" i="25"/>
  <c r="P1476" i="25"/>
  <c r="Q1476" i="25"/>
  <c r="S1476" i="25"/>
  <c r="U1476" i="25"/>
  <c r="W1476" i="25"/>
  <c r="X1476" i="25"/>
  <c r="Y1476" i="25"/>
  <c r="Z1476" i="25"/>
  <c r="AA1476" i="25"/>
  <c r="AC1476" i="25"/>
  <c r="AD1476" i="25"/>
  <c r="AG1476" i="25"/>
  <c r="N1477" i="25"/>
  <c r="P1477" i="25"/>
  <c r="Q1477" i="25"/>
  <c r="S1477" i="25"/>
  <c r="U1477" i="25"/>
  <c r="W1477" i="25"/>
  <c r="X1477" i="25"/>
  <c r="Y1477" i="25"/>
  <c r="Z1477" i="25"/>
  <c r="AA1477" i="25"/>
  <c r="AC1477" i="25"/>
  <c r="AD1477" i="25"/>
  <c r="AG1477" i="25"/>
  <c r="N1478" i="25"/>
  <c r="P1478" i="25"/>
  <c r="Q1478" i="25"/>
  <c r="S1478" i="25"/>
  <c r="U1478" i="25"/>
  <c r="W1478" i="25"/>
  <c r="X1478" i="25"/>
  <c r="Y1478" i="25"/>
  <c r="Z1478" i="25"/>
  <c r="AA1478" i="25"/>
  <c r="AC1478" i="25"/>
  <c r="AD1478" i="25"/>
  <c r="AG1478" i="25"/>
  <c r="N1479" i="25"/>
  <c r="P1479" i="25"/>
  <c r="Q1479" i="25"/>
  <c r="S1479" i="25"/>
  <c r="U1479" i="25"/>
  <c r="W1479" i="25"/>
  <c r="X1479" i="25"/>
  <c r="Y1479" i="25"/>
  <c r="Z1479" i="25"/>
  <c r="AA1479" i="25"/>
  <c r="AC1479" i="25"/>
  <c r="AD1479" i="25"/>
  <c r="AG1479" i="25"/>
  <c r="N1480" i="25"/>
  <c r="P1480" i="25"/>
  <c r="Q1480" i="25"/>
  <c r="S1480" i="25"/>
  <c r="U1480" i="25"/>
  <c r="W1480" i="25"/>
  <c r="X1480" i="25"/>
  <c r="Y1480" i="25"/>
  <c r="Z1480" i="25"/>
  <c r="AA1480" i="25"/>
  <c r="AC1480" i="25"/>
  <c r="AD1480" i="25"/>
  <c r="AG1480" i="25"/>
  <c r="N1481" i="25"/>
  <c r="P1481" i="25"/>
  <c r="Q1481" i="25"/>
  <c r="S1481" i="25"/>
  <c r="U1481" i="25"/>
  <c r="W1481" i="25"/>
  <c r="X1481" i="25"/>
  <c r="Y1481" i="25"/>
  <c r="Z1481" i="25"/>
  <c r="AA1481" i="25"/>
  <c r="AC1481" i="25"/>
  <c r="AD1481" i="25"/>
  <c r="AG1481" i="25"/>
  <c r="N1482" i="25"/>
  <c r="P1482" i="25"/>
  <c r="Q1482" i="25"/>
  <c r="S1482" i="25"/>
  <c r="U1482" i="25"/>
  <c r="W1482" i="25"/>
  <c r="X1482" i="25"/>
  <c r="Y1482" i="25"/>
  <c r="Z1482" i="25"/>
  <c r="AA1482" i="25"/>
  <c r="AC1482" i="25"/>
  <c r="AD1482" i="25"/>
  <c r="AG1482" i="25"/>
  <c r="N1483" i="25"/>
  <c r="P1483" i="25"/>
  <c r="Q1483" i="25"/>
  <c r="S1483" i="25"/>
  <c r="U1483" i="25"/>
  <c r="W1483" i="25"/>
  <c r="X1483" i="25"/>
  <c r="Y1483" i="25"/>
  <c r="Z1483" i="25"/>
  <c r="AA1483" i="25"/>
  <c r="AC1483" i="25"/>
  <c r="AD1483" i="25"/>
  <c r="AG1483" i="25"/>
  <c r="N1484" i="25"/>
  <c r="P1484" i="25"/>
  <c r="Q1484" i="25"/>
  <c r="S1484" i="25"/>
  <c r="U1484" i="25"/>
  <c r="W1484" i="25"/>
  <c r="X1484" i="25"/>
  <c r="Y1484" i="25"/>
  <c r="Z1484" i="25"/>
  <c r="AA1484" i="25"/>
  <c r="AC1484" i="25"/>
  <c r="AD1484" i="25"/>
  <c r="AG1484" i="25"/>
  <c r="N1485" i="25"/>
  <c r="P1485" i="25"/>
  <c r="Q1485" i="25"/>
  <c r="S1485" i="25"/>
  <c r="U1485" i="25"/>
  <c r="W1485" i="25"/>
  <c r="X1485" i="25"/>
  <c r="Y1485" i="25"/>
  <c r="Z1485" i="25"/>
  <c r="AA1485" i="25"/>
  <c r="AC1485" i="25"/>
  <c r="AD1485" i="25"/>
  <c r="AG1485" i="25"/>
  <c r="N1486" i="25"/>
  <c r="P1486" i="25"/>
  <c r="Q1486" i="25"/>
  <c r="S1486" i="25"/>
  <c r="U1486" i="25"/>
  <c r="W1486" i="25"/>
  <c r="X1486" i="25"/>
  <c r="Y1486" i="25"/>
  <c r="Z1486" i="25"/>
  <c r="AA1486" i="25"/>
  <c r="AC1486" i="25"/>
  <c r="AD1486" i="25"/>
  <c r="AG1486" i="25"/>
  <c r="N1487" i="25"/>
  <c r="P1487" i="25"/>
  <c r="Q1487" i="25"/>
  <c r="S1487" i="25"/>
  <c r="U1487" i="25"/>
  <c r="W1487" i="25"/>
  <c r="X1487" i="25"/>
  <c r="Y1487" i="25"/>
  <c r="Z1487" i="25"/>
  <c r="AA1487" i="25"/>
  <c r="AC1487" i="25"/>
  <c r="AD1487" i="25"/>
  <c r="AG1487" i="25"/>
  <c r="N1488" i="25"/>
  <c r="P1488" i="25"/>
  <c r="Q1488" i="25"/>
  <c r="S1488" i="25"/>
  <c r="U1488" i="25"/>
  <c r="W1488" i="25"/>
  <c r="X1488" i="25"/>
  <c r="Y1488" i="25"/>
  <c r="Z1488" i="25"/>
  <c r="AA1488" i="25"/>
  <c r="AC1488" i="25"/>
  <c r="AD1488" i="25"/>
  <c r="AG1488" i="25"/>
  <c r="N1489" i="25"/>
  <c r="P1489" i="25"/>
  <c r="Q1489" i="25"/>
  <c r="S1489" i="25"/>
  <c r="U1489" i="25"/>
  <c r="W1489" i="25"/>
  <c r="X1489" i="25"/>
  <c r="Y1489" i="25"/>
  <c r="Z1489" i="25"/>
  <c r="AA1489" i="25"/>
  <c r="AC1489" i="25"/>
  <c r="AD1489" i="25"/>
  <c r="AG1489" i="25"/>
  <c r="N1490" i="25"/>
  <c r="P1490" i="25"/>
  <c r="Q1490" i="25"/>
  <c r="S1490" i="25"/>
  <c r="U1490" i="25"/>
  <c r="W1490" i="25"/>
  <c r="X1490" i="25"/>
  <c r="Y1490" i="25"/>
  <c r="Z1490" i="25"/>
  <c r="AA1490" i="25"/>
  <c r="AC1490" i="25"/>
  <c r="AD1490" i="25"/>
  <c r="AG1490" i="25"/>
  <c r="N1491" i="25"/>
  <c r="P1491" i="25"/>
  <c r="Q1491" i="25"/>
  <c r="S1491" i="25"/>
  <c r="U1491" i="25"/>
  <c r="W1491" i="25"/>
  <c r="X1491" i="25"/>
  <c r="Y1491" i="25"/>
  <c r="Z1491" i="25"/>
  <c r="AA1491" i="25"/>
  <c r="AC1491" i="25"/>
  <c r="AD1491" i="25"/>
  <c r="AG1491" i="25"/>
  <c r="N1492" i="25"/>
  <c r="P1492" i="25"/>
  <c r="Q1492" i="25"/>
  <c r="S1492" i="25"/>
  <c r="U1492" i="25"/>
  <c r="W1492" i="25"/>
  <c r="X1492" i="25"/>
  <c r="Y1492" i="25"/>
  <c r="Z1492" i="25"/>
  <c r="AA1492" i="25"/>
  <c r="AC1492" i="25"/>
  <c r="AD1492" i="25"/>
  <c r="AG1492" i="25"/>
  <c r="N1493" i="25"/>
  <c r="P1493" i="25"/>
  <c r="Q1493" i="25"/>
  <c r="S1493" i="25"/>
  <c r="U1493" i="25"/>
  <c r="W1493" i="25"/>
  <c r="X1493" i="25"/>
  <c r="Y1493" i="25"/>
  <c r="Z1493" i="25"/>
  <c r="AA1493" i="25"/>
  <c r="AC1493" i="25"/>
  <c r="AD1493" i="25"/>
  <c r="AG1493" i="25"/>
  <c r="N1494" i="25"/>
  <c r="P1494" i="25"/>
  <c r="Q1494" i="25"/>
  <c r="S1494" i="25"/>
  <c r="U1494" i="25"/>
  <c r="W1494" i="25"/>
  <c r="X1494" i="25"/>
  <c r="Y1494" i="25"/>
  <c r="Z1494" i="25"/>
  <c r="AA1494" i="25"/>
  <c r="AC1494" i="25"/>
  <c r="AD1494" i="25"/>
  <c r="AG1494" i="25"/>
  <c r="N1495" i="25"/>
  <c r="P1495" i="25"/>
  <c r="Q1495" i="25"/>
  <c r="S1495" i="25"/>
  <c r="U1495" i="25"/>
  <c r="W1495" i="25"/>
  <c r="X1495" i="25"/>
  <c r="Y1495" i="25"/>
  <c r="Z1495" i="25"/>
  <c r="AA1495" i="25"/>
  <c r="AC1495" i="25"/>
  <c r="AD1495" i="25"/>
  <c r="AG1495" i="25"/>
  <c r="N1496" i="25"/>
  <c r="P1496" i="25"/>
  <c r="Q1496" i="25"/>
  <c r="S1496" i="25"/>
  <c r="U1496" i="25"/>
  <c r="W1496" i="25"/>
  <c r="X1496" i="25"/>
  <c r="Y1496" i="25"/>
  <c r="Z1496" i="25"/>
  <c r="AA1496" i="25"/>
  <c r="AC1496" i="25"/>
  <c r="AD1496" i="25"/>
  <c r="AG1496" i="25"/>
  <c r="N1497" i="25"/>
  <c r="P1497" i="25"/>
  <c r="Q1497" i="25"/>
  <c r="S1497" i="25"/>
  <c r="U1497" i="25"/>
  <c r="W1497" i="25"/>
  <c r="X1497" i="25"/>
  <c r="Y1497" i="25"/>
  <c r="Z1497" i="25"/>
  <c r="AA1497" i="25"/>
  <c r="AC1497" i="25"/>
  <c r="AD1497" i="25"/>
  <c r="AG1497" i="25"/>
  <c r="N1498" i="25"/>
  <c r="P1498" i="25"/>
  <c r="Q1498" i="25"/>
  <c r="S1498" i="25"/>
  <c r="U1498" i="25"/>
  <c r="W1498" i="25"/>
  <c r="X1498" i="25"/>
  <c r="Y1498" i="25"/>
  <c r="Z1498" i="25"/>
  <c r="AA1498" i="25"/>
  <c r="AC1498" i="25"/>
  <c r="AD1498" i="25"/>
  <c r="AG1498" i="25"/>
  <c r="N1499" i="25"/>
  <c r="P1499" i="25"/>
  <c r="Q1499" i="25"/>
  <c r="S1499" i="25"/>
  <c r="U1499" i="25"/>
  <c r="W1499" i="25"/>
  <c r="X1499" i="25"/>
  <c r="Y1499" i="25"/>
  <c r="Z1499" i="25"/>
  <c r="AA1499" i="25"/>
  <c r="AC1499" i="25"/>
  <c r="AD1499" i="25"/>
  <c r="AG1499" i="25"/>
  <c r="N1500" i="25"/>
  <c r="P1500" i="25"/>
  <c r="Q1500" i="25"/>
  <c r="S1500" i="25"/>
  <c r="U1500" i="25"/>
  <c r="W1500" i="25"/>
  <c r="X1500" i="25"/>
  <c r="Y1500" i="25"/>
  <c r="Z1500" i="25"/>
  <c r="AA1500" i="25"/>
  <c r="AC1500" i="25"/>
  <c r="AD1500" i="25"/>
  <c r="AG1500" i="25"/>
  <c r="N1501" i="25"/>
  <c r="P1501" i="25"/>
  <c r="Q1501" i="25"/>
  <c r="S1501" i="25"/>
  <c r="U1501" i="25"/>
  <c r="W1501" i="25"/>
  <c r="X1501" i="25"/>
  <c r="Y1501" i="25"/>
  <c r="Z1501" i="25"/>
  <c r="AA1501" i="25"/>
  <c r="AC1501" i="25"/>
  <c r="AD1501" i="25"/>
  <c r="AG1501" i="25"/>
  <c r="N1502" i="25"/>
  <c r="P1502" i="25"/>
  <c r="Q1502" i="25"/>
  <c r="S1502" i="25"/>
  <c r="U1502" i="25"/>
  <c r="W1502" i="25"/>
  <c r="X1502" i="25"/>
  <c r="Y1502" i="25"/>
  <c r="Z1502" i="25"/>
  <c r="AA1502" i="25"/>
  <c r="AC1502" i="25"/>
  <c r="AD1502" i="25"/>
  <c r="AG1502" i="25"/>
  <c r="N1503" i="25"/>
  <c r="P1503" i="25"/>
  <c r="Q1503" i="25"/>
  <c r="S1503" i="25"/>
  <c r="U1503" i="25"/>
  <c r="W1503" i="25"/>
  <c r="X1503" i="25"/>
  <c r="Y1503" i="25"/>
  <c r="Z1503" i="25"/>
  <c r="AA1503" i="25"/>
  <c r="AC1503" i="25"/>
  <c r="AD1503" i="25"/>
  <c r="AG1503" i="25"/>
  <c r="N1504" i="25"/>
  <c r="P1504" i="25"/>
  <c r="Q1504" i="25"/>
  <c r="S1504" i="25"/>
  <c r="U1504" i="25"/>
  <c r="W1504" i="25"/>
  <c r="X1504" i="25"/>
  <c r="Y1504" i="25"/>
  <c r="Z1504" i="25"/>
  <c r="AA1504" i="25"/>
  <c r="AC1504" i="25"/>
  <c r="AD1504" i="25"/>
  <c r="AG1504" i="25"/>
  <c r="N1505" i="25"/>
  <c r="P1505" i="25"/>
  <c r="Q1505" i="25"/>
  <c r="S1505" i="25"/>
  <c r="U1505" i="25"/>
  <c r="W1505" i="25"/>
  <c r="X1505" i="25"/>
  <c r="Y1505" i="25"/>
  <c r="Z1505" i="25"/>
  <c r="AA1505" i="25"/>
  <c r="AC1505" i="25"/>
  <c r="AD1505" i="25"/>
  <c r="AG1505" i="25"/>
  <c r="N1506" i="25"/>
  <c r="P1506" i="25"/>
  <c r="Q1506" i="25"/>
  <c r="S1506" i="25"/>
  <c r="U1506" i="25"/>
  <c r="W1506" i="25"/>
  <c r="X1506" i="25"/>
  <c r="Y1506" i="25"/>
  <c r="Z1506" i="25"/>
  <c r="AA1506" i="25"/>
  <c r="AC1506" i="25"/>
  <c r="AD1506" i="25"/>
  <c r="AG1506" i="25"/>
  <c r="N1507" i="25"/>
  <c r="P1507" i="25"/>
  <c r="Q1507" i="25"/>
  <c r="S1507" i="25"/>
  <c r="U1507" i="25"/>
  <c r="W1507" i="25"/>
  <c r="X1507" i="25"/>
  <c r="Y1507" i="25"/>
  <c r="Z1507" i="25"/>
  <c r="AA1507" i="25"/>
  <c r="AC1507" i="25"/>
  <c r="AD1507" i="25"/>
  <c r="AG1507" i="25"/>
  <c r="N1508" i="25"/>
  <c r="P1508" i="25"/>
  <c r="Q1508" i="25"/>
  <c r="S1508" i="25"/>
  <c r="U1508" i="25"/>
  <c r="W1508" i="25"/>
  <c r="X1508" i="25"/>
  <c r="Y1508" i="25"/>
  <c r="Z1508" i="25"/>
  <c r="AA1508" i="25"/>
  <c r="AC1508" i="25"/>
  <c r="AD1508" i="25"/>
  <c r="AG1508" i="25"/>
  <c r="N1509" i="25"/>
  <c r="P1509" i="25"/>
  <c r="Q1509" i="25"/>
  <c r="S1509" i="25"/>
  <c r="U1509" i="25"/>
  <c r="W1509" i="25"/>
  <c r="X1509" i="25"/>
  <c r="Y1509" i="25"/>
  <c r="Z1509" i="25"/>
  <c r="AA1509" i="25"/>
  <c r="AC1509" i="25"/>
  <c r="AD1509" i="25"/>
  <c r="AG1509" i="25"/>
  <c r="N1510" i="25"/>
  <c r="P1510" i="25"/>
  <c r="Q1510" i="25"/>
  <c r="S1510" i="25"/>
  <c r="U1510" i="25"/>
  <c r="W1510" i="25"/>
  <c r="X1510" i="25"/>
  <c r="Y1510" i="25"/>
  <c r="Z1510" i="25"/>
  <c r="AA1510" i="25"/>
  <c r="AC1510" i="25"/>
  <c r="AD1510" i="25"/>
  <c r="AG1510" i="25"/>
  <c r="N1511" i="25"/>
  <c r="P1511" i="25"/>
  <c r="Q1511" i="25"/>
  <c r="S1511" i="25"/>
  <c r="U1511" i="25"/>
  <c r="W1511" i="25"/>
  <c r="X1511" i="25"/>
  <c r="Y1511" i="25"/>
  <c r="Z1511" i="25"/>
  <c r="AA1511" i="25"/>
  <c r="AC1511" i="25"/>
  <c r="AD1511" i="25"/>
  <c r="AG1511" i="25"/>
  <c r="N1512" i="25"/>
  <c r="P1512" i="25"/>
  <c r="Q1512" i="25"/>
  <c r="S1512" i="25"/>
  <c r="U1512" i="25"/>
  <c r="W1512" i="25"/>
  <c r="X1512" i="25"/>
  <c r="Y1512" i="25"/>
  <c r="Z1512" i="25"/>
  <c r="AA1512" i="25"/>
  <c r="AC1512" i="25"/>
  <c r="AD1512" i="25"/>
  <c r="AG1512" i="25"/>
  <c r="N1513" i="25"/>
  <c r="P1513" i="25"/>
  <c r="Q1513" i="25"/>
  <c r="S1513" i="25"/>
  <c r="U1513" i="25"/>
  <c r="W1513" i="25"/>
  <c r="X1513" i="25"/>
  <c r="Y1513" i="25"/>
  <c r="Z1513" i="25"/>
  <c r="AA1513" i="25"/>
  <c r="AC1513" i="25"/>
  <c r="AD1513" i="25"/>
  <c r="AG1513" i="25"/>
  <c r="N1514" i="25"/>
  <c r="P1514" i="25"/>
  <c r="Q1514" i="25"/>
  <c r="S1514" i="25"/>
  <c r="U1514" i="25"/>
  <c r="W1514" i="25"/>
  <c r="X1514" i="25"/>
  <c r="Y1514" i="25"/>
  <c r="Z1514" i="25"/>
  <c r="AA1514" i="25"/>
  <c r="AC1514" i="25"/>
  <c r="AD1514" i="25"/>
  <c r="AG1514" i="25"/>
  <c r="N1515" i="25"/>
  <c r="P1515" i="25"/>
  <c r="Q1515" i="25"/>
  <c r="S1515" i="25"/>
  <c r="U1515" i="25"/>
  <c r="W1515" i="25"/>
  <c r="X1515" i="25"/>
  <c r="Y1515" i="25"/>
  <c r="Z1515" i="25"/>
  <c r="AA1515" i="25"/>
  <c r="AC1515" i="25"/>
  <c r="AD1515" i="25"/>
  <c r="AG1515" i="25"/>
  <c r="B124" i="5"/>
  <c r="B156" i="5"/>
  <c r="J1421" i="25" s="1"/>
  <c r="C156" i="5"/>
  <c r="M1421" i="25" s="1"/>
  <c r="I156" i="5"/>
  <c r="T1421" i="25" s="1"/>
  <c r="K156" i="5"/>
  <c r="V1421" i="25" s="1"/>
  <c r="Q156" i="5"/>
  <c r="AB1421" i="25" s="1"/>
  <c r="T156" i="5"/>
  <c r="AE1421" i="25" s="1"/>
  <c r="U156" i="5"/>
  <c r="AF1421" i="25" s="1"/>
  <c r="B157" i="5"/>
  <c r="J1422" i="25" s="1"/>
  <c r="C157" i="5"/>
  <c r="M1422" i="25" s="1"/>
  <c r="I157" i="5"/>
  <c r="T1422" i="25" s="1"/>
  <c r="K157" i="5"/>
  <c r="V1422" i="25" s="1"/>
  <c r="Q157" i="5"/>
  <c r="AB1422" i="25" s="1"/>
  <c r="T157" i="5"/>
  <c r="AE1422" i="25" s="1"/>
  <c r="U157" i="5"/>
  <c r="AF1422" i="25" s="1"/>
  <c r="B158" i="5"/>
  <c r="J1423" i="25" s="1"/>
  <c r="C158" i="5"/>
  <c r="M1423" i="25" s="1"/>
  <c r="I158" i="5"/>
  <c r="T1423" i="25" s="1"/>
  <c r="K158" i="5"/>
  <c r="V1423" i="25" s="1"/>
  <c r="Q158" i="5"/>
  <c r="AB1423" i="25" s="1"/>
  <c r="T158" i="5"/>
  <c r="AE1423" i="25" s="1"/>
  <c r="U158" i="5"/>
  <c r="AF1423" i="25" s="1"/>
  <c r="B159" i="5"/>
  <c r="J1424" i="25" s="1"/>
  <c r="C159" i="5"/>
  <c r="M1424" i="25" s="1"/>
  <c r="I159" i="5"/>
  <c r="T1424" i="25" s="1"/>
  <c r="K159" i="5"/>
  <c r="V1424" i="25" s="1"/>
  <c r="Q159" i="5"/>
  <c r="AB1424" i="25" s="1"/>
  <c r="T159" i="5"/>
  <c r="AE1424" i="25" s="1"/>
  <c r="U159" i="5"/>
  <c r="AF1424" i="25" s="1"/>
  <c r="B160" i="5"/>
  <c r="J1425" i="25" s="1"/>
  <c r="C160" i="5"/>
  <c r="M1425" i="25" s="1"/>
  <c r="I160" i="5"/>
  <c r="T1425" i="25" s="1"/>
  <c r="K160" i="5"/>
  <c r="V1425" i="25" s="1"/>
  <c r="Q160" i="5"/>
  <c r="AB1425" i="25" s="1"/>
  <c r="T160" i="5"/>
  <c r="AE1425" i="25" s="1"/>
  <c r="U160" i="5"/>
  <c r="AF1425" i="25" s="1"/>
  <c r="B161" i="5"/>
  <c r="J1426" i="25" s="1"/>
  <c r="C161" i="5"/>
  <c r="M1426" i="25" s="1"/>
  <c r="I161" i="5"/>
  <c r="T1426" i="25" s="1"/>
  <c r="K161" i="5"/>
  <c r="V1426" i="25" s="1"/>
  <c r="Q161" i="5"/>
  <c r="AB1426" i="25" s="1"/>
  <c r="T161" i="5"/>
  <c r="AE1426" i="25" s="1"/>
  <c r="U161" i="5"/>
  <c r="AF1426" i="25" s="1"/>
  <c r="B162" i="5"/>
  <c r="J1427" i="25" s="1"/>
  <c r="C162" i="5"/>
  <c r="M1427" i="25" s="1"/>
  <c r="I162" i="5"/>
  <c r="T1427" i="25" s="1"/>
  <c r="K162" i="5"/>
  <c r="V1427" i="25" s="1"/>
  <c r="Q162" i="5"/>
  <c r="AB1427" i="25" s="1"/>
  <c r="T162" i="5"/>
  <c r="AE1427" i="25" s="1"/>
  <c r="U162" i="5"/>
  <c r="AF1427" i="25" s="1"/>
  <c r="B163" i="5"/>
  <c r="J1428" i="25" s="1"/>
  <c r="C163" i="5"/>
  <c r="M1428" i="25" s="1"/>
  <c r="I163" i="5"/>
  <c r="T1428" i="25" s="1"/>
  <c r="K163" i="5"/>
  <c r="V1428" i="25" s="1"/>
  <c r="Q163" i="5"/>
  <c r="AB1428" i="25" s="1"/>
  <c r="T163" i="5"/>
  <c r="AE1428" i="25" s="1"/>
  <c r="U163" i="5"/>
  <c r="AF1428" i="25" s="1"/>
  <c r="B164" i="5"/>
  <c r="J1429" i="25" s="1"/>
  <c r="C164" i="5"/>
  <c r="M1429" i="25" s="1"/>
  <c r="I164" i="5"/>
  <c r="T1429" i="25" s="1"/>
  <c r="K164" i="5"/>
  <c r="V1429" i="25" s="1"/>
  <c r="Q164" i="5"/>
  <c r="AB1429" i="25" s="1"/>
  <c r="T164" i="5"/>
  <c r="AE1429" i="25" s="1"/>
  <c r="U164" i="5"/>
  <c r="AF1429" i="25" s="1"/>
  <c r="B165" i="5"/>
  <c r="J1430" i="25" s="1"/>
  <c r="C165" i="5"/>
  <c r="M1430" i="25" s="1"/>
  <c r="I165" i="5"/>
  <c r="T1430" i="25" s="1"/>
  <c r="K165" i="5"/>
  <c r="V1430" i="25" s="1"/>
  <c r="Q165" i="5"/>
  <c r="AB1430" i="25" s="1"/>
  <c r="T165" i="5"/>
  <c r="AE1430" i="25" s="1"/>
  <c r="U165" i="5"/>
  <c r="AF1430" i="25" s="1"/>
  <c r="B166" i="5"/>
  <c r="J1431" i="25" s="1"/>
  <c r="C166" i="5"/>
  <c r="M1431" i="25" s="1"/>
  <c r="I166" i="5"/>
  <c r="T1431" i="25" s="1"/>
  <c r="K166" i="5"/>
  <c r="V1431" i="25" s="1"/>
  <c r="Q166" i="5"/>
  <c r="AB1431" i="25" s="1"/>
  <c r="T166" i="5"/>
  <c r="AE1431" i="25" s="1"/>
  <c r="U166" i="5"/>
  <c r="AF1431" i="25" s="1"/>
  <c r="B167" i="5"/>
  <c r="J1432" i="25" s="1"/>
  <c r="C167" i="5"/>
  <c r="M1432" i="25" s="1"/>
  <c r="I167" i="5"/>
  <c r="T1432" i="25" s="1"/>
  <c r="K167" i="5"/>
  <c r="V1432" i="25" s="1"/>
  <c r="Q167" i="5"/>
  <c r="AB1432" i="25" s="1"/>
  <c r="T167" i="5"/>
  <c r="AE1432" i="25" s="1"/>
  <c r="U167" i="5"/>
  <c r="AF1432" i="25" s="1"/>
  <c r="B168" i="5"/>
  <c r="J1433" i="25" s="1"/>
  <c r="C168" i="5"/>
  <c r="M1433" i="25" s="1"/>
  <c r="I168" i="5"/>
  <c r="T1433" i="25" s="1"/>
  <c r="K168" i="5"/>
  <c r="V1433" i="25" s="1"/>
  <c r="Q168" i="5"/>
  <c r="AB1433" i="25" s="1"/>
  <c r="T168" i="5"/>
  <c r="AE1433" i="25" s="1"/>
  <c r="U168" i="5"/>
  <c r="AF1433" i="25" s="1"/>
  <c r="B169" i="5"/>
  <c r="J1434" i="25" s="1"/>
  <c r="C169" i="5"/>
  <c r="M1434" i="25" s="1"/>
  <c r="I169" i="5"/>
  <c r="T1434" i="25" s="1"/>
  <c r="K169" i="5"/>
  <c r="V1434" i="25" s="1"/>
  <c r="Q169" i="5"/>
  <c r="AB1434" i="25" s="1"/>
  <c r="T169" i="5"/>
  <c r="AE1434" i="25" s="1"/>
  <c r="U169" i="5"/>
  <c r="AF1434" i="25" s="1"/>
  <c r="B170" i="5"/>
  <c r="J1435" i="25" s="1"/>
  <c r="C170" i="5"/>
  <c r="M1435" i="25" s="1"/>
  <c r="I170" i="5"/>
  <c r="T1435" i="25" s="1"/>
  <c r="K170" i="5"/>
  <c r="V1435" i="25" s="1"/>
  <c r="Q170" i="5"/>
  <c r="AB1435" i="25" s="1"/>
  <c r="T170" i="5"/>
  <c r="AE1435" i="25" s="1"/>
  <c r="U170" i="5"/>
  <c r="AF1435" i="25" s="1"/>
  <c r="B171" i="5"/>
  <c r="J1436" i="25" s="1"/>
  <c r="C171" i="5"/>
  <c r="M1436" i="25" s="1"/>
  <c r="I171" i="5"/>
  <c r="T1436" i="25" s="1"/>
  <c r="K171" i="5"/>
  <c r="V1436" i="25" s="1"/>
  <c r="Q171" i="5"/>
  <c r="AB1436" i="25" s="1"/>
  <c r="T171" i="5"/>
  <c r="AE1436" i="25" s="1"/>
  <c r="U171" i="5"/>
  <c r="AF1436" i="25" s="1"/>
  <c r="B172" i="5"/>
  <c r="J1437" i="25" s="1"/>
  <c r="C172" i="5"/>
  <c r="M1437" i="25" s="1"/>
  <c r="I172" i="5"/>
  <c r="T1437" i="25" s="1"/>
  <c r="K172" i="5"/>
  <c r="V1437" i="25" s="1"/>
  <c r="Q172" i="5"/>
  <c r="AB1437" i="25" s="1"/>
  <c r="T172" i="5"/>
  <c r="AE1437" i="25" s="1"/>
  <c r="U172" i="5"/>
  <c r="AF1437" i="25" s="1"/>
  <c r="B173" i="5"/>
  <c r="J1438" i="25" s="1"/>
  <c r="C173" i="5"/>
  <c r="M1438" i="25" s="1"/>
  <c r="I173" i="5"/>
  <c r="T1438" i="25" s="1"/>
  <c r="K173" i="5"/>
  <c r="V1438" i="25" s="1"/>
  <c r="Q173" i="5"/>
  <c r="AB1438" i="25" s="1"/>
  <c r="T173" i="5"/>
  <c r="AE1438" i="25" s="1"/>
  <c r="U173" i="5"/>
  <c r="AF1438" i="25" s="1"/>
  <c r="B174" i="5"/>
  <c r="J1439" i="25" s="1"/>
  <c r="C174" i="5"/>
  <c r="M1439" i="25" s="1"/>
  <c r="I174" i="5"/>
  <c r="T1439" i="25" s="1"/>
  <c r="K174" i="5"/>
  <c r="V1439" i="25" s="1"/>
  <c r="Q174" i="5"/>
  <c r="AB1439" i="25" s="1"/>
  <c r="T174" i="5"/>
  <c r="AE1439" i="25" s="1"/>
  <c r="U174" i="5"/>
  <c r="AF1439" i="25" s="1"/>
  <c r="B175" i="5"/>
  <c r="J1440" i="25" s="1"/>
  <c r="C175" i="5"/>
  <c r="M1440" i="25" s="1"/>
  <c r="I175" i="5"/>
  <c r="T1440" i="25" s="1"/>
  <c r="K175" i="5"/>
  <c r="V1440" i="25" s="1"/>
  <c r="Q175" i="5"/>
  <c r="AB1440" i="25" s="1"/>
  <c r="T175" i="5"/>
  <c r="AE1440" i="25" s="1"/>
  <c r="U175" i="5"/>
  <c r="AF1440" i="25" s="1"/>
  <c r="B176" i="5"/>
  <c r="J1441" i="25" s="1"/>
  <c r="C176" i="5"/>
  <c r="M1441" i="25" s="1"/>
  <c r="I176" i="5"/>
  <c r="T1441" i="25" s="1"/>
  <c r="K176" i="5"/>
  <c r="V1441" i="25" s="1"/>
  <c r="Q176" i="5"/>
  <c r="AB1441" i="25" s="1"/>
  <c r="T176" i="5"/>
  <c r="AE1441" i="25" s="1"/>
  <c r="U176" i="5"/>
  <c r="AF1441" i="25" s="1"/>
  <c r="B177" i="5"/>
  <c r="J1442" i="25" s="1"/>
  <c r="C177" i="5"/>
  <c r="M1442" i="25" s="1"/>
  <c r="I177" i="5"/>
  <c r="T1442" i="25" s="1"/>
  <c r="K177" i="5"/>
  <c r="V1442" i="25" s="1"/>
  <c r="Q177" i="5"/>
  <c r="AB1442" i="25" s="1"/>
  <c r="T177" i="5"/>
  <c r="AE1442" i="25" s="1"/>
  <c r="U177" i="5"/>
  <c r="AF1442" i="25" s="1"/>
  <c r="B178" i="5"/>
  <c r="J1443" i="25" s="1"/>
  <c r="C178" i="5"/>
  <c r="M1443" i="25" s="1"/>
  <c r="I178" i="5"/>
  <c r="T1443" i="25" s="1"/>
  <c r="K178" i="5"/>
  <c r="V1443" i="25" s="1"/>
  <c r="Q178" i="5"/>
  <c r="AB1443" i="25" s="1"/>
  <c r="T178" i="5"/>
  <c r="AE1443" i="25" s="1"/>
  <c r="U178" i="5"/>
  <c r="AF1443" i="25" s="1"/>
  <c r="B179" i="5"/>
  <c r="J1444" i="25" s="1"/>
  <c r="C179" i="5"/>
  <c r="M1444" i="25" s="1"/>
  <c r="I179" i="5"/>
  <c r="T1444" i="25" s="1"/>
  <c r="K179" i="5"/>
  <c r="V1444" i="25" s="1"/>
  <c r="AI1444" i="25" s="1"/>
  <c r="Q179" i="5"/>
  <c r="AB1444" i="25" s="1"/>
  <c r="T179" i="5"/>
  <c r="AE1444" i="25" s="1"/>
  <c r="U179" i="5"/>
  <c r="AF1444" i="25" s="1"/>
  <c r="B180" i="5"/>
  <c r="J1445" i="25" s="1"/>
  <c r="C180" i="5"/>
  <c r="M1445" i="25" s="1"/>
  <c r="I180" i="5"/>
  <c r="T1445" i="25" s="1"/>
  <c r="K180" i="5"/>
  <c r="V1445" i="25" s="1"/>
  <c r="Q180" i="5"/>
  <c r="AB1445" i="25" s="1"/>
  <c r="T180" i="5"/>
  <c r="AE1445" i="25" s="1"/>
  <c r="U180" i="5"/>
  <c r="AF1445" i="25" s="1"/>
  <c r="B181" i="5"/>
  <c r="J1446" i="25" s="1"/>
  <c r="C181" i="5"/>
  <c r="M1446" i="25" s="1"/>
  <c r="I181" i="5"/>
  <c r="T1446" i="25" s="1"/>
  <c r="K181" i="5"/>
  <c r="V1446" i="25" s="1"/>
  <c r="Q181" i="5"/>
  <c r="AB1446" i="25" s="1"/>
  <c r="T181" i="5"/>
  <c r="AE1446" i="25" s="1"/>
  <c r="U181" i="5"/>
  <c r="AF1446" i="25" s="1"/>
  <c r="B182" i="5"/>
  <c r="J1447" i="25" s="1"/>
  <c r="C182" i="5"/>
  <c r="M1447" i="25" s="1"/>
  <c r="I182" i="5"/>
  <c r="T1447" i="25" s="1"/>
  <c r="K182" i="5"/>
  <c r="V1447" i="25" s="1"/>
  <c r="Q182" i="5"/>
  <c r="AB1447" i="25" s="1"/>
  <c r="T182" i="5"/>
  <c r="AE1447" i="25" s="1"/>
  <c r="U182" i="5"/>
  <c r="AF1447" i="25" s="1"/>
  <c r="B183" i="5"/>
  <c r="J1448" i="25" s="1"/>
  <c r="C183" i="5"/>
  <c r="M1448" i="25" s="1"/>
  <c r="I183" i="5"/>
  <c r="T1448" i="25" s="1"/>
  <c r="K183" i="5"/>
  <c r="V1448" i="25" s="1"/>
  <c r="Q183" i="5"/>
  <c r="AB1448" i="25" s="1"/>
  <c r="T183" i="5"/>
  <c r="AE1448" i="25" s="1"/>
  <c r="U183" i="5"/>
  <c r="AF1448" i="25" s="1"/>
  <c r="B184" i="5"/>
  <c r="J1449" i="25" s="1"/>
  <c r="C184" i="5"/>
  <c r="M1449" i="25" s="1"/>
  <c r="I184" i="5"/>
  <c r="T1449" i="25" s="1"/>
  <c r="K184" i="5"/>
  <c r="V1449" i="25" s="1"/>
  <c r="Q184" i="5"/>
  <c r="AB1449" i="25" s="1"/>
  <c r="T184" i="5"/>
  <c r="AE1449" i="25" s="1"/>
  <c r="U184" i="5"/>
  <c r="AF1449" i="25" s="1"/>
  <c r="B185" i="5"/>
  <c r="J1450" i="25" s="1"/>
  <c r="C185" i="5"/>
  <c r="M1450" i="25" s="1"/>
  <c r="I185" i="5"/>
  <c r="T1450" i="25" s="1"/>
  <c r="K185" i="5"/>
  <c r="V1450" i="25" s="1"/>
  <c r="Q185" i="5"/>
  <c r="AB1450" i="25" s="1"/>
  <c r="T185" i="5"/>
  <c r="AE1450" i="25" s="1"/>
  <c r="U185" i="5"/>
  <c r="AF1450" i="25" s="1"/>
  <c r="B186" i="5"/>
  <c r="J1451" i="25" s="1"/>
  <c r="C186" i="5"/>
  <c r="M1451" i="25" s="1"/>
  <c r="I186" i="5"/>
  <c r="T1451" i="25" s="1"/>
  <c r="K186" i="5"/>
  <c r="V1451" i="25" s="1"/>
  <c r="Q186" i="5"/>
  <c r="AB1451" i="25" s="1"/>
  <c r="T186" i="5"/>
  <c r="AE1451" i="25" s="1"/>
  <c r="U186" i="5"/>
  <c r="AF1451" i="25" s="1"/>
  <c r="B187" i="5"/>
  <c r="J1452" i="25" s="1"/>
  <c r="C187" i="5"/>
  <c r="M1452" i="25" s="1"/>
  <c r="I187" i="5"/>
  <c r="T1452" i="25" s="1"/>
  <c r="K187" i="5"/>
  <c r="V1452" i="25" s="1"/>
  <c r="Q187" i="5"/>
  <c r="AB1452" i="25" s="1"/>
  <c r="T187" i="5"/>
  <c r="AE1452" i="25" s="1"/>
  <c r="U187" i="5"/>
  <c r="AF1452" i="25" s="1"/>
  <c r="B188" i="5"/>
  <c r="J1453" i="25" s="1"/>
  <c r="C188" i="5"/>
  <c r="M1453" i="25" s="1"/>
  <c r="I188" i="5"/>
  <c r="T1453" i="25" s="1"/>
  <c r="K188" i="5"/>
  <c r="V1453" i="25" s="1"/>
  <c r="Q188" i="5"/>
  <c r="AB1453" i="25" s="1"/>
  <c r="T188" i="5"/>
  <c r="AE1453" i="25" s="1"/>
  <c r="U188" i="5"/>
  <c r="AF1453" i="25" s="1"/>
  <c r="B189" i="5"/>
  <c r="J1454" i="25" s="1"/>
  <c r="C189" i="5"/>
  <c r="M1454" i="25" s="1"/>
  <c r="I189" i="5"/>
  <c r="T1454" i="25" s="1"/>
  <c r="K189" i="5"/>
  <c r="V1454" i="25" s="1"/>
  <c r="Q189" i="5"/>
  <c r="AB1454" i="25" s="1"/>
  <c r="T189" i="5"/>
  <c r="AE1454" i="25" s="1"/>
  <c r="U189" i="5"/>
  <c r="AF1454" i="25" s="1"/>
  <c r="B190" i="5"/>
  <c r="J1455" i="25" s="1"/>
  <c r="C190" i="5"/>
  <c r="M1455" i="25" s="1"/>
  <c r="I190" i="5"/>
  <c r="T1455" i="25" s="1"/>
  <c r="K190" i="5"/>
  <c r="V1455" i="25" s="1"/>
  <c r="Q190" i="5"/>
  <c r="AB1455" i="25" s="1"/>
  <c r="T190" i="5"/>
  <c r="AE1455" i="25" s="1"/>
  <c r="U190" i="5"/>
  <c r="AF1455" i="25" s="1"/>
  <c r="B191" i="5"/>
  <c r="J1456" i="25" s="1"/>
  <c r="C191" i="5"/>
  <c r="M1456" i="25" s="1"/>
  <c r="I191" i="5"/>
  <c r="T1456" i="25" s="1"/>
  <c r="K191" i="5"/>
  <c r="V1456" i="25" s="1"/>
  <c r="Q191" i="5"/>
  <c r="AB1456" i="25" s="1"/>
  <c r="T191" i="5"/>
  <c r="AE1456" i="25" s="1"/>
  <c r="U191" i="5"/>
  <c r="AF1456" i="25" s="1"/>
  <c r="B192" i="5"/>
  <c r="J1457" i="25" s="1"/>
  <c r="C192" i="5"/>
  <c r="M1457" i="25" s="1"/>
  <c r="I192" i="5"/>
  <c r="T1457" i="25" s="1"/>
  <c r="K192" i="5"/>
  <c r="V1457" i="25" s="1"/>
  <c r="Q192" i="5"/>
  <c r="AB1457" i="25" s="1"/>
  <c r="T192" i="5"/>
  <c r="AE1457" i="25" s="1"/>
  <c r="U192" i="5"/>
  <c r="AF1457" i="25" s="1"/>
  <c r="B193" i="5"/>
  <c r="J1458" i="25" s="1"/>
  <c r="C193" i="5"/>
  <c r="M1458" i="25" s="1"/>
  <c r="I193" i="5"/>
  <c r="T1458" i="25" s="1"/>
  <c r="K193" i="5"/>
  <c r="V1458" i="25" s="1"/>
  <c r="Q193" i="5"/>
  <c r="AB1458" i="25" s="1"/>
  <c r="T193" i="5"/>
  <c r="AE1458" i="25" s="1"/>
  <c r="U193" i="5"/>
  <c r="AF1458" i="25" s="1"/>
  <c r="B194" i="5"/>
  <c r="J1459" i="25" s="1"/>
  <c r="C194" i="5"/>
  <c r="M1459" i="25" s="1"/>
  <c r="I194" i="5"/>
  <c r="T1459" i="25" s="1"/>
  <c r="K194" i="5"/>
  <c r="V1459" i="25" s="1"/>
  <c r="Q194" i="5"/>
  <c r="AB1459" i="25" s="1"/>
  <c r="T194" i="5"/>
  <c r="AE1459" i="25" s="1"/>
  <c r="U194" i="5"/>
  <c r="AF1459" i="25" s="1"/>
  <c r="B195" i="5"/>
  <c r="J1460" i="25" s="1"/>
  <c r="C195" i="5"/>
  <c r="M1460" i="25" s="1"/>
  <c r="I195" i="5"/>
  <c r="T1460" i="25" s="1"/>
  <c r="K195" i="5"/>
  <c r="V1460" i="25" s="1"/>
  <c r="Q195" i="5"/>
  <c r="AB1460" i="25" s="1"/>
  <c r="T195" i="5"/>
  <c r="AE1460" i="25" s="1"/>
  <c r="U195" i="5"/>
  <c r="AF1460" i="25" s="1"/>
  <c r="B196" i="5"/>
  <c r="J1461" i="25" s="1"/>
  <c r="C196" i="5"/>
  <c r="M1461" i="25" s="1"/>
  <c r="I196" i="5"/>
  <c r="T1461" i="25" s="1"/>
  <c r="K196" i="5"/>
  <c r="V1461" i="25" s="1"/>
  <c r="Q196" i="5"/>
  <c r="AB1461" i="25" s="1"/>
  <c r="T196" i="5"/>
  <c r="AE1461" i="25" s="1"/>
  <c r="U196" i="5"/>
  <c r="AF1461" i="25" s="1"/>
  <c r="B197" i="5"/>
  <c r="J1462" i="25" s="1"/>
  <c r="C197" i="5"/>
  <c r="M1462" i="25" s="1"/>
  <c r="I197" i="5"/>
  <c r="T1462" i="25" s="1"/>
  <c r="K197" i="5"/>
  <c r="V1462" i="25" s="1"/>
  <c r="Q197" i="5"/>
  <c r="AB1462" i="25" s="1"/>
  <c r="T197" i="5"/>
  <c r="AE1462" i="25" s="1"/>
  <c r="U197" i="5"/>
  <c r="AF1462" i="25" s="1"/>
  <c r="B198" i="5"/>
  <c r="J1463" i="25" s="1"/>
  <c r="C198" i="5"/>
  <c r="M1463" i="25" s="1"/>
  <c r="I198" i="5"/>
  <c r="T1463" i="25" s="1"/>
  <c r="K198" i="5"/>
  <c r="V1463" i="25" s="1"/>
  <c r="Q198" i="5"/>
  <c r="AB1463" i="25" s="1"/>
  <c r="T198" i="5"/>
  <c r="AE1463" i="25" s="1"/>
  <c r="U198" i="5"/>
  <c r="AF1463" i="25" s="1"/>
  <c r="B199" i="5"/>
  <c r="J1464" i="25" s="1"/>
  <c r="C199" i="5"/>
  <c r="M1464" i="25" s="1"/>
  <c r="I199" i="5"/>
  <c r="T1464" i="25" s="1"/>
  <c r="K199" i="5"/>
  <c r="V1464" i="25" s="1"/>
  <c r="Q199" i="5"/>
  <c r="AB1464" i="25" s="1"/>
  <c r="T199" i="5"/>
  <c r="AE1464" i="25" s="1"/>
  <c r="U199" i="5"/>
  <c r="AF1464" i="25" s="1"/>
  <c r="B200" i="5"/>
  <c r="J1465" i="25" s="1"/>
  <c r="C200" i="5"/>
  <c r="M1465" i="25" s="1"/>
  <c r="I200" i="5"/>
  <c r="T1465" i="25" s="1"/>
  <c r="K200" i="5"/>
  <c r="V1465" i="25" s="1"/>
  <c r="Q200" i="5"/>
  <c r="AB1465" i="25" s="1"/>
  <c r="T200" i="5"/>
  <c r="AE1465" i="25" s="1"/>
  <c r="U200" i="5"/>
  <c r="AF1465" i="25" s="1"/>
  <c r="B201" i="5"/>
  <c r="J1466" i="25" s="1"/>
  <c r="C201" i="5"/>
  <c r="M1466" i="25" s="1"/>
  <c r="I201" i="5"/>
  <c r="T1466" i="25" s="1"/>
  <c r="K201" i="5"/>
  <c r="V1466" i="25" s="1"/>
  <c r="Q201" i="5"/>
  <c r="AB1466" i="25" s="1"/>
  <c r="T201" i="5"/>
  <c r="AE1466" i="25" s="1"/>
  <c r="U201" i="5"/>
  <c r="AF1466" i="25" s="1"/>
  <c r="B202" i="5"/>
  <c r="J1467" i="25" s="1"/>
  <c r="C202" i="5"/>
  <c r="M1467" i="25" s="1"/>
  <c r="I202" i="5"/>
  <c r="T1467" i="25" s="1"/>
  <c r="K202" i="5"/>
  <c r="V1467" i="25" s="1"/>
  <c r="Q202" i="5"/>
  <c r="AB1467" i="25" s="1"/>
  <c r="T202" i="5"/>
  <c r="AE1467" i="25" s="1"/>
  <c r="U202" i="5"/>
  <c r="AF1467" i="25" s="1"/>
  <c r="B203" i="5"/>
  <c r="J1468" i="25" s="1"/>
  <c r="C203" i="5"/>
  <c r="M1468" i="25" s="1"/>
  <c r="I203" i="5"/>
  <c r="T1468" i="25" s="1"/>
  <c r="K203" i="5"/>
  <c r="V1468" i="25" s="1"/>
  <c r="Q203" i="5"/>
  <c r="AB1468" i="25" s="1"/>
  <c r="T203" i="5"/>
  <c r="AE1468" i="25" s="1"/>
  <c r="U203" i="5"/>
  <c r="AF1468" i="25" s="1"/>
  <c r="B204" i="5"/>
  <c r="J1469" i="25" s="1"/>
  <c r="C204" i="5"/>
  <c r="M1469" i="25" s="1"/>
  <c r="I204" i="5"/>
  <c r="T1469" i="25" s="1"/>
  <c r="K204" i="5"/>
  <c r="V1469" i="25" s="1"/>
  <c r="Q204" i="5"/>
  <c r="AB1469" i="25" s="1"/>
  <c r="T204" i="5"/>
  <c r="AE1469" i="25" s="1"/>
  <c r="U204" i="5"/>
  <c r="AF1469" i="25" s="1"/>
  <c r="B205" i="5"/>
  <c r="J1470" i="25" s="1"/>
  <c r="C205" i="5"/>
  <c r="M1470" i="25" s="1"/>
  <c r="I205" i="5"/>
  <c r="T1470" i="25" s="1"/>
  <c r="K205" i="5"/>
  <c r="V1470" i="25" s="1"/>
  <c r="Q205" i="5"/>
  <c r="AB1470" i="25" s="1"/>
  <c r="T205" i="5"/>
  <c r="AE1470" i="25" s="1"/>
  <c r="U205" i="5"/>
  <c r="AF1470" i="25" s="1"/>
  <c r="B206" i="5"/>
  <c r="J1471" i="25" s="1"/>
  <c r="C206" i="5"/>
  <c r="M1471" i="25" s="1"/>
  <c r="I206" i="5"/>
  <c r="T1471" i="25" s="1"/>
  <c r="K206" i="5"/>
  <c r="V1471" i="25" s="1"/>
  <c r="Q206" i="5"/>
  <c r="AB1471" i="25" s="1"/>
  <c r="T206" i="5"/>
  <c r="AE1471" i="25" s="1"/>
  <c r="U206" i="5"/>
  <c r="AF1471" i="25" s="1"/>
  <c r="B207" i="5"/>
  <c r="J1472" i="25" s="1"/>
  <c r="C207" i="5"/>
  <c r="M1472" i="25" s="1"/>
  <c r="I207" i="5"/>
  <c r="T1472" i="25" s="1"/>
  <c r="K207" i="5"/>
  <c r="V1472" i="25" s="1"/>
  <c r="Q207" i="5"/>
  <c r="AB1472" i="25" s="1"/>
  <c r="T207" i="5"/>
  <c r="AE1472" i="25" s="1"/>
  <c r="U207" i="5"/>
  <c r="AF1472" i="25" s="1"/>
  <c r="B208" i="5"/>
  <c r="J1473" i="25" s="1"/>
  <c r="C208" i="5"/>
  <c r="M1473" i="25" s="1"/>
  <c r="I208" i="5"/>
  <c r="T1473" i="25" s="1"/>
  <c r="K208" i="5"/>
  <c r="V1473" i="25" s="1"/>
  <c r="Q208" i="5"/>
  <c r="AB1473" i="25" s="1"/>
  <c r="T208" i="5"/>
  <c r="AE1473" i="25" s="1"/>
  <c r="U208" i="5"/>
  <c r="AF1473" i="25" s="1"/>
  <c r="B209" i="5"/>
  <c r="J1474" i="25" s="1"/>
  <c r="C209" i="5"/>
  <c r="M1474" i="25" s="1"/>
  <c r="I209" i="5"/>
  <c r="T1474" i="25" s="1"/>
  <c r="K209" i="5"/>
  <c r="V1474" i="25" s="1"/>
  <c r="Q209" i="5"/>
  <c r="AB1474" i="25" s="1"/>
  <c r="T209" i="5"/>
  <c r="AE1474" i="25" s="1"/>
  <c r="U209" i="5"/>
  <c r="AF1474" i="25" s="1"/>
  <c r="B210" i="5"/>
  <c r="J1475" i="25" s="1"/>
  <c r="C210" i="5"/>
  <c r="M1475" i="25" s="1"/>
  <c r="I210" i="5"/>
  <c r="T1475" i="25" s="1"/>
  <c r="K210" i="5"/>
  <c r="V1475" i="25" s="1"/>
  <c r="Q210" i="5"/>
  <c r="AB1475" i="25" s="1"/>
  <c r="T210" i="5"/>
  <c r="AE1475" i="25" s="1"/>
  <c r="U210" i="5"/>
  <c r="AF1475" i="25" s="1"/>
  <c r="B211" i="5"/>
  <c r="J1476" i="25" s="1"/>
  <c r="C211" i="5"/>
  <c r="M1476" i="25" s="1"/>
  <c r="I211" i="5"/>
  <c r="T1476" i="25" s="1"/>
  <c r="K211" i="5"/>
  <c r="V1476" i="25" s="1"/>
  <c r="Q211" i="5"/>
  <c r="AB1476" i="25" s="1"/>
  <c r="T211" i="5"/>
  <c r="AE1476" i="25" s="1"/>
  <c r="U211" i="5"/>
  <c r="AF1476" i="25" s="1"/>
  <c r="B212" i="5"/>
  <c r="J1477" i="25" s="1"/>
  <c r="C212" i="5"/>
  <c r="M1477" i="25" s="1"/>
  <c r="I212" i="5"/>
  <c r="T1477" i="25" s="1"/>
  <c r="K212" i="5"/>
  <c r="V1477" i="25" s="1"/>
  <c r="Q212" i="5"/>
  <c r="AB1477" i="25" s="1"/>
  <c r="T212" i="5"/>
  <c r="AE1477" i="25" s="1"/>
  <c r="U212" i="5"/>
  <c r="AF1477" i="25" s="1"/>
  <c r="B213" i="5"/>
  <c r="J1478" i="25" s="1"/>
  <c r="C213" i="5"/>
  <c r="M1478" i="25" s="1"/>
  <c r="I213" i="5"/>
  <c r="T1478" i="25" s="1"/>
  <c r="K213" i="5"/>
  <c r="V1478" i="25" s="1"/>
  <c r="Q213" i="5"/>
  <c r="AB1478" i="25" s="1"/>
  <c r="T213" i="5"/>
  <c r="AE1478" i="25" s="1"/>
  <c r="U213" i="5"/>
  <c r="AF1478" i="25" s="1"/>
  <c r="B214" i="5"/>
  <c r="J1479" i="25" s="1"/>
  <c r="C214" i="5"/>
  <c r="M1479" i="25" s="1"/>
  <c r="I214" i="5"/>
  <c r="T1479" i="25" s="1"/>
  <c r="K214" i="5"/>
  <c r="V1479" i="25" s="1"/>
  <c r="Q214" i="5"/>
  <c r="AB1479" i="25" s="1"/>
  <c r="T214" i="5"/>
  <c r="AE1479" i="25" s="1"/>
  <c r="U214" i="5"/>
  <c r="AF1479" i="25" s="1"/>
  <c r="B215" i="5"/>
  <c r="J1480" i="25" s="1"/>
  <c r="C215" i="5"/>
  <c r="M1480" i="25" s="1"/>
  <c r="I215" i="5"/>
  <c r="T1480" i="25" s="1"/>
  <c r="K215" i="5"/>
  <c r="V1480" i="25" s="1"/>
  <c r="Q215" i="5"/>
  <c r="AB1480" i="25" s="1"/>
  <c r="T215" i="5"/>
  <c r="AE1480" i="25" s="1"/>
  <c r="U215" i="5"/>
  <c r="AF1480" i="25" s="1"/>
  <c r="B216" i="5"/>
  <c r="J1481" i="25" s="1"/>
  <c r="C216" i="5"/>
  <c r="M1481" i="25" s="1"/>
  <c r="I216" i="5"/>
  <c r="T1481" i="25" s="1"/>
  <c r="K216" i="5"/>
  <c r="V1481" i="25" s="1"/>
  <c r="Q216" i="5"/>
  <c r="AB1481" i="25" s="1"/>
  <c r="T216" i="5"/>
  <c r="AE1481" i="25" s="1"/>
  <c r="U216" i="5"/>
  <c r="AF1481" i="25" s="1"/>
  <c r="B217" i="5"/>
  <c r="J1482" i="25" s="1"/>
  <c r="C217" i="5"/>
  <c r="M1482" i="25" s="1"/>
  <c r="I217" i="5"/>
  <c r="T1482" i="25" s="1"/>
  <c r="K217" i="5"/>
  <c r="V1482" i="25" s="1"/>
  <c r="Q217" i="5"/>
  <c r="AB1482" i="25" s="1"/>
  <c r="T217" i="5"/>
  <c r="AE1482" i="25" s="1"/>
  <c r="U217" i="5"/>
  <c r="AF1482" i="25" s="1"/>
  <c r="B218" i="5"/>
  <c r="J1483" i="25" s="1"/>
  <c r="C218" i="5"/>
  <c r="M1483" i="25" s="1"/>
  <c r="I218" i="5"/>
  <c r="T1483" i="25" s="1"/>
  <c r="K218" i="5"/>
  <c r="V1483" i="25" s="1"/>
  <c r="Q218" i="5"/>
  <c r="AB1483" i="25" s="1"/>
  <c r="T218" i="5"/>
  <c r="AE1483" i="25" s="1"/>
  <c r="U218" i="5"/>
  <c r="AF1483" i="25" s="1"/>
  <c r="B219" i="5"/>
  <c r="J1484" i="25" s="1"/>
  <c r="C219" i="5"/>
  <c r="M1484" i="25" s="1"/>
  <c r="I219" i="5"/>
  <c r="T1484" i="25" s="1"/>
  <c r="K219" i="5"/>
  <c r="V1484" i="25" s="1"/>
  <c r="Q219" i="5"/>
  <c r="AB1484" i="25" s="1"/>
  <c r="T219" i="5"/>
  <c r="AE1484" i="25" s="1"/>
  <c r="U219" i="5"/>
  <c r="AF1484" i="25" s="1"/>
  <c r="B220" i="5"/>
  <c r="J1485" i="25" s="1"/>
  <c r="C220" i="5"/>
  <c r="M1485" i="25" s="1"/>
  <c r="I220" i="5"/>
  <c r="T1485" i="25" s="1"/>
  <c r="K220" i="5"/>
  <c r="V1485" i="25" s="1"/>
  <c r="Q220" i="5"/>
  <c r="AB1485" i="25" s="1"/>
  <c r="T220" i="5"/>
  <c r="AE1485" i="25" s="1"/>
  <c r="U220" i="5"/>
  <c r="AF1485" i="25" s="1"/>
  <c r="B221" i="5"/>
  <c r="J1486" i="25" s="1"/>
  <c r="C221" i="5"/>
  <c r="M1486" i="25" s="1"/>
  <c r="I221" i="5"/>
  <c r="T1486" i="25" s="1"/>
  <c r="K221" i="5"/>
  <c r="V1486" i="25" s="1"/>
  <c r="Q221" i="5"/>
  <c r="AB1486" i="25" s="1"/>
  <c r="T221" i="5"/>
  <c r="AE1486" i="25" s="1"/>
  <c r="U221" i="5"/>
  <c r="AF1486" i="25" s="1"/>
  <c r="B222" i="5"/>
  <c r="J1487" i="25" s="1"/>
  <c r="C222" i="5"/>
  <c r="M1487" i="25" s="1"/>
  <c r="I222" i="5"/>
  <c r="T1487" i="25" s="1"/>
  <c r="K222" i="5"/>
  <c r="V1487" i="25" s="1"/>
  <c r="Q222" i="5"/>
  <c r="AB1487" i="25" s="1"/>
  <c r="T222" i="5"/>
  <c r="AE1487" i="25" s="1"/>
  <c r="U222" i="5"/>
  <c r="AF1487" i="25" s="1"/>
  <c r="B223" i="5"/>
  <c r="J1488" i="25" s="1"/>
  <c r="C223" i="5"/>
  <c r="M1488" i="25" s="1"/>
  <c r="I223" i="5"/>
  <c r="T1488" i="25" s="1"/>
  <c r="K223" i="5"/>
  <c r="V1488" i="25" s="1"/>
  <c r="Q223" i="5"/>
  <c r="AB1488" i="25" s="1"/>
  <c r="T223" i="5"/>
  <c r="AE1488" i="25" s="1"/>
  <c r="U223" i="5"/>
  <c r="AF1488" i="25" s="1"/>
  <c r="B224" i="5"/>
  <c r="J1489" i="25" s="1"/>
  <c r="C224" i="5"/>
  <c r="M1489" i="25" s="1"/>
  <c r="I224" i="5"/>
  <c r="T1489" i="25" s="1"/>
  <c r="K224" i="5"/>
  <c r="V1489" i="25" s="1"/>
  <c r="Q224" i="5"/>
  <c r="AB1489" i="25" s="1"/>
  <c r="T224" i="5"/>
  <c r="AE1489" i="25" s="1"/>
  <c r="U224" i="5"/>
  <c r="AF1489" i="25" s="1"/>
  <c r="B225" i="5"/>
  <c r="J1490" i="25" s="1"/>
  <c r="C225" i="5"/>
  <c r="M1490" i="25" s="1"/>
  <c r="I225" i="5"/>
  <c r="T1490" i="25" s="1"/>
  <c r="K225" i="5"/>
  <c r="V1490" i="25" s="1"/>
  <c r="Q225" i="5"/>
  <c r="AB1490" i="25" s="1"/>
  <c r="T225" i="5"/>
  <c r="AE1490" i="25" s="1"/>
  <c r="U225" i="5"/>
  <c r="AF1490" i="25" s="1"/>
  <c r="B226" i="5"/>
  <c r="J1491" i="25" s="1"/>
  <c r="C226" i="5"/>
  <c r="M1491" i="25" s="1"/>
  <c r="I226" i="5"/>
  <c r="T1491" i="25" s="1"/>
  <c r="K226" i="5"/>
  <c r="V1491" i="25" s="1"/>
  <c r="Q226" i="5"/>
  <c r="AB1491" i="25" s="1"/>
  <c r="T226" i="5"/>
  <c r="AE1491" i="25" s="1"/>
  <c r="U226" i="5"/>
  <c r="AF1491" i="25" s="1"/>
  <c r="B227" i="5"/>
  <c r="J1492" i="25" s="1"/>
  <c r="M1492" i="25"/>
  <c r="I227" i="5"/>
  <c r="T1492" i="25" s="1"/>
  <c r="K227" i="5"/>
  <c r="V1492" i="25" s="1"/>
  <c r="Q227" i="5"/>
  <c r="AB1492" i="25" s="1"/>
  <c r="T227" i="5"/>
  <c r="AE1492" i="25" s="1"/>
  <c r="U227" i="5"/>
  <c r="AF1492" i="25" s="1"/>
  <c r="J1493" i="25"/>
  <c r="M1493" i="25"/>
  <c r="I290" i="5"/>
  <c r="T1493" i="25" s="1"/>
  <c r="V1493" i="25"/>
  <c r="AB1493" i="25"/>
  <c r="AE1493" i="25"/>
  <c r="AF1493" i="25"/>
  <c r="J1494" i="25"/>
  <c r="M1494" i="25"/>
  <c r="I291" i="5"/>
  <c r="T1494" i="25" s="1"/>
  <c r="V1494" i="25"/>
  <c r="AB1494" i="25"/>
  <c r="AE1494" i="25"/>
  <c r="AF1494" i="25"/>
  <c r="J1495" i="25"/>
  <c r="M1495" i="25"/>
  <c r="I292" i="5"/>
  <c r="T1495" i="25" s="1"/>
  <c r="V1495" i="25"/>
  <c r="AB1495" i="25"/>
  <c r="AE1495" i="25"/>
  <c r="AF1495" i="25"/>
  <c r="J1496" i="25"/>
  <c r="M1496" i="25"/>
  <c r="I293" i="5"/>
  <c r="T1496" i="25" s="1"/>
  <c r="V1496" i="25"/>
  <c r="AB1496" i="25"/>
  <c r="AE1496" i="25"/>
  <c r="AF1496" i="25"/>
  <c r="J1497" i="25"/>
  <c r="M1497" i="25"/>
  <c r="I294" i="5"/>
  <c r="T1497" i="25" s="1"/>
  <c r="V1497" i="25"/>
  <c r="AB1497" i="25"/>
  <c r="AE1497" i="25"/>
  <c r="AF1497" i="25"/>
  <c r="J1498" i="25"/>
  <c r="M1498" i="25"/>
  <c r="I295" i="5"/>
  <c r="T1498" i="25" s="1"/>
  <c r="V1498" i="25"/>
  <c r="AB1498" i="25"/>
  <c r="AE1498" i="25"/>
  <c r="AF1498" i="25"/>
  <c r="J1499" i="25"/>
  <c r="M1499" i="25"/>
  <c r="I296" i="5"/>
  <c r="T1499" i="25" s="1"/>
  <c r="V1499" i="25"/>
  <c r="AB1499" i="25"/>
  <c r="AE1499" i="25"/>
  <c r="AF1499" i="25"/>
  <c r="J1500" i="25"/>
  <c r="M1500" i="25"/>
  <c r="I297" i="5"/>
  <c r="T1500" i="25" s="1"/>
  <c r="V1500" i="25"/>
  <c r="AB1500" i="25"/>
  <c r="AE1500" i="25"/>
  <c r="AF1500" i="25"/>
  <c r="J1501" i="25"/>
  <c r="M1501" i="25"/>
  <c r="I298" i="5"/>
  <c r="T1501" i="25" s="1"/>
  <c r="V1501" i="25"/>
  <c r="AB1501" i="25"/>
  <c r="AE1501" i="25"/>
  <c r="AF1501" i="25"/>
  <c r="J1502" i="25"/>
  <c r="M1502" i="25"/>
  <c r="I299" i="5"/>
  <c r="T1502" i="25" s="1"/>
  <c r="V1502" i="25"/>
  <c r="AB1502" i="25"/>
  <c r="AE1502" i="25"/>
  <c r="AF1502" i="25"/>
  <c r="J1503" i="25"/>
  <c r="M1503" i="25"/>
  <c r="I300" i="5"/>
  <c r="T1503" i="25" s="1"/>
  <c r="V1503" i="25"/>
  <c r="AB1503" i="25"/>
  <c r="AE1503" i="25"/>
  <c r="AF1503" i="25"/>
  <c r="J1504" i="25"/>
  <c r="M1504" i="25"/>
  <c r="I301" i="5"/>
  <c r="T1504" i="25" s="1"/>
  <c r="V1504" i="25"/>
  <c r="AB1504" i="25"/>
  <c r="AE1504" i="25"/>
  <c r="AF1504" i="25"/>
  <c r="J1505" i="25"/>
  <c r="M1505" i="25"/>
  <c r="I302" i="5"/>
  <c r="T1505" i="25" s="1"/>
  <c r="V1505" i="25"/>
  <c r="AB1505" i="25"/>
  <c r="AE1505" i="25"/>
  <c r="AF1505" i="25"/>
  <c r="J1506" i="25"/>
  <c r="M1506" i="25"/>
  <c r="I303" i="5"/>
  <c r="T1506" i="25" s="1"/>
  <c r="V1506" i="25"/>
  <c r="AB1506" i="25"/>
  <c r="AE1506" i="25"/>
  <c r="AF1506" i="25"/>
  <c r="J1507" i="25"/>
  <c r="M1507" i="25"/>
  <c r="I304" i="5"/>
  <c r="T1507" i="25" s="1"/>
  <c r="V1507" i="25"/>
  <c r="AB1507" i="25"/>
  <c r="AE1507" i="25"/>
  <c r="AF1507" i="25"/>
  <c r="J1508" i="25"/>
  <c r="M1508" i="25"/>
  <c r="I305" i="5"/>
  <c r="T1508" i="25" s="1"/>
  <c r="V1508" i="25"/>
  <c r="AB1508" i="25"/>
  <c r="AE1508" i="25"/>
  <c r="AF1508" i="25"/>
  <c r="J1509" i="25"/>
  <c r="M1509" i="25"/>
  <c r="I306" i="5"/>
  <c r="T1509" i="25" s="1"/>
  <c r="V1509" i="25"/>
  <c r="AB1509" i="25"/>
  <c r="AE1509" i="25"/>
  <c r="AF1509" i="25"/>
  <c r="J1510" i="25"/>
  <c r="M1510" i="25"/>
  <c r="I307" i="5"/>
  <c r="T1510" i="25" s="1"/>
  <c r="V1510" i="25"/>
  <c r="AB1510" i="25"/>
  <c r="AE1510" i="25"/>
  <c r="AF1510" i="25"/>
  <c r="J1511" i="25"/>
  <c r="M1511" i="25"/>
  <c r="I308" i="5"/>
  <c r="T1511" i="25" s="1"/>
  <c r="V1511" i="25"/>
  <c r="AB1511" i="25"/>
  <c r="AE1511" i="25"/>
  <c r="AF1511" i="25"/>
  <c r="J1512" i="25"/>
  <c r="M1512" i="25"/>
  <c r="I309" i="5"/>
  <c r="T1512" i="25" s="1"/>
  <c r="V1512" i="25"/>
  <c r="AB1512" i="25"/>
  <c r="AE1512" i="25"/>
  <c r="AF1512" i="25"/>
  <c r="J1513" i="25"/>
  <c r="M1513" i="25"/>
  <c r="I310" i="5"/>
  <c r="T1513" i="25" s="1"/>
  <c r="V1513" i="25"/>
  <c r="AB1513" i="25"/>
  <c r="AE1513" i="25"/>
  <c r="AF1513" i="25"/>
  <c r="J1514" i="25"/>
  <c r="M1514" i="25"/>
  <c r="I311" i="5"/>
  <c r="T1514" i="25" s="1"/>
  <c r="V1514" i="25"/>
  <c r="AB1514" i="25"/>
  <c r="AE1514" i="25"/>
  <c r="AF1514" i="25"/>
  <c r="J1515" i="25"/>
  <c r="M1515" i="25"/>
  <c r="I312" i="5"/>
  <c r="T1515" i="25" s="1"/>
  <c r="V1515" i="25"/>
  <c r="AB1515" i="25"/>
  <c r="AE1515" i="25"/>
  <c r="AF1515" i="25"/>
  <c r="U124" i="5"/>
  <c r="U125" i="5"/>
  <c r="U126" i="5"/>
  <c r="U127" i="5"/>
  <c r="U128" i="5"/>
  <c r="U129" i="5"/>
  <c r="U130" i="5"/>
  <c r="U131" i="5"/>
  <c r="U132" i="5"/>
  <c r="U133" i="5"/>
  <c r="U134" i="5"/>
  <c r="U135" i="5"/>
  <c r="U136" i="5"/>
  <c r="U137" i="5"/>
  <c r="U138" i="5"/>
  <c r="U139" i="5"/>
  <c r="U140" i="5"/>
  <c r="U141" i="5"/>
  <c r="U142" i="5"/>
  <c r="U143" i="5"/>
  <c r="U144" i="5"/>
  <c r="U145" i="5"/>
  <c r="U146" i="5"/>
  <c r="U147" i="5"/>
  <c r="U148" i="5"/>
  <c r="U149" i="5"/>
  <c r="U150" i="5"/>
  <c r="U151" i="5"/>
  <c r="U152" i="5"/>
  <c r="U153" i="5"/>
  <c r="U154" i="5"/>
  <c r="U155" i="5"/>
  <c r="T124" i="5"/>
  <c r="T125" i="5"/>
  <c r="T126" i="5"/>
  <c r="T127" i="5"/>
  <c r="T128" i="5"/>
  <c r="T129" i="5"/>
  <c r="T130" i="5"/>
  <c r="T131" i="5"/>
  <c r="T132" i="5"/>
  <c r="T133" i="5"/>
  <c r="T134" i="5"/>
  <c r="T135" i="5"/>
  <c r="T136" i="5"/>
  <c r="T137" i="5"/>
  <c r="T138" i="5"/>
  <c r="T139" i="5"/>
  <c r="T140" i="5"/>
  <c r="T141" i="5"/>
  <c r="T142" i="5"/>
  <c r="T143" i="5"/>
  <c r="T144" i="5"/>
  <c r="T145" i="5"/>
  <c r="T146" i="5"/>
  <c r="T147" i="5"/>
  <c r="T148" i="5"/>
  <c r="T149" i="5"/>
  <c r="T150" i="5"/>
  <c r="T151" i="5"/>
  <c r="T152" i="5"/>
  <c r="T153" i="5"/>
  <c r="T154" i="5"/>
  <c r="T155" i="5"/>
  <c r="Q8" i="5"/>
  <c r="Q9" i="5"/>
  <c r="Q10" i="5"/>
  <c r="Q11" i="5"/>
  <c r="Q12" i="5"/>
  <c r="Q13" i="5"/>
  <c r="Q14" i="5"/>
  <c r="Q15" i="5"/>
  <c r="Q16" i="5"/>
  <c r="Q17" i="5"/>
  <c r="Q18" i="5"/>
  <c r="Q19" i="5"/>
  <c r="Q20" i="5"/>
  <c r="Q21" i="5"/>
  <c r="Q22" i="5"/>
  <c r="Q23" i="5"/>
  <c r="Q24" i="5"/>
  <c r="Q25" i="5"/>
  <c r="Q26" i="5"/>
  <c r="Q27" i="5"/>
  <c r="Q28" i="5"/>
  <c r="Q29" i="5"/>
  <c r="Q30" i="5"/>
  <c r="Q31" i="5"/>
  <c r="Q32" i="5"/>
  <c r="Q33" i="5"/>
  <c r="Q34" i="5"/>
  <c r="Q35" i="5"/>
  <c r="Q36" i="5"/>
  <c r="Q37" i="5"/>
  <c r="Q38" i="5"/>
  <c r="Q39" i="5"/>
  <c r="Q40" i="5"/>
  <c r="Q41" i="5"/>
  <c r="Q42" i="5"/>
  <c r="Q43" i="5"/>
  <c r="Q44" i="5"/>
  <c r="Q45" i="5"/>
  <c r="Q46" i="5"/>
  <c r="Q47" i="5"/>
  <c r="Q48" i="5"/>
  <c r="Q49" i="5"/>
  <c r="Q50" i="5"/>
  <c r="Q51" i="5"/>
  <c r="Q52" i="5"/>
  <c r="Q53" i="5"/>
  <c r="Q54" i="5"/>
  <c r="Q55" i="5"/>
  <c r="Q56" i="5"/>
  <c r="Q57" i="5"/>
  <c r="Q58" i="5"/>
  <c r="Q59" i="5"/>
  <c r="Q60" i="5"/>
  <c r="Q61" i="5"/>
  <c r="Q62" i="5"/>
  <c r="Q63" i="5"/>
  <c r="Q64" i="5"/>
  <c r="Q65" i="5"/>
  <c r="Q66" i="5"/>
  <c r="Q67" i="5"/>
  <c r="Q68" i="5"/>
  <c r="Q69" i="5"/>
  <c r="Q70" i="5"/>
  <c r="Q71" i="5"/>
  <c r="Q72" i="5"/>
  <c r="Q73" i="5"/>
  <c r="Q74" i="5"/>
  <c r="Q75" i="5"/>
  <c r="Q76" i="5"/>
  <c r="Q77" i="5"/>
  <c r="Q78" i="5"/>
  <c r="Q79" i="5"/>
  <c r="Q80" i="5"/>
  <c r="Q81" i="5"/>
  <c r="Q82" i="5"/>
  <c r="Q83" i="5"/>
  <c r="Q84" i="5"/>
  <c r="Q85" i="5"/>
  <c r="Q86" i="5"/>
  <c r="Q87" i="5"/>
  <c r="Q88" i="5"/>
  <c r="Q89" i="5"/>
  <c r="Q90" i="5"/>
  <c r="Q91" i="5"/>
  <c r="Q92" i="5"/>
  <c r="Q93" i="5"/>
  <c r="Q94" i="5"/>
  <c r="Q95" i="5"/>
  <c r="Q96" i="5"/>
  <c r="Q97" i="5"/>
  <c r="Q98" i="5"/>
  <c r="Q99" i="5"/>
  <c r="Q100" i="5"/>
  <c r="Q101" i="5"/>
  <c r="Q102" i="5"/>
  <c r="Q103" i="5"/>
  <c r="Q104" i="5"/>
  <c r="Q105" i="5"/>
  <c r="Q106" i="5"/>
  <c r="Q107" i="5"/>
  <c r="Q108" i="5"/>
  <c r="Q109" i="5"/>
  <c r="Q110" i="5"/>
  <c r="Q111" i="5"/>
  <c r="Q112" i="5"/>
  <c r="Q113" i="5"/>
  <c r="Q114" i="5"/>
  <c r="Q115" i="5"/>
  <c r="Q116" i="5"/>
  <c r="Q117" i="5"/>
  <c r="D83" i="18"/>
  <c r="D81" i="18"/>
  <c r="B30" i="26"/>
  <c r="B31" i="26"/>
  <c r="B32" i="26"/>
  <c r="B33" i="26"/>
  <c r="G66" i="19"/>
  <c r="R1253" i="25" s="1"/>
  <c r="G67" i="19"/>
  <c r="R1254" i="25" s="1"/>
  <c r="G68" i="19"/>
  <c r="R1255" i="25" s="1"/>
  <c r="G69" i="19"/>
  <c r="R1256" i="25" s="1"/>
  <c r="G70" i="19"/>
  <c r="R1257" i="25" s="1"/>
  <c r="G71" i="19"/>
  <c r="R1258" i="25" s="1"/>
  <c r="G72" i="19"/>
  <c r="R1259" i="25" s="1"/>
  <c r="G73" i="19"/>
  <c r="R1260" i="25" s="1"/>
  <c r="G74" i="19"/>
  <c r="R1261" i="25" s="1"/>
  <c r="Y131" i="11"/>
  <c r="Y132" i="11"/>
  <c r="Y133" i="11"/>
  <c r="Y134" i="11"/>
  <c r="Y135" i="11"/>
  <c r="Y136" i="11"/>
  <c r="Y137" i="11"/>
  <c r="Y138" i="11"/>
  <c r="Y139" i="11"/>
  <c r="Y140" i="11"/>
  <c r="Y141" i="11"/>
  <c r="Y142" i="11"/>
  <c r="Y143" i="11"/>
  <c r="Y144" i="11"/>
  <c r="Y145" i="11"/>
  <c r="Y130" i="11"/>
  <c r="Y105" i="11"/>
  <c r="Y106" i="11"/>
  <c r="Y107" i="11"/>
  <c r="Y108" i="11"/>
  <c r="Y109" i="11"/>
  <c r="Y110" i="11"/>
  <c r="Y111" i="11"/>
  <c r="Y112" i="11"/>
  <c r="Y113" i="11"/>
  <c r="Y114" i="11"/>
  <c r="Y115" i="11"/>
  <c r="Y116" i="11"/>
  <c r="Y117" i="11"/>
  <c r="Y118" i="11"/>
  <c r="Y119" i="11"/>
  <c r="Y120" i="11"/>
  <c r="Y121" i="11"/>
  <c r="Y122" i="11"/>
  <c r="Y123" i="11"/>
  <c r="Y124" i="11"/>
  <c r="Y125" i="11"/>
  <c r="Y126" i="11"/>
  <c r="Y104" i="11"/>
  <c r="Y17" i="11"/>
  <c r="Y18" i="11"/>
  <c r="Y19" i="11"/>
  <c r="Y20" i="11"/>
  <c r="Y21" i="11"/>
  <c r="Y22" i="11"/>
  <c r="Y23" i="11"/>
  <c r="Y24" i="11"/>
  <c r="Y25" i="11"/>
  <c r="Y26" i="11"/>
  <c r="Y27" i="11"/>
  <c r="Y28" i="11"/>
  <c r="Y29" i="11"/>
  <c r="Y30" i="11"/>
  <c r="Y31" i="11"/>
  <c r="Y32" i="11"/>
  <c r="Y33" i="11"/>
  <c r="Y34" i="11"/>
  <c r="Y35" i="11"/>
  <c r="Y99" i="11"/>
  <c r="Y16" i="11"/>
  <c r="H82" i="12"/>
  <c r="Y83" i="12"/>
  <c r="Y105" i="12"/>
  <c r="Y104" i="12"/>
  <c r="Y103" i="12"/>
  <c r="Y102" i="12"/>
  <c r="Y101" i="12"/>
  <c r="Y100" i="12"/>
  <c r="Y99" i="12"/>
  <c r="Y98" i="12"/>
  <c r="Y97" i="12"/>
  <c r="Y96" i="12"/>
  <c r="Y95" i="12"/>
  <c r="Y94" i="12"/>
  <c r="Y93" i="12"/>
  <c r="Y92" i="12"/>
  <c r="Y91" i="12"/>
  <c r="Y90" i="12"/>
  <c r="Y89" i="12"/>
  <c r="Y88" i="12"/>
  <c r="Y87" i="12"/>
  <c r="Y86" i="12"/>
  <c r="Y85" i="12"/>
  <c r="Y84" i="12"/>
  <c r="Y54" i="12"/>
  <c r="Y55" i="12"/>
  <c r="Y56" i="12"/>
  <c r="Y57" i="12"/>
  <c r="Y58" i="12"/>
  <c r="Y59" i="12"/>
  <c r="Y60" i="12"/>
  <c r="Y61" i="12"/>
  <c r="Y62" i="12"/>
  <c r="Y63" i="12"/>
  <c r="Y64" i="12"/>
  <c r="Y65" i="12"/>
  <c r="Y66" i="12"/>
  <c r="Y67" i="12"/>
  <c r="Y68" i="12"/>
  <c r="Y69" i="12"/>
  <c r="Y70" i="12"/>
  <c r="Y71" i="12"/>
  <c r="Y72" i="12"/>
  <c r="Y73" i="12"/>
  <c r="Y74" i="12"/>
  <c r="Y75" i="12"/>
  <c r="Y76" i="12"/>
  <c r="Y77" i="12"/>
  <c r="Y78" i="12"/>
  <c r="Y79" i="12"/>
  <c r="Y80" i="12"/>
  <c r="Y53" i="12"/>
  <c r="Y52" i="12" s="1"/>
  <c r="Y9" i="12"/>
  <c r="Y10" i="12"/>
  <c r="Y11" i="12"/>
  <c r="Y12" i="12"/>
  <c r="Y13" i="12"/>
  <c r="Y14" i="12"/>
  <c r="Y15" i="12"/>
  <c r="Y16" i="12"/>
  <c r="Y17" i="12"/>
  <c r="Y18" i="12"/>
  <c r="Y19" i="12"/>
  <c r="Y20" i="12"/>
  <c r="Y21" i="12"/>
  <c r="Y22" i="12"/>
  <c r="Y23" i="12"/>
  <c r="Y24" i="12"/>
  <c r="Y25" i="12"/>
  <c r="Y26" i="12"/>
  <c r="Y27" i="12"/>
  <c r="Y28" i="12"/>
  <c r="Y29" i="12"/>
  <c r="Y30" i="12"/>
  <c r="Y31" i="12"/>
  <c r="Y32" i="12"/>
  <c r="Y33" i="12"/>
  <c r="Y34" i="12"/>
  <c r="Y35" i="12"/>
  <c r="Y36" i="12"/>
  <c r="Y37" i="12"/>
  <c r="Y38" i="12"/>
  <c r="Y39" i="12"/>
  <c r="Y40" i="12"/>
  <c r="Y41" i="12"/>
  <c r="Y42" i="12"/>
  <c r="Y43" i="12"/>
  <c r="Y44" i="12"/>
  <c r="Y45" i="12"/>
  <c r="Y46" i="12"/>
  <c r="Y47" i="12"/>
  <c r="Y48" i="12"/>
  <c r="Y8" i="12"/>
  <c r="AA125" i="5"/>
  <c r="AA126" i="5"/>
  <c r="AA127" i="5"/>
  <c r="AA128" i="5"/>
  <c r="AA129" i="5"/>
  <c r="AA130" i="5"/>
  <c r="AA131" i="5"/>
  <c r="AA132" i="5"/>
  <c r="AA133" i="5"/>
  <c r="AA134" i="5"/>
  <c r="AA135" i="5"/>
  <c r="AA136" i="5"/>
  <c r="AA137" i="5"/>
  <c r="AA138" i="5"/>
  <c r="AA139" i="5"/>
  <c r="AA140" i="5"/>
  <c r="AA141" i="5"/>
  <c r="AA142" i="5"/>
  <c r="AA143" i="5"/>
  <c r="AA144" i="5"/>
  <c r="AA145" i="5"/>
  <c r="AA146" i="5"/>
  <c r="AA147" i="5"/>
  <c r="AA148" i="5"/>
  <c r="AA149" i="5"/>
  <c r="AA150" i="5"/>
  <c r="AA151" i="5"/>
  <c r="AA152" i="5"/>
  <c r="AA153" i="5"/>
  <c r="AA154" i="5"/>
  <c r="AA155" i="5"/>
  <c r="AA124" i="5"/>
  <c r="AA9" i="5"/>
  <c r="AA10" i="5"/>
  <c r="AA11" i="5"/>
  <c r="AA12" i="5"/>
  <c r="AA13" i="5"/>
  <c r="AA14" i="5"/>
  <c r="AA15" i="5"/>
  <c r="AA16" i="5"/>
  <c r="AA17" i="5"/>
  <c r="AA18" i="5"/>
  <c r="AA19" i="5"/>
  <c r="AA20" i="5"/>
  <c r="AA21" i="5"/>
  <c r="AA22" i="5"/>
  <c r="AA23" i="5"/>
  <c r="AA24" i="5"/>
  <c r="AA25" i="5"/>
  <c r="AA26" i="5"/>
  <c r="AA27" i="5"/>
  <c r="AA28" i="5"/>
  <c r="AA29" i="5"/>
  <c r="AA30" i="5"/>
  <c r="AA31" i="5"/>
  <c r="AA32" i="5"/>
  <c r="AA33" i="5"/>
  <c r="AA34" i="5"/>
  <c r="AA35" i="5"/>
  <c r="AA36" i="5"/>
  <c r="AA37" i="5"/>
  <c r="AA38" i="5"/>
  <c r="AA39" i="5"/>
  <c r="AA40" i="5"/>
  <c r="AA41" i="5"/>
  <c r="AA42" i="5"/>
  <c r="AA43" i="5"/>
  <c r="AA44" i="5"/>
  <c r="AA45" i="5"/>
  <c r="AA46" i="5"/>
  <c r="AA47" i="5"/>
  <c r="AA48" i="5"/>
  <c r="AA49" i="5"/>
  <c r="AA50" i="5"/>
  <c r="AA51" i="5"/>
  <c r="AA52" i="5"/>
  <c r="AA53" i="5"/>
  <c r="AA54" i="5"/>
  <c r="AA55" i="5"/>
  <c r="AA56" i="5"/>
  <c r="AA57" i="5"/>
  <c r="AA58" i="5"/>
  <c r="AA59" i="5"/>
  <c r="AA60" i="5"/>
  <c r="AA61" i="5"/>
  <c r="AA62" i="5"/>
  <c r="AA63" i="5"/>
  <c r="AA64" i="5"/>
  <c r="AA65" i="5"/>
  <c r="AA66" i="5"/>
  <c r="AA67" i="5"/>
  <c r="AA68" i="5"/>
  <c r="AA69" i="5"/>
  <c r="AA70" i="5"/>
  <c r="AA71" i="5"/>
  <c r="AA72" i="5"/>
  <c r="AA73" i="5"/>
  <c r="AA74" i="5"/>
  <c r="AA75" i="5"/>
  <c r="AA76" i="5"/>
  <c r="AA77" i="5"/>
  <c r="AA78" i="5"/>
  <c r="AA79" i="5"/>
  <c r="AA80" i="5"/>
  <c r="AA81" i="5"/>
  <c r="AA82" i="5"/>
  <c r="AA83" i="5"/>
  <c r="AA84" i="5"/>
  <c r="AA85" i="5"/>
  <c r="AA86" i="5"/>
  <c r="AA87" i="5"/>
  <c r="AA88" i="5"/>
  <c r="AA89" i="5"/>
  <c r="AA90" i="5"/>
  <c r="AA91" i="5"/>
  <c r="AA92" i="5"/>
  <c r="AA93" i="5"/>
  <c r="AA94" i="5"/>
  <c r="AA95" i="5"/>
  <c r="AA96" i="5"/>
  <c r="AA97" i="5"/>
  <c r="AA98" i="5"/>
  <c r="AA99" i="5"/>
  <c r="AA100" i="5"/>
  <c r="AA101" i="5"/>
  <c r="AA102" i="5"/>
  <c r="AA103" i="5"/>
  <c r="AA104" i="5"/>
  <c r="AA105" i="5"/>
  <c r="AA106" i="5"/>
  <c r="AA107" i="5"/>
  <c r="AA108" i="5"/>
  <c r="AA109" i="5"/>
  <c r="AA110" i="5"/>
  <c r="AA111" i="5"/>
  <c r="AA112" i="5"/>
  <c r="AA113" i="5"/>
  <c r="AA114" i="5"/>
  <c r="AA115" i="5"/>
  <c r="AA116" i="5"/>
  <c r="AA117" i="5"/>
  <c r="AA8" i="5"/>
  <c r="AA506" i="4"/>
  <c r="AA507" i="4"/>
  <c r="AA508" i="4"/>
  <c r="AA509" i="4"/>
  <c r="AA510" i="4"/>
  <c r="AA505" i="4"/>
  <c r="AA32" i="23"/>
  <c r="AA33" i="23"/>
  <c r="AA34" i="23"/>
  <c r="AA35" i="23"/>
  <c r="AA36" i="23"/>
  <c r="AA37" i="23"/>
  <c r="AA38" i="23"/>
  <c r="AA39" i="23"/>
  <c r="AA40" i="23"/>
  <c r="AA41" i="23"/>
  <c r="AA42" i="23"/>
  <c r="AA43" i="23"/>
  <c r="AA44" i="23"/>
  <c r="AA45" i="23"/>
  <c r="AA46" i="23"/>
  <c r="AA47" i="23"/>
  <c r="AA48" i="23"/>
  <c r="AA49" i="23"/>
  <c r="AA50" i="23"/>
  <c r="AA31" i="23"/>
  <c r="AA9" i="23"/>
  <c r="AA10" i="23"/>
  <c r="AA11" i="23"/>
  <c r="AA12" i="23"/>
  <c r="AA13" i="23"/>
  <c r="AA14" i="23"/>
  <c r="AA15" i="23"/>
  <c r="AA16" i="23"/>
  <c r="AA17" i="23"/>
  <c r="AA18" i="23"/>
  <c r="AA19" i="23"/>
  <c r="AA20" i="23"/>
  <c r="AA21" i="23"/>
  <c r="AA22" i="23"/>
  <c r="AA23" i="23"/>
  <c r="AA24" i="23"/>
  <c r="AA25" i="23"/>
  <c r="AA26" i="23"/>
  <c r="AA27" i="23"/>
  <c r="AA8" i="23"/>
  <c r="Y66" i="19"/>
  <c r="Y67" i="19"/>
  <c r="Y68" i="19"/>
  <c r="Y69" i="19"/>
  <c r="Y70" i="19"/>
  <c r="Y71" i="19"/>
  <c r="Y72" i="19"/>
  <c r="Y73" i="19"/>
  <c r="Y74" i="19"/>
  <c r="Y65" i="19"/>
  <c r="Y39" i="19"/>
  <c r="Y40" i="19"/>
  <c r="Y41" i="19"/>
  <c r="Y42" i="19"/>
  <c r="Y43" i="19"/>
  <c r="Y44" i="19"/>
  <c r="Y45" i="19"/>
  <c r="Y46" i="19"/>
  <c r="Y47" i="19"/>
  <c r="Y48" i="19"/>
  <c r="Y49" i="19"/>
  <c r="Y50" i="19"/>
  <c r="Y51" i="19"/>
  <c r="Y52" i="19"/>
  <c r="Y53" i="19"/>
  <c r="Y54" i="19"/>
  <c r="Y55" i="19"/>
  <c r="Y56" i="19"/>
  <c r="Y57" i="19"/>
  <c r="Y58" i="19"/>
  <c r="Y59" i="19"/>
  <c r="Y60" i="19"/>
  <c r="Y61" i="19"/>
  <c r="Y38" i="19"/>
  <c r="Y9" i="19"/>
  <c r="Y10" i="19"/>
  <c r="Y11" i="19"/>
  <c r="Y12" i="19"/>
  <c r="Y13" i="19"/>
  <c r="Y14" i="19"/>
  <c r="Y15" i="19"/>
  <c r="Y16" i="19"/>
  <c r="Y17" i="19"/>
  <c r="Y18" i="19"/>
  <c r="Y19" i="19"/>
  <c r="Y20" i="19"/>
  <c r="Y21" i="19"/>
  <c r="Y22" i="19"/>
  <c r="Y23" i="19"/>
  <c r="Y24" i="19"/>
  <c r="Y25" i="19"/>
  <c r="Y26" i="19"/>
  <c r="Y27" i="19"/>
  <c r="Y28" i="19"/>
  <c r="Y29" i="19"/>
  <c r="Y30" i="19"/>
  <c r="Y31" i="19"/>
  <c r="Y32" i="19"/>
  <c r="Y33" i="19"/>
  <c r="Y34" i="19"/>
  <c r="Y8" i="19"/>
  <c r="Y8" i="24"/>
  <c r="Y9" i="24"/>
  <c r="Y10" i="24"/>
  <c r="Y11" i="24"/>
  <c r="Y12" i="24"/>
  <c r="Y13" i="24"/>
  <c r="Y14" i="24"/>
  <c r="Y15" i="24"/>
  <c r="Y16" i="24"/>
  <c r="Y17" i="24"/>
  <c r="Y18" i="24"/>
  <c r="Y19" i="24"/>
  <c r="Y20" i="24"/>
  <c r="Y21" i="24"/>
  <c r="Y22" i="24"/>
  <c r="Y23" i="24"/>
  <c r="Y7" i="24"/>
  <c r="AF1109" i="25" l="1"/>
  <c r="AE1013" i="25"/>
  <c r="Z28" i="31" a="1"/>
  <c r="Z28" i="31" s="1"/>
  <c r="Z17" i="31" a="1"/>
  <c r="Z17" i="31" s="1"/>
  <c r="AA1061" i="25"/>
  <c r="Z23" i="31" a="1"/>
  <c r="Z23" i="31" s="1"/>
  <c r="Z64" i="31" a="1"/>
  <c r="Z64" i="31" s="1"/>
  <c r="Z72" i="31" a="1"/>
  <c r="Z72" i="31" s="1"/>
  <c r="Z71" i="31" a="1"/>
  <c r="Z71" i="31" s="1"/>
  <c r="AE1075" i="25"/>
  <c r="AE976" i="25"/>
  <c r="Z44" i="31" a="1"/>
  <c r="Z44" i="31" s="1"/>
  <c r="Z38" i="31" a="1"/>
  <c r="Z38" i="31" s="1"/>
  <c r="Z51" i="31" a="1"/>
  <c r="Z51" i="31" s="1"/>
  <c r="Z79" i="31" a="1"/>
  <c r="Z79" i="31" s="1"/>
  <c r="AF1127" i="25"/>
  <c r="Z49" i="31" a="1"/>
  <c r="Z49" i="31" s="1"/>
  <c r="Z24" i="31" a="1"/>
  <c r="Z24" i="31" s="1"/>
  <c r="Z283" i="30" a="1"/>
  <c r="Z283" i="30" s="1"/>
  <c r="W500" i="4"/>
  <c r="AF948" i="25" s="1"/>
  <c r="W948" i="25"/>
  <c r="AF1052" i="25"/>
  <c r="E17" i="18"/>
  <c r="F17" i="18" s="1"/>
  <c r="Z61" i="31" a="1"/>
  <c r="Z61" i="31" s="1"/>
  <c r="Z236" i="30" a="1"/>
  <c r="Z236" i="30" s="1"/>
  <c r="AE962" i="25"/>
  <c r="Z280" i="30" a="1"/>
  <c r="Z280" i="30" s="1"/>
  <c r="AE1038" i="25"/>
  <c r="Z252" i="30" a="1"/>
  <c r="Z252" i="30" s="1"/>
  <c r="Z232" i="30" a="1"/>
  <c r="Z232" i="30" s="1"/>
  <c r="Z248" i="30" a="1"/>
  <c r="Z248" i="30" s="1"/>
  <c r="Z220" i="30" a="1"/>
  <c r="Z220" i="30" s="1"/>
  <c r="Z67" i="31" a="1"/>
  <c r="Z67" i="31" s="1"/>
  <c r="Z35" i="31" a="1"/>
  <c r="Z35" i="31" s="1"/>
  <c r="AF1089" i="25"/>
  <c r="Z205" i="30" a="1"/>
  <c r="Z205" i="30" s="1"/>
  <c r="Z230" i="30" a="1"/>
  <c r="Z230" i="30" s="1"/>
  <c r="Z195" i="30" a="1"/>
  <c r="Z195" i="30" s="1"/>
  <c r="Z63" i="31" a="1"/>
  <c r="Z63" i="31" s="1"/>
  <c r="Z75" i="31" a="1"/>
  <c r="Z75" i="31" s="1"/>
  <c r="AF1106" i="25"/>
  <c r="Z234" i="30" a="1"/>
  <c r="Z234" i="30" s="1"/>
  <c r="Z47" i="31" a="1"/>
  <c r="Z47" i="31" s="1"/>
  <c r="Z256" i="30" a="1"/>
  <c r="Z256" i="30" s="1"/>
  <c r="Z197" i="30" a="1"/>
  <c r="Z197" i="30" s="1"/>
  <c r="Z78" i="31" a="1"/>
  <c r="Z78" i="31" s="1"/>
  <c r="Z200" i="30" a="1"/>
  <c r="Z200" i="30" s="1"/>
  <c r="Z37" i="31" a="1"/>
  <c r="Z37" i="31" s="1"/>
  <c r="Z260" i="30" a="1"/>
  <c r="Z260" i="30" s="1"/>
  <c r="Z15" i="31" a="1"/>
  <c r="Z15" i="31" s="1"/>
  <c r="Z9" i="31" a="1"/>
  <c r="Z9" i="31" s="1"/>
  <c r="Z45" i="31" a="1"/>
  <c r="Z45" i="31" s="1"/>
  <c r="Z26" i="31" a="1"/>
  <c r="Z26" i="31" s="1"/>
  <c r="Z191" i="30" a="1"/>
  <c r="Z191" i="30" s="1"/>
  <c r="AE1110" i="25"/>
  <c r="Z208" i="30" a="1"/>
  <c r="Z208" i="30" s="1"/>
  <c r="Z60" i="31" a="1"/>
  <c r="Z60" i="31" s="1"/>
  <c r="Z268" i="30" a="1"/>
  <c r="Z268" i="30" s="1"/>
  <c r="Z76" i="31" a="1"/>
  <c r="Z76" i="31" s="1"/>
  <c r="Z16" i="31" a="1"/>
  <c r="Z16" i="31" s="1"/>
  <c r="Z27" i="31" a="1"/>
  <c r="Z27" i="31" s="1"/>
  <c r="Z225" i="30" a="1"/>
  <c r="Z225" i="30" s="1"/>
  <c r="Z216" i="30" a="1"/>
  <c r="Z216" i="30" s="1"/>
  <c r="Z189" i="30" a="1"/>
  <c r="Z189" i="30" s="1"/>
  <c r="AF1107" i="25"/>
  <c r="Z68" i="31" a="1"/>
  <c r="Z68" i="31" s="1"/>
  <c r="Z41" i="31" a="1"/>
  <c r="Z41" i="31" s="1"/>
  <c r="Z54" i="31" a="1"/>
  <c r="Z54" i="31" s="1"/>
  <c r="Z211" i="30" a="1"/>
  <c r="Z211" i="30" s="1"/>
  <c r="Z50" i="31" a="1"/>
  <c r="Z50" i="31" s="1"/>
  <c r="Z57" i="31" a="1"/>
  <c r="Z57" i="31" s="1"/>
  <c r="Z224" i="30" a="1"/>
  <c r="Z224" i="30" s="1"/>
  <c r="Z254" i="30" a="1"/>
  <c r="Z254" i="30" s="1"/>
  <c r="Z212" i="30" a="1"/>
  <c r="Z212" i="30" s="1"/>
  <c r="Z65" i="31" a="1"/>
  <c r="Z65" i="31" s="1"/>
  <c r="Z279" i="30" a="1"/>
  <c r="Z279" i="30" s="1"/>
  <c r="Z206" i="30" a="1"/>
  <c r="Z206" i="30" s="1"/>
  <c r="Z8" i="30" a="1"/>
  <c r="Z8" i="30" s="1"/>
  <c r="Z275" i="30" a="1"/>
  <c r="Z275" i="30" s="1"/>
  <c r="Z13" i="31" a="1"/>
  <c r="Z13" i="31" s="1"/>
  <c r="AE1116" i="25"/>
  <c r="Z237" i="30" a="1"/>
  <c r="Z237" i="30" s="1"/>
  <c r="Z199" i="30" a="1"/>
  <c r="Z199" i="30" s="1"/>
  <c r="Z43" i="31" a="1"/>
  <c r="Z43" i="31" s="1"/>
  <c r="Z188" i="30" a="1"/>
  <c r="Z188" i="30" s="1"/>
  <c r="Z69" i="31" a="1"/>
  <c r="Z69" i="31" s="1"/>
  <c r="Z14" i="31" a="1"/>
  <c r="Z14" i="31" s="1"/>
  <c r="Z257" i="30" a="1"/>
  <c r="Z257" i="30" s="1"/>
  <c r="Z209" i="30" a="1"/>
  <c r="Z209" i="30" s="1"/>
  <c r="Z9" i="30" a="1"/>
  <c r="Z9" i="30" s="1"/>
  <c r="Z277" i="30" a="1"/>
  <c r="Z277" i="30" s="1"/>
  <c r="Z284" i="30" a="1"/>
  <c r="Z284" i="30" s="1"/>
  <c r="Z229" i="30" a="1"/>
  <c r="Z229" i="30" s="1"/>
  <c r="Z264" i="30" a="1"/>
  <c r="Z264" i="30" s="1"/>
  <c r="Z83" i="31" a="1"/>
  <c r="Z83" i="31" s="1"/>
  <c r="Z20" i="31" a="1"/>
  <c r="Z20" i="31" s="1"/>
  <c r="Z201" i="30" a="1"/>
  <c r="Z201" i="30" s="1"/>
  <c r="Z70" i="31" a="1"/>
  <c r="Z70" i="31" s="1"/>
  <c r="Z221" i="30" a="1"/>
  <c r="Z221" i="30" s="1"/>
  <c r="AE996" i="25"/>
  <c r="Z39" i="31" a="1"/>
  <c r="Z39" i="31" s="1"/>
  <c r="Z202" i="30" a="1"/>
  <c r="Z202" i="30" s="1"/>
  <c r="Z203" i="30" a="1"/>
  <c r="Z203" i="30" s="1"/>
  <c r="Z198" i="30" a="1"/>
  <c r="Z198" i="30" s="1"/>
  <c r="Z245" i="30" a="1"/>
  <c r="Z245" i="30" s="1"/>
  <c r="Z66" i="31" a="1"/>
  <c r="Z66" i="31" s="1"/>
  <c r="Z240" i="30" a="1"/>
  <c r="Z240" i="30" s="1"/>
  <c r="D16" i="18"/>
  <c r="Z265" i="30" a="1"/>
  <c r="Z265" i="30" s="1"/>
  <c r="Z241" i="30" a="1"/>
  <c r="Z241" i="30" s="1"/>
  <c r="Z267" i="30" a="1"/>
  <c r="Z267" i="30" s="1"/>
  <c r="Z185" i="30" a="1"/>
  <c r="Z185" i="30" s="1"/>
  <c r="C16" i="18"/>
  <c r="E16" i="18"/>
  <c r="Z22" i="31" a="1"/>
  <c r="Z22" i="31" s="1"/>
  <c r="Z58" i="31" a="1"/>
  <c r="Z58" i="31" s="1"/>
  <c r="Z194" i="30" a="1"/>
  <c r="Z194" i="30" s="1"/>
  <c r="Z276" i="30" a="1"/>
  <c r="Z276" i="30" s="1"/>
  <c r="Z77" i="31" a="1"/>
  <c r="Z77" i="31" s="1"/>
  <c r="Z249" i="30" a="1"/>
  <c r="Z249" i="30" s="1"/>
  <c r="Z253" i="30" a="1"/>
  <c r="Z253" i="30" s="1"/>
  <c r="Z36" i="31" a="1"/>
  <c r="Z36" i="31" s="1"/>
  <c r="Z271" i="30" a="1"/>
  <c r="Z271" i="30" s="1"/>
  <c r="AB949" i="25"/>
  <c r="N7" i="30"/>
  <c r="W7" i="30" s="1"/>
  <c r="AF949" i="25" s="1"/>
  <c r="Z19" i="31" a="1"/>
  <c r="Z19" i="31" s="1"/>
  <c r="Z273" i="30" a="1"/>
  <c r="Z273" i="30" s="1"/>
  <c r="Z282" i="30" a="1"/>
  <c r="Z282" i="30" s="1"/>
  <c r="Z34" i="31" a="1"/>
  <c r="Z34" i="31" s="1"/>
  <c r="AE1120" i="25"/>
  <c r="Z222" i="30" a="1"/>
  <c r="Z222" i="30" s="1"/>
  <c r="Z80" i="31" a="1"/>
  <c r="Z80" i="31" s="1"/>
  <c r="Z261" i="30" a="1"/>
  <c r="Z261" i="30" s="1"/>
  <c r="Z228" i="30" a="1"/>
  <c r="Z228" i="30" s="1"/>
  <c r="Z196" i="30" a="1"/>
  <c r="Z196" i="30" s="1"/>
  <c r="Z217" i="30" a="1"/>
  <c r="Z217" i="30" s="1"/>
  <c r="Z274" i="30" a="1"/>
  <c r="Z274" i="30" s="1"/>
  <c r="Z233" i="30" a="1"/>
  <c r="Z233" i="30" s="1"/>
  <c r="Z190" i="30" a="1"/>
  <c r="Z190" i="30" s="1"/>
  <c r="Z187" i="30" a="1"/>
  <c r="Z187" i="30" s="1"/>
  <c r="Z210" i="30" a="1"/>
  <c r="Z210" i="30" s="1"/>
  <c r="Z204" i="30" a="1"/>
  <c r="Z204" i="30" s="1"/>
  <c r="Z30" i="31" a="1"/>
  <c r="Z30" i="31" s="1"/>
  <c r="V8" i="31"/>
  <c r="AE1062" i="25" s="1"/>
  <c r="W1062" i="25"/>
  <c r="AJ1062" i="25" s="1"/>
  <c r="V7" i="31"/>
  <c r="AE1061" i="25" s="1"/>
  <c r="W1061" i="25"/>
  <c r="AJ1061" i="25" s="1"/>
  <c r="AE995" i="25"/>
  <c r="Z226" i="30" a="1"/>
  <c r="Z226" i="30" s="1"/>
  <c r="AF955" i="25"/>
  <c r="Z186" i="30" a="1"/>
  <c r="Z186" i="30" s="1"/>
  <c r="AE1066" i="25"/>
  <c r="Z12" i="31" a="1"/>
  <c r="Z12" i="31" s="1"/>
  <c r="AF1094" i="25"/>
  <c r="Z40" i="31" a="1"/>
  <c r="Z40" i="31" s="1"/>
  <c r="AF1086" i="25"/>
  <c r="Z32" i="31" a="1"/>
  <c r="Z32" i="31" s="1"/>
  <c r="AF1113" i="25"/>
  <c r="Z59" i="31" a="1"/>
  <c r="Z59" i="31" s="1"/>
  <c r="AF1083" i="25"/>
  <c r="Z29" i="31" a="1"/>
  <c r="Z29" i="31" s="1"/>
  <c r="AE1064" i="25"/>
  <c r="Z10" i="31" a="1"/>
  <c r="Z10" i="31" s="1"/>
  <c r="AF1128" i="25"/>
  <c r="Z74" i="31" a="1"/>
  <c r="Z74" i="31" s="1"/>
  <c r="AE1072" i="25"/>
  <c r="Z18" i="31" a="1"/>
  <c r="Z18" i="31" s="1"/>
  <c r="AE1102" i="25"/>
  <c r="Z48" i="31" a="1"/>
  <c r="Z48" i="31" s="1"/>
  <c r="AE1096" i="25"/>
  <c r="Z42" i="31" a="1"/>
  <c r="Z42" i="31" s="1"/>
  <c r="AF1135" i="25"/>
  <c r="Z81" i="31" a="1"/>
  <c r="Z81" i="31" s="1"/>
  <c r="AE1136" i="25"/>
  <c r="Z82" i="31" a="1"/>
  <c r="Z82" i="31" s="1"/>
  <c r="Z192" i="30" a="1"/>
  <c r="Z192" i="30" s="1"/>
  <c r="AE961" i="25"/>
  <c r="Z214" i="30" a="1"/>
  <c r="Z214" i="30" s="1"/>
  <c r="Z246" i="30" a="1"/>
  <c r="Z246" i="30" s="1"/>
  <c r="Z281" i="30" a="1"/>
  <c r="Z281" i="30" s="1"/>
  <c r="Z272" i="30" a="1"/>
  <c r="Z272" i="30" s="1"/>
  <c r="Z213" i="30" a="1"/>
  <c r="Z213" i="30" s="1"/>
  <c r="Z218" i="30" a="1"/>
  <c r="Z218" i="30" s="1"/>
  <c r="Z266" i="30" a="1"/>
  <c r="Z266" i="30" s="1"/>
  <c r="Z231" i="30" a="1"/>
  <c r="Z231" i="30" s="1"/>
  <c r="AI1422" i="25"/>
  <c r="W7" i="31"/>
  <c r="W8" i="31"/>
  <c r="Z243" i="30" a="1"/>
  <c r="Z243" i="30" s="1"/>
  <c r="Z219" i="30" a="1"/>
  <c r="Z219" i="30" s="1"/>
  <c r="Z33" i="31" a="1"/>
  <c r="Z33" i="31" s="1"/>
  <c r="Z31" i="31" a="1"/>
  <c r="Z31" i="31" s="1"/>
  <c r="Z251" i="30" a="1"/>
  <c r="Z251" i="30" s="1"/>
  <c r="Z278" i="30" a="1"/>
  <c r="Z278" i="30" s="1"/>
  <c r="Z115" i="31" a="1"/>
  <c r="Z115" i="31" s="1"/>
  <c r="Z235" i="30" a="1"/>
  <c r="Z235" i="30" s="1"/>
  <c r="Z46" i="31" a="1"/>
  <c r="Z46" i="31" s="1"/>
  <c r="Z270" i="30" a="1"/>
  <c r="Z270" i="30" s="1"/>
  <c r="Z258" i="30" a="1"/>
  <c r="Z258" i="30" s="1"/>
  <c r="Z259" i="30" a="1"/>
  <c r="Z259" i="30" s="1"/>
  <c r="Z250" i="30" a="1"/>
  <c r="Z250" i="30" s="1"/>
  <c r="Z107" i="31" a="1"/>
  <c r="Z107" i="31" s="1"/>
  <c r="Z99" i="31" a="1"/>
  <c r="Z99" i="31" s="1"/>
  <c r="Z118" i="31" a="1"/>
  <c r="Z118" i="31" s="1"/>
  <c r="Z184" i="30" a="1"/>
  <c r="Z184" i="30" s="1"/>
  <c r="Z242" i="30" a="1"/>
  <c r="Z242" i="30" s="1"/>
  <c r="Z183" i="30" a="1"/>
  <c r="Z183" i="30" s="1"/>
  <c r="AI1432" i="25"/>
  <c r="AI1424" i="25"/>
  <c r="Y15" i="11"/>
  <c r="Y103" i="11"/>
  <c r="D87" i="18"/>
  <c r="Y7" i="12"/>
  <c r="AJ1435" i="25"/>
  <c r="AI1510" i="25"/>
  <c r="AI1486" i="25"/>
  <c r="AI1502" i="25"/>
  <c r="AI1494" i="25"/>
  <c r="AI1478" i="25"/>
  <c r="AI1470" i="25"/>
  <c r="AI1462" i="25"/>
  <c r="AI1454" i="25"/>
  <c r="AI1446" i="25"/>
  <c r="AI1439" i="25"/>
  <c r="AI1431" i="25"/>
  <c r="AI1423" i="25"/>
  <c r="AI1433" i="25"/>
  <c r="AI1425" i="25"/>
  <c r="AI1440" i="25"/>
  <c r="AI1514" i="25"/>
  <c r="AI1498" i="25"/>
  <c r="AI1490" i="25"/>
  <c r="AI1482" i="25"/>
  <c r="AI1474" i="25"/>
  <c r="AI1466" i="25"/>
  <c r="AI1458" i="25"/>
  <c r="AI1450" i="25"/>
  <c r="AI1434" i="25"/>
  <c r="AI1426" i="25"/>
  <c r="AI1515" i="25"/>
  <c r="AI1507" i="25"/>
  <c r="AI1499" i="25"/>
  <c r="AI1491" i="25"/>
  <c r="AI1483" i="25"/>
  <c r="AI1475" i="25"/>
  <c r="AI1467" i="25"/>
  <c r="AI1459" i="25"/>
  <c r="AI1451" i="25"/>
  <c r="AI1443" i="25"/>
  <c r="AI1435" i="25"/>
  <c r="AI1427" i="25"/>
  <c r="AJ1515" i="25"/>
  <c r="AJ1444" i="25"/>
  <c r="AI1508" i="25"/>
  <c r="AI1500" i="25"/>
  <c r="AI1484" i="25"/>
  <c r="AI1476" i="25"/>
  <c r="AI1468" i="25"/>
  <c r="AI1460" i="25"/>
  <c r="AJ1442" i="25"/>
  <c r="AJ1441" i="25"/>
  <c r="AJ1438" i="25"/>
  <c r="AI1509" i="25"/>
  <c r="AI1501" i="25"/>
  <c r="AI1493" i="25"/>
  <c r="AI1485" i="25"/>
  <c r="AI1477" i="25"/>
  <c r="AI1469" i="25"/>
  <c r="AI1461" i="25"/>
  <c r="AI1453" i="25"/>
  <c r="AI1511" i="25"/>
  <c r="AI1503" i="25"/>
  <c r="AI1495" i="25"/>
  <c r="AI1487" i="25"/>
  <c r="AI1479" i="25"/>
  <c r="AI1471" i="25"/>
  <c r="AI1463" i="25"/>
  <c r="AI1455" i="25"/>
  <c r="AI1447" i="25"/>
  <c r="AI1488" i="25"/>
  <c r="AI1480" i="25"/>
  <c r="AI1472" i="25"/>
  <c r="AI1464" i="25"/>
  <c r="AI1456" i="25"/>
  <c r="AI1448" i="25"/>
  <c r="AI1512" i="25"/>
  <c r="AI1504" i="25"/>
  <c r="AI1496" i="25"/>
  <c r="AI1513" i="25"/>
  <c r="AI1505" i="25"/>
  <c r="AI1497" i="25"/>
  <c r="AI1489" i="25"/>
  <c r="AI1481" i="25"/>
  <c r="AI1473" i="25"/>
  <c r="AI1465" i="25"/>
  <c r="AI1457" i="25"/>
  <c r="AI1449" i="25"/>
  <c r="AJ1492" i="25"/>
  <c r="AJ1491" i="25"/>
  <c r="AJ1490" i="25"/>
  <c r="AJ1484" i="25"/>
  <c r="AJ1469" i="25"/>
  <c r="AJ1466" i="25"/>
  <c r="AJ1461" i="25"/>
  <c r="AJ1458" i="25"/>
  <c r="AJ1451" i="25"/>
  <c r="AJ1450" i="25"/>
  <c r="AJ1426" i="25"/>
  <c r="AJ1421" i="25"/>
  <c r="AI1441" i="25"/>
  <c r="AI1442" i="25"/>
  <c r="AJ1424" i="25"/>
  <c r="AI1492" i="25"/>
  <c r="AI1436" i="25"/>
  <c r="AJ1434" i="25"/>
  <c r="AJ1429" i="25"/>
  <c r="AJ1428" i="25"/>
  <c r="AJ1427" i="25"/>
  <c r="AI1437" i="25"/>
  <c r="AI1421" i="25"/>
  <c r="AI1438" i="25"/>
  <c r="AJ1514" i="25"/>
  <c r="AJ1509" i="25"/>
  <c r="AJ1508" i="25"/>
  <c r="AJ1507" i="25"/>
  <c r="AJ1506" i="25"/>
  <c r="AJ1501" i="25"/>
  <c r="AJ1500" i="25"/>
  <c r="AJ1499" i="25"/>
  <c r="AJ1498" i="25"/>
  <c r="AJ1493" i="25"/>
  <c r="AJ1488" i="25"/>
  <c r="AJ1487" i="25"/>
  <c r="AI1452" i="25"/>
  <c r="AI1428" i="25"/>
  <c r="AJ1513" i="25"/>
  <c r="AJ1512" i="25"/>
  <c r="AJ1510" i="25"/>
  <c r="AJ1483" i="25"/>
  <c r="AJ1482" i="25"/>
  <c r="AJ1479" i="25"/>
  <c r="AJ1476" i="25"/>
  <c r="AJ1475" i="25"/>
  <c r="AJ1474" i="25"/>
  <c r="AJ1468" i="25"/>
  <c r="AJ1467" i="25"/>
  <c r="AI1445" i="25"/>
  <c r="AI1429" i="25"/>
  <c r="AJ1465" i="25"/>
  <c r="AJ1464" i="25"/>
  <c r="AJ1462" i="25"/>
  <c r="AJ1460" i="25"/>
  <c r="AJ1459" i="25"/>
  <c r="AJ1443" i="25"/>
  <c r="AJ1437" i="25"/>
  <c r="AJ1436" i="25"/>
  <c r="AJ1433" i="25"/>
  <c r="AI1430" i="25"/>
  <c r="AJ1505" i="25"/>
  <c r="AJ1502" i="25"/>
  <c r="AJ1485" i="25"/>
  <c r="AJ1456" i="25"/>
  <c r="AJ1452" i="25"/>
  <c r="AJ1430" i="25"/>
  <c r="AJ1497" i="25"/>
  <c r="AJ1494" i="25"/>
  <c r="AJ1447" i="25"/>
  <c r="AJ1477" i="25"/>
  <c r="AJ1423" i="25"/>
  <c r="AJ1511" i="25"/>
  <c r="AJ1495" i="25"/>
  <c r="AJ1472" i="25"/>
  <c r="AJ1449" i="25"/>
  <c r="AJ1446" i="25"/>
  <c r="AJ1431" i="25"/>
  <c r="AA123" i="5"/>
  <c r="AJ1503" i="25"/>
  <c r="AJ1480" i="25"/>
  <c r="AJ1457" i="25"/>
  <c r="AJ1454" i="25"/>
  <c r="AJ1439" i="25"/>
  <c r="AJ1496" i="25"/>
  <c r="AJ1473" i="25"/>
  <c r="AJ1470" i="25"/>
  <c r="AJ1455" i="25"/>
  <c r="AJ1445" i="25"/>
  <c r="AJ1432" i="25"/>
  <c r="AJ1504" i="25"/>
  <c r="AJ1481" i="25"/>
  <c r="AJ1478" i="25"/>
  <c r="AJ1463" i="25"/>
  <c r="AJ1453" i="25"/>
  <c r="AJ1440" i="25"/>
  <c r="AJ1489" i="25"/>
  <c r="AJ1486" i="25"/>
  <c r="AJ1471" i="25"/>
  <c r="AJ1448" i="25"/>
  <c r="AJ1425" i="25"/>
  <c r="AJ1422" i="25"/>
  <c r="AI1506" i="25"/>
  <c r="AA7" i="5"/>
  <c r="Y129" i="11"/>
  <c r="AA7" i="23"/>
  <c r="AA504" i="4"/>
  <c r="Y7" i="19"/>
  <c r="Y6" i="24"/>
  <c r="Y64" i="19"/>
  <c r="AA30" i="23"/>
  <c r="V7" i="30" l="1"/>
  <c r="Z7" i="30" s="1" a="1"/>
  <c r="Z7" i="30" s="1"/>
  <c r="Z6" i="30" s="1"/>
  <c r="J5" i="30" s="1"/>
  <c r="W949" i="25"/>
  <c r="AJ949" i="25" s="1"/>
  <c r="F16" i="18"/>
  <c r="Z8" i="31" a="1"/>
  <c r="Z8" i="31" s="1"/>
  <c r="AF1062" i="25"/>
  <c r="Z7" i="31" a="1"/>
  <c r="Z7" i="31" s="1"/>
  <c r="AF1061" i="25"/>
  <c r="Y37" i="19"/>
  <c r="AE949" i="25" l="1"/>
  <c r="Z6" i="31"/>
  <c r="J5" i="31" s="1"/>
  <c r="J1182" i="25"/>
  <c r="M1182" i="25"/>
  <c r="N1182" i="25"/>
  <c r="P1182" i="25"/>
  <c r="S1182" i="25"/>
  <c r="X1182" i="25"/>
  <c r="Y1182" i="25"/>
  <c r="J1183" i="25"/>
  <c r="M1183" i="25"/>
  <c r="N1183" i="25"/>
  <c r="P1183" i="25"/>
  <c r="S1183" i="25"/>
  <c r="X1183" i="25"/>
  <c r="Y1183" i="25"/>
  <c r="J1184" i="25"/>
  <c r="M1184" i="25"/>
  <c r="N1184" i="25"/>
  <c r="P1184" i="25"/>
  <c r="S1184" i="25"/>
  <c r="X1184" i="25"/>
  <c r="Y1184" i="25"/>
  <c r="J1185" i="25"/>
  <c r="M1185" i="25"/>
  <c r="N1185" i="25"/>
  <c r="P1185" i="25"/>
  <c r="S1185" i="25"/>
  <c r="X1185" i="25"/>
  <c r="Y1185" i="25"/>
  <c r="J1186" i="25"/>
  <c r="M1186" i="25"/>
  <c r="N1186" i="25"/>
  <c r="P1186" i="25"/>
  <c r="S1186" i="25"/>
  <c r="X1186" i="25"/>
  <c r="Y1186" i="25"/>
  <c r="J1187" i="25"/>
  <c r="M1187" i="25"/>
  <c r="N1187" i="25"/>
  <c r="P1187" i="25"/>
  <c r="S1187" i="25"/>
  <c r="X1187" i="25"/>
  <c r="Y1187" i="25"/>
  <c r="J1188" i="25"/>
  <c r="M1188" i="25"/>
  <c r="N1188" i="25"/>
  <c r="P1188" i="25"/>
  <c r="S1188" i="25"/>
  <c r="X1188" i="25"/>
  <c r="Y1188" i="25"/>
  <c r="J1189" i="25"/>
  <c r="M1189" i="25"/>
  <c r="N1189" i="25"/>
  <c r="P1189" i="25"/>
  <c r="S1189" i="25"/>
  <c r="X1189" i="25"/>
  <c r="Y1189" i="25"/>
  <c r="J1190" i="25"/>
  <c r="M1190" i="25"/>
  <c r="N1190" i="25"/>
  <c r="P1190" i="25"/>
  <c r="S1190" i="25"/>
  <c r="X1190" i="25"/>
  <c r="Y1190" i="25"/>
  <c r="J1162" i="25"/>
  <c r="M1162" i="25"/>
  <c r="N1162" i="25"/>
  <c r="P1162" i="25"/>
  <c r="S1162" i="25"/>
  <c r="X1162" i="25"/>
  <c r="Y1162" i="25"/>
  <c r="J1163" i="25"/>
  <c r="M1163" i="25"/>
  <c r="N1163" i="25"/>
  <c r="P1163" i="25"/>
  <c r="S1163" i="25"/>
  <c r="X1163" i="25"/>
  <c r="Y1163" i="25"/>
  <c r="J1164" i="25"/>
  <c r="M1164" i="25"/>
  <c r="N1164" i="25"/>
  <c r="P1164" i="25"/>
  <c r="S1164" i="25"/>
  <c r="X1164" i="25"/>
  <c r="Y1164" i="25"/>
  <c r="J1165" i="25"/>
  <c r="M1165" i="25"/>
  <c r="N1165" i="25"/>
  <c r="P1165" i="25"/>
  <c r="S1165" i="25"/>
  <c r="X1165" i="25"/>
  <c r="Y1165" i="25"/>
  <c r="J1166" i="25"/>
  <c r="M1166" i="25"/>
  <c r="N1166" i="25"/>
  <c r="P1166" i="25"/>
  <c r="S1166" i="25"/>
  <c r="X1166" i="25"/>
  <c r="Y1166" i="25"/>
  <c r="J1167" i="25"/>
  <c r="M1167" i="25"/>
  <c r="N1167" i="25"/>
  <c r="P1167" i="25"/>
  <c r="S1167" i="25"/>
  <c r="X1167" i="25"/>
  <c r="Y1167" i="25"/>
  <c r="J1168" i="25"/>
  <c r="M1168" i="25"/>
  <c r="N1168" i="25"/>
  <c r="P1168" i="25"/>
  <c r="S1168" i="25"/>
  <c r="X1168" i="25"/>
  <c r="Y1168" i="25"/>
  <c r="J1169" i="25"/>
  <c r="M1169" i="25"/>
  <c r="N1169" i="25"/>
  <c r="P1169" i="25"/>
  <c r="S1169" i="25"/>
  <c r="X1169" i="25"/>
  <c r="Y1169" i="25"/>
  <c r="J1170" i="25"/>
  <c r="M1170" i="25"/>
  <c r="N1170" i="25"/>
  <c r="P1170" i="25"/>
  <c r="S1170" i="25"/>
  <c r="X1170" i="25"/>
  <c r="Y1170" i="25"/>
  <c r="J1171" i="25"/>
  <c r="M1171" i="25"/>
  <c r="N1171" i="25"/>
  <c r="P1171" i="25"/>
  <c r="S1171" i="25"/>
  <c r="X1171" i="25"/>
  <c r="Y1171" i="25"/>
  <c r="M31" i="23" a="1"/>
  <c r="M31" i="23" s="1"/>
  <c r="X32" i="23" a="1"/>
  <c r="X32" i="23" s="1"/>
  <c r="AG1182" i="25" s="1"/>
  <c r="X33" i="23" a="1"/>
  <c r="X33" i="23" s="1"/>
  <c r="AG1183" i="25" s="1"/>
  <c r="X34" i="23" a="1"/>
  <c r="X34" i="23" s="1"/>
  <c r="AG1184" i="25" s="1"/>
  <c r="X35" i="23" a="1"/>
  <c r="X35" i="23" s="1"/>
  <c r="AG1185" i="25" s="1"/>
  <c r="X36" i="23" a="1"/>
  <c r="X36" i="23" s="1"/>
  <c r="AG1186" i="25" s="1"/>
  <c r="X37" i="23" a="1"/>
  <c r="X37" i="23" s="1"/>
  <c r="AG1187" i="25" s="1"/>
  <c r="X38" i="23" a="1"/>
  <c r="X38" i="23" s="1"/>
  <c r="AG1188" i="25" s="1"/>
  <c r="X39" i="23" a="1"/>
  <c r="X39" i="23" s="1"/>
  <c r="AG1189" i="25" s="1"/>
  <c r="X40" i="23" a="1"/>
  <c r="X40" i="23" s="1"/>
  <c r="AG1190" i="25" s="1"/>
  <c r="X41" i="23" a="1"/>
  <c r="X41" i="23" s="1"/>
  <c r="X42" i="23" a="1"/>
  <c r="X42" i="23" s="1"/>
  <c r="X43" i="23" a="1"/>
  <c r="X43" i="23" s="1"/>
  <c r="X44" i="23" a="1"/>
  <c r="X44" i="23" s="1"/>
  <c r="X45" i="23" a="1"/>
  <c r="X45" i="23" s="1"/>
  <c r="X46" i="23" a="1"/>
  <c r="X46" i="23" s="1"/>
  <c r="X47" i="23" a="1"/>
  <c r="X47" i="23" s="1"/>
  <c r="X48" i="23" a="1"/>
  <c r="X48" i="23" s="1"/>
  <c r="X49" i="23" a="1"/>
  <c r="X49" i="23" s="1"/>
  <c r="X50" i="23" a="1"/>
  <c r="X50" i="23" s="1"/>
  <c r="U32" i="23" a="1"/>
  <c r="U32" i="23" s="1"/>
  <c r="AD1182" i="25" s="1"/>
  <c r="U33" i="23" a="1"/>
  <c r="U33" i="23" s="1"/>
  <c r="AD1183" i="25" s="1"/>
  <c r="U34" i="23" a="1"/>
  <c r="U34" i="23" s="1"/>
  <c r="AD1184" i="25" s="1"/>
  <c r="U35" i="23" a="1"/>
  <c r="U35" i="23" s="1"/>
  <c r="AD1185" i="25" s="1"/>
  <c r="U36" i="23" a="1"/>
  <c r="U36" i="23" s="1"/>
  <c r="AD1186" i="25" s="1"/>
  <c r="U37" i="23" a="1"/>
  <c r="U37" i="23" s="1"/>
  <c r="AD1187" i="25" s="1"/>
  <c r="U38" i="23" a="1"/>
  <c r="U38" i="23" s="1"/>
  <c r="AD1188" i="25" s="1"/>
  <c r="U39" i="23" a="1"/>
  <c r="U39" i="23" s="1"/>
  <c r="AD1189" i="25" s="1"/>
  <c r="U40" i="23" a="1"/>
  <c r="U40" i="23" s="1"/>
  <c r="AD1190" i="25" s="1"/>
  <c r="U41" i="23" a="1"/>
  <c r="U41" i="23" s="1"/>
  <c r="U42" i="23" a="1"/>
  <c r="U42" i="23" s="1"/>
  <c r="U43" i="23" a="1"/>
  <c r="U43" i="23" s="1"/>
  <c r="U44" i="23" a="1"/>
  <c r="U44" i="23" s="1"/>
  <c r="U45" i="23" a="1"/>
  <c r="U45" i="23" s="1"/>
  <c r="U46" i="23" a="1"/>
  <c r="U46" i="23" s="1"/>
  <c r="U47" i="23" a="1"/>
  <c r="U47" i="23" s="1"/>
  <c r="U48" i="23" a="1"/>
  <c r="U48" i="23" s="1"/>
  <c r="U49" i="23" a="1"/>
  <c r="U49" i="23" s="1"/>
  <c r="U50" i="23" a="1"/>
  <c r="U50" i="23" s="1"/>
  <c r="T32" i="23" a="1"/>
  <c r="T32" i="23" s="1"/>
  <c r="AC1182" i="25" s="1"/>
  <c r="T33" i="23" a="1"/>
  <c r="T33" i="23" s="1"/>
  <c r="AC1183" i="25" s="1"/>
  <c r="T34" i="23" a="1"/>
  <c r="T34" i="23" s="1"/>
  <c r="AC1184" i="25" s="1"/>
  <c r="T35" i="23" a="1"/>
  <c r="T35" i="23" s="1"/>
  <c r="AC1185" i="25" s="1"/>
  <c r="T36" i="23" a="1"/>
  <c r="T36" i="23" s="1"/>
  <c r="AC1186" i="25" s="1"/>
  <c r="T37" i="23" a="1"/>
  <c r="T37" i="23" s="1"/>
  <c r="AC1187" i="25" s="1"/>
  <c r="T38" i="23" a="1"/>
  <c r="T38" i="23" s="1"/>
  <c r="AC1188" i="25" s="1"/>
  <c r="T39" i="23" a="1"/>
  <c r="T39" i="23" s="1"/>
  <c r="AC1189" i="25" s="1"/>
  <c r="T40" i="23" a="1"/>
  <c r="T40" i="23" s="1"/>
  <c r="AC1190" i="25" s="1"/>
  <c r="T41" i="23" a="1"/>
  <c r="T41" i="23" s="1"/>
  <c r="T42" i="23" a="1"/>
  <c r="T42" i="23" s="1"/>
  <c r="T43" i="23" a="1"/>
  <c r="T43" i="23" s="1"/>
  <c r="T44" i="23" a="1"/>
  <c r="T44" i="23" s="1"/>
  <c r="T45" i="23" a="1"/>
  <c r="T45" i="23" s="1"/>
  <c r="T46" i="23" a="1"/>
  <c r="T46" i="23" s="1"/>
  <c r="T47" i="23" a="1"/>
  <c r="T47" i="23" s="1"/>
  <c r="T48" i="23" a="1"/>
  <c r="T48" i="23" s="1"/>
  <c r="T49" i="23" a="1"/>
  <c r="T49" i="23" s="1"/>
  <c r="T50" i="23" a="1"/>
  <c r="T50" i="23" s="1"/>
  <c r="S32" i="23" a="1"/>
  <c r="S32" i="23" s="1"/>
  <c r="AB1182" i="25" s="1"/>
  <c r="S33" i="23" a="1"/>
  <c r="S33" i="23" s="1"/>
  <c r="AB1183" i="25" s="1"/>
  <c r="S34" i="23" a="1"/>
  <c r="S34" i="23" s="1"/>
  <c r="AB1184" i="25" s="1"/>
  <c r="S35" i="23" a="1"/>
  <c r="S35" i="23" s="1"/>
  <c r="AB1185" i="25" s="1"/>
  <c r="S36" i="23" a="1"/>
  <c r="S36" i="23" s="1"/>
  <c r="AB1186" i="25" s="1"/>
  <c r="S37" i="23" a="1"/>
  <c r="S37" i="23" s="1"/>
  <c r="AB1187" i="25" s="1"/>
  <c r="S38" i="23" a="1"/>
  <c r="S38" i="23" s="1"/>
  <c r="AB1188" i="25" s="1"/>
  <c r="S39" i="23" a="1"/>
  <c r="S39" i="23" s="1"/>
  <c r="AB1189" i="25" s="1"/>
  <c r="S40" i="23" a="1"/>
  <c r="S40" i="23" s="1"/>
  <c r="AB1190" i="25" s="1"/>
  <c r="S41" i="23" a="1"/>
  <c r="S41" i="23" s="1"/>
  <c r="S42" i="23" a="1"/>
  <c r="S42" i="23" s="1"/>
  <c r="S43" i="23" a="1"/>
  <c r="S43" i="23" s="1"/>
  <c r="S44" i="23" a="1"/>
  <c r="S44" i="23" s="1"/>
  <c r="S45" i="23" a="1"/>
  <c r="S45" i="23" s="1"/>
  <c r="S46" i="23" a="1"/>
  <c r="S46" i="23" s="1"/>
  <c r="S47" i="23" a="1"/>
  <c r="S47" i="23" s="1"/>
  <c r="S48" i="23" a="1"/>
  <c r="S48" i="23" s="1"/>
  <c r="S49" i="23" a="1"/>
  <c r="S49" i="23" s="1"/>
  <c r="S50" i="23" a="1"/>
  <c r="S50" i="23" s="1"/>
  <c r="R32" i="23" a="1"/>
  <c r="R32" i="23" s="1"/>
  <c r="AA1182" i="25" s="1"/>
  <c r="R33" i="23" a="1"/>
  <c r="R33" i="23" s="1"/>
  <c r="AA1183" i="25" s="1"/>
  <c r="R34" i="23" a="1"/>
  <c r="R34" i="23" s="1"/>
  <c r="AA1184" i="25" s="1"/>
  <c r="R35" i="23" a="1"/>
  <c r="R35" i="23" s="1"/>
  <c r="AA1185" i="25" s="1"/>
  <c r="R36" i="23" a="1"/>
  <c r="R36" i="23" s="1"/>
  <c r="AA1186" i="25" s="1"/>
  <c r="R37" i="23" a="1"/>
  <c r="R37" i="23" s="1"/>
  <c r="AA1187" i="25" s="1"/>
  <c r="R38" i="23" a="1"/>
  <c r="R38" i="23" s="1"/>
  <c r="AA1188" i="25" s="1"/>
  <c r="R39" i="23" a="1"/>
  <c r="R39" i="23" s="1"/>
  <c r="AA1189" i="25" s="1"/>
  <c r="R40" i="23" a="1"/>
  <c r="R40" i="23" s="1"/>
  <c r="AA1190" i="25" s="1"/>
  <c r="R41" i="23" a="1"/>
  <c r="R41" i="23" s="1"/>
  <c r="R42" i="23" a="1"/>
  <c r="R42" i="23" s="1"/>
  <c r="R43" i="23" a="1"/>
  <c r="R43" i="23" s="1"/>
  <c r="R44" i="23" a="1"/>
  <c r="R44" i="23" s="1"/>
  <c r="R45" i="23" a="1"/>
  <c r="R45" i="23" s="1"/>
  <c r="R46" i="23" a="1"/>
  <c r="R46" i="23" s="1"/>
  <c r="R47" i="23" a="1"/>
  <c r="R47" i="23" s="1"/>
  <c r="R48" i="23" a="1"/>
  <c r="R48" i="23" s="1"/>
  <c r="R49" i="23" a="1"/>
  <c r="R49" i="23" s="1"/>
  <c r="R50" i="23" a="1"/>
  <c r="R50" i="23" s="1"/>
  <c r="Q32" i="23" a="1"/>
  <c r="Q32" i="23" s="1"/>
  <c r="Z1182" i="25" s="1"/>
  <c r="Q33" i="23" a="1"/>
  <c r="Q33" i="23" s="1"/>
  <c r="Z1183" i="25" s="1"/>
  <c r="Q34" i="23" a="1"/>
  <c r="Q34" i="23" s="1"/>
  <c r="Z1184" i="25" s="1"/>
  <c r="Q35" i="23" a="1"/>
  <c r="Q35" i="23" s="1"/>
  <c r="Z1185" i="25" s="1"/>
  <c r="Q36" i="23" a="1"/>
  <c r="Q36" i="23" s="1"/>
  <c r="Z1186" i="25" s="1"/>
  <c r="Q37" i="23" a="1"/>
  <c r="Q37" i="23" s="1"/>
  <c r="Z1187" i="25" s="1"/>
  <c r="Q38" i="23" a="1"/>
  <c r="Q38" i="23" s="1"/>
  <c r="Z1188" i="25" s="1"/>
  <c r="Q39" i="23" a="1"/>
  <c r="Q39" i="23" s="1"/>
  <c r="Z1189" i="25" s="1"/>
  <c r="Q40" i="23" a="1"/>
  <c r="Q40" i="23" s="1"/>
  <c r="Z1190" i="25" s="1"/>
  <c r="Q41" i="23" a="1"/>
  <c r="Q41" i="23" s="1"/>
  <c r="Q42" i="23" a="1"/>
  <c r="Q42" i="23" s="1"/>
  <c r="Q43" i="23" a="1"/>
  <c r="Q43" i="23" s="1"/>
  <c r="Q44" i="23" a="1"/>
  <c r="Q44" i="23" s="1"/>
  <c r="Q45" i="23" a="1"/>
  <c r="Q45" i="23" s="1"/>
  <c r="Q46" i="23" a="1"/>
  <c r="Q46" i="23" s="1"/>
  <c r="Q47" i="23" a="1"/>
  <c r="Q47" i="23" s="1"/>
  <c r="Q48" i="23" a="1"/>
  <c r="Q48" i="23" s="1"/>
  <c r="Q49" i="23" a="1"/>
  <c r="Q49" i="23" s="1"/>
  <c r="Q50" i="23" a="1"/>
  <c r="Q50" i="23" s="1"/>
  <c r="M32" i="23" a="1"/>
  <c r="M32" i="23" s="1"/>
  <c r="V1182" i="25" s="1"/>
  <c r="M33" i="23" a="1"/>
  <c r="M33" i="23" s="1"/>
  <c r="V1183" i="25" s="1"/>
  <c r="M34" i="23" a="1"/>
  <c r="M34" i="23" s="1"/>
  <c r="V1184" i="25" s="1"/>
  <c r="M35" i="23" a="1"/>
  <c r="M35" i="23" s="1"/>
  <c r="V1185" i="25" s="1"/>
  <c r="M36" i="23" a="1"/>
  <c r="M36" i="23" s="1"/>
  <c r="V1186" i="25" s="1"/>
  <c r="M37" i="23" a="1"/>
  <c r="M37" i="23" s="1"/>
  <c r="V1187" i="25" s="1"/>
  <c r="M38" i="23" a="1"/>
  <c r="M38" i="23" s="1"/>
  <c r="V1188" i="25" s="1"/>
  <c r="M39" i="23" a="1"/>
  <c r="M39" i="23" s="1"/>
  <c r="V1189" i="25" s="1"/>
  <c r="M40" i="23" a="1"/>
  <c r="M40" i="23" s="1"/>
  <c r="V1190" i="25" s="1"/>
  <c r="M41" i="23" a="1"/>
  <c r="M41" i="23" s="1"/>
  <c r="M42" i="23" a="1"/>
  <c r="M42" i="23" s="1"/>
  <c r="M43" i="23" a="1"/>
  <c r="M43" i="23" s="1"/>
  <c r="M44" i="23" a="1"/>
  <c r="M44" i="23" s="1"/>
  <c r="M45" i="23" a="1"/>
  <c r="M45" i="23" s="1"/>
  <c r="M46" i="23" a="1"/>
  <c r="M46" i="23" s="1"/>
  <c r="M47" i="23" a="1"/>
  <c r="M47" i="23" s="1"/>
  <c r="M48" i="23" a="1"/>
  <c r="M48" i="23" s="1"/>
  <c r="M49" i="23" a="1"/>
  <c r="M49" i="23" s="1"/>
  <c r="M50" i="23" a="1"/>
  <c r="M50" i="23" s="1"/>
  <c r="G32" i="23"/>
  <c r="G33" i="23"/>
  <c r="G34" i="23"/>
  <c r="G35" i="23"/>
  <c r="G36" i="23"/>
  <c r="G37" i="23"/>
  <c r="G38" i="23"/>
  <c r="G39" i="23"/>
  <c r="G40" i="23"/>
  <c r="K32" i="23" a="1"/>
  <c r="K32" i="23" s="1"/>
  <c r="T1182" i="25" s="1"/>
  <c r="K33" i="23" a="1"/>
  <c r="K33" i="23" s="1"/>
  <c r="T1183" i="25" s="1"/>
  <c r="K34" i="23" a="1"/>
  <c r="K34" i="23" s="1"/>
  <c r="T1184" i="25" s="1"/>
  <c r="K35" i="23" a="1"/>
  <c r="K35" i="23" s="1"/>
  <c r="T1185" i="25" s="1"/>
  <c r="K36" i="23" a="1"/>
  <c r="K36" i="23" s="1"/>
  <c r="T1186" i="25" s="1"/>
  <c r="K37" i="23" a="1"/>
  <c r="K37" i="23" s="1"/>
  <c r="T1187" i="25" s="1"/>
  <c r="K38" i="23" a="1"/>
  <c r="K38" i="23" s="1"/>
  <c r="T1188" i="25" s="1"/>
  <c r="K39" i="23" a="1"/>
  <c r="K39" i="23" s="1"/>
  <c r="T1189" i="25" s="1"/>
  <c r="K40" i="23" a="1"/>
  <c r="K40" i="23" s="1"/>
  <c r="T1190" i="25" s="1"/>
  <c r="L32" i="23"/>
  <c r="U1182" i="25" s="1"/>
  <c r="L33" i="23"/>
  <c r="U1183" i="25" s="1"/>
  <c r="L34" i="23"/>
  <c r="U1184" i="25" s="1"/>
  <c r="L35" i="23"/>
  <c r="U1185" i="25" s="1"/>
  <c r="L36" i="23"/>
  <c r="U1186" i="25" s="1"/>
  <c r="L37" i="23"/>
  <c r="U1187" i="25" s="1"/>
  <c r="L38" i="23"/>
  <c r="U1188" i="25" s="1"/>
  <c r="L39" i="23"/>
  <c r="U1189" i="25" s="1"/>
  <c r="L40" i="23"/>
  <c r="U1190" i="25" s="1"/>
  <c r="G9" i="23"/>
  <c r="G10" i="23"/>
  <c r="G11" i="23"/>
  <c r="G12" i="23"/>
  <c r="G13" i="23"/>
  <c r="G14" i="23"/>
  <c r="G15" i="23"/>
  <c r="G16" i="23"/>
  <c r="G17" i="23"/>
  <c r="K9" i="23" a="1"/>
  <c r="K9" i="23" s="1"/>
  <c r="T1162" i="25" s="1"/>
  <c r="K10" i="23" a="1"/>
  <c r="K10" i="23" s="1"/>
  <c r="T1163" i="25" s="1"/>
  <c r="K11" i="23" a="1"/>
  <c r="K11" i="23" s="1"/>
  <c r="T1164" i="25" s="1"/>
  <c r="K12" i="23" a="1"/>
  <c r="K12" i="23" s="1"/>
  <c r="T1165" i="25" s="1"/>
  <c r="K13" i="23" a="1"/>
  <c r="K13" i="23" s="1"/>
  <c r="T1166" i="25" s="1"/>
  <c r="K14" i="23" a="1"/>
  <c r="K14" i="23" s="1"/>
  <c r="T1167" i="25" s="1"/>
  <c r="K15" i="23" a="1"/>
  <c r="K15" i="23" s="1"/>
  <c r="T1168" i="25" s="1"/>
  <c r="K16" i="23" a="1"/>
  <c r="K16" i="23" s="1"/>
  <c r="T1169" i="25" s="1"/>
  <c r="K17" i="23" a="1"/>
  <c r="K17" i="23" s="1"/>
  <c r="T1170" i="25" s="1"/>
  <c r="L9" i="23"/>
  <c r="U1162" i="25" s="1"/>
  <c r="L10" i="23"/>
  <c r="U1163" i="25" s="1"/>
  <c r="L11" i="23"/>
  <c r="U1164" i="25" s="1"/>
  <c r="L12" i="23"/>
  <c r="U1165" i="25" s="1"/>
  <c r="L13" i="23"/>
  <c r="U1166" i="25" s="1"/>
  <c r="L14" i="23"/>
  <c r="U1167" i="25" s="1"/>
  <c r="L15" i="23"/>
  <c r="U1168" i="25" s="1"/>
  <c r="L16" i="23"/>
  <c r="U1169" i="25" s="1"/>
  <c r="L17" i="23"/>
  <c r="U1170" i="25" s="1"/>
  <c r="M9" i="23" a="1"/>
  <c r="M9" i="23" s="1"/>
  <c r="V1162" i="25" s="1"/>
  <c r="M10" i="23" a="1"/>
  <c r="M10" i="23" s="1"/>
  <c r="V1163" i="25" s="1"/>
  <c r="M11" i="23" a="1"/>
  <c r="M11" i="23" s="1"/>
  <c r="V1164" i="25" s="1"/>
  <c r="M12" i="23" a="1"/>
  <c r="M12" i="23" s="1"/>
  <c r="V1165" i="25" s="1"/>
  <c r="M13" i="23" a="1"/>
  <c r="M13" i="23" s="1"/>
  <c r="V1166" i="25" s="1"/>
  <c r="M14" i="23" a="1"/>
  <c r="M14" i="23" s="1"/>
  <c r="V1167" i="25" s="1"/>
  <c r="M15" i="23" a="1"/>
  <c r="M15" i="23" s="1"/>
  <c r="V1168" i="25" s="1"/>
  <c r="M16" i="23" a="1"/>
  <c r="M16" i="23" s="1"/>
  <c r="V1169" i="25" s="1"/>
  <c r="M17" i="23" a="1"/>
  <c r="M17" i="23" s="1"/>
  <c r="V1170" i="25" s="1"/>
  <c r="Q9" i="23" a="1"/>
  <c r="Q9" i="23" s="1"/>
  <c r="Z1162" i="25" s="1"/>
  <c r="Q10" i="23" a="1"/>
  <c r="Q10" i="23" s="1"/>
  <c r="Z1163" i="25" s="1"/>
  <c r="Q11" i="23" a="1"/>
  <c r="Q11" i="23" s="1"/>
  <c r="Z1164" i="25" s="1"/>
  <c r="Q12" i="23" a="1"/>
  <c r="Q12" i="23" s="1"/>
  <c r="Z1165" i="25" s="1"/>
  <c r="Q13" i="23" a="1"/>
  <c r="Q13" i="23" s="1"/>
  <c r="Z1166" i="25" s="1"/>
  <c r="Q14" i="23" a="1"/>
  <c r="Q14" i="23" s="1"/>
  <c r="Z1167" i="25" s="1"/>
  <c r="Q15" i="23" a="1"/>
  <c r="Q15" i="23" s="1"/>
  <c r="Z1168" i="25" s="1"/>
  <c r="Q16" i="23" a="1"/>
  <c r="Q16" i="23" s="1"/>
  <c r="Z1169" i="25" s="1"/>
  <c r="Q17" i="23" a="1"/>
  <c r="Q17" i="23" s="1"/>
  <c r="Z1170" i="25" s="1"/>
  <c r="R9" i="23" a="1"/>
  <c r="R9" i="23" s="1"/>
  <c r="AA1162" i="25" s="1"/>
  <c r="R10" i="23" a="1"/>
  <c r="R10" i="23" s="1"/>
  <c r="AA1163" i="25" s="1"/>
  <c r="R11" i="23" a="1"/>
  <c r="R11" i="23" s="1"/>
  <c r="AA1164" i="25" s="1"/>
  <c r="R12" i="23" a="1"/>
  <c r="R12" i="23" s="1"/>
  <c r="AA1165" i="25" s="1"/>
  <c r="R13" i="23" a="1"/>
  <c r="R13" i="23" s="1"/>
  <c r="AA1166" i="25" s="1"/>
  <c r="R14" i="23" a="1"/>
  <c r="R14" i="23" s="1"/>
  <c r="AA1167" i="25" s="1"/>
  <c r="R15" i="23" a="1"/>
  <c r="R15" i="23" s="1"/>
  <c r="AA1168" i="25" s="1"/>
  <c r="R16" i="23" a="1"/>
  <c r="R16" i="23" s="1"/>
  <c r="AA1169" i="25" s="1"/>
  <c r="R17" i="23" a="1"/>
  <c r="R17" i="23" s="1"/>
  <c r="AA1170" i="25" s="1"/>
  <c r="S9" i="23" a="1"/>
  <c r="S9" i="23" s="1"/>
  <c r="AB1162" i="25" s="1"/>
  <c r="S10" i="23" a="1"/>
  <c r="S10" i="23" s="1"/>
  <c r="AB1163" i="25" s="1"/>
  <c r="S11" i="23" a="1"/>
  <c r="S11" i="23" s="1"/>
  <c r="AB1164" i="25" s="1"/>
  <c r="S12" i="23" a="1"/>
  <c r="S12" i="23" s="1"/>
  <c r="AB1165" i="25" s="1"/>
  <c r="S13" i="23" a="1"/>
  <c r="S13" i="23" s="1"/>
  <c r="AB1166" i="25" s="1"/>
  <c r="S14" i="23" a="1"/>
  <c r="S14" i="23" s="1"/>
  <c r="AB1167" i="25" s="1"/>
  <c r="S15" i="23" a="1"/>
  <c r="S15" i="23" s="1"/>
  <c r="AB1168" i="25" s="1"/>
  <c r="S16" i="23" a="1"/>
  <c r="S16" i="23" s="1"/>
  <c r="AB1169" i="25" s="1"/>
  <c r="S17" i="23" a="1"/>
  <c r="S17" i="23" s="1"/>
  <c r="AB1170" i="25" s="1"/>
  <c r="T9" i="23" a="1"/>
  <c r="T9" i="23" s="1"/>
  <c r="AC1162" i="25" s="1"/>
  <c r="T10" i="23" a="1"/>
  <c r="T10" i="23" s="1"/>
  <c r="AC1163" i="25" s="1"/>
  <c r="T11" i="23" a="1"/>
  <c r="T11" i="23" s="1"/>
  <c r="AC1164" i="25" s="1"/>
  <c r="T12" i="23" a="1"/>
  <c r="T12" i="23" s="1"/>
  <c r="AC1165" i="25" s="1"/>
  <c r="T13" i="23" a="1"/>
  <c r="T13" i="23" s="1"/>
  <c r="AC1166" i="25" s="1"/>
  <c r="T14" i="23" a="1"/>
  <c r="T14" i="23" s="1"/>
  <c r="AC1167" i="25" s="1"/>
  <c r="T15" i="23" a="1"/>
  <c r="T15" i="23" s="1"/>
  <c r="AC1168" i="25" s="1"/>
  <c r="T16" i="23" a="1"/>
  <c r="T16" i="23" s="1"/>
  <c r="AC1169" i="25" s="1"/>
  <c r="T17" i="23" a="1"/>
  <c r="T17" i="23" s="1"/>
  <c r="AC1170" i="25" s="1"/>
  <c r="U9" i="23" a="1"/>
  <c r="U9" i="23" s="1"/>
  <c r="AD1162" i="25" s="1"/>
  <c r="U10" i="23" a="1"/>
  <c r="U10" i="23" s="1"/>
  <c r="AD1163" i="25" s="1"/>
  <c r="U11" i="23" a="1"/>
  <c r="U11" i="23" s="1"/>
  <c r="AD1164" i="25" s="1"/>
  <c r="U12" i="23" a="1"/>
  <c r="U12" i="23" s="1"/>
  <c r="AD1165" i="25" s="1"/>
  <c r="U13" i="23" a="1"/>
  <c r="U13" i="23" s="1"/>
  <c r="AD1166" i="25" s="1"/>
  <c r="U14" i="23" a="1"/>
  <c r="U14" i="23" s="1"/>
  <c r="AD1167" i="25" s="1"/>
  <c r="U15" i="23" a="1"/>
  <c r="U15" i="23" s="1"/>
  <c r="AD1168" i="25" s="1"/>
  <c r="U16" i="23" a="1"/>
  <c r="U16" i="23" s="1"/>
  <c r="AD1169" i="25" s="1"/>
  <c r="U17" i="23" a="1"/>
  <c r="U17" i="23" s="1"/>
  <c r="AD1170" i="25" s="1"/>
  <c r="X9" i="23" a="1"/>
  <c r="X9" i="23" s="1"/>
  <c r="AG1162" i="25" s="1"/>
  <c r="X10" i="23" a="1"/>
  <c r="X10" i="23" s="1"/>
  <c r="AG1163" i="25" s="1"/>
  <c r="X11" i="23" a="1"/>
  <c r="X11" i="23" s="1"/>
  <c r="AG1164" i="25" s="1"/>
  <c r="X12" i="23" a="1"/>
  <c r="X12" i="23" s="1"/>
  <c r="AG1165" i="25" s="1"/>
  <c r="X13" i="23" a="1"/>
  <c r="X13" i="23" s="1"/>
  <c r="AG1166" i="25" s="1"/>
  <c r="X14" i="23" a="1"/>
  <c r="X14" i="23" s="1"/>
  <c r="AG1167" i="25" s="1"/>
  <c r="X15" i="23" a="1"/>
  <c r="X15" i="23" s="1"/>
  <c r="AG1168" i="25" s="1"/>
  <c r="X16" i="23" a="1"/>
  <c r="X16" i="23" s="1"/>
  <c r="AG1169" i="25" s="1"/>
  <c r="X17" i="23" a="1"/>
  <c r="X17" i="23" s="1"/>
  <c r="AG1170" i="25" s="1"/>
  <c r="X18" i="23" a="1"/>
  <c r="X18" i="23" s="1"/>
  <c r="AG1171" i="25" s="1"/>
  <c r="X19" i="23" a="1"/>
  <c r="X19" i="23" s="1"/>
  <c r="X20" i="23" a="1"/>
  <c r="X20" i="23" s="1"/>
  <c r="X21" i="23" a="1"/>
  <c r="X21" i="23" s="1"/>
  <c r="X22" i="23" a="1"/>
  <c r="X22" i="23" s="1"/>
  <c r="X23" i="23" a="1"/>
  <c r="X23" i="23" s="1"/>
  <c r="X24" i="23" a="1"/>
  <c r="X24" i="23" s="1"/>
  <c r="X25" i="23" a="1"/>
  <c r="X25" i="23" s="1"/>
  <c r="X26" i="23" a="1"/>
  <c r="X26" i="23" s="1"/>
  <c r="X27" i="23" a="1"/>
  <c r="X27" i="23" s="1"/>
  <c r="U18" i="23" a="1"/>
  <c r="U18" i="23" s="1"/>
  <c r="AD1171" i="25" s="1"/>
  <c r="U19" i="23" a="1"/>
  <c r="U19" i="23" s="1"/>
  <c r="U20" i="23" a="1"/>
  <c r="U20" i="23" s="1"/>
  <c r="U21" i="23" a="1"/>
  <c r="U21" i="23" s="1"/>
  <c r="U22" i="23" a="1"/>
  <c r="U22" i="23" s="1"/>
  <c r="U23" i="23" a="1"/>
  <c r="U23" i="23" s="1"/>
  <c r="U24" i="23" a="1"/>
  <c r="U24" i="23" s="1"/>
  <c r="U25" i="23" a="1"/>
  <c r="U25" i="23" s="1"/>
  <c r="U26" i="23" a="1"/>
  <c r="U26" i="23" s="1"/>
  <c r="U27" i="23" a="1"/>
  <c r="U27" i="23" s="1"/>
  <c r="T18" i="23" a="1"/>
  <c r="T18" i="23" s="1"/>
  <c r="AC1171" i="25" s="1"/>
  <c r="T19" i="23" a="1"/>
  <c r="T19" i="23" s="1"/>
  <c r="T20" i="23" a="1"/>
  <c r="T20" i="23" s="1"/>
  <c r="T21" i="23" a="1"/>
  <c r="T21" i="23" s="1"/>
  <c r="T22" i="23" a="1"/>
  <c r="T22" i="23" s="1"/>
  <c r="T23" i="23" a="1"/>
  <c r="T23" i="23" s="1"/>
  <c r="T24" i="23" a="1"/>
  <c r="T24" i="23" s="1"/>
  <c r="T25" i="23" a="1"/>
  <c r="T25" i="23" s="1"/>
  <c r="T26" i="23" a="1"/>
  <c r="T26" i="23" s="1"/>
  <c r="T27" i="23" a="1"/>
  <c r="T27" i="23" s="1"/>
  <c r="S18" i="23" a="1"/>
  <c r="S18" i="23" s="1"/>
  <c r="AB1171" i="25" s="1"/>
  <c r="S19" i="23" a="1"/>
  <c r="S19" i="23" s="1"/>
  <c r="S20" i="23" a="1"/>
  <c r="S20" i="23" s="1"/>
  <c r="S21" i="23" a="1"/>
  <c r="S21" i="23" s="1"/>
  <c r="S22" i="23" a="1"/>
  <c r="S22" i="23" s="1"/>
  <c r="S23" i="23" a="1"/>
  <c r="S23" i="23" s="1"/>
  <c r="S24" i="23" a="1"/>
  <c r="S24" i="23" s="1"/>
  <c r="S25" i="23" a="1"/>
  <c r="S25" i="23" s="1"/>
  <c r="S26" i="23" a="1"/>
  <c r="S26" i="23" s="1"/>
  <c r="S27" i="23" a="1"/>
  <c r="S27" i="23" s="1"/>
  <c r="R18" i="23" a="1"/>
  <c r="R18" i="23" s="1"/>
  <c r="AA1171" i="25" s="1"/>
  <c r="R19" i="23" a="1"/>
  <c r="R19" i="23" s="1"/>
  <c r="R20" i="23" a="1"/>
  <c r="R20" i="23" s="1"/>
  <c r="R21" i="23" a="1"/>
  <c r="R21" i="23" s="1"/>
  <c r="R22" i="23" a="1"/>
  <c r="R22" i="23" s="1"/>
  <c r="R23" i="23" a="1"/>
  <c r="R23" i="23" s="1"/>
  <c r="R24" i="23" a="1"/>
  <c r="R24" i="23" s="1"/>
  <c r="R25" i="23" a="1"/>
  <c r="R25" i="23" s="1"/>
  <c r="R26" i="23" a="1"/>
  <c r="R26" i="23" s="1"/>
  <c r="R27" i="23" a="1"/>
  <c r="R27" i="23" s="1"/>
  <c r="Q18" i="23" a="1"/>
  <c r="Q18" i="23" s="1"/>
  <c r="Z1171" i="25" s="1"/>
  <c r="Q19" i="23" a="1"/>
  <c r="Q19" i="23" s="1"/>
  <c r="Q20" i="23" a="1"/>
  <c r="Q20" i="23" s="1"/>
  <c r="Q21" i="23" a="1"/>
  <c r="Q21" i="23" s="1"/>
  <c r="Q22" i="23" a="1"/>
  <c r="Q22" i="23" s="1"/>
  <c r="Q23" i="23" a="1"/>
  <c r="Q23" i="23" s="1"/>
  <c r="Q24" i="23" a="1"/>
  <c r="Q24" i="23" s="1"/>
  <c r="Q25" i="23" a="1"/>
  <c r="Q25" i="23" s="1"/>
  <c r="Q26" i="23" a="1"/>
  <c r="Q26" i="23" s="1"/>
  <c r="Q27" i="23" a="1"/>
  <c r="Q27" i="23" s="1"/>
  <c r="M18" i="23" a="1"/>
  <c r="M18" i="23" s="1"/>
  <c r="V1171" i="25" s="1"/>
  <c r="M19" i="23" a="1"/>
  <c r="M19" i="23" s="1"/>
  <c r="M20" i="23" a="1"/>
  <c r="M20" i="23" s="1"/>
  <c r="M21" i="23" a="1"/>
  <c r="M21" i="23" s="1"/>
  <c r="M22" i="23" a="1"/>
  <c r="M22" i="23" s="1"/>
  <c r="M23" i="23" a="1"/>
  <c r="M23" i="23" s="1"/>
  <c r="M24" i="23" a="1"/>
  <c r="M24" i="23" s="1"/>
  <c r="M25" i="23" a="1"/>
  <c r="M25" i="23" s="1"/>
  <c r="M26" i="23" a="1"/>
  <c r="M26" i="23" s="1"/>
  <c r="M27" i="23" a="1"/>
  <c r="M27" i="23" s="1"/>
  <c r="AI1183" i="25" l="1"/>
  <c r="AI1189" i="25"/>
  <c r="AI1184" i="25"/>
  <c r="Q1167" i="25"/>
  <c r="Q1170" i="25"/>
  <c r="Q1162" i="25"/>
  <c r="Q1187" i="25"/>
  <c r="Q1169" i="25"/>
  <c r="Q1186" i="25"/>
  <c r="AI1187" i="25"/>
  <c r="Q1166" i="25"/>
  <c r="Q1183" i="25"/>
  <c r="Q1165" i="25"/>
  <c r="Q1190" i="25"/>
  <c r="Q1182" i="25"/>
  <c r="Q1185" i="25"/>
  <c r="Q1184" i="25"/>
  <c r="Q1164" i="25"/>
  <c r="Q1189" i="25"/>
  <c r="Q1168" i="25"/>
  <c r="Q1163" i="25"/>
  <c r="Q1188" i="25"/>
  <c r="AI1188" i="25"/>
  <c r="AI1182" i="25"/>
  <c r="AI1190" i="25"/>
  <c r="AI1164" i="25"/>
  <c r="AI1186" i="25"/>
  <c r="AI1185" i="25"/>
  <c r="AI1168" i="25"/>
  <c r="AI1171" i="25"/>
  <c r="AI1169" i="25"/>
  <c r="AI1163" i="25"/>
  <c r="AI1167" i="25"/>
  <c r="AI1170" i="25"/>
  <c r="AI1166" i="25"/>
  <c r="AI1165" i="25"/>
  <c r="AI1162" i="25"/>
  <c r="N9" i="23"/>
  <c r="N16" i="23"/>
  <c r="N10" i="23"/>
  <c r="N36" i="23"/>
  <c r="V36" i="23" s="1"/>
  <c r="N35" i="23"/>
  <c r="V35" i="23" s="1"/>
  <c r="N34" i="23"/>
  <c r="V34" i="23" s="1"/>
  <c r="N40" i="23"/>
  <c r="V40" i="23" s="1"/>
  <c r="N39" i="23"/>
  <c r="V39" i="23" s="1"/>
  <c r="N33" i="23"/>
  <c r="V33" i="23" s="1"/>
  <c r="N38" i="23"/>
  <c r="V38" i="23" s="1"/>
  <c r="N32" i="23"/>
  <c r="V32" i="23" s="1"/>
  <c r="N37" i="23"/>
  <c r="V37" i="23" s="1"/>
  <c r="N15" i="23"/>
  <c r="N14" i="23"/>
  <c r="N13" i="23"/>
  <c r="N12" i="23"/>
  <c r="N11" i="23"/>
  <c r="N17" i="23"/>
  <c r="AE1184" i="25" l="1"/>
  <c r="W1184" i="25"/>
  <c r="AJ1184" i="25" s="1"/>
  <c r="W34" i="23"/>
  <c r="AF1184" i="25" s="1"/>
  <c r="AE1183" i="25"/>
  <c r="W1183" i="25"/>
  <c r="AJ1183" i="25" s="1"/>
  <c r="W33" i="23"/>
  <c r="AF1183" i="25" s="1"/>
  <c r="W1189" i="25"/>
  <c r="AJ1189" i="25" s="1"/>
  <c r="W39" i="23"/>
  <c r="AF1189" i="25" s="1"/>
  <c r="AE1190" i="25"/>
  <c r="W40" i="23"/>
  <c r="W1190" i="25"/>
  <c r="AJ1190" i="25" s="1"/>
  <c r="AE1185" i="25"/>
  <c r="W1185" i="25"/>
  <c r="AJ1185" i="25" s="1"/>
  <c r="W35" i="23"/>
  <c r="AF1185" i="25" s="1"/>
  <c r="W1188" i="25"/>
  <c r="AJ1188" i="25" s="1"/>
  <c r="W38" i="23"/>
  <c r="AE1187" i="25"/>
  <c r="W1187" i="25"/>
  <c r="AJ1187" i="25" s="1"/>
  <c r="W37" i="23"/>
  <c r="AF1187" i="25" s="1"/>
  <c r="AE1186" i="25"/>
  <c r="W1186" i="25"/>
  <c r="AJ1186" i="25" s="1"/>
  <c r="W36" i="23"/>
  <c r="W32" i="23"/>
  <c r="AF1182" i="25" s="1"/>
  <c r="W1182" i="25"/>
  <c r="V13" i="23"/>
  <c r="AE1166" i="25" s="1"/>
  <c r="W13" i="23"/>
  <c r="AF1166" i="25" s="1"/>
  <c r="W1166" i="25"/>
  <c r="AJ1166" i="25" s="1"/>
  <c r="W1164" i="25"/>
  <c r="AJ1164" i="25" s="1"/>
  <c r="V11" i="23"/>
  <c r="AE1164" i="25" s="1"/>
  <c r="W11" i="23"/>
  <c r="AF1164" i="25" s="1"/>
  <c r="W15" i="23"/>
  <c r="AF1168" i="25" s="1"/>
  <c r="V15" i="23"/>
  <c r="AE1168" i="25" s="1"/>
  <c r="W1168" i="25"/>
  <c r="AJ1168" i="25" s="1"/>
  <c r="V14" i="23"/>
  <c r="AE1167" i="25" s="1"/>
  <c r="W14" i="23"/>
  <c r="AF1167" i="25" s="1"/>
  <c r="W1167" i="25"/>
  <c r="AJ1167" i="25" s="1"/>
  <c r="W1163" i="25"/>
  <c r="AJ1163" i="25" s="1"/>
  <c r="V10" i="23"/>
  <c r="AE1163" i="25" s="1"/>
  <c r="W10" i="23"/>
  <c r="AF1163" i="25" s="1"/>
  <c r="V17" i="23"/>
  <c r="AE1170" i="25" s="1"/>
  <c r="W1170" i="25"/>
  <c r="AJ1170" i="25" s="1"/>
  <c r="W17" i="23"/>
  <c r="AF1170" i="25" s="1"/>
  <c r="V16" i="23"/>
  <c r="AE1169" i="25" s="1"/>
  <c r="W16" i="23"/>
  <c r="AF1169" i="25" s="1"/>
  <c r="W1169" i="25"/>
  <c r="AJ1169" i="25" s="1"/>
  <c r="W1165" i="25"/>
  <c r="AJ1165" i="25" s="1"/>
  <c r="V12" i="23"/>
  <c r="AE1165" i="25" s="1"/>
  <c r="W12" i="23"/>
  <c r="AF1165" i="25" s="1"/>
  <c r="V9" i="23"/>
  <c r="AE1162" i="25" s="1"/>
  <c r="W9" i="23"/>
  <c r="AF1162" i="25" s="1"/>
  <c r="W1162" i="25"/>
  <c r="AJ1162" i="25" s="1"/>
  <c r="AE1189" i="25"/>
  <c r="AE1188" i="25"/>
  <c r="AE1182" i="25"/>
  <c r="AJ1182" i="25" l="1"/>
  <c r="Z35" i="23" a="1"/>
  <c r="Z35" i="23" s="1"/>
  <c r="Z11" i="23" a="1"/>
  <c r="Z11" i="23" s="1"/>
  <c r="Z16" i="23" a="1"/>
  <c r="Z16" i="23" s="1"/>
  <c r="AF1188" i="25"/>
  <c r="Z38" i="23" a="1"/>
  <c r="Z38" i="23" s="1"/>
  <c r="Z33" i="23" a="1"/>
  <c r="Z33" i="23" s="1"/>
  <c r="Z13" i="23" a="1"/>
  <c r="Z13" i="23" s="1"/>
  <c r="AF1186" i="25"/>
  <c r="Z36" i="23" a="1"/>
  <c r="Z36" i="23" s="1"/>
  <c r="Z34" i="23" a="1"/>
  <c r="Z34" i="23" s="1"/>
  <c r="Z12" i="23" a="1"/>
  <c r="Z12" i="23" s="1"/>
  <c r="Z32" i="23" a="1"/>
  <c r="Z32" i="23" s="1"/>
  <c r="Z9" i="23" a="1"/>
  <c r="Z9" i="23" s="1"/>
  <c r="Z39" i="23" a="1"/>
  <c r="Z39" i="23" s="1"/>
  <c r="Z10" i="23" a="1"/>
  <c r="Z10" i="23" s="1"/>
  <c r="Z37" i="23" a="1"/>
  <c r="Z37" i="23" s="1"/>
  <c r="Z17" i="23" a="1"/>
  <c r="Z17" i="23" s="1"/>
  <c r="AF1190" i="25"/>
  <c r="Z40" i="23" a="1"/>
  <c r="Z40" i="23" s="1"/>
  <c r="Z14" i="23" a="1"/>
  <c r="Z14" i="23" s="1"/>
  <c r="Z15" i="23" a="1"/>
  <c r="Z15" i="23" s="1"/>
  <c r="B29" i="26"/>
  <c r="B27" i="26"/>
  <c r="B28" i="26"/>
  <c r="B25" i="26"/>
  <c r="B26" i="26"/>
  <c r="B24" i="26"/>
  <c r="I39" i="14"/>
  <c r="I40" i="14"/>
  <c r="I41" i="14"/>
  <c r="I42" i="14"/>
  <c r="I43" i="14"/>
  <c r="I44" i="14"/>
  <c r="I45" i="14"/>
  <c r="I46" i="14"/>
  <c r="I47" i="14"/>
  <c r="I48" i="14"/>
  <c r="B5" i="26"/>
  <c r="B6" i="26"/>
  <c r="B9" i="26"/>
  <c r="B10" i="26"/>
  <c r="B11" i="26"/>
  <c r="B12" i="26"/>
  <c r="B13" i="26"/>
  <c r="B14" i="26"/>
  <c r="B15" i="26"/>
  <c r="B16" i="26"/>
  <c r="B17" i="26"/>
  <c r="B18" i="26"/>
  <c r="B19" i="26"/>
  <c r="B20" i="26"/>
  <c r="B21" i="26"/>
  <c r="B22" i="26"/>
  <c r="B23" i="26"/>
  <c r="B4" i="26"/>
  <c r="C63" i="19"/>
  <c r="D13" i="26" s="1"/>
  <c r="U105" i="11"/>
  <c r="AF1692" i="25" s="1"/>
  <c r="U106" i="11"/>
  <c r="AF1693" i="25" s="1"/>
  <c r="U107" i="11"/>
  <c r="AF1694" i="25" s="1"/>
  <c r="U108" i="11"/>
  <c r="AF1695" i="25" s="1"/>
  <c r="U109" i="11"/>
  <c r="AF1696" i="25" s="1"/>
  <c r="U110" i="11"/>
  <c r="AF1697" i="25" s="1"/>
  <c r="U111" i="11"/>
  <c r="AF1698" i="25" s="1"/>
  <c r="U112" i="11"/>
  <c r="AF1699" i="25" s="1"/>
  <c r="U113" i="11"/>
  <c r="AF1700" i="25" s="1"/>
  <c r="U114" i="11"/>
  <c r="AF1701" i="25" s="1"/>
  <c r="U115" i="11"/>
  <c r="AF1702" i="25" s="1"/>
  <c r="U116" i="11"/>
  <c r="AF1703" i="25" s="1"/>
  <c r="U117" i="11"/>
  <c r="AF1704" i="25" s="1"/>
  <c r="U118" i="11"/>
  <c r="AF1705" i="25" s="1"/>
  <c r="U119" i="11"/>
  <c r="AF1706" i="25" s="1"/>
  <c r="U120" i="11"/>
  <c r="AF1707" i="25" s="1"/>
  <c r="U121" i="11"/>
  <c r="AF1708" i="25" s="1"/>
  <c r="U122" i="11"/>
  <c r="AF1709" i="25" s="1"/>
  <c r="U123" i="11"/>
  <c r="AF1710" i="25" s="1"/>
  <c r="U124" i="11"/>
  <c r="AF1711" i="25" s="1"/>
  <c r="U125" i="11"/>
  <c r="AF1712" i="25" s="1"/>
  <c r="U126" i="11"/>
  <c r="AF1713" i="25" s="1"/>
  <c r="T105" i="11"/>
  <c r="AE1692" i="25" s="1"/>
  <c r="T106" i="11"/>
  <c r="AE1693" i="25" s="1"/>
  <c r="T107" i="11"/>
  <c r="AE1694" i="25" s="1"/>
  <c r="T108" i="11"/>
  <c r="AE1695" i="25" s="1"/>
  <c r="T109" i="11"/>
  <c r="AE1696" i="25" s="1"/>
  <c r="T110" i="11"/>
  <c r="AE1697" i="25" s="1"/>
  <c r="T111" i="11"/>
  <c r="AE1698" i="25" s="1"/>
  <c r="T112" i="11"/>
  <c r="AE1699" i="25" s="1"/>
  <c r="T113" i="11"/>
  <c r="AE1700" i="25" s="1"/>
  <c r="T114" i="11"/>
  <c r="AE1701" i="25" s="1"/>
  <c r="T115" i="11"/>
  <c r="AE1702" i="25" s="1"/>
  <c r="T116" i="11"/>
  <c r="AE1703" i="25" s="1"/>
  <c r="T117" i="11"/>
  <c r="AE1704" i="25" s="1"/>
  <c r="T118" i="11"/>
  <c r="AE1705" i="25" s="1"/>
  <c r="T119" i="11"/>
  <c r="AE1706" i="25" s="1"/>
  <c r="T120" i="11"/>
  <c r="AE1707" i="25" s="1"/>
  <c r="T121" i="11"/>
  <c r="AE1708" i="25" s="1"/>
  <c r="T122" i="11"/>
  <c r="AE1709" i="25" s="1"/>
  <c r="T123" i="11"/>
  <c r="AE1710" i="25" s="1"/>
  <c r="T124" i="11"/>
  <c r="AE1711" i="25" s="1"/>
  <c r="T125" i="11"/>
  <c r="AE1712" i="25" s="1"/>
  <c r="T126" i="11"/>
  <c r="AE1713" i="25" s="1"/>
  <c r="F104" i="11" a="1"/>
  <c r="F104" i="11" s="1"/>
  <c r="F105" i="11" a="1"/>
  <c r="F105" i="11" s="1"/>
  <c r="Q1692" i="25" s="1"/>
  <c r="F106" i="11" a="1"/>
  <c r="F106" i="11" s="1"/>
  <c r="Q1693" i="25" s="1"/>
  <c r="F107" i="11" a="1"/>
  <c r="F107" i="11" s="1"/>
  <c r="Q1694" i="25" s="1"/>
  <c r="F108" i="11" a="1"/>
  <c r="F108" i="11" s="1"/>
  <c r="Q1695" i="25" s="1"/>
  <c r="F109" i="11" a="1"/>
  <c r="F109" i="11" s="1"/>
  <c r="Q1696" i="25" s="1"/>
  <c r="F110" i="11" a="1"/>
  <c r="F110" i="11" s="1"/>
  <c r="Q1697" i="25" s="1"/>
  <c r="F111" i="11" a="1"/>
  <c r="F111" i="11" s="1"/>
  <c r="Q1698" i="25" s="1"/>
  <c r="F112" i="11" a="1"/>
  <c r="F112" i="11" s="1"/>
  <c r="Q1699" i="25" s="1"/>
  <c r="F113" i="11" a="1"/>
  <c r="F113" i="11" s="1"/>
  <c r="Q1700" i="25" s="1"/>
  <c r="F114" i="11" a="1"/>
  <c r="F114" i="11" s="1"/>
  <c r="Q1701" i="25" s="1"/>
  <c r="F115" i="11" a="1"/>
  <c r="F115" i="11" s="1"/>
  <c r="Q1702" i="25" s="1"/>
  <c r="F116" i="11" a="1"/>
  <c r="F116" i="11" s="1"/>
  <c r="Q1703" i="25" s="1"/>
  <c r="F117" i="11" a="1"/>
  <c r="F117" i="11" s="1"/>
  <c r="Q1704" i="25" s="1"/>
  <c r="F118" i="11" a="1"/>
  <c r="F118" i="11" s="1"/>
  <c r="Q1705" i="25" s="1"/>
  <c r="F119" i="11" a="1"/>
  <c r="F119" i="11" s="1"/>
  <c r="Q1706" i="25" s="1"/>
  <c r="F120" i="11" a="1"/>
  <c r="F120" i="11" s="1"/>
  <c r="Q1707" i="25" s="1"/>
  <c r="F121" i="11" a="1"/>
  <c r="F121" i="11" s="1"/>
  <c r="Q1708" i="25" s="1"/>
  <c r="F122" i="11" a="1"/>
  <c r="F122" i="11" s="1"/>
  <c r="Q1709" i="25" s="1"/>
  <c r="F123" i="11" a="1"/>
  <c r="F123" i="11" s="1"/>
  <c r="Q1710" i="25" s="1"/>
  <c r="F124" i="11" a="1"/>
  <c r="F124" i="11" s="1"/>
  <c r="Q1711" i="25" s="1"/>
  <c r="F125" i="11" a="1"/>
  <c r="F125" i="11" s="1"/>
  <c r="Q1712" i="25" s="1"/>
  <c r="F126" i="11" a="1"/>
  <c r="F126" i="11" s="1"/>
  <c r="Q1713" i="25" s="1"/>
  <c r="H839" i="25"/>
  <c r="H840" i="25"/>
  <c r="H841" i="25"/>
  <c r="H842" i="25"/>
  <c r="H843" i="25"/>
  <c r="H844" i="25"/>
  <c r="H845" i="25"/>
  <c r="H846" i="25"/>
  <c r="H847" i="25"/>
  <c r="H848" i="25"/>
  <c r="H849" i="25"/>
  <c r="H850" i="25"/>
  <c r="H851" i="25"/>
  <c r="H852" i="25"/>
  <c r="H853" i="25"/>
  <c r="H854" i="25"/>
  <c r="H855" i="25"/>
  <c r="H856" i="25"/>
  <c r="H857" i="25"/>
  <c r="H858" i="25"/>
  <c r="H859" i="25"/>
  <c r="H860" i="25"/>
  <c r="H861" i="25"/>
  <c r="H862" i="25"/>
  <c r="H863" i="25"/>
  <c r="H864" i="25"/>
  <c r="H865" i="25"/>
  <c r="H866" i="25"/>
  <c r="H867" i="25"/>
  <c r="H868" i="25"/>
  <c r="H869" i="25"/>
  <c r="H870" i="25"/>
  <c r="H871" i="25"/>
  <c r="H872" i="25"/>
  <c r="H873" i="25"/>
  <c r="H874" i="25"/>
  <c r="H875" i="25"/>
  <c r="H876" i="25"/>
  <c r="H877" i="25"/>
  <c r="H878" i="25"/>
  <c r="H879" i="25"/>
  <c r="H880" i="25"/>
  <c r="H881" i="25"/>
  <c r="H882" i="25"/>
  <c r="H883" i="25"/>
  <c r="H884" i="25"/>
  <c r="H885" i="25"/>
  <c r="H886" i="25"/>
  <c r="H887" i="25"/>
  <c r="H888" i="25"/>
  <c r="H889" i="25"/>
  <c r="H890" i="25"/>
  <c r="H891" i="25"/>
  <c r="H892" i="25"/>
  <c r="H893" i="25"/>
  <c r="H894" i="25"/>
  <c r="H895" i="25"/>
  <c r="H896" i="25"/>
  <c r="H897" i="25"/>
  <c r="H898" i="25"/>
  <c r="H899" i="25"/>
  <c r="H900" i="25"/>
  <c r="H901" i="25"/>
  <c r="H902" i="25"/>
  <c r="H903" i="25"/>
  <c r="H904" i="25"/>
  <c r="H905" i="25"/>
  <c r="H906" i="25"/>
  <c r="H907" i="25"/>
  <c r="H908" i="25"/>
  <c r="H909" i="25"/>
  <c r="H910" i="25"/>
  <c r="H911" i="25"/>
  <c r="H912" i="25"/>
  <c r="H913" i="25"/>
  <c r="H914" i="25"/>
  <c r="H915" i="25"/>
  <c r="H916" i="25"/>
  <c r="H917" i="25"/>
  <c r="H918" i="25"/>
  <c r="H919" i="25"/>
  <c r="H920" i="25"/>
  <c r="H921" i="25"/>
  <c r="H922" i="25"/>
  <c r="H923" i="25"/>
  <c r="H924" i="25"/>
  <c r="H925" i="25"/>
  <c r="H926" i="25"/>
  <c r="H927" i="25"/>
  <c r="H928" i="25"/>
  <c r="H929" i="25"/>
  <c r="H930" i="25"/>
  <c r="H931" i="25"/>
  <c r="H932" i="25"/>
  <c r="H933" i="25"/>
  <c r="H934" i="25"/>
  <c r="H935" i="25"/>
  <c r="H936" i="25"/>
  <c r="H937" i="25"/>
  <c r="H938" i="25"/>
  <c r="H939" i="25"/>
  <c r="H940" i="25"/>
  <c r="H941" i="25"/>
  <c r="H942" i="25"/>
  <c r="H943" i="25"/>
  <c r="H944" i="25"/>
  <c r="H945" i="25"/>
  <c r="H946" i="25"/>
  <c r="H947" i="25"/>
  <c r="H1139" i="25"/>
  <c r="H1140" i="25"/>
  <c r="H1141" i="25"/>
  <c r="H1142" i="25"/>
  <c r="H1143" i="25"/>
  <c r="B939" i="25"/>
  <c r="P939" i="25"/>
  <c r="R939" i="25"/>
  <c r="S939" i="25"/>
  <c r="X939" i="25"/>
  <c r="Y939" i="25"/>
  <c r="P940" i="25"/>
  <c r="R940" i="25"/>
  <c r="S940" i="25"/>
  <c r="X940" i="25"/>
  <c r="Y940" i="25"/>
  <c r="P941" i="25"/>
  <c r="R941" i="25"/>
  <c r="S941" i="25"/>
  <c r="X941" i="25"/>
  <c r="Y941" i="25"/>
  <c r="P942" i="25"/>
  <c r="R942" i="25"/>
  <c r="S942" i="25"/>
  <c r="X942" i="25"/>
  <c r="Y942" i="25"/>
  <c r="B943" i="25"/>
  <c r="P943" i="25"/>
  <c r="R943" i="25"/>
  <c r="S943" i="25"/>
  <c r="X943" i="25"/>
  <c r="Y943" i="25"/>
  <c r="P944" i="25"/>
  <c r="R944" i="25"/>
  <c r="S944" i="25"/>
  <c r="X944" i="25"/>
  <c r="Y944" i="25"/>
  <c r="P945" i="25"/>
  <c r="R945" i="25"/>
  <c r="S945" i="25"/>
  <c r="X945" i="25"/>
  <c r="Y945" i="25"/>
  <c r="P946" i="25"/>
  <c r="R946" i="25"/>
  <c r="S946" i="25"/>
  <c r="X946" i="25"/>
  <c r="Y946" i="25"/>
  <c r="B947" i="25"/>
  <c r="P947" i="25"/>
  <c r="R947" i="25"/>
  <c r="S947" i="25"/>
  <c r="X947" i="25"/>
  <c r="Y947" i="25"/>
  <c r="P938" i="25"/>
  <c r="R938" i="25"/>
  <c r="S938" i="25"/>
  <c r="X938" i="25"/>
  <c r="Y938" i="25"/>
  <c r="P937" i="25"/>
  <c r="R937" i="25"/>
  <c r="S937" i="25"/>
  <c r="X937" i="25"/>
  <c r="Y937" i="25"/>
  <c r="P839" i="25"/>
  <c r="R839" i="25"/>
  <c r="S839" i="25"/>
  <c r="X839" i="25"/>
  <c r="Y839" i="25"/>
  <c r="P840" i="25"/>
  <c r="R840" i="25"/>
  <c r="S840" i="25"/>
  <c r="X840" i="25"/>
  <c r="Y840" i="25"/>
  <c r="P841" i="25"/>
  <c r="R841" i="25"/>
  <c r="S841" i="25"/>
  <c r="X841" i="25"/>
  <c r="Y841" i="25"/>
  <c r="P842" i="25"/>
  <c r="R842" i="25"/>
  <c r="S842" i="25"/>
  <c r="X842" i="25"/>
  <c r="Y842" i="25"/>
  <c r="P843" i="25"/>
  <c r="R843" i="25"/>
  <c r="S843" i="25"/>
  <c r="X843" i="25"/>
  <c r="Y843" i="25"/>
  <c r="P844" i="25"/>
  <c r="R844" i="25"/>
  <c r="S844" i="25"/>
  <c r="X844" i="25"/>
  <c r="Y844" i="25"/>
  <c r="P845" i="25"/>
  <c r="R845" i="25"/>
  <c r="S845" i="25"/>
  <c r="X845" i="25"/>
  <c r="Y845" i="25"/>
  <c r="P846" i="25"/>
  <c r="R846" i="25"/>
  <c r="S846" i="25"/>
  <c r="X846" i="25"/>
  <c r="Y846" i="25"/>
  <c r="P847" i="25"/>
  <c r="R847" i="25"/>
  <c r="S847" i="25"/>
  <c r="X847" i="25"/>
  <c r="Y847" i="25"/>
  <c r="P848" i="25"/>
  <c r="R848" i="25"/>
  <c r="S848" i="25"/>
  <c r="X848" i="25"/>
  <c r="Y848" i="25"/>
  <c r="P849" i="25"/>
  <c r="R849" i="25"/>
  <c r="S849" i="25"/>
  <c r="X849" i="25"/>
  <c r="Y849" i="25"/>
  <c r="P850" i="25"/>
  <c r="R850" i="25"/>
  <c r="S850" i="25"/>
  <c r="X850" i="25"/>
  <c r="Y850" i="25"/>
  <c r="P851" i="25"/>
  <c r="R851" i="25"/>
  <c r="S851" i="25"/>
  <c r="X851" i="25"/>
  <c r="Y851" i="25"/>
  <c r="P852" i="25"/>
  <c r="R852" i="25"/>
  <c r="S852" i="25"/>
  <c r="X852" i="25"/>
  <c r="Y852" i="25"/>
  <c r="P853" i="25"/>
  <c r="R853" i="25"/>
  <c r="S853" i="25"/>
  <c r="X853" i="25"/>
  <c r="Y853" i="25"/>
  <c r="P854" i="25"/>
  <c r="R854" i="25"/>
  <c r="S854" i="25"/>
  <c r="X854" i="25"/>
  <c r="Y854" i="25"/>
  <c r="P855" i="25"/>
  <c r="R855" i="25"/>
  <c r="S855" i="25"/>
  <c r="X855" i="25"/>
  <c r="Y855" i="25"/>
  <c r="P856" i="25"/>
  <c r="R856" i="25"/>
  <c r="S856" i="25"/>
  <c r="X856" i="25"/>
  <c r="Y856" i="25"/>
  <c r="P857" i="25"/>
  <c r="R857" i="25"/>
  <c r="S857" i="25"/>
  <c r="X857" i="25"/>
  <c r="Y857" i="25"/>
  <c r="P858" i="25"/>
  <c r="R858" i="25"/>
  <c r="S858" i="25"/>
  <c r="X858" i="25"/>
  <c r="Y858" i="25"/>
  <c r="P859" i="25"/>
  <c r="R859" i="25"/>
  <c r="S859" i="25"/>
  <c r="X859" i="25"/>
  <c r="Y859" i="25"/>
  <c r="P860" i="25"/>
  <c r="R860" i="25"/>
  <c r="S860" i="25"/>
  <c r="X860" i="25"/>
  <c r="Y860" i="25"/>
  <c r="P861" i="25"/>
  <c r="R861" i="25"/>
  <c r="S861" i="25"/>
  <c r="X861" i="25"/>
  <c r="Y861" i="25"/>
  <c r="P862" i="25"/>
  <c r="R862" i="25"/>
  <c r="S862" i="25"/>
  <c r="X862" i="25"/>
  <c r="Y862" i="25"/>
  <c r="P863" i="25"/>
  <c r="R863" i="25"/>
  <c r="S863" i="25"/>
  <c r="X863" i="25"/>
  <c r="Y863" i="25"/>
  <c r="P864" i="25"/>
  <c r="R864" i="25"/>
  <c r="S864" i="25"/>
  <c r="X864" i="25"/>
  <c r="Y864" i="25"/>
  <c r="P865" i="25"/>
  <c r="R865" i="25"/>
  <c r="S865" i="25"/>
  <c r="X865" i="25"/>
  <c r="Y865" i="25"/>
  <c r="P866" i="25"/>
  <c r="R866" i="25"/>
  <c r="S866" i="25"/>
  <c r="X866" i="25"/>
  <c r="Y866" i="25"/>
  <c r="P867" i="25"/>
  <c r="R867" i="25"/>
  <c r="S867" i="25"/>
  <c r="X867" i="25"/>
  <c r="Y867" i="25"/>
  <c r="P868" i="25"/>
  <c r="R868" i="25"/>
  <c r="S868" i="25"/>
  <c r="X868" i="25"/>
  <c r="Y868" i="25"/>
  <c r="P869" i="25"/>
  <c r="R869" i="25"/>
  <c r="S869" i="25"/>
  <c r="X869" i="25"/>
  <c r="Y869" i="25"/>
  <c r="P870" i="25"/>
  <c r="R870" i="25"/>
  <c r="S870" i="25"/>
  <c r="X870" i="25"/>
  <c r="Y870" i="25"/>
  <c r="P871" i="25"/>
  <c r="R871" i="25"/>
  <c r="S871" i="25"/>
  <c r="X871" i="25"/>
  <c r="Y871" i="25"/>
  <c r="P872" i="25"/>
  <c r="R872" i="25"/>
  <c r="S872" i="25"/>
  <c r="X872" i="25"/>
  <c r="Y872" i="25"/>
  <c r="P873" i="25"/>
  <c r="R873" i="25"/>
  <c r="S873" i="25"/>
  <c r="X873" i="25"/>
  <c r="Y873" i="25"/>
  <c r="P874" i="25"/>
  <c r="R874" i="25"/>
  <c r="S874" i="25"/>
  <c r="X874" i="25"/>
  <c r="Y874" i="25"/>
  <c r="P875" i="25"/>
  <c r="R875" i="25"/>
  <c r="S875" i="25"/>
  <c r="X875" i="25"/>
  <c r="Y875" i="25"/>
  <c r="P876" i="25"/>
  <c r="R876" i="25"/>
  <c r="S876" i="25"/>
  <c r="X876" i="25"/>
  <c r="Y876" i="25"/>
  <c r="P877" i="25"/>
  <c r="R877" i="25"/>
  <c r="S877" i="25"/>
  <c r="X877" i="25"/>
  <c r="Y877" i="25"/>
  <c r="P878" i="25"/>
  <c r="R878" i="25"/>
  <c r="S878" i="25"/>
  <c r="X878" i="25"/>
  <c r="Y878" i="25"/>
  <c r="P879" i="25"/>
  <c r="R879" i="25"/>
  <c r="S879" i="25"/>
  <c r="X879" i="25"/>
  <c r="Y879" i="25"/>
  <c r="P880" i="25"/>
  <c r="R880" i="25"/>
  <c r="S880" i="25"/>
  <c r="X880" i="25"/>
  <c r="Y880" i="25"/>
  <c r="P881" i="25"/>
  <c r="R881" i="25"/>
  <c r="S881" i="25"/>
  <c r="X881" i="25"/>
  <c r="Y881" i="25"/>
  <c r="P882" i="25"/>
  <c r="R882" i="25"/>
  <c r="S882" i="25"/>
  <c r="X882" i="25"/>
  <c r="Y882" i="25"/>
  <c r="P883" i="25"/>
  <c r="R883" i="25"/>
  <c r="S883" i="25"/>
  <c r="X883" i="25"/>
  <c r="Y883" i="25"/>
  <c r="P884" i="25"/>
  <c r="R884" i="25"/>
  <c r="S884" i="25"/>
  <c r="X884" i="25"/>
  <c r="Y884" i="25"/>
  <c r="P885" i="25"/>
  <c r="R885" i="25"/>
  <c r="S885" i="25"/>
  <c r="X885" i="25"/>
  <c r="Y885" i="25"/>
  <c r="P886" i="25"/>
  <c r="R886" i="25"/>
  <c r="S886" i="25"/>
  <c r="X886" i="25"/>
  <c r="Y886" i="25"/>
  <c r="P887" i="25"/>
  <c r="R887" i="25"/>
  <c r="S887" i="25"/>
  <c r="X887" i="25"/>
  <c r="Y887" i="25"/>
  <c r="P888" i="25"/>
  <c r="R888" i="25"/>
  <c r="S888" i="25"/>
  <c r="X888" i="25"/>
  <c r="Y888" i="25"/>
  <c r="P889" i="25"/>
  <c r="R889" i="25"/>
  <c r="S889" i="25"/>
  <c r="X889" i="25"/>
  <c r="Y889" i="25"/>
  <c r="P890" i="25"/>
  <c r="R890" i="25"/>
  <c r="S890" i="25"/>
  <c r="X890" i="25"/>
  <c r="Y890" i="25"/>
  <c r="P891" i="25"/>
  <c r="R891" i="25"/>
  <c r="S891" i="25"/>
  <c r="X891" i="25"/>
  <c r="Y891" i="25"/>
  <c r="P892" i="25"/>
  <c r="R892" i="25"/>
  <c r="S892" i="25"/>
  <c r="X892" i="25"/>
  <c r="Y892" i="25"/>
  <c r="P893" i="25"/>
  <c r="R893" i="25"/>
  <c r="S893" i="25"/>
  <c r="X893" i="25"/>
  <c r="Y893" i="25"/>
  <c r="P894" i="25"/>
  <c r="R894" i="25"/>
  <c r="S894" i="25"/>
  <c r="X894" i="25"/>
  <c r="Y894" i="25"/>
  <c r="P895" i="25"/>
  <c r="R895" i="25"/>
  <c r="S895" i="25"/>
  <c r="X895" i="25"/>
  <c r="Y895" i="25"/>
  <c r="P896" i="25"/>
  <c r="R896" i="25"/>
  <c r="S896" i="25"/>
  <c r="X896" i="25"/>
  <c r="Y896" i="25"/>
  <c r="P897" i="25"/>
  <c r="R897" i="25"/>
  <c r="S897" i="25"/>
  <c r="X897" i="25"/>
  <c r="Y897" i="25"/>
  <c r="P898" i="25"/>
  <c r="R898" i="25"/>
  <c r="S898" i="25"/>
  <c r="X898" i="25"/>
  <c r="Y898" i="25"/>
  <c r="P899" i="25"/>
  <c r="R899" i="25"/>
  <c r="S899" i="25"/>
  <c r="X899" i="25"/>
  <c r="Y899" i="25"/>
  <c r="P900" i="25"/>
  <c r="R900" i="25"/>
  <c r="S900" i="25"/>
  <c r="X900" i="25"/>
  <c r="Y900" i="25"/>
  <c r="P901" i="25"/>
  <c r="R901" i="25"/>
  <c r="S901" i="25"/>
  <c r="X901" i="25"/>
  <c r="Y901" i="25"/>
  <c r="P902" i="25"/>
  <c r="R902" i="25"/>
  <c r="S902" i="25"/>
  <c r="X902" i="25"/>
  <c r="Y902" i="25"/>
  <c r="P903" i="25"/>
  <c r="R903" i="25"/>
  <c r="S903" i="25"/>
  <c r="X903" i="25"/>
  <c r="Y903" i="25"/>
  <c r="P904" i="25"/>
  <c r="R904" i="25"/>
  <c r="S904" i="25"/>
  <c r="X904" i="25"/>
  <c r="Y904" i="25"/>
  <c r="P905" i="25"/>
  <c r="R905" i="25"/>
  <c r="S905" i="25"/>
  <c r="X905" i="25"/>
  <c r="Y905" i="25"/>
  <c r="P906" i="25"/>
  <c r="R906" i="25"/>
  <c r="S906" i="25"/>
  <c r="X906" i="25"/>
  <c r="Y906" i="25"/>
  <c r="P907" i="25"/>
  <c r="R907" i="25"/>
  <c r="S907" i="25"/>
  <c r="X907" i="25"/>
  <c r="Y907" i="25"/>
  <c r="P908" i="25"/>
  <c r="R908" i="25"/>
  <c r="S908" i="25"/>
  <c r="X908" i="25"/>
  <c r="Y908" i="25"/>
  <c r="P909" i="25"/>
  <c r="R909" i="25"/>
  <c r="S909" i="25"/>
  <c r="X909" i="25"/>
  <c r="Y909" i="25"/>
  <c r="P910" i="25"/>
  <c r="R910" i="25"/>
  <c r="S910" i="25"/>
  <c r="X910" i="25"/>
  <c r="Y910" i="25"/>
  <c r="P911" i="25"/>
  <c r="R911" i="25"/>
  <c r="S911" i="25"/>
  <c r="X911" i="25"/>
  <c r="Y911" i="25"/>
  <c r="P912" i="25"/>
  <c r="R912" i="25"/>
  <c r="S912" i="25"/>
  <c r="X912" i="25"/>
  <c r="Y912" i="25"/>
  <c r="P913" i="25"/>
  <c r="R913" i="25"/>
  <c r="S913" i="25"/>
  <c r="X913" i="25"/>
  <c r="Y913" i="25"/>
  <c r="P914" i="25"/>
  <c r="R914" i="25"/>
  <c r="S914" i="25"/>
  <c r="X914" i="25"/>
  <c r="Y914" i="25"/>
  <c r="P915" i="25"/>
  <c r="R915" i="25"/>
  <c r="S915" i="25"/>
  <c r="X915" i="25"/>
  <c r="Y915" i="25"/>
  <c r="P916" i="25"/>
  <c r="R916" i="25"/>
  <c r="S916" i="25"/>
  <c r="X916" i="25"/>
  <c r="Y916" i="25"/>
  <c r="P917" i="25"/>
  <c r="R917" i="25"/>
  <c r="S917" i="25"/>
  <c r="X917" i="25"/>
  <c r="Y917" i="25"/>
  <c r="P918" i="25"/>
  <c r="R918" i="25"/>
  <c r="S918" i="25"/>
  <c r="X918" i="25"/>
  <c r="Y918" i="25"/>
  <c r="P919" i="25"/>
  <c r="R919" i="25"/>
  <c r="S919" i="25"/>
  <c r="X919" i="25"/>
  <c r="Y919" i="25"/>
  <c r="P920" i="25"/>
  <c r="R920" i="25"/>
  <c r="S920" i="25"/>
  <c r="X920" i="25"/>
  <c r="Y920" i="25"/>
  <c r="P921" i="25"/>
  <c r="R921" i="25"/>
  <c r="S921" i="25"/>
  <c r="X921" i="25"/>
  <c r="Y921" i="25"/>
  <c r="P922" i="25"/>
  <c r="R922" i="25"/>
  <c r="S922" i="25"/>
  <c r="X922" i="25"/>
  <c r="Y922" i="25"/>
  <c r="P923" i="25"/>
  <c r="R923" i="25"/>
  <c r="S923" i="25"/>
  <c r="X923" i="25"/>
  <c r="Y923" i="25"/>
  <c r="P924" i="25"/>
  <c r="R924" i="25"/>
  <c r="S924" i="25"/>
  <c r="X924" i="25"/>
  <c r="Y924" i="25"/>
  <c r="P925" i="25"/>
  <c r="R925" i="25"/>
  <c r="S925" i="25"/>
  <c r="X925" i="25"/>
  <c r="Y925" i="25"/>
  <c r="P926" i="25"/>
  <c r="R926" i="25"/>
  <c r="S926" i="25"/>
  <c r="X926" i="25"/>
  <c r="Y926" i="25"/>
  <c r="P927" i="25"/>
  <c r="R927" i="25"/>
  <c r="S927" i="25"/>
  <c r="X927" i="25"/>
  <c r="Y927" i="25"/>
  <c r="P928" i="25"/>
  <c r="R928" i="25"/>
  <c r="S928" i="25"/>
  <c r="X928" i="25"/>
  <c r="Y928" i="25"/>
  <c r="P929" i="25"/>
  <c r="R929" i="25"/>
  <c r="S929" i="25"/>
  <c r="X929" i="25"/>
  <c r="Y929" i="25"/>
  <c r="P930" i="25"/>
  <c r="R930" i="25"/>
  <c r="S930" i="25"/>
  <c r="X930" i="25"/>
  <c r="Y930" i="25"/>
  <c r="P931" i="25"/>
  <c r="R931" i="25"/>
  <c r="S931" i="25"/>
  <c r="X931" i="25"/>
  <c r="Y931" i="25"/>
  <c r="P932" i="25"/>
  <c r="R932" i="25"/>
  <c r="S932" i="25"/>
  <c r="X932" i="25"/>
  <c r="Y932" i="25"/>
  <c r="P933" i="25"/>
  <c r="R933" i="25"/>
  <c r="S933" i="25"/>
  <c r="X933" i="25"/>
  <c r="Y933" i="25"/>
  <c r="P934" i="25"/>
  <c r="R934" i="25"/>
  <c r="S934" i="25"/>
  <c r="X934" i="25"/>
  <c r="Y934" i="25"/>
  <c r="P935" i="25"/>
  <c r="R935" i="25"/>
  <c r="S935" i="25"/>
  <c r="X935" i="25"/>
  <c r="Y935" i="25"/>
  <c r="P936" i="25"/>
  <c r="R936" i="25"/>
  <c r="S936" i="25"/>
  <c r="X936" i="25"/>
  <c r="Y936" i="25"/>
  <c r="K392" i="4" a="1"/>
  <c r="K392" i="4" s="1"/>
  <c r="T890" i="25" s="1"/>
  <c r="K393" i="4" a="1"/>
  <c r="K393" i="4" s="1"/>
  <c r="T891" i="25" s="1"/>
  <c r="K394" i="4" a="1"/>
  <c r="K394" i="4" s="1"/>
  <c r="T892" i="25" s="1"/>
  <c r="K395" i="4" a="1"/>
  <c r="K395" i="4" s="1"/>
  <c r="T893" i="25" s="1"/>
  <c r="K396" i="4" a="1"/>
  <c r="K396" i="4" s="1"/>
  <c r="T894" i="25" s="1"/>
  <c r="K397" i="4" a="1"/>
  <c r="K397" i="4" s="1"/>
  <c r="T895" i="25" s="1"/>
  <c r="K398" i="4" a="1"/>
  <c r="K398" i="4" s="1"/>
  <c r="T896" i="25" s="1"/>
  <c r="K399" i="4" a="1"/>
  <c r="K399" i="4" s="1"/>
  <c r="T897" i="25" s="1"/>
  <c r="K400" i="4" a="1"/>
  <c r="K400" i="4" s="1"/>
  <c r="T898" i="25" s="1"/>
  <c r="K401" i="4" a="1"/>
  <c r="K401" i="4" s="1"/>
  <c r="T899" i="25" s="1"/>
  <c r="K452" i="4" a="1"/>
  <c r="K452" i="4" s="1"/>
  <c r="T900" i="25" s="1"/>
  <c r="K453" i="4" a="1"/>
  <c r="K453" i="4" s="1"/>
  <c r="T901" i="25" s="1"/>
  <c r="K454" i="4" a="1"/>
  <c r="K454" i="4" s="1"/>
  <c r="T902" i="25" s="1"/>
  <c r="K455" i="4" a="1"/>
  <c r="K455" i="4" s="1"/>
  <c r="T903" i="25" s="1"/>
  <c r="K456" i="4" a="1"/>
  <c r="K456" i="4" s="1"/>
  <c r="T904" i="25" s="1"/>
  <c r="K457" i="4" a="1"/>
  <c r="K457" i="4" s="1"/>
  <c r="T905" i="25" s="1"/>
  <c r="K458" i="4" a="1"/>
  <c r="K458" i="4" s="1"/>
  <c r="T906" i="25" s="1"/>
  <c r="K459" i="4" a="1"/>
  <c r="K459" i="4" s="1"/>
  <c r="T907" i="25" s="1"/>
  <c r="K460" i="4" a="1"/>
  <c r="K460" i="4" s="1"/>
  <c r="T908" i="25" s="1"/>
  <c r="K461" i="4" a="1"/>
  <c r="K461" i="4" s="1"/>
  <c r="T909" i="25" s="1"/>
  <c r="K462" i="4" a="1"/>
  <c r="K462" i="4" s="1"/>
  <c r="T910" i="25" s="1"/>
  <c r="K463" i="4" a="1"/>
  <c r="K463" i="4" s="1"/>
  <c r="T911" i="25" s="1"/>
  <c r="K464" i="4" a="1"/>
  <c r="K464" i="4" s="1"/>
  <c r="T912" i="25" s="1"/>
  <c r="K465" i="4" a="1"/>
  <c r="K465" i="4" s="1"/>
  <c r="T913" i="25" s="1"/>
  <c r="K466" i="4" a="1"/>
  <c r="K466" i="4" s="1"/>
  <c r="T914" i="25" s="1"/>
  <c r="K467" i="4" a="1"/>
  <c r="K467" i="4" s="1"/>
  <c r="T915" i="25" s="1"/>
  <c r="L392" i="4"/>
  <c r="U890" i="25" s="1"/>
  <c r="L393" i="4"/>
  <c r="U891" i="25" s="1"/>
  <c r="L394" i="4"/>
  <c r="U892" i="25" s="1"/>
  <c r="L395" i="4"/>
  <c r="U893" i="25" s="1"/>
  <c r="L396" i="4"/>
  <c r="U894" i="25" s="1"/>
  <c r="L397" i="4"/>
  <c r="U895" i="25" s="1"/>
  <c r="L398" i="4"/>
  <c r="U896" i="25" s="1"/>
  <c r="L399" i="4"/>
  <c r="U897" i="25" s="1"/>
  <c r="L400" i="4"/>
  <c r="U898" i="25" s="1"/>
  <c r="L401" i="4"/>
  <c r="U899" i="25" s="1"/>
  <c r="L452" i="4"/>
  <c r="U900" i="25" s="1"/>
  <c r="L453" i="4"/>
  <c r="U901" i="25" s="1"/>
  <c r="L454" i="4"/>
  <c r="U902" i="25" s="1"/>
  <c r="L455" i="4"/>
  <c r="U903" i="25" s="1"/>
  <c r="L456" i="4"/>
  <c r="U904" i="25" s="1"/>
  <c r="L457" i="4"/>
  <c r="U905" i="25" s="1"/>
  <c r="L458" i="4"/>
  <c r="U906" i="25" s="1"/>
  <c r="L459" i="4"/>
  <c r="U907" i="25" s="1"/>
  <c r="L460" i="4"/>
  <c r="U908" i="25" s="1"/>
  <c r="L461" i="4"/>
  <c r="U909" i="25" s="1"/>
  <c r="L462" i="4"/>
  <c r="U910" i="25" s="1"/>
  <c r="L463" i="4"/>
  <c r="U911" i="25" s="1"/>
  <c r="L464" i="4"/>
  <c r="U912" i="25" s="1"/>
  <c r="L465" i="4"/>
  <c r="U913" i="25" s="1"/>
  <c r="L466" i="4"/>
  <c r="U914" i="25" s="1"/>
  <c r="L467" i="4"/>
  <c r="U915" i="25" s="1"/>
  <c r="M392" i="4" a="1"/>
  <c r="M392" i="4" s="1"/>
  <c r="V890" i="25" s="1"/>
  <c r="M393" i="4" a="1"/>
  <c r="M393" i="4" s="1"/>
  <c r="V891" i="25" s="1"/>
  <c r="M394" i="4" a="1"/>
  <c r="M394" i="4" s="1"/>
  <c r="V892" i="25" s="1"/>
  <c r="M395" i="4" a="1"/>
  <c r="M395" i="4" s="1"/>
  <c r="V893" i="25" s="1"/>
  <c r="M396" i="4" a="1"/>
  <c r="M396" i="4" s="1"/>
  <c r="V894" i="25" s="1"/>
  <c r="M397" i="4" a="1"/>
  <c r="M397" i="4" s="1"/>
  <c r="V895" i="25" s="1"/>
  <c r="M398" i="4" a="1"/>
  <c r="M398" i="4" s="1"/>
  <c r="V896" i="25" s="1"/>
  <c r="M399" i="4" a="1"/>
  <c r="M399" i="4" s="1"/>
  <c r="V897" i="25" s="1"/>
  <c r="M400" i="4" a="1"/>
  <c r="M400" i="4" s="1"/>
  <c r="V898" i="25" s="1"/>
  <c r="M401" i="4" a="1"/>
  <c r="M401" i="4" s="1"/>
  <c r="V899" i="25" s="1"/>
  <c r="M452" i="4" a="1"/>
  <c r="M452" i="4" s="1"/>
  <c r="V900" i="25" s="1"/>
  <c r="M453" i="4" a="1"/>
  <c r="M453" i="4" s="1"/>
  <c r="V901" i="25" s="1"/>
  <c r="M454" i="4" a="1"/>
  <c r="M454" i="4" s="1"/>
  <c r="V902" i="25" s="1"/>
  <c r="M455" i="4" a="1"/>
  <c r="M455" i="4" s="1"/>
  <c r="V903" i="25" s="1"/>
  <c r="M456" i="4" a="1"/>
  <c r="M456" i="4" s="1"/>
  <c r="V904" i="25" s="1"/>
  <c r="M457" i="4" a="1"/>
  <c r="M457" i="4" s="1"/>
  <c r="V905" i="25" s="1"/>
  <c r="M458" i="4" a="1"/>
  <c r="M458" i="4" s="1"/>
  <c r="V906" i="25" s="1"/>
  <c r="M459" i="4" a="1"/>
  <c r="M459" i="4" s="1"/>
  <c r="V907" i="25" s="1"/>
  <c r="M460" i="4" a="1"/>
  <c r="M460" i="4" s="1"/>
  <c r="V908" i="25" s="1"/>
  <c r="M461" i="4" a="1"/>
  <c r="M461" i="4" s="1"/>
  <c r="V909" i="25" s="1"/>
  <c r="M462" i="4" a="1"/>
  <c r="M462" i="4" s="1"/>
  <c r="V910" i="25" s="1"/>
  <c r="M463" i="4" a="1"/>
  <c r="M463" i="4" s="1"/>
  <c r="V911" i="25" s="1"/>
  <c r="M464" i="4" a="1"/>
  <c r="M464" i="4" s="1"/>
  <c r="V912" i="25" s="1"/>
  <c r="M465" i="4" a="1"/>
  <c r="M465" i="4" s="1"/>
  <c r="V913" i="25" s="1"/>
  <c r="M466" i="4" a="1"/>
  <c r="M466" i="4" s="1"/>
  <c r="V914" i="25" s="1"/>
  <c r="M467" i="4" a="1"/>
  <c r="M467" i="4" s="1"/>
  <c r="V915" i="25" s="1"/>
  <c r="Z890" i="25"/>
  <c r="Z891" i="25"/>
  <c r="Z892" i="25"/>
  <c r="Z893" i="25"/>
  <c r="Z894" i="25"/>
  <c r="Z895" i="25"/>
  <c r="Z896" i="25"/>
  <c r="Z897" i="25"/>
  <c r="Z898" i="25"/>
  <c r="Z899" i="25"/>
  <c r="Z900" i="25"/>
  <c r="Z901" i="25"/>
  <c r="Z902" i="25"/>
  <c r="Z903" i="25"/>
  <c r="Z904" i="25"/>
  <c r="Z905" i="25"/>
  <c r="Z906" i="25"/>
  <c r="Z907" i="25"/>
  <c r="Z908" i="25"/>
  <c r="Z909" i="25"/>
  <c r="Z910" i="25"/>
  <c r="Z911" i="25"/>
  <c r="Z912" i="25"/>
  <c r="Z913" i="25"/>
  <c r="Z914" i="25"/>
  <c r="Z915" i="25"/>
  <c r="AA890" i="25"/>
  <c r="AA891" i="25"/>
  <c r="AA892" i="25"/>
  <c r="AA893" i="25"/>
  <c r="AA894" i="25"/>
  <c r="AA895" i="25"/>
  <c r="AA896" i="25"/>
  <c r="AA897" i="25"/>
  <c r="AA898" i="25"/>
  <c r="AA899" i="25"/>
  <c r="AA900" i="25"/>
  <c r="AA901" i="25"/>
  <c r="AA902" i="25"/>
  <c r="AA903" i="25"/>
  <c r="AA904" i="25"/>
  <c r="AA905" i="25"/>
  <c r="AA906" i="25"/>
  <c r="AA907" i="25"/>
  <c r="AA908" i="25"/>
  <c r="AA909" i="25"/>
  <c r="AA910" i="25"/>
  <c r="AA911" i="25"/>
  <c r="AA912" i="25"/>
  <c r="AA913" i="25"/>
  <c r="AA914" i="25"/>
  <c r="AA915" i="25"/>
  <c r="AB890" i="25"/>
  <c r="AB891" i="25"/>
  <c r="AB892" i="25"/>
  <c r="AB893" i="25"/>
  <c r="AB894" i="25"/>
  <c r="AB895" i="25"/>
  <c r="AB896" i="25"/>
  <c r="AB897" i="25"/>
  <c r="AB898" i="25"/>
  <c r="AB899" i="25"/>
  <c r="AB900" i="25"/>
  <c r="AB901" i="25"/>
  <c r="AB902" i="25"/>
  <c r="AB903" i="25"/>
  <c r="AB904" i="25"/>
  <c r="AB905" i="25"/>
  <c r="AB906" i="25"/>
  <c r="AB907" i="25"/>
  <c r="AB908" i="25"/>
  <c r="AB909" i="25"/>
  <c r="AB910" i="25"/>
  <c r="AB911" i="25"/>
  <c r="AB912" i="25"/>
  <c r="AB913" i="25"/>
  <c r="AB914" i="25"/>
  <c r="AB915" i="25"/>
  <c r="AC890" i="25"/>
  <c r="AC891" i="25"/>
  <c r="AC892" i="25"/>
  <c r="AC893" i="25"/>
  <c r="AC894" i="25"/>
  <c r="AC895" i="25"/>
  <c r="AC896" i="25"/>
  <c r="AC897" i="25"/>
  <c r="AC898" i="25"/>
  <c r="AC899" i="25"/>
  <c r="AC900" i="25"/>
  <c r="AC901" i="25"/>
  <c r="AC902" i="25"/>
  <c r="AC903" i="25"/>
  <c r="AC904" i="25"/>
  <c r="AC905" i="25"/>
  <c r="AC906" i="25"/>
  <c r="AC907" i="25"/>
  <c r="AC908" i="25"/>
  <c r="AC909" i="25"/>
  <c r="AC910" i="25"/>
  <c r="AC911" i="25"/>
  <c r="AC912" i="25"/>
  <c r="AC913" i="25"/>
  <c r="AC914" i="25"/>
  <c r="AC915" i="25"/>
  <c r="AD890" i="25"/>
  <c r="AD891" i="25"/>
  <c r="AD892" i="25"/>
  <c r="AD893" i="25"/>
  <c r="AD894" i="25"/>
  <c r="AD895" i="25"/>
  <c r="AD896" i="25"/>
  <c r="AD897" i="25"/>
  <c r="AD898" i="25"/>
  <c r="AD899" i="25"/>
  <c r="AD900" i="25"/>
  <c r="AD901" i="25"/>
  <c r="AD902" i="25"/>
  <c r="AD903" i="25"/>
  <c r="AD904" i="25"/>
  <c r="AD905" i="25"/>
  <c r="AD906" i="25"/>
  <c r="AD907" i="25"/>
  <c r="AD908" i="25"/>
  <c r="AD909" i="25"/>
  <c r="AD910" i="25"/>
  <c r="AD911" i="25"/>
  <c r="AD912" i="25"/>
  <c r="AD913" i="25"/>
  <c r="AD914" i="25"/>
  <c r="AD915" i="25"/>
  <c r="X392" i="4" a="1"/>
  <c r="X392" i="4" s="1"/>
  <c r="AG890" i="25" s="1"/>
  <c r="X393" i="4" a="1"/>
  <c r="X393" i="4" s="1"/>
  <c r="AG891" i="25" s="1"/>
  <c r="X394" i="4" a="1"/>
  <c r="X394" i="4" s="1"/>
  <c r="AG892" i="25" s="1"/>
  <c r="X395" i="4" a="1"/>
  <c r="X395" i="4" s="1"/>
  <c r="AG893" i="25" s="1"/>
  <c r="X396" i="4" a="1"/>
  <c r="X396" i="4" s="1"/>
  <c r="AG894" i="25" s="1"/>
  <c r="X397" i="4" a="1"/>
  <c r="X397" i="4" s="1"/>
  <c r="AG895" i="25" s="1"/>
  <c r="X398" i="4" a="1"/>
  <c r="X398" i="4" s="1"/>
  <c r="AG896" i="25" s="1"/>
  <c r="X399" i="4" a="1"/>
  <c r="X399" i="4" s="1"/>
  <c r="AG897" i="25" s="1"/>
  <c r="X400" i="4" a="1"/>
  <c r="X400" i="4" s="1"/>
  <c r="AG898" i="25" s="1"/>
  <c r="X401" i="4" a="1"/>
  <c r="X401" i="4" s="1"/>
  <c r="AG899" i="25" s="1"/>
  <c r="X452" i="4" a="1"/>
  <c r="X452" i="4" s="1"/>
  <c r="AG900" i="25" s="1"/>
  <c r="X453" i="4" a="1"/>
  <c r="X453" i="4" s="1"/>
  <c r="AG901" i="25" s="1"/>
  <c r="X454" i="4" a="1"/>
  <c r="X454" i="4" s="1"/>
  <c r="AG902" i="25" s="1"/>
  <c r="X455" i="4" a="1"/>
  <c r="X455" i="4" s="1"/>
  <c r="AG903" i="25" s="1"/>
  <c r="X456" i="4" a="1"/>
  <c r="X456" i="4" s="1"/>
  <c r="AG904" i="25" s="1"/>
  <c r="X457" i="4" a="1"/>
  <c r="X457" i="4" s="1"/>
  <c r="AG905" i="25" s="1"/>
  <c r="X458" i="4" a="1"/>
  <c r="X458" i="4" s="1"/>
  <c r="AG906" i="25" s="1"/>
  <c r="X459" i="4" a="1"/>
  <c r="X459" i="4" s="1"/>
  <c r="AG907" i="25" s="1"/>
  <c r="X460" i="4" a="1"/>
  <c r="X460" i="4" s="1"/>
  <c r="AG908" i="25" s="1"/>
  <c r="X461" i="4" a="1"/>
  <c r="X461" i="4" s="1"/>
  <c r="AG909" i="25" s="1"/>
  <c r="X462" i="4" a="1"/>
  <c r="X462" i="4" s="1"/>
  <c r="AG910" i="25" s="1"/>
  <c r="X463" i="4" a="1"/>
  <c r="X463" i="4" s="1"/>
  <c r="AG911" i="25" s="1"/>
  <c r="X464" i="4" a="1"/>
  <c r="X464" i="4" s="1"/>
  <c r="AG912" i="25" s="1"/>
  <c r="X465" i="4" a="1"/>
  <c r="X465" i="4" s="1"/>
  <c r="AG913" i="25" s="1"/>
  <c r="X466" i="4" a="1"/>
  <c r="X466" i="4" s="1"/>
  <c r="AG914" i="25" s="1"/>
  <c r="X467" i="4" a="1"/>
  <c r="X467" i="4" s="1"/>
  <c r="AG915" i="25" s="1"/>
  <c r="K349" i="4" a="1"/>
  <c r="K349" i="4" s="1"/>
  <c r="T847" i="25" s="1"/>
  <c r="K350" i="4" a="1"/>
  <c r="K350" i="4" s="1"/>
  <c r="T848" i="25" s="1"/>
  <c r="K351" i="4" a="1"/>
  <c r="K351" i="4" s="1"/>
  <c r="T849" i="25" s="1"/>
  <c r="K352" i="4" a="1"/>
  <c r="K352" i="4" s="1"/>
  <c r="T850" i="25" s="1"/>
  <c r="K353" i="4" a="1"/>
  <c r="K353" i="4" s="1"/>
  <c r="T851" i="25" s="1"/>
  <c r="K354" i="4" a="1"/>
  <c r="K354" i="4" s="1"/>
  <c r="T852" i="25" s="1"/>
  <c r="K355" i="4" a="1"/>
  <c r="K355" i="4" s="1"/>
  <c r="T853" i="25" s="1"/>
  <c r="K356" i="4" a="1"/>
  <c r="K356" i="4" s="1"/>
  <c r="T854" i="25" s="1"/>
  <c r="K357" i="4" a="1"/>
  <c r="K357" i="4" s="1"/>
  <c r="T855" i="25" s="1"/>
  <c r="K358" i="4" a="1"/>
  <c r="K358" i="4" s="1"/>
  <c r="T856" i="25" s="1"/>
  <c r="K359" i="4" a="1"/>
  <c r="K359" i="4" s="1"/>
  <c r="T857" i="25" s="1"/>
  <c r="K360" i="4" a="1"/>
  <c r="K360" i="4" s="1"/>
  <c r="T858" i="25" s="1"/>
  <c r="K361" i="4" a="1"/>
  <c r="K361" i="4" s="1"/>
  <c r="T859" i="25" s="1"/>
  <c r="K362" i="4" a="1"/>
  <c r="K362" i="4" s="1"/>
  <c r="T860" i="25" s="1"/>
  <c r="K363" i="4" a="1"/>
  <c r="K363" i="4" s="1"/>
  <c r="T861" i="25" s="1"/>
  <c r="K364" i="4" a="1"/>
  <c r="K364" i="4" s="1"/>
  <c r="T862" i="25" s="1"/>
  <c r="K365" i="4" a="1"/>
  <c r="K365" i="4" s="1"/>
  <c r="T863" i="25" s="1"/>
  <c r="K366" i="4" a="1"/>
  <c r="K366" i="4" s="1"/>
  <c r="T864" i="25" s="1"/>
  <c r="K367" i="4" a="1"/>
  <c r="K367" i="4" s="1"/>
  <c r="T865" i="25" s="1"/>
  <c r="K368" i="4" a="1"/>
  <c r="K368" i="4" s="1"/>
  <c r="T866" i="25" s="1"/>
  <c r="K369" i="4" a="1"/>
  <c r="K369" i="4" s="1"/>
  <c r="T867" i="25" s="1"/>
  <c r="K370" i="4" a="1"/>
  <c r="K370" i="4" s="1"/>
  <c r="T868" i="25" s="1"/>
  <c r="K371" i="4" a="1"/>
  <c r="K371" i="4" s="1"/>
  <c r="T869" i="25" s="1"/>
  <c r="K372" i="4" a="1"/>
  <c r="K372" i="4" s="1"/>
  <c r="T870" i="25" s="1"/>
  <c r="K373" i="4" a="1"/>
  <c r="K373" i="4" s="1"/>
  <c r="T871" i="25" s="1"/>
  <c r="L349" i="4"/>
  <c r="U847" i="25" s="1"/>
  <c r="L350" i="4"/>
  <c r="U848" i="25" s="1"/>
  <c r="L351" i="4"/>
  <c r="U849" i="25" s="1"/>
  <c r="L352" i="4"/>
  <c r="U850" i="25" s="1"/>
  <c r="L353" i="4"/>
  <c r="U851" i="25" s="1"/>
  <c r="L354" i="4"/>
  <c r="U852" i="25" s="1"/>
  <c r="L355" i="4"/>
  <c r="U853" i="25" s="1"/>
  <c r="L356" i="4"/>
  <c r="U854" i="25" s="1"/>
  <c r="L357" i="4"/>
  <c r="U855" i="25" s="1"/>
  <c r="L358" i="4"/>
  <c r="U856" i="25" s="1"/>
  <c r="L359" i="4"/>
  <c r="U857" i="25" s="1"/>
  <c r="L360" i="4"/>
  <c r="U858" i="25" s="1"/>
  <c r="L361" i="4"/>
  <c r="U859" i="25" s="1"/>
  <c r="L362" i="4"/>
  <c r="U860" i="25" s="1"/>
  <c r="L363" i="4"/>
  <c r="U861" i="25" s="1"/>
  <c r="L364" i="4"/>
  <c r="U862" i="25" s="1"/>
  <c r="L365" i="4"/>
  <c r="U863" i="25" s="1"/>
  <c r="L366" i="4"/>
  <c r="U864" i="25" s="1"/>
  <c r="L367" i="4"/>
  <c r="U865" i="25" s="1"/>
  <c r="L368" i="4"/>
  <c r="U866" i="25" s="1"/>
  <c r="L369" i="4"/>
  <c r="U867" i="25" s="1"/>
  <c r="L370" i="4"/>
  <c r="U868" i="25" s="1"/>
  <c r="L371" i="4"/>
  <c r="U869" i="25" s="1"/>
  <c r="L372" i="4"/>
  <c r="U870" i="25" s="1"/>
  <c r="L373" i="4"/>
  <c r="U871" i="25" s="1"/>
  <c r="M349" i="4" a="1"/>
  <c r="M349" i="4" s="1"/>
  <c r="V847" i="25" s="1"/>
  <c r="M350" i="4" a="1"/>
  <c r="M350" i="4" s="1"/>
  <c r="V848" i="25" s="1"/>
  <c r="M351" i="4" a="1"/>
  <c r="M351" i="4" s="1"/>
  <c r="V849" i="25" s="1"/>
  <c r="M352" i="4" a="1"/>
  <c r="M352" i="4" s="1"/>
  <c r="V850" i="25" s="1"/>
  <c r="M353" i="4" a="1"/>
  <c r="M353" i="4" s="1"/>
  <c r="V851" i="25" s="1"/>
  <c r="M354" i="4" a="1"/>
  <c r="M354" i="4" s="1"/>
  <c r="V852" i="25" s="1"/>
  <c r="M355" i="4" a="1"/>
  <c r="M355" i="4" s="1"/>
  <c r="V853" i="25" s="1"/>
  <c r="M356" i="4" a="1"/>
  <c r="M356" i="4" s="1"/>
  <c r="V854" i="25" s="1"/>
  <c r="M357" i="4" a="1"/>
  <c r="M357" i="4" s="1"/>
  <c r="V855" i="25" s="1"/>
  <c r="M358" i="4" a="1"/>
  <c r="M358" i="4" s="1"/>
  <c r="V856" i="25" s="1"/>
  <c r="M359" i="4" a="1"/>
  <c r="M359" i="4" s="1"/>
  <c r="V857" i="25" s="1"/>
  <c r="M360" i="4" a="1"/>
  <c r="M360" i="4" s="1"/>
  <c r="V858" i="25" s="1"/>
  <c r="M361" i="4" a="1"/>
  <c r="M361" i="4" s="1"/>
  <c r="V859" i="25" s="1"/>
  <c r="M362" i="4" a="1"/>
  <c r="M362" i="4" s="1"/>
  <c r="V860" i="25" s="1"/>
  <c r="M363" i="4" a="1"/>
  <c r="M363" i="4" s="1"/>
  <c r="V861" i="25" s="1"/>
  <c r="M364" i="4" a="1"/>
  <c r="M364" i="4" s="1"/>
  <c r="V862" i="25" s="1"/>
  <c r="M365" i="4" a="1"/>
  <c r="M365" i="4" s="1"/>
  <c r="V863" i="25" s="1"/>
  <c r="M366" i="4" a="1"/>
  <c r="M366" i="4" s="1"/>
  <c r="V864" i="25" s="1"/>
  <c r="M367" i="4" a="1"/>
  <c r="M367" i="4" s="1"/>
  <c r="V865" i="25" s="1"/>
  <c r="M368" i="4" a="1"/>
  <c r="M368" i="4" s="1"/>
  <c r="V866" i="25" s="1"/>
  <c r="M369" i="4" a="1"/>
  <c r="M369" i="4" s="1"/>
  <c r="V867" i="25" s="1"/>
  <c r="M370" i="4" a="1"/>
  <c r="M370" i="4" s="1"/>
  <c r="V868" i="25" s="1"/>
  <c r="M371" i="4" a="1"/>
  <c r="M371" i="4" s="1"/>
  <c r="V869" i="25" s="1"/>
  <c r="M372" i="4" a="1"/>
  <c r="M372" i="4" s="1"/>
  <c r="V870" i="25" s="1"/>
  <c r="M373" i="4" a="1"/>
  <c r="M373" i="4" s="1"/>
  <c r="V871" i="25" s="1"/>
  <c r="Z847" i="25"/>
  <c r="Z848" i="25"/>
  <c r="Z849" i="25"/>
  <c r="Z850" i="25"/>
  <c r="Z851" i="25"/>
  <c r="Z852" i="25"/>
  <c r="Z853" i="25"/>
  <c r="Z854" i="25"/>
  <c r="Z855" i="25"/>
  <c r="Z856" i="25"/>
  <c r="Z857" i="25"/>
  <c r="Z858" i="25"/>
  <c r="Z859" i="25"/>
  <c r="Z860" i="25"/>
  <c r="Z861" i="25"/>
  <c r="Z862" i="25"/>
  <c r="Z863" i="25"/>
  <c r="Z864" i="25"/>
  <c r="Z865" i="25"/>
  <c r="Z866" i="25"/>
  <c r="Z867" i="25"/>
  <c r="Z868" i="25"/>
  <c r="Z869" i="25"/>
  <c r="Z870" i="25"/>
  <c r="Z871" i="25"/>
  <c r="AA847" i="25"/>
  <c r="AA848" i="25"/>
  <c r="AA849" i="25"/>
  <c r="AA850" i="25"/>
  <c r="AA851" i="25"/>
  <c r="AA852" i="25"/>
  <c r="AA853" i="25"/>
  <c r="AA854" i="25"/>
  <c r="AA855" i="25"/>
  <c r="AA856" i="25"/>
  <c r="AA857" i="25"/>
  <c r="AA858" i="25"/>
  <c r="AA859" i="25"/>
  <c r="AA860" i="25"/>
  <c r="AA861" i="25"/>
  <c r="AA862" i="25"/>
  <c r="AA863" i="25"/>
  <c r="AA864" i="25"/>
  <c r="AA865" i="25"/>
  <c r="AA866" i="25"/>
  <c r="AA867" i="25"/>
  <c r="AA868" i="25"/>
  <c r="AA869" i="25"/>
  <c r="AA870" i="25"/>
  <c r="AA871" i="25"/>
  <c r="AB847" i="25"/>
  <c r="AB848" i="25"/>
  <c r="AB849" i="25"/>
  <c r="AB850" i="25"/>
  <c r="AB851" i="25"/>
  <c r="AB852" i="25"/>
  <c r="AB853" i="25"/>
  <c r="AB854" i="25"/>
  <c r="AB855" i="25"/>
  <c r="AB856" i="25"/>
  <c r="AB857" i="25"/>
  <c r="AB858" i="25"/>
  <c r="AB859" i="25"/>
  <c r="AB860" i="25"/>
  <c r="AB861" i="25"/>
  <c r="AB862" i="25"/>
  <c r="AB863" i="25"/>
  <c r="AB864" i="25"/>
  <c r="AB865" i="25"/>
  <c r="AB866" i="25"/>
  <c r="AB867" i="25"/>
  <c r="AB868" i="25"/>
  <c r="AB869" i="25"/>
  <c r="AB870" i="25"/>
  <c r="AB871" i="25"/>
  <c r="AC847" i="25"/>
  <c r="AC848" i="25"/>
  <c r="AC849" i="25"/>
  <c r="AC850" i="25"/>
  <c r="AC851" i="25"/>
  <c r="AC852" i="25"/>
  <c r="AC853" i="25"/>
  <c r="AC854" i="25"/>
  <c r="AC855" i="25"/>
  <c r="AC856" i="25"/>
  <c r="AC857" i="25"/>
  <c r="AC858" i="25"/>
  <c r="AC859" i="25"/>
  <c r="AC860" i="25"/>
  <c r="AC861" i="25"/>
  <c r="AC862" i="25"/>
  <c r="AC863" i="25"/>
  <c r="AC864" i="25"/>
  <c r="AC865" i="25"/>
  <c r="AC866" i="25"/>
  <c r="AC867" i="25"/>
  <c r="AC868" i="25"/>
  <c r="AC869" i="25"/>
  <c r="AC870" i="25"/>
  <c r="AC871" i="25"/>
  <c r="AD847" i="25"/>
  <c r="AD848" i="25"/>
  <c r="AD849" i="25"/>
  <c r="AD850" i="25"/>
  <c r="AD851" i="25"/>
  <c r="AD852" i="25"/>
  <c r="AD853" i="25"/>
  <c r="AD854" i="25"/>
  <c r="AD855" i="25"/>
  <c r="AD856" i="25"/>
  <c r="AD857" i="25"/>
  <c r="AD858" i="25"/>
  <c r="AD859" i="25"/>
  <c r="AD860" i="25"/>
  <c r="AD861" i="25"/>
  <c r="AD862" i="25"/>
  <c r="AD863" i="25"/>
  <c r="AD864" i="25"/>
  <c r="AD865" i="25"/>
  <c r="AD866" i="25"/>
  <c r="AD867" i="25"/>
  <c r="AD868" i="25"/>
  <c r="AD869" i="25"/>
  <c r="AD870" i="25"/>
  <c r="AD871" i="25"/>
  <c r="X349" i="4" a="1"/>
  <c r="X349" i="4" s="1"/>
  <c r="AG847" i="25" s="1"/>
  <c r="X350" i="4" a="1"/>
  <c r="X350" i="4" s="1"/>
  <c r="AG848" i="25" s="1"/>
  <c r="X351" i="4" a="1"/>
  <c r="X351" i="4" s="1"/>
  <c r="AG849" i="25" s="1"/>
  <c r="X352" i="4" a="1"/>
  <c r="X352" i="4" s="1"/>
  <c r="AG850" i="25" s="1"/>
  <c r="X353" i="4" a="1"/>
  <c r="X353" i="4" s="1"/>
  <c r="AG851" i="25" s="1"/>
  <c r="X354" i="4" a="1"/>
  <c r="X354" i="4" s="1"/>
  <c r="AG852" i="25" s="1"/>
  <c r="X355" i="4" a="1"/>
  <c r="X355" i="4" s="1"/>
  <c r="AG853" i="25" s="1"/>
  <c r="X356" i="4" a="1"/>
  <c r="X356" i="4" s="1"/>
  <c r="AG854" i="25" s="1"/>
  <c r="X357" i="4" a="1"/>
  <c r="X357" i="4" s="1"/>
  <c r="AG855" i="25" s="1"/>
  <c r="X358" i="4" a="1"/>
  <c r="X358" i="4" s="1"/>
  <c r="AG856" i="25" s="1"/>
  <c r="X359" i="4" a="1"/>
  <c r="X359" i="4" s="1"/>
  <c r="AG857" i="25" s="1"/>
  <c r="X360" i="4" a="1"/>
  <c r="X360" i="4" s="1"/>
  <c r="AG858" i="25" s="1"/>
  <c r="X361" i="4" a="1"/>
  <c r="X361" i="4" s="1"/>
  <c r="AG859" i="25" s="1"/>
  <c r="X362" i="4" a="1"/>
  <c r="X362" i="4" s="1"/>
  <c r="AG860" i="25" s="1"/>
  <c r="X363" i="4" a="1"/>
  <c r="X363" i="4" s="1"/>
  <c r="AG861" i="25" s="1"/>
  <c r="X364" i="4" a="1"/>
  <c r="X364" i="4" s="1"/>
  <c r="AG862" i="25" s="1"/>
  <c r="X365" i="4" a="1"/>
  <c r="X365" i="4" s="1"/>
  <c r="AG863" i="25" s="1"/>
  <c r="X366" i="4" a="1"/>
  <c r="X366" i="4" s="1"/>
  <c r="AG864" i="25" s="1"/>
  <c r="X367" i="4" a="1"/>
  <c r="X367" i="4" s="1"/>
  <c r="AG865" i="25" s="1"/>
  <c r="X368" i="4" a="1"/>
  <c r="X368" i="4" s="1"/>
  <c r="AG866" i="25" s="1"/>
  <c r="X369" i="4" a="1"/>
  <c r="X369" i="4" s="1"/>
  <c r="AG867" i="25" s="1"/>
  <c r="X370" i="4" a="1"/>
  <c r="X370" i="4" s="1"/>
  <c r="AG868" i="25" s="1"/>
  <c r="X371" i="4" a="1"/>
  <c r="X371" i="4" s="1"/>
  <c r="AG869" i="25" s="1"/>
  <c r="X372" i="4" a="1"/>
  <c r="X372" i="4" s="1"/>
  <c r="AG870" i="25" s="1"/>
  <c r="X373" i="4" a="1"/>
  <c r="X373" i="4" s="1"/>
  <c r="AG871" i="25" s="1"/>
  <c r="K374" i="4" a="1"/>
  <c r="K374" i="4" s="1"/>
  <c r="T872" i="25" s="1"/>
  <c r="K375" i="4" a="1"/>
  <c r="K375" i="4" s="1"/>
  <c r="T873" i="25" s="1"/>
  <c r="K376" i="4" a="1"/>
  <c r="K376" i="4" s="1"/>
  <c r="T874" i="25" s="1"/>
  <c r="K377" i="4" a="1"/>
  <c r="K377" i="4" s="1"/>
  <c r="T875" i="25" s="1"/>
  <c r="K378" i="4" a="1"/>
  <c r="K378" i="4" s="1"/>
  <c r="T876" i="25" s="1"/>
  <c r="K379" i="4" a="1"/>
  <c r="K379" i="4" s="1"/>
  <c r="T877" i="25" s="1"/>
  <c r="K380" i="4" a="1"/>
  <c r="K380" i="4" s="1"/>
  <c r="T878" i="25" s="1"/>
  <c r="K381" i="4" a="1"/>
  <c r="K381" i="4" s="1"/>
  <c r="T879" i="25" s="1"/>
  <c r="K382" i="4" a="1"/>
  <c r="K382" i="4" s="1"/>
  <c r="T880" i="25" s="1"/>
  <c r="K383" i="4" a="1"/>
  <c r="K383" i="4" s="1"/>
  <c r="T881" i="25" s="1"/>
  <c r="K384" i="4" a="1"/>
  <c r="K384" i="4" s="1"/>
  <c r="T882" i="25" s="1"/>
  <c r="K385" i="4" a="1"/>
  <c r="K385" i="4" s="1"/>
  <c r="T883" i="25" s="1"/>
  <c r="K386" i="4" a="1"/>
  <c r="K386" i="4" s="1"/>
  <c r="T884" i="25" s="1"/>
  <c r="K387" i="4" a="1"/>
  <c r="K387" i="4" s="1"/>
  <c r="T885" i="25" s="1"/>
  <c r="K388" i="4" a="1"/>
  <c r="K388" i="4" s="1"/>
  <c r="T886" i="25" s="1"/>
  <c r="K389" i="4" a="1"/>
  <c r="K389" i="4" s="1"/>
  <c r="T887" i="25" s="1"/>
  <c r="K390" i="4" a="1"/>
  <c r="K390" i="4" s="1"/>
  <c r="T888" i="25" s="1"/>
  <c r="K391" i="4" a="1"/>
  <c r="K391" i="4" s="1"/>
  <c r="T889" i="25" s="1"/>
  <c r="K468" i="4" a="1"/>
  <c r="K468" i="4" s="1"/>
  <c r="T916" i="25" s="1"/>
  <c r="K469" i="4" a="1"/>
  <c r="K469" i="4" s="1"/>
  <c r="T917" i="25" s="1"/>
  <c r="K470" i="4" a="1"/>
  <c r="K470" i="4" s="1"/>
  <c r="T918" i="25" s="1"/>
  <c r="K471" i="4" a="1"/>
  <c r="K471" i="4" s="1"/>
  <c r="T919" i="25" s="1"/>
  <c r="K472" i="4" a="1"/>
  <c r="K472" i="4" s="1"/>
  <c r="T920" i="25" s="1"/>
  <c r="K473" i="4" a="1"/>
  <c r="K473" i="4" s="1"/>
  <c r="T921" i="25" s="1"/>
  <c r="K474" i="4" a="1"/>
  <c r="K474" i="4" s="1"/>
  <c r="T922" i="25" s="1"/>
  <c r="L374" i="4"/>
  <c r="U872" i="25" s="1"/>
  <c r="L375" i="4"/>
  <c r="U873" i="25" s="1"/>
  <c r="L376" i="4"/>
  <c r="U874" i="25" s="1"/>
  <c r="L377" i="4"/>
  <c r="U875" i="25" s="1"/>
  <c r="L378" i="4"/>
  <c r="U876" i="25" s="1"/>
  <c r="L379" i="4"/>
  <c r="U877" i="25" s="1"/>
  <c r="L380" i="4"/>
  <c r="U878" i="25" s="1"/>
  <c r="L381" i="4"/>
  <c r="U879" i="25" s="1"/>
  <c r="L382" i="4"/>
  <c r="U880" i="25" s="1"/>
  <c r="L383" i="4"/>
  <c r="U881" i="25" s="1"/>
  <c r="L384" i="4"/>
  <c r="U882" i="25" s="1"/>
  <c r="L385" i="4"/>
  <c r="U883" i="25" s="1"/>
  <c r="L386" i="4"/>
  <c r="U884" i="25" s="1"/>
  <c r="L387" i="4"/>
  <c r="U885" i="25" s="1"/>
  <c r="L388" i="4"/>
  <c r="U886" i="25" s="1"/>
  <c r="L389" i="4"/>
  <c r="U887" i="25" s="1"/>
  <c r="L390" i="4"/>
  <c r="U888" i="25" s="1"/>
  <c r="L391" i="4"/>
  <c r="U889" i="25" s="1"/>
  <c r="L468" i="4"/>
  <c r="U916" i="25" s="1"/>
  <c r="L469" i="4"/>
  <c r="U917" i="25" s="1"/>
  <c r="L470" i="4"/>
  <c r="U918" i="25" s="1"/>
  <c r="L471" i="4"/>
  <c r="U919" i="25" s="1"/>
  <c r="L472" i="4"/>
  <c r="U920" i="25" s="1"/>
  <c r="L473" i="4"/>
  <c r="U921" i="25" s="1"/>
  <c r="L474" i="4"/>
  <c r="U922" i="25" s="1"/>
  <c r="M374" i="4" a="1"/>
  <c r="M374" i="4" s="1"/>
  <c r="V872" i="25" s="1"/>
  <c r="M375" i="4" a="1"/>
  <c r="M375" i="4" s="1"/>
  <c r="V873" i="25" s="1"/>
  <c r="M376" i="4" a="1"/>
  <c r="M376" i="4" s="1"/>
  <c r="V874" i="25" s="1"/>
  <c r="M377" i="4" a="1"/>
  <c r="M377" i="4" s="1"/>
  <c r="V875" i="25" s="1"/>
  <c r="M378" i="4" a="1"/>
  <c r="M378" i="4" s="1"/>
  <c r="V876" i="25" s="1"/>
  <c r="M379" i="4" a="1"/>
  <c r="M379" i="4" s="1"/>
  <c r="V877" i="25" s="1"/>
  <c r="M380" i="4" a="1"/>
  <c r="M380" i="4" s="1"/>
  <c r="V878" i="25" s="1"/>
  <c r="M381" i="4" a="1"/>
  <c r="M381" i="4" s="1"/>
  <c r="V879" i="25" s="1"/>
  <c r="M382" i="4" a="1"/>
  <c r="M382" i="4" s="1"/>
  <c r="V880" i="25" s="1"/>
  <c r="M383" i="4" a="1"/>
  <c r="M383" i="4" s="1"/>
  <c r="V881" i="25" s="1"/>
  <c r="M384" i="4" a="1"/>
  <c r="M384" i="4" s="1"/>
  <c r="V882" i="25" s="1"/>
  <c r="M385" i="4" a="1"/>
  <c r="M385" i="4" s="1"/>
  <c r="V883" i="25" s="1"/>
  <c r="M386" i="4" a="1"/>
  <c r="M386" i="4" s="1"/>
  <c r="V884" i="25" s="1"/>
  <c r="M387" i="4" a="1"/>
  <c r="M387" i="4" s="1"/>
  <c r="V885" i="25" s="1"/>
  <c r="M388" i="4" a="1"/>
  <c r="M388" i="4" s="1"/>
  <c r="V886" i="25" s="1"/>
  <c r="M389" i="4" a="1"/>
  <c r="M389" i="4" s="1"/>
  <c r="V887" i="25" s="1"/>
  <c r="M390" i="4" a="1"/>
  <c r="M390" i="4" s="1"/>
  <c r="V888" i="25" s="1"/>
  <c r="M391" i="4" a="1"/>
  <c r="M391" i="4" s="1"/>
  <c r="V889" i="25" s="1"/>
  <c r="M468" i="4" a="1"/>
  <c r="M468" i="4" s="1"/>
  <c r="V916" i="25" s="1"/>
  <c r="M469" i="4" a="1"/>
  <c r="M469" i="4" s="1"/>
  <c r="V917" i="25" s="1"/>
  <c r="M470" i="4" a="1"/>
  <c r="M470" i="4" s="1"/>
  <c r="V918" i="25" s="1"/>
  <c r="M471" i="4" a="1"/>
  <c r="M471" i="4" s="1"/>
  <c r="V919" i="25" s="1"/>
  <c r="M472" i="4" a="1"/>
  <c r="M472" i="4" s="1"/>
  <c r="V920" i="25" s="1"/>
  <c r="M473" i="4" a="1"/>
  <c r="M473" i="4" s="1"/>
  <c r="V921" i="25" s="1"/>
  <c r="M474" i="4" a="1"/>
  <c r="M474" i="4" s="1"/>
  <c r="V922" i="25" s="1"/>
  <c r="Z872" i="25"/>
  <c r="Z873" i="25"/>
  <c r="Z874" i="25"/>
  <c r="Z875" i="25"/>
  <c r="Z876" i="25"/>
  <c r="Z877" i="25"/>
  <c r="Z878" i="25"/>
  <c r="Z879" i="25"/>
  <c r="Z880" i="25"/>
  <c r="Z881" i="25"/>
  <c r="Z882" i="25"/>
  <c r="Z883" i="25"/>
  <c r="Z884" i="25"/>
  <c r="Z885" i="25"/>
  <c r="Z886" i="25"/>
  <c r="Z887" i="25"/>
  <c r="Z888" i="25"/>
  <c r="Z889" i="25"/>
  <c r="Z916" i="25"/>
  <c r="Z917" i="25"/>
  <c r="Z918" i="25"/>
  <c r="Z919" i="25"/>
  <c r="Z920" i="25"/>
  <c r="Z921" i="25"/>
  <c r="Z922" i="25"/>
  <c r="AA872" i="25"/>
  <c r="AA873" i="25"/>
  <c r="AA874" i="25"/>
  <c r="AA875" i="25"/>
  <c r="AA876" i="25"/>
  <c r="AA877" i="25"/>
  <c r="AA878" i="25"/>
  <c r="AA879" i="25"/>
  <c r="AA880" i="25"/>
  <c r="AA881" i="25"/>
  <c r="AA882" i="25"/>
  <c r="AA883" i="25"/>
  <c r="AA884" i="25"/>
  <c r="AA885" i="25"/>
  <c r="AA886" i="25"/>
  <c r="AA887" i="25"/>
  <c r="AA888" i="25"/>
  <c r="AA889" i="25"/>
  <c r="AA916" i="25"/>
  <c r="AA917" i="25"/>
  <c r="AA918" i="25"/>
  <c r="AA919" i="25"/>
  <c r="AA920" i="25"/>
  <c r="AA921" i="25"/>
  <c r="AA922" i="25"/>
  <c r="AB872" i="25"/>
  <c r="AB873" i="25"/>
  <c r="AB874" i="25"/>
  <c r="AB875" i="25"/>
  <c r="AB876" i="25"/>
  <c r="AB877" i="25"/>
  <c r="AB878" i="25"/>
  <c r="AB879" i="25"/>
  <c r="AB880" i="25"/>
  <c r="AB881" i="25"/>
  <c r="AB882" i="25"/>
  <c r="AB883" i="25"/>
  <c r="AB884" i="25"/>
  <c r="AB885" i="25"/>
  <c r="AB886" i="25"/>
  <c r="AB887" i="25"/>
  <c r="AB888" i="25"/>
  <c r="AB889" i="25"/>
  <c r="AB916" i="25"/>
  <c r="AB917" i="25"/>
  <c r="AB918" i="25"/>
  <c r="AB919" i="25"/>
  <c r="AB920" i="25"/>
  <c r="AB921" i="25"/>
  <c r="AB922" i="25"/>
  <c r="AC872" i="25"/>
  <c r="AC873" i="25"/>
  <c r="AC874" i="25"/>
  <c r="AC875" i="25"/>
  <c r="AC876" i="25"/>
  <c r="AC877" i="25"/>
  <c r="AC878" i="25"/>
  <c r="AC879" i="25"/>
  <c r="AC880" i="25"/>
  <c r="AC881" i="25"/>
  <c r="AC882" i="25"/>
  <c r="AC883" i="25"/>
  <c r="AC884" i="25"/>
  <c r="AC885" i="25"/>
  <c r="AC886" i="25"/>
  <c r="AC887" i="25"/>
  <c r="AC888" i="25"/>
  <c r="AC889" i="25"/>
  <c r="AC916" i="25"/>
  <c r="AC917" i="25"/>
  <c r="AC918" i="25"/>
  <c r="AC919" i="25"/>
  <c r="AC920" i="25"/>
  <c r="AC921" i="25"/>
  <c r="AC922" i="25"/>
  <c r="AD872" i="25"/>
  <c r="AD873" i="25"/>
  <c r="AD874" i="25"/>
  <c r="AD875" i="25"/>
  <c r="AD876" i="25"/>
  <c r="AD877" i="25"/>
  <c r="AD878" i="25"/>
  <c r="AD879" i="25"/>
  <c r="AD880" i="25"/>
  <c r="AD881" i="25"/>
  <c r="AD882" i="25"/>
  <c r="AD883" i="25"/>
  <c r="AD884" i="25"/>
  <c r="AD885" i="25"/>
  <c r="AD886" i="25"/>
  <c r="AD887" i="25"/>
  <c r="AD888" i="25"/>
  <c r="AD889" i="25"/>
  <c r="AD916" i="25"/>
  <c r="AD917" i="25"/>
  <c r="AD918" i="25"/>
  <c r="AD919" i="25"/>
  <c r="AD920" i="25"/>
  <c r="AD921" i="25"/>
  <c r="AD922" i="25"/>
  <c r="X374" i="4" a="1"/>
  <c r="X374" i="4" s="1"/>
  <c r="AG872" i="25" s="1"/>
  <c r="X375" i="4" a="1"/>
  <c r="X375" i="4" s="1"/>
  <c r="AG873" i="25" s="1"/>
  <c r="X376" i="4" a="1"/>
  <c r="X376" i="4" s="1"/>
  <c r="AG874" i="25" s="1"/>
  <c r="X377" i="4" a="1"/>
  <c r="X377" i="4" s="1"/>
  <c r="AG875" i="25" s="1"/>
  <c r="X378" i="4" a="1"/>
  <c r="X378" i="4" s="1"/>
  <c r="AG876" i="25" s="1"/>
  <c r="X379" i="4" a="1"/>
  <c r="X379" i="4" s="1"/>
  <c r="AG877" i="25" s="1"/>
  <c r="X380" i="4" a="1"/>
  <c r="X380" i="4" s="1"/>
  <c r="AG878" i="25" s="1"/>
  <c r="X381" i="4" a="1"/>
  <c r="X381" i="4" s="1"/>
  <c r="AG879" i="25" s="1"/>
  <c r="X382" i="4" a="1"/>
  <c r="X382" i="4" s="1"/>
  <c r="AG880" i="25" s="1"/>
  <c r="X383" i="4" a="1"/>
  <c r="X383" i="4" s="1"/>
  <c r="AG881" i="25" s="1"/>
  <c r="X384" i="4" a="1"/>
  <c r="X384" i="4" s="1"/>
  <c r="AG882" i="25" s="1"/>
  <c r="X385" i="4" a="1"/>
  <c r="X385" i="4" s="1"/>
  <c r="AG883" i="25" s="1"/>
  <c r="X386" i="4" a="1"/>
  <c r="X386" i="4" s="1"/>
  <c r="AG884" i="25" s="1"/>
  <c r="X387" i="4" a="1"/>
  <c r="X387" i="4" s="1"/>
  <c r="AG885" i="25" s="1"/>
  <c r="X388" i="4" a="1"/>
  <c r="X388" i="4" s="1"/>
  <c r="AG886" i="25" s="1"/>
  <c r="X389" i="4" a="1"/>
  <c r="X389" i="4" s="1"/>
  <c r="AG887" i="25" s="1"/>
  <c r="X390" i="4" a="1"/>
  <c r="X390" i="4" s="1"/>
  <c r="AG888" i="25" s="1"/>
  <c r="X391" i="4" a="1"/>
  <c r="X391" i="4" s="1"/>
  <c r="AG889" i="25" s="1"/>
  <c r="X468" i="4" a="1"/>
  <c r="X468" i="4" s="1"/>
  <c r="AG916" i="25" s="1"/>
  <c r="X469" i="4" a="1"/>
  <c r="X469" i="4" s="1"/>
  <c r="AG917" i="25" s="1"/>
  <c r="X470" i="4" a="1"/>
  <c r="X470" i="4" s="1"/>
  <c r="AG918" i="25" s="1"/>
  <c r="X471" i="4" a="1"/>
  <c r="X471" i="4" s="1"/>
  <c r="AG919" i="25" s="1"/>
  <c r="X472" i="4" a="1"/>
  <c r="X472" i="4" s="1"/>
  <c r="AG920" i="25" s="1"/>
  <c r="X473" i="4" a="1"/>
  <c r="X473" i="4" s="1"/>
  <c r="AG921" i="25" s="1"/>
  <c r="X474" i="4" a="1"/>
  <c r="X474" i="4" s="1"/>
  <c r="AG922" i="25" s="1"/>
  <c r="B941" i="25" l="1"/>
  <c r="B935" i="25"/>
  <c r="B931" i="25"/>
  <c r="B927" i="25"/>
  <c r="B923" i="25"/>
  <c r="B919" i="25"/>
  <c r="B915" i="25"/>
  <c r="B911" i="25"/>
  <c r="B907" i="25"/>
  <c r="B903" i="25"/>
  <c r="B899" i="25"/>
  <c r="B895" i="25"/>
  <c r="B891" i="25"/>
  <c r="B887" i="25"/>
  <c r="B883" i="25"/>
  <c r="B879" i="25"/>
  <c r="B875" i="25"/>
  <c r="B944" i="25"/>
  <c r="B936" i="25"/>
  <c r="B932" i="25"/>
  <c r="B928" i="25"/>
  <c r="B924" i="25"/>
  <c r="B920" i="25"/>
  <c r="B916" i="25"/>
  <c r="B912" i="25"/>
  <c r="B908" i="25"/>
  <c r="B904" i="25"/>
  <c r="B900" i="25"/>
  <c r="B896" i="25"/>
  <c r="B892" i="25"/>
  <c r="B888" i="25"/>
  <c r="B884" i="25"/>
  <c r="B880" i="25"/>
  <c r="B876" i="25"/>
  <c r="B942" i="25"/>
  <c r="B937" i="25"/>
  <c r="B933" i="25"/>
  <c r="B929" i="25"/>
  <c r="B925" i="25"/>
  <c r="B921" i="25"/>
  <c r="B917" i="25"/>
  <c r="B913" i="25"/>
  <c r="B909" i="25"/>
  <c r="B905" i="25"/>
  <c r="B901" i="25"/>
  <c r="B897" i="25"/>
  <c r="B893" i="25"/>
  <c r="B889" i="25"/>
  <c r="B885" i="25"/>
  <c r="B881" i="25"/>
  <c r="B877" i="25"/>
  <c r="B873" i="25"/>
  <c r="B948" i="25"/>
  <c r="B940" i="25"/>
  <c r="B945" i="25"/>
  <c r="B934" i="25"/>
  <c r="B930" i="25"/>
  <c r="B926" i="25"/>
  <c r="B922" i="25"/>
  <c r="B918" i="25"/>
  <c r="B914" i="25"/>
  <c r="B910" i="25"/>
  <c r="B906" i="25"/>
  <c r="B902" i="25"/>
  <c r="B898" i="25"/>
  <c r="B894" i="25"/>
  <c r="B890" i="25"/>
  <c r="B886" i="25"/>
  <c r="B882" i="25"/>
  <c r="B878" i="25"/>
  <c r="B874" i="25"/>
  <c r="B938" i="25"/>
  <c r="B946" i="25"/>
  <c r="B74" i="29"/>
  <c r="O32" i="29"/>
  <c r="T41" i="14" a="1"/>
  <c r="T41" i="14" s="1"/>
  <c r="O39" i="29"/>
  <c r="T48" i="14" a="1"/>
  <c r="T48" i="14" s="1"/>
  <c r="O31" i="29"/>
  <c r="T40" i="14" a="1"/>
  <c r="T40" i="14" s="1"/>
  <c r="O38" i="29"/>
  <c r="T47" i="14" a="1"/>
  <c r="T47" i="14" s="1"/>
  <c r="O30" i="29"/>
  <c r="T39" i="14" a="1"/>
  <c r="T39" i="14" s="1"/>
  <c r="O37" i="29"/>
  <c r="T46" i="14" a="1"/>
  <c r="T46" i="14" s="1"/>
  <c r="O33" i="29"/>
  <c r="T42" i="14" a="1"/>
  <c r="T42" i="14" s="1"/>
  <c r="O36" i="29"/>
  <c r="T45" i="14" a="1"/>
  <c r="T45" i="14" s="1"/>
  <c r="O35" i="29"/>
  <c r="T44" i="14" a="1"/>
  <c r="T44" i="14" s="1"/>
  <c r="O34" i="29"/>
  <c r="T43" i="14" a="1"/>
  <c r="T43" i="14" s="1"/>
  <c r="U104" i="11"/>
  <c r="AF1691" i="25" s="1"/>
  <c r="Q1691" i="25"/>
  <c r="B59" i="29"/>
  <c r="B55" i="29"/>
  <c r="B51" i="29"/>
  <c r="B47" i="29"/>
  <c r="B43" i="29"/>
  <c r="B39" i="29"/>
  <c r="B58" i="29"/>
  <c r="B54" i="29"/>
  <c r="B50" i="29"/>
  <c r="B46" i="29"/>
  <c r="B42" i="29"/>
  <c r="B38" i="29"/>
  <c r="B41" i="29"/>
  <c r="B45" i="29"/>
  <c r="B49" i="29"/>
  <c r="B53" i="29"/>
  <c r="B57" i="29"/>
  <c r="B61" i="29"/>
  <c r="B40" i="29"/>
  <c r="B52" i="29"/>
  <c r="B48" i="29"/>
  <c r="B44" i="29"/>
  <c r="B60" i="29"/>
  <c r="B56" i="29"/>
  <c r="B73" i="29"/>
  <c r="B65" i="29"/>
  <c r="B68" i="29"/>
  <c r="B69" i="29"/>
  <c r="B72" i="29"/>
  <c r="B64" i="29"/>
  <c r="B71" i="29"/>
  <c r="B63" i="29"/>
  <c r="B66" i="29"/>
  <c r="B67" i="29"/>
  <c r="B70" i="29"/>
  <c r="B62" i="29"/>
  <c r="T104" i="11"/>
  <c r="AE1691" i="25" s="1"/>
  <c r="AI872" i="25"/>
  <c r="AI849" i="25"/>
  <c r="AI901" i="25"/>
  <c r="AI922" i="25"/>
  <c r="AI888" i="25"/>
  <c r="AI880" i="25"/>
  <c r="AI865" i="25"/>
  <c r="AI857" i="25"/>
  <c r="AI909" i="25"/>
  <c r="AI893" i="25"/>
  <c r="Q874" i="25"/>
  <c r="Q920" i="25"/>
  <c r="Q917" i="25"/>
  <c r="Q883" i="25"/>
  <c r="Q875" i="25"/>
  <c r="Q868" i="25"/>
  <c r="Q860" i="25"/>
  <c r="Q852" i="25"/>
  <c r="Q915" i="25"/>
  <c r="Q907" i="25"/>
  <c r="Q899" i="25"/>
  <c r="Q891" i="25"/>
  <c r="Q859" i="25"/>
  <c r="Q914" i="25"/>
  <c r="Q906" i="25"/>
  <c r="Q898" i="25"/>
  <c r="Q890" i="25"/>
  <c r="Q866" i="25"/>
  <c r="Q858" i="25"/>
  <c r="Q850" i="25"/>
  <c r="Q913" i="25"/>
  <c r="Q905" i="25"/>
  <c r="Q897" i="25"/>
  <c r="Q916" i="25"/>
  <c r="Q867" i="25"/>
  <c r="Q881" i="25"/>
  <c r="Q922" i="25"/>
  <c r="Q888" i="25"/>
  <c r="Q880" i="25"/>
  <c r="Q872" i="25"/>
  <c r="Q865" i="25"/>
  <c r="Q857" i="25"/>
  <c r="Q849" i="25"/>
  <c r="Q912" i="25"/>
  <c r="Q904" i="25"/>
  <c r="Q896" i="25"/>
  <c r="Q882" i="25"/>
  <c r="Q851" i="25"/>
  <c r="Q889" i="25"/>
  <c r="Q873" i="25"/>
  <c r="Q921" i="25"/>
  <c r="Q887" i="25"/>
  <c r="Q879" i="25"/>
  <c r="Q864" i="25"/>
  <c r="Q856" i="25"/>
  <c r="Q848" i="25"/>
  <c r="Q911" i="25"/>
  <c r="Q903" i="25"/>
  <c r="Q895" i="25"/>
  <c r="Q910" i="25"/>
  <c r="Q902" i="25"/>
  <c r="Q894" i="25"/>
  <c r="Q886" i="25"/>
  <c r="Q878" i="25"/>
  <c r="Q863" i="25"/>
  <c r="Q855" i="25"/>
  <c r="Q847" i="25"/>
  <c r="Q919" i="25"/>
  <c r="Q885" i="25"/>
  <c r="Q877" i="25"/>
  <c r="Q870" i="25"/>
  <c r="Q862" i="25"/>
  <c r="Q854" i="25"/>
  <c r="Q909" i="25"/>
  <c r="Q901" i="25"/>
  <c r="Q893" i="25"/>
  <c r="Q871" i="25"/>
  <c r="Q918" i="25"/>
  <c r="Q884" i="25"/>
  <c r="Q876" i="25"/>
  <c r="Q869" i="25"/>
  <c r="Q861" i="25"/>
  <c r="Q853" i="25"/>
  <c r="Q908" i="25"/>
  <c r="Q900" i="25"/>
  <c r="Q892" i="25"/>
  <c r="AI887" i="25"/>
  <c r="AI892" i="25"/>
  <c r="AI921" i="25"/>
  <c r="AI900" i="25"/>
  <c r="AI919" i="25"/>
  <c r="AI885" i="25"/>
  <c r="AI877" i="25"/>
  <c r="AI870" i="25"/>
  <c r="AI862" i="25"/>
  <c r="AI854" i="25"/>
  <c r="AI914" i="25"/>
  <c r="AI906" i="25"/>
  <c r="AI898" i="25"/>
  <c r="AI890" i="25"/>
  <c r="AI864" i="25"/>
  <c r="AI918" i="25"/>
  <c r="AI853" i="25"/>
  <c r="AI897" i="25"/>
  <c r="AI879" i="25"/>
  <c r="AI856" i="25"/>
  <c r="AI876" i="25"/>
  <c r="AI869" i="25"/>
  <c r="AI913" i="25"/>
  <c r="AI848" i="25"/>
  <c r="AI908" i="25"/>
  <c r="AI884" i="25"/>
  <c r="AI861" i="25"/>
  <c r="AI905" i="25"/>
  <c r="AI920" i="25"/>
  <c r="AI886" i="25"/>
  <c r="AI878" i="25"/>
  <c r="AI871" i="25"/>
  <c r="AI863" i="25"/>
  <c r="AI855" i="25"/>
  <c r="AI847" i="25"/>
  <c r="AI915" i="25"/>
  <c r="AI907" i="25"/>
  <c r="AI899" i="25"/>
  <c r="AI891" i="25"/>
  <c r="AI917" i="25"/>
  <c r="AI883" i="25"/>
  <c r="AI875" i="25"/>
  <c r="AI868" i="25"/>
  <c r="AI860" i="25"/>
  <c r="AI852" i="25"/>
  <c r="AI912" i="25"/>
  <c r="AI904" i="25"/>
  <c r="AI896" i="25"/>
  <c r="AI916" i="25"/>
  <c r="AI882" i="25"/>
  <c r="AI874" i="25"/>
  <c r="AI867" i="25"/>
  <c r="AI859" i="25"/>
  <c r="AI851" i="25"/>
  <c r="AI911" i="25"/>
  <c r="AI903" i="25"/>
  <c r="AI895" i="25"/>
  <c r="AI889" i="25"/>
  <c r="AI881" i="25"/>
  <c r="AI873" i="25"/>
  <c r="AI866" i="25"/>
  <c r="AI858" i="25"/>
  <c r="AI850" i="25"/>
  <c r="AI910" i="25"/>
  <c r="AI902" i="25"/>
  <c r="AI894" i="25"/>
  <c r="E13" i="26"/>
  <c r="N452" i="4"/>
  <c r="W452" i="4" s="1"/>
  <c r="AF900" i="25" s="1"/>
  <c r="N396" i="4"/>
  <c r="W894" i="25" s="1"/>
  <c r="AJ894" i="25" s="1"/>
  <c r="N459" i="4"/>
  <c r="V459" i="4" s="1"/>
  <c r="AE907" i="25" s="1"/>
  <c r="N465" i="4"/>
  <c r="W913" i="25" s="1"/>
  <c r="AJ913" i="25" s="1"/>
  <c r="N458" i="4"/>
  <c r="V458" i="4" s="1"/>
  <c r="AE906" i="25" s="1"/>
  <c r="N372" i="4"/>
  <c r="N371" i="4"/>
  <c r="W869" i="25" s="1"/>
  <c r="AJ869" i="25" s="1"/>
  <c r="N352" i="4"/>
  <c r="N457" i="4"/>
  <c r="V457" i="4" s="1"/>
  <c r="AE905" i="25" s="1"/>
  <c r="N395" i="4"/>
  <c r="W893" i="25" s="1"/>
  <c r="AJ893" i="25" s="1"/>
  <c r="N382" i="4"/>
  <c r="V382" i="4" s="1"/>
  <c r="AE880" i="25" s="1"/>
  <c r="N365" i="4"/>
  <c r="W863" i="25" s="1"/>
  <c r="AJ863" i="25" s="1"/>
  <c r="N461" i="4"/>
  <c r="W909" i="25" s="1"/>
  <c r="AJ909" i="25" s="1"/>
  <c r="N455" i="4"/>
  <c r="N399" i="4"/>
  <c r="N363" i="4"/>
  <c r="N355" i="4"/>
  <c r="W853" i="25" s="1"/>
  <c r="AJ853" i="25" s="1"/>
  <c r="N453" i="4"/>
  <c r="W901" i="25" s="1"/>
  <c r="AJ901" i="25" s="1"/>
  <c r="N464" i="4"/>
  <c r="W912" i="25" s="1"/>
  <c r="AJ912" i="25" s="1"/>
  <c r="N359" i="4"/>
  <c r="N463" i="4"/>
  <c r="W911" i="25" s="1"/>
  <c r="AJ911" i="25" s="1"/>
  <c r="N456" i="4"/>
  <c r="W904" i="25" s="1"/>
  <c r="AJ904" i="25" s="1"/>
  <c r="N400" i="4"/>
  <c r="W898" i="25" s="1"/>
  <c r="AJ898" i="25" s="1"/>
  <c r="N462" i="4"/>
  <c r="W910" i="25" s="1"/>
  <c r="AJ910" i="25" s="1"/>
  <c r="N393" i="4"/>
  <c r="W891" i="25" s="1"/>
  <c r="AJ891" i="25" s="1"/>
  <c r="N394" i="4"/>
  <c r="W892" i="25" s="1"/>
  <c r="AJ892" i="25" s="1"/>
  <c r="N398" i="4"/>
  <c r="W896" i="25" s="1"/>
  <c r="AJ896" i="25" s="1"/>
  <c r="N392" i="4"/>
  <c r="W890" i="25" s="1"/>
  <c r="AJ890" i="25" s="1"/>
  <c r="N467" i="4"/>
  <c r="W915" i="25" s="1"/>
  <c r="AJ915" i="25" s="1"/>
  <c r="N460" i="4"/>
  <c r="W908" i="25" s="1"/>
  <c r="AJ908" i="25" s="1"/>
  <c r="N454" i="4"/>
  <c r="W902" i="25" s="1"/>
  <c r="AJ902" i="25" s="1"/>
  <c r="N401" i="4"/>
  <c r="W899" i="25" s="1"/>
  <c r="AJ899" i="25" s="1"/>
  <c r="N466" i="4"/>
  <c r="W914" i="25" s="1"/>
  <c r="AJ914" i="25" s="1"/>
  <c r="N397" i="4"/>
  <c r="W895" i="25" s="1"/>
  <c r="AJ895" i="25" s="1"/>
  <c r="N364" i="4"/>
  <c r="N358" i="4"/>
  <c r="N351" i="4"/>
  <c r="N370" i="4"/>
  <c r="W370" i="4" s="1"/>
  <c r="AF868" i="25" s="1"/>
  <c r="N357" i="4"/>
  <c r="N356" i="4"/>
  <c r="N350" i="4"/>
  <c r="N474" i="4"/>
  <c r="N362" i="4"/>
  <c r="V362" i="4" s="1"/>
  <c r="AE860" i="25" s="1"/>
  <c r="N349" i="4"/>
  <c r="N388" i="4"/>
  <c r="V388" i="4" s="1"/>
  <c r="AE886" i="25" s="1"/>
  <c r="N473" i="4"/>
  <c r="V473" i="4" s="1"/>
  <c r="AE921" i="25" s="1"/>
  <c r="N373" i="4"/>
  <c r="N360" i="4"/>
  <c r="N354" i="4"/>
  <c r="N366" i="4"/>
  <c r="V366" i="4" s="1"/>
  <c r="AE864" i="25" s="1"/>
  <c r="N353" i="4"/>
  <c r="N369" i="4"/>
  <c r="W867" i="25" s="1"/>
  <c r="AJ867" i="25" s="1"/>
  <c r="N368" i="4"/>
  <c r="W866" i="25" s="1"/>
  <c r="AJ866" i="25" s="1"/>
  <c r="N367" i="4"/>
  <c r="W865" i="25" s="1"/>
  <c r="AJ865" i="25" s="1"/>
  <c r="N361" i="4"/>
  <c r="W859" i="25" s="1"/>
  <c r="AJ859" i="25" s="1"/>
  <c r="N472" i="4"/>
  <c r="N391" i="4"/>
  <c r="N380" i="4"/>
  <c r="N375" i="4"/>
  <c r="N386" i="4"/>
  <c r="W884" i="25" s="1"/>
  <c r="AJ884" i="25" s="1"/>
  <c r="N385" i="4"/>
  <c r="N471" i="4"/>
  <c r="N379" i="4"/>
  <c r="N390" i="4"/>
  <c r="N389" i="4"/>
  <c r="N383" i="4"/>
  <c r="N470" i="4"/>
  <c r="N378" i="4"/>
  <c r="W378" i="4" s="1"/>
  <c r="AF876" i="25" s="1"/>
  <c r="N469" i="4"/>
  <c r="N377" i="4"/>
  <c r="N387" i="4"/>
  <c r="N381" i="4"/>
  <c r="N468" i="4"/>
  <c r="W916" i="25" s="1"/>
  <c r="AJ916" i="25" s="1"/>
  <c r="N376" i="4"/>
  <c r="W874" i="25" s="1"/>
  <c r="AJ874" i="25" s="1"/>
  <c r="N374" i="4"/>
  <c r="W872" i="25" s="1"/>
  <c r="AJ872" i="25" s="1"/>
  <c r="N384" i="4"/>
  <c r="W882" i="25" s="1"/>
  <c r="AJ882" i="25" s="1"/>
  <c r="O3" i="17"/>
  <c r="AG1390" i="25"/>
  <c r="AG1391" i="25"/>
  <c r="AG1392" i="25"/>
  <c r="AG1393" i="25"/>
  <c r="AG1394" i="25"/>
  <c r="AG1395" i="25"/>
  <c r="AG1396" i="25"/>
  <c r="AG1397" i="25"/>
  <c r="AG1398" i="25"/>
  <c r="AG1399" i="25"/>
  <c r="AG1400" i="25"/>
  <c r="AG1401" i="25"/>
  <c r="AG1402" i="25"/>
  <c r="AG1403" i="25"/>
  <c r="AG1404" i="25"/>
  <c r="AG1405" i="25"/>
  <c r="AG1406" i="25"/>
  <c r="AG1407" i="25"/>
  <c r="AG1408" i="25"/>
  <c r="AG1409" i="25"/>
  <c r="AG1410" i="25"/>
  <c r="AG1411" i="25"/>
  <c r="AG1412" i="25"/>
  <c r="AG1413" i="25"/>
  <c r="AG1414" i="25"/>
  <c r="AG1415" i="25"/>
  <c r="AG1416" i="25"/>
  <c r="AG1417" i="25"/>
  <c r="AG1418" i="25"/>
  <c r="AG1419" i="25"/>
  <c r="AG1420" i="25"/>
  <c r="AG1389" i="25"/>
  <c r="AG1280" i="25"/>
  <c r="AG1281" i="25"/>
  <c r="AG1282" i="25"/>
  <c r="AG1283" i="25"/>
  <c r="AG1284" i="25"/>
  <c r="AG1285" i="25"/>
  <c r="AG1286" i="25"/>
  <c r="AG1287" i="25"/>
  <c r="AG1288" i="25"/>
  <c r="AG1289" i="25"/>
  <c r="AG1290" i="25"/>
  <c r="AG1291" i="25"/>
  <c r="AG1292" i="25"/>
  <c r="AG1293" i="25"/>
  <c r="AG1294" i="25"/>
  <c r="AG1295" i="25"/>
  <c r="AG1296" i="25"/>
  <c r="AG1297" i="25"/>
  <c r="AG1298" i="25"/>
  <c r="AG1299" i="25"/>
  <c r="AG1300" i="25"/>
  <c r="AG1301" i="25"/>
  <c r="AG1302" i="25"/>
  <c r="AG1303" i="25"/>
  <c r="AG1304" i="25"/>
  <c r="AG1305" i="25"/>
  <c r="AG1306" i="25"/>
  <c r="AG1307" i="25"/>
  <c r="AG1308" i="25"/>
  <c r="AG1309" i="25"/>
  <c r="AG1310" i="25"/>
  <c r="AG1311" i="25"/>
  <c r="AG1312" i="25"/>
  <c r="AG1313" i="25"/>
  <c r="AG1314" i="25"/>
  <c r="AG1315" i="25"/>
  <c r="AG1316" i="25"/>
  <c r="AG1317" i="25"/>
  <c r="AG1318" i="25"/>
  <c r="AG1319" i="25"/>
  <c r="AG1320" i="25"/>
  <c r="AG1321" i="25"/>
  <c r="AG1322" i="25"/>
  <c r="AG1323" i="25"/>
  <c r="AG1324" i="25"/>
  <c r="AG1325" i="25"/>
  <c r="AG1326" i="25"/>
  <c r="AG1327" i="25"/>
  <c r="AG1328" i="25"/>
  <c r="AG1329" i="25"/>
  <c r="AG1330" i="25"/>
  <c r="AG1331" i="25"/>
  <c r="AG1332" i="25"/>
  <c r="AG1333" i="25"/>
  <c r="AG1334" i="25"/>
  <c r="AG1335" i="25"/>
  <c r="AG1336" i="25"/>
  <c r="AG1337" i="25"/>
  <c r="AG1338" i="25"/>
  <c r="AG1339" i="25"/>
  <c r="AG1340" i="25"/>
  <c r="AG1341" i="25"/>
  <c r="AG1342" i="25"/>
  <c r="AG1343" i="25"/>
  <c r="AG1344" i="25"/>
  <c r="AG1345" i="25"/>
  <c r="AG1346" i="25"/>
  <c r="AG1347" i="25"/>
  <c r="AG1348" i="25"/>
  <c r="AG1349" i="25"/>
  <c r="AG1350" i="25"/>
  <c r="AG1351" i="25"/>
  <c r="AG1352" i="25"/>
  <c r="AG1353" i="25"/>
  <c r="AG1354" i="25"/>
  <c r="AG1355" i="25"/>
  <c r="AG1356" i="25"/>
  <c r="AG1357" i="25"/>
  <c r="AG1358" i="25"/>
  <c r="AG1359" i="25"/>
  <c r="AG1360" i="25"/>
  <c r="AG1361" i="25"/>
  <c r="AG1362" i="25"/>
  <c r="AG1363" i="25"/>
  <c r="AG1364" i="25"/>
  <c r="AG1365" i="25"/>
  <c r="AG1366" i="25"/>
  <c r="AG1367" i="25"/>
  <c r="AG1368" i="25"/>
  <c r="AG1369" i="25"/>
  <c r="AG1370" i="25"/>
  <c r="AG1371" i="25"/>
  <c r="AG1372" i="25"/>
  <c r="AG1373" i="25"/>
  <c r="AG1374" i="25"/>
  <c r="AG1375" i="25"/>
  <c r="AG1376" i="25"/>
  <c r="AG1377" i="25"/>
  <c r="AG1378" i="25"/>
  <c r="AG1379" i="25"/>
  <c r="AG1380" i="25"/>
  <c r="AG1381" i="25"/>
  <c r="AG1382" i="25"/>
  <c r="AG1383" i="25"/>
  <c r="AG1384" i="25"/>
  <c r="AG1385" i="25"/>
  <c r="AG1386" i="25"/>
  <c r="AG1387" i="25"/>
  <c r="AG1388" i="25"/>
  <c r="AG1279" i="25"/>
  <c r="AG1263" i="25"/>
  <c r="AG1264" i="25"/>
  <c r="AG1265" i="25"/>
  <c r="AG1266" i="25"/>
  <c r="AG1267" i="25"/>
  <c r="AG1268" i="25"/>
  <c r="AG1269" i="25"/>
  <c r="AG1270" i="25"/>
  <c r="AG1271" i="25"/>
  <c r="AG1272" i="25"/>
  <c r="AG1273" i="25"/>
  <c r="AG1274" i="25"/>
  <c r="AG1275" i="25"/>
  <c r="AG1276" i="25"/>
  <c r="AG1277" i="25"/>
  <c r="AG1278" i="25"/>
  <c r="AG1262" i="25"/>
  <c r="J1586" i="25"/>
  <c r="M1586" i="25"/>
  <c r="N1586" i="25"/>
  <c r="P1586" i="25"/>
  <c r="S1586" i="25"/>
  <c r="X1586" i="25"/>
  <c r="Y1586" i="25"/>
  <c r="J1587" i="25"/>
  <c r="M1587" i="25"/>
  <c r="N1587" i="25"/>
  <c r="P1587" i="25"/>
  <c r="S1587" i="25"/>
  <c r="X1587" i="25"/>
  <c r="Y1587" i="25"/>
  <c r="J1588" i="25"/>
  <c r="M1588" i="25"/>
  <c r="N1588" i="25"/>
  <c r="P1588" i="25"/>
  <c r="S1588" i="25"/>
  <c r="X1588" i="25"/>
  <c r="Y1588" i="25"/>
  <c r="J1589" i="25"/>
  <c r="M1589" i="25"/>
  <c r="N1589" i="25"/>
  <c r="P1589" i="25"/>
  <c r="S1589" i="25"/>
  <c r="X1589" i="25"/>
  <c r="Y1589" i="25"/>
  <c r="J1590" i="25"/>
  <c r="M1590" i="25"/>
  <c r="N1590" i="25"/>
  <c r="P1590" i="25"/>
  <c r="S1590" i="25"/>
  <c r="X1590" i="25"/>
  <c r="Y1590" i="25"/>
  <c r="J1591" i="25"/>
  <c r="M1591" i="25"/>
  <c r="N1591" i="25"/>
  <c r="P1591" i="25"/>
  <c r="S1591" i="25"/>
  <c r="X1591" i="25"/>
  <c r="Y1591" i="25"/>
  <c r="J1592" i="25"/>
  <c r="M1592" i="25"/>
  <c r="N1592" i="25"/>
  <c r="P1592" i="25"/>
  <c r="S1592" i="25"/>
  <c r="X1592" i="25"/>
  <c r="Y1592" i="25"/>
  <c r="J1593" i="25"/>
  <c r="M1593" i="25"/>
  <c r="N1593" i="25"/>
  <c r="P1593" i="25"/>
  <c r="S1593" i="25"/>
  <c r="X1593" i="25"/>
  <c r="Y1593" i="25"/>
  <c r="J1594" i="25"/>
  <c r="M1594" i="25"/>
  <c r="N1594" i="25"/>
  <c r="P1594" i="25"/>
  <c r="S1594" i="25"/>
  <c r="X1594" i="25"/>
  <c r="Y1594" i="25"/>
  <c r="J1595" i="25"/>
  <c r="M1595" i="25"/>
  <c r="N1595" i="25"/>
  <c r="P1595" i="25"/>
  <c r="S1595" i="25"/>
  <c r="X1595" i="25"/>
  <c r="Y1595" i="25"/>
  <c r="J1596" i="25"/>
  <c r="M1596" i="25"/>
  <c r="N1596" i="25"/>
  <c r="P1596" i="25"/>
  <c r="S1596" i="25"/>
  <c r="X1596" i="25"/>
  <c r="Y1596" i="25"/>
  <c r="J1597" i="25"/>
  <c r="M1597" i="25"/>
  <c r="N1597" i="25"/>
  <c r="P1597" i="25"/>
  <c r="S1597" i="25"/>
  <c r="X1597" i="25"/>
  <c r="Y1597" i="25"/>
  <c r="J1598" i="25"/>
  <c r="M1598" i="25"/>
  <c r="N1598" i="25"/>
  <c r="P1598" i="25"/>
  <c r="S1598" i="25"/>
  <c r="X1598" i="25"/>
  <c r="Y1598" i="25"/>
  <c r="J1599" i="25"/>
  <c r="M1599" i="25"/>
  <c r="N1599" i="25"/>
  <c r="P1599" i="25"/>
  <c r="S1599" i="25"/>
  <c r="X1599" i="25"/>
  <c r="Y1599" i="25"/>
  <c r="J1600" i="25"/>
  <c r="M1600" i="25"/>
  <c r="N1600" i="25"/>
  <c r="P1600" i="25"/>
  <c r="S1600" i="25"/>
  <c r="X1600" i="25"/>
  <c r="Y1600" i="25"/>
  <c r="J1601" i="25"/>
  <c r="M1601" i="25"/>
  <c r="N1601" i="25"/>
  <c r="P1601" i="25"/>
  <c r="S1601" i="25"/>
  <c r="X1601" i="25"/>
  <c r="Y1601" i="25"/>
  <c r="J1602" i="25"/>
  <c r="M1602" i="25"/>
  <c r="N1602" i="25"/>
  <c r="P1602" i="25"/>
  <c r="S1602" i="25"/>
  <c r="X1602" i="25"/>
  <c r="Y1602" i="25"/>
  <c r="J1603" i="25"/>
  <c r="M1603" i="25"/>
  <c r="N1603" i="25"/>
  <c r="P1603" i="25"/>
  <c r="S1603" i="25"/>
  <c r="X1603" i="25"/>
  <c r="Y1603" i="25"/>
  <c r="J1604" i="25"/>
  <c r="M1604" i="25"/>
  <c r="N1604" i="25"/>
  <c r="P1604" i="25"/>
  <c r="S1604" i="25"/>
  <c r="X1604" i="25"/>
  <c r="Y1604" i="25"/>
  <c r="J1605" i="25"/>
  <c r="M1605" i="25"/>
  <c r="N1605" i="25"/>
  <c r="P1605" i="25"/>
  <c r="S1605" i="25"/>
  <c r="X1605" i="25"/>
  <c r="Y1605" i="25"/>
  <c r="J1606" i="25"/>
  <c r="M1606" i="25"/>
  <c r="N1606" i="25"/>
  <c r="P1606" i="25"/>
  <c r="S1606" i="25"/>
  <c r="X1606" i="25"/>
  <c r="Y1606" i="25"/>
  <c r="M1585" i="25"/>
  <c r="N1585" i="25"/>
  <c r="P1585" i="25"/>
  <c r="S1585" i="25"/>
  <c r="X1585" i="25"/>
  <c r="Y1585" i="25"/>
  <c r="J1558" i="25"/>
  <c r="M1558" i="25"/>
  <c r="N1558" i="25"/>
  <c r="P1558" i="25"/>
  <c r="S1558" i="25"/>
  <c r="X1558" i="25"/>
  <c r="Y1558" i="25"/>
  <c r="J1559" i="25"/>
  <c r="M1559" i="25"/>
  <c r="N1559" i="25"/>
  <c r="P1559" i="25"/>
  <c r="S1559" i="25"/>
  <c r="X1559" i="25"/>
  <c r="Y1559" i="25"/>
  <c r="J1560" i="25"/>
  <c r="M1560" i="25"/>
  <c r="N1560" i="25"/>
  <c r="P1560" i="25"/>
  <c r="S1560" i="25"/>
  <c r="X1560" i="25"/>
  <c r="Y1560" i="25"/>
  <c r="J1561" i="25"/>
  <c r="M1561" i="25"/>
  <c r="N1561" i="25"/>
  <c r="P1561" i="25"/>
  <c r="S1561" i="25"/>
  <c r="X1561" i="25"/>
  <c r="Y1561" i="25"/>
  <c r="J1562" i="25"/>
  <c r="M1562" i="25"/>
  <c r="N1562" i="25"/>
  <c r="P1562" i="25"/>
  <c r="S1562" i="25"/>
  <c r="X1562" i="25"/>
  <c r="Y1562" i="25"/>
  <c r="J1563" i="25"/>
  <c r="M1563" i="25"/>
  <c r="N1563" i="25"/>
  <c r="P1563" i="25"/>
  <c r="S1563" i="25"/>
  <c r="X1563" i="25"/>
  <c r="Y1563" i="25"/>
  <c r="J1564" i="25"/>
  <c r="M1564" i="25"/>
  <c r="N1564" i="25"/>
  <c r="P1564" i="25"/>
  <c r="S1564" i="25"/>
  <c r="X1564" i="25"/>
  <c r="Y1564" i="25"/>
  <c r="J1565" i="25"/>
  <c r="M1565" i="25"/>
  <c r="N1565" i="25"/>
  <c r="P1565" i="25"/>
  <c r="S1565" i="25"/>
  <c r="X1565" i="25"/>
  <c r="Y1565" i="25"/>
  <c r="J1566" i="25"/>
  <c r="M1566" i="25"/>
  <c r="N1566" i="25"/>
  <c r="P1566" i="25"/>
  <c r="S1566" i="25"/>
  <c r="X1566" i="25"/>
  <c r="Y1566" i="25"/>
  <c r="J1567" i="25"/>
  <c r="M1567" i="25"/>
  <c r="N1567" i="25"/>
  <c r="P1567" i="25"/>
  <c r="S1567" i="25"/>
  <c r="X1567" i="25"/>
  <c r="Y1567" i="25"/>
  <c r="J1568" i="25"/>
  <c r="M1568" i="25"/>
  <c r="N1568" i="25"/>
  <c r="P1568" i="25"/>
  <c r="S1568" i="25"/>
  <c r="X1568" i="25"/>
  <c r="Y1568" i="25"/>
  <c r="J1569" i="25"/>
  <c r="M1569" i="25"/>
  <c r="N1569" i="25"/>
  <c r="P1569" i="25"/>
  <c r="S1569" i="25"/>
  <c r="X1569" i="25"/>
  <c r="Y1569" i="25"/>
  <c r="J1570" i="25"/>
  <c r="M1570" i="25"/>
  <c r="N1570" i="25"/>
  <c r="P1570" i="25"/>
  <c r="S1570" i="25"/>
  <c r="X1570" i="25"/>
  <c r="Y1570" i="25"/>
  <c r="J1571" i="25"/>
  <c r="M1571" i="25"/>
  <c r="N1571" i="25"/>
  <c r="P1571" i="25"/>
  <c r="S1571" i="25"/>
  <c r="X1571" i="25"/>
  <c r="Y1571" i="25"/>
  <c r="J1572" i="25"/>
  <c r="M1572" i="25"/>
  <c r="N1572" i="25"/>
  <c r="P1572" i="25"/>
  <c r="S1572" i="25"/>
  <c r="X1572" i="25"/>
  <c r="Y1572" i="25"/>
  <c r="J1573" i="25"/>
  <c r="M1573" i="25"/>
  <c r="N1573" i="25"/>
  <c r="P1573" i="25"/>
  <c r="S1573" i="25"/>
  <c r="X1573" i="25"/>
  <c r="Y1573" i="25"/>
  <c r="J1574" i="25"/>
  <c r="M1574" i="25"/>
  <c r="N1574" i="25"/>
  <c r="P1574" i="25"/>
  <c r="S1574" i="25"/>
  <c r="X1574" i="25"/>
  <c r="Y1574" i="25"/>
  <c r="J1575" i="25"/>
  <c r="M1575" i="25"/>
  <c r="N1575" i="25"/>
  <c r="P1575" i="25"/>
  <c r="S1575" i="25"/>
  <c r="X1575" i="25"/>
  <c r="Y1575" i="25"/>
  <c r="J1576" i="25"/>
  <c r="M1576" i="25"/>
  <c r="N1576" i="25"/>
  <c r="P1576" i="25"/>
  <c r="S1576" i="25"/>
  <c r="X1576" i="25"/>
  <c r="Y1576" i="25"/>
  <c r="J1577" i="25"/>
  <c r="M1577" i="25"/>
  <c r="N1577" i="25"/>
  <c r="P1577" i="25"/>
  <c r="S1577" i="25"/>
  <c r="X1577" i="25"/>
  <c r="Y1577" i="25"/>
  <c r="J1578" i="25"/>
  <c r="M1578" i="25"/>
  <c r="N1578" i="25"/>
  <c r="P1578" i="25"/>
  <c r="S1578" i="25"/>
  <c r="X1578" i="25"/>
  <c r="Y1578" i="25"/>
  <c r="J1579" i="25"/>
  <c r="M1579" i="25"/>
  <c r="N1579" i="25"/>
  <c r="P1579" i="25"/>
  <c r="S1579" i="25"/>
  <c r="X1579" i="25"/>
  <c r="Y1579" i="25"/>
  <c r="J1580" i="25"/>
  <c r="M1580" i="25"/>
  <c r="N1580" i="25"/>
  <c r="P1580" i="25"/>
  <c r="S1580" i="25"/>
  <c r="X1580" i="25"/>
  <c r="Y1580" i="25"/>
  <c r="J1581" i="25"/>
  <c r="M1581" i="25"/>
  <c r="N1581" i="25"/>
  <c r="P1581" i="25"/>
  <c r="S1581" i="25"/>
  <c r="X1581" i="25"/>
  <c r="Y1581" i="25"/>
  <c r="J1582" i="25"/>
  <c r="M1582" i="25"/>
  <c r="N1582" i="25"/>
  <c r="P1582" i="25"/>
  <c r="S1582" i="25"/>
  <c r="X1582" i="25"/>
  <c r="Y1582" i="25"/>
  <c r="J1583" i="25"/>
  <c r="M1583" i="25"/>
  <c r="N1583" i="25"/>
  <c r="P1583" i="25"/>
  <c r="S1583" i="25"/>
  <c r="X1583" i="25"/>
  <c r="Y1583" i="25"/>
  <c r="J1584" i="25"/>
  <c r="M1584" i="25"/>
  <c r="N1584" i="25"/>
  <c r="P1584" i="25"/>
  <c r="S1584" i="25"/>
  <c r="X1584" i="25"/>
  <c r="Y1584" i="25"/>
  <c r="M1557" i="25"/>
  <c r="N1557" i="25"/>
  <c r="P1557" i="25"/>
  <c r="S1557" i="25"/>
  <c r="X1557" i="25"/>
  <c r="Y1557" i="25"/>
  <c r="J1516" i="25"/>
  <c r="E71" i="18"/>
  <c r="E70" i="18"/>
  <c r="D71" i="18"/>
  <c r="D70" i="18"/>
  <c r="C71" i="18"/>
  <c r="C70" i="18"/>
  <c r="I20" i="18"/>
  <c r="E20" i="18"/>
  <c r="D20" i="18"/>
  <c r="AA1262" i="25"/>
  <c r="O8" i="24" a="1"/>
  <c r="O8" i="24" s="1"/>
  <c r="Z1263" i="25" s="1"/>
  <c r="O9" i="24" a="1"/>
  <c r="O9" i="24" s="1"/>
  <c r="Z1264" i="25" s="1"/>
  <c r="O10" i="24" a="1"/>
  <c r="O10" i="24" s="1"/>
  <c r="Z1265" i="25" s="1"/>
  <c r="O11" i="24" a="1"/>
  <c r="O11" i="24" s="1"/>
  <c r="Z1266" i="25" s="1"/>
  <c r="O12" i="24" a="1"/>
  <c r="O12" i="24" s="1"/>
  <c r="Z1267" i="25" s="1"/>
  <c r="O13" i="24" a="1"/>
  <c r="O13" i="24" s="1"/>
  <c r="Z1268" i="25" s="1"/>
  <c r="O14" i="24" a="1"/>
  <c r="O14" i="24" s="1"/>
  <c r="Z1269" i="25" s="1"/>
  <c r="O15" i="24" a="1"/>
  <c r="O15" i="24" s="1"/>
  <c r="Z1270" i="25" s="1"/>
  <c r="O16" i="24" a="1"/>
  <c r="O16" i="24" s="1"/>
  <c r="Z1271" i="25" s="1"/>
  <c r="O17" i="24" a="1"/>
  <c r="O17" i="24" s="1"/>
  <c r="Z1272" i="25" s="1"/>
  <c r="O18" i="24" a="1"/>
  <c r="O18" i="24" s="1"/>
  <c r="Z1273" i="25" s="1"/>
  <c r="O19" i="24" a="1"/>
  <c r="O19" i="24" s="1"/>
  <c r="Z1274" i="25" s="1"/>
  <c r="O20" i="24" a="1"/>
  <c r="O20" i="24" s="1"/>
  <c r="Z1275" i="25" s="1"/>
  <c r="O21" i="24" a="1"/>
  <c r="O21" i="24" s="1"/>
  <c r="Z1276" i="25" s="1"/>
  <c r="O22" i="24" a="1"/>
  <c r="O22" i="24" s="1"/>
  <c r="Z1277" i="25" s="1"/>
  <c r="O23" i="24" a="1"/>
  <c r="O23" i="24" s="1"/>
  <c r="Z1278" i="25" s="1"/>
  <c r="K7" i="24" a="1"/>
  <c r="K7" i="24" s="1"/>
  <c r="V1262" i="25" s="1"/>
  <c r="K8" i="24" a="1"/>
  <c r="K8" i="24" s="1"/>
  <c r="V1263" i="25" s="1"/>
  <c r="K9" i="24" a="1"/>
  <c r="K9" i="24" s="1"/>
  <c r="V1264" i="25" s="1"/>
  <c r="K10" i="24" a="1"/>
  <c r="K10" i="24" s="1"/>
  <c r="V1265" i="25" s="1"/>
  <c r="K11" i="24" a="1"/>
  <c r="K11" i="24" s="1"/>
  <c r="V1266" i="25" s="1"/>
  <c r="K12" i="24" a="1"/>
  <c r="K12" i="24" s="1"/>
  <c r="V1267" i="25" s="1"/>
  <c r="K13" i="24" a="1"/>
  <c r="K13" i="24" s="1"/>
  <c r="V1268" i="25" s="1"/>
  <c r="K14" i="24" a="1"/>
  <c r="K14" i="24" s="1"/>
  <c r="V1269" i="25" s="1"/>
  <c r="K15" i="24" a="1"/>
  <c r="K15" i="24" s="1"/>
  <c r="V1270" i="25" s="1"/>
  <c r="K16" i="24" a="1"/>
  <c r="K16" i="24" s="1"/>
  <c r="V1271" i="25" s="1"/>
  <c r="K17" i="24" a="1"/>
  <c r="K17" i="24" s="1"/>
  <c r="V1272" i="25" s="1"/>
  <c r="K18" i="24" a="1"/>
  <c r="K18" i="24" s="1"/>
  <c r="V1273" i="25" s="1"/>
  <c r="K19" i="24" a="1"/>
  <c r="K19" i="24" s="1"/>
  <c r="V1274" i="25" s="1"/>
  <c r="K20" i="24" a="1"/>
  <c r="K20" i="24" s="1"/>
  <c r="V1275" i="25" s="1"/>
  <c r="K21" i="24" a="1"/>
  <c r="K21" i="24" s="1"/>
  <c r="V1276" i="25" s="1"/>
  <c r="K22" i="24" a="1"/>
  <c r="K22" i="24" s="1"/>
  <c r="V1277" i="25" s="1"/>
  <c r="K23" i="24" a="1"/>
  <c r="K23" i="24" s="1"/>
  <c r="V1278" i="25" s="1"/>
  <c r="J7" i="24"/>
  <c r="U1262" i="25" s="1"/>
  <c r="U1263" i="25"/>
  <c r="J9" i="24"/>
  <c r="U1264" i="25" s="1"/>
  <c r="J10" i="24"/>
  <c r="U1265" i="25" s="1"/>
  <c r="J11" i="24"/>
  <c r="U1266" i="25" s="1"/>
  <c r="J12" i="24"/>
  <c r="U1267" i="25" s="1"/>
  <c r="J13" i="24"/>
  <c r="U1268" i="25" s="1"/>
  <c r="J14" i="24"/>
  <c r="U1269" i="25" s="1"/>
  <c r="J15" i="24"/>
  <c r="U1270" i="25" s="1"/>
  <c r="J16" i="24"/>
  <c r="U1271" i="25" s="1"/>
  <c r="J17" i="24"/>
  <c r="U1272" i="25" s="1"/>
  <c r="J18" i="24"/>
  <c r="U1273" i="25" s="1"/>
  <c r="J19" i="24"/>
  <c r="U1274" i="25" s="1"/>
  <c r="J20" i="24"/>
  <c r="U1275" i="25" s="1"/>
  <c r="J21" i="24"/>
  <c r="U1276" i="25" s="1"/>
  <c r="J22" i="24"/>
  <c r="U1277" i="25" s="1"/>
  <c r="J23" i="24"/>
  <c r="U1278" i="25" s="1"/>
  <c r="V377" i="17"/>
  <c r="B13" i="29"/>
  <c r="B21" i="29"/>
  <c r="B29" i="29"/>
  <c r="B37" i="29"/>
  <c r="D3" i="25"/>
  <c r="E3" i="25"/>
  <c r="J1715" i="25"/>
  <c r="M1715" i="25"/>
  <c r="N1715" i="25"/>
  <c r="P1715" i="25"/>
  <c r="S1715" i="25"/>
  <c r="X1715" i="25"/>
  <c r="Y1715" i="25"/>
  <c r="J1716" i="25"/>
  <c r="M1716" i="25"/>
  <c r="N1716" i="25"/>
  <c r="P1716" i="25"/>
  <c r="S1716" i="25"/>
  <c r="X1716" i="25"/>
  <c r="Y1716" i="25"/>
  <c r="J1717" i="25"/>
  <c r="M1717" i="25"/>
  <c r="N1717" i="25"/>
  <c r="P1717" i="25"/>
  <c r="S1717" i="25"/>
  <c r="X1717" i="25"/>
  <c r="Y1717" i="25"/>
  <c r="J1718" i="25"/>
  <c r="M1718" i="25"/>
  <c r="N1718" i="25"/>
  <c r="P1718" i="25"/>
  <c r="S1718" i="25"/>
  <c r="X1718" i="25"/>
  <c r="Y1718" i="25"/>
  <c r="J1719" i="25"/>
  <c r="M1719" i="25"/>
  <c r="N1719" i="25"/>
  <c r="P1719" i="25"/>
  <c r="S1719" i="25"/>
  <c r="X1719" i="25"/>
  <c r="Y1719" i="25"/>
  <c r="J1720" i="25"/>
  <c r="M1720" i="25"/>
  <c r="N1720" i="25"/>
  <c r="P1720" i="25"/>
  <c r="S1720" i="25"/>
  <c r="X1720" i="25"/>
  <c r="Y1720" i="25"/>
  <c r="J1721" i="25"/>
  <c r="M1721" i="25"/>
  <c r="N1721" i="25"/>
  <c r="P1721" i="25"/>
  <c r="S1721" i="25"/>
  <c r="X1721" i="25"/>
  <c r="Y1721" i="25"/>
  <c r="J1722" i="25"/>
  <c r="M1722" i="25"/>
  <c r="N1722" i="25"/>
  <c r="P1722" i="25"/>
  <c r="S1722" i="25"/>
  <c r="X1722" i="25"/>
  <c r="Y1722" i="25"/>
  <c r="J1723" i="25"/>
  <c r="M1723" i="25"/>
  <c r="N1723" i="25"/>
  <c r="P1723" i="25"/>
  <c r="S1723" i="25"/>
  <c r="X1723" i="25"/>
  <c r="Y1723" i="25"/>
  <c r="J1724" i="25"/>
  <c r="M1724" i="25"/>
  <c r="N1724" i="25"/>
  <c r="P1724" i="25"/>
  <c r="S1724" i="25"/>
  <c r="X1724" i="25"/>
  <c r="Y1724" i="25"/>
  <c r="J1725" i="25"/>
  <c r="M1725" i="25"/>
  <c r="N1725" i="25"/>
  <c r="P1725" i="25"/>
  <c r="S1725" i="25"/>
  <c r="X1725" i="25"/>
  <c r="Y1725" i="25"/>
  <c r="J1726" i="25"/>
  <c r="M1726" i="25"/>
  <c r="N1726" i="25"/>
  <c r="P1726" i="25"/>
  <c r="S1726" i="25"/>
  <c r="X1726" i="25"/>
  <c r="Y1726" i="25"/>
  <c r="J1727" i="25"/>
  <c r="M1727" i="25"/>
  <c r="N1727" i="25"/>
  <c r="P1727" i="25"/>
  <c r="S1727" i="25"/>
  <c r="X1727" i="25"/>
  <c r="Y1727" i="25"/>
  <c r="J1728" i="25"/>
  <c r="M1728" i="25"/>
  <c r="N1728" i="25"/>
  <c r="P1728" i="25"/>
  <c r="S1728" i="25"/>
  <c r="X1728" i="25"/>
  <c r="Y1728" i="25"/>
  <c r="J1729" i="25"/>
  <c r="M1729" i="25"/>
  <c r="N1729" i="25"/>
  <c r="P1729" i="25"/>
  <c r="S1729" i="25"/>
  <c r="X1729" i="25"/>
  <c r="Y1729" i="25"/>
  <c r="M1714" i="25"/>
  <c r="N1714" i="25"/>
  <c r="P1714" i="25"/>
  <c r="S1714" i="25"/>
  <c r="X1714" i="25"/>
  <c r="Y1714" i="25"/>
  <c r="J1714" i="25"/>
  <c r="J1691" i="25"/>
  <c r="J1608" i="25"/>
  <c r="M1608" i="25"/>
  <c r="N1608" i="25"/>
  <c r="P1608" i="25"/>
  <c r="S1608" i="25"/>
  <c r="U1608" i="25"/>
  <c r="X1608" i="25"/>
  <c r="Y1608" i="25"/>
  <c r="Z1608" i="25"/>
  <c r="AA1608" i="25"/>
  <c r="AB1608" i="25"/>
  <c r="AC1608" i="25"/>
  <c r="AD1608" i="25"/>
  <c r="J1609" i="25"/>
  <c r="M1609" i="25"/>
  <c r="N1609" i="25"/>
  <c r="P1609" i="25"/>
  <c r="S1609" i="25"/>
  <c r="U1609" i="25"/>
  <c r="X1609" i="25"/>
  <c r="Y1609" i="25"/>
  <c r="Z1609" i="25"/>
  <c r="AA1609" i="25"/>
  <c r="AB1609" i="25"/>
  <c r="AC1609" i="25"/>
  <c r="AD1609" i="25"/>
  <c r="J1610" i="25"/>
  <c r="M1610" i="25"/>
  <c r="N1610" i="25"/>
  <c r="P1610" i="25"/>
  <c r="S1610" i="25"/>
  <c r="U1610" i="25"/>
  <c r="X1610" i="25"/>
  <c r="Y1610" i="25"/>
  <c r="Z1610" i="25"/>
  <c r="AA1610" i="25"/>
  <c r="AB1610" i="25"/>
  <c r="AC1610" i="25"/>
  <c r="AD1610" i="25"/>
  <c r="J1611" i="25"/>
  <c r="M1611" i="25"/>
  <c r="N1611" i="25"/>
  <c r="P1611" i="25"/>
  <c r="S1611" i="25"/>
  <c r="U1611" i="25"/>
  <c r="X1611" i="25"/>
  <c r="Y1611" i="25"/>
  <c r="Z1611" i="25"/>
  <c r="AA1611" i="25"/>
  <c r="AB1611" i="25"/>
  <c r="AC1611" i="25"/>
  <c r="AD1611" i="25"/>
  <c r="J1612" i="25"/>
  <c r="M1612" i="25"/>
  <c r="N1612" i="25"/>
  <c r="P1612" i="25"/>
  <c r="S1612" i="25"/>
  <c r="U1612" i="25"/>
  <c r="X1612" i="25"/>
  <c r="Y1612" i="25"/>
  <c r="Z1612" i="25"/>
  <c r="AA1612" i="25"/>
  <c r="AB1612" i="25"/>
  <c r="AC1612" i="25"/>
  <c r="AD1612" i="25"/>
  <c r="J1613" i="25"/>
  <c r="M1613" i="25"/>
  <c r="N1613" i="25"/>
  <c r="P1613" i="25"/>
  <c r="S1613" i="25"/>
  <c r="U1613" i="25"/>
  <c r="X1613" i="25"/>
  <c r="Y1613" i="25"/>
  <c r="Z1613" i="25"/>
  <c r="AA1613" i="25"/>
  <c r="AB1613" i="25"/>
  <c r="AC1613" i="25"/>
  <c r="AD1613" i="25"/>
  <c r="J1614" i="25"/>
  <c r="M1614" i="25"/>
  <c r="N1614" i="25"/>
  <c r="P1614" i="25"/>
  <c r="S1614" i="25"/>
  <c r="U1614" i="25"/>
  <c r="X1614" i="25"/>
  <c r="Y1614" i="25"/>
  <c r="Z1614" i="25"/>
  <c r="AA1614" i="25"/>
  <c r="AB1614" i="25"/>
  <c r="AC1614" i="25"/>
  <c r="AD1614" i="25"/>
  <c r="J1615" i="25"/>
  <c r="M1615" i="25"/>
  <c r="N1615" i="25"/>
  <c r="P1615" i="25"/>
  <c r="S1615" i="25"/>
  <c r="U1615" i="25"/>
  <c r="X1615" i="25"/>
  <c r="Y1615" i="25"/>
  <c r="Z1615" i="25"/>
  <c r="AA1615" i="25"/>
  <c r="AB1615" i="25"/>
  <c r="AC1615" i="25"/>
  <c r="AD1615" i="25"/>
  <c r="J1616" i="25"/>
  <c r="M1616" i="25"/>
  <c r="N1616" i="25"/>
  <c r="P1616" i="25"/>
  <c r="S1616" i="25"/>
  <c r="U1616" i="25"/>
  <c r="X1616" i="25"/>
  <c r="Y1616" i="25"/>
  <c r="Z1616" i="25"/>
  <c r="AA1616" i="25"/>
  <c r="AB1616" i="25"/>
  <c r="AC1616" i="25"/>
  <c r="AD1616" i="25"/>
  <c r="J1617" i="25"/>
  <c r="M1617" i="25"/>
  <c r="N1617" i="25"/>
  <c r="P1617" i="25"/>
  <c r="S1617" i="25"/>
  <c r="U1617" i="25"/>
  <c r="X1617" i="25"/>
  <c r="Y1617" i="25"/>
  <c r="Z1617" i="25"/>
  <c r="AA1617" i="25"/>
  <c r="AB1617" i="25"/>
  <c r="AC1617" i="25"/>
  <c r="AD1617" i="25"/>
  <c r="J1618" i="25"/>
  <c r="M1618" i="25"/>
  <c r="N1618" i="25"/>
  <c r="P1618" i="25"/>
  <c r="S1618" i="25"/>
  <c r="U1618" i="25"/>
  <c r="X1618" i="25"/>
  <c r="Y1618" i="25"/>
  <c r="Z1618" i="25"/>
  <c r="AA1618" i="25"/>
  <c r="AB1618" i="25"/>
  <c r="AC1618" i="25"/>
  <c r="AD1618" i="25"/>
  <c r="J1619" i="25"/>
  <c r="M1619" i="25"/>
  <c r="N1619" i="25"/>
  <c r="P1619" i="25"/>
  <c r="S1619" i="25"/>
  <c r="U1619" i="25"/>
  <c r="X1619" i="25"/>
  <c r="Y1619" i="25"/>
  <c r="Z1619" i="25"/>
  <c r="AA1619" i="25"/>
  <c r="AB1619" i="25"/>
  <c r="AC1619" i="25"/>
  <c r="AD1619" i="25"/>
  <c r="J1620" i="25"/>
  <c r="M1620" i="25"/>
  <c r="N1620" i="25"/>
  <c r="P1620" i="25"/>
  <c r="S1620" i="25"/>
  <c r="U1620" i="25"/>
  <c r="X1620" i="25"/>
  <c r="Y1620" i="25"/>
  <c r="Z1620" i="25"/>
  <c r="AA1620" i="25"/>
  <c r="AB1620" i="25"/>
  <c r="AC1620" i="25"/>
  <c r="AD1620" i="25"/>
  <c r="J1621" i="25"/>
  <c r="M1621" i="25"/>
  <c r="N1621" i="25"/>
  <c r="P1621" i="25"/>
  <c r="S1621" i="25"/>
  <c r="U1621" i="25"/>
  <c r="X1621" i="25"/>
  <c r="Y1621" i="25"/>
  <c r="Z1621" i="25"/>
  <c r="AA1621" i="25"/>
  <c r="AB1621" i="25"/>
  <c r="AC1621" i="25"/>
  <c r="AD1621" i="25"/>
  <c r="J1622" i="25"/>
  <c r="M1622" i="25"/>
  <c r="N1622" i="25"/>
  <c r="P1622" i="25"/>
  <c r="S1622" i="25"/>
  <c r="U1622" i="25"/>
  <c r="X1622" i="25"/>
  <c r="Y1622" i="25"/>
  <c r="Z1622" i="25"/>
  <c r="AA1622" i="25"/>
  <c r="AB1622" i="25"/>
  <c r="AC1622" i="25"/>
  <c r="AD1622" i="25"/>
  <c r="J1623" i="25"/>
  <c r="M1623" i="25"/>
  <c r="N1623" i="25"/>
  <c r="P1623" i="25"/>
  <c r="S1623" i="25"/>
  <c r="U1623" i="25"/>
  <c r="X1623" i="25"/>
  <c r="Y1623" i="25"/>
  <c r="Z1623" i="25"/>
  <c r="AA1623" i="25"/>
  <c r="AB1623" i="25"/>
  <c r="AC1623" i="25"/>
  <c r="AD1623" i="25"/>
  <c r="J1624" i="25"/>
  <c r="M1624" i="25"/>
  <c r="N1624" i="25"/>
  <c r="P1624" i="25"/>
  <c r="S1624" i="25"/>
  <c r="U1624" i="25"/>
  <c r="X1624" i="25"/>
  <c r="Y1624" i="25"/>
  <c r="Z1624" i="25"/>
  <c r="AA1624" i="25"/>
  <c r="AB1624" i="25"/>
  <c r="AC1624" i="25"/>
  <c r="AD1624" i="25"/>
  <c r="J1625" i="25"/>
  <c r="M1625" i="25"/>
  <c r="N1625" i="25"/>
  <c r="P1625" i="25"/>
  <c r="S1625" i="25"/>
  <c r="U1625" i="25"/>
  <c r="X1625" i="25"/>
  <c r="Y1625" i="25"/>
  <c r="Z1625" i="25"/>
  <c r="AA1625" i="25"/>
  <c r="AB1625" i="25"/>
  <c r="AC1625" i="25"/>
  <c r="AD1625" i="25"/>
  <c r="J1626" i="25"/>
  <c r="M1626" i="25"/>
  <c r="N1626" i="25"/>
  <c r="P1626" i="25"/>
  <c r="S1626" i="25"/>
  <c r="U1626" i="25"/>
  <c r="X1626" i="25"/>
  <c r="Y1626" i="25"/>
  <c r="Z1626" i="25"/>
  <c r="AA1626" i="25"/>
  <c r="AB1626" i="25"/>
  <c r="AC1626" i="25"/>
  <c r="AD1626" i="25"/>
  <c r="J1690" i="25"/>
  <c r="M1690" i="25"/>
  <c r="N1690" i="25"/>
  <c r="P1690" i="25"/>
  <c r="S1690" i="25"/>
  <c r="U1690" i="25"/>
  <c r="X1690" i="25"/>
  <c r="Y1690" i="25"/>
  <c r="Z1690" i="25"/>
  <c r="AA1690" i="25"/>
  <c r="AB1690" i="25"/>
  <c r="AC1690" i="25"/>
  <c r="AD1690" i="25"/>
  <c r="M1607" i="25"/>
  <c r="N1607" i="25"/>
  <c r="P1607" i="25"/>
  <c r="S1607" i="25"/>
  <c r="U1607" i="25"/>
  <c r="X1607" i="25"/>
  <c r="Y1607" i="25"/>
  <c r="Z1607" i="25"/>
  <c r="AA1607" i="25"/>
  <c r="AB1607" i="25"/>
  <c r="AC1607" i="25"/>
  <c r="AD1607" i="25"/>
  <c r="J1607" i="25"/>
  <c r="J1585" i="25"/>
  <c r="J1557" i="25"/>
  <c r="J1539" i="25"/>
  <c r="M1539" i="25"/>
  <c r="N1539" i="25"/>
  <c r="P1539" i="25"/>
  <c r="S1539" i="25"/>
  <c r="X1539" i="25"/>
  <c r="Y1539" i="25"/>
  <c r="J1540" i="25"/>
  <c r="M1540" i="25"/>
  <c r="N1540" i="25"/>
  <c r="P1540" i="25"/>
  <c r="S1540" i="25"/>
  <c r="X1540" i="25"/>
  <c r="Y1540" i="25"/>
  <c r="J1541" i="25"/>
  <c r="M1541" i="25"/>
  <c r="N1541" i="25"/>
  <c r="P1541" i="25"/>
  <c r="S1541" i="25"/>
  <c r="X1541" i="25"/>
  <c r="Y1541" i="25"/>
  <c r="J1542" i="25"/>
  <c r="M1542" i="25"/>
  <c r="N1542" i="25"/>
  <c r="P1542" i="25"/>
  <c r="S1542" i="25"/>
  <c r="X1542" i="25"/>
  <c r="Y1542" i="25"/>
  <c r="J1543" i="25"/>
  <c r="M1543" i="25"/>
  <c r="N1543" i="25"/>
  <c r="P1543" i="25"/>
  <c r="S1543" i="25"/>
  <c r="X1543" i="25"/>
  <c r="Y1543" i="25"/>
  <c r="J1544" i="25"/>
  <c r="M1544" i="25"/>
  <c r="N1544" i="25"/>
  <c r="P1544" i="25"/>
  <c r="S1544" i="25"/>
  <c r="X1544" i="25"/>
  <c r="Y1544" i="25"/>
  <c r="J1545" i="25"/>
  <c r="M1545" i="25"/>
  <c r="N1545" i="25"/>
  <c r="P1545" i="25"/>
  <c r="S1545" i="25"/>
  <c r="X1545" i="25"/>
  <c r="Y1545" i="25"/>
  <c r="J1546" i="25"/>
  <c r="M1546" i="25"/>
  <c r="N1546" i="25"/>
  <c r="P1546" i="25"/>
  <c r="S1546" i="25"/>
  <c r="X1546" i="25"/>
  <c r="Y1546" i="25"/>
  <c r="J1547" i="25"/>
  <c r="M1547" i="25"/>
  <c r="N1547" i="25"/>
  <c r="P1547" i="25"/>
  <c r="S1547" i="25"/>
  <c r="X1547" i="25"/>
  <c r="Y1547" i="25"/>
  <c r="J1548" i="25"/>
  <c r="M1548" i="25"/>
  <c r="N1548" i="25"/>
  <c r="P1548" i="25"/>
  <c r="S1548" i="25"/>
  <c r="X1548" i="25"/>
  <c r="Y1548" i="25"/>
  <c r="J1549" i="25"/>
  <c r="M1549" i="25"/>
  <c r="N1549" i="25"/>
  <c r="P1549" i="25"/>
  <c r="S1549" i="25"/>
  <c r="X1549" i="25"/>
  <c r="Y1549" i="25"/>
  <c r="J1550" i="25"/>
  <c r="M1550" i="25"/>
  <c r="N1550" i="25"/>
  <c r="P1550" i="25"/>
  <c r="S1550" i="25"/>
  <c r="X1550" i="25"/>
  <c r="Y1550" i="25"/>
  <c r="J1551" i="25"/>
  <c r="M1551" i="25"/>
  <c r="N1551" i="25"/>
  <c r="P1551" i="25"/>
  <c r="S1551" i="25"/>
  <c r="X1551" i="25"/>
  <c r="Y1551" i="25"/>
  <c r="J1552" i="25"/>
  <c r="M1552" i="25"/>
  <c r="N1552" i="25"/>
  <c r="P1552" i="25"/>
  <c r="S1552" i="25"/>
  <c r="X1552" i="25"/>
  <c r="Y1552" i="25"/>
  <c r="J1553" i="25"/>
  <c r="M1553" i="25"/>
  <c r="N1553" i="25"/>
  <c r="P1553" i="25"/>
  <c r="S1553" i="25"/>
  <c r="X1553" i="25"/>
  <c r="Y1553" i="25"/>
  <c r="J1554" i="25"/>
  <c r="M1554" i="25"/>
  <c r="N1554" i="25"/>
  <c r="P1554" i="25"/>
  <c r="S1554" i="25"/>
  <c r="X1554" i="25"/>
  <c r="Y1554" i="25"/>
  <c r="J1555" i="25"/>
  <c r="M1555" i="25"/>
  <c r="N1555" i="25"/>
  <c r="P1555" i="25"/>
  <c r="S1555" i="25"/>
  <c r="X1555" i="25"/>
  <c r="Y1555" i="25"/>
  <c r="J1556" i="25"/>
  <c r="M1556" i="25"/>
  <c r="N1556" i="25"/>
  <c r="P1556" i="25"/>
  <c r="S1556" i="25"/>
  <c r="X1556" i="25"/>
  <c r="Y1556" i="25"/>
  <c r="J1517" i="25"/>
  <c r="M1517" i="25"/>
  <c r="N1517" i="25"/>
  <c r="P1517" i="25"/>
  <c r="S1517" i="25"/>
  <c r="X1517" i="25"/>
  <c r="Y1517" i="25"/>
  <c r="J1518" i="25"/>
  <c r="M1518" i="25"/>
  <c r="N1518" i="25"/>
  <c r="P1518" i="25"/>
  <c r="S1518" i="25"/>
  <c r="X1518" i="25"/>
  <c r="Y1518" i="25"/>
  <c r="J1519" i="25"/>
  <c r="M1519" i="25"/>
  <c r="N1519" i="25"/>
  <c r="P1519" i="25"/>
  <c r="S1519" i="25"/>
  <c r="X1519" i="25"/>
  <c r="Y1519" i="25"/>
  <c r="J1520" i="25"/>
  <c r="M1520" i="25"/>
  <c r="N1520" i="25"/>
  <c r="P1520" i="25"/>
  <c r="S1520" i="25"/>
  <c r="X1520" i="25"/>
  <c r="Y1520" i="25"/>
  <c r="J1521" i="25"/>
  <c r="M1521" i="25"/>
  <c r="N1521" i="25"/>
  <c r="P1521" i="25"/>
  <c r="S1521" i="25"/>
  <c r="X1521" i="25"/>
  <c r="Y1521" i="25"/>
  <c r="J1522" i="25"/>
  <c r="M1522" i="25"/>
  <c r="N1522" i="25"/>
  <c r="P1522" i="25"/>
  <c r="S1522" i="25"/>
  <c r="X1522" i="25"/>
  <c r="Y1522" i="25"/>
  <c r="J1523" i="25"/>
  <c r="M1523" i="25"/>
  <c r="N1523" i="25"/>
  <c r="P1523" i="25"/>
  <c r="S1523" i="25"/>
  <c r="X1523" i="25"/>
  <c r="Y1523" i="25"/>
  <c r="J1524" i="25"/>
  <c r="M1524" i="25"/>
  <c r="N1524" i="25"/>
  <c r="P1524" i="25"/>
  <c r="S1524" i="25"/>
  <c r="X1524" i="25"/>
  <c r="Y1524" i="25"/>
  <c r="J1525" i="25"/>
  <c r="M1525" i="25"/>
  <c r="N1525" i="25"/>
  <c r="P1525" i="25"/>
  <c r="S1525" i="25"/>
  <c r="X1525" i="25"/>
  <c r="Y1525" i="25"/>
  <c r="J1526" i="25"/>
  <c r="M1526" i="25"/>
  <c r="N1526" i="25"/>
  <c r="P1526" i="25"/>
  <c r="S1526" i="25"/>
  <c r="X1526" i="25"/>
  <c r="Y1526" i="25"/>
  <c r="J1527" i="25"/>
  <c r="M1527" i="25"/>
  <c r="N1527" i="25"/>
  <c r="P1527" i="25"/>
  <c r="S1527" i="25"/>
  <c r="X1527" i="25"/>
  <c r="Y1527" i="25"/>
  <c r="J1528" i="25"/>
  <c r="M1528" i="25"/>
  <c r="N1528" i="25"/>
  <c r="P1528" i="25"/>
  <c r="S1528" i="25"/>
  <c r="X1528" i="25"/>
  <c r="Y1528" i="25"/>
  <c r="J1529" i="25"/>
  <c r="M1529" i="25"/>
  <c r="N1529" i="25"/>
  <c r="P1529" i="25"/>
  <c r="S1529" i="25"/>
  <c r="X1529" i="25"/>
  <c r="Y1529" i="25"/>
  <c r="J1530" i="25"/>
  <c r="M1530" i="25"/>
  <c r="N1530" i="25"/>
  <c r="P1530" i="25"/>
  <c r="S1530" i="25"/>
  <c r="X1530" i="25"/>
  <c r="Y1530" i="25"/>
  <c r="J1531" i="25"/>
  <c r="M1531" i="25"/>
  <c r="N1531" i="25"/>
  <c r="P1531" i="25"/>
  <c r="S1531" i="25"/>
  <c r="X1531" i="25"/>
  <c r="Y1531" i="25"/>
  <c r="J1532" i="25"/>
  <c r="M1532" i="25"/>
  <c r="N1532" i="25"/>
  <c r="P1532" i="25"/>
  <c r="S1532" i="25"/>
  <c r="X1532" i="25"/>
  <c r="Y1532" i="25"/>
  <c r="J1533" i="25"/>
  <c r="M1533" i="25"/>
  <c r="N1533" i="25"/>
  <c r="P1533" i="25"/>
  <c r="S1533" i="25"/>
  <c r="X1533" i="25"/>
  <c r="Y1533" i="25"/>
  <c r="J1534" i="25"/>
  <c r="M1534" i="25"/>
  <c r="N1534" i="25"/>
  <c r="P1534" i="25"/>
  <c r="S1534" i="25"/>
  <c r="X1534" i="25"/>
  <c r="Y1534" i="25"/>
  <c r="J1535" i="25"/>
  <c r="M1535" i="25"/>
  <c r="N1535" i="25"/>
  <c r="P1535" i="25"/>
  <c r="S1535" i="25"/>
  <c r="X1535" i="25"/>
  <c r="Y1535" i="25"/>
  <c r="J1536" i="25"/>
  <c r="M1536" i="25"/>
  <c r="N1536" i="25"/>
  <c r="P1536" i="25"/>
  <c r="S1536" i="25"/>
  <c r="X1536" i="25"/>
  <c r="Y1536" i="25"/>
  <c r="J1537" i="25"/>
  <c r="M1537" i="25"/>
  <c r="N1537" i="25"/>
  <c r="P1537" i="25"/>
  <c r="S1537" i="25"/>
  <c r="X1537" i="25"/>
  <c r="Y1537" i="25"/>
  <c r="J1538" i="25"/>
  <c r="M1538" i="25"/>
  <c r="N1538" i="25"/>
  <c r="P1538" i="25"/>
  <c r="S1538" i="25"/>
  <c r="X1538" i="25"/>
  <c r="Y1538" i="25"/>
  <c r="M1516" i="25"/>
  <c r="N1516" i="25"/>
  <c r="P1516" i="25"/>
  <c r="S1516" i="25"/>
  <c r="X1516" i="25"/>
  <c r="Y1516" i="25"/>
  <c r="N1412" i="25"/>
  <c r="P1412" i="25"/>
  <c r="Q1412" i="25"/>
  <c r="S1412" i="25"/>
  <c r="U1412" i="25"/>
  <c r="W1412" i="25"/>
  <c r="X1412" i="25"/>
  <c r="Y1412" i="25"/>
  <c r="Z1412" i="25"/>
  <c r="AA1412" i="25"/>
  <c r="AC1412" i="25"/>
  <c r="AD1412" i="25"/>
  <c r="AE1412" i="25"/>
  <c r="AF1412" i="25"/>
  <c r="N1413" i="25"/>
  <c r="P1413" i="25"/>
  <c r="Q1413" i="25"/>
  <c r="S1413" i="25"/>
  <c r="U1413" i="25"/>
  <c r="W1413" i="25"/>
  <c r="X1413" i="25"/>
  <c r="Y1413" i="25"/>
  <c r="Z1413" i="25"/>
  <c r="AA1413" i="25"/>
  <c r="AC1413" i="25"/>
  <c r="AD1413" i="25"/>
  <c r="AE1413" i="25"/>
  <c r="AF1413" i="25"/>
  <c r="N1414" i="25"/>
  <c r="P1414" i="25"/>
  <c r="Q1414" i="25"/>
  <c r="S1414" i="25"/>
  <c r="U1414" i="25"/>
  <c r="W1414" i="25"/>
  <c r="X1414" i="25"/>
  <c r="Y1414" i="25"/>
  <c r="Z1414" i="25"/>
  <c r="AA1414" i="25"/>
  <c r="AC1414" i="25"/>
  <c r="AD1414" i="25"/>
  <c r="AE1414" i="25"/>
  <c r="AF1414" i="25"/>
  <c r="N1415" i="25"/>
  <c r="P1415" i="25"/>
  <c r="Q1415" i="25"/>
  <c r="S1415" i="25"/>
  <c r="U1415" i="25"/>
  <c r="W1415" i="25"/>
  <c r="X1415" i="25"/>
  <c r="Y1415" i="25"/>
  <c r="Z1415" i="25"/>
  <c r="AA1415" i="25"/>
  <c r="AC1415" i="25"/>
  <c r="AD1415" i="25"/>
  <c r="AE1415" i="25"/>
  <c r="AF1415" i="25"/>
  <c r="N1416" i="25"/>
  <c r="P1416" i="25"/>
  <c r="Q1416" i="25"/>
  <c r="S1416" i="25"/>
  <c r="U1416" i="25"/>
  <c r="W1416" i="25"/>
  <c r="X1416" i="25"/>
  <c r="Y1416" i="25"/>
  <c r="Z1416" i="25"/>
  <c r="AA1416" i="25"/>
  <c r="AC1416" i="25"/>
  <c r="AD1416" i="25"/>
  <c r="AE1416" i="25"/>
  <c r="AF1416" i="25"/>
  <c r="N1417" i="25"/>
  <c r="P1417" i="25"/>
  <c r="Q1417" i="25"/>
  <c r="S1417" i="25"/>
  <c r="U1417" i="25"/>
  <c r="W1417" i="25"/>
  <c r="X1417" i="25"/>
  <c r="Y1417" i="25"/>
  <c r="Z1417" i="25"/>
  <c r="AA1417" i="25"/>
  <c r="AC1417" i="25"/>
  <c r="AD1417" i="25"/>
  <c r="AE1417" i="25"/>
  <c r="AF1417" i="25"/>
  <c r="N1418" i="25"/>
  <c r="P1418" i="25"/>
  <c r="Q1418" i="25"/>
  <c r="S1418" i="25"/>
  <c r="U1418" i="25"/>
  <c r="W1418" i="25"/>
  <c r="X1418" i="25"/>
  <c r="Y1418" i="25"/>
  <c r="Z1418" i="25"/>
  <c r="AA1418" i="25"/>
  <c r="AC1418" i="25"/>
  <c r="AD1418" i="25"/>
  <c r="AE1418" i="25"/>
  <c r="AF1418" i="25"/>
  <c r="N1419" i="25"/>
  <c r="P1419" i="25"/>
  <c r="Q1419" i="25"/>
  <c r="S1419" i="25"/>
  <c r="U1419" i="25"/>
  <c r="W1419" i="25"/>
  <c r="X1419" i="25"/>
  <c r="Y1419" i="25"/>
  <c r="Z1419" i="25"/>
  <c r="AA1419" i="25"/>
  <c r="AC1419" i="25"/>
  <c r="AD1419" i="25"/>
  <c r="AE1419" i="25"/>
  <c r="AF1419" i="25"/>
  <c r="N1420" i="25"/>
  <c r="P1420" i="25"/>
  <c r="Q1420" i="25"/>
  <c r="S1420" i="25"/>
  <c r="U1420" i="25"/>
  <c r="W1420" i="25"/>
  <c r="X1420" i="25"/>
  <c r="Y1420" i="25"/>
  <c r="Z1420" i="25"/>
  <c r="AA1420" i="25"/>
  <c r="AC1420" i="25"/>
  <c r="AD1420" i="25"/>
  <c r="AE1420" i="25"/>
  <c r="AF1420" i="25"/>
  <c r="N1390" i="25"/>
  <c r="P1390" i="25"/>
  <c r="Q1390" i="25"/>
  <c r="S1390" i="25"/>
  <c r="U1390" i="25"/>
  <c r="W1390" i="25"/>
  <c r="X1390" i="25"/>
  <c r="Y1390" i="25"/>
  <c r="Z1390" i="25"/>
  <c r="AA1390" i="25"/>
  <c r="AC1390" i="25"/>
  <c r="AD1390" i="25"/>
  <c r="AE1390" i="25"/>
  <c r="AF1390" i="25"/>
  <c r="N1391" i="25"/>
  <c r="P1391" i="25"/>
  <c r="Q1391" i="25"/>
  <c r="S1391" i="25"/>
  <c r="U1391" i="25"/>
  <c r="W1391" i="25"/>
  <c r="X1391" i="25"/>
  <c r="Y1391" i="25"/>
  <c r="Z1391" i="25"/>
  <c r="AA1391" i="25"/>
  <c r="AC1391" i="25"/>
  <c r="AD1391" i="25"/>
  <c r="AE1391" i="25"/>
  <c r="AF1391" i="25"/>
  <c r="N1392" i="25"/>
  <c r="P1392" i="25"/>
  <c r="Q1392" i="25"/>
  <c r="S1392" i="25"/>
  <c r="U1392" i="25"/>
  <c r="W1392" i="25"/>
  <c r="X1392" i="25"/>
  <c r="Y1392" i="25"/>
  <c r="Z1392" i="25"/>
  <c r="AA1392" i="25"/>
  <c r="AC1392" i="25"/>
  <c r="AD1392" i="25"/>
  <c r="AE1392" i="25"/>
  <c r="AF1392" i="25"/>
  <c r="N1393" i="25"/>
  <c r="P1393" i="25"/>
  <c r="Q1393" i="25"/>
  <c r="S1393" i="25"/>
  <c r="U1393" i="25"/>
  <c r="W1393" i="25"/>
  <c r="X1393" i="25"/>
  <c r="Y1393" i="25"/>
  <c r="Z1393" i="25"/>
  <c r="AA1393" i="25"/>
  <c r="AC1393" i="25"/>
  <c r="AD1393" i="25"/>
  <c r="AE1393" i="25"/>
  <c r="AF1393" i="25"/>
  <c r="N1394" i="25"/>
  <c r="P1394" i="25"/>
  <c r="Q1394" i="25"/>
  <c r="S1394" i="25"/>
  <c r="U1394" i="25"/>
  <c r="W1394" i="25"/>
  <c r="X1394" i="25"/>
  <c r="Y1394" i="25"/>
  <c r="Z1394" i="25"/>
  <c r="AA1394" i="25"/>
  <c r="AC1394" i="25"/>
  <c r="AD1394" i="25"/>
  <c r="AE1394" i="25"/>
  <c r="AF1394" i="25"/>
  <c r="N1395" i="25"/>
  <c r="P1395" i="25"/>
  <c r="Q1395" i="25"/>
  <c r="S1395" i="25"/>
  <c r="U1395" i="25"/>
  <c r="W1395" i="25"/>
  <c r="X1395" i="25"/>
  <c r="Y1395" i="25"/>
  <c r="Z1395" i="25"/>
  <c r="AA1395" i="25"/>
  <c r="AC1395" i="25"/>
  <c r="AD1395" i="25"/>
  <c r="AE1395" i="25"/>
  <c r="AF1395" i="25"/>
  <c r="N1396" i="25"/>
  <c r="P1396" i="25"/>
  <c r="Q1396" i="25"/>
  <c r="S1396" i="25"/>
  <c r="U1396" i="25"/>
  <c r="W1396" i="25"/>
  <c r="X1396" i="25"/>
  <c r="Y1396" i="25"/>
  <c r="Z1396" i="25"/>
  <c r="AA1396" i="25"/>
  <c r="AC1396" i="25"/>
  <c r="AD1396" i="25"/>
  <c r="AE1396" i="25"/>
  <c r="AF1396" i="25"/>
  <c r="N1397" i="25"/>
  <c r="P1397" i="25"/>
  <c r="Q1397" i="25"/>
  <c r="S1397" i="25"/>
  <c r="U1397" i="25"/>
  <c r="W1397" i="25"/>
  <c r="X1397" i="25"/>
  <c r="Y1397" i="25"/>
  <c r="Z1397" i="25"/>
  <c r="AA1397" i="25"/>
  <c r="AC1397" i="25"/>
  <c r="AD1397" i="25"/>
  <c r="AE1397" i="25"/>
  <c r="AF1397" i="25"/>
  <c r="N1398" i="25"/>
  <c r="P1398" i="25"/>
  <c r="Q1398" i="25"/>
  <c r="S1398" i="25"/>
  <c r="U1398" i="25"/>
  <c r="W1398" i="25"/>
  <c r="X1398" i="25"/>
  <c r="Y1398" i="25"/>
  <c r="Z1398" i="25"/>
  <c r="AA1398" i="25"/>
  <c r="AC1398" i="25"/>
  <c r="AD1398" i="25"/>
  <c r="AE1398" i="25"/>
  <c r="AF1398" i="25"/>
  <c r="N1399" i="25"/>
  <c r="P1399" i="25"/>
  <c r="Q1399" i="25"/>
  <c r="S1399" i="25"/>
  <c r="U1399" i="25"/>
  <c r="W1399" i="25"/>
  <c r="X1399" i="25"/>
  <c r="Y1399" i="25"/>
  <c r="Z1399" i="25"/>
  <c r="AA1399" i="25"/>
  <c r="AC1399" i="25"/>
  <c r="AD1399" i="25"/>
  <c r="AE1399" i="25"/>
  <c r="AF1399" i="25"/>
  <c r="N1400" i="25"/>
  <c r="P1400" i="25"/>
  <c r="Q1400" i="25"/>
  <c r="S1400" i="25"/>
  <c r="U1400" i="25"/>
  <c r="W1400" i="25"/>
  <c r="X1400" i="25"/>
  <c r="Y1400" i="25"/>
  <c r="Z1400" i="25"/>
  <c r="AA1400" i="25"/>
  <c r="AC1400" i="25"/>
  <c r="AD1400" i="25"/>
  <c r="AE1400" i="25"/>
  <c r="AF1400" i="25"/>
  <c r="N1401" i="25"/>
  <c r="P1401" i="25"/>
  <c r="Q1401" i="25"/>
  <c r="S1401" i="25"/>
  <c r="U1401" i="25"/>
  <c r="W1401" i="25"/>
  <c r="X1401" i="25"/>
  <c r="Y1401" i="25"/>
  <c r="Z1401" i="25"/>
  <c r="AA1401" i="25"/>
  <c r="AC1401" i="25"/>
  <c r="AD1401" i="25"/>
  <c r="AE1401" i="25"/>
  <c r="AF1401" i="25"/>
  <c r="N1402" i="25"/>
  <c r="P1402" i="25"/>
  <c r="Q1402" i="25"/>
  <c r="S1402" i="25"/>
  <c r="U1402" i="25"/>
  <c r="W1402" i="25"/>
  <c r="X1402" i="25"/>
  <c r="Y1402" i="25"/>
  <c r="Z1402" i="25"/>
  <c r="AA1402" i="25"/>
  <c r="AC1402" i="25"/>
  <c r="AD1402" i="25"/>
  <c r="AE1402" i="25"/>
  <c r="AF1402" i="25"/>
  <c r="N1403" i="25"/>
  <c r="P1403" i="25"/>
  <c r="Q1403" i="25"/>
  <c r="S1403" i="25"/>
  <c r="U1403" i="25"/>
  <c r="W1403" i="25"/>
  <c r="X1403" i="25"/>
  <c r="Y1403" i="25"/>
  <c r="Z1403" i="25"/>
  <c r="AA1403" i="25"/>
  <c r="AC1403" i="25"/>
  <c r="AD1403" i="25"/>
  <c r="AE1403" i="25"/>
  <c r="AF1403" i="25"/>
  <c r="N1404" i="25"/>
  <c r="P1404" i="25"/>
  <c r="Q1404" i="25"/>
  <c r="S1404" i="25"/>
  <c r="U1404" i="25"/>
  <c r="W1404" i="25"/>
  <c r="X1404" i="25"/>
  <c r="Y1404" i="25"/>
  <c r="Z1404" i="25"/>
  <c r="AA1404" i="25"/>
  <c r="AC1404" i="25"/>
  <c r="AD1404" i="25"/>
  <c r="AE1404" i="25"/>
  <c r="AF1404" i="25"/>
  <c r="N1405" i="25"/>
  <c r="P1405" i="25"/>
  <c r="Q1405" i="25"/>
  <c r="S1405" i="25"/>
  <c r="U1405" i="25"/>
  <c r="W1405" i="25"/>
  <c r="X1405" i="25"/>
  <c r="Y1405" i="25"/>
  <c r="Z1405" i="25"/>
  <c r="AA1405" i="25"/>
  <c r="AC1405" i="25"/>
  <c r="AD1405" i="25"/>
  <c r="AE1405" i="25"/>
  <c r="AF1405" i="25"/>
  <c r="N1406" i="25"/>
  <c r="P1406" i="25"/>
  <c r="Q1406" i="25"/>
  <c r="S1406" i="25"/>
  <c r="U1406" i="25"/>
  <c r="W1406" i="25"/>
  <c r="X1406" i="25"/>
  <c r="Y1406" i="25"/>
  <c r="Z1406" i="25"/>
  <c r="AA1406" i="25"/>
  <c r="AC1406" i="25"/>
  <c r="AD1406" i="25"/>
  <c r="AE1406" i="25"/>
  <c r="AF1406" i="25"/>
  <c r="N1407" i="25"/>
  <c r="P1407" i="25"/>
  <c r="Q1407" i="25"/>
  <c r="S1407" i="25"/>
  <c r="U1407" i="25"/>
  <c r="W1407" i="25"/>
  <c r="X1407" i="25"/>
  <c r="Y1407" i="25"/>
  <c r="Z1407" i="25"/>
  <c r="AA1407" i="25"/>
  <c r="AC1407" i="25"/>
  <c r="AD1407" i="25"/>
  <c r="AE1407" i="25"/>
  <c r="AF1407" i="25"/>
  <c r="N1408" i="25"/>
  <c r="P1408" i="25"/>
  <c r="Q1408" i="25"/>
  <c r="S1408" i="25"/>
  <c r="U1408" i="25"/>
  <c r="W1408" i="25"/>
  <c r="X1408" i="25"/>
  <c r="Y1408" i="25"/>
  <c r="Z1408" i="25"/>
  <c r="AA1408" i="25"/>
  <c r="AC1408" i="25"/>
  <c r="AD1408" i="25"/>
  <c r="AE1408" i="25"/>
  <c r="AF1408" i="25"/>
  <c r="N1409" i="25"/>
  <c r="P1409" i="25"/>
  <c r="Q1409" i="25"/>
  <c r="S1409" i="25"/>
  <c r="U1409" i="25"/>
  <c r="W1409" i="25"/>
  <c r="X1409" i="25"/>
  <c r="Y1409" i="25"/>
  <c r="Z1409" i="25"/>
  <c r="AA1409" i="25"/>
  <c r="AC1409" i="25"/>
  <c r="AD1409" i="25"/>
  <c r="AE1409" i="25"/>
  <c r="AF1409" i="25"/>
  <c r="N1410" i="25"/>
  <c r="P1410" i="25"/>
  <c r="Q1410" i="25"/>
  <c r="S1410" i="25"/>
  <c r="U1410" i="25"/>
  <c r="W1410" i="25"/>
  <c r="X1410" i="25"/>
  <c r="Y1410" i="25"/>
  <c r="Z1410" i="25"/>
  <c r="AA1410" i="25"/>
  <c r="AC1410" i="25"/>
  <c r="AD1410" i="25"/>
  <c r="AE1410" i="25"/>
  <c r="AF1410" i="25"/>
  <c r="N1411" i="25"/>
  <c r="P1411" i="25"/>
  <c r="Q1411" i="25"/>
  <c r="S1411" i="25"/>
  <c r="U1411" i="25"/>
  <c r="W1411" i="25"/>
  <c r="X1411" i="25"/>
  <c r="Y1411" i="25"/>
  <c r="Z1411" i="25"/>
  <c r="AA1411" i="25"/>
  <c r="AC1411" i="25"/>
  <c r="AD1411" i="25"/>
  <c r="AE1411" i="25"/>
  <c r="AF1411" i="25"/>
  <c r="N1389" i="25"/>
  <c r="P1389" i="25"/>
  <c r="Q1389" i="25"/>
  <c r="S1389" i="25"/>
  <c r="U1389" i="25"/>
  <c r="W1389" i="25"/>
  <c r="X1389" i="25"/>
  <c r="Y1389" i="25"/>
  <c r="Z1389" i="25"/>
  <c r="AA1389" i="25"/>
  <c r="AC1389" i="25"/>
  <c r="AD1389" i="25"/>
  <c r="J1280" i="25"/>
  <c r="M1280" i="25"/>
  <c r="N1280" i="25"/>
  <c r="P1280" i="25"/>
  <c r="Q1280" i="25"/>
  <c r="S1280" i="25"/>
  <c r="U1280" i="25"/>
  <c r="V1280" i="25"/>
  <c r="X1280" i="25"/>
  <c r="Y1280" i="25"/>
  <c r="Z1280" i="25"/>
  <c r="AA1280" i="25"/>
  <c r="AC1280" i="25"/>
  <c r="AD1280" i="25"/>
  <c r="J1281" i="25"/>
  <c r="M1281" i="25"/>
  <c r="N1281" i="25"/>
  <c r="P1281" i="25"/>
  <c r="Q1281" i="25"/>
  <c r="S1281" i="25"/>
  <c r="U1281" i="25"/>
  <c r="V1281" i="25"/>
  <c r="X1281" i="25"/>
  <c r="Y1281" i="25"/>
  <c r="Z1281" i="25"/>
  <c r="AA1281" i="25"/>
  <c r="AC1281" i="25"/>
  <c r="AD1281" i="25"/>
  <c r="J1282" i="25"/>
  <c r="M1282" i="25"/>
  <c r="N1282" i="25"/>
  <c r="P1282" i="25"/>
  <c r="Q1282" i="25"/>
  <c r="S1282" i="25"/>
  <c r="U1282" i="25"/>
  <c r="V1282" i="25"/>
  <c r="X1282" i="25"/>
  <c r="Y1282" i="25"/>
  <c r="Z1282" i="25"/>
  <c r="AA1282" i="25"/>
  <c r="AC1282" i="25"/>
  <c r="AD1282" i="25"/>
  <c r="J1283" i="25"/>
  <c r="M1283" i="25"/>
  <c r="N1283" i="25"/>
  <c r="P1283" i="25"/>
  <c r="Q1283" i="25"/>
  <c r="S1283" i="25"/>
  <c r="U1283" i="25"/>
  <c r="V1283" i="25"/>
  <c r="X1283" i="25"/>
  <c r="Y1283" i="25"/>
  <c r="Z1283" i="25"/>
  <c r="AA1283" i="25"/>
  <c r="AC1283" i="25"/>
  <c r="AD1283" i="25"/>
  <c r="J1284" i="25"/>
  <c r="M1284" i="25"/>
  <c r="N1284" i="25"/>
  <c r="P1284" i="25"/>
  <c r="Q1284" i="25"/>
  <c r="S1284" i="25"/>
  <c r="U1284" i="25"/>
  <c r="V1284" i="25"/>
  <c r="X1284" i="25"/>
  <c r="Y1284" i="25"/>
  <c r="Z1284" i="25"/>
  <c r="AA1284" i="25"/>
  <c r="AC1284" i="25"/>
  <c r="AD1284" i="25"/>
  <c r="J1285" i="25"/>
  <c r="M1285" i="25"/>
  <c r="N1285" i="25"/>
  <c r="P1285" i="25"/>
  <c r="Q1285" i="25"/>
  <c r="S1285" i="25"/>
  <c r="U1285" i="25"/>
  <c r="V1285" i="25"/>
  <c r="X1285" i="25"/>
  <c r="Y1285" i="25"/>
  <c r="Z1285" i="25"/>
  <c r="AA1285" i="25"/>
  <c r="AC1285" i="25"/>
  <c r="AD1285" i="25"/>
  <c r="J1286" i="25"/>
  <c r="M1286" i="25"/>
  <c r="N1286" i="25"/>
  <c r="P1286" i="25"/>
  <c r="Q1286" i="25"/>
  <c r="S1286" i="25"/>
  <c r="U1286" i="25"/>
  <c r="V1286" i="25"/>
  <c r="X1286" i="25"/>
  <c r="Y1286" i="25"/>
  <c r="Z1286" i="25"/>
  <c r="AA1286" i="25"/>
  <c r="AC1286" i="25"/>
  <c r="AD1286" i="25"/>
  <c r="J1287" i="25"/>
  <c r="M1287" i="25"/>
  <c r="N1287" i="25"/>
  <c r="P1287" i="25"/>
  <c r="Q1287" i="25"/>
  <c r="S1287" i="25"/>
  <c r="U1287" i="25"/>
  <c r="V1287" i="25"/>
  <c r="X1287" i="25"/>
  <c r="Y1287" i="25"/>
  <c r="Z1287" i="25"/>
  <c r="AA1287" i="25"/>
  <c r="AC1287" i="25"/>
  <c r="AD1287" i="25"/>
  <c r="J1288" i="25"/>
  <c r="M1288" i="25"/>
  <c r="N1288" i="25"/>
  <c r="P1288" i="25"/>
  <c r="Q1288" i="25"/>
  <c r="S1288" i="25"/>
  <c r="U1288" i="25"/>
  <c r="V1288" i="25"/>
  <c r="X1288" i="25"/>
  <c r="Y1288" i="25"/>
  <c r="Z1288" i="25"/>
  <c r="AA1288" i="25"/>
  <c r="AC1288" i="25"/>
  <c r="AD1288" i="25"/>
  <c r="J1289" i="25"/>
  <c r="M1289" i="25"/>
  <c r="N1289" i="25"/>
  <c r="P1289" i="25"/>
  <c r="Q1289" i="25"/>
  <c r="S1289" i="25"/>
  <c r="U1289" i="25"/>
  <c r="V1289" i="25"/>
  <c r="X1289" i="25"/>
  <c r="Y1289" i="25"/>
  <c r="Z1289" i="25"/>
  <c r="AA1289" i="25"/>
  <c r="AC1289" i="25"/>
  <c r="AD1289" i="25"/>
  <c r="J1290" i="25"/>
  <c r="M1290" i="25"/>
  <c r="N1290" i="25"/>
  <c r="P1290" i="25"/>
  <c r="Q1290" i="25"/>
  <c r="S1290" i="25"/>
  <c r="U1290" i="25"/>
  <c r="V1290" i="25"/>
  <c r="X1290" i="25"/>
  <c r="Y1290" i="25"/>
  <c r="Z1290" i="25"/>
  <c r="AA1290" i="25"/>
  <c r="AC1290" i="25"/>
  <c r="AD1290" i="25"/>
  <c r="J1291" i="25"/>
  <c r="M1291" i="25"/>
  <c r="N1291" i="25"/>
  <c r="P1291" i="25"/>
  <c r="Q1291" i="25"/>
  <c r="S1291" i="25"/>
  <c r="U1291" i="25"/>
  <c r="V1291" i="25"/>
  <c r="X1291" i="25"/>
  <c r="Y1291" i="25"/>
  <c r="Z1291" i="25"/>
  <c r="AA1291" i="25"/>
  <c r="AC1291" i="25"/>
  <c r="AD1291" i="25"/>
  <c r="J1292" i="25"/>
  <c r="M1292" i="25"/>
  <c r="N1292" i="25"/>
  <c r="P1292" i="25"/>
  <c r="Q1292" i="25"/>
  <c r="S1292" i="25"/>
  <c r="U1292" i="25"/>
  <c r="V1292" i="25"/>
  <c r="X1292" i="25"/>
  <c r="Y1292" i="25"/>
  <c r="Z1292" i="25"/>
  <c r="AA1292" i="25"/>
  <c r="AC1292" i="25"/>
  <c r="AD1292" i="25"/>
  <c r="J1293" i="25"/>
  <c r="M1293" i="25"/>
  <c r="N1293" i="25"/>
  <c r="P1293" i="25"/>
  <c r="Q1293" i="25"/>
  <c r="S1293" i="25"/>
  <c r="U1293" i="25"/>
  <c r="V1293" i="25"/>
  <c r="X1293" i="25"/>
  <c r="Y1293" i="25"/>
  <c r="Z1293" i="25"/>
  <c r="AA1293" i="25"/>
  <c r="AC1293" i="25"/>
  <c r="AD1293" i="25"/>
  <c r="J1294" i="25"/>
  <c r="M1294" i="25"/>
  <c r="N1294" i="25"/>
  <c r="P1294" i="25"/>
  <c r="Q1294" i="25"/>
  <c r="S1294" i="25"/>
  <c r="U1294" i="25"/>
  <c r="V1294" i="25"/>
  <c r="X1294" i="25"/>
  <c r="Y1294" i="25"/>
  <c r="Z1294" i="25"/>
  <c r="AA1294" i="25"/>
  <c r="AC1294" i="25"/>
  <c r="AD1294" i="25"/>
  <c r="J1295" i="25"/>
  <c r="M1295" i="25"/>
  <c r="N1295" i="25"/>
  <c r="P1295" i="25"/>
  <c r="Q1295" i="25"/>
  <c r="S1295" i="25"/>
  <c r="U1295" i="25"/>
  <c r="V1295" i="25"/>
  <c r="X1295" i="25"/>
  <c r="Y1295" i="25"/>
  <c r="Z1295" i="25"/>
  <c r="AA1295" i="25"/>
  <c r="AC1295" i="25"/>
  <c r="AD1295" i="25"/>
  <c r="J1296" i="25"/>
  <c r="M1296" i="25"/>
  <c r="N1296" i="25"/>
  <c r="P1296" i="25"/>
  <c r="Q1296" i="25"/>
  <c r="S1296" i="25"/>
  <c r="U1296" i="25"/>
  <c r="V1296" i="25"/>
  <c r="X1296" i="25"/>
  <c r="Y1296" i="25"/>
  <c r="Z1296" i="25"/>
  <c r="AA1296" i="25"/>
  <c r="AC1296" i="25"/>
  <c r="AD1296" i="25"/>
  <c r="J1297" i="25"/>
  <c r="M1297" i="25"/>
  <c r="N1297" i="25"/>
  <c r="P1297" i="25"/>
  <c r="Q1297" i="25"/>
  <c r="S1297" i="25"/>
  <c r="U1297" i="25"/>
  <c r="V1297" i="25"/>
  <c r="X1297" i="25"/>
  <c r="Y1297" i="25"/>
  <c r="Z1297" i="25"/>
  <c r="AA1297" i="25"/>
  <c r="AC1297" i="25"/>
  <c r="AD1297" i="25"/>
  <c r="J1298" i="25"/>
  <c r="M1298" i="25"/>
  <c r="N1298" i="25"/>
  <c r="P1298" i="25"/>
  <c r="Q1298" i="25"/>
  <c r="S1298" i="25"/>
  <c r="U1298" i="25"/>
  <c r="V1298" i="25"/>
  <c r="X1298" i="25"/>
  <c r="Y1298" i="25"/>
  <c r="Z1298" i="25"/>
  <c r="AA1298" i="25"/>
  <c r="AC1298" i="25"/>
  <c r="AD1298" i="25"/>
  <c r="J1299" i="25"/>
  <c r="M1299" i="25"/>
  <c r="N1299" i="25"/>
  <c r="P1299" i="25"/>
  <c r="Q1299" i="25"/>
  <c r="S1299" i="25"/>
  <c r="U1299" i="25"/>
  <c r="V1299" i="25"/>
  <c r="X1299" i="25"/>
  <c r="Y1299" i="25"/>
  <c r="Z1299" i="25"/>
  <c r="AA1299" i="25"/>
  <c r="AC1299" i="25"/>
  <c r="AD1299" i="25"/>
  <c r="J1300" i="25"/>
  <c r="M1300" i="25"/>
  <c r="N1300" i="25"/>
  <c r="P1300" i="25"/>
  <c r="Q1300" i="25"/>
  <c r="S1300" i="25"/>
  <c r="U1300" i="25"/>
  <c r="V1300" i="25"/>
  <c r="X1300" i="25"/>
  <c r="Y1300" i="25"/>
  <c r="Z1300" i="25"/>
  <c r="AA1300" i="25"/>
  <c r="AC1300" i="25"/>
  <c r="AD1300" i="25"/>
  <c r="J1301" i="25"/>
  <c r="M1301" i="25"/>
  <c r="N1301" i="25"/>
  <c r="P1301" i="25"/>
  <c r="Q1301" i="25"/>
  <c r="S1301" i="25"/>
  <c r="U1301" i="25"/>
  <c r="V1301" i="25"/>
  <c r="X1301" i="25"/>
  <c r="Y1301" i="25"/>
  <c r="Z1301" i="25"/>
  <c r="AA1301" i="25"/>
  <c r="AC1301" i="25"/>
  <c r="AD1301" i="25"/>
  <c r="J1302" i="25"/>
  <c r="M1302" i="25"/>
  <c r="N1302" i="25"/>
  <c r="P1302" i="25"/>
  <c r="Q1302" i="25"/>
  <c r="S1302" i="25"/>
  <c r="U1302" i="25"/>
  <c r="V1302" i="25"/>
  <c r="X1302" i="25"/>
  <c r="Y1302" i="25"/>
  <c r="Z1302" i="25"/>
  <c r="AA1302" i="25"/>
  <c r="AC1302" i="25"/>
  <c r="AD1302" i="25"/>
  <c r="J1303" i="25"/>
  <c r="M1303" i="25"/>
  <c r="N1303" i="25"/>
  <c r="P1303" i="25"/>
  <c r="Q1303" i="25"/>
  <c r="S1303" i="25"/>
  <c r="U1303" i="25"/>
  <c r="V1303" i="25"/>
  <c r="X1303" i="25"/>
  <c r="Y1303" i="25"/>
  <c r="Z1303" i="25"/>
  <c r="AA1303" i="25"/>
  <c r="AC1303" i="25"/>
  <c r="AD1303" i="25"/>
  <c r="J1304" i="25"/>
  <c r="M1304" i="25"/>
  <c r="N1304" i="25"/>
  <c r="P1304" i="25"/>
  <c r="Q1304" i="25"/>
  <c r="S1304" i="25"/>
  <c r="U1304" i="25"/>
  <c r="V1304" i="25"/>
  <c r="X1304" i="25"/>
  <c r="Y1304" i="25"/>
  <c r="Z1304" i="25"/>
  <c r="AA1304" i="25"/>
  <c r="AC1304" i="25"/>
  <c r="AD1304" i="25"/>
  <c r="J1305" i="25"/>
  <c r="M1305" i="25"/>
  <c r="N1305" i="25"/>
  <c r="P1305" i="25"/>
  <c r="Q1305" i="25"/>
  <c r="S1305" i="25"/>
  <c r="U1305" i="25"/>
  <c r="V1305" i="25"/>
  <c r="X1305" i="25"/>
  <c r="Y1305" i="25"/>
  <c r="Z1305" i="25"/>
  <c r="AA1305" i="25"/>
  <c r="AC1305" i="25"/>
  <c r="AD1305" i="25"/>
  <c r="J1306" i="25"/>
  <c r="M1306" i="25"/>
  <c r="N1306" i="25"/>
  <c r="P1306" i="25"/>
  <c r="Q1306" i="25"/>
  <c r="S1306" i="25"/>
  <c r="U1306" i="25"/>
  <c r="V1306" i="25"/>
  <c r="X1306" i="25"/>
  <c r="Y1306" i="25"/>
  <c r="Z1306" i="25"/>
  <c r="AA1306" i="25"/>
  <c r="AC1306" i="25"/>
  <c r="AD1306" i="25"/>
  <c r="J1307" i="25"/>
  <c r="M1307" i="25"/>
  <c r="N1307" i="25"/>
  <c r="P1307" i="25"/>
  <c r="Q1307" i="25"/>
  <c r="S1307" i="25"/>
  <c r="U1307" i="25"/>
  <c r="V1307" i="25"/>
  <c r="X1307" i="25"/>
  <c r="Y1307" i="25"/>
  <c r="Z1307" i="25"/>
  <c r="AA1307" i="25"/>
  <c r="AC1307" i="25"/>
  <c r="AD1307" i="25"/>
  <c r="J1308" i="25"/>
  <c r="M1308" i="25"/>
  <c r="N1308" i="25"/>
  <c r="P1308" i="25"/>
  <c r="Q1308" i="25"/>
  <c r="S1308" i="25"/>
  <c r="U1308" i="25"/>
  <c r="V1308" i="25"/>
  <c r="X1308" i="25"/>
  <c r="Y1308" i="25"/>
  <c r="Z1308" i="25"/>
  <c r="AA1308" i="25"/>
  <c r="AC1308" i="25"/>
  <c r="AD1308" i="25"/>
  <c r="J1309" i="25"/>
  <c r="M1309" i="25"/>
  <c r="N1309" i="25"/>
  <c r="P1309" i="25"/>
  <c r="Q1309" i="25"/>
  <c r="S1309" i="25"/>
  <c r="U1309" i="25"/>
  <c r="V1309" i="25"/>
  <c r="X1309" i="25"/>
  <c r="Y1309" i="25"/>
  <c r="Z1309" i="25"/>
  <c r="AA1309" i="25"/>
  <c r="AC1309" i="25"/>
  <c r="AD1309" i="25"/>
  <c r="J1310" i="25"/>
  <c r="M1310" i="25"/>
  <c r="N1310" i="25"/>
  <c r="P1310" i="25"/>
  <c r="Q1310" i="25"/>
  <c r="S1310" i="25"/>
  <c r="U1310" i="25"/>
  <c r="V1310" i="25"/>
  <c r="X1310" i="25"/>
  <c r="Y1310" i="25"/>
  <c r="Z1310" i="25"/>
  <c r="AA1310" i="25"/>
  <c r="AC1310" i="25"/>
  <c r="AD1310" i="25"/>
  <c r="J1311" i="25"/>
  <c r="M1311" i="25"/>
  <c r="N1311" i="25"/>
  <c r="P1311" i="25"/>
  <c r="Q1311" i="25"/>
  <c r="S1311" i="25"/>
  <c r="U1311" i="25"/>
  <c r="V1311" i="25"/>
  <c r="X1311" i="25"/>
  <c r="Y1311" i="25"/>
  <c r="Z1311" i="25"/>
  <c r="AA1311" i="25"/>
  <c r="AC1311" i="25"/>
  <c r="AD1311" i="25"/>
  <c r="J1312" i="25"/>
  <c r="M1312" i="25"/>
  <c r="N1312" i="25"/>
  <c r="P1312" i="25"/>
  <c r="Q1312" i="25"/>
  <c r="S1312" i="25"/>
  <c r="U1312" i="25"/>
  <c r="V1312" i="25"/>
  <c r="X1312" i="25"/>
  <c r="Y1312" i="25"/>
  <c r="Z1312" i="25"/>
  <c r="AA1312" i="25"/>
  <c r="AC1312" i="25"/>
  <c r="AD1312" i="25"/>
  <c r="J1313" i="25"/>
  <c r="M1313" i="25"/>
  <c r="N1313" i="25"/>
  <c r="P1313" i="25"/>
  <c r="Q1313" i="25"/>
  <c r="S1313" i="25"/>
  <c r="U1313" i="25"/>
  <c r="V1313" i="25"/>
  <c r="X1313" i="25"/>
  <c r="Y1313" i="25"/>
  <c r="Z1313" i="25"/>
  <c r="AA1313" i="25"/>
  <c r="AC1313" i="25"/>
  <c r="AD1313" i="25"/>
  <c r="J1314" i="25"/>
  <c r="M1314" i="25"/>
  <c r="N1314" i="25"/>
  <c r="P1314" i="25"/>
  <c r="Q1314" i="25"/>
  <c r="S1314" i="25"/>
  <c r="U1314" i="25"/>
  <c r="V1314" i="25"/>
  <c r="X1314" i="25"/>
  <c r="Y1314" i="25"/>
  <c r="Z1314" i="25"/>
  <c r="AA1314" i="25"/>
  <c r="AC1314" i="25"/>
  <c r="AD1314" i="25"/>
  <c r="J1315" i="25"/>
  <c r="M1315" i="25"/>
  <c r="N1315" i="25"/>
  <c r="P1315" i="25"/>
  <c r="Q1315" i="25"/>
  <c r="S1315" i="25"/>
  <c r="U1315" i="25"/>
  <c r="V1315" i="25"/>
  <c r="X1315" i="25"/>
  <c r="Y1315" i="25"/>
  <c r="Z1315" i="25"/>
  <c r="AA1315" i="25"/>
  <c r="AC1315" i="25"/>
  <c r="AD1315" i="25"/>
  <c r="J1316" i="25"/>
  <c r="M1316" i="25"/>
  <c r="N1316" i="25"/>
  <c r="P1316" i="25"/>
  <c r="Q1316" i="25"/>
  <c r="S1316" i="25"/>
  <c r="U1316" i="25"/>
  <c r="V1316" i="25"/>
  <c r="X1316" i="25"/>
  <c r="Y1316" i="25"/>
  <c r="Z1316" i="25"/>
  <c r="AA1316" i="25"/>
  <c r="AC1316" i="25"/>
  <c r="AD1316" i="25"/>
  <c r="J1317" i="25"/>
  <c r="M1317" i="25"/>
  <c r="N1317" i="25"/>
  <c r="P1317" i="25"/>
  <c r="Q1317" i="25"/>
  <c r="S1317" i="25"/>
  <c r="U1317" i="25"/>
  <c r="V1317" i="25"/>
  <c r="X1317" i="25"/>
  <c r="Y1317" i="25"/>
  <c r="Z1317" i="25"/>
  <c r="AA1317" i="25"/>
  <c r="AC1317" i="25"/>
  <c r="AD1317" i="25"/>
  <c r="J1318" i="25"/>
  <c r="M1318" i="25"/>
  <c r="N1318" i="25"/>
  <c r="P1318" i="25"/>
  <c r="Q1318" i="25"/>
  <c r="S1318" i="25"/>
  <c r="U1318" i="25"/>
  <c r="V1318" i="25"/>
  <c r="X1318" i="25"/>
  <c r="Y1318" i="25"/>
  <c r="Z1318" i="25"/>
  <c r="AA1318" i="25"/>
  <c r="AC1318" i="25"/>
  <c r="AD1318" i="25"/>
  <c r="J1319" i="25"/>
  <c r="M1319" i="25"/>
  <c r="N1319" i="25"/>
  <c r="P1319" i="25"/>
  <c r="Q1319" i="25"/>
  <c r="S1319" i="25"/>
  <c r="U1319" i="25"/>
  <c r="V1319" i="25"/>
  <c r="X1319" i="25"/>
  <c r="Y1319" i="25"/>
  <c r="Z1319" i="25"/>
  <c r="AA1319" i="25"/>
  <c r="AC1319" i="25"/>
  <c r="AD1319" i="25"/>
  <c r="J1320" i="25"/>
  <c r="M1320" i="25"/>
  <c r="N1320" i="25"/>
  <c r="P1320" i="25"/>
  <c r="Q1320" i="25"/>
  <c r="S1320" i="25"/>
  <c r="U1320" i="25"/>
  <c r="V1320" i="25"/>
  <c r="X1320" i="25"/>
  <c r="Y1320" i="25"/>
  <c r="Z1320" i="25"/>
  <c r="AA1320" i="25"/>
  <c r="AC1320" i="25"/>
  <c r="AD1320" i="25"/>
  <c r="J1321" i="25"/>
  <c r="M1321" i="25"/>
  <c r="N1321" i="25"/>
  <c r="P1321" i="25"/>
  <c r="Q1321" i="25"/>
  <c r="S1321" i="25"/>
  <c r="U1321" i="25"/>
  <c r="V1321" i="25"/>
  <c r="X1321" i="25"/>
  <c r="Y1321" i="25"/>
  <c r="Z1321" i="25"/>
  <c r="AA1321" i="25"/>
  <c r="AC1321" i="25"/>
  <c r="AD1321" i="25"/>
  <c r="J1322" i="25"/>
  <c r="M1322" i="25"/>
  <c r="N1322" i="25"/>
  <c r="P1322" i="25"/>
  <c r="Q1322" i="25"/>
  <c r="S1322" i="25"/>
  <c r="U1322" i="25"/>
  <c r="V1322" i="25"/>
  <c r="X1322" i="25"/>
  <c r="Y1322" i="25"/>
  <c r="Z1322" i="25"/>
  <c r="AA1322" i="25"/>
  <c r="AC1322" i="25"/>
  <c r="AD1322" i="25"/>
  <c r="J1323" i="25"/>
  <c r="M1323" i="25"/>
  <c r="N1323" i="25"/>
  <c r="P1323" i="25"/>
  <c r="Q1323" i="25"/>
  <c r="S1323" i="25"/>
  <c r="U1323" i="25"/>
  <c r="V1323" i="25"/>
  <c r="X1323" i="25"/>
  <c r="Y1323" i="25"/>
  <c r="Z1323" i="25"/>
  <c r="AA1323" i="25"/>
  <c r="AC1323" i="25"/>
  <c r="AD1323" i="25"/>
  <c r="J1324" i="25"/>
  <c r="M1324" i="25"/>
  <c r="N1324" i="25"/>
  <c r="P1324" i="25"/>
  <c r="Q1324" i="25"/>
  <c r="S1324" i="25"/>
  <c r="U1324" i="25"/>
  <c r="V1324" i="25"/>
  <c r="X1324" i="25"/>
  <c r="Y1324" i="25"/>
  <c r="Z1324" i="25"/>
  <c r="AA1324" i="25"/>
  <c r="AC1324" i="25"/>
  <c r="AD1324" i="25"/>
  <c r="J1325" i="25"/>
  <c r="M1325" i="25"/>
  <c r="N1325" i="25"/>
  <c r="P1325" i="25"/>
  <c r="Q1325" i="25"/>
  <c r="S1325" i="25"/>
  <c r="U1325" i="25"/>
  <c r="V1325" i="25"/>
  <c r="X1325" i="25"/>
  <c r="Y1325" i="25"/>
  <c r="Z1325" i="25"/>
  <c r="AA1325" i="25"/>
  <c r="AC1325" i="25"/>
  <c r="AD1325" i="25"/>
  <c r="J1326" i="25"/>
  <c r="M1326" i="25"/>
  <c r="N1326" i="25"/>
  <c r="P1326" i="25"/>
  <c r="Q1326" i="25"/>
  <c r="S1326" i="25"/>
  <c r="U1326" i="25"/>
  <c r="V1326" i="25"/>
  <c r="X1326" i="25"/>
  <c r="Y1326" i="25"/>
  <c r="Z1326" i="25"/>
  <c r="AA1326" i="25"/>
  <c r="AC1326" i="25"/>
  <c r="AD1326" i="25"/>
  <c r="J1327" i="25"/>
  <c r="M1327" i="25"/>
  <c r="N1327" i="25"/>
  <c r="P1327" i="25"/>
  <c r="Q1327" i="25"/>
  <c r="S1327" i="25"/>
  <c r="U1327" i="25"/>
  <c r="V1327" i="25"/>
  <c r="X1327" i="25"/>
  <c r="Y1327" i="25"/>
  <c r="Z1327" i="25"/>
  <c r="AA1327" i="25"/>
  <c r="AC1327" i="25"/>
  <c r="AD1327" i="25"/>
  <c r="J1328" i="25"/>
  <c r="M1328" i="25"/>
  <c r="N1328" i="25"/>
  <c r="P1328" i="25"/>
  <c r="Q1328" i="25"/>
  <c r="S1328" i="25"/>
  <c r="U1328" i="25"/>
  <c r="V1328" i="25"/>
  <c r="X1328" i="25"/>
  <c r="Y1328" i="25"/>
  <c r="Z1328" i="25"/>
  <c r="AA1328" i="25"/>
  <c r="AC1328" i="25"/>
  <c r="AD1328" i="25"/>
  <c r="J1329" i="25"/>
  <c r="M1329" i="25"/>
  <c r="N1329" i="25"/>
  <c r="P1329" i="25"/>
  <c r="Q1329" i="25"/>
  <c r="S1329" i="25"/>
  <c r="U1329" i="25"/>
  <c r="V1329" i="25"/>
  <c r="X1329" i="25"/>
  <c r="Y1329" i="25"/>
  <c r="Z1329" i="25"/>
  <c r="AA1329" i="25"/>
  <c r="AC1329" i="25"/>
  <c r="AD1329" i="25"/>
  <c r="J1330" i="25"/>
  <c r="M1330" i="25"/>
  <c r="N1330" i="25"/>
  <c r="P1330" i="25"/>
  <c r="Q1330" i="25"/>
  <c r="S1330" i="25"/>
  <c r="U1330" i="25"/>
  <c r="V1330" i="25"/>
  <c r="X1330" i="25"/>
  <c r="Y1330" i="25"/>
  <c r="Z1330" i="25"/>
  <c r="AA1330" i="25"/>
  <c r="AC1330" i="25"/>
  <c r="AD1330" i="25"/>
  <c r="J1331" i="25"/>
  <c r="M1331" i="25"/>
  <c r="N1331" i="25"/>
  <c r="P1331" i="25"/>
  <c r="Q1331" i="25"/>
  <c r="S1331" i="25"/>
  <c r="U1331" i="25"/>
  <c r="V1331" i="25"/>
  <c r="X1331" i="25"/>
  <c r="Y1331" i="25"/>
  <c r="Z1331" i="25"/>
  <c r="AA1331" i="25"/>
  <c r="AC1331" i="25"/>
  <c r="AD1331" i="25"/>
  <c r="J1332" i="25"/>
  <c r="M1332" i="25"/>
  <c r="N1332" i="25"/>
  <c r="P1332" i="25"/>
  <c r="Q1332" i="25"/>
  <c r="S1332" i="25"/>
  <c r="U1332" i="25"/>
  <c r="V1332" i="25"/>
  <c r="X1332" i="25"/>
  <c r="Y1332" i="25"/>
  <c r="Z1332" i="25"/>
  <c r="AA1332" i="25"/>
  <c r="AC1332" i="25"/>
  <c r="AD1332" i="25"/>
  <c r="J1333" i="25"/>
  <c r="M1333" i="25"/>
  <c r="N1333" i="25"/>
  <c r="P1333" i="25"/>
  <c r="Q1333" i="25"/>
  <c r="S1333" i="25"/>
  <c r="U1333" i="25"/>
  <c r="V1333" i="25"/>
  <c r="X1333" i="25"/>
  <c r="Y1333" i="25"/>
  <c r="Z1333" i="25"/>
  <c r="AA1333" i="25"/>
  <c r="AC1333" i="25"/>
  <c r="AD1333" i="25"/>
  <c r="J1334" i="25"/>
  <c r="M1334" i="25"/>
  <c r="N1334" i="25"/>
  <c r="P1334" i="25"/>
  <c r="Q1334" i="25"/>
  <c r="S1334" i="25"/>
  <c r="U1334" i="25"/>
  <c r="V1334" i="25"/>
  <c r="X1334" i="25"/>
  <c r="Y1334" i="25"/>
  <c r="Z1334" i="25"/>
  <c r="AA1334" i="25"/>
  <c r="AC1334" i="25"/>
  <c r="AD1334" i="25"/>
  <c r="J1335" i="25"/>
  <c r="M1335" i="25"/>
  <c r="N1335" i="25"/>
  <c r="P1335" i="25"/>
  <c r="Q1335" i="25"/>
  <c r="S1335" i="25"/>
  <c r="U1335" i="25"/>
  <c r="V1335" i="25"/>
  <c r="X1335" i="25"/>
  <c r="Y1335" i="25"/>
  <c r="Z1335" i="25"/>
  <c r="AA1335" i="25"/>
  <c r="AC1335" i="25"/>
  <c r="AD1335" i="25"/>
  <c r="J1336" i="25"/>
  <c r="M1336" i="25"/>
  <c r="N1336" i="25"/>
  <c r="P1336" i="25"/>
  <c r="Q1336" i="25"/>
  <c r="S1336" i="25"/>
  <c r="U1336" i="25"/>
  <c r="V1336" i="25"/>
  <c r="X1336" i="25"/>
  <c r="Y1336" i="25"/>
  <c r="Z1336" i="25"/>
  <c r="AA1336" i="25"/>
  <c r="AC1336" i="25"/>
  <c r="AD1336" i="25"/>
  <c r="J1337" i="25"/>
  <c r="M1337" i="25"/>
  <c r="N1337" i="25"/>
  <c r="P1337" i="25"/>
  <c r="Q1337" i="25"/>
  <c r="S1337" i="25"/>
  <c r="U1337" i="25"/>
  <c r="V1337" i="25"/>
  <c r="X1337" i="25"/>
  <c r="Y1337" i="25"/>
  <c r="Z1337" i="25"/>
  <c r="AA1337" i="25"/>
  <c r="AC1337" i="25"/>
  <c r="AD1337" i="25"/>
  <c r="J1338" i="25"/>
  <c r="M1338" i="25"/>
  <c r="N1338" i="25"/>
  <c r="P1338" i="25"/>
  <c r="Q1338" i="25"/>
  <c r="S1338" i="25"/>
  <c r="U1338" i="25"/>
  <c r="V1338" i="25"/>
  <c r="X1338" i="25"/>
  <c r="Y1338" i="25"/>
  <c r="Z1338" i="25"/>
  <c r="AA1338" i="25"/>
  <c r="AC1338" i="25"/>
  <c r="AD1338" i="25"/>
  <c r="J1339" i="25"/>
  <c r="M1339" i="25"/>
  <c r="N1339" i="25"/>
  <c r="P1339" i="25"/>
  <c r="Q1339" i="25"/>
  <c r="S1339" i="25"/>
  <c r="U1339" i="25"/>
  <c r="V1339" i="25"/>
  <c r="X1339" i="25"/>
  <c r="Y1339" i="25"/>
  <c r="Z1339" i="25"/>
  <c r="AA1339" i="25"/>
  <c r="AC1339" i="25"/>
  <c r="AD1339" i="25"/>
  <c r="J1340" i="25"/>
  <c r="M1340" i="25"/>
  <c r="N1340" i="25"/>
  <c r="P1340" i="25"/>
  <c r="Q1340" i="25"/>
  <c r="S1340" i="25"/>
  <c r="U1340" i="25"/>
  <c r="V1340" i="25"/>
  <c r="X1340" i="25"/>
  <c r="Y1340" i="25"/>
  <c r="Z1340" i="25"/>
  <c r="AA1340" i="25"/>
  <c r="AC1340" i="25"/>
  <c r="AD1340" i="25"/>
  <c r="J1341" i="25"/>
  <c r="M1341" i="25"/>
  <c r="N1341" i="25"/>
  <c r="P1341" i="25"/>
  <c r="Q1341" i="25"/>
  <c r="S1341" i="25"/>
  <c r="U1341" i="25"/>
  <c r="V1341" i="25"/>
  <c r="X1341" i="25"/>
  <c r="Y1341" i="25"/>
  <c r="Z1341" i="25"/>
  <c r="AA1341" i="25"/>
  <c r="AC1341" i="25"/>
  <c r="AD1341" i="25"/>
  <c r="J1342" i="25"/>
  <c r="M1342" i="25"/>
  <c r="N1342" i="25"/>
  <c r="P1342" i="25"/>
  <c r="Q1342" i="25"/>
  <c r="S1342" i="25"/>
  <c r="U1342" i="25"/>
  <c r="V1342" i="25"/>
  <c r="X1342" i="25"/>
  <c r="Y1342" i="25"/>
  <c r="Z1342" i="25"/>
  <c r="AA1342" i="25"/>
  <c r="AC1342" i="25"/>
  <c r="AD1342" i="25"/>
  <c r="J1343" i="25"/>
  <c r="M1343" i="25"/>
  <c r="N1343" i="25"/>
  <c r="P1343" i="25"/>
  <c r="Q1343" i="25"/>
  <c r="S1343" i="25"/>
  <c r="U1343" i="25"/>
  <c r="V1343" i="25"/>
  <c r="X1343" i="25"/>
  <c r="Y1343" i="25"/>
  <c r="Z1343" i="25"/>
  <c r="AA1343" i="25"/>
  <c r="AC1343" i="25"/>
  <c r="AD1343" i="25"/>
  <c r="J1344" i="25"/>
  <c r="M1344" i="25"/>
  <c r="N1344" i="25"/>
  <c r="P1344" i="25"/>
  <c r="Q1344" i="25"/>
  <c r="S1344" i="25"/>
  <c r="U1344" i="25"/>
  <c r="V1344" i="25"/>
  <c r="X1344" i="25"/>
  <c r="Y1344" i="25"/>
  <c r="Z1344" i="25"/>
  <c r="AA1344" i="25"/>
  <c r="AC1344" i="25"/>
  <c r="AD1344" i="25"/>
  <c r="J1345" i="25"/>
  <c r="M1345" i="25"/>
  <c r="N1345" i="25"/>
  <c r="P1345" i="25"/>
  <c r="Q1345" i="25"/>
  <c r="S1345" i="25"/>
  <c r="U1345" i="25"/>
  <c r="V1345" i="25"/>
  <c r="X1345" i="25"/>
  <c r="Y1345" i="25"/>
  <c r="Z1345" i="25"/>
  <c r="AA1345" i="25"/>
  <c r="AC1345" i="25"/>
  <c r="AD1345" i="25"/>
  <c r="J1346" i="25"/>
  <c r="M1346" i="25"/>
  <c r="N1346" i="25"/>
  <c r="P1346" i="25"/>
  <c r="Q1346" i="25"/>
  <c r="S1346" i="25"/>
  <c r="U1346" i="25"/>
  <c r="V1346" i="25"/>
  <c r="X1346" i="25"/>
  <c r="Y1346" i="25"/>
  <c r="Z1346" i="25"/>
  <c r="AA1346" i="25"/>
  <c r="AC1346" i="25"/>
  <c r="AD1346" i="25"/>
  <c r="J1347" i="25"/>
  <c r="M1347" i="25"/>
  <c r="N1347" i="25"/>
  <c r="P1347" i="25"/>
  <c r="Q1347" i="25"/>
  <c r="S1347" i="25"/>
  <c r="U1347" i="25"/>
  <c r="V1347" i="25"/>
  <c r="X1347" i="25"/>
  <c r="Y1347" i="25"/>
  <c r="Z1347" i="25"/>
  <c r="AA1347" i="25"/>
  <c r="AC1347" i="25"/>
  <c r="AD1347" i="25"/>
  <c r="J1348" i="25"/>
  <c r="M1348" i="25"/>
  <c r="N1348" i="25"/>
  <c r="P1348" i="25"/>
  <c r="Q1348" i="25"/>
  <c r="S1348" i="25"/>
  <c r="U1348" i="25"/>
  <c r="V1348" i="25"/>
  <c r="X1348" i="25"/>
  <c r="Y1348" i="25"/>
  <c r="Z1348" i="25"/>
  <c r="AA1348" i="25"/>
  <c r="AC1348" i="25"/>
  <c r="AD1348" i="25"/>
  <c r="J1349" i="25"/>
  <c r="M1349" i="25"/>
  <c r="N1349" i="25"/>
  <c r="P1349" i="25"/>
  <c r="Q1349" i="25"/>
  <c r="S1349" i="25"/>
  <c r="U1349" i="25"/>
  <c r="V1349" i="25"/>
  <c r="X1349" i="25"/>
  <c r="Y1349" i="25"/>
  <c r="Z1349" i="25"/>
  <c r="AA1349" i="25"/>
  <c r="AC1349" i="25"/>
  <c r="AD1349" i="25"/>
  <c r="J1350" i="25"/>
  <c r="M1350" i="25"/>
  <c r="N1350" i="25"/>
  <c r="P1350" i="25"/>
  <c r="Q1350" i="25"/>
  <c r="S1350" i="25"/>
  <c r="U1350" i="25"/>
  <c r="V1350" i="25"/>
  <c r="X1350" i="25"/>
  <c r="Y1350" i="25"/>
  <c r="Z1350" i="25"/>
  <c r="AA1350" i="25"/>
  <c r="AC1350" i="25"/>
  <c r="AD1350" i="25"/>
  <c r="J1351" i="25"/>
  <c r="M1351" i="25"/>
  <c r="N1351" i="25"/>
  <c r="P1351" i="25"/>
  <c r="Q1351" i="25"/>
  <c r="S1351" i="25"/>
  <c r="U1351" i="25"/>
  <c r="V1351" i="25"/>
  <c r="X1351" i="25"/>
  <c r="Y1351" i="25"/>
  <c r="Z1351" i="25"/>
  <c r="AA1351" i="25"/>
  <c r="AC1351" i="25"/>
  <c r="AD1351" i="25"/>
  <c r="J1352" i="25"/>
  <c r="M1352" i="25"/>
  <c r="N1352" i="25"/>
  <c r="P1352" i="25"/>
  <c r="Q1352" i="25"/>
  <c r="S1352" i="25"/>
  <c r="U1352" i="25"/>
  <c r="V1352" i="25"/>
  <c r="X1352" i="25"/>
  <c r="Y1352" i="25"/>
  <c r="Z1352" i="25"/>
  <c r="AA1352" i="25"/>
  <c r="AC1352" i="25"/>
  <c r="AD1352" i="25"/>
  <c r="J1353" i="25"/>
  <c r="M1353" i="25"/>
  <c r="N1353" i="25"/>
  <c r="P1353" i="25"/>
  <c r="Q1353" i="25"/>
  <c r="S1353" i="25"/>
  <c r="U1353" i="25"/>
  <c r="V1353" i="25"/>
  <c r="X1353" i="25"/>
  <c r="Y1353" i="25"/>
  <c r="Z1353" i="25"/>
  <c r="AA1353" i="25"/>
  <c r="AC1353" i="25"/>
  <c r="AD1353" i="25"/>
  <c r="J1354" i="25"/>
  <c r="M1354" i="25"/>
  <c r="N1354" i="25"/>
  <c r="P1354" i="25"/>
  <c r="Q1354" i="25"/>
  <c r="S1354" i="25"/>
  <c r="U1354" i="25"/>
  <c r="V1354" i="25"/>
  <c r="X1354" i="25"/>
  <c r="Y1354" i="25"/>
  <c r="Z1354" i="25"/>
  <c r="AA1354" i="25"/>
  <c r="AC1354" i="25"/>
  <c r="AD1354" i="25"/>
  <c r="J1355" i="25"/>
  <c r="M1355" i="25"/>
  <c r="N1355" i="25"/>
  <c r="P1355" i="25"/>
  <c r="Q1355" i="25"/>
  <c r="S1355" i="25"/>
  <c r="U1355" i="25"/>
  <c r="V1355" i="25"/>
  <c r="X1355" i="25"/>
  <c r="Y1355" i="25"/>
  <c r="Z1355" i="25"/>
  <c r="AA1355" i="25"/>
  <c r="AC1355" i="25"/>
  <c r="AD1355" i="25"/>
  <c r="J1356" i="25"/>
  <c r="M1356" i="25"/>
  <c r="N1356" i="25"/>
  <c r="P1356" i="25"/>
  <c r="Q1356" i="25"/>
  <c r="S1356" i="25"/>
  <c r="U1356" i="25"/>
  <c r="V1356" i="25"/>
  <c r="X1356" i="25"/>
  <c r="Y1356" i="25"/>
  <c r="Z1356" i="25"/>
  <c r="AA1356" i="25"/>
  <c r="AC1356" i="25"/>
  <c r="AD1356" i="25"/>
  <c r="J1357" i="25"/>
  <c r="M1357" i="25"/>
  <c r="N1357" i="25"/>
  <c r="P1357" i="25"/>
  <c r="Q1357" i="25"/>
  <c r="S1357" i="25"/>
  <c r="U1357" i="25"/>
  <c r="V1357" i="25"/>
  <c r="X1357" i="25"/>
  <c r="Y1357" i="25"/>
  <c r="Z1357" i="25"/>
  <c r="AA1357" i="25"/>
  <c r="AC1357" i="25"/>
  <c r="AD1357" i="25"/>
  <c r="J1358" i="25"/>
  <c r="M1358" i="25"/>
  <c r="N1358" i="25"/>
  <c r="P1358" i="25"/>
  <c r="Q1358" i="25"/>
  <c r="S1358" i="25"/>
  <c r="U1358" i="25"/>
  <c r="V1358" i="25"/>
  <c r="X1358" i="25"/>
  <c r="Y1358" i="25"/>
  <c r="Z1358" i="25"/>
  <c r="AA1358" i="25"/>
  <c r="AC1358" i="25"/>
  <c r="AD1358" i="25"/>
  <c r="J1359" i="25"/>
  <c r="M1359" i="25"/>
  <c r="N1359" i="25"/>
  <c r="P1359" i="25"/>
  <c r="Q1359" i="25"/>
  <c r="S1359" i="25"/>
  <c r="U1359" i="25"/>
  <c r="V1359" i="25"/>
  <c r="X1359" i="25"/>
  <c r="Y1359" i="25"/>
  <c r="Z1359" i="25"/>
  <c r="AA1359" i="25"/>
  <c r="AC1359" i="25"/>
  <c r="AD1359" i="25"/>
  <c r="J1360" i="25"/>
  <c r="M1360" i="25"/>
  <c r="N1360" i="25"/>
  <c r="P1360" i="25"/>
  <c r="Q1360" i="25"/>
  <c r="S1360" i="25"/>
  <c r="U1360" i="25"/>
  <c r="V1360" i="25"/>
  <c r="X1360" i="25"/>
  <c r="Y1360" i="25"/>
  <c r="Z1360" i="25"/>
  <c r="AA1360" i="25"/>
  <c r="AC1360" i="25"/>
  <c r="AD1360" i="25"/>
  <c r="J1361" i="25"/>
  <c r="M1361" i="25"/>
  <c r="N1361" i="25"/>
  <c r="P1361" i="25"/>
  <c r="Q1361" i="25"/>
  <c r="S1361" i="25"/>
  <c r="U1361" i="25"/>
  <c r="V1361" i="25"/>
  <c r="X1361" i="25"/>
  <c r="Y1361" i="25"/>
  <c r="Z1361" i="25"/>
  <c r="AA1361" i="25"/>
  <c r="AC1361" i="25"/>
  <c r="AD1361" i="25"/>
  <c r="J1362" i="25"/>
  <c r="M1362" i="25"/>
  <c r="N1362" i="25"/>
  <c r="P1362" i="25"/>
  <c r="Q1362" i="25"/>
  <c r="S1362" i="25"/>
  <c r="U1362" i="25"/>
  <c r="V1362" i="25"/>
  <c r="X1362" i="25"/>
  <c r="Y1362" i="25"/>
  <c r="Z1362" i="25"/>
  <c r="AA1362" i="25"/>
  <c r="AC1362" i="25"/>
  <c r="AD1362" i="25"/>
  <c r="J1363" i="25"/>
  <c r="M1363" i="25"/>
  <c r="N1363" i="25"/>
  <c r="P1363" i="25"/>
  <c r="Q1363" i="25"/>
  <c r="S1363" i="25"/>
  <c r="U1363" i="25"/>
  <c r="V1363" i="25"/>
  <c r="X1363" i="25"/>
  <c r="Y1363" i="25"/>
  <c r="Z1363" i="25"/>
  <c r="AA1363" i="25"/>
  <c r="AC1363" i="25"/>
  <c r="AD1363" i="25"/>
  <c r="J1364" i="25"/>
  <c r="M1364" i="25"/>
  <c r="N1364" i="25"/>
  <c r="P1364" i="25"/>
  <c r="Q1364" i="25"/>
  <c r="S1364" i="25"/>
  <c r="U1364" i="25"/>
  <c r="V1364" i="25"/>
  <c r="X1364" i="25"/>
  <c r="Y1364" i="25"/>
  <c r="Z1364" i="25"/>
  <c r="AA1364" i="25"/>
  <c r="AC1364" i="25"/>
  <c r="AD1364" i="25"/>
  <c r="J1365" i="25"/>
  <c r="M1365" i="25"/>
  <c r="N1365" i="25"/>
  <c r="P1365" i="25"/>
  <c r="Q1365" i="25"/>
  <c r="S1365" i="25"/>
  <c r="U1365" i="25"/>
  <c r="V1365" i="25"/>
  <c r="X1365" i="25"/>
  <c r="Y1365" i="25"/>
  <c r="Z1365" i="25"/>
  <c r="AA1365" i="25"/>
  <c r="AC1365" i="25"/>
  <c r="AD1365" i="25"/>
  <c r="J1366" i="25"/>
  <c r="M1366" i="25"/>
  <c r="N1366" i="25"/>
  <c r="P1366" i="25"/>
  <c r="Q1366" i="25"/>
  <c r="S1366" i="25"/>
  <c r="U1366" i="25"/>
  <c r="V1366" i="25"/>
  <c r="X1366" i="25"/>
  <c r="Y1366" i="25"/>
  <c r="Z1366" i="25"/>
  <c r="AA1366" i="25"/>
  <c r="AC1366" i="25"/>
  <c r="AD1366" i="25"/>
  <c r="J1367" i="25"/>
  <c r="M1367" i="25"/>
  <c r="N1367" i="25"/>
  <c r="P1367" i="25"/>
  <c r="Q1367" i="25"/>
  <c r="S1367" i="25"/>
  <c r="U1367" i="25"/>
  <c r="V1367" i="25"/>
  <c r="X1367" i="25"/>
  <c r="Y1367" i="25"/>
  <c r="Z1367" i="25"/>
  <c r="AA1367" i="25"/>
  <c r="AC1367" i="25"/>
  <c r="AD1367" i="25"/>
  <c r="J1368" i="25"/>
  <c r="M1368" i="25"/>
  <c r="N1368" i="25"/>
  <c r="P1368" i="25"/>
  <c r="Q1368" i="25"/>
  <c r="S1368" i="25"/>
  <c r="U1368" i="25"/>
  <c r="V1368" i="25"/>
  <c r="X1368" i="25"/>
  <c r="Y1368" i="25"/>
  <c r="Z1368" i="25"/>
  <c r="AA1368" i="25"/>
  <c r="AC1368" i="25"/>
  <c r="AD1368" i="25"/>
  <c r="J1369" i="25"/>
  <c r="M1369" i="25"/>
  <c r="N1369" i="25"/>
  <c r="P1369" i="25"/>
  <c r="Q1369" i="25"/>
  <c r="S1369" i="25"/>
  <c r="U1369" i="25"/>
  <c r="V1369" i="25"/>
  <c r="X1369" i="25"/>
  <c r="Y1369" i="25"/>
  <c r="Z1369" i="25"/>
  <c r="AA1369" i="25"/>
  <c r="AC1369" i="25"/>
  <c r="AD1369" i="25"/>
  <c r="J1370" i="25"/>
  <c r="M1370" i="25"/>
  <c r="N1370" i="25"/>
  <c r="P1370" i="25"/>
  <c r="Q1370" i="25"/>
  <c r="S1370" i="25"/>
  <c r="U1370" i="25"/>
  <c r="V1370" i="25"/>
  <c r="X1370" i="25"/>
  <c r="Y1370" i="25"/>
  <c r="Z1370" i="25"/>
  <c r="AA1370" i="25"/>
  <c r="AC1370" i="25"/>
  <c r="AD1370" i="25"/>
  <c r="J1371" i="25"/>
  <c r="M1371" i="25"/>
  <c r="N1371" i="25"/>
  <c r="P1371" i="25"/>
  <c r="Q1371" i="25"/>
  <c r="S1371" i="25"/>
  <c r="U1371" i="25"/>
  <c r="V1371" i="25"/>
  <c r="X1371" i="25"/>
  <c r="Y1371" i="25"/>
  <c r="Z1371" i="25"/>
  <c r="AA1371" i="25"/>
  <c r="AC1371" i="25"/>
  <c r="AD1371" i="25"/>
  <c r="J1372" i="25"/>
  <c r="M1372" i="25"/>
  <c r="N1372" i="25"/>
  <c r="P1372" i="25"/>
  <c r="Q1372" i="25"/>
  <c r="S1372" i="25"/>
  <c r="U1372" i="25"/>
  <c r="V1372" i="25"/>
  <c r="X1372" i="25"/>
  <c r="Y1372" i="25"/>
  <c r="Z1372" i="25"/>
  <c r="AA1372" i="25"/>
  <c r="AC1372" i="25"/>
  <c r="AD1372" i="25"/>
  <c r="J1373" i="25"/>
  <c r="M1373" i="25"/>
  <c r="N1373" i="25"/>
  <c r="P1373" i="25"/>
  <c r="Q1373" i="25"/>
  <c r="S1373" i="25"/>
  <c r="U1373" i="25"/>
  <c r="V1373" i="25"/>
  <c r="X1373" i="25"/>
  <c r="Y1373" i="25"/>
  <c r="Z1373" i="25"/>
  <c r="AA1373" i="25"/>
  <c r="AC1373" i="25"/>
  <c r="AD1373" i="25"/>
  <c r="J1374" i="25"/>
  <c r="M1374" i="25"/>
  <c r="N1374" i="25"/>
  <c r="P1374" i="25"/>
  <c r="Q1374" i="25"/>
  <c r="S1374" i="25"/>
  <c r="U1374" i="25"/>
  <c r="V1374" i="25"/>
  <c r="X1374" i="25"/>
  <c r="Y1374" i="25"/>
  <c r="Z1374" i="25"/>
  <c r="AA1374" i="25"/>
  <c r="AC1374" i="25"/>
  <c r="AD1374" i="25"/>
  <c r="J1375" i="25"/>
  <c r="M1375" i="25"/>
  <c r="N1375" i="25"/>
  <c r="P1375" i="25"/>
  <c r="Q1375" i="25"/>
  <c r="S1375" i="25"/>
  <c r="U1375" i="25"/>
  <c r="V1375" i="25"/>
  <c r="X1375" i="25"/>
  <c r="Y1375" i="25"/>
  <c r="Z1375" i="25"/>
  <c r="AA1375" i="25"/>
  <c r="AC1375" i="25"/>
  <c r="AD1375" i="25"/>
  <c r="J1376" i="25"/>
  <c r="M1376" i="25"/>
  <c r="N1376" i="25"/>
  <c r="P1376" i="25"/>
  <c r="Q1376" i="25"/>
  <c r="S1376" i="25"/>
  <c r="U1376" i="25"/>
  <c r="V1376" i="25"/>
  <c r="X1376" i="25"/>
  <c r="Y1376" i="25"/>
  <c r="Z1376" i="25"/>
  <c r="AA1376" i="25"/>
  <c r="AC1376" i="25"/>
  <c r="AD1376" i="25"/>
  <c r="J1377" i="25"/>
  <c r="M1377" i="25"/>
  <c r="N1377" i="25"/>
  <c r="P1377" i="25"/>
  <c r="Q1377" i="25"/>
  <c r="S1377" i="25"/>
  <c r="U1377" i="25"/>
  <c r="V1377" i="25"/>
  <c r="X1377" i="25"/>
  <c r="Y1377" i="25"/>
  <c r="Z1377" i="25"/>
  <c r="AA1377" i="25"/>
  <c r="AC1377" i="25"/>
  <c r="AD1377" i="25"/>
  <c r="J1378" i="25"/>
  <c r="M1378" i="25"/>
  <c r="N1378" i="25"/>
  <c r="P1378" i="25"/>
  <c r="Q1378" i="25"/>
  <c r="S1378" i="25"/>
  <c r="U1378" i="25"/>
  <c r="V1378" i="25"/>
  <c r="X1378" i="25"/>
  <c r="Y1378" i="25"/>
  <c r="Z1378" i="25"/>
  <c r="AA1378" i="25"/>
  <c r="AC1378" i="25"/>
  <c r="AD1378" i="25"/>
  <c r="J1379" i="25"/>
  <c r="M1379" i="25"/>
  <c r="N1379" i="25"/>
  <c r="P1379" i="25"/>
  <c r="Q1379" i="25"/>
  <c r="S1379" i="25"/>
  <c r="U1379" i="25"/>
  <c r="V1379" i="25"/>
  <c r="X1379" i="25"/>
  <c r="Y1379" i="25"/>
  <c r="Z1379" i="25"/>
  <c r="AA1379" i="25"/>
  <c r="AC1379" i="25"/>
  <c r="AD1379" i="25"/>
  <c r="J1380" i="25"/>
  <c r="M1380" i="25"/>
  <c r="N1380" i="25"/>
  <c r="P1380" i="25"/>
  <c r="Q1380" i="25"/>
  <c r="S1380" i="25"/>
  <c r="U1380" i="25"/>
  <c r="V1380" i="25"/>
  <c r="X1380" i="25"/>
  <c r="Y1380" i="25"/>
  <c r="Z1380" i="25"/>
  <c r="AA1380" i="25"/>
  <c r="AC1380" i="25"/>
  <c r="AD1380" i="25"/>
  <c r="J1381" i="25"/>
  <c r="M1381" i="25"/>
  <c r="N1381" i="25"/>
  <c r="P1381" i="25"/>
  <c r="Q1381" i="25"/>
  <c r="S1381" i="25"/>
  <c r="U1381" i="25"/>
  <c r="V1381" i="25"/>
  <c r="X1381" i="25"/>
  <c r="Y1381" i="25"/>
  <c r="Z1381" i="25"/>
  <c r="AA1381" i="25"/>
  <c r="AC1381" i="25"/>
  <c r="AD1381" i="25"/>
  <c r="J1382" i="25"/>
  <c r="M1382" i="25"/>
  <c r="N1382" i="25"/>
  <c r="P1382" i="25"/>
  <c r="Q1382" i="25"/>
  <c r="S1382" i="25"/>
  <c r="U1382" i="25"/>
  <c r="V1382" i="25"/>
  <c r="X1382" i="25"/>
  <c r="Y1382" i="25"/>
  <c r="Z1382" i="25"/>
  <c r="AA1382" i="25"/>
  <c r="AC1382" i="25"/>
  <c r="AD1382" i="25"/>
  <c r="J1383" i="25"/>
  <c r="M1383" i="25"/>
  <c r="N1383" i="25"/>
  <c r="P1383" i="25"/>
  <c r="Q1383" i="25"/>
  <c r="S1383" i="25"/>
  <c r="U1383" i="25"/>
  <c r="V1383" i="25"/>
  <c r="X1383" i="25"/>
  <c r="Y1383" i="25"/>
  <c r="Z1383" i="25"/>
  <c r="AA1383" i="25"/>
  <c r="AC1383" i="25"/>
  <c r="AD1383" i="25"/>
  <c r="J1384" i="25"/>
  <c r="M1384" i="25"/>
  <c r="N1384" i="25"/>
  <c r="P1384" i="25"/>
  <c r="Q1384" i="25"/>
  <c r="S1384" i="25"/>
  <c r="U1384" i="25"/>
  <c r="V1384" i="25"/>
  <c r="X1384" i="25"/>
  <c r="Y1384" i="25"/>
  <c r="Z1384" i="25"/>
  <c r="AA1384" i="25"/>
  <c r="AC1384" i="25"/>
  <c r="AD1384" i="25"/>
  <c r="J1385" i="25"/>
  <c r="M1385" i="25"/>
  <c r="N1385" i="25"/>
  <c r="P1385" i="25"/>
  <c r="Q1385" i="25"/>
  <c r="S1385" i="25"/>
  <c r="U1385" i="25"/>
  <c r="V1385" i="25"/>
  <c r="X1385" i="25"/>
  <c r="Y1385" i="25"/>
  <c r="Z1385" i="25"/>
  <c r="AA1385" i="25"/>
  <c r="AC1385" i="25"/>
  <c r="AD1385" i="25"/>
  <c r="J1386" i="25"/>
  <c r="M1386" i="25"/>
  <c r="N1386" i="25"/>
  <c r="P1386" i="25"/>
  <c r="Q1386" i="25"/>
  <c r="S1386" i="25"/>
  <c r="U1386" i="25"/>
  <c r="V1386" i="25"/>
  <c r="X1386" i="25"/>
  <c r="Y1386" i="25"/>
  <c r="Z1386" i="25"/>
  <c r="AA1386" i="25"/>
  <c r="AC1386" i="25"/>
  <c r="AD1386" i="25"/>
  <c r="J1387" i="25"/>
  <c r="M1387" i="25"/>
  <c r="N1387" i="25"/>
  <c r="P1387" i="25"/>
  <c r="Q1387" i="25"/>
  <c r="S1387" i="25"/>
  <c r="U1387" i="25"/>
  <c r="V1387" i="25"/>
  <c r="X1387" i="25"/>
  <c r="Y1387" i="25"/>
  <c r="Z1387" i="25"/>
  <c r="AA1387" i="25"/>
  <c r="AC1387" i="25"/>
  <c r="AD1387" i="25"/>
  <c r="J1388" i="25"/>
  <c r="M1388" i="25"/>
  <c r="N1388" i="25"/>
  <c r="P1388" i="25"/>
  <c r="Q1388" i="25"/>
  <c r="S1388" i="25"/>
  <c r="U1388" i="25"/>
  <c r="V1388" i="25"/>
  <c r="X1388" i="25"/>
  <c r="Y1388" i="25"/>
  <c r="Z1388" i="25"/>
  <c r="AA1388" i="25"/>
  <c r="AC1388" i="25"/>
  <c r="AD1388" i="25"/>
  <c r="M1279" i="25"/>
  <c r="N1279" i="25"/>
  <c r="P1279" i="25"/>
  <c r="Q1279" i="25"/>
  <c r="S1279" i="25"/>
  <c r="U1279" i="25"/>
  <c r="V1279" i="25"/>
  <c r="X1279" i="25"/>
  <c r="Y1279" i="25"/>
  <c r="Z1279" i="25"/>
  <c r="AA1279" i="25"/>
  <c r="AC1279" i="25"/>
  <c r="AD1279" i="25"/>
  <c r="J1279" i="25"/>
  <c r="J1263" i="25"/>
  <c r="M1263" i="25"/>
  <c r="N1263" i="25"/>
  <c r="P1263" i="25"/>
  <c r="S1263" i="25"/>
  <c r="X1263" i="25"/>
  <c r="Y1263" i="25"/>
  <c r="J1264" i="25"/>
  <c r="M1264" i="25"/>
  <c r="N1264" i="25"/>
  <c r="P1264" i="25"/>
  <c r="S1264" i="25"/>
  <c r="X1264" i="25"/>
  <c r="Y1264" i="25"/>
  <c r="J1265" i="25"/>
  <c r="M1265" i="25"/>
  <c r="N1265" i="25"/>
  <c r="P1265" i="25"/>
  <c r="S1265" i="25"/>
  <c r="X1265" i="25"/>
  <c r="Y1265" i="25"/>
  <c r="J1266" i="25"/>
  <c r="M1266" i="25"/>
  <c r="N1266" i="25"/>
  <c r="P1266" i="25"/>
  <c r="S1266" i="25"/>
  <c r="X1266" i="25"/>
  <c r="Y1266" i="25"/>
  <c r="J1267" i="25"/>
  <c r="M1267" i="25"/>
  <c r="N1267" i="25"/>
  <c r="P1267" i="25"/>
  <c r="S1267" i="25"/>
  <c r="X1267" i="25"/>
  <c r="Y1267" i="25"/>
  <c r="J1268" i="25"/>
  <c r="M1268" i="25"/>
  <c r="N1268" i="25"/>
  <c r="P1268" i="25"/>
  <c r="S1268" i="25"/>
  <c r="X1268" i="25"/>
  <c r="Y1268" i="25"/>
  <c r="J1269" i="25"/>
  <c r="M1269" i="25"/>
  <c r="N1269" i="25"/>
  <c r="P1269" i="25"/>
  <c r="S1269" i="25"/>
  <c r="X1269" i="25"/>
  <c r="Y1269" i="25"/>
  <c r="J1270" i="25"/>
  <c r="M1270" i="25"/>
  <c r="N1270" i="25"/>
  <c r="P1270" i="25"/>
  <c r="S1270" i="25"/>
  <c r="X1270" i="25"/>
  <c r="Y1270" i="25"/>
  <c r="J1271" i="25"/>
  <c r="M1271" i="25"/>
  <c r="N1271" i="25"/>
  <c r="P1271" i="25"/>
  <c r="S1271" i="25"/>
  <c r="X1271" i="25"/>
  <c r="Y1271" i="25"/>
  <c r="J1272" i="25"/>
  <c r="M1272" i="25"/>
  <c r="N1272" i="25"/>
  <c r="P1272" i="25"/>
  <c r="S1272" i="25"/>
  <c r="X1272" i="25"/>
  <c r="Y1272" i="25"/>
  <c r="J1273" i="25"/>
  <c r="M1273" i="25"/>
  <c r="N1273" i="25"/>
  <c r="P1273" i="25"/>
  <c r="S1273" i="25"/>
  <c r="X1273" i="25"/>
  <c r="Y1273" i="25"/>
  <c r="J1274" i="25"/>
  <c r="M1274" i="25"/>
  <c r="N1274" i="25"/>
  <c r="P1274" i="25"/>
  <c r="S1274" i="25"/>
  <c r="X1274" i="25"/>
  <c r="Y1274" i="25"/>
  <c r="J1275" i="25"/>
  <c r="M1275" i="25"/>
  <c r="N1275" i="25"/>
  <c r="P1275" i="25"/>
  <c r="S1275" i="25"/>
  <c r="X1275" i="25"/>
  <c r="Y1275" i="25"/>
  <c r="J1276" i="25"/>
  <c r="M1276" i="25"/>
  <c r="N1276" i="25"/>
  <c r="P1276" i="25"/>
  <c r="S1276" i="25"/>
  <c r="X1276" i="25"/>
  <c r="Y1276" i="25"/>
  <c r="J1277" i="25"/>
  <c r="M1277" i="25"/>
  <c r="N1277" i="25"/>
  <c r="P1277" i="25"/>
  <c r="S1277" i="25"/>
  <c r="X1277" i="25"/>
  <c r="Y1277" i="25"/>
  <c r="J1278" i="25"/>
  <c r="M1278" i="25"/>
  <c r="N1278" i="25"/>
  <c r="P1278" i="25"/>
  <c r="S1278" i="25"/>
  <c r="X1278" i="25"/>
  <c r="Y1278" i="25"/>
  <c r="M1262" i="25"/>
  <c r="N1262" i="25"/>
  <c r="P1262" i="25"/>
  <c r="S1262" i="25"/>
  <c r="X1262" i="25"/>
  <c r="Y1262" i="25"/>
  <c r="J1262" i="25"/>
  <c r="J1253" i="25"/>
  <c r="M1253" i="25"/>
  <c r="N1253" i="25"/>
  <c r="P1253" i="25"/>
  <c r="X1253" i="25"/>
  <c r="Y1253" i="25"/>
  <c r="J1254" i="25"/>
  <c r="M1254" i="25"/>
  <c r="N1254" i="25"/>
  <c r="P1254" i="25"/>
  <c r="X1254" i="25"/>
  <c r="Y1254" i="25"/>
  <c r="J1255" i="25"/>
  <c r="M1255" i="25"/>
  <c r="N1255" i="25"/>
  <c r="P1255" i="25"/>
  <c r="X1255" i="25"/>
  <c r="Y1255" i="25"/>
  <c r="J1256" i="25"/>
  <c r="M1256" i="25"/>
  <c r="N1256" i="25"/>
  <c r="P1256" i="25"/>
  <c r="X1256" i="25"/>
  <c r="Y1256" i="25"/>
  <c r="J1257" i="25"/>
  <c r="M1257" i="25"/>
  <c r="N1257" i="25"/>
  <c r="P1257" i="25"/>
  <c r="X1257" i="25"/>
  <c r="Y1257" i="25"/>
  <c r="J1258" i="25"/>
  <c r="M1258" i="25"/>
  <c r="N1258" i="25"/>
  <c r="P1258" i="25"/>
  <c r="X1258" i="25"/>
  <c r="Y1258" i="25"/>
  <c r="J1259" i="25"/>
  <c r="M1259" i="25"/>
  <c r="N1259" i="25"/>
  <c r="P1259" i="25"/>
  <c r="X1259" i="25"/>
  <c r="Y1259" i="25"/>
  <c r="J1260" i="25"/>
  <c r="M1260" i="25"/>
  <c r="N1260" i="25"/>
  <c r="P1260" i="25"/>
  <c r="X1260" i="25"/>
  <c r="Y1260" i="25"/>
  <c r="J1261" i="25"/>
  <c r="M1261" i="25"/>
  <c r="N1261" i="25"/>
  <c r="P1261" i="25"/>
  <c r="X1261" i="25"/>
  <c r="Y1261" i="25"/>
  <c r="M1252" i="25"/>
  <c r="N1252" i="25"/>
  <c r="P1252" i="25"/>
  <c r="X1252" i="25"/>
  <c r="Y1252" i="25"/>
  <c r="J1252" i="25"/>
  <c r="J1229" i="25"/>
  <c r="M1229" i="25"/>
  <c r="N1229" i="25"/>
  <c r="P1229" i="25"/>
  <c r="S1229" i="25"/>
  <c r="X1229" i="25"/>
  <c r="Y1229" i="25"/>
  <c r="J1230" i="25"/>
  <c r="M1230" i="25"/>
  <c r="N1230" i="25"/>
  <c r="P1230" i="25"/>
  <c r="S1230" i="25"/>
  <c r="X1230" i="25"/>
  <c r="Y1230" i="25"/>
  <c r="J1231" i="25"/>
  <c r="M1231" i="25"/>
  <c r="N1231" i="25"/>
  <c r="P1231" i="25"/>
  <c r="S1231" i="25"/>
  <c r="X1231" i="25"/>
  <c r="Y1231" i="25"/>
  <c r="J1232" i="25"/>
  <c r="M1232" i="25"/>
  <c r="N1232" i="25"/>
  <c r="P1232" i="25"/>
  <c r="S1232" i="25"/>
  <c r="X1232" i="25"/>
  <c r="Y1232" i="25"/>
  <c r="J1233" i="25"/>
  <c r="M1233" i="25"/>
  <c r="N1233" i="25"/>
  <c r="P1233" i="25"/>
  <c r="S1233" i="25"/>
  <c r="X1233" i="25"/>
  <c r="Y1233" i="25"/>
  <c r="J1234" i="25"/>
  <c r="M1234" i="25"/>
  <c r="N1234" i="25"/>
  <c r="P1234" i="25"/>
  <c r="S1234" i="25"/>
  <c r="X1234" i="25"/>
  <c r="Y1234" i="25"/>
  <c r="J1235" i="25"/>
  <c r="M1235" i="25"/>
  <c r="N1235" i="25"/>
  <c r="P1235" i="25"/>
  <c r="S1235" i="25"/>
  <c r="X1235" i="25"/>
  <c r="Y1235" i="25"/>
  <c r="J1236" i="25"/>
  <c r="M1236" i="25"/>
  <c r="N1236" i="25"/>
  <c r="P1236" i="25"/>
  <c r="S1236" i="25"/>
  <c r="X1236" i="25"/>
  <c r="Y1236" i="25"/>
  <c r="J1237" i="25"/>
  <c r="M1237" i="25"/>
  <c r="N1237" i="25"/>
  <c r="P1237" i="25"/>
  <c r="S1237" i="25"/>
  <c r="X1237" i="25"/>
  <c r="Y1237" i="25"/>
  <c r="J1238" i="25"/>
  <c r="M1238" i="25"/>
  <c r="N1238" i="25"/>
  <c r="P1238" i="25"/>
  <c r="S1238" i="25"/>
  <c r="X1238" i="25"/>
  <c r="Y1238" i="25"/>
  <c r="J1239" i="25"/>
  <c r="M1239" i="25"/>
  <c r="N1239" i="25"/>
  <c r="P1239" i="25"/>
  <c r="S1239" i="25"/>
  <c r="X1239" i="25"/>
  <c r="Y1239" i="25"/>
  <c r="J1240" i="25"/>
  <c r="M1240" i="25"/>
  <c r="N1240" i="25"/>
  <c r="P1240" i="25"/>
  <c r="S1240" i="25"/>
  <c r="X1240" i="25"/>
  <c r="Y1240" i="25"/>
  <c r="J1241" i="25"/>
  <c r="M1241" i="25"/>
  <c r="N1241" i="25"/>
  <c r="P1241" i="25"/>
  <c r="S1241" i="25"/>
  <c r="X1241" i="25"/>
  <c r="Y1241" i="25"/>
  <c r="J1242" i="25"/>
  <c r="M1242" i="25"/>
  <c r="N1242" i="25"/>
  <c r="P1242" i="25"/>
  <c r="S1242" i="25"/>
  <c r="X1242" i="25"/>
  <c r="Y1242" i="25"/>
  <c r="J1243" i="25"/>
  <c r="M1243" i="25"/>
  <c r="N1243" i="25"/>
  <c r="P1243" i="25"/>
  <c r="S1243" i="25"/>
  <c r="X1243" i="25"/>
  <c r="Y1243" i="25"/>
  <c r="J1244" i="25"/>
  <c r="M1244" i="25"/>
  <c r="N1244" i="25"/>
  <c r="P1244" i="25"/>
  <c r="S1244" i="25"/>
  <c r="X1244" i="25"/>
  <c r="Y1244" i="25"/>
  <c r="J1245" i="25"/>
  <c r="M1245" i="25"/>
  <c r="N1245" i="25"/>
  <c r="P1245" i="25"/>
  <c r="S1245" i="25"/>
  <c r="X1245" i="25"/>
  <c r="Y1245" i="25"/>
  <c r="J1246" i="25"/>
  <c r="M1246" i="25"/>
  <c r="N1246" i="25"/>
  <c r="P1246" i="25"/>
  <c r="S1246" i="25"/>
  <c r="X1246" i="25"/>
  <c r="Y1246" i="25"/>
  <c r="J1247" i="25"/>
  <c r="M1247" i="25"/>
  <c r="N1247" i="25"/>
  <c r="P1247" i="25"/>
  <c r="S1247" i="25"/>
  <c r="X1247" i="25"/>
  <c r="Y1247" i="25"/>
  <c r="J1248" i="25"/>
  <c r="M1248" i="25"/>
  <c r="N1248" i="25"/>
  <c r="P1248" i="25"/>
  <c r="S1248" i="25"/>
  <c r="X1248" i="25"/>
  <c r="Y1248" i="25"/>
  <c r="J1249" i="25"/>
  <c r="M1249" i="25"/>
  <c r="N1249" i="25"/>
  <c r="P1249" i="25"/>
  <c r="S1249" i="25"/>
  <c r="X1249" i="25"/>
  <c r="Y1249" i="25"/>
  <c r="J1250" i="25"/>
  <c r="M1250" i="25"/>
  <c r="N1250" i="25"/>
  <c r="P1250" i="25"/>
  <c r="S1250" i="25"/>
  <c r="X1250" i="25"/>
  <c r="Y1250" i="25"/>
  <c r="J1251" i="25"/>
  <c r="M1251" i="25"/>
  <c r="N1251" i="25"/>
  <c r="P1251" i="25"/>
  <c r="S1251" i="25"/>
  <c r="X1251" i="25"/>
  <c r="Y1251" i="25"/>
  <c r="M1228" i="25"/>
  <c r="N1228" i="25"/>
  <c r="P1228" i="25"/>
  <c r="S1228" i="25"/>
  <c r="X1228" i="25"/>
  <c r="Y1228" i="25"/>
  <c r="J1228" i="25"/>
  <c r="J1202" i="25"/>
  <c r="M1202" i="25"/>
  <c r="N1202" i="25"/>
  <c r="P1202" i="25"/>
  <c r="S1202" i="25"/>
  <c r="X1202" i="25"/>
  <c r="Y1202" i="25"/>
  <c r="J1203" i="25"/>
  <c r="M1203" i="25"/>
  <c r="N1203" i="25"/>
  <c r="P1203" i="25"/>
  <c r="S1203" i="25"/>
  <c r="X1203" i="25"/>
  <c r="Y1203" i="25"/>
  <c r="J1204" i="25"/>
  <c r="M1204" i="25"/>
  <c r="N1204" i="25"/>
  <c r="P1204" i="25"/>
  <c r="S1204" i="25"/>
  <c r="X1204" i="25"/>
  <c r="Y1204" i="25"/>
  <c r="J1205" i="25"/>
  <c r="M1205" i="25"/>
  <c r="N1205" i="25"/>
  <c r="P1205" i="25"/>
  <c r="S1205" i="25"/>
  <c r="X1205" i="25"/>
  <c r="Y1205" i="25"/>
  <c r="J1206" i="25"/>
  <c r="M1206" i="25"/>
  <c r="N1206" i="25"/>
  <c r="P1206" i="25"/>
  <c r="S1206" i="25"/>
  <c r="X1206" i="25"/>
  <c r="Y1206" i="25"/>
  <c r="J1207" i="25"/>
  <c r="M1207" i="25"/>
  <c r="N1207" i="25"/>
  <c r="P1207" i="25"/>
  <c r="S1207" i="25"/>
  <c r="X1207" i="25"/>
  <c r="Y1207" i="25"/>
  <c r="J1208" i="25"/>
  <c r="M1208" i="25"/>
  <c r="N1208" i="25"/>
  <c r="P1208" i="25"/>
  <c r="S1208" i="25"/>
  <c r="X1208" i="25"/>
  <c r="Y1208" i="25"/>
  <c r="J1209" i="25"/>
  <c r="M1209" i="25"/>
  <c r="N1209" i="25"/>
  <c r="P1209" i="25"/>
  <c r="S1209" i="25"/>
  <c r="X1209" i="25"/>
  <c r="Y1209" i="25"/>
  <c r="J1210" i="25"/>
  <c r="M1210" i="25"/>
  <c r="N1210" i="25"/>
  <c r="P1210" i="25"/>
  <c r="S1210" i="25"/>
  <c r="X1210" i="25"/>
  <c r="Y1210" i="25"/>
  <c r="J1211" i="25"/>
  <c r="M1211" i="25"/>
  <c r="N1211" i="25"/>
  <c r="P1211" i="25"/>
  <c r="S1211" i="25"/>
  <c r="X1211" i="25"/>
  <c r="Y1211" i="25"/>
  <c r="J1212" i="25"/>
  <c r="M1212" i="25"/>
  <c r="N1212" i="25"/>
  <c r="P1212" i="25"/>
  <c r="S1212" i="25"/>
  <c r="X1212" i="25"/>
  <c r="Y1212" i="25"/>
  <c r="J1213" i="25"/>
  <c r="M1213" i="25"/>
  <c r="N1213" i="25"/>
  <c r="P1213" i="25"/>
  <c r="S1213" i="25"/>
  <c r="X1213" i="25"/>
  <c r="Y1213" i="25"/>
  <c r="J1214" i="25"/>
  <c r="M1214" i="25"/>
  <c r="N1214" i="25"/>
  <c r="P1214" i="25"/>
  <c r="S1214" i="25"/>
  <c r="X1214" i="25"/>
  <c r="Y1214" i="25"/>
  <c r="J1215" i="25"/>
  <c r="M1215" i="25"/>
  <c r="N1215" i="25"/>
  <c r="P1215" i="25"/>
  <c r="S1215" i="25"/>
  <c r="X1215" i="25"/>
  <c r="Y1215" i="25"/>
  <c r="J1216" i="25"/>
  <c r="M1216" i="25"/>
  <c r="N1216" i="25"/>
  <c r="P1216" i="25"/>
  <c r="S1216" i="25"/>
  <c r="X1216" i="25"/>
  <c r="Y1216" i="25"/>
  <c r="J1217" i="25"/>
  <c r="M1217" i="25"/>
  <c r="N1217" i="25"/>
  <c r="P1217" i="25"/>
  <c r="S1217" i="25"/>
  <c r="X1217" i="25"/>
  <c r="Y1217" i="25"/>
  <c r="J1218" i="25"/>
  <c r="M1218" i="25"/>
  <c r="N1218" i="25"/>
  <c r="P1218" i="25"/>
  <c r="S1218" i="25"/>
  <c r="X1218" i="25"/>
  <c r="Y1218" i="25"/>
  <c r="J1219" i="25"/>
  <c r="M1219" i="25"/>
  <c r="N1219" i="25"/>
  <c r="P1219" i="25"/>
  <c r="S1219" i="25"/>
  <c r="X1219" i="25"/>
  <c r="Y1219" i="25"/>
  <c r="J1220" i="25"/>
  <c r="M1220" i="25"/>
  <c r="N1220" i="25"/>
  <c r="P1220" i="25"/>
  <c r="S1220" i="25"/>
  <c r="X1220" i="25"/>
  <c r="Y1220" i="25"/>
  <c r="J1221" i="25"/>
  <c r="M1221" i="25"/>
  <c r="N1221" i="25"/>
  <c r="P1221" i="25"/>
  <c r="S1221" i="25"/>
  <c r="X1221" i="25"/>
  <c r="Y1221" i="25"/>
  <c r="J1222" i="25"/>
  <c r="M1222" i="25"/>
  <c r="N1222" i="25"/>
  <c r="P1222" i="25"/>
  <c r="S1222" i="25"/>
  <c r="X1222" i="25"/>
  <c r="Y1222" i="25"/>
  <c r="J1223" i="25"/>
  <c r="M1223" i="25"/>
  <c r="N1223" i="25"/>
  <c r="P1223" i="25"/>
  <c r="S1223" i="25"/>
  <c r="X1223" i="25"/>
  <c r="Y1223" i="25"/>
  <c r="J1224" i="25"/>
  <c r="M1224" i="25"/>
  <c r="N1224" i="25"/>
  <c r="P1224" i="25"/>
  <c r="S1224" i="25"/>
  <c r="X1224" i="25"/>
  <c r="Y1224" i="25"/>
  <c r="J1225" i="25"/>
  <c r="M1225" i="25"/>
  <c r="N1225" i="25"/>
  <c r="P1225" i="25"/>
  <c r="S1225" i="25"/>
  <c r="X1225" i="25"/>
  <c r="Y1225" i="25"/>
  <c r="J1226" i="25"/>
  <c r="M1226" i="25"/>
  <c r="N1226" i="25"/>
  <c r="P1226" i="25"/>
  <c r="S1226" i="25"/>
  <c r="X1226" i="25"/>
  <c r="Y1226" i="25"/>
  <c r="J1227" i="25"/>
  <c r="M1227" i="25"/>
  <c r="N1227" i="25"/>
  <c r="P1227" i="25"/>
  <c r="S1227" i="25"/>
  <c r="X1227" i="25"/>
  <c r="Y1227" i="25"/>
  <c r="M1201" i="25"/>
  <c r="N1201" i="25"/>
  <c r="P1201" i="25"/>
  <c r="S1201" i="25"/>
  <c r="X1201" i="25"/>
  <c r="Y1201" i="25"/>
  <c r="J1201" i="25"/>
  <c r="J1191" i="25"/>
  <c r="M1191" i="25"/>
  <c r="N1191" i="25"/>
  <c r="P1191" i="25"/>
  <c r="S1191" i="25"/>
  <c r="X1191" i="25"/>
  <c r="Y1191" i="25"/>
  <c r="J1192" i="25"/>
  <c r="M1192" i="25"/>
  <c r="N1192" i="25"/>
  <c r="P1192" i="25"/>
  <c r="S1192" i="25"/>
  <c r="X1192" i="25"/>
  <c r="Y1192" i="25"/>
  <c r="J1193" i="25"/>
  <c r="M1193" i="25"/>
  <c r="N1193" i="25"/>
  <c r="P1193" i="25"/>
  <c r="S1193" i="25"/>
  <c r="X1193" i="25"/>
  <c r="Y1193" i="25"/>
  <c r="J1194" i="25"/>
  <c r="M1194" i="25"/>
  <c r="N1194" i="25"/>
  <c r="P1194" i="25"/>
  <c r="S1194" i="25"/>
  <c r="X1194" i="25"/>
  <c r="Y1194" i="25"/>
  <c r="J1195" i="25"/>
  <c r="M1195" i="25"/>
  <c r="N1195" i="25"/>
  <c r="P1195" i="25"/>
  <c r="S1195" i="25"/>
  <c r="X1195" i="25"/>
  <c r="Y1195" i="25"/>
  <c r="J1196" i="25"/>
  <c r="M1196" i="25"/>
  <c r="N1196" i="25"/>
  <c r="P1196" i="25"/>
  <c r="S1196" i="25"/>
  <c r="X1196" i="25"/>
  <c r="Y1196" i="25"/>
  <c r="J1197" i="25"/>
  <c r="M1197" i="25"/>
  <c r="N1197" i="25"/>
  <c r="P1197" i="25"/>
  <c r="S1197" i="25"/>
  <c r="X1197" i="25"/>
  <c r="Y1197" i="25"/>
  <c r="J1198" i="25"/>
  <c r="M1198" i="25"/>
  <c r="N1198" i="25"/>
  <c r="P1198" i="25"/>
  <c r="S1198" i="25"/>
  <c r="X1198" i="25"/>
  <c r="Y1198" i="25"/>
  <c r="J1199" i="25"/>
  <c r="M1199" i="25"/>
  <c r="N1199" i="25"/>
  <c r="P1199" i="25"/>
  <c r="S1199" i="25"/>
  <c r="X1199" i="25"/>
  <c r="Y1199" i="25"/>
  <c r="J1200" i="25"/>
  <c r="M1200" i="25"/>
  <c r="N1200" i="25"/>
  <c r="P1200" i="25"/>
  <c r="S1200" i="25"/>
  <c r="X1200" i="25"/>
  <c r="Y1200" i="25"/>
  <c r="M1181" i="25"/>
  <c r="N1181" i="25"/>
  <c r="P1181" i="25"/>
  <c r="S1181" i="25"/>
  <c r="X1181" i="25"/>
  <c r="Y1181" i="25"/>
  <c r="J1181" i="25"/>
  <c r="L23" i="23"/>
  <c r="U1176" i="25" s="1"/>
  <c r="G23" i="23"/>
  <c r="J1172" i="25"/>
  <c r="M1172" i="25"/>
  <c r="N1172" i="25"/>
  <c r="P1172" i="25"/>
  <c r="S1172" i="25"/>
  <c r="X1172" i="25"/>
  <c r="Y1172" i="25"/>
  <c r="J1173" i="25"/>
  <c r="M1173" i="25"/>
  <c r="N1173" i="25"/>
  <c r="P1173" i="25"/>
  <c r="S1173" i="25"/>
  <c r="X1173" i="25"/>
  <c r="Y1173" i="25"/>
  <c r="J1174" i="25"/>
  <c r="M1174" i="25"/>
  <c r="N1174" i="25"/>
  <c r="P1174" i="25"/>
  <c r="S1174" i="25"/>
  <c r="X1174" i="25"/>
  <c r="Y1174" i="25"/>
  <c r="J1175" i="25"/>
  <c r="M1175" i="25"/>
  <c r="N1175" i="25"/>
  <c r="P1175" i="25"/>
  <c r="S1175" i="25"/>
  <c r="X1175" i="25"/>
  <c r="Y1175" i="25"/>
  <c r="J1176" i="25"/>
  <c r="M1176" i="25"/>
  <c r="N1176" i="25"/>
  <c r="P1176" i="25"/>
  <c r="S1176" i="25"/>
  <c r="X1176" i="25"/>
  <c r="Y1176" i="25"/>
  <c r="J1177" i="25"/>
  <c r="M1177" i="25"/>
  <c r="N1177" i="25"/>
  <c r="P1177" i="25"/>
  <c r="S1177" i="25"/>
  <c r="X1177" i="25"/>
  <c r="Y1177" i="25"/>
  <c r="J1178" i="25"/>
  <c r="M1178" i="25"/>
  <c r="N1178" i="25"/>
  <c r="P1178" i="25"/>
  <c r="S1178" i="25"/>
  <c r="X1178" i="25"/>
  <c r="Y1178" i="25"/>
  <c r="J1179" i="25"/>
  <c r="M1179" i="25"/>
  <c r="N1179" i="25"/>
  <c r="P1179" i="25"/>
  <c r="S1179" i="25"/>
  <c r="X1179" i="25"/>
  <c r="Y1179" i="25"/>
  <c r="J1180" i="25"/>
  <c r="M1180" i="25"/>
  <c r="N1180" i="25"/>
  <c r="P1180" i="25"/>
  <c r="S1180" i="25"/>
  <c r="X1180" i="25"/>
  <c r="Y1180" i="25"/>
  <c r="M1161" i="25"/>
  <c r="N1161" i="25"/>
  <c r="P1161" i="25"/>
  <c r="S1161" i="25"/>
  <c r="X1161" i="25"/>
  <c r="Y1161" i="25"/>
  <c r="J1161" i="25"/>
  <c r="V105" i="11"/>
  <c r="V106" i="11"/>
  <c r="V107" i="11"/>
  <c r="V108" i="11"/>
  <c r="V109" i="11"/>
  <c r="V110" i="11"/>
  <c r="V111" i="11"/>
  <c r="V112" i="11"/>
  <c r="V113" i="11"/>
  <c r="V114" i="11"/>
  <c r="V115" i="11"/>
  <c r="V116" i="11"/>
  <c r="V117" i="11"/>
  <c r="V118" i="11"/>
  <c r="V119" i="11"/>
  <c r="V120" i="11"/>
  <c r="V121" i="11"/>
  <c r="V122" i="11"/>
  <c r="V123" i="11"/>
  <c r="V124" i="11"/>
  <c r="V125" i="11"/>
  <c r="V126" i="11"/>
  <c r="K105" i="11"/>
  <c r="K106" i="11"/>
  <c r="K107" i="11"/>
  <c r="K108" i="11"/>
  <c r="K109" i="11"/>
  <c r="K110" i="11"/>
  <c r="K111" i="11"/>
  <c r="K112" i="11"/>
  <c r="K113" i="11"/>
  <c r="K114" i="11"/>
  <c r="K115" i="11"/>
  <c r="K116" i="11"/>
  <c r="K117" i="11"/>
  <c r="K118" i="11"/>
  <c r="K119" i="11"/>
  <c r="K120" i="11"/>
  <c r="K121" i="11"/>
  <c r="K122" i="11"/>
  <c r="K123" i="11"/>
  <c r="K124" i="11"/>
  <c r="K125" i="11"/>
  <c r="K126" i="11"/>
  <c r="K104" i="11"/>
  <c r="I105" i="11"/>
  <c r="I106" i="11"/>
  <c r="I107" i="11"/>
  <c r="I108" i="11"/>
  <c r="I109" i="11"/>
  <c r="I110" i="11"/>
  <c r="I111" i="11"/>
  <c r="I112" i="11"/>
  <c r="I113" i="11"/>
  <c r="I114" i="11"/>
  <c r="I115" i="11"/>
  <c r="I116" i="11"/>
  <c r="I117" i="11"/>
  <c r="I118" i="11"/>
  <c r="I119" i="11"/>
  <c r="I120" i="11"/>
  <c r="I121" i="11"/>
  <c r="I122" i="11"/>
  <c r="I123" i="11"/>
  <c r="I124" i="11"/>
  <c r="I125" i="11"/>
  <c r="I126" i="11"/>
  <c r="I104" i="11"/>
  <c r="V104" i="11"/>
  <c r="V145" i="11" a="1"/>
  <c r="V145" i="11" s="1"/>
  <c r="AG1729" i="25" s="1"/>
  <c r="S145" i="11" a="1"/>
  <c r="S145" i="11" s="1"/>
  <c r="AD1729" i="25" s="1"/>
  <c r="R145" i="11" a="1"/>
  <c r="R145" i="11" s="1"/>
  <c r="AC1729" i="25" s="1"/>
  <c r="Q145" i="11" a="1"/>
  <c r="Q145" i="11" s="1"/>
  <c r="AB1729" i="25" s="1"/>
  <c r="P145" i="11" a="1"/>
  <c r="P145" i="11" s="1"/>
  <c r="AA1729" i="25" s="1"/>
  <c r="O145" i="11"/>
  <c r="Z1729" i="25" s="1"/>
  <c r="K145" i="11" a="1"/>
  <c r="K145" i="11" s="1"/>
  <c r="V1729" i="25" s="1"/>
  <c r="J145" i="11"/>
  <c r="U1729" i="25" s="1"/>
  <c r="I145" i="11" a="1"/>
  <c r="I145" i="11" s="1"/>
  <c r="F145" i="11"/>
  <c r="Q1729" i="25" s="1"/>
  <c r="V144" i="11" a="1"/>
  <c r="V144" i="11" s="1"/>
  <c r="AG1728" i="25" s="1"/>
  <c r="S144" i="11" a="1"/>
  <c r="S144" i="11" s="1"/>
  <c r="AD1728" i="25" s="1"/>
  <c r="R144" i="11" a="1"/>
  <c r="R144" i="11" s="1"/>
  <c r="AC1728" i="25" s="1"/>
  <c r="Q144" i="11" a="1"/>
  <c r="Q144" i="11" s="1"/>
  <c r="AB1728" i="25" s="1"/>
  <c r="P144" i="11" a="1"/>
  <c r="P144" i="11" s="1"/>
  <c r="AA1728" i="25" s="1"/>
  <c r="O144" i="11"/>
  <c r="Z1728" i="25" s="1"/>
  <c r="K144" i="11" a="1"/>
  <c r="K144" i="11" s="1"/>
  <c r="V1728" i="25" s="1"/>
  <c r="J144" i="11"/>
  <c r="U1728" i="25" s="1"/>
  <c r="I144" i="11" a="1"/>
  <c r="I144" i="11" s="1"/>
  <c r="F144" i="11"/>
  <c r="Q1728" i="25" s="1"/>
  <c r="V143" i="11" a="1"/>
  <c r="V143" i="11" s="1"/>
  <c r="AG1727" i="25" s="1"/>
  <c r="S143" i="11" a="1"/>
  <c r="S143" i="11" s="1"/>
  <c r="AD1727" i="25" s="1"/>
  <c r="R143" i="11" a="1"/>
  <c r="R143" i="11" s="1"/>
  <c r="AC1727" i="25" s="1"/>
  <c r="Q143" i="11" a="1"/>
  <c r="Q143" i="11" s="1"/>
  <c r="AB1727" i="25" s="1"/>
  <c r="P143" i="11" a="1"/>
  <c r="P143" i="11" s="1"/>
  <c r="AA1727" i="25" s="1"/>
  <c r="O143" i="11"/>
  <c r="Z1727" i="25" s="1"/>
  <c r="K143" i="11" a="1"/>
  <c r="K143" i="11" s="1"/>
  <c r="V1727" i="25" s="1"/>
  <c r="J143" i="11"/>
  <c r="U1727" i="25" s="1"/>
  <c r="I143" i="11" a="1"/>
  <c r="I143" i="11" s="1"/>
  <c r="F143" i="11"/>
  <c r="Q1727" i="25" s="1"/>
  <c r="V142" i="11" a="1"/>
  <c r="V142" i="11" s="1"/>
  <c r="AG1726" i="25" s="1"/>
  <c r="S142" i="11" a="1"/>
  <c r="S142" i="11" s="1"/>
  <c r="AD1726" i="25" s="1"/>
  <c r="R142" i="11" a="1"/>
  <c r="R142" i="11" s="1"/>
  <c r="AC1726" i="25" s="1"/>
  <c r="Q142" i="11" a="1"/>
  <c r="Q142" i="11" s="1"/>
  <c r="AB1726" i="25" s="1"/>
  <c r="P142" i="11" a="1"/>
  <c r="P142" i="11" s="1"/>
  <c r="AA1726" i="25" s="1"/>
  <c r="O142" i="11"/>
  <c r="Z1726" i="25" s="1"/>
  <c r="K142" i="11" a="1"/>
  <c r="K142" i="11" s="1"/>
  <c r="V1726" i="25" s="1"/>
  <c r="J142" i="11"/>
  <c r="U1726" i="25" s="1"/>
  <c r="I142" i="11" a="1"/>
  <c r="I142" i="11" s="1"/>
  <c r="F142" i="11"/>
  <c r="Q1726" i="25" s="1"/>
  <c r="V141" i="11" a="1"/>
  <c r="V141" i="11" s="1"/>
  <c r="AG1725" i="25" s="1"/>
  <c r="S141" i="11" a="1"/>
  <c r="S141" i="11" s="1"/>
  <c r="AD1725" i="25" s="1"/>
  <c r="R141" i="11" a="1"/>
  <c r="R141" i="11" s="1"/>
  <c r="AC1725" i="25" s="1"/>
  <c r="Q141" i="11" a="1"/>
  <c r="Q141" i="11" s="1"/>
  <c r="AB1725" i="25" s="1"/>
  <c r="P141" i="11" a="1"/>
  <c r="P141" i="11" s="1"/>
  <c r="AA1725" i="25" s="1"/>
  <c r="O141" i="11"/>
  <c r="Z1725" i="25" s="1"/>
  <c r="K141" i="11" a="1"/>
  <c r="K141" i="11" s="1"/>
  <c r="V1725" i="25" s="1"/>
  <c r="J141" i="11"/>
  <c r="U1725" i="25" s="1"/>
  <c r="I141" i="11" a="1"/>
  <c r="I141" i="11" s="1"/>
  <c r="F141" i="11"/>
  <c r="Q1725" i="25" s="1"/>
  <c r="V140" i="11" a="1"/>
  <c r="V140" i="11" s="1"/>
  <c r="AG1724" i="25" s="1"/>
  <c r="S140" i="11" a="1"/>
  <c r="S140" i="11" s="1"/>
  <c r="AD1724" i="25" s="1"/>
  <c r="R140" i="11" a="1"/>
  <c r="R140" i="11" s="1"/>
  <c r="AC1724" i="25" s="1"/>
  <c r="Q140" i="11" a="1"/>
  <c r="Q140" i="11" s="1"/>
  <c r="AB1724" i="25" s="1"/>
  <c r="P140" i="11" a="1"/>
  <c r="P140" i="11" s="1"/>
  <c r="AA1724" i="25" s="1"/>
  <c r="O140" i="11"/>
  <c r="Z1724" i="25" s="1"/>
  <c r="K140" i="11" a="1"/>
  <c r="K140" i="11" s="1"/>
  <c r="V1724" i="25" s="1"/>
  <c r="J140" i="11"/>
  <c r="U1724" i="25" s="1"/>
  <c r="I140" i="11" a="1"/>
  <c r="I140" i="11" s="1"/>
  <c r="F140" i="11"/>
  <c r="Q1724" i="25" s="1"/>
  <c r="V139" i="11" a="1"/>
  <c r="V139" i="11" s="1"/>
  <c r="AG1723" i="25" s="1"/>
  <c r="S139" i="11" a="1"/>
  <c r="S139" i="11" s="1"/>
  <c r="AD1723" i="25" s="1"/>
  <c r="R139" i="11" a="1"/>
  <c r="R139" i="11" s="1"/>
  <c r="AC1723" i="25" s="1"/>
  <c r="Q139" i="11" a="1"/>
  <c r="Q139" i="11" s="1"/>
  <c r="AB1723" i="25" s="1"/>
  <c r="P139" i="11" a="1"/>
  <c r="P139" i="11" s="1"/>
  <c r="AA1723" i="25" s="1"/>
  <c r="O139" i="11"/>
  <c r="Z1723" i="25" s="1"/>
  <c r="K139" i="11" a="1"/>
  <c r="K139" i="11" s="1"/>
  <c r="V1723" i="25" s="1"/>
  <c r="J139" i="11"/>
  <c r="U1723" i="25" s="1"/>
  <c r="I139" i="11" a="1"/>
  <c r="I139" i="11" s="1"/>
  <c r="F139" i="11"/>
  <c r="Q1723" i="25" s="1"/>
  <c r="V138" i="11" a="1"/>
  <c r="V138" i="11" s="1"/>
  <c r="AG1722" i="25" s="1"/>
  <c r="S138" i="11" a="1"/>
  <c r="S138" i="11" s="1"/>
  <c r="AD1722" i="25" s="1"/>
  <c r="R138" i="11" a="1"/>
  <c r="R138" i="11" s="1"/>
  <c r="AC1722" i="25" s="1"/>
  <c r="Q138" i="11" a="1"/>
  <c r="Q138" i="11" s="1"/>
  <c r="AB1722" i="25" s="1"/>
  <c r="P138" i="11" a="1"/>
  <c r="P138" i="11" s="1"/>
  <c r="AA1722" i="25" s="1"/>
  <c r="O138" i="11"/>
  <c r="Z1722" i="25" s="1"/>
  <c r="K138" i="11" a="1"/>
  <c r="K138" i="11" s="1"/>
  <c r="V1722" i="25" s="1"/>
  <c r="J138" i="11"/>
  <c r="U1722" i="25" s="1"/>
  <c r="I138" i="11" a="1"/>
  <c r="I138" i="11" s="1"/>
  <c r="F138" i="11"/>
  <c r="Q1722" i="25" s="1"/>
  <c r="V137" i="11" a="1"/>
  <c r="V137" i="11" s="1"/>
  <c r="AG1721" i="25" s="1"/>
  <c r="S137" i="11" a="1"/>
  <c r="S137" i="11" s="1"/>
  <c r="AD1721" i="25" s="1"/>
  <c r="R137" i="11" a="1"/>
  <c r="R137" i="11" s="1"/>
  <c r="AC1721" i="25" s="1"/>
  <c r="Q137" i="11" a="1"/>
  <c r="Q137" i="11" s="1"/>
  <c r="AB1721" i="25" s="1"/>
  <c r="P137" i="11" a="1"/>
  <c r="P137" i="11" s="1"/>
  <c r="AA1721" i="25" s="1"/>
  <c r="O137" i="11"/>
  <c r="Z1721" i="25" s="1"/>
  <c r="K137" i="11" a="1"/>
  <c r="K137" i="11" s="1"/>
  <c r="V1721" i="25" s="1"/>
  <c r="J137" i="11"/>
  <c r="U1721" i="25" s="1"/>
  <c r="I137" i="11" a="1"/>
  <c r="I137" i="11" s="1"/>
  <c r="F137" i="11"/>
  <c r="Q1721" i="25" s="1"/>
  <c r="V136" i="11" a="1"/>
  <c r="V136" i="11" s="1"/>
  <c r="AG1720" i="25" s="1"/>
  <c r="S136" i="11" a="1"/>
  <c r="S136" i="11" s="1"/>
  <c r="AD1720" i="25" s="1"/>
  <c r="R136" i="11" a="1"/>
  <c r="R136" i="11" s="1"/>
  <c r="AC1720" i="25" s="1"/>
  <c r="Q136" i="11" a="1"/>
  <c r="Q136" i="11" s="1"/>
  <c r="AB1720" i="25" s="1"/>
  <c r="P136" i="11" a="1"/>
  <c r="P136" i="11" s="1"/>
  <c r="AA1720" i="25" s="1"/>
  <c r="O136" i="11"/>
  <c r="Z1720" i="25" s="1"/>
  <c r="K136" i="11" a="1"/>
  <c r="K136" i="11" s="1"/>
  <c r="V1720" i="25" s="1"/>
  <c r="J136" i="11"/>
  <c r="U1720" i="25" s="1"/>
  <c r="I136" i="11" a="1"/>
  <c r="I136" i="11" s="1"/>
  <c r="F136" i="11"/>
  <c r="Q1720" i="25" s="1"/>
  <c r="V135" i="11" a="1"/>
  <c r="V135" i="11" s="1"/>
  <c r="AG1719" i="25" s="1"/>
  <c r="S135" i="11" a="1"/>
  <c r="S135" i="11" s="1"/>
  <c r="AD1719" i="25" s="1"/>
  <c r="R135" i="11" a="1"/>
  <c r="R135" i="11" s="1"/>
  <c r="AC1719" i="25" s="1"/>
  <c r="Q135" i="11" a="1"/>
  <c r="Q135" i="11" s="1"/>
  <c r="AB1719" i="25" s="1"/>
  <c r="P135" i="11" a="1"/>
  <c r="P135" i="11" s="1"/>
  <c r="AA1719" i="25" s="1"/>
  <c r="O135" i="11"/>
  <c r="Z1719" i="25" s="1"/>
  <c r="K135" i="11" a="1"/>
  <c r="K135" i="11" s="1"/>
  <c r="V1719" i="25" s="1"/>
  <c r="J135" i="11"/>
  <c r="U1719" i="25" s="1"/>
  <c r="I135" i="11" a="1"/>
  <c r="I135" i="11" s="1"/>
  <c r="F135" i="11"/>
  <c r="Q1719" i="25" s="1"/>
  <c r="V134" i="11" a="1"/>
  <c r="V134" i="11" s="1"/>
  <c r="AG1718" i="25" s="1"/>
  <c r="S134" i="11" a="1"/>
  <c r="S134" i="11" s="1"/>
  <c r="AD1718" i="25" s="1"/>
  <c r="R134" i="11" a="1"/>
  <c r="R134" i="11" s="1"/>
  <c r="AC1718" i="25" s="1"/>
  <c r="Q134" i="11" a="1"/>
  <c r="Q134" i="11" s="1"/>
  <c r="AB1718" i="25" s="1"/>
  <c r="P134" i="11" a="1"/>
  <c r="P134" i="11" s="1"/>
  <c r="AA1718" i="25" s="1"/>
  <c r="O134" i="11"/>
  <c r="Z1718" i="25" s="1"/>
  <c r="K134" i="11" a="1"/>
  <c r="K134" i="11" s="1"/>
  <c r="V1718" i="25" s="1"/>
  <c r="J134" i="11"/>
  <c r="U1718" i="25" s="1"/>
  <c r="I134" i="11" a="1"/>
  <c r="I134" i="11" s="1"/>
  <c r="F134" i="11"/>
  <c r="Q1718" i="25" s="1"/>
  <c r="V133" i="11" a="1"/>
  <c r="V133" i="11" s="1"/>
  <c r="AG1717" i="25" s="1"/>
  <c r="S133" i="11" a="1"/>
  <c r="S133" i="11" s="1"/>
  <c r="AD1717" i="25" s="1"/>
  <c r="R133" i="11" a="1"/>
  <c r="R133" i="11" s="1"/>
  <c r="AC1717" i="25" s="1"/>
  <c r="Q133" i="11" a="1"/>
  <c r="Q133" i="11" s="1"/>
  <c r="AB1717" i="25" s="1"/>
  <c r="P133" i="11" a="1"/>
  <c r="P133" i="11" s="1"/>
  <c r="AA1717" i="25" s="1"/>
  <c r="O133" i="11"/>
  <c r="Z1717" i="25" s="1"/>
  <c r="K133" i="11" a="1"/>
  <c r="K133" i="11" s="1"/>
  <c r="V1717" i="25" s="1"/>
  <c r="J133" i="11"/>
  <c r="U1717" i="25" s="1"/>
  <c r="I133" i="11" a="1"/>
  <c r="I133" i="11" s="1"/>
  <c r="F133" i="11"/>
  <c r="Q1717" i="25" s="1"/>
  <c r="V132" i="11" a="1"/>
  <c r="V132" i="11" s="1"/>
  <c r="AG1716" i="25" s="1"/>
  <c r="S132" i="11" a="1"/>
  <c r="S132" i="11" s="1"/>
  <c r="AD1716" i="25" s="1"/>
  <c r="R132" i="11" a="1"/>
  <c r="R132" i="11" s="1"/>
  <c r="AC1716" i="25" s="1"/>
  <c r="Q132" i="11" a="1"/>
  <c r="Q132" i="11" s="1"/>
  <c r="AB1716" i="25" s="1"/>
  <c r="P132" i="11" a="1"/>
  <c r="P132" i="11" s="1"/>
  <c r="AA1716" i="25" s="1"/>
  <c r="O132" i="11"/>
  <c r="Z1716" i="25" s="1"/>
  <c r="K132" i="11" a="1"/>
  <c r="K132" i="11" s="1"/>
  <c r="V1716" i="25" s="1"/>
  <c r="J132" i="11"/>
  <c r="U1716" i="25" s="1"/>
  <c r="I132" i="11" a="1"/>
  <c r="I132" i="11" s="1"/>
  <c r="F132" i="11"/>
  <c r="Q1716" i="25" s="1"/>
  <c r="S131" i="11" a="1"/>
  <c r="S131" i="11" s="1"/>
  <c r="AD1715" i="25" s="1"/>
  <c r="K131" i="11" a="1"/>
  <c r="K131" i="11" s="1"/>
  <c r="V1715" i="25" s="1"/>
  <c r="J131" i="11"/>
  <c r="U1715" i="25" s="1"/>
  <c r="I131" i="11" a="1"/>
  <c r="I131" i="11" s="1"/>
  <c r="R131" i="11" s="1" a="1"/>
  <c r="R131" i="11" s="1"/>
  <c r="AC1715" i="25" s="1"/>
  <c r="F131" i="11"/>
  <c r="Q1715" i="25" s="1"/>
  <c r="K130" i="11" a="1"/>
  <c r="K130" i="11" s="1"/>
  <c r="V1714" i="25" s="1"/>
  <c r="J130" i="11"/>
  <c r="U1714" i="25" s="1"/>
  <c r="I130" i="11" a="1"/>
  <c r="I130" i="11" s="1"/>
  <c r="V130" i="11" s="1" a="1"/>
  <c r="V130" i="11" s="1"/>
  <c r="AG1714" i="25" s="1"/>
  <c r="F130" i="11"/>
  <c r="Q1714" i="25" s="1"/>
  <c r="I99" i="11"/>
  <c r="T1690" i="25" s="1"/>
  <c r="I17" i="11"/>
  <c r="T1608" i="25" s="1"/>
  <c r="I18" i="11"/>
  <c r="T1609" i="25" s="1"/>
  <c r="I19" i="11"/>
  <c r="T1610" i="25" s="1"/>
  <c r="I20" i="11"/>
  <c r="T1611" i="25" s="1"/>
  <c r="I21" i="11"/>
  <c r="T1612" i="25" s="1"/>
  <c r="I22" i="11"/>
  <c r="T1613" i="25" s="1"/>
  <c r="I23" i="11"/>
  <c r="T1614" i="25" s="1"/>
  <c r="I24" i="11"/>
  <c r="T1615" i="25" s="1"/>
  <c r="I25" i="11"/>
  <c r="T1616" i="25" s="1"/>
  <c r="I26" i="11"/>
  <c r="T1617" i="25" s="1"/>
  <c r="I27" i="11"/>
  <c r="T1618" i="25" s="1"/>
  <c r="I28" i="11"/>
  <c r="T1619" i="25" s="1"/>
  <c r="I29" i="11"/>
  <c r="T1620" i="25" s="1"/>
  <c r="I30" i="11"/>
  <c r="T1621" i="25" s="1"/>
  <c r="I31" i="11"/>
  <c r="T1622" i="25" s="1"/>
  <c r="I32" i="11"/>
  <c r="T1623" i="25" s="1"/>
  <c r="I33" i="11"/>
  <c r="T1624" i="25" s="1"/>
  <c r="I34" i="11"/>
  <c r="T1625" i="25" s="1"/>
  <c r="I35" i="11"/>
  <c r="T1626" i="25" s="1"/>
  <c r="I16" i="11"/>
  <c r="T1607" i="25" s="1"/>
  <c r="Q125" i="5"/>
  <c r="AB1390" i="25" s="1"/>
  <c r="Q126" i="5"/>
  <c r="AB1391" i="25" s="1"/>
  <c r="Q127" i="5"/>
  <c r="AB1392" i="25" s="1"/>
  <c r="Q128" i="5"/>
  <c r="AB1393" i="25" s="1"/>
  <c r="Q129" i="5"/>
  <c r="AB1394" i="25" s="1"/>
  <c r="Q130" i="5"/>
  <c r="AB1395" i="25" s="1"/>
  <c r="Q131" i="5"/>
  <c r="AB1396" i="25" s="1"/>
  <c r="Q132" i="5"/>
  <c r="AB1397" i="25" s="1"/>
  <c r="Q133" i="5"/>
  <c r="AB1398" i="25" s="1"/>
  <c r="Q134" i="5"/>
  <c r="AB1399" i="25" s="1"/>
  <c r="Q135" i="5"/>
  <c r="AB1400" i="25" s="1"/>
  <c r="Q136" i="5"/>
  <c r="AB1401" i="25" s="1"/>
  <c r="Q137" i="5"/>
  <c r="AB1402" i="25" s="1"/>
  <c r="Q138" i="5"/>
  <c r="AB1403" i="25" s="1"/>
  <c r="Q139" i="5"/>
  <c r="AB1404" i="25" s="1"/>
  <c r="Q140" i="5"/>
  <c r="AB1405" i="25" s="1"/>
  <c r="Q141" i="5"/>
  <c r="AB1406" i="25" s="1"/>
  <c r="Q142" i="5"/>
  <c r="AB1407" i="25" s="1"/>
  <c r="Q143" i="5"/>
  <c r="AB1408" i="25" s="1"/>
  <c r="Q144" i="5"/>
  <c r="AB1409" i="25" s="1"/>
  <c r="Q145" i="5"/>
  <c r="AB1410" i="25" s="1"/>
  <c r="Q146" i="5"/>
  <c r="AB1411" i="25" s="1"/>
  <c r="Q147" i="5"/>
  <c r="AB1412" i="25" s="1"/>
  <c r="Q148" i="5"/>
  <c r="AB1413" i="25" s="1"/>
  <c r="Q149" i="5"/>
  <c r="AB1414" i="25" s="1"/>
  <c r="Q150" i="5"/>
  <c r="AB1415" i="25" s="1"/>
  <c r="Q151" i="5"/>
  <c r="AB1416" i="25" s="1"/>
  <c r="Q152" i="5"/>
  <c r="AB1417" i="25" s="1"/>
  <c r="Q153" i="5"/>
  <c r="AB1418" i="25" s="1"/>
  <c r="Q154" i="5"/>
  <c r="AB1419" i="25" s="1"/>
  <c r="Q155" i="5"/>
  <c r="AB1420" i="25" s="1"/>
  <c r="Q124" i="5"/>
  <c r="AB1389" i="25" s="1"/>
  <c r="AF1389" i="25"/>
  <c r="AE1389" i="25"/>
  <c r="K125" i="5"/>
  <c r="V1390" i="25" s="1"/>
  <c r="K126" i="5"/>
  <c r="V1391" i="25" s="1"/>
  <c r="K127" i="5"/>
  <c r="V1392" i="25" s="1"/>
  <c r="K128" i="5"/>
  <c r="V1393" i="25" s="1"/>
  <c r="K129" i="5"/>
  <c r="V1394" i="25" s="1"/>
  <c r="K130" i="5"/>
  <c r="V1395" i="25" s="1"/>
  <c r="K131" i="5"/>
  <c r="V1396" i="25" s="1"/>
  <c r="K132" i="5"/>
  <c r="V1397" i="25" s="1"/>
  <c r="K133" i="5"/>
  <c r="V1398" i="25" s="1"/>
  <c r="K134" i="5"/>
  <c r="V1399" i="25" s="1"/>
  <c r="K135" i="5"/>
  <c r="V1400" i="25" s="1"/>
  <c r="K136" i="5"/>
  <c r="V1401" i="25" s="1"/>
  <c r="K137" i="5"/>
  <c r="V1402" i="25" s="1"/>
  <c r="K138" i="5"/>
  <c r="V1403" i="25" s="1"/>
  <c r="K139" i="5"/>
  <c r="V1404" i="25" s="1"/>
  <c r="K140" i="5"/>
  <c r="V1405" i="25" s="1"/>
  <c r="K141" i="5"/>
  <c r="V1406" i="25" s="1"/>
  <c r="K142" i="5"/>
  <c r="V1407" i="25" s="1"/>
  <c r="K143" i="5"/>
  <c r="V1408" i="25" s="1"/>
  <c r="K144" i="5"/>
  <c r="V1409" i="25" s="1"/>
  <c r="K145" i="5"/>
  <c r="V1410" i="25" s="1"/>
  <c r="K146" i="5"/>
  <c r="V1411" i="25" s="1"/>
  <c r="K147" i="5"/>
  <c r="V1412" i="25" s="1"/>
  <c r="K148" i="5"/>
  <c r="V1413" i="25" s="1"/>
  <c r="K149" i="5"/>
  <c r="V1414" i="25" s="1"/>
  <c r="K150" i="5"/>
  <c r="V1415" i="25" s="1"/>
  <c r="K151" i="5"/>
  <c r="V1416" i="25" s="1"/>
  <c r="K152" i="5"/>
  <c r="V1417" i="25" s="1"/>
  <c r="K153" i="5"/>
  <c r="V1418" i="25" s="1"/>
  <c r="K154" i="5"/>
  <c r="V1419" i="25" s="1"/>
  <c r="K155" i="5"/>
  <c r="V1420" i="25" s="1"/>
  <c r="K124" i="5"/>
  <c r="V1389" i="25" s="1"/>
  <c r="I125" i="5"/>
  <c r="T1390" i="25" s="1"/>
  <c r="I126" i="5"/>
  <c r="T1391" i="25" s="1"/>
  <c r="I127" i="5"/>
  <c r="T1392" i="25" s="1"/>
  <c r="I128" i="5"/>
  <c r="T1393" i="25" s="1"/>
  <c r="I129" i="5"/>
  <c r="T1394" i="25" s="1"/>
  <c r="I130" i="5"/>
  <c r="T1395" i="25" s="1"/>
  <c r="I131" i="5"/>
  <c r="T1396" i="25" s="1"/>
  <c r="I132" i="5"/>
  <c r="T1397" i="25" s="1"/>
  <c r="I133" i="5"/>
  <c r="T1398" i="25" s="1"/>
  <c r="I134" i="5"/>
  <c r="T1399" i="25" s="1"/>
  <c r="I135" i="5"/>
  <c r="T1400" i="25" s="1"/>
  <c r="I136" i="5"/>
  <c r="T1401" i="25" s="1"/>
  <c r="I137" i="5"/>
  <c r="T1402" i="25" s="1"/>
  <c r="I138" i="5"/>
  <c r="T1403" i="25" s="1"/>
  <c r="I139" i="5"/>
  <c r="T1404" i="25" s="1"/>
  <c r="I140" i="5"/>
  <c r="T1405" i="25" s="1"/>
  <c r="I141" i="5"/>
  <c r="T1406" i="25" s="1"/>
  <c r="I142" i="5"/>
  <c r="T1407" i="25" s="1"/>
  <c r="I143" i="5"/>
  <c r="T1408" i="25" s="1"/>
  <c r="I144" i="5"/>
  <c r="T1409" i="25" s="1"/>
  <c r="I145" i="5"/>
  <c r="T1410" i="25" s="1"/>
  <c r="I146" i="5"/>
  <c r="T1411" i="25" s="1"/>
  <c r="I147" i="5"/>
  <c r="T1412" i="25" s="1"/>
  <c r="I148" i="5"/>
  <c r="T1413" i="25" s="1"/>
  <c r="I149" i="5"/>
  <c r="T1414" i="25" s="1"/>
  <c r="I150" i="5"/>
  <c r="T1415" i="25" s="1"/>
  <c r="I151" i="5"/>
  <c r="T1416" i="25" s="1"/>
  <c r="I152" i="5"/>
  <c r="T1417" i="25" s="1"/>
  <c r="I153" i="5"/>
  <c r="T1418" i="25" s="1"/>
  <c r="I154" i="5"/>
  <c r="T1419" i="25" s="1"/>
  <c r="I155" i="5"/>
  <c r="T1420" i="25" s="1"/>
  <c r="I124" i="5"/>
  <c r="T1389" i="25" s="1"/>
  <c r="U9" i="5"/>
  <c r="AF1280" i="25" s="1"/>
  <c r="U10" i="5"/>
  <c r="AF1281" i="25" s="1"/>
  <c r="U11" i="5"/>
  <c r="AF1282" i="25" s="1"/>
  <c r="U12" i="5"/>
  <c r="AF1283" i="25" s="1"/>
  <c r="U13" i="5"/>
  <c r="AF1284" i="25" s="1"/>
  <c r="U14" i="5"/>
  <c r="AF1285" i="25" s="1"/>
  <c r="U15" i="5"/>
  <c r="AF1286" i="25" s="1"/>
  <c r="U16" i="5"/>
  <c r="AF1287" i="25" s="1"/>
  <c r="U17" i="5"/>
  <c r="AF1288" i="25" s="1"/>
  <c r="U18" i="5"/>
  <c r="AF1289" i="25" s="1"/>
  <c r="U19" i="5"/>
  <c r="AF1290" i="25" s="1"/>
  <c r="U20" i="5"/>
  <c r="AF1291" i="25" s="1"/>
  <c r="U21" i="5"/>
  <c r="AF1292" i="25" s="1"/>
  <c r="U22" i="5"/>
  <c r="AF1293" i="25" s="1"/>
  <c r="U23" i="5"/>
  <c r="AF1294" i="25" s="1"/>
  <c r="U24" i="5"/>
  <c r="AF1295" i="25" s="1"/>
  <c r="U25" i="5"/>
  <c r="AF1296" i="25" s="1"/>
  <c r="U26" i="5"/>
  <c r="AF1297" i="25" s="1"/>
  <c r="U27" i="5"/>
  <c r="AF1298" i="25" s="1"/>
  <c r="U28" i="5"/>
  <c r="AF1299" i="25" s="1"/>
  <c r="U29" i="5"/>
  <c r="AF1300" i="25" s="1"/>
  <c r="U30" i="5"/>
  <c r="AF1301" i="25" s="1"/>
  <c r="U31" i="5"/>
  <c r="AF1302" i="25" s="1"/>
  <c r="U32" i="5"/>
  <c r="AF1303" i="25" s="1"/>
  <c r="U33" i="5"/>
  <c r="AF1304" i="25" s="1"/>
  <c r="U34" i="5"/>
  <c r="AF1305" i="25" s="1"/>
  <c r="U35" i="5"/>
  <c r="AF1306" i="25" s="1"/>
  <c r="U36" i="5"/>
  <c r="AF1307" i="25" s="1"/>
  <c r="U37" i="5"/>
  <c r="AF1308" i="25" s="1"/>
  <c r="U38" i="5"/>
  <c r="AF1309" i="25" s="1"/>
  <c r="U39" i="5"/>
  <c r="AF1310" i="25" s="1"/>
  <c r="U40" i="5"/>
  <c r="AF1311" i="25" s="1"/>
  <c r="U41" i="5"/>
  <c r="AF1312" i="25" s="1"/>
  <c r="U42" i="5"/>
  <c r="AF1313" i="25" s="1"/>
  <c r="U43" i="5"/>
  <c r="AF1314" i="25" s="1"/>
  <c r="U44" i="5"/>
  <c r="AF1315" i="25" s="1"/>
  <c r="U45" i="5"/>
  <c r="AF1316" i="25" s="1"/>
  <c r="U46" i="5"/>
  <c r="AF1317" i="25" s="1"/>
  <c r="U47" i="5"/>
  <c r="AF1318" i="25" s="1"/>
  <c r="U48" i="5"/>
  <c r="AF1319" i="25" s="1"/>
  <c r="U49" i="5"/>
  <c r="AF1320" i="25" s="1"/>
  <c r="U50" i="5"/>
  <c r="AF1321" i="25" s="1"/>
  <c r="U51" i="5"/>
  <c r="AF1322" i="25" s="1"/>
  <c r="U52" i="5"/>
  <c r="AF1323" i="25" s="1"/>
  <c r="U53" i="5"/>
  <c r="AF1324" i="25" s="1"/>
  <c r="U54" i="5"/>
  <c r="AF1325" i="25" s="1"/>
  <c r="U55" i="5"/>
  <c r="AF1326" i="25" s="1"/>
  <c r="U56" i="5"/>
  <c r="AF1327" i="25" s="1"/>
  <c r="U57" i="5"/>
  <c r="AF1328" i="25" s="1"/>
  <c r="U58" i="5"/>
  <c r="AF1329" i="25" s="1"/>
  <c r="U59" i="5"/>
  <c r="AF1330" i="25" s="1"/>
  <c r="U60" i="5"/>
  <c r="AF1331" i="25" s="1"/>
  <c r="U61" i="5"/>
  <c r="AF1332" i="25" s="1"/>
  <c r="U62" i="5"/>
  <c r="AF1333" i="25" s="1"/>
  <c r="U63" i="5"/>
  <c r="AF1334" i="25" s="1"/>
  <c r="U64" i="5"/>
  <c r="AF1335" i="25" s="1"/>
  <c r="U65" i="5"/>
  <c r="AF1336" i="25" s="1"/>
  <c r="U66" i="5"/>
  <c r="AF1337" i="25" s="1"/>
  <c r="U67" i="5"/>
  <c r="AF1338" i="25" s="1"/>
  <c r="U68" i="5"/>
  <c r="AF1339" i="25" s="1"/>
  <c r="U69" i="5"/>
  <c r="AF1340" i="25" s="1"/>
  <c r="U70" i="5"/>
  <c r="AF1341" i="25" s="1"/>
  <c r="U71" i="5"/>
  <c r="AF1342" i="25" s="1"/>
  <c r="U72" i="5"/>
  <c r="AF1343" i="25" s="1"/>
  <c r="U73" i="5"/>
  <c r="AF1344" i="25" s="1"/>
  <c r="U74" i="5"/>
  <c r="AF1345" i="25" s="1"/>
  <c r="U75" i="5"/>
  <c r="AF1346" i="25" s="1"/>
  <c r="U76" i="5"/>
  <c r="AF1347" i="25" s="1"/>
  <c r="U77" i="5"/>
  <c r="AF1348" i="25" s="1"/>
  <c r="U78" i="5"/>
  <c r="AF1349" i="25" s="1"/>
  <c r="U79" i="5"/>
  <c r="AF1350" i="25" s="1"/>
  <c r="U80" i="5"/>
  <c r="AF1351" i="25" s="1"/>
  <c r="U81" i="5"/>
  <c r="AF1352" i="25" s="1"/>
  <c r="U82" i="5"/>
  <c r="AF1353" i="25" s="1"/>
  <c r="U83" i="5"/>
  <c r="AF1354" i="25" s="1"/>
  <c r="U84" i="5"/>
  <c r="AF1355" i="25" s="1"/>
  <c r="U85" i="5"/>
  <c r="AF1356" i="25" s="1"/>
  <c r="U86" i="5"/>
  <c r="AF1357" i="25" s="1"/>
  <c r="U87" i="5"/>
  <c r="AF1358" i="25" s="1"/>
  <c r="U88" i="5"/>
  <c r="AF1359" i="25" s="1"/>
  <c r="U89" i="5"/>
  <c r="AF1360" i="25" s="1"/>
  <c r="U90" i="5"/>
  <c r="AF1361" i="25" s="1"/>
  <c r="U91" i="5"/>
  <c r="AF1362" i="25" s="1"/>
  <c r="U92" i="5"/>
  <c r="AF1363" i="25" s="1"/>
  <c r="U93" i="5"/>
  <c r="AF1364" i="25" s="1"/>
  <c r="U94" i="5"/>
  <c r="AF1365" i="25" s="1"/>
  <c r="U95" i="5"/>
  <c r="AF1366" i="25" s="1"/>
  <c r="U96" i="5"/>
  <c r="AF1367" i="25" s="1"/>
  <c r="U97" i="5"/>
  <c r="AF1368" i="25" s="1"/>
  <c r="U98" i="5"/>
  <c r="AF1369" i="25" s="1"/>
  <c r="U99" i="5"/>
  <c r="AF1370" i="25" s="1"/>
  <c r="U100" i="5"/>
  <c r="AF1371" i="25" s="1"/>
  <c r="U101" i="5"/>
  <c r="AF1372" i="25" s="1"/>
  <c r="U102" i="5"/>
  <c r="AF1373" i="25" s="1"/>
  <c r="U103" i="5"/>
  <c r="AF1374" i="25" s="1"/>
  <c r="U104" i="5"/>
  <c r="AF1375" i="25" s="1"/>
  <c r="U105" i="5"/>
  <c r="AF1376" i="25" s="1"/>
  <c r="U106" i="5"/>
  <c r="AF1377" i="25" s="1"/>
  <c r="U107" i="5"/>
  <c r="AF1378" i="25" s="1"/>
  <c r="U108" i="5"/>
  <c r="AF1379" i="25" s="1"/>
  <c r="U109" i="5"/>
  <c r="AF1380" i="25" s="1"/>
  <c r="U110" i="5"/>
  <c r="AF1381" i="25" s="1"/>
  <c r="U111" i="5"/>
  <c r="AF1382" i="25" s="1"/>
  <c r="U112" i="5"/>
  <c r="AF1383" i="25" s="1"/>
  <c r="U113" i="5"/>
  <c r="AF1384" i="25" s="1"/>
  <c r="U114" i="5"/>
  <c r="AF1385" i="25" s="1"/>
  <c r="U115" i="5"/>
  <c r="AF1386" i="25" s="1"/>
  <c r="U116" i="5"/>
  <c r="AF1387" i="25" s="1"/>
  <c r="U117" i="5"/>
  <c r="AF1388" i="25" s="1"/>
  <c r="T9" i="5"/>
  <c r="T10" i="5"/>
  <c r="T11" i="5"/>
  <c r="AE1282" i="25" s="1"/>
  <c r="T12" i="5"/>
  <c r="T13" i="5"/>
  <c r="T14" i="5"/>
  <c r="T15" i="5"/>
  <c r="T16" i="5"/>
  <c r="T17" i="5"/>
  <c r="T18" i="5"/>
  <c r="T19" i="5"/>
  <c r="T20" i="5"/>
  <c r="T21" i="5"/>
  <c r="T22" i="5"/>
  <c r="T23" i="5"/>
  <c r="T24" i="5"/>
  <c r="T25" i="5"/>
  <c r="AE1296" i="25" s="1"/>
  <c r="T26" i="5"/>
  <c r="T27" i="5"/>
  <c r="T28" i="5"/>
  <c r="T29" i="5"/>
  <c r="T30" i="5"/>
  <c r="T31" i="5"/>
  <c r="T32" i="5"/>
  <c r="T33" i="5"/>
  <c r="T34" i="5"/>
  <c r="T35" i="5"/>
  <c r="T36" i="5"/>
  <c r="T37" i="5"/>
  <c r="T38" i="5"/>
  <c r="T39" i="5"/>
  <c r="T40" i="5"/>
  <c r="T41" i="5"/>
  <c r="T42" i="5"/>
  <c r="T43" i="5"/>
  <c r="T44" i="5"/>
  <c r="T45" i="5"/>
  <c r="T46" i="5"/>
  <c r="T47" i="5"/>
  <c r="T48" i="5"/>
  <c r="T49" i="5"/>
  <c r="T50" i="5"/>
  <c r="T51" i="5"/>
  <c r="T52" i="5"/>
  <c r="T53" i="5"/>
  <c r="T54" i="5"/>
  <c r="T55" i="5"/>
  <c r="T56" i="5"/>
  <c r="T57" i="5"/>
  <c r="T58" i="5"/>
  <c r="T59" i="5"/>
  <c r="T60" i="5"/>
  <c r="T61" i="5"/>
  <c r="T62" i="5"/>
  <c r="T63" i="5"/>
  <c r="AE1334" i="25" s="1"/>
  <c r="T64" i="5"/>
  <c r="T65" i="5"/>
  <c r="T66" i="5"/>
  <c r="T67" i="5"/>
  <c r="T68" i="5"/>
  <c r="T69" i="5"/>
  <c r="T70" i="5"/>
  <c r="T71" i="5"/>
  <c r="T72" i="5"/>
  <c r="T73" i="5"/>
  <c r="T74" i="5"/>
  <c r="T75" i="5"/>
  <c r="T76" i="5"/>
  <c r="T77" i="5"/>
  <c r="T78" i="5"/>
  <c r="T79" i="5"/>
  <c r="T80" i="5"/>
  <c r="T81" i="5"/>
  <c r="T82" i="5"/>
  <c r="T83" i="5"/>
  <c r="T84" i="5"/>
  <c r="T85" i="5"/>
  <c r="T86" i="5"/>
  <c r="T87" i="5"/>
  <c r="T88" i="5"/>
  <c r="T89" i="5"/>
  <c r="T90" i="5"/>
  <c r="T91" i="5"/>
  <c r="T92" i="5"/>
  <c r="T93" i="5"/>
  <c r="T94" i="5"/>
  <c r="T95" i="5"/>
  <c r="T96" i="5"/>
  <c r="T97" i="5"/>
  <c r="T98" i="5"/>
  <c r="T99" i="5"/>
  <c r="T100" i="5"/>
  <c r="T101" i="5"/>
  <c r="T102" i="5"/>
  <c r="T103" i="5"/>
  <c r="T104" i="5"/>
  <c r="T105" i="5"/>
  <c r="T106" i="5"/>
  <c r="AE1377" i="25" s="1"/>
  <c r="T107" i="5"/>
  <c r="T108" i="5"/>
  <c r="T109" i="5"/>
  <c r="T110" i="5"/>
  <c r="T111" i="5"/>
  <c r="T112" i="5"/>
  <c r="T113" i="5"/>
  <c r="T114" i="5"/>
  <c r="T115" i="5"/>
  <c r="T116" i="5"/>
  <c r="T117" i="5"/>
  <c r="I9" i="5"/>
  <c r="T1280" i="25" s="1"/>
  <c r="I10" i="5"/>
  <c r="T1281" i="25" s="1"/>
  <c r="I11" i="5"/>
  <c r="I12" i="5"/>
  <c r="T1283" i="25" s="1"/>
  <c r="I13" i="5"/>
  <c r="T1284" i="25" s="1"/>
  <c r="I14" i="5"/>
  <c r="T1285" i="25" s="1"/>
  <c r="I15" i="5"/>
  <c r="T1286" i="25" s="1"/>
  <c r="I16" i="5"/>
  <c r="T1287" i="25" s="1"/>
  <c r="I17" i="5"/>
  <c r="T1288" i="25" s="1"/>
  <c r="I18" i="5"/>
  <c r="T1289" i="25" s="1"/>
  <c r="I19" i="5"/>
  <c r="T1290" i="25" s="1"/>
  <c r="I20" i="5"/>
  <c r="T1291" i="25" s="1"/>
  <c r="I21" i="5"/>
  <c r="T1292" i="25" s="1"/>
  <c r="I22" i="5"/>
  <c r="T1293" i="25" s="1"/>
  <c r="I23" i="5"/>
  <c r="T1294" i="25" s="1"/>
  <c r="I24" i="5"/>
  <c r="T1295" i="25" s="1"/>
  <c r="I25" i="5"/>
  <c r="T1296" i="25" s="1"/>
  <c r="I26" i="5"/>
  <c r="T1297" i="25" s="1"/>
  <c r="I27" i="5"/>
  <c r="T1298" i="25" s="1"/>
  <c r="I28" i="5"/>
  <c r="T1299" i="25" s="1"/>
  <c r="I29" i="5"/>
  <c r="T1300" i="25" s="1"/>
  <c r="I30" i="5"/>
  <c r="T1301" i="25" s="1"/>
  <c r="I31" i="5"/>
  <c r="T1302" i="25" s="1"/>
  <c r="I32" i="5"/>
  <c r="T1303" i="25" s="1"/>
  <c r="I33" i="5"/>
  <c r="T1304" i="25" s="1"/>
  <c r="I34" i="5"/>
  <c r="T1305" i="25" s="1"/>
  <c r="I35" i="5"/>
  <c r="T1306" i="25" s="1"/>
  <c r="I36" i="5"/>
  <c r="T1307" i="25" s="1"/>
  <c r="I37" i="5"/>
  <c r="T1308" i="25" s="1"/>
  <c r="I38" i="5"/>
  <c r="T1309" i="25" s="1"/>
  <c r="I39" i="5"/>
  <c r="T1310" i="25" s="1"/>
  <c r="I40" i="5"/>
  <c r="T1311" i="25" s="1"/>
  <c r="I41" i="5"/>
  <c r="T1312" i="25" s="1"/>
  <c r="I42" i="5"/>
  <c r="T1313" i="25" s="1"/>
  <c r="I43" i="5"/>
  <c r="T1314" i="25" s="1"/>
  <c r="I44" i="5"/>
  <c r="T1315" i="25" s="1"/>
  <c r="I45" i="5"/>
  <c r="T1316" i="25" s="1"/>
  <c r="I46" i="5"/>
  <c r="T1317" i="25" s="1"/>
  <c r="I47" i="5"/>
  <c r="T1318" i="25" s="1"/>
  <c r="I48" i="5"/>
  <c r="T1319" i="25" s="1"/>
  <c r="I49" i="5"/>
  <c r="T1320" i="25" s="1"/>
  <c r="I50" i="5"/>
  <c r="T1321" i="25" s="1"/>
  <c r="I51" i="5"/>
  <c r="T1322" i="25" s="1"/>
  <c r="I52" i="5"/>
  <c r="T1323" i="25" s="1"/>
  <c r="I53" i="5"/>
  <c r="T1324" i="25" s="1"/>
  <c r="I54" i="5"/>
  <c r="T1325" i="25" s="1"/>
  <c r="I55" i="5"/>
  <c r="T1326" i="25" s="1"/>
  <c r="I56" i="5"/>
  <c r="T1327" i="25" s="1"/>
  <c r="I57" i="5"/>
  <c r="T1328" i="25" s="1"/>
  <c r="I58" i="5"/>
  <c r="T1329" i="25" s="1"/>
  <c r="I59" i="5"/>
  <c r="T1330" i="25" s="1"/>
  <c r="I60" i="5"/>
  <c r="T1331" i="25" s="1"/>
  <c r="I61" i="5"/>
  <c r="T1332" i="25" s="1"/>
  <c r="I62" i="5"/>
  <c r="T1333" i="25" s="1"/>
  <c r="I63" i="5"/>
  <c r="I64" i="5"/>
  <c r="T1335" i="25" s="1"/>
  <c r="I65" i="5"/>
  <c r="T1336" i="25" s="1"/>
  <c r="I66" i="5"/>
  <c r="T1337" i="25" s="1"/>
  <c r="I67" i="5"/>
  <c r="T1338" i="25" s="1"/>
  <c r="I68" i="5"/>
  <c r="T1339" i="25" s="1"/>
  <c r="I69" i="5"/>
  <c r="T1340" i="25" s="1"/>
  <c r="I70" i="5"/>
  <c r="T1341" i="25" s="1"/>
  <c r="I71" i="5"/>
  <c r="T1342" i="25" s="1"/>
  <c r="I72" i="5"/>
  <c r="T1343" i="25" s="1"/>
  <c r="I73" i="5"/>
  <c r="T1344" i="25" s="1"/>
  <c r="I74" i="5"/>
  <c r="T1345" i="25" s="1"/>
  <c r="I75" i="5"/>
  <c r="T1346" i="25" s="1"/>
  <c r="I76" i="5"/>
  <c r="T1347" i="25" s="1"/>
  <c r="I77" i="5"/>
  <c r="T1348" i="25" s="1"/>
  <c r="I78" i="5"/>
  <c r="T1349" i="25" s="1"/>
  <c r="I79" i="5"/>
  <c r="T1350" i="25" s="1"/>
  <c r="I80" i="5"/>
  <c r="T1351" i="25" s="1"/>
  <c r="I81" i="5"/>
  <c r="T1352" i="25" s="1"/>
  <c r="I82" i="5"/>
  <c r="T1353" i="25" s="1"/>
  <c r="I83" i="5"/>
  <c r="T1354" i="25" s="1"/>
  <c r="I84" i="5"/>
  <c r="T1355" i="25" s="1"/>
  <c r="I85" i="5"/>
  <c r="T1356" i="25" s="1"/>
  <c r="I86" i="5"/>
  <c r="T1357" i="25" s="1"/>
  <c r="I87" i="5"/>
  <c r="T1358" i="25" s="1"/>
  <c r="I88" i="5"/>
  <c r="T1359" i="25" s="1"/>
  <c r="I89" i="5"/>
  <c r="T1360" i="25" s="1"/>
  <c r="I90" i="5"/>
  <c r="T1361" i="25" s="1"/>
  <c r="I91" i="5"/>
  <c r="T1362" i="25" s="1"/>
  <c r="I92" i="5"/>
  <c r="T1363" i="25" s="1"/>
  <c r="I93" i="5"/>
  <c r="T1364" i="25" s="1"/>
  <c r="I94" i="5"/>
  <c r="T1365" i="25" s="1"/>
  <c r="I95" i="5"/>
  <c r="T1366" i="25" s="1"/>
  <c r="I96" i="5"/>
  <c r="T1367" i="25" s="1"/>
  <c r="I97" i="5"/>
  <c r="T1368" i="25" s="1"/>
  <c r="I98" i="5"/>
  <c r="T1369" i="25" s="1"/>
  <c r="I99" i="5"/>
  <c r="T1370" i="25" s="1"/>
  <c r="I100" i="5"/>
  <c r="T1371" i="25" s="1"/>
  <c r="I101" i="5"/>
  <c r="T1372" i="25" s="1"/>
  <c r="I102" i="5"/>
  <c r="T1373" i="25" s="1"/>
  <c r="I103" i="5"/>
  <c r="T1374" i="25" s="1"/>
  <c r="I104" i="5"/>
  <c r="T1375" i="25" s="1"/>
  <c r="I105" i="5"/>
  <c r="T1376" i="25" s="1"/>
  <c r="I106" i="5"/>
  <c r="I107" i="5"/>
  <c r="T1378" i="25" s="1"/>
  <c r="I108" i="5"/>
  <c r="T1379" i="25" s="1"/>
  <c r="I109" i="5"/>
  <c r="T1380" i="25" s="1"/>
  <c r="I110" i="5"/>
  <c r="T1381" i="25" s="1"/>
  <c r="I111" i="5"/>
  <c r="T1382" i="25" s="1"/>
  <c r="I112" i="5"/>
  <c r="T1383" i="25" s="1"/>
  <c r="I113" i="5"/>
  <c r="T1384" i="25" s="1"/>
  <c r="I114" i="5"/>
  <c r="T1385" i="25" s="1"/>
  <c r="I115" i="5"/>
  <c r="T1386" i="25" s="1"/>
  <c r="I116" i="5"/>
  <c r="T1387" i="25" s="1"/>
  <c r="I117" i="5"/>
  <c r="T1388" i="25" s="1"/>
  <c r="I8" i="5"/>
  <c r="AD1278" i="25"/>
  <c r="AC1278" i="25"/>
  <c r="AB1278" i="25"/>
  <c r="AA1278" i="25"/>
  <c r="I23" i="24" a="1"/>
  <c r="I23" i="24" s="1"/>
  <c r="T1278" i="25" s="1"/>
  <c r="F23" i="24"/>
  <c r="AD1277" i="25"/>
  <c r="AC1277" i="25"/>
  <c r="AB1277" i="25"/>
  <c r="AA1277" i="25"/>
  <c r="I22" i="24" a="1"/>
  <c r="I22" i="24" s="1"/>
  <c r="T1277" i="25" s="1"/>
  <c r="F22" i="24"/>
  <c r="AD1276" i="25"/>
  <c r="AC1276" i="25"/>
  <c r="AB1276" i="25"/>
  <c r="AA1276" i="25"/>
  <c r="I21" i="24" a="1"/>
  <c r="I21" i="24" s="1"/>
  <c r="T1276" i="25" s="1"/>
  <c r="F21" i="24"/>
  <c r="AD1275" i="25"/>
  <c r="AC1275" i="25"/>
  <c r="AB1275" i="25"/>
  <c r="AA1275" i="25"/>
  <c r="I20" i="24" a="1"/>
  <c r="I20" i="24" s="1"/>
  <c r="T1275" i="25" s="1"/>
  <c r="F20" i="24"/>
  <c r="AD1274" i="25"/>
  <c r="AC1274" i="25"/>
  <c r="AB1274" i="25"/>
  <c r="AA1274" i="25"/>
  <c r="I19" i="24" a="1"/>
  <c r="I19" i="24" s="1"/>
  <c r="T1274" i="25" s="1"/>
  <c r="F19" i="24"/>
  <c r="AD1273" i="25"/>
  <c r="AC1273" i="25"/>
  <c r="AB1273" i="25"/>
  <c r="AA1273" i="25"/>
  <c r="I18" i="24" a="1"/>
  <c r="I18" i="24" s="1"/>
  <c r="T1273" i="25" s="1"/>
  <c r="F18" i="24"/>
  <c r="AD1272" i="25"/>
  <c r="AC1272" i="25"/>
  <c r="AB1272" i="25"/>
  <c r="AA1272" i="25"/>
  <c r="I17" i="24" a="1"/>
  <c r="I17" i="24" s="1"/>
  <c r="T1272" i="25" s="1"/>
  <c r="F17" i="24"/>
  <c r="AD1271" i="25"/>
  <c r="AC1271" i="25"/>
  <c r="AB1271" i="25"/>
  <c r="AA1271" i="25"/>
  <c r="I16" i="24" a="1"/>
  <c r="I16" i="24" s="1"/>
  <c r="T1271" i="25" s="1"/>
  <c r="F16" i="24"/>
  <c r="AD1270" i="25"/>
  <c r="AC1270" i="25"/>
  <c r="AB1270" i="25"/>
  <c r="AA1270" i="25"/>
  <c r="I15" i="24" a="1"/>
  <c r="I15" i="24" s="1"/>
  <c r="T1270" i="25" s="1"/>
  <c r="F15" i="24"/>
  <c r="AD1269" i="25"/>
  <c r="AC1269" i="25"/>
  <c r="AB1269" i="25"/>
  <c r="AA1269" i="25"/>
  <c r="I14" i="24" a="1"/>
  <c r="I14" i="24" s="1"/>
  <c r="T1269" i="25" s="1"/>
  <c r="F14" i="24"/>
  <c r="AD1268" i="25"/>
  <c r="AC1268" i="25"/>
  <c r="AB1268" i="25"/>
  <c r="AA1268" i="25"/>
  <c r="I13" i="24" a="1"/>
  <c r="I13" i="24" s="1"/>
  <c r="T1268" i="25" s="1"/>
  <c r="F13" i="24"/>
  <c r="AD1267" i="25"/>
  <c r="AC1267" i="25"/>
  <c r="AB1267" i="25"/>
  <c r="AA1267" i="25"/>
  <c r="I12" i="24" a="1"/>
  <c r="I12" i="24" s="1"/>
  <c r="T1267" i="25" s="1"/>
  <c r="F12" i="24"/>
  <c r="AD1266" i="25"/>
  <c r="AC1266" i="25"/>
  <c r="AB1266" i="25"/>
  <c r="AA1266" i="25"/>
  <c r="I11" i="24" a="1"/>
  <c r="I11" i="24" s="1"/>
  <c r="T1266" i="25" s="1"/>
  <c r="F11" i="24"/>
  <c r="AD1265" i="25"/>
  <c r="AC1265" i="25"/>
  <c r="AB1265" i="25"/>
  <c r="AA1265" i="25"/>
  <c r="I10" i="24" a="1"/>
  <c r="I10" i="24" s="1"/>
  <c r="T1265" i="25" s="1"/>
  <c r="F10" i="24"/>
  <c r="AD1264" i="25"/>
  <c r="AC1264" i="25"/>
  <c r="AB1264" i="25"/>
  <c r="AA1264" i="25"/>
  <c r="I9" i="24" a="1"/>
  <c r="I9" i="24" s="1"/>
  <c r="T1264" i="25" s="1"/>
  <c r="F9" i="24"/>
  <c r="AD1263" i="25"/>
  <c r="AC1263" i="25"/>
  <c r="AB1263" i="25"/>
  <c r="AA1263" i="25"/>
  <c r="I8" i="24" a="1"/>
  <c r="I8" i="24" s="1"/>
  <c r="T1263" i="25" s="1"/>
  <c r="F8" i="24"/>
  <c r="AD1262" i="25"/>
  <c r="AC1262" i="25"/>
  <c r="AB1262" i="25"/>
  <c r="F7" i="24"/>
  <c r="Q1262" i="25" s="1"/>
  <c r="AG1200" i="25"/>
  <c r="AD1200" i="25"/>
  <c r="AC1200" i="25"/>
  <c r="AB1200" i="25"/>
  <c r="AA1200" i="25"/>
  <c r="Z1200" i="25"/>
  <c r="V1200" i="25"/>
  <c r="L50" i="23"/>
  <c r="U1200" i="25" s="1"/>
  <c r="K50" i="23" a="1"/>
  <c r="K50" i="23" s="1"/>
  <c r="T1200" i="25" s="1"/>
  <c r="G50" i="23"/>
  <c r="AG1199" i="25"/>
  <c r="AD1199" i="25"/>
  <c r="AC1199" i="25"/>
  <c r="AB1199" i="25"/>
  <c r="AA1199" i="25"/>
  <c r="Z1199" i="25"/>
  <c r="V1199" i="25"/>
  <c r="L49" i="23"/>
  <c r="U1199" i="25" s="1"/>
  <c r="K49" i="23" a="1"/>
  <c r="K49" i="23" s="1"/>
  <c r="T1199" i="25" s="1"/>
  <c r="G49" i="23"/>
  <c r="AG1198" i="25"/>
  <c r="AD1198" i="25"/>
  <c r="AC1198" i="25"/>
  <c r="AB1198" i="25"/>
  <c r="AA1198" i="25"/>
  <c r="Z1198" i="25"/>
  <c r="V1198" i="25"/>
  <c r="L48" i="23"/>
  <c r="U1198" i="25" s="1"/>
  <c r="K48" i="23" a="1"/>
  <c r="K48" i="23" s="1"/>
  <c r="T1198" i="25" s="1"/>
  <c r="G48" i="23"/>
  <c r="AG1197" i="25"/>
  <c r="AD1197" i="25"/>
  <c r="AC1197" i="25"/>
  <c r="AB1197" i="25"/>
  <c r="AA1197" i="25"/>
  <c r="Z1197" i="25"/>
  <c r="V1197" i="25"/>
  <c r="L47" i="23"/>
  <c r="U1197" i="25" s="1"/>
  <c r="K47" i="23" a="1"/>
  <c r="K47" i="23" s="1"/>
  <c r="T1197" i="25" s="1"/>
  <c r="G47" i="23"/>
  <c r="AG1196" i="25"/>
  <c r="AD1196" i="25"/>
  <c r="AC1196" i="25"/>
  <c r="AB1196" i="25"/>
  <c r="AA1196" i="25"/>
  <c r="Z1196" i="25"/>
  <c r="V1196" i="25"/>
  <c r="L46" i="23"/>
  <c r="U1196" i="25" s="1"/>
  <c r="K46" i="23" a="1"/>
  <c r="K46" i="23" s="1"/>
  <c r="T1196" i="25" s="1"/>
  <c r="G46" i="23"/>
  <c r="AG1195" i="25"/>
  <c r="AD1195" i="25"/>
  <c r="AC1195" i="25"/>
  <c r="AB1195" i="25"/>
  <c r="AA1195" i="25"/>
  <c r="Z1195" i="25"/>
  <c r="V1195" i="25"/>
  <c r="L45" i="23"/>
  <c r="U1195" i="25" s="1"/>
  <c r="K45" i="23" a="1"/>
  <c r="K45" i="23" s="1"/>
  <c r="T1195" i="25" s="1"/>
  <c r="G45" i="23"/>
  <c r="AG1194" i="25"/>
  <c r="AD1194" i="25"/>
  <c r="AC1194" i="25"/>
  <c r="AB1194" i="25"/>
  <c r="AA1194" i="25"/>
  <c r="Z1194" i="25"/>
  <c r="V1194" i="25"/>
  <c r="L44" i="23"/>
  <c r="U1194" i="25" s="1"/>
  <c r="K44" i="23" a="1"/>
  <c r="K44" i="23" s="1"/>
  <c r="T1194" i="25" s="1"/>
  <c r="G44" i="23"/>
  <c r="AG1193" i="25"/>
  <c r="AD1193" i="25"/>
  <c r="AC1193" i="25"/>
  <c r="AB1193" i="25"/>
  <c r="AA1193" i="25"/>
  <c r="Z1193" i="25"/>
  <c r="V1193" i="25"/>
  <c r="L43" i="23"/>
  <c r="U1193" i="25" s="1"/>
  <c r="K43" i="23" a="1"/>
  <c r="K43" i="23" s="1"/>
  <c r="T1193" i="25" s="1"/>
  <c r="G43" i="23"/>
  <c r="AG1192" i="25"/>
  <c r="AD1192" i="25"/>
  <c r="AC1192" i="25"/>
  <c r="AB1192" i="25"/>
  <c r="AA1192" i="25"/>
  <c r="Z1192" i="25"/>
  <c r="V1192" i="25"/>
  <c r="L42" i="23"/>
  <c r="U1192" i="25" s="1"/>
  <c r="K42" i="23" a="1"/>
  <c r="K42" i="23" s="1"/>
  <c r="T1192" i="25" s="1"/>
  <c r="G42" i="23"/>
  <c r="AG1191" i="25"/>
  <c r="AD1191" i="25"/>
  <c r="AC1191" i="25"/>
  <c r="AB1191" i="25"/>
  <c r="AA1191" i="25"/>
  <c r="Z1191" i="25"/>
  <c r="V1191" i="25"/>
  <c r="L41" i="23"/>
  <c r="U1191" i="25" s="1"/>
  <c r="K41" i="23" a="1"/>
  <c r="K41" i="23" s="1"/>
  <c r="T1191" i="25" s="1"/>
  <c r="G41" i="23"/>
  <c r="V1181" i="25"/>
  <c r="L31" i="23"/>
  <c r="U1181" i="25" s="1"/>
  <c r="G31" i="23"/>
  <c r="AG1180" i="25"/>
  <c r="AD1180" i="25"/>
  <c r="AC1180" i="25"/>
  <c r="AB1180" i="25"/>
  <c r="AA1180" i="25"/>
  <c r="Z1180" i="25"/>
  <c r="V1180" i="25"/>
  <c r="L27" i="23"/>
  <c r="U1180" i="25" s="1"/>
  <c r="K27" i="23" a="1"/>
  <c r="K27" i="23" s="1"/>
  <c r="T1180" i="25" s="1"/>
  <c r="G27" i="23"/>
  <c r="AG1179" i="25"/>
  <c r="AD1179" i="25"/>
  <c r="AC1179" i="25"/>
  <c r="AB1179" i="25"/>
  <c r="AA1179" i="25"/>
  <c r="Z1179" i="25"/>
  <c r="V1179" i="25"/>
  <c r="L26" i="23"/>
  <c r="U1179" i="25" s="1"/>
  <c r="K26" i="23" a="1"/>
  <c r="K26" i="23" s="1"/>
  <c r="T1179" i="25" s="1"/>
  <c r="G26" i="23"/>
  <c r="AG1178" i="25"/>
  <c r="AD1178" i="25"/>
  <c r="AC1178" i="25"/>
  <c r="AB1178" i="25"/>
  <c r="AA1178" i="25"/>
  <c r="Z1178" i="25"/>
  <c r="V1178" i="25"/>
  <c r="L25" i="23"/>
  <c r="U1178" i="25" s="1"/>
  <c r="K25" i="23" a="1"/>
  <c r="K25" i="23" s="1"/>
  <c r="T1178" i="25" s="1"/>
  <c r="G25" i="23"/>
  <c r="AG1177" i="25"/>
  <c r="AD1177" i="25"/>
  <c r="AC1177" i="25"/>
  <c r="AB1177" i="25"/>
  <c r="AA1177" i="25"/>
  <c r="Z1177" i="25"/>
  <c r="V1177" i="25"/>
  <c r="L24" i="23"/>
  <c r="U1177" i="25" s="1"/>
  <c r="K24" i="23" a="1"/>
  <c r="K24" i="23" s="1"/>
  <c r="T1177" i="25" s="1"/>
  <c r="G24" i="23"/>
  <c r="AG1176" i="25"/>
  <c r="AD1176" i="25"/>
  <c r="AC1176" i="25"/>
  <c r="AB1176" i="25"/>
  <c r="AA1176" i="25"/>
  <c r="Z1176" i="25"/>
  <c r="V1176" i="25"/>
  <c r="K23" i="23" a="1"/>
  <c r="K23" i="23" s="1"/>
  <c r="T1176" i="25" s="1"/>
  <c r="AG1175" i="25"/>
  <c r="AD1175" i="25"/>
  <c r="AC1175" i="25"/>
  <c r="AB1175" i="25"/>
  <c r="AA1175" i="25"/>
  <c r="Z1175" i="25"/>
  <c r="V1175" i="25"/>
  <c r="L22" i="23"/>
  <c r="U1175" i="25" s="1"/>
  <c r="K22" i="23" a="1"/>
  <c r="K22" i="23" s="1"/>
  <c r="T1175" i="25" s="1"/>
  <c r="G22" i="23"/>
  <c r="AG1174" i="25"/>
  <c r="AD1174" i="25"/>
  <c r="AC1174" i="25"/>
  <c r="AB1174" i="25"/>
  <c r="AA1174" i="25"/>
  <c r="Z1174" i="25"/>
  <c r="V1174" i="25"/>
  <c r="L21" i="23"/>
  <c r="U1174" i="25" s="1"/>
  <c r="K21" i="23" a="1"/>
  <c r="K21" i="23" s="1"/>
  <c r="T1174" i="25" s="1"/>
  <c r="G21" i="23"/>
  <c r="AG1173" i="25"/>
  <c r="AD1173" i="25"/>
  <c r="AC1173" i="25"/>
  <c r="AB1173" i="25"/>
  <c r="AA1173" i="25"/>
  <c r="Z1173" i="25"/>
  <c r="V1173" i="25"/>
  <c r="L20" i="23"/>
  <c r="U1173" i="25" s="1"/>
  <c r="K20" i="23" a="1"/>
  <c r="K20" i="23" s="1"/>
  <c r="T1173" i="25" s="1"/>
  <c r="G20" i="23"/>
  <c r="AG1172" i="25"/>
  <c r="AD1172" i="25"/>
  <c r="AC1172" i="25"/>
  <c r="AB1172" i="25"/>
  <c r="AA1172" i="25"/>
  <c r="Z1172" i="25"/>
  <c r="V1172" i="25"/>
  <c r="L19" i="23"/>
  <c r="U1172" i="25" s="1"/>
  <c r="K19" i="23" a="1"/>
  <c r="K19" i="23" s="1"/>
  <c r="T1172" i="25" s="1"/>
  <c r="G19" i="23"/>
  <c r="L18" i="23"/>
  <c r="U1171" i="25" s="1"/>
  <c r="K18" i="23" a="1"/>
  <c r="K18" i="23" s="1"/>
  <c r="T1171" i="25" s="1"/>
  <c r="G18" i="23"/>
  <c r="L8" i="23"/>
  <c r="U1161" i="25" s="1"/>
  <c r="G8" i="23"/>
  <c r="B31" i="29" l="1"/>
  <c r="B23" i="29"/>
  <c r="B15" i="29"/>
  <c r="B7" i="29"/>
  <c r="B5" i="29"/>
  <c r="B33" i="29"/>
  <c r="B25" i="29"/>
  <c r="B17" i="29"/>
  <c r="B9" i="29"/>
  <c r="B869" i="25"/>
  <c r="B861" i="25"/>
  <c r="B853" i="25"/>
  <c r="B845" i="25"/>
  <c r="B868" i="25"/>
  <c r="B860" i="25"/>
  <c r="B852" i="25"/>
  <c r="B844" i="25"/>
  <c r="B867" i="25"/>
  <c r="B859" i="25"/>
  <c r="B851" i="25"/>
  <c r="B843" i="25"/>
  <c r="B866" i="25"/>
  <c r="B858" i="25"/>
  <c r="B850" i="25"/>
  <c r="B842" i="25"/>
  <c r="B865" i="25"/>
  <c r="B857" i="25"/>
  <c r="B849" i="25"/>
  <c r="B841" i="25"/>
  <c r="B872" i="25"/>
  <c r="B864" i="25"/>
  <c r="B856" i="25"/>
  <c r="B848" i="25"/>
  <c r="B840" i="25"/>
  <c r="B871" i="25"/>
  <c r="B863" i="25"/>
  <c r="B855" i="25"/>
  <c r="B847" i="25"/>
  <c r="B839" i="25"/>
  <c r="B870" i="25"/>
  <c r="B862" i="25"/>
  <c r="B854" i="25"/>
  <c r="B846" i="25"/>
  <c r="B3" i="29"/>
  <c r="K31" i="23" a="1"/>
  <c r="K31" i="23" s="1"/>
  <c r="R31" i="23" s="1" a="1"/>
  <c r="R31" i="23" s="1"/>
  <c r="AA1181" i="25" s="1"/>
  <c r="B36" i="29"/>
  <c r="B28" i="29"/>
  <c r="B20" i="29"/>
  <c r="B12" i="29"/>
  <c r="B4" i="29"/>
  <c r="S31" i="23" a="1"/>
  <c r="S31" i="23" s="1"/>
  <c r="AB1181" i="25" s="1"/>
  <c r="Q31" i="23" a="1"/>
  <c r="Q31" i="23" s="1"/>
  <c r="Z1181" i="25" s="1"/>
  <c r="U31" i="23" a="1"/>
  <c r="U31" i="23" s="1"/>
  <c r="AD1181" i="25" s="1"/>
  <c r="X31" i="23" a="1"/>
  <c r="X31" i="23" s="1"/>
  <c r="AG1181" i="25" s="1"/>
  <c r="B34" i="29"/>
  <c r="B26" i="29"/>
  <c r="B18" i="29"/>
  <c r="B10" i="29"/>
  <c r="T1262" i="25"/>
  <c r="K8" i="23" a="1"/>
  <c r="K8" i="23" s="1"/>
  <c r="T1161" i="25" s="1"/>
  <c r="B32" i="29"/>
  <c r="B24" i="29"/>
  <c r="B16" i="29"/>
  <c r="B8" i="29"/>
  <c r="B30" i="29"/>
  <c r="B22" i="29"/>
  <c r="B14" i="29"/>
  <c r="B6" i="29"/>
  <c r="B35" i="29"/>
  <c r="B19" i="29"/>
  <c r="B11" i="29"/>
  <c r="B27" i="29"/>
  <c r="B3" i="25"/>
  <c r="AI1192" i="25"/>
  <c r="AI1196" i="25"/>
  <c r="AI1200" i="25"/>
  <c r="AI1420" i="25"/>
  <c r="X119" i="11" a="1"/>
  <c r="X119" i="11" s="1"/>
  <c r="X125" i="11" a="1"/>
  <c r="X125" i="11" s="1"/>
  <c r="X117" i="11" a="1"/>
  <c r="X117" i="11" s="1"/>
  <c r="X109" i="11" a="1"/>
  <c r="X109" i="11" s="1"/>
  <c r="X124" i="11" a="1"/>
  <c r="X124" i="11" s="1"/>
  <c r="X116" i="11" a="1"/>
  <c r="X116" i="11" s="1"/>
  <c r="X108" i="11" a="1"/>
  <c r="X108" i="11" s="1"/>
  <c r="X122" i="11" a="1"/>
  <c r="X122" i="11" s="1"/>
  <c r="X114" i="11" a="1"/>
  <c r="X114" i="11" s="1"/>
  <c r="X106" i="11" a="1"/>
  <c r="X106" i="11" s="1"/>
  <c r="X121" i="11" a="1"/>
  <c r="X121" i="11" s="1"/>
  <c r="X113" i="11" a="1"/>
  <c r="X113" i="11" s="1"/>
  <c r="X105" i="11" a="1"/>
  <c r="X105" i="11" s="1"/>
  <c r="X120" i="11" a="1"/>
  <c r="X120" i="11" s="1"/>
  <c r="X112" i="11" a="1"/>
  <c r="X112" i="11" s="1"/>
  <c r="X111" i="11" a="1"/>
  <c r="X111" i="11" s="1"/>
  <c r="X104" i="11" a="1"/>
  <c r="X104" i="11" s="1"/>
  <c r="AI1711" i="25"/>
  <c r="AI1709" i="25"/>
  <c r="AI1707" i="25"/>
  <c r="AI1703" i="25"/>
  <c r="AI1699" i="25"/>
  <c r="AI1695" i="25"/>
  <c r="AI1693" i="25"/>
  <c r="X126" i="11" a="1"/>
  <c r="X126" i="11" s="1"/>
  <c r="X118" i="11" a="1"/>
  <c r="X118" i="11" s="1"/>
  <c r="X110" i="11" a="1"/>
  <c r="X110" i="11" s="1"/>
  <c r="X123" i="11" a="1"/>
  <c r="X123" i="11" s="1"/>
  <c r="X115" i="11" a="1"/>
  <c r="X115" i="11" s="1"/>
  <c r="X107" i="11" a="1"/>
  <c r="X107" i="11" s="1"/>
  <c r="AI1712" i="25"/>
  <c r="AI1710" i="25"/>
  <c r="AI1708" i="25"/>
  <c r="AI1706" i="25"/>
  <c r="AI1704" i="25"/>
  <c r="AI1702" i="25"/>
  <c r="AI1698" i="25"/>
  <c r="AI1696" i="25"/>
  <c r="AI1694" i="25"/>
  <c r="AI1692" i="25"/>
  <c r="AI1418" i="25"/>
  <c r="AI1410" i="25"/>
  <c r="AI1402" i="25"/>
  <c r="AI1394" i="25"/>
  <c r="AI1412" i="25"/>
  <c r="AI1404" i="25"/>
  <c r="AI1396" i="25"/>
  <c r="U8" i="5"/>
  <c r="AF1279" i="25" s="1"/>
  <c r="T8" i="5"/>
  <c r="AE1279" i="25" s="1"/>
  <c r="AE1352" i="25"/>
  <c r="AE1312" i="25"/>
  <c r="AE1375" i="25"/>
  <c r="AE1335" i="25"/>
  <c r="AE1319" i="25"/>
  <c r="AE1295" i="25"/>
  <c r="AE1382" i="25"/>
  <c r="AE1374" i="25"/>
  <c r="AE1366" i="25"/>
  <c r="AE1358" i="25"/>
  <c r="AE1350" i="25"/>
  <c r="AE1342" i="25"/>
  <c r="AE1326" i="25"/>
  <c r="AE1318" i="25"/>
  <c r="AE1310" i="25"/>
  <c r="AE1302" i="25"/>
  <c r="AE1294" i="25"/>
  <c r="AE1286" i="25"/>
  <c r="AE1376" i="25"/>
  <c r="AE1328" i="25"/>
  <c r="AE1383" i="25"/>
  <c r="AE1367" i="25"/>
  <c r="AE1327" i="25"/>
  <c r="AE1311" i="25"/>
  <c r="AE1303" i="25"/>
  <c r="AE1287" i="25"/>
  <c r="AE1381" i="25"/>
  <c r="AE1373" i="25"/>
  <c r="AE1365" i="25"/>
  <c r="AE1357" i="25"/>
  <c r="AE1349" i="25"/>
  <c r="AE1341" i="25"/>
  <c r="AE1333" i="25"/>
  <c r="AE1325" i="25"/>
  <c r="AE1317" i="25"/>
  <c r="AE1309" i="25"/>
  <c r="AE1301" i="25"/>
  <c r="AE1293" i="25"/>
  <c r="AE1285" i="25"/>
  <c r="AE1368" i="25"/>
  <c r="AE1336" i="25"/>
  <c r="AE1351" i="25"/>
  <c r="AE1380" i="25"/>
  <c r="AE1356" i="25"/>
  <c r="AE1324" i="25"/>
  <c r="AE1300" i="25"/>
  <c r="AE1387" i="25"/>
  <c r="AE1379" i="25"/>
  <c r="AE1371" i="25"/>
  <c r="AE1363" i="25"/>
  <c r="AE1355" i="25"/>
  <c r="AE1347" i="25"/>
  <c r="AE1339" i="25"/>
  <c r="AE1331" i="25"/>
  <c r="AE1323" i="25"/>
  <c r="AE1315" i="25"/>
  <c r="AE1307" i="25"/>
  <c r="AE1299" i="25"/>
  <c r="AE1291" i="25"/>
  <c r="AE1283" i="25"/>
  <c r="AE1360" i="25"/>
  <c r="AE1320" i="25"/>
  <c r="AE1288" i="25"/>
  <c r="AE1343" i="25"/>
  <c r="AE1388" i="25"/>
  <c r="AE1364" i="25"/>
  <c r="AE1340" i="25"/>
  <c r="AE1316" i="25"/>
  <c r="AE1292" i="25"/>
  <c r="AE1386" i="25"/>
  <c r="AE1378" i="25"/>
  <c r="AE1370" i="25"/>
  <c r="AE1362" i="25"/>
  <c r="AE1354" i="25"/>
  <c r="AE1346" i="25"/>
  <c r="AE1338" i="25"/>
  <c r="AE1330" i="25"/>
  <c r="AE1322" i="25"/>
  <c r="AE1314" i="25"/>
  <c r="AE1306" i="25"/>
  <c r="AE1298" i="25"/>
  <c r="AE1290" i="25"/>
  <c r="AE1384" i="25"/>
  <c r="AE1344" i="25"/>
  <c r="AE1304" i="25"/>
  <c r="AE1280" i="25"/>
  <c r="AE1359" i="25"/>
  <c r="AE1372" i="25"/>
  <c r="AE1348" i="25"/>
  <c r="AE1332" i="25"/>
  <c r="AE1308" i="25"/>
  <c r="AE1284" i="25"/>
  <c r="AE1385" i="25"/>
  <c r="AE1369" i="25"/>
  <c r="AE1361" i="25"/>
  <c r="AE1353" i="25"/>
  <c r="AE1345" i="25"/>
  <c r="AE1337" i="25"/>
  <c r="AE1329" i="25"/>
  <c r="AE1321" i="25"/>
  <c r="AE1313" i="25"/>
  <c r="AE1305" i="25"/>
  <c r="AE1297" i="25"/>
  <c r="AE1289" i="25"/>
  <c r="AE1281" i="25"/>
  <c r="T1279" i="25"/>
  <c r="T1377" i="25"/>
  <c r="T1334" i="25"/>
  <c r="T1282" i="25"/>
  <c r="V131" i="11" a="1"/>
  <c r="V131" i="11" s="1"/>
  <c r="AG1715" i="25" s="1"/>
  <c r="P131" i="11" a="1"/>
  <c r="P131" i="11" s="1"/>
  <c r="AA1715" i="25" s="1"/>
  <c r="Q131" i="11" a="1"/>
  <c r="Q131" i="11" s="1"/>
  <c r="AB1715" i="25" s="1"/>
  <c r="O131" i="11"/>
  <c r="Z1715" i="25" s="1"/>
  <c r="Q130" i="11" a="1"/>
  <c r="Q130" i="11" s="1"/>
  <c r="AB1714" i="25" s="1"/>
  <c r="O130" i="11"/>
  <c r="Z1714" i="25" s="1"/>
  <c r="P130" i="11" a="1"/>
  <c r="P130" i="11" s="1"/>
  <c r="AA1714" i="25" s="1"/>
  <c r="R130" i="11" a="1"/>
  <c r="R130" i="11" s="1"/>
  <c r="AC1714" i="25" s="1"/>
  <c r="S130" i="11" a="1"/>
  <c r="S130" i="11" s="1"/>
  <c r="AD1714" i="25" s="1"/>
  <c r="T1714" i="25"/>
  <c r="T1718" i="25"/>
  <c r="T1722" i="25"/>
  <c r="T1726" i="25"/>
  <c r="T1715" i="25"/>
  <c r="T1719" i="25"/>
  <c r="T1723" i="25"/>
  <c r="T1727" i="25"/>
  <c r="T1724" i="25"/>
  <c r="T1728" i="25"/>
  <c r="T1716" i="25"/>
  <c r="T1720" i="25"/>
  <c r="T1717" i="25"/>
  <c r="T1721" i="25"/>
  <c r="T1725" i="25"/>
  <c r="T1729" i="25"/>
  <c r="Q1265" i="25"/>
  <c r="Q1269" i="25"/>
  <c r="Q1274" i="25"/>
  <c r="Q1278" i="25"/>
  <c r="Q1264" i="25"/>
  <c r="Q1268" i="25"/>
  <c r="Q1273" i="25"/>
  <c r="Q1277" i="25"/>
  <c r="Q1263" i="25"/>
  <c r="Q1267" i="25"/>
  <c r="Q1272" i="25"/>
  <c r="Q1276" i="25"/>
  <c r="Q1271" i="25"/>
  <c r="Q1266" i="25"/>
  <c r="Q1270" i="25"/>
  <c r="Q1275" i="25"/>
  <c r="Q1173" i="25"/>
  <c r="Q1178" i="25"/>
  <c r="Q1161" i="25"/>
  <c r="Q1174" i="25"/>
  <c r="Q1179" i="25"/>
  <c r="Q1194" i="25"/>
  <c r="Q1198" i="25"/>
  <c r="Q1197" i="25"/>
  <c r="Q1175" i="25"/>
  <c r="Q1180" i="25"/>
  <c r="Q1191" i="25"/>
  <c r="Q1195" i="25"/>
  <c r="Q1199" i="25"/>
  <c r="Q1176" i="25"/>
  <c r="Q1171" i="25"/>
  <c r="Q1193" i="25"/>
  <c r="Q1172" i="25"/>
  <c r="Q1177" i="25"/>
  <c r="Q1181" i="25"/>
  <c r="Q1192" i="25"/>
  <c r="Q1196" i="25"/>
  <c r="Q1200" i="25"/>
  <c r="AI1343" i="25"/>
  <c r="AI1408" i="25"/>
  <c r="AI1392" i="25"/>
  <c r="AI1416" i="25"/>
  <c r="AI1400" i="25"/>
  <c r="AI1388" i="25"/>
  <c r="AI1387" i="25"/>
  <c r="AI1386" i="25"/>
  <c r="AI1385" i="25"/>
  <c r="AI1384" i="25"/>
  <c r="AI1383" i="25"/>
  <c r="AI1382" i="25"/>
  <c r="AI1381" i="25"/>
  <c r="AI1380" i="25"/>
  <c r="AI1379" i="25"/>
  <c r="AI1378" i="25"/>
  <c r="AI1377" i="25"/>
  <c r="AI1376" i="25"/>
  <c r="AI1375" i="25"/>
  <c r="AI1374" i="25"/>
  <c r="AI1373" i="25"/>
  <c r="AI1372" i="25"/>
  <c r="AI1371" i="25"/>
  <c r="AI1370" i="25"/>
  <c r="AI1369" i="25"/>
  <c r="AI1368" i="25"/>
  <c r="AI1367" i="25"/>
  <c r="AI1366" i="25"/>
  <c r="AI1365" i="25"/>
  <c r="AI1364" i="25"/>
  <c r="AI1363" i="25"/>
  <c r="AI1362" i="25"/>
  <c r="AI1361" i="25"/>
  <c r="AI1360" i="25"/>
  <c r="AI1359" i="25"/>
  <c r="AI1358" i="25"/>
  <c r="AI1357" i="25"/>
  <c r="AI1356" i="25"/>
  <c r="AI1355" i="25"/>
  <c r="AI1354" i="25"/>
  <c r="AI1353" i="25"/>
  <c r="AI1352" i="25"/>
  <c r="AI1351" i="25"/>
  <c r="AI1350" i="25"/>
  <c r="AI1349" i="25"/>
  <c r="AI1348" i="25"/>
  <c r="AI1347" i="25"/>
  <c r="AI1346" i="25"/>
  <c r="AI1345" i="25"/>
  <c r="AI1417" i="25"/>
  <c r="AI1409" i="25"/>
  <c r="AI1401" i="25"/>
  <c r="AI1393" i="25"/>
  <c r="AI1415" i="25"/>
  <c r="AI1407" i="25"/>
  <c r="AI1399" i="25"/>
  <c r="AI1391" i="25"/>
  <c r="AI1414" i="25"/>
  <c r="AI1406" i="25"/>
  <c r="AI1398" i="25"/>
  <c r="AI1390" i="25"/>
  <c r="AJ1389" i="25"/>
  <c r="AJ1411" i="25"/>
  <c r="AJ1410" i="25"/>
  <c r="AJ1409" i="25"/>
  <c r="AJ1408" i="25"/>
  <c r="AJ1407" i="25"/>
  <c r="AJ1406" i="25"/>
  <c r="AJ1405" i="25"/>
  <c r="AJ1404" i="25"/>
  <c r="AJ1403" i="25"/>
  <c r="AJ1402" i="25"/>
  <c r="AJ1401" i="25"/>
  <c r="AJ1400" i="25"/>
  <c r="AJ1399" i="25"/>
  <c r="AJ1398" i="25"/>
  <c r="AJ1397" i="25"/>
  <c r="AJ1396" i="25"/>
  <c r="AJ1395" i="25"/>
  <c r="AJ1394" i="25"/>
  <c r="AJ1393" i="25"/>
  <c r="AJ1392" i="25"/>
  <c r="AJ1391" i="25"/>
  <c r="AJ1390" i="25"/>
  <c r="AJ1420" i="25"/>
  <c r="AJ1419" i="25"/>
  <c r="AJ1418" i="25"/>
  <c r="AI1389" i="25"/>
  <c r="AI1413" i="25"/>
  <c r="AI1405" i="25"/>
  <c r="AI1397" i="25"/>
  <c r="AI1419" i="25"/>
  <c r="AI1411" i="25"/>
  <c r="AI1403" i="25"/>
  <c r="AI1395" i="25"/>
  <c r="AJ1417" i="25"/>
  <c r="AI1344" i="25"/>
  <c r="AI1700" i="25"/>
  <c r="AI1191" i="25"/>
  <c r="AI1195" i="25"/>
  <c r="AI1199" i="25"/>
  <c r="AJ1416" i="25"/>
  <c r="AJ1415" i="25"/>
  <c r="AJ1414" i="25"/>
  <c r="AJ1413" i="25"/>
  <c r="AJ1412" i="25"/>
  <c r="AI1336" i="25"/>
  <c r="AI1334" i="25"/>
  <c r="AI1332" i="25"/>
  <c r="AI1330" i="25"/>
  <c r="AI1328" i="25"/>
  <c r="AI1326" i="25"/>
  <c r="AI1323" i="25"/>
  <c r="AI1319" i="25"/>
  <c r="AI1316" i="25"/>
  <c r="AI1312" i="25"/>
  <c r="AI1310" i="25"/>
  <c r="AI1307" i="25"/>
  <c r="AI1303" i="25"/>
  <c r="AI1299" i="25"/>
  <c r="AI1297" i="25"/>
  <c r="AI1295" i="25"/>
  <c r="AI1293" i="25"/>
  <c r="AI1290" i="25"/>
  <c r="AI1288" i="25"/>
  <c r="AI1285" i="25"/>
  <c r="AI1281" i="25"/>
  <c r="AI1342" i="25"/>
  <c r="AI1340" i="25"/>
  <c r="AI1338" i="25"/>
  <c r="AI1335" i="25"/>
  <c r="AI1324" i="25"/>
  <c r="AI1322" i="25"/>
  <c r="AI1320" i="25"/>
  <c r="AI1318" i="25"/>
  <c r="AI1314" i="25"/>
  <c r="AI1308" i="25"/>
  <c r="AI1305" i="25"/>
  <c r="AI1301" i="25"/>
  <c r="AI1296" i="25"/>
  <c r="AI1294" i="25"/>
  <c r="AI1292" i="25"/>
  <c r="AI1287" i="25"/>
  <c r="AI1283" i="25"/>
  <c r="AI1280" i="25"/>
  <c r="AI1341" i="25"/>
  <c r="AI1339" i="25"/>
  <c r="AI1337" i="25"/>
  <c r="AI1333" i="25"/>
  <c r="AI1331" i="25"/>
  <c r="AI1329" i="25"/>
  <c r="AI1327" i="25"/>
  <c r="AI1325" i="25"/>
  <c r="AI1321" i="25"/>
  <c r="AI1317" i="25"/>
  <c r="AI1315" i="25"/>
  <c r="AI1313" i="25"/>
  <c r="AI1311" i="25"/>
  <c r="AI1309" i="25"/>
  <c r="AI1306" i="25"/>
  <c r="AI1304" i="25"/>
  <c r="AI1302" i="25"/>
  <c r="AI1300" i="25"/>
  <c r="AI1298" i="25"/>
  <c r="AI1291" i="25"/>
  <c r="AI1289" i="25"/>
  <c r="AI1286" i="25"/>
  <c r="AI1284" i="25"/>
  <c r="AI1282" i="25"/>
  <c r="AI1181" i="25"/>
  <c r="AI1725" i="25"/>
  <c r="AJ1712" i="25"/>
  <c r="AJ1710" i="25"/>
  <c r="AJ1708" i="25"/>
  <c r="AJ1706" i="25"/>
  <c r="AJ1704" i="25"/>
  <c r="AJ1702" i="25"/>
  <c r="AJ1700" i="25"/>
  <c r="AJ1698" i="25"/>
  <c r="AJ1696" i="25"/>
  <c r="AJ1694" i="25"/>
  <c r="AJ1692" i="25"/>
  <c r="AI1271" i="25"/>
  <c r="AI1263" i="25"/>
  <c r="AI1721" i="25"/>
  <c r="AI1278" i="25"/>
  <c r="AI1270" i="25"/>
  <c r="AI1262" i="25"/>
  <c r="AI1718" i="25"/>
  <c r="AI1277" i="25"/>
  <c r="AI1269" i="25"/>
  <c r="AI1717" i="25"/>
  <c r="AI1173" i="25"/>
  <c r="AI1178" i="25"/>
  <c r="AI1197" i="25"/>
  <c r="AI1715" i="25"/>
  <c r="AI1719" i="25"/>
  <c r="AI1723" i="25"/>
  <c r="AI1727" i="25"/>
  <c r="AI1276" i="25"/>
  <c r="AI1268" i="25"/>
  <c r="AI1265" i="25"/>
  <c r="AI1264" i="25"/>
  <c r="AI1714" i="25"/>
  <c r="AI1722" i="25"/>
  <c r="AI1193" i="25"/>
  <c r="AI1279" i="25"/>
  <c r="AI1194" i="25"/>
  <c r="AI1198" i="25"/>
  <c r="AJ1713" i="25"/>
  <c r="AJ1711" i="25"/>
  <c r="AJ1709" i="25"/>
  <c r="AJ1707" i="25"/>
  <c r="AJ1705" i="25"/>
  <c r="AJ1703" i="25"/>
  <c r="AJ1701" i="25"/>
  <c r="AJ1699" i="25"/>
  <c r="AJ1697" i="25"/>
  <c r="AJ1695" i="25"/>
  <c r="AJ1693" i="25"/>
  <c r="AI1275" i="25"/>
  <c r="AI1267" i="25"/>
  <c r="AI1273" i="25"/>
  <c r="AI1729" i="25"/>
  <c r="AI1272" i="25"/>
  <c r="AI1726" i="25"/>
  <c r="AJ1691" i="25"/>
  <c r="AI1691" i="25"/>
  <c r="AI1716" i="25"/>
  <c r="AI1720" i="25"/>
  <c r="AI1724" i="25"/>
  <c r="AI1728" i="25"/>
  <c r="AI1713" i="25"/>
  <c r="AI1705" i="25"/>
  <c r="AI1701" i="25"/>
  <c r="AI1697" i="25"/>
  <c r="AI1274" i="25"/>
  <c r="AI1266" i="25"/>
  <c r="AI1174" i="25"/>
  <c r="AI1179" i="25"/>
  <c r="AI1175" i="25"/>
  <c r="AI1176" i="25"/>
  <c r="AI1180" i="25"/>
  <c r="AI1172" i="25"/>
  <c r="AI1177" i="25"/>
  <c r="V395" i="4"/>
  <c r="AE893" i="25" s="1"/>
  <c r="V396" i="4"/>
  <c r="AE894" i="25" s="1"/>
  <c r="W395" i="4"/>
  <c r="AF893" i="25" s="1"/>
  <c r="W396" i="4"/>
  <c r="AF894" i="25" s="1"/>
  <c r="W365" i="4"/>
  <c r="AF863" i="25" s="1"/>
  <c r="W453" i="4"/>
  <c r="AF901" i="25" s="1"/>
  <c r="V461" i="4"/>
  <c r="AE909" i="25" s="1"/>
  <c r="V453" i="4"/>
  <c r="AE901" i="25" s="1"/>
  <c r="F70" i="18"/>
  <c r="F71" i="18"/>
  <c r="V386" i="4"/>
  <c r="AE884" i="25" s="1"/>
  <c r="W461" i="4"/>
  <c r="AF909" i="25" s="1"/>
  <c r="W465" i="4"/>
  <c r="AF913" i="25" s="1"/>
  <c r="V355" i="4"/>
  <c r="AE853" i="25" s="1"/>
  <c r="V365" i="4"/>
  <c r="AE863" i="25" s="1"/>
  <c r="V465" i="4"/>
  <c r="AE913" i="25" s="1"/>
  <c r="W355" i="4"/>
  <c r="AF853" i="25" s="1"/>
  <c r="W386" i="4"/>
  <c r="AF884" i="25" s="1"/>
  <c r="V371" i="4"/>
  <c r="AE869" i="25" s="1"/>
  <c r="W371" i="4"/>
  <c r="AF869" i="25" s="1"/>
  <c r="V356" i="4"/>
  <c r="AE854" i="25" s="1"/>
  <c r="W854" i="25"/>
  <c r="AJ854" i="25" s="1"/>
  <c r="V389" i="4"/>
  <c r="AE887" i="25" s="1"/>
  <c r="W887" i="25"/>
  <c r="AJ887" i="25" s="1"/>
  <c r="V391" i="4"/>
  <c r="AE889" i="25" s="1"/>
  <c r="W889" i="25"/>
  <c r="AJ889" i="25" s="1"/>
  <c r="W366" i="4"/>
  <c r="AF864" i="25" s="1"/>
  <c r="W864" i="25"/>
  <c r="AJ864" i="25" s="1"/>
  <c r="V474" i="4"/>
  <c r="W922" i="25"/>
  <c r="AJ922" i="25" s="1"/>
  <c r="W363" i="4"/>
  <c r="AF861" i="25" s="1"/>
  <c r="W861" i="25"/>
  <c r="AJ861" i="25" s="1"/>
  <c r="V352" i="4"/>
  <c r="AE850" i="25" s="1"/>
  <c r="W850" i="25"/>
  <c r="AJ850" i="25" s="1"/>
  <c r="V381" i="4"/>
  <c r="W879" i="25"/>
  <c r="AJ879" i="25" s="1"/>
  <c r="W390" i="4"/>
  <c r="AF888" i="25" s="1"/>
  <c r="W888" i="25"/>
  <c r="AJ888" i="25" s="1"/>
  <c r="W472" i="4"/>
  <c r="AF920" i="25" s="1"/>
  <c r="W920" i="25"/>
  <c r="AJ920" i="25" s="1"/>
  <c r="W354" i="4"/>
  <c r="AF852" i="25" s="1"/>
  <c r="W852" i="25"/>
  <c r="AJ852" i="25" s="1"/>
  <c r="V350" i="4"/>
  <c r="AE848" i="25" s="1"/>
  <c r="W848" i="25"/>
  <c r="AJ848" i="25" s="1"/>
  <c r="V399" i="4"/>
  <c r="AE897" i="25" s="1"/>
  <c r="W897" i="25"/>
  <c r="AJ897" i="25" s="1"/>
  <c r="V379" i="4"/>
  <c r="AE877" i="25" s="1"/>
  <c r="W877" i="25"/>
  <c r="AJ877" i="25" s="1"/>
  <c r="W360" i="4"/>
  <c r="AF858" i="25" s="1"/>
  <c r="W858" i="25"/>
  <c r="AJ858" i="25" s="1"/>
  <c r="V372" i="4"/>
  <c r="AE870" i="25" s="1"/>
  <c r="W870" i="25"/>
  <c r="AJ870" i="25" s="1"/>
  <c r="V377" i="4"/>
  <c r="AE875" i="25" s="1"/>
  <c r="W875" i="25"/>
  <c r="AJ875" i="25" s="1"/>
  <c r="V471" i="4"/>
  <c r="AE919" i="25" s="1"/>
  <c r="W919" i="25"/>
  <c r="AJ919" i="25" s="1"/>
  <c r="W373" i="4"/>
  <c r="AF871" i="25" s="1"/>
  <c r="W871" i="25"/>
  <c r="AJ871" i="25" s="1"/>
  <c r="W357" i="4"/>
  <c r="AF855" i="25" s="1"/>
  <c r="W855" i="25"/>
  <c r="AJ855" i="25" s="1"/>
  <c r="W458" i="4"/>
  <c r="AF906" i="25" s="1"/>
  <c r="W906" i="25"/>
  <c r="AJ906" i="25" s="1"/>
  <c r="W474" i="4"/>
  <c r="AF922" i="25" s="1"/>
  <c r="V469" i="4"/>
  <c r="AE917" i="25" s="1"/>
  <c r="W917" i="25"/>
  <c r="AJ917" i="25" s="1"/>
  <c r="V385" i="4"/>
  <c r="AE883" i="25" s="1"/>
  <c r="W883" i="25"/>
  <c r="AJ883" i="25" s="1"/>
  <c r="W473" i="4"/>
  <c r="AF921" i="25" s="1"/>
  <c r="W921" i="25"/>
  <c r="AJ921" i="25" s="1"/>
  <c r="V370" i="4"/>
  <c r="AE868" i="25" s="1"/>
  <c r="W868" i="25"/>
  <c r="AJ868" i="25" s="1"/>
  <c r="W359" i="4"/>
  <c r="AF857" i="25" s="1"/>
  <c r="W857" i="25"/>
  <c r="AJ857" i="25" s="1"/>
  <c r="V378" i="4"/>
  <c r="AE876" i="25" s="1"/>
  <c r="W876" i="25"/>
  <c r="AJ876" i="25" s="1"/>
  <c r="W388" i="4"/>
  <c r="AF886" i="25" s="1"/>
  <c r="W886" i="25"/>
  <c r="AJ886" i="25" s="1"/>
  <c r="V351" i="4"/>
  <c r="AE849" i="25" s="1"/>
  <c r="W849" i="25"/>
  <c r="AJ849" i="25" s="1"/>
  <c r="W382" i="4"/>
  <c r="AF880" i="25" s="1"/>
  <c r="W880" i="25"/>
  <c r="AJ880" i="25" s="1"/>
  <c r="W459" i="4"/>
  <c r="AF907" i="25" s="1"/>
  <c r="W907" i="25"/>
  <c r="AJ907" i="25" s="1"/>
  <c r="V455" i="4"/>
  <c r="W903" i="25"/>
  <c r="AJ903" i="25" s="1"/>
  <c r="V470" i="4"/>
  <c r="AE918" i="25" s="1"/>
  <c r="W918" i="25"/>
  <c r="AJ918" i="25" s="1"/>
  <c r="W375" i="4"/>
  <c r="AF873" i="25" s="1"/>
  <c r="W873" i="25"/>
  <c r="AJ873" i="25" s="1"/>
  <c r="W349" i="4"/>
  <c r="AF847" i="25" s="1"/>
  <c r="W847" i="25"/>
  <c r="AJ847" i="25" s="1"/>
  <c r="V358" i="4"/>
  <c r="AE856" i="25" s="1"/>
  <c r="W856" i="25"/>
  <c r="AJ856" i="25" s="1"/>
  <c r="W387" i="4"/>
  <c r="AF885" i="25" s="1"/>
  <c r="W885" i="25"/>
  <c r="AJ885" i="25" s="1"/>
  <c r="W383" i="4"/>
  <c r="AF881" i="25" s="1"/>
  <c r="W881" i="25"/>
  <c r="AJ881" i="25" s="1"/>
  <c r="W380" i="4"/>
  <c r="AF878" i="25" s="1"/>
  <c r="W878" i="25"/>
  <c r="AJ878" i="25" s="1"/>
  <c r="V353" i="4"/>
  <c r="AE851" i="25" s="1"/>
  <c r="W851" i="25"/>
  <c r="AJ851" i="25" s="1"/>
  <c r="W362" i="4"/>
  <c r="AF860" i="25" s="1"/>
  <c r="W860" i="25"/>
  <c r="AJ860" i="25" s="1"/>
  <c r="W364" i="4"/>
  <c r="AF862" i="25" s="1"/>
  <c r="W862" i="25"/>
  <c r="AJ862" i="25" s="1"/>
  <c r="W457" i="4"/>
  <c r="AF905" i="25" s="1"/>
  <c r="W905" i="25"/>
  <c r="AJ905" i="25" s="1"/>
  <c r="V452" i="4"/>
  <c r="W900" i="25"/>
  <c r="AJ900" i="25" s="1"/>
  <c r="V472" i="4"/>
  <c r="AE920" i="25" s="1"/>
  <c r="V390" i="4"/>
  <c r="AE888" i="25" s="1"/>
  <c r="V357" i="4"/>
  <c r="W372" i="4"/>
  <c r="AF870" i="25" s="1"/>
  <c r="W469" i="4"/>
  <c r="AF917" i="25" s="1"/>
  <c r="W351" i="4"/>
  <c r="AF849" i="25" s="1"/>
  <c r="W455" i="4"/>
  <c r="AF903" i="25" s="1"/>
  <c r="W352" i="4"/>
  <c r="AF850" i="25" s="1"/>
  <c r="V363" i="4"/>
  <c r="V349" i="4"/>
  <c r="AE847" i="25" s="1"/>
  <c r="W399" i="4"/>
  <c r="AF897" i="25" s="1"/>
  <c r="W470" i="4"/>
  <c r="AF918" i="25" s="1"/>
  <c r="V354" i="4"/>
  <c r="W379" i="4"/>
  <c r="AF877" i="25" s="1"/>
  <c r="V387" i="4"/>
  <c r="W350" i="4"/>
  <c r="AF848" i="25" s="1"/>
  <c r="V373" i="4"/>
  <c r="V375" i="4"/>
  <c r="V360" i="4"/>
  <c r="V383" i="4"/>
  <c r="AE881" i="25" s="1"/>
  <c r="V392" i="4"/>
  <c r="AE890" i="25" s="1"/>
  <c r="W392" i="4"/>
  <c r="AF890" i="25" s="1"/>
  <c r="V398" i="4"/>
  <c r="AE896" i="25" s="1"/>
  <c r="W398" i="4"/>
  <c r="AF896" i="25" s="1"/>
  <c r="V400" i="4"/>
  <c r="W400" i="4"/>
  <c r="AF898" i="25" s="1"/>
  <c r="W356" i="4"/>
  <c r="AF854" i="25" s="1"/>
  <c r="W397" i="4"/>
  <c r="AF895" i="25" s="1"/>
  <c r="V397" i="4"/>
  <c r="AE895" i="25" s="1"/>
  <c r="V456" i="4"/>
  <c r="W456" i="4"/>
  <c r="AF904" i="25" s="1"/>
  <c r="W358" i="4"/>
  <c r="AF856" i="25" s="1"/>
  <c r="W454" i="4"/>
  <c r="AF902" i="25" s="1"/>
  <c r="V454" i="4"/>
  <c r="V393" i="4"/>
  <c r="AE891" i="25" s="1"/>
  <c r="W393" i="4"/>
  <c r="AF891" i="25" s="1"/>
  <c r="W463" i="4"/>
  <c r="AF911" i="25" s="1"/>
  <c r="V463" i="4"/>
  <c r="AE911" i="25" s="1"/>
  <c r="W353" i="4"/>
  <c r="AF851" i="25" s="1"/>
  <c r="V466" i="4"/>
  <c r="AE914" i="25" s="1"/>
  <c r="W466" i="4"/>
  <c r="AF914" i="25" s="1"/>
  <c r="V464" i="4"/>
  <c r="AE912" i="25" s="1"/>
  <c r="W464" i="4"/>
  <c r="AF912" i="25" s="1"/>
  <c r="W471" i="4"/>
  <c r="AF919" i="25" s="1"/>
  <c r="V359" i="4"/>
  <c r="V364" i="4"/>
  <c r="AE862" i="25" s="1"/>
  <c r="V401" i="4"/>
  <c r="W401" i="4"/>
  <c r="AF899" i="25" s="1"/>
  <c r="V394" i="4"/>
  <c r="AE892" i="25" s="1"/>
  <c r="W394" i="4"/>
  <c r="AF892" i="25" s="1"/>
  <c r="W462" i="4"/>
  <c r="AF910" i="25" s="1"/>
  <c r="V462" i="4"/>
  <c r="AE910" i="25" s="1"/>
  <c r="V460" i="4"/>
  <c r="AE908" i="25" s="1"/>
  <c r="W460" i="4"/>
  <c r="AF908" i="25" s="1"/>
  <c r="V467" i="4"/>
  <c r="AE915" i="25" s="1"/>
  <c r="W467" i="4"/>
  <c r="AF915" i="25" s="1"/>
  <c r="W391" i="4"/>
  <c r="AF889" i="25" s="1"/>
  <c r="W389" i="4"/>
  <c r="AF887" i="25" s="1"/>
  <c r="V361" i="4"/>
  <c r="AE859" i="25" s="1"/>
  <c r="W361" i="4"/>
  <c r="AF859" i="25" s="1"/>
  <c r="V367" i="4"/>
  <c r="AE865" i="25" s="1"/>
  <c r="W367" i="4"/>
  <c r="AF865" i="25" s="1"/>
  <c r="V369" i="4"/>
  <c r="AE867" i="25" s="1"/>
  <c r="W369" i="4"/>
  <c r="AF867" i="25" s="1"/>
  <c r="V368" i="4"/>
  <c r="AE866" i="25" s="1"/>
  <c r="W368" i="4"/>
  <c r="AF866" i="25" s="1"/>
  <c r="W385" i="4"/>
  <c r="AF883" i="25" s="1"/>
  <c r="V380" i="4"/>
  <c r="AE878" i="25" s="1"/>
  <c r="W381" i="4"/>
  <c r="AF879" i="25" s="1"/>
  <c r="W377" i="4"/>
  <c r="AF875" i="25" s="1"/>
  <c r="V468" i="4"/>
  <c r="W468" i="4"/>
  <c r="AF916" i="25" s="1"/>
  <c r="V374" i="4"/>
  <c r="AE872" i="25" s="1"/>
  <c r="W374" i="4"/>
  <c r="AF872" i="25" s="1"/>
  <c r="V376" i="4"/>
  <c r="AE874" i="25" s="1"/>
  <c r="W376" i="4"/>
  <c r="AF874" i="25" s="1"/>
  <c r="V384" i="4"/>
  <c r="AE882" i="25" s="1"/>
  <c r="W384" i="4"/>
  <c r="AF882" i="25" s="1"/>
  <c r="N22" i="23"/>
  <c r="N19" i="23"/>
  <c r="V19" i="23" s="1"/>
  <c r="AE1172" i="25" s="1"/>
  <c r="N46" i="23"/>
  <c r="N48" i="23"/>
  <c r="V48" i="23" s="1"/>
  <c r="L16" i="24"/>
  <c r="N42" i="23"/>
  <c r="L137" i="11"/>
  <c r="L132" i="11"/>
  <c r="W1716" i="25" s="1"/>
  <c r="AJ1716" i="25" s="1"/>
  <c r="L136" i="11"/>
  <c r="T136" i="11" s="1"/>
  <c r="AE1720" i="25" s="1"/>
  <c r="L133" i="11"/>
  <c r="L145" i="11"/>
  <c r="L131" i="11"/>
  <c r="L135" i="11"/>
  <c r="L139" i="11"/>
  <c r="L140" i="11"/>
  <c r="L142" i="11"/>
  <c r="L143" i="11"/>
  <c r="L141" i="11"/>
  <c r="L134" i="11"/>
  <c r="W1718" i="25" s="1"/>
  <c r="AJ1718" i="25" s="1"/>
  <c r="L138" i="11"/>
  <c r="W1722" i="25" s="1"/>
  <c r="AJ1722" i="25" s="1"/>
  <c r="L144" i="11"/>
  <c r="W1728" i="25" s="1"/>
  <c r="AJ1728" i="25" s="1"/>
  <c r="L15" i="24"/>
  <c r="L9" i="24"/>
  <c r="L13" i="24"/>
  <c r="L14" i="24"/>
  <c r="L21" i="24"/>
  <c r="L8" i="24"/>
  <c r="U8" i="24" s="1"/>
  <c r="AF1263" i="25" s="1"/>
  <c r="L22" i="24"/>
  <c r="L20" i="24"/>
  <c r="L18" i="24"/>
  <c r="L19" i="24"/>
  <c r="L12" i="24"/>
  <c r="U12" i="24" s="1"/>
  <c r="AF1267" i="25" s="1"/>
  <c r="N26" i="23"/>
  <c r="W1179" i="25" s="1"/>
  <c r="AJ1179" i="25" s="1"/>
  <c r="N45" i="23"/>
  <c r="N49" i="23"/>
  <c r="L10" i="24"/>
  <c r="L17" i="24"/>
  <c r="N44" i="23"/>
  <c r="V44" i="23" s="1"/>
  <c r="N21" i="23"/>
  <c r="V21" i="23" s="1"/>
  <c r="AE1174" i="25" s="1"/>
  <c r="N23" i="23"/>
  <c r="N41" i="23"/>
  <c r="V41" i="23" s="1"/>
  <c r="N50" i="23"/>
  <c r="L11" i="24"/>
  <c r="U11" i="24" s="1"/>
  <c r="AF1266" i="25" s="1"/>
  <c r="L23" i="24"/>
  <c r="W1278" i="25" s="1"/>
  <c r="AJ1278" i="25" s="1"/>
  <c r="N18" i="23"/>
  <c r="W1171" i="25" s="1"/>
  <c r="AJ1171" i="25" s="1"/>
  <c r="N25" i="23"/>
  <c r="W1178" i="25" s="1"/>
  <c r="AJ1178" i="25" s="1"/>
  <c r="N43" i="23"/>
  <c r="V43" i="23" s="1"/>
  <c r="N27" i="23"/>
  <c r="W1180" i="25" s="1"/>
  <c r="AJ1180" i="25" s="1"/>
  <c r="N47" i="23"/>
  <c r="V47" i="23" s="1"/>
  <c r="N20" i="23"/>
  <c r="W1173" i="25" s="1"/>
  <c r="AJ1173" i="25" s="1"/>
  <c r="N24" i="23"/>
  <c r="W1177" i="25" s="1"/>
  <c r="AJ1177" i="25" s="1"/>
  <c r="T31" i="23" l="1" a="1"/>
  <c r="T31" i="23" s="1"/>
  <c r="AC1181" i="25" s="1"/>
  <c r="O7" i="24" a="1"/>
  <c r="O7" i="24" s="1"/>
  <c r="L7" i="24" s="1"/>
  <c r="T1181" i="25"/>
  <c r="U8" i="23" a="1"/>
  <c r="U8" i="23" s="1"/>
  <c r="AD1161" i="25" s="1"/>
  <c r="Q8" i="23" a="1"/>
  <c r="Q8" i="23" s="1"/>
  <c r="Z1161" i="25" s="1"/>
  <c r="T8" i="23" a="1"/>
  <c r="T8" i="23" s="1"/>
  <c r="AC1161" i="25" s="1"/>
  <c r="X8" i="23" a="1"/>
  <c r="X8" i="23" s="1"/>
  <c r="AG1161" i="25" s="1"/>
  <c r="R8" i="23" a="1"/>
  <c r="R8" i="23" s="1"/>
  <c r="AA1161" i="25" s="1"/>
  <c r="S8" i="23" a="1"/>
  <c r="S8" i="23" s="1"/>
  <c r="AB1161" i="25" s="1"/>
  <c r="X103" i="11"/>
  <c r="G102" i="11" s="1"/>
  <c r="D22" i="26" s="1"/>
  <c r="E22" i="26" s="1"/>
  <c r="C72" i="18"/>
  <c r="C73" i="18" s="1"/>
  <c r="I72" i="18"/>
  <c r="D72" i="18"/>
  <c r="D73" i="18" s="1"/>
  <c r="L130" i="11"/>
  <c r="W1714" i="25" s="1"/>
  <c r="AJ1714" i="25" s="1"/>
  <c r="E72" i="18"/>
  <c r="E73" i="18" s="1"/>
  <c r="Z360" i="4" a="1"/>
  <c r="Z360" i="4" s="1"/>
  <c r="Z354" i="4" a="1"/>
  <c r="Z354" i="4" s="1"/>
  <c r="Z367" i="4" a="1"/>
  <c r="Z367" i="4" s="1"/>
  <c r="Z373" i="4" a="1"/>
  <c r="Z373" i="4" s="1"/>
  <c r="Z382" i="4" a="1"/>
  <c r="Z382" i="4" s="1"/>
  <c r="Z375" i="4" a="1"/>
  <c r="Z375" i="4" s="1"/>
  <c r="Z386" i="4" a="1"/>
  <c r="Z386" i="4" s="1"/>
  <c r="Z453" i="4" a="1"/>
  <c r="Z453" i="4" s="1"/>
  <c r="Z470" i="4" a="1"/>
  <c r="Z470" i="4" s="1"/>
  <c r="Z364" i="4" a="1"/>
  <c r="Z364" i="4" s="1"/>
  <c r="Z390" i="4" a="1"/>
  <c r="Z390" i="4" s="1"/>
  <c r="AE916" i="25"/>
  <c r="AE899" i="25"/>
  <c r="Z401" i="4" a="1"/>
  <c r="Z401" i="4" s="1"/>
  <c r="AE885" i="25"/>
  <c r="AE900" i="25"/>
  <c r="Z452" i="4" a="1"/>
  <c r="Z452" i="4" s="1"/>
  <c r="AE903" i="25"/>
  <c r="Z455" i="4" a="1"/>
  <c r="Z455" i="4" s="1"/>
  <c r="Z370" i="4" a="1"/>
  <c r="Z370" i="4" s="1"/>
  <c r="Z374" i="4" a="1"/>
  <c r="Z374" i="4" s="1"/>
  <c r="Z378" i="4" a="1"/>
  <c r="Z378" i="4" s="1"/>
  <c r="Z355" i="4" a="1"/>
  <c r="Z355" i="4" s="1"/>
  <c r="Z371" i="4" a="1"/>
  <c r="Z371" i="4" s="1"/>
  <c r="Z464" i="4" a="1"/>
  <c r="Z464" i="4" s="1"/>
  <c r="Z460" i="4" a="1"/>
  <c r="Z460" i="4" s="1"/>
  <c r="Z384" i="4" a="1"/>
  <c r="Z384" i="4" s="1"/>
  <c r="Z353" i="4" a="1"/>
  <c r="Z353" i="4" s="1"/>
  <c r="AE904" i="25"/>
  <c r="AE879" i="25"/>
  <c r="Z381" i="4" a="1"/>
  <c r="Z381" i="4" s="1"/>
  <c r="Z394" i="4" a="1"/>
  <c r="Z394" i="4" s="1"/>
  <c r="Z398" i="4" a="1"/>
  <c r="Z398" i="4" s="1"/>
  <c r="Z391" i="4" a="1"/>
  <c r="Z391" i="4" s="1"/>
  <c r="Z358" i="4" a="1"/>
  <c r="Z358" i="4" s="1"/>
  <c r="Z377" i="4" a="1"/>
  <c r="Z377" i="4" s="1"/>
  <c r="Z356" i="4" a="1"/>
  <c r="Z356" i="4" s="1"/>
  <c r="AE922" i="25"/>
  <c r="AE857" i="25"/>
  <c r="Z359" i="4" a="1"/>
  <c r="Z359" i="4" s="1"/>
  <c r="AE852" i="25"/>
  <c r="Z461" i="4" a="1"/>
  <c r="Z461" i="4" s="1"/>
  <c r="Z473" i="4" a="1"/>
  <c r="Z473" i="4" s="1"/>
  <c r="Z366" i="4" a="1"/>
  <c r="Z366" i="4" s="1"/>
  <c r="Z362" i="4" a="1"/>
  <c r="Z362" i="4" s="1"/>
  <c r="Z389" i="4" a="1"/>
  <c r="Z389" i="4" s="1"/>
  <c r="Z388" i="4" a="1"/>
  <c r="Z388" i="4" s="1"/>
  <c r="Z399" i="4" a="1"/>
  <c r="Z399" i="4" s="1"/>
  <c r="Z469" i="4" a="1"/>
  <c r="Z469" i="4" s="1"/>
  <c r="Z457" i="4" a="1"/>
  <c r="Z457" i="4" s="1"/>
  <c r="Z467" i="4" a="1"/>
  <c r="Z467" i="4" s="1"/>
  <c r="Z350" i="4" a="1"/>
  <c r="Z350" i="4" s="1"/>
  <c r="Z376" i="4" a="1"/>
  <c r="Z376" i="4" s="1"/>
  <c r="Z463" i="4" a="1"/>
  <c r="Z463" i="4" s="1"/>
  <c r="Z459" i="4" a="1"/>
  <c r="Z459" i="4" s="1"/>
  <c r="Z462" i="4" a="1"/>
  <c r="Z462" i="4" s="1"/>
  <c r="Z361" i="4" a="1"/>
  <c r="Z361" i="4" s="1"/>
  <c r="Z372" i="4" a="1"/>
  <c r="Z372" i="4" s="1"/>
  <c r="Z472" i="4" a="1"/>
  <c r="Z472" i="4" s="1"/>
  <c r="Z474" i="4" a="1"/>
  <c r="Z474" i="4" s="1"/>
  <c r="Z351" i="4" a="1"/>
  <c r="Z351" i="4" s="1"/>
  <c r="Z369" i="4" a="1"/>
  <c r="Z369" i="4" s="1"/>
  <c r="AE858" i="25"/>
  <c r="AE855" i="25"/>
  <c r="Z357" i="4" a="1"/>
  <c r="Z357" i="4" s="1"/>
  <c r="Z466" i="4" a="1"/>
  <c r="Z466" i="4" s="1"/>
  <c r="Z397" i="4" a="1"/>
  <c r="Z397" i="4" s="1"/>
  <c r="Z458" i="4" a="1"/>
  <c r="Z458" i="4" s="1"/>
  <c r="Z365" i="4" a="1"/>
  <c r="Z365" i="4" s="1"/>
  <c r="Z368" i="4" a="1"/>
  <c r="Z368" i="4" s="1"/>
  <c r="Z380" i="4" a="1"/>
  <c r="Z380" i="4" s="1"/>
  <c r="AE902" i="25"/>
  <c r="AE873" i="25"/>
  <c r="Z456" i="4" a="1"/>
  <c r="Z456" i="4" s="1"/>
  <c r="Z393" i="4" a="1"/>
  <c r="Z393" i="4" s="1"/>
  <c r="Z396" i="4" a="1"/>
  <c r="Z396" i="4" s="1"/>
  <c r="Z465" i="4" a="1"/>
  <c r="Z465" i="4" s="1"/>
  <c r="Z471" i="4" a="1"/>
  <c r="Z471" i="4" s="1"/>
  <c r="Z383" i="4" a="1"/>
  <c r="Z383" i="4" s="1"/>
  <c r="AE898" i="25"/>
  <c r="Z400" i="4" a="1"/>
  <c r="Z400" i="4" s="1"/>
  <c r="AE871" i="25"/>
  <c r="AE861" i="25"/>
  <c r="Z363" i="4" a="1"/>
  <c r="Z363" i="4" s="1"/>
  <c r="Z454" i="4" a="1"/>
  <c r="Z454" i="4" s="1"/>
  <c r="Z392" i="4" a="1"/>
  <c r="Z392" i="4" s="1"/>
  <c r="Z352" i="4" a="1"/>
  <c r="Z352" i="4" s="1"/>
  <c r="Z379" i="4" a="1"/>
  <c r="Z379" i="4" s="1"/>
  <c r="Z395" i="4" a="1"/>
  <c r="Z395" i="4" s="1"/>
  <c r="Z468" i="4" a="1"/>
  <c r="Z468" i="4" s="1"/>
  <c r="Z387" i="4" a="1"/>
  <c r="Z387" i="4" s="1"/>
  <c r="Z385" i="4" a="1"/>
  <c r="Z385" i="4" s="1"/>
  <c r="Z349" i="4" a="1"/>
  <c r="Z349" i="4" s="1"/>
  <c r="W42" i="23"/>
  <c r="AF1192" i="25" s="1"/>
  <c r="V42" i="23"/>
  <c r="W50" i="23"/>
  <c r="AF1200" i="25" s="1"/>
  <c r="V50" i="23"/>
  <c r="AE1200" i="25" s="1"/>
  <c r="W45" i="23"/>
  <c r="AF1195" i="25" s="1"/>
  <c r="V45" i="23"/>
  <c r="AE1195" i="25" s="1"/>
  <c r="W49" i="23"/>
  <c r="AF1199" i="25" s="1"/>
  <c r="V49" i="23"/>
  <c r="AE1199" i="25" s="1"/>
  <c r="W46" i="23"/>
  <c r="AF1196" i="25" s="1"/>
  <c r="V46" i="23"/>
  <c r="W1197" i="25"/>
  <c r="AJ1197" i="25" s="1"/>
  <c r="W47" i="23"/>
  <c r="Z47" i="23" s="1" a="1"/>
  <c r="Z47" i="23" s="1"/>
  <c r="W1191" i="25"/>
  <c r="AJ1191" i="25" s="1"/>
  <c r="W41" i="23"/>
  <c r="W1198" i="25"/>
  <c r="AJ1198" i="25" s="1"/>
  <c r="W48" i="23"/>
  <c r="W1193" i="25"/>
  <c r="AJ1193" i="25" s="1"/>
  <c r="W43" i="23"/>
  <c r="AF1193" i="25" s="1"/>
  <c r="W44" i="23"/>
  <c r="AF1194" i="25" s="1"/>
  <c r="AE1191" i="25"/>
  <c r="AE1198" i="25"/>
  <c r="T21" i="24"/>
  <c r="AE1276" i="25" s="1"/>
  <c r="W1276" i="25"/>
  <c r="AJ1276" i="25" s="1"/>
  <c r="U142" i="11"/>
  <c r="AF1726" i="25" s="1"/>
  <c r="W1726" i="25"/>
  <c r="AJ1726" i="25" s="1"/>
  <c r="U21" i="24"/>
  <c r="AF1276" i="25" s="1"/>
  <c r="T14" i="24"/>
  <c r="AE1269" i="25" s="1"/>
  <c r="W1269" i="25"/>
  <c r="AJ1269" i="25" s="1"/>
  <c r="U140" i="11"/>
  <c r="AF1724" i="25" s="1"/>
  <c r="W1724" i="25"/>
  <c r="AJ1724" i="25" s="1"/>
  <c r="U137" i="11"/>
  <c r="AF1721" i="25" s="1"/>
  <c r="W1721" i="25"/>
  <c r="AJ1721" i="25" s="1"/>
  <c r="W1192" i="25"/>
  <c r="AJ1192" i="25" s="1"/>
  <c r="U19" i="24"/>
  <c r="AF1274" i="25" s="1"/>
  <c r="W1274" i="25"/>
  <c r="AJ1274" i="25" s="1"/>
  <c r="T132" i="11"/>
  <c r="U135" i="11"/>
  <c r="AF1719" i="25" s="1"/>
  <c r="W1719" i="25"/>
  <c r="AJ1719" i="25" s="1"/>
  <c r="U17" i="24"/>
  <c r="AF1272" i="25" s="1"/>
  <c r="W1272" i="25"/>
  <c r="AJ1272" i="25" s="1"/>
  <c r="T18" i="24"/>
  <c r="AE1273" i="25" s="1"/>
  <c r="W1273" i="25"/>
  <c r="AJ1273" i="25" s="1"/>
  <c r="U15" i="24"/>
  <c r="AF1270" i="25" s="1"/>
  <c r="W1270" i="25"/>
  <c r="AJ1270" i="25" s="1"/>
  <c r="U132" i="11"/>
  <c r="AF1716" i="25" s="1"/>
  <c r="U131" i="11"/>
  <c r="AF1715" i="25" s="1"/>
  <c r="W1715" i="25"/>
  <c r="AJ1715" i="25" s="1"/>
  <c r="T12" i="24"/>
  <c r="AE1267" i="25" s="1"/>
  <c r="W1267" i="25"/>
  <c r="AJ1267" i="25" s="1"/>
  <c r="T13" i="24"/>
  <c r="AE1268" i="25" s="1"/>
  <c r="W1268" i="25"/>
  <c r="AJ1268" i="25" s="1"/>
  <c r="U139" i="11"/>
  <c r="AF1723" i="25" s="1"/>
  <c r="W1723" i="25"/>
  <c r="AJ1723" i="25" s="1"/>
  <c r="AE1194" i="25"/>
  <c r="W1194" i="25"/>
  <c r="AJ1194" i="25" s="1"/>
  <c r="T9" i="24"/>
  <c r="AE1264" i="25" s="1"/>
  <c r="W1264" i="25"/>
  <c r="AJ1264" i="25" s="1"/>
  <c r="U16" i="24"/>
  <c r="AF1271" i="25" s="1"/>
  <c r="W1271" i="25"/>
  <c r="AJ1271" i="25" s="1"/>
  <c r="T11" i="24"/>
  <c r="AE1266" i="25" s="1"/>
  <c r="W1266" i="25"/>
  <c r="AJ1266" i="25" s="1"/>
  <c r="T10" i="24"/>
  <c r="AE1265" i="25" s="1"/>
  <c r="W1265" i="25"/>
  <c r="AJ1265" i="25" s="1"/>
  <c r="U20" i="24"/>
  <c r="AF1275" i="25" s="1"/>
  <c r="W1275" i="25"/>
  <c r="AJ1275" i="25" s="1"/>
  <c r="T137" i="11"/>
  <c r="AE1721" i="25" s="1"/>
  <c r="U145" i="11"/>
  <c r="AF1729" i="25" s="1"/>
  <c r="W1729" i="25"/>
  <c r="AJ1729" i="25" s="1"/>
  <c r="W1196" i="25"/>
  <c r="AJ1196" i="25" s="1"/>
  <c r="U141" i="11"/>
  <c r="AF1725" i="25" s="1"/>
  <c r="W1725" i="25"/>
  <c r="AJ1725" i="25" s="1"/>
  <c r="U133" i="11"/>
  <c r="AF1717" i="25" s="1"/>
  <c r="W1717" i="25"/>
  <c r="AJ1717" i="25" s="1"/>
  <c r="U14" i="24"/>
  <c r="AF1269" i="25" s="1"/>
  <c r="W1200" i="25"/>
  <c r="AJ1200" i="25" s="1"/>
  <c r="W1199" i="25"/>
  <c r="AJ1199" i="25" s="1"/>
  <c r="U22" i="24"/>
  <c r="AF1277" i="25" s="1"/>
  <c r="W1277" i="25"/>
  <c r="AJ1277" i="25" s="1"/>
  <c r="W1195" i="25"/>
  <c r="AJ1195" i="25" s="1"/>
  <c r="T8" i="24"/>
  <c r="AE1263" i="25" s="1"/>
  <c r="W1263" i="25"/>
  <c r="AJ1263" i="25" s="1"/>
  <c r="U143" i="11"/>
  <c r="AF1727" i="25" s="1"/>
  <c r="W1727" i="25"/>
  <c r="AJ1727" i="25" s="1"/>
  <c r="U136" i="11"/>
  <c r="AF1720" i="25" s="1"/>
  <c r="W1720" i="25"/>
  <c r="AJ1720" i="25" s="1"/>
  <c r="W21" i="23"/>
  <c r="AF1174" i="25" s="1"/>
  <c r="W1174" i="25"/>
  <c r="AJ1174" i="25" s="1"/>
  <c r="V26" i="23"/>
  <c r="AE1179" i="25" s="1"/>
  <c r="W26" i="23"/>
  <c r="AF1179" i="25" s="1"/>
  <c r="W19" i="23"/>
  <c r="AF1172" i="25" s="1"/>
  <c r="W1172" i="25"/>
  <c r="AJ1172" i="25" s="1"/>
  <c r="W22" i="23"/>
  <c r="AF1175" i="25" s="1"/>
  <c r="W1175" i="25"/>
  <c r="AJ1175" i="25" s="1"/>
  <c r="W1176" i="25"/>
  <c r="AJ1176" i="25" s="1"/>
  <c r="V23" i="23"/>
  <c r="AE1176" i="25" s="1"/>
  <c r="W23" i="23"/>
  <c r="AF1176" i="25" s="1"/>
  <c r="V22" i="23"/>
  <c r="AE1175" i="25" s="1"/>
  <c r="T16" i="24"/>
  <c r="AE1271" i="25" s="1"/>
  <c r="U9" i="24"/>
  <c r="AF1264" i="25" s="1"/>
  <c r="U13" i="24"/>
  <c r="AF1268" i="25" s="1"/>
  <c r="T19" i="24"/>
  <c r="AE1274" i="25" s="1"/>
  <c r="T135" i="11"/>
  <c r="AE1719" i="25" s="1"/>
  <c r="T133" i="11"/>
  <c r="AE1717" i="25" s="1"/>
  <c r="T145" i="11"/>
  <c r="AE1729" i="25" s="1"/>
  <c r="T131" i="11"/>
  <c r="AE1715" i="25" s="1"/>
  <c r="T141" i="11"/>
  <c r="T142" i="11"/>
  <c r="AE1726" i="25" s="1"/>
  <c r="T143" i="11"/>
  <c r="AE1727" i="25" s="1"/>
  <c r="T139" i="11"/>
  <c r="T140" i="11"/>
  <c r="AE1724" i="25" s="1"/>
  <c r="T15" i="24"/>
  <c r="AE1270" i="25" s="1"/>
  <c r="U144" i="11"/>
  <c r="AF1728" i="25" s="1"/>
  <c r="T144" i="11"/>
  <c r="AE1728" i="25" s="1"/>
  <c r="U138" i="11"/>
  <c r="AF1722" i="25" s="1"/>
  <c r="T138" i="11"/>
  <c r="U134" i="11"/>
  <c r="AF1718" i="25" s="1"/>
  <c r="T134" i="11"/>
  <c r="AE1718" i="25" s="1"/>
  <c r="T17" i="24"/>
  <c r="AE1272" i="25" s="1"/>
  <c r="T22" i="24"/>
  <c r="U10" i="24"/>
  <c r="AF1265" i="25" s="1"/>
  <c r="U18" i="24"/>
  <c r="AF1273" i="25" s="1"/>
  <c r="T20" i="24"/>
  <c r="U23" i="24"/>
  <c r="AF1278" i="25" s="1"/>
  <c r="T23" i="24"/>
  <c r="AE1197" i="25"/>
  <c r="W24" i="23"/>
  <c r="AF1177" i="25" s="1"/>
  <c r="V24" i="23"/>
  <c r="AE1177" i="25" s="1"/>
  <c r="V27" i="23"/>
  <c r="AE1180" i="25" s="1"/>
  <c r="W27" i="23"/>
  <c r="AF1180" i="25" s="1"/>
  <c r="W20" i="23"/>
  <c r="AF1173" i="25" s="1"/>
  <c r="V20" i="23"/>
  <c r="AE1173" i="25" s="1"/>
  <c r="W25" i="23"/>
  <c r="AF1178" i="25" s="1"/>
  <c r="V25" i="23"/>
  <c r="AE1178" i="25" s="1"/>
  <c r="AE1193" i="25"/>
  <c r="W18" i="23"/>
  <c r="AF1171" i="25" s="1"/>
  <c r="V18" i="23"/>
  <c r="V1608" i="25"/>
  <c r="AI1608" i="25" s="1"/>
  <c r="V1609" i="25"/>
  <c r="AI1609" i="25" s="1"/>
  <c r="V1610" i="25"/>
  <c r="AI1610" i="25" s="1"/>
  <c r="V1611" i="25"/>
  <c r="AI1611" i="25" s="1"/>
  <c r="V1612" i="25"/>
  <c r="AI1612" i="25" s="1"/>
  <c r="V1613" i="25"/>
  <c r="AI1613" i="25" s="1"/>
  <c r="V1614" i="25"/>
  <c r="AI1614" i="25" s="1"/>
  <c r="V1615" i="25"/>
  <c r="AI1615" i="25" s="1"/>
  <c r="V1616" i="25"/>
  <c r="AI1616" i="25" s="1"/>
  <c r="V1617" i="25"/>
  <c r="AI1617" i="25" s="1"/>
  <c r="V1618" i="25"/>
  <c r="AI1618" i="25" s="1"/>
  <c r="V1619" i="25"/>
  <c r="AI1619" i="25" s="1"/>
  <c r="V1620" i="25"/>
  <c r="AI1620" i="25" s="1"/>
  <c r="V1621" i="25"/>
  <c r="AI1621" i="25" s="1"/>
  <c r="V1622" i="25"/>
  <c r="AI1622" i="25" s="1"/>
  <c r="V1623" i="25"/>
  <c r="AI1623" i="25" s="1"/>
  <c r="V1624" i="25"/>
  <c r="AI1624" i="25" s="1"/>
  <c r="V1625" i="25"/>
  <c r="AI1625" i="25" s="1"/>
  <c r="V1626" i="25"/>
  <c r="AI1626" i="25" s="1"/>
  <c r="V1690" i="25"/>
  <c r="AI1690" i="25" s="1"/>
  <c r="K16" i="11" a="1"/>
  <c r="K16" i="11" s="1"/>
  <c r="V1607" i="25" s="1"/>
  <c r="AI1607" i="25" s="1"/>
  <c r="W508" i="4" a="1"/>
  <c r="W508" i="4" s="1"/>
  <c r="AG1141" i="25" s="1"/>
  <c r="W509" i="4" a="1"/>
  <c r="W509" i="4" s="1"/>
  <c r="AG1142" i="25" s="1"/>
  <c r="W510" i="4" a="1"/>
  <c r="W510" i="4" s="1"/>
  <c r="AG1143" i="25" s="1"/>
  <c r="I13" i="12" a="1"/>
  <c r="I13" i="12" s="1"/>
  <c r="C20" i="18" l="1"/>
  <c r="N31" i="23"/>
  <c r="W1181" i="25" s="1"/>
  <c r="AJ1181" i="25" s="1"/>
  <c r="Z1262" i="25"/>
  <c r="C26" i="18"/>
  <c r="E26" i="18"/>
  <c r="I26" i="18"/>
  <c r="D26" i="18"/>
  <c r="F72" i="18"/>
  <c r="F73" i="18" s="1"/>
  <c r="U130" i="11"/>
  <c r="H72" i="18" s="1"/>
  <c r="T130" i="11"/>
  <c r="Z46" i="23" a="1"/>
  <c r="Z46" i="23" s="1"/>
  <c r="Z42" i="23" a="1"/>
  <c r="Z42" i="23" s="1"/>
  <c r="AE1196" i="25"/>
  <c r="X137" i="11" a="1"/>
  <c r="X137" i="11" s="1"/>
  <c r="AE1725" i="25"/>
  <c r="X141" i="11" a="1"/>
  <c r="X141" i="11" s="1"/>
  <c r="X140" i="11" a="1"/>
  <c r="X140" i="11" s="1"/>
  <c r="T1521" i="25"/>
  <c r="X145" i="11" a="1"/>
  <c r="X145" i="11" s="1"/>
  <c r="X134" i="11" a="1"/>
  <c r="X134" i="11" s="1"/>
  <c r="X131" i="11" a="1"/>
  <c r="X131" i="11" s="1"/>
  <c r="AE1716" i="25"/>
  <c r="X132" i="11" a="1"/>
  <c r="X132" i="11" s="1"/>
  <c r="AE1723" i="25"/>
  <c r="X139" i="11" a="1"/>
  <c r="X139" i="11" s="1"/>
  <c r="X144" i="11" a="1"/>
  <c r="X144" i="11" s="1"/>
  <c r="X135" i="11" a="1"/>
  <c r="X135" i="11" s="1"/>
  <c r="AE1192" i="25"/>
  <c r="Z43" i="23" a="1"/>
  <c r="Z43" i="23" s="1"/>
  <c r="X136" i="11" a="1"/>
  <c r="X136" i="11" s="1"/>
  <c r="X142" i="11" a="1"/>
  <c r="X142" i="11" s="1"/>
  <c r="AE1722" i="25"/>
  <c r="X138" i="11" a="1"/>
  <c r="X138" i="11" s="1"/>
  <c r="X18" i="24" a="1"/>
  <c r="X18" i="24" s="1"/>
  <c r="X133" i="11" a="1"/>
  <c r="X133" i="11" s="1"/>
  <c r="X143" i="11" a="1"/>
  <c r="X143" i="11" s="1"/>
  <c r="Z26" i="23" a="1"/>
  <c r="Z26" i="23" s="1"/>
  <c r="Z21" i="23" a="1"/>
  <c r="Z21" i="23" s="1"/>
  <c r="X13" i="24" a="1"/>
  <c r="X13" i="24" s="1"/>
  <c r="X15" i="24" a="1"/>
  <c r="X15" i="24" s="1"/>
  <c r="AE1275" i="25"/>
  <c r="X20" i="24" a="1"/>
  <c r="X20" i="24" s="1"/>
  <c r="AE1277" i="25"/>
  <c r="X22" i="24" a="1"/>
  <c r="X22" i="24" s="1"/>
  <c r="X8" i="24" a="1"/>
  <c r="X8" i="24" s="1"/>
  <c r="X17" i="24" a="1"/>
  <c r="X17" i="24" s="1"/>
  <c r="X12" i="24" a="1"/>
  <c r="X12" i="24" s="1"/>
  <c r="X9" i="24" a="1"/>
  <c r="X9" i="24" s="1"/>
  <c r="X11" i="24" a="1"/>
  <c r="X11" i="24" s="1"/>
  <c r="X19" i="24" a="1"/>
  <c r="X19" i="24" s="1"/>
  <c r="AE1278" i="25"/>
  <c r="X23" i="24" a="1"/>
  <c r="X23" i="24" s="1"/>
  <c r="X16" i="24" a="1"/>
  <c r="X16" i="24" s="1"/>
  <c r="X14" i="24" a="1"/>
  <c r="X14" i="24" s="1"/>
  <c r="X10" i="24" a="1"/>
  <c r="X10" i="24" s="1"/>
  <c r="X21" i="24" a="1"/>
  <c r="X21" i="24" s="1"/>
  <c r="Z19" i="23" a="1"/>
  <c r="Z19" i="23" s="1"/>
  <c r="Z22" i="23" a="1"/>
  <c r="Z22" i="23" s="1"/>
  <c r="Z50" i="23" a="1"/>
  <c r="Z50" i="23" s="1"/>
  <c r="AE1171" i="25"/>
  <c r="Z18" i="23" a="1"/>
  <c r="Z18" i="23" s="1"/>
  <c r="AF1197" i="25"/>
  <c r="Z44" i="23" a="1"/>
  <c r="Z44" i="23" s="1"/>
  <c r="Z27" i="23" a="1"/>
  <c r="Z27" i="23" s="1"/>
  <c r="AF1191" i="25"/>
  <c r="Z41" i="23" a="1"/>
  <c r="Z41" i="23" s="1"/>
  <c r="Z25" i="23" a="1"/>
  <c r="Z25" i="23" s="1"/>
  <c r="Z24" i="23" a="1"/>
  <c r="Z24" i="23" s="1"/>
  <c r="Z23" i="23" a="1"/>
  <c r="Z23" i="23" s="1"/>
  <c r="Z49" i="23" a="1"/>
  <c r="Z49" i="23" s="1"/>
  <c r="AF1198" i="25"/>
  <c r="Z48" i="23" a="1"/>
  <c r="Z48" i="23" s="1"/>
  <c r="Z20" i="23" a="1"/>
  <c r="Z20" i="23" s="1"/>
  <c r="Z45" i="23" a="1"/>
  <c r="Z45" i="23" s="1"/>
  <c r="W1262" i="25"/>
  <c r="AJ1262" i="25" s="1"/>
  <c r="F20" i="18"/>
  <c r="U7" i="24"/>
  <c r="T7" i="24"/>
  <c r="V148" i="17"/>
  <c r="V151" i="17"/>
  <c r="W9" i="5"/>
  <c r="W10" i="5"/>
  <c r="W11" i="5"/>
  <c r="W12" i="5"/>
  <c r="W13" i="5"/>
  <c r="W14" i="5"/>
  <c r="W15" i="5"/>
  <c r="W16" i="5"/>
  <c r="W17" i="5"/>
  <c r="W18" i="5"/>
  <c r="W19" i="5"/>
  <c r="W20" i="5"/>
  <c r="W21" i="5"/>
  <c r="W22" i="5"/>
  <c r="W23" i="5"/>
  <c r="W24" i="5"/>
  <c r="W25" i="5"/>
  <c r="W26" i="5"/>
  <c r="W27" i="5"/>
  <c r="W28" i="5"/>
  <c r="W29" i="5"/>
  <c r="W30" i="5"/>
  <c r="W31" i="5"/>
  <c r="W32" i="5"/>
  <c r="W33" i="5"/>
  <c r="W34" i="5"/>
  <c r="W35" i="5"/>
  <c r="W36" i="5"/>
  <c r="W37" i="5"/>
  <c r="W38" i="5"/>
  <c r="W39" i="5"/>
  <c r="W40" i="5"/>
  <c r="W41" i="5"/>
  <c r="W42" i="5"/>
  <c r="W43" i="5"/>
  <c r="W44" i="5"/>
  <c r="W45" i="5"/>
  <c r="W46" i="5"/>
  <c r="W47" i="5"/>
  <c r="W48" i="5"/>
  <c r="W49" i="5"/>
  <c r="W50" i="5"/>
  <c r="W51" i="5"/>
  <c r="W52" i="5"/>
  <c r="W53" i="5"/>
  <c r="W54" i="5"/>
  <c r="W55" i="5"/>
  <c r="W56" i="5"/>
  <c r="W57" i="5"/>
  <c r="W58" i="5"/>
  <c r="W59" i="5"/>
  <c r="W60" i="5"/>
  <c r="W61" i="5"/>
  <c r="W62" i="5"/>
  <c r="W63" i="5"/>
  <c r="W64" i="5"/>
  <c r="W65" i="5"/>
  <c r="W66" i="5"/>
  <c r="W67" i="5"/>
  <c r="W68" i="5"/>
  <c r="W69" i="5"/>
  <c r="W70" i="5"/>
  <c r="W71" i="5"/>
  <c r="W72" i="5"/>
  <c r="W73" i="5"/>
  <c r="W74" i="5"/>
  <c r="W75" i="5"/>
  <c r="W76" i="5"/>
  <c r="W77" i="5"/>
  <c r="W78" i="5"/>
  <c r="W79" i="5"/>
  <c r="W80" i="5"/>
  <c r="W81" i="5"/>
  <c r="W82" i="5"/>
  <c r="W83" i="5"/>
  <c r="W84" i="5"/>
  <c r="W85" i="5"/>
  <c r="W86" i="5"/>
  <c r="W87" i="5"/>
  <c r="W88" i="5"/>
  <c r="W89" i="5"/>
  <c r="W90" i="5"/>
  <c r="W91" i="5"/>
  <c r="W92" i="5"/>
  <c r="W93" i="5"/>
  <c r="W94" i="5"/>
  <c r="W95" i="5"/>
  <c r="W96" i="5"/>
  <c r="W97" i="5"/>
  <c r="W98" i="5"/>
  <c r="W99" i="5"/>
  <c r="W100" i="5"/>
  <c r="W101" i="5"/>
  <c r="W102" i="5"/>
  <c r="W103" i="5"/>
  <c r="W104" i="5"/>
  <c r="W105" i="5"/>
  <c r="W106" i="5"/>
  <c r="W107" i="5"/>
  <c r="W108" i="5"/>
  <c r="W109" i="5"/>
  <c r="W110" i="5"/>
  <c r="W111" i="5"/>
  <c r="W112" i="5"/>
  <c r="W113" i="5"/>
  <c r="W114" i="5"/>
  <c r="W115" i="5"/>
  <c r="W116" i="5"/>
  <c r="W117" i="5"/>
  <c r="W8" i="5"/>
  <c r="V31" i="23" l="1"/>
  <c r="AE1181" i="25" s="1"/>
  <c r="W31" i="23"/>
  <c r="AF1181" i="25" s="1"/>
  <c r="AE1714" i="25"/>
  <c r="G72" i="18"/>
  <c r="AF1714" i="25"/>
  <c r="X130" i="11" a="1"/>
  <c r="X130" i="11" s="1"/>
  <c r="X129" i="11" s="1"/>
  <c r="G128" i="11" s="1"/>
  <c r="D23" i="26" s="1"/>
  <c r="E23" i="26" s="1"/>
  <c r="X7" i="24" a="1"/>
  <c r="X7" i="24" s="1"/>
  <c r="X6" i="24" s="1"/>
  <c r="H5" i="24" s="1"/>
  <c r="D15" i="26" s="1"/>
  <c r="E15" i="26" s="1"/>
  <c r="AE1262" i="25"/>
  <c r="G20" i="18"/>
  <c r="AF1262" i="25"/>
  <c r="H20" i="18"/>
  <c r="AB1388" i="25"/>
  <c r="K9" i="19" a="1"/>
  <c r="K9" i="19" s="1"/>
  <c r="V1202" i="25" s="1"/>
  <c r="AI1202" i="25" s="1"/>
  <c r="Z31" i="23" l="1" a="1"/>
  <c r="Z31" i="23" s="1"/>
  <c r="Z30" i="23" s="1"/>
  <c r="I29" i="23" s="1"/>
  <c r="D10" i="26" s="1"/>
  <c r="E10" i="26" s="1"/>
  <c r="W1610" i="25"/>
  <c r="AJ1610" i="25" s="1"/>
  <c r="W1611" i="25"/>
  <c r="AJ1611" i="25" s="1"/>
  <c r="W1612" i="25"/>
  <c r="AJ1612" i="25" s="1"/>
  <c r="W1613" i="25"/>
  <c r="AJ1613" i="25" s="1"/>
  <c r="W1614" i="25"/>
  <c r="AJ1614" i="25" s="1"/>
  <c r="W1615" i="25"/>
  <c r="AJ1615" i="25" s="1"/>
  <c r="W1616" i="25"/>
  <c r="AJ1616" i="25" s="1"/>
  <c r="W1617" i="25"/>
  <c r="AJ1617" i="25" s="1"/>
  <c r="W1618" i="25"/>
  <c r="AJ1618" i="25" s="1"/>
  <c r="W1619" i="25"/>
  <c r="AJ1619" i="25" s="1"/>
  <c r="W1620" i="25"/>
  <c r="AJ1620" i="25" s="1"/>
  <c r="W1621" i="25"/>
  <c r="AJ1621" i="25" s="1"/>
  <c r="W1622" i="25"/>
  <c r="AJ1622" i="25" s="1"/>
  <c r="W1623" i="25"/>
  <c r="AJ1623" i="25" s="1"/>
  <c r="W1624" i="25"/>
  <c r="AJ1624" i="25" s="1"/>
  <c r="W1625" i="25"/>
  <c r="AJ1625" i="25" s="1"/>
  <c r="W1626" i="25"/>
  <c r="AJ1626" i="25" s="1"/>
  <c r="W1690" i="25"/>
  <c r="AJ1690" i="25" s="1"/>
  <c r="L16" i="11"/>
  <c r="W1607" i="25" s="1"/>
  <c r="AJ1607" i="25" s="1"/>
  <c r="W1608" i="25"/>
  <c r="AJ1608" i="25" s="1"/>
  <c r="W1609" i="25"/>
  <c r="AJ1609" i="25" s="1"/>
  <c r="X499" i="4" a="1"/>
  <c r="X499" i="4" s="1"/>
  <c r="AG947" i="25" s="1"/>
  <c r="X498" i="4" a="1"/>
  <c r="X498" i="4" s="1"/>
  <c r="AG946" i="25" s="1"/>
  <c r="X497" i="4" a="1"/>
  <c r="X497" i="4" s="1"/>
  <c r="AG945" i="25" s="1"/>
  <c r="X496" i="4" a="1"/>
  <c r="X496" i="4" s="1"/>
  <c r="AG944" i="25" s="1"/>
  <c r="X495" i="4" a="1"/>
  <c r="X495" i="4" s="1"/>
  <c r="AG943" i="25" s="1"/>
  <c r="X494" i="4" a="1"/>
  <c r="X494" i="4" s="1"/>
  <c r="AG942" i="25" s="1"/>
  <c r="X493" i="4" a="1"/>
  <c r="X493" i="4" s="1"/>
  <c r="AG941" i="25" s="1"/>
  <c r="X492" i="4" a="1"/>
  <c r="X492" i="4" s="1"/>
  <c r="AG940" i="25" s="1"/>
  <c r="X491" i="4" a="1"/>
  <c r="X491" i="4" s="1"/>
  <c r="AG939" i="25" s="1"/>
  <c r="X490" i="4" a="1"/>
  <c r="X490" i="4" s="1"/>
  <c r="AG938" i="25" s="1"/>
  <c r="X488" i="4" a="1"/>
  <c r="X488" i="4" s="1"/>
  <c r="AG936" i="25" s="1"/>
  <c r="X487" i="4" a="1"/>
  <c r="X487" i="4" s="1"/>
  <c r="AG935" i="25" s="1"/>
  <c r="X486" i="4" a="1"/>
  <c r="X486" i="4" s="1"/>
  <c r="AG934" i="25" s="1"/>
  <c r="X485" i="4" a="1"/>
  <c r="X485" i="4" s="1"/>
  <c r="AG933" i="25" s="1"/>
  <c r="X484" i="4" a="1"/>
  <c r="X484" i="4" s="1"/>
  <c r="AG932" i="25" s="1"/>
  <c r="X483" i="4" a="1"/>
  <c r="X483" i="4" s="1"/>
  <c r="AG931" i="25" s="1"/>
  <c r="X482" i="4" a="1"/>
  <c r="X482" i="4" s="1"/>
  <c r="AG930" i="25" s="1"/>
  <c r="X481" i="4" a="1"/>
  <c r="X481" i="4" s="1"/>
  <c r="AG929" i="25" s="1"/>
  <c r="X480" i="4" a="1"/>
  <c r="X480" i="4" s="1"/>
  <c r="AG928" i="25" s="1"/>
  <c r="X479" i="4" a="1"/>
  <c r="X479" i="4" s="1"/>
  <c r="AG927" i="25" s="1"/>
  <c r="X478" i="4" a="1"/>
  <c r="X478" i="4" s="1"/>
  <c r="AG926" i="25" s="1"/>
  <c r="X477" i="4" a="1"/>
  <c r="X477" i="4" s="1"/>
  <c r="AG925" i="25" s="1"/>
  <c r="X476" i="4" a="1"/>
  <c r="X476" i="4" s="1"/>
  <c r="AG924" i="25" s="1"/>
  <c r="X475" i="4" a="1"/>
  <c r="X475" i="4" s="1"/>
  <c r="AG923" i="25" s="1"/>
  <c r="X348" i="4" a="1"/>
  <c r="X348" i="4" s="1"/>
  <c r="AG846" i="25" s="1"/>
  <c r="AI1145" i="25"/>
  <c r="AI1146" i="25"/>
  <c r="AI1147" i="25"/>
  <c r="AI1148" i="25"/>
  <c r="AI1149" i="25"/>
  <c r="AI1150" i="25"/>
  <c r="AI1151" i="25"/>
  <c r="AI1152" i="25"/>
  <c r="AI1153" i="25"/>
  <c r="AI1154" i="25"/>
  <c r="AI1155" i="25"/>
  <c r="AI1156" i="25"/>
  <c r="AI1157" i="25"/>
  <c r="AI1158" i="25"/>
  <c r="AI1159" i="25"/>
  <c r="AI1160" i="25"/>
  <c r="F53" i="12"/>
  <c r="Q1557" i="25" s="1"/>
  <c r="G58" i="18"/>
  <c r="H58" i="18"/>
  <c r="G59" i="18"/>
  <c r="H59" i="18"/>
  <c r="C155" i="5"/>
  <c r="M1420" i="25" s="1"/>
  <c r="B155" i="5"/>
  <c r="C154" i="5"/>
  <c r="M1419" i="25" s="1"/>
  <c r="B154" i="5"/>
  <c r="C153" i="5"/>
  <c r="M1418" i="25" s="1"/>
  <c r="B153" i="5"/>
  <c r="C152" i="5"/>
  <c r="M1417" i="25" s="1"/>
  <c r="B152" i="5"/>
  <c r="C151" i="5"/>
  <c r="M1416" i="25" s="1"/>
  <c r="B151" i="5"/>
  <c r="C150" i="5"/>
  <c r="M1415" i="25" s="1"/>
  <c r="B150" i="5"/>
  <c r="C149" i="5"/>
  <c r="M1414" i="25" s="1"/>
  <c r="B149" i="5"/>
  <c r="C148" i="5"/>
  <c r="M1413" i="25" s="1"/>
  <c r="B148" i="5"/>
  <c r="C147" i="5"/>
  <c r="M1412" i="25" s="1"/>
  <c r="B147" i="5"/>
  <c r="C146" i="5"/>
  <c r="M1411" i="25" s="1"/>
  <c r="B146" i="5"/>
  <c r="C145" i="5"/>
  <c r="M1410" i="25" s="1"/>
  <c r="B145" i="5"/>
  <c r="C144" i="5"/>
  <c r="M1409" i="25" s="1"/>
  <c r="B144" i="5"/>
  <c r="C143" i="5"/>
  <c r="M1408" i="25" s="1"/>
  <c r="B143" i="5"/>
  <c r="C142" i="5"/>
  <c r="M1407" i="25" s="1"/>
  <c r="B142" i="5"/>
  <c r="C141" i="5"/>
  <c r="M1406" i="25" s="1"/>
  <c r="B141" i="5"/>
  <c r="C140" i="5"/>
  <c r="M1405" i="25" s="1"/>
  <c r="B140" i="5"/>
  <c r="C139" i="5"/>
  <c r="M1404" i="25" s="1"/>
  <c r="B139" i="5"/>
  <c r="C138" i="5"/>
  <c r="M1403" i="25" s="1"/>
  <c r="B138" i="5"/>
  <c r="C137" i="5"/>
  <c r="M1402" i="25" s="1"/>
  <c r="B137" i="5"/>
  <c r="C136" i="5"/>
  <c r="M1401" i="25" s="1"/>
  <c r="B136" i="5"/>
  <c r="C135" i="5"/>
  <c r="M1400" i="25" s="1"/>
  <c r="B135" i="5"/>
  <c r="C134" i="5"/>
  <c r="M1399" i="25" s="1"/>
  <c r="B134" i="5"/>
  <c r="C133" i="5"/>
  <c r="M1398" i="25" s="1"/>
  <c r="B133" i="5"/>
  <c r="C132" i="5"/>
  <c r="M1397" i="25" s="1"/>
  <c r="B132" i="5"/>
  <c r="C131" i="5"/>
  <c r="M1396" i="25" s="1"/>
  <c r="B131" i="5"/>
  <c r="C130" i="5"/>
  <c r="M1395" i="25" s="1"/>
  <c r="B130" i="5"/>
  <c r="C129" i="5"/>
  <c r="M1394" i="25" s="1"/>
  <c r="B129" i="5"/>
  <c r="C128" i="5"/>
  <c r="M1393" i="25" s="1"/>
  <c r="B128" i="5"/>
  <c r="C127" i="5"/>
  <c r="M1392" i="25" s="1"/>
  <c r="B127" i="5"/>
  <c r="C126" i="5"/>
  <c r="M1391" i="25" s="1"/>
  <c r="B126" i="5"/>
  <c r="C125" i="5"/>
  <c r="M1390" i="25" s="1"/>
  <c r="B125" i="5"/>
  <c r="C124" i="5"/>
  <c r="M1389" i="25" s="1"/>
  <c r="AB1279" i="25"/>
  <c r="L98" i="5"/>
  <c r="AB1369" i="25"/>
  <c r="L99" i="5"/>
  <c r="AB1370" i="25"/>
  <c r="L100" i="5"/>
  <c r="AB1371" i="25"/>
  <c r="L101" i="5"/>
  <c r="AB1372" i="25"/>
  <c r="L102" i="5"/>
  <c r="AB1373" i="25"/>
  <c r="W1371" i="25" l="1"/>
  <c r="AJ1371" i="25" s="1"/>
  <c r="Z100" i="5" a="1"/>
  <c r="Z100" i="5" s="1"/>
  <c r="W1372" i="25"/>
  <c r="AJ1372" i="25" s="1"/>
  <c r="Z101" i="5" a="1"/>
  <c r="Z101" i="5" s="1"/>
  <c r="W1370" i="25"/>
  <c r="AJ1370" i="25" s="1"/>
  <c r="Z99" i="5" a="1"/>
  <c r="Z99" i="5" s="1"/>
  <c r="W1373" i="25"/>
  <c r="AJ1373" i="25" s="1"/>
  <c r="Z102" i="5" a="1"/>
  <c r="Z102" i="5" s="1"/>
  <c r="W1369" i="25"/>
  <c r="AJ1369" i="25" s="1"/>
  <c r="Z98" i="5" a="1"/>
  <c r="Z98" i="5" s="1"/>
  <c r="J1399" i="25"/>
  <c r="Z134" i="5" a="1"/>
  <c r="Z134" i="5" s="1"/>
  <c r="J1390" i="25"/>
  <c r="Z125" i="5" a="1"/>
  <c r="Z125" i="5" s="1"/>
  <c r="J1394" i="25"/>
  <c r="Z129" i="5" a="1"/>
  <c r="Z129" i="5" s="1"/>
  <c r="J1398" i="25"/>
  <c r="Z133" i="5" a="1"/>
  <c r="Z133" i="5" s="1"/>
  <c r="J1402" i="25"/>
  <c r="Z137" i="5" a="1"/>
  <c r="Z137" i="5" s="1"/>
  <c r="J1406" i="25"/>
  <c r="Z141" i="5" a="1"/>
  <c r="Z141" i="5" s="1"/>
  <c r="J1410" i="25"/>
  <c r="Z145" i="5" a="1"/>
  <c r="Z145" i="5" s="1"/>
  <c r="J1414" i="25"/>
  <c r="Z149" i="5" a="1"/>
  <c r="Z149" i="5" s="1"/>
  <c r="J1418" i="25"/>
  <c r="Z153" i="5" a="1"/>
  <c r="Z153" i="5" s="1"/>
  <c r="J1395" i="25"/>
  <c r="Z130" i="5" a="1"/>
  <c r="Z130" i="5" s="1"/>
  <c r="J1407" i="25"/>
  <c r="Z142" i="5" a="1"/>
  <c r="Z142" i="5" s="1"/>
  <c r="J1415" i="25"/>
  <c r="Z150" i="5" a="1"/>
  <c r="Z150" i="5" s="1"/>
  <c r="J1419" i="25"/>
  <c r="Z154" i="5" a="1"/>
  <c r="Z154" i="5" s="1"/>
  <c r="J1391" i="25"/>
  <c r="Z126" i="5" a="1"/>
  <c r="Z126" i="5" s="1"/>
  <c r="J1411" i="25"/>
  <c r="Z146" i="5" a="1"/>
  <c r="Z146" i="5" s="1"/>
  <c r="J1392" i="25"/>
  <c r="Z127" i="5" a="1"/>
  <c r="Z127" i="5" s="1"/>
  <c r="J1396" i="25"/>
  <c r="Z131" i="5" a="1"/>
  <c r="Z131" i="5" s="1"/>
  <c r="J1400" i="25"/>
  <c r="Z135" i="5" a="1"/>
  <c r="Z135" i="5" s="1"/>
  <c r="J1404" i="25"/>
  <c r="Z139" i="5" a="1"/>
  <c r="Z139" i="5" s="1"/>
  <c r="J1408" i="25"/>
  <c r="Z143" i="5" a="1"/>
  <c r="Z143" i="5" s="1"/>
  <c r="J1412" i="25"/>
  <c r="Z147" i="5" a="1"/>
  <c r="Z147" i="5" s="1"/>
  <c r="J1416" i="25"/>
  <c r="Z151" i="5" a="1"/>
  <c r="Z151" i="5" s="1"/>
  <c r="J1420" i="25"/>
  <c r="Z155" i="5" a="1"/>
  <c r="Z155" i="5" s="1"/>
  <c r="J1403" i="25"/>
  <c r="Z138" i="5" a="1"/>
  <c r="Z138" i="5" s="1"/>
  <c r="J1389" i="25"/>
  <c r="Z124" i="5" a="1"/>
  <c r="Z124" i="5" s="1"/>
  <c r="J1393" i="25"/>
  <c r="Z128" i="5" a="1"/>
  <c r="Z128" i="5" s="1"/>
  <c r="J1397" i="25"/>
  <c r="Z132" i="5" a="1"/>
  <c r="Z132" i="5" s="1"/>
  <c r="J1401" i="25"/>
  <c r="Z136" i="5" a="1"/>
  <c r="Z136" i="5" s="1"/>
  <c r="J1405" i="25"/>
  <c r="Z140" i="5" a="1"/>
  <c r="Z140" i="5" s="1"/>
  <c r="J1409" i="25"/>
  <c r="Z144" i="5" a="1"/>
  <c r="Z144" i="5" s="1"/>
  <c r="J1413" i="25"/>
  <c r="Z148" i="5" a="1"/>
  <c r="Z148" i="5" s="1"/>
  <c r="J1417" i="25"/>
  <c r="Z152" i="5" a="1"/>
  <c r="Z152" i="5" s="1"/>
  <c r="AE1624" i="25"/>
  <c r="AF1624" i="25"/>
  <c r="AG1624" i="25"/>
  <c r="AG1623" i="25"/>
  <c r="AE1623" i="25"/>
  <c r="AF1623" i="25"/>
  <c r="F24" i="11"/>
  <c r="V24" i="11"/>
  <c r="AG1615" i="25" s="1"/>
  <c r="T24" i="11"/>
  <c r="AE1615" i="25" s="1"/>
  <c r="U24" i="11"/>
  <c r="AF1615" i="25" s="1"/>
  <c r="F25" i="11"/>
  <c r="T25" i="11"/>
  <c r="AE1616" i="25" s="1"/>
  <c r="U25" i="11"/>
  <c r="AF1616" i="25" s="1"/>
  <c r="V25" i="11"/>
  <c r="AG1616" i="25" s="1"/>
  <c r="F18" i="11"/>
  <c r="T18" i="11"/>
  <c r="AE1609" i="25" s="1"/>
  <c r="V18" i="11"/>
  <c r="AG1609" i="25" s="1"/>
  <c r="U18" i="11"/>
  <c r="AF1609" i="25" s="1"/>
  <c r="AF1622" i="25"/>
  <c r="AG1622" i="25"/>
  <c r="AE1622" i="25"/>
  <c r="F23" i="11"/>
  <c r="U23" i="11"/>
  <c r="AF1614" i="25" s="1"/>
  <c r="T23" i="11"/>
  <c r="AE1614" i="25" s="1"/>
  <c r="V23" i="11"/>
  <c r="AG1614" i="25" s="1"/>
  <c r="AE1625" i="25"/>
  <c r="AG1625" i="25"/>
  <c r="AF1625" i="25"/>
  <c r="F17" i="11"/>
  <c r="T17" i="11"/>
  <c r="AE1608" i="25" s="1"/>
  <c r="U17" i="11"/>
  <c r="AF1608" i="25" s="1"/>
  <c r="V17" i="11"/>
  <c r="AG1608" i="25" s="1"/>
  <c r="F30" i="11"/>
  <c r="AE1621" i="25"/>
  <c r="AF1621" i="25"/>
  <c r="AG1621" i="25"/>
  <c r="F22" i="11"/>
  <c r="T22" i="11"/>
  <c r="AE1613" i="25" s="1"/>
  <c r="U22" i="11"/>
  <c r="AF1613" i="25" s="1"/>
  <c r="V22" i="11"/>
  <c r="AG1613" i="25" s="1"/>
  <c r="F16" i="11"/>
  <c r="U16" i="11" s="1"/>
  <c r="V16" i="11"/>
  <c r="F29" i="11"/>
  <c r="U29" i="11"/>
  <c r="AF1620" i="25" s="1"/>
  <c r="V29" i="11"/>
  <c r="AG1620" i="25" s="1"/>
  <c r="T29" i="11"/>
  <c r="AE1620" i="25" s="1"/>
  <c r="F21" i="11"/>
  <c r="T21" i="11"/>
  <c r="AE1612" i="25" s="1"/>
  <c r="U21" i="11"/>
  <c r="AF1612" i="25" s="1"/>
  <c r="V21" i="11"/>
  <c r="AG1612" i="25" s="1"/>
  <c r="F99" i="11"/>
  <c r="AE1690" i="25"/>
  <c r="AG1690" i="25"/>
  <c r="AF1690" i="25"/>
  <c r="F28" i="11"/>
  <c r="T28" i="11"/>
  <c r="AE1619" i="25" s="1"/>
  <c r="U28" i="11"/>
  <c r="AF1619" i="25" s="1"/>
  <c r="V28" i="11"/>
  <c r="AG1619" i="25" s="1"/>
  <c r="F20" i="11"/>
  <c r="V20" i="11"/>
  <c r="AG1611" i="25" s="1"/>
  <c r="T20" i="11"/>
  <c r="AE1611" i="25" s="1"/>
  <c r="U20" i="11"/>
  <c r="AF1611" i="25" s="1"/>
  <c r="F26" i="11"/>
  <c r="T26" i="11"/>
  <c r="AE1617" i="25" s="1"/>
  <c r="U26" i="11"/>
  <c r="AF1617" i="25" s="1"/>
  <c r="V26" i="11"/>
  <c r="AG1617" i="25" s="1"/>
  <c r="AF1626" i="25"/>
  <c r="AG1626" i="25"/>
  <c r="AE1626" i="25"/>
  <c r="F27" i="11"/>
  <c r="U27" i="11"/>
  <c r="AF1618" i="25" s="1"/>
  <c r="V27" i="11"/>
  <c r="AG1618" i="25" s="1"/>
  <c r="T27" i="11"/>
  <c r="AE1618" i="25" s="1"/>
  <c r="F19" i="11"/>
  <c r="U19" i="11"/>
  <c r="AF1610" i="25" s="1"/>
  <c r="V19" i="11"/>
  <c r="AG1610" i="25" s="1"/>
  <c r="T19" i="11"/>
  <c r="AE1610" i="25" s="1"/>
  <c r="AJ1155" i="25"/>
  <c r="AJ1147" i="25"/>
  <c r="G52" i="18"/>
  <c r="G54" i="18"/>
  <c r="G50" i="18"/>
  <c r="G47" i="18"/>
  <c r="H60" i="18"/>
  <c r="H47" i="18"/>
  <c r="G60" i="18"/>
  <c r="G53" i="18"/>
  <c r="G51" i="18"/>
  <c r="H62" i="18"/>
  <c r="E63" i="18"/>
  <c r="F63" i="18" s="1"/>
  <c r="G62" i="18"/>
  <c r="H54" i="18"/>
  <c r="H52" i="18"/>
  <c r="H49" i="18"/>
  <c r="H48" i="18"/>
  <c r="G49" i="18"/>
  <c r="G48" i="18"/>
  <c r="H55" i="18"/>
  <c r="H50" i="18"/>
  <c r="G55" i="18"/>
  <c r="H53" i="18"/>
  <c r="H51" i="18"/>
  <c r="AJ1153" i="25"/>
  <c r="AJ1157" i="25"/>
  <c r="AJ1149" i="25"/>
  <c r="AJ1152" i="25"/>
  <c r="AJ1160" i="25"/>
  <c r="AJ1159" i="25"/>
  <c r="AJ1151" i="25"/>
  <c r="AJ1158" i="25"/>
  <c r="AJ1150" i="25"/>
  <c r="AJ1154" i="25"/>
  <c r="AJ1146" i="25"/>
  <c r="AJ1156" i="25"/>
  <c r="AJ1148" i="25"/>
  <c r="H56" i="18"/>
  <c r="G56" i="18"/>
  <c r="V374" i="17"/>
  <c r="V375" i="17"/>
  <c r="V373" i="17"/>
  <c r="B3" i="18"/>
  <c r="X22" i="11" l="1" a="1"/>
  <c r="X22" i="11" s="1"/>
  <c r="Q1613" i="25"/>
  <c r="X17" i="11" a="1"/>
  <c r="X17" i="11" s="1"/>
  <c r="Q1608" i="25"/>
  <c r="X23" i="11" a="1"/>
  <c r="X23" i="11" s="1"/>
  <c r="Q1614" i="25"/>
  <c r="X18" i="11" a="1"/>
  <c r="X18" i="11" s="1"/>
  <c r="Q1609" i="25"/>
  <c r="X24" i="11" a="1"/>
  <c r="X24" i="11" s="1"/>
  <c r="Q1615" i="25"/>
  <c r="X33" i="11" a="1"/>
  <c r="X33" i="11" s="1"/>
  <c r="Q1624" i="25"/>
  <c r="X26" i="11" a="1"/>
  <c r="X26" i="11" s="1"/>
  <c r="Q1617" i="25"/>
  <c r="X19" i="11" a="1"/>
  <c r="X19" i="11" s="1"/>
  <c r="Q1610" i="25"/>
  <c r="X35" i="11" a="1"/>
  <c r="X35" i="11" s="1"/>
  <c r="Q1626" i="25"/>
  <c r="X20" i="11" a="1"/>
  <c r="X20" i="11" s="1"/>
  <c r="Q1611" i="25"/>
  <c r="X99" i="11" a="1"/>
  <c r="X99" i="11" s="1"/>
  <c r="Q1690" i="25"/>
  <c r="X29" i="11" a="1"/>
  <c r="X29" i="11" s="1"/>
  <c r="Q1620" i="25"/>
  <c r="X27" i="11" a="1"/>
  <c r="X27" i="11" s="1"/>
  <c r="Q1618" i="25"/>
  <c r="X21" i="11" a="1"/>
  <c r="X21" i="11" s="1"/>
  <c r="Q1612" i="25"/>
  <c r="X28" i="11" a="1"/>
  <c r="X28" i="11" s="1"/>
  <c r="Q1619" i="25"/>
  <c r="X30" i="11" a="1"/>
  <c r="X30" i="11" s="1"/>
  <c r="Q1621" i="25"/>
  <c r="X34" i="11" a="1"/>
  <c r="X34" i="11" s="1"/>
  <c r="Q1625" i="25"/>
  <c r="X31" i="11" a="1"/>
  <c r="X31" i="11" s="1"/>
  <c r="Q1622" i="25"/>
  <c r="X25" i="11" a="1"/>
  <c r="X25" i="11" s="1"/>
  <c r="Q1616" i="25"/>
  <c r="X32" i="11" a="1"/>
  <c r="X32" i="11" s="1"/>
  <c r="Q1623" i="25"/>
  <c r="T16" i="11"/>
  <c r="G70" i="18" s="1"/>
  <c r="Z123" i="5"/>
  <c r="L122" i="5" s="1"/>
  <c r="D17" i="26" s="1"/>
  <c r="E17" i="26" s="1"/>
  <c r="Q1607" i="25"/>
  <c r="I71" i="18"/>
  <c r="AG1607" i="25"/>
  <c r="I70" i="18"/>
  <c r="H70" i="18"/>
  <c r="AF1607" i="25"/>
  <c r="H71" i="18"/>
  <c r="AJ1145" i="25"/>
  <c r="I85" i="12" a="1"/>
  <c r="I85" i="12" s="1"/>
  <c r="J85" i="12" a="1"/>
  <c r="J85" i="12" s="1"/>
  <c r="U1586" i="25" s="1"/>
  <c r="K85" i="12" a="1"/>
  <c r="K85" i="12" s="1"/>
  <c r="V1586" i="25" s="1"/>
  <c r="AI1586" i="25" s="1"/>
  <c r="I86" i="12" a="1"/>
  <c r="I86" i="12" s="1"/>
  <c r="J86" i="12" a="1"/>
  <c r="J86" i="12" s="1"/>
  <c r="U1587" i="25" s="1"/>
  <c r="K86" i="12" a="1"/>
  <c r="K86" i="12" s="1"/>
  <c r="V1587" i="25" s="1"/>
  <c r="AI1587" i="25" s="1"/>
  <c r="I87" i="12" a="1"/>
  <c r="I87" i="12" s="1"/>
  <c r="J87" i="12" a="1"/>
  <c r="J87" i="12" s="1"/>
  <c r="U1588" i="25" s="1"/>
  <c r="K87" i="12" a="1"/>
  <c r="K87" i="12" s="1"/>
  <c r="V1588" i="25" s="1"/>
  <c r="AI1588" i="25" s="1"/>
  <c r="I88" i="12" a="1"/>
  <c r="I88" i="12" s="1"/>
  <c r="J88" i="12" a="1"/>
  <c r="J88" i="12" s="1"/>
  <c r="U1589" i="25" s="1"/>
  <c r="K88" i="12" a="1"/>
  <c r="K88" i="12" s="1"/>
  <c r="V1589" i="25" s="1"/>
  <c r="AI1589" i="25" s="1"/>
  <c r="I89" i="12" a="1"/>
  <c r="I89" i="12" s="1"/>
  <c r="J89" i="12" a="1"/>
  <c r="J89" i="12" s="1"/>
  <c r="U1590" i="25" s="1"/>
  <c r="K89" i="12" a="1"/>
  <c r="K89" i="12" s="1"/>
  <c r="V1590" i="25" s="1"/>
  <c r="AI1590" i="25" s="1"/>
  <c r="I90" i="12" a="1"/>
  <c r="I90" i="12" s="1"/>
  <c r="J90" i="12" a="1"/>
  <c r="J90" i="12" s="1"/>
  <c r="U1591" i="25" s="1"/>
  <c r="K90" i="12" a="1"/>
  <c r="K90" i="12" s="1"/>
  <c r="V1591" i="25" s="1"/>
  <c r="AI1591" i="25" s="1"/>
  <c r="I91" i="12" a="1"/>
  <c r="I91" i="12" s="1"/>
  <c r="J91" i="12" a="1"/>
  <c r="J91" i="12" s="1"/>
  <c r="U1592" i="25" s="1"/>
  <c r="K91" i="12" a="1"/>
  <c r="K91" i="12" s="1"/>
  <c r="V1592" i="25" s="1"/>
  <c r="AI1592" i="25" s="1"/>
  <c r="I92" i="12" a="1"/>
  <c r="I92" i="12" s="1"/>
  <c r="J92" i="12" a="1"/>
  <c r="J92" i="12" s="1"/>
  <c r="U1593" i="25" s="1"/>
  <c r="K92" i="12" a="1"/>
  <c r="K92" i="12" s="1"/>
  <c r="V1593" i="25" s="1"/>
  <c r="AI1593" i="25" s="1"/>
  <c r="I93" i="12" a="1"/>
  <c r="I93" i="12" s="1"/>
  <c r="J93" i="12" a="1"/>
  <c r="J93" i="12" s="1"/>
  <c r="U1594" i="25" s="1"/>
  <c r="K93" i="12" a="1"/>
  <c r="K93" i="12" s="1"/>
  <c r="V1594" i="25" s="1"/>
  <c r="AI1594" i="25" s="1"/>
  <c r="I94" i="12" a="1"/>
  <c r="I94" i="12" s="1"/>
  <c r="J94" i="12" a="1"/>
  <c r="J94" i="12" s="1"/>
  <c r="U1595" i="25" s="1"/>
  <c r="K94" i="12" a="1"/>
  <c r="K94" i="12" s="1"/>
  <c r="V1595" i="25" s="1"/>
  <c r="AI1595" i="25" s="1"/>
  <c r="I95" i="12" a="1"/>
  <c r="I95" i="12" s="1"/>
  <c r="J95" i="12" a="1"/>
  <c r="J95" i="12" s="1"/>
  <c r="U1596" i="25" s="1"/>
  <c r="K95" i="12" a="1"/>
  <c r="K95" i="12" s="1"/>
  <c r="V1596" i="25" s="1"/>
  <c r="AI1596" i="25" s="1"/>
  <c r="I96" i="12" a="1"/>
  <c r="I96" i="12" s="1"/>
  <c r="J96" i="12" a="1"/>
  <c r="J96" i="12" s="1"/>
  <c r="U1597" i="25" s="1"/>
  <c r="K96" i="12" a="1"/>
  <c r="K96" i="12" s="1"/>
  <c r="V1597" i="25" s="1"/>
  <c r="AI1597" i="25" s="1"/>
  <c r="I97" i="12" a="1"/>
  <c r="I97" i="12" s="1"/>
  <c r="J97" i="12" a="1"/>
  <c r="J97" i="12" s="1"/>
  <c r="U1598" i="25" s="1"/>
  <c r="K97" i="12" a="1"/>
  <c r="K97" i="12" s="1"/>
  <c r="V1598" i="25" s="1"/>
  <c r="AI1598" i="25" s="1"/>
  <c r="I98" i="12" a="1"/>
  <c r="I98" i="12" s="1"/>
  <c r="J98" i="12" a="1"/>
  <c r="J98" i="12" s="1"/>
  <c r="U1599" i="25" s="1"/>
  <c r="K98" i="12" a="1"/>
  <c r="K98" i="12" s="1"/>
  <c r="V1599" i="25" s="1"/>
  <c r="AI1599" i="25" s="1"/>
  <c r="I99" i="12" a="1"/>
  <c r="I99" i="12" s="1"/>
  <c r="J99" i="12" a="1"/>
  <c r="J99" i="12" s="1"/>
  <c r="U1600" i="25" s="1"/>
  <c r="K99" i="12" a="1"/>
  <c r="K99" i="12" s="1"/>
  <c r="V1600" i="25" s="1"/>
  <c r="AI1600" i="25" s="1"/>
  <c r="I100" i="12" a="1"/>
  <c r="I100" i="12" s="1"/>
  <c r="J100" i="12" a="1"/>
  <c r="J100" i="12" s="1"/>
  <c r="U1601" i="25" s="1"/>
  <c r="K100" i="12" a="1"/>
  <c r="K100" i="12" s="1"/>
  <c r="V1601" i="25" s="1"/>
  <c r="AI1601" i="25" s="1"/>
  <c r="I101" i="12" a="1"/>
  <c r="I101" i="12" s="1"/>
  <c r="J101" i="12" a="1"/>
  <c r="J101" i="12" s="1"/>
  <c r="U1602" i="25" s="1"/>
  <c r="K101" i="12" a="1"/>
  <c r="K101" i="12" s="1"/>
  <c r="V1602" i="25" s="1"/>
  <c r="AI1602" i="25" s="1"/>
  <c r="I102" i="12" a="1"/>
  <c r="I102" i="12" s="1"/>
  <c r="J102" i="12" a="1"/>
  <c r="J102" i="12" s="1"/>
  <c r="U1603" i="25" s="1"/>
  <c r="K102" i="12" a="1"/>
  <c r="K102" i="12" s="1"/>
  <c r="V1603" i="25" s="1"/>
  <c r="AI1603" i="25" s="1"/>
  <c r="I103" i="12" a="1"/>
  <c r="I103" i="12" s="1"/>
  <c r="J103" i="12" a="1"/>
  <c r="J103" i="12" s="1"/>
  <c r="U1604" i="25" s="1"/>
  <c r="K103" i="12" a="1"/>
  <c r="K103" i="12" s="1"/>
  <c r="V1604" i="25" s="1"/>
  <c r="AI1604" i="25" s="1"/>
  <c r="I104" i="12" a="1"/>
  <c r="I104" i="12" s="1"/>
  <c r="J104" i="12" a="1"/>
  <c r="J104" i="12" s="1"/>
  <c r="U1605" i="25" s="1"/>
  <c r="K104" i="12" a="1"/>
  <c r="K104" i="12" s="1"/>
  <c r="V1605" i="25" s="1"/>
  <c r="AI1605" i="25" s="1"/>
  <c r="I105" i="12" a="1"/>
  <c r="I105" i="12" s="1"/>
  <c r="J105" i="12" a="1"/>
  <c r="J105" i="12" s="1"/>
  <c r="U1606" i="25" s="1"/>
  <c r="K105" i="12" a="1"/>
  <c r="K105" i="12" s="1"/>
  <c r="V1606" i="25" s="1"/>
  <c r="AI1606" i="25" s="1"/>
  <c r="K84" i="12" a="1"/>
  <c r="K84" i="12" s="1"/>
  <c r="V1585" i="25" s="1"/>
  <c r="AI1585" i="25" s="1"/>
  <c r="J84" i="12" a="1"/>
  <c r="J84" i="12" s="1"/>
  <c r="U1585" i="25" s="1"/>
  <c r="I84" i="12" a="1"/>
  <c r="I84" i="12" s="1"/>
  <c r="U1558" i="25"/>
  <c r="U1559" i="25"/>
  <c r="I56" i="12" a="1"/>
  <c r="I56" i="12" s="1"/>
  <c r="U1560" i="25"/>
  <c r="V1560" i="25"/>
  <c r="AI1560" i="25" s="1"/>
  <c r="I57" i="12" a="1"/>
  <c r="I57" i="12" s="1"/>
  <c r="U1561" i="25"/>
  <c r="V1561" i="25"/>
  <c r="AI1561" i="25" s="1"/>
  <c r="I58" i="12" a="1"/>
  <c r="I58" i="12" s="1"/>
  <c r="U1562" i="25"/>
  <c r="V1562" i="25"/>
  <c r="AI1562" i="25" s="1"/>
  <c r="I59" i="12" a="1"/>
  <c r="I59" i="12" s="1"/>
  <c r="U1563" i="25"/>
  <c r="V1563" i="25"/>
  <c r="AI1563" i="25" s="1"/>
  <c r="I60" i="12" a="1"/>
  <c r="I60" i="12" s="1"/>
  <c r="U1564" i="25"/>
  <c r="I61" i="12" a="1"/>
  <c r="I61" i="12" s="1"/>
  <c r="U1565" i="25"/>
  <c r="V1565" i="25"/>
  <c r="AI1565" i="25" s="1"/>
  <c r="I62" i="12" a="1"/>
  <c r="I62" i="12" s="1"/>
  <c r="U1566" i="25"/>
  <c r="V1566" i="25"/>
  <c r="AI1566" i="25" s="1"/>
  <c r="I63" i="12" a="1"/>
  <c r="I63" i="12" s="1"/>
  <c r="U1567" i="25"/>
  <c r="V1567" i="25"/>
  <c r="AI1567" i="25" s="1"/>
  <c r="I64" i="12" a="1"/>
  <c r="I64" i="12" s="1"/>
  <c r="U1568" i="25"/>
  <c r="V1568" i="25"/>
  <c r="AI1568" i="25" s="1"/>
  <c r="I65" i="12" a="1"/>
  <c r="I65" i="12" s="1"/>
  <c r="U1569" i="25"/>
  <c r="V1569" i="25"/>
  <c r="AI1569" i="25" s="1"/>
  <c r="I66" i="12" a="1"/>
  <c r="I66" i="12" s="1"/>
  <c r="U1570" i="25"/>
  <c r="V1570" i="25"/>
  <c r="AI1570" i="25" s="1"/>
  <c r="I67" i="12" a="1"/>
  <c r="I67" i="12" s="1"/>
  <c r="U1571" i="25"/>
  <c r="V1571" i="25"/>
  <c r="AI1571" i="25" s="1"/>
  <c r="I68" i="12" a="1"/>
  <c r="I68" i="12" s="1"/>
  <c r="U1572" i="25"/>
  <c r="V1572" i="25"/>
  <c r="AI1572" i="25" s="1"/>
  <c r="I69" i="12" a="1"/>
  <c r="I69" i="12" s="1"/>
  <c r="U1573" i="25"/>
  <c r="V1573" i="25"/>
  <c r="AI1573" i="25" s="1"/>
  <c r="I70" i="12" a="1"/>
  <c r="I70" i="12" s="1"/>
  <c r="U1574" i="25"/>
  <c r="V1574" i="25"/>
  <c r="AI1574" i="25" s="1"/>
  <c r="I71" i="12" a="1"/>
  <c r="I71" i="12" s="1"/>
  <c r="U1575" i="25"/>
  <c r="V1575" i="25"/>
  <c r="AI1575" i="25" s="1"/>
  <c r="I72" i="12" a="1"/>
  <c r="I72" i="12" s="1"/>
  <c r="U1576" i="25"/>
  <c r="V1576" i="25"/>
  <c r="AI1576" i="25" s="1"/>
  <c r="I73" i="12" a="1"/>
  <c r="I73" i="12" s="1"/>
  <c r="U1577" i="25"/>
  <c r="V1577" i="25"/>
  <c r="AI1577" i="25" s="1"/>
  <c r="I74" i="12" a="1"/>
  <c r="I74" i="12" s="1"/>
  <c r="U1578" i="25"/>
  <c r="V1578" i="25"/>
  <c r="AI1578" i="25" s="1"/>
  <c r="I75" i="12" a="1"/>
  <c r="I75" i="12" s="1"/>
  <c r="U1579" i="25"/>
  <c r="V1579" i="25"/>
  <c r="AI1579" i="25" s="1"/>
  <c r="I76" i="12" a="1"/>
  <c r="I76" i="12" s="1"/>
  <c r="U1580" i="25"/>
  <c r="V1580" i="25"/>
  <c r="AI1580" i="25" s="1"/>
  <c r="I77" i="12" a="1"/>
  <c r="I77" i="12" s="1"/>
  <c r="U1581" i="25"/>
  <c r="V1581" i="25"/>
  <c r="AI1581" i="25" s="1"/>
  <c r="I78" i="12" a="1"/>
  <c r="I78" i="12" s="1"/>
  <c r="U1582" i="25"/>
  <c r="V1582" i="25"/>
  <c r="AI1582" i="25" s="1"/>
  <c r="I79" i="12" a="1"/>
  <c r="I79" i="12" s="1"/>
  <c r="U1583" i="25"/>
  <c r="V1583" i="25"/>
  <c r="AI1583" i="25" s="1"/>
  <c r="I80" i="12" a="1"/>
  <c r="I80" i="12" s="1"/>
  <c r="U1584" i="25"/>
  <c r="V1584" i="25"/>
  <c r="AI1584" i="25" s="1"/>
  <c r="U1557" i="25"/>
  <c r="J9" i="12" a="1"/>
  <c r="J9" i="12" s="1"/>
  <c r="K9" i="12" a="1"/>
  <c r="K9" i="12" s="1"/>
  <c r="V1517" i="25" s="1"/>
  <c r="AI1517" i="25" s="1"/>
  <c r="J10" i="12" a="1"/>
  <c r="J10" i="12" s="1"/>
  <c r="U1518" i="25" s="1"/>
  <c r="K10" i="12" a="1"/>
  <c r="K10" i="12" s="1"/>
  <c r="V1518" i="25" s="1"/>
  <c r="AI1518" i="25" s="1"/>
  <c r="I11" i="12" a="1"/>
  <c r="I11" i="12" s="1"/>
  <c r="J11" i="12" a="1"/>
  <c r="J11" i="12" s="1"/>
  <c r="U1519" i="25" s="1"/>
  <c r="K11" i="12" a="1"/>
  <c r="K11" i="12" s="1"/>
  <c r="V1519" i="25" s="1"/>
  <c r="AI1519" i="25" s="1"/>
  <c r="I12" i="12" a="1"/>
  <c r="I12" i="12" s="1"/>
  <c r="J12" i="12" a="1"/>
  <c r="J12" i="12" s="1"/>
  <c r="U1520" i="25" s="1"/>
  <c r="K12" i="12" a="1"/>
  <c r="K12" i="12" s="1"/>
  <c r="V1520" i="25" s="1"/>
  <c r="AI1520" i="25" s="1"/>
  <c r="J13" i="12" a="1"/>
  <c r="J13" i="12" s="1"/>
  <c r="K13" i="12" a="1"/>
  <c r="K13" i="12" s="1"/>
  <c r="V1521" i="25" s="1"/>
  <c r="AI1521" i="25" s="1"/>
  <c r="I14" i="12" a="1"/>
  <c r="I14" i="12" s="1"/>
  <c r="J14" i="12" a="1"/>
  <c r="J14" i="12" s="1"/>
  <c r="U1522" i="25" s="1"/>
  <c r="K14" i="12" a="1"/>
  <c r="K14" i="12" s="1"/>
  <c r="V1522" i="25" s="1"/>
  <c r="AI1522" i="25" s="1"/>
  <c r="I15" i="12" a="1"/>
  <c r="I15" i="12" s="1"/>
  <c r="J15" i="12" a="1"/>
  <c r="J15" i="12" s="1"/>
  <c r="U1523" i="25" s="1"/>
  <c r="K15" i="12" a="1"/>
  <c r="K15" i="12" s="1"/>
  <c r="V1523" i="25" s="1"/>
  <c r="AI1523" i="25" s="1"/>
  <c r="I16" i="12" a="1"/>
  <c r="I16" i="12" s="1"/>
  <c r="J16" i="12" a="1"/>
  <c r="J16" i="12" s="1"/>
  <c r="U1524" i="25" s="1"/>
  <c r="K16" i="12" a="1"/>
  <c r="K16" i="12" s="1"/>
  <c r="V1524" i="25" s="1"/>
  <c r="AI1524" i="25" s="1"/>
  <c r="I17" i="12" a="1"/>
  <c r="I17" i="12" s="1"/>
  <c r="J17" i="12" a="1"/>
  <c r="J17" i="12" s="1"/>
  <c r="U1525" i="25" s="1"/>
  <c r="K17" i="12" a="1"/>
  <c r="K17" i="12" s="1"/>
  <c r="V1525" i="25" s="1"/>
  <c r="AI1525" i="25" s="1"/>
  <c r="I18" i="12" a="1"/>
  <c r="I18" i="12" s="1"/>
  <c r="J18" i="12" a="1"/>
  <c r="J18" i="12" s="1"/>
  <c r="U1526" i="25" s="1"/>
  <c r="K18" i="12" a="1"/>
  <c r="K18" i="12" s="1"/>
  <c r="V1526" i="25" s="1"/>
  <c r="AI1526" i="25" s="1"/>
  <c r="I19" i="12" a="1"/>
  <c r="I19" i="12" s="1"/>
  <c r="J19" i="12" a="1"/>
  <c r="J19" i="12" s="1"/>
  <c r="U1527" i="25" s="1"/>
  <c r="K19" i="12" a="1"/>
  <c r="K19" i="12" s="1"/>
  <c r="V1527" i="25" s="1"/>
  <c r="AI1527" i="25" s="1"/>
  <c r="I20" i="12" a="1"/>
  <c r="I20" i="12" s="1"/>
  <c r="J20" i="12" a="1"/>
  <c r="J20" i="12" s="1"/>
  <c r="U1528" i="25" s="1"/>
  <c r="K20" i="12" a="1"/>
  <c r="K20" i="12" s="1"/>
  <c r="V1528" i="25" s="1"/>
  <c r="AI1528" i="25" s="1"/>
  <c r="I21" i="12" a="1"/>
  <c r="I21" i="12" s="1"/>
  <c r="J21" i="12" a="1"/>
  <c r="J21" i="12" s="1"/>
  <c r="U1529" i="25" s="1"/>
  <c r="K21" i="12" a="1"/>
  <c r="K21" i="12" s="1"/>
  <c r="V1529" i="25" s="1"/>
  <c r="AI1529" i="25" s="1"/>
  <c r="I22" i="12" a="1"/>
  <c r="I22" i="12" s="1"/>
  <c r="J22" i="12" a="1"/>
  <c r="J22" i="12" s="1"/>
  <c r="U1530" i="25" s="1"/>
  <c r="K22" i="12" a="1"/>
  <c r="K22" i="12" s="1"/>
  <c r="V1530" i="25" s="1"/>
  <c r="AI1530" i="25" s="1"/>
  <c r="I23" i="12" a="1"/>
  <c r="I23" i="12" s="1"/>
  <c r="J23" i="12" a="1"/>
  <c r="J23" i="12" s="1"/>
  <c r="U1531" i="25" s="1"/>
  <c r="K23" i="12" a="1"/>
  <c r="K23" i="12" s="1"/>
  <c r="V1531" i="25" s="1"/>
  <c r="AI1531" i="25" s="1"/>
  <c r="I24" i="12" a="1"/>
  <c r="I24" i="12" s="1"/>
  <c r="J24" i="12" a="1"/>
  <c r="J24" i="12" s="1"/>
  <c r="U1532" i="25" s="1"/>
  <c r="K24" i="12" a="1"/>
  <c r="K24" i="12" s="1"/>
  <c r="V1532" i="25" s="1"/>
  <c r="AI1532" i="25" s="1"/>
  <c r="I25" i="12" a="1"/>
  <c r="I25" i="12" s="1"/>
  <c r="J25" i="12" a="1"/>
  <c r="J25" i="12" s="1"/>
  <c r="U1533" i="25" s="1"/>
  <c r="K25" i="12" a="1"/>
  <c r="K25" i="12" s="1"/>
  <c r="V1533" i="25" s="1"/>
  <c r="AI1533" i="25" s="1"/>
  <c r="I26" i="12" a="1"/>
  <c r="I26" i="12" s="1"/>
  <c r="J26" i="12" a="1"/>
  <c r="J26" i="12" s="1"/>
  <c r="U1534" i="25" s="1"/>
  <c r="K26" i="12" a="1"/>
  <c r="K26" i="12" s="1"/>
  <c r="V1534" i="25" s="1"/>
  <c r="AI1534" i="25" s="1"/>
  <c r="I27" i="12" a="1"/>
  <c r="I27" i="12" s="1"/>
  <c r="J27" i="12" a="1"/>
  <c r="J27" i="12" s="1"/>
  <c r="U1535" i="25" s="1"/>
  <c r="K27" i="12" a="1"/>
  <c r="K27" i="12" s="1"/>
  <c r="V1535" i="25" s="1"/>
  <c r="AI1535" i="25" s="1"/>
  <c r="I28" i="12" a="1"/>
  <c r="I28" i="12" s="1"/>
  <c r="J28" i="12" a="1"/>
  <c r="J28" i="12" s="1"/>
  <c r="U1536" i="25" s="1"/>
  <c r="K28" i="12" a="1"/>
  <c r="K28" i="12" s="1"/>
  <c r="V1536" i="25" s="1"/>
  <c r="AI1536" i="25" s="1"/>
  <c r="I29" i="12" a="1"/>
  <c r="I29" i="12" s="1"/>
  <c r="J29" i="12" a="1"/>
  <c r="J29" i="12" s="1"/>
  <c r="U1537" i="25" s="1"/>
  <c r="K29" i="12" a="1"/>
  <c r="K29" i="12" s="1"/>
  <c r="V1537" i="25" s="1"/>
  <c r="AI1537" i="25" s="1"/>
  <c r="I30" i="12" a="1"/>
  <c r="I30" i="12" s="1"/>
  <c r="J30" i="12" a="1"/>
  <c r="J30" i="12" s="1"/>
  <c r="U1538" i="25" s="1"/>
  <c r="K30" i="12" a="1"/>
  <c r="K30" i="12" s="1"/>
  <c r="V1538" i="25" s="1"/>
  <c r="AI1538" i="25" s="1"/>
  <c r="I31" i="12" a="1"/>
  <c r="I31" i="12" s="1"/>
  <c r="J31" i="12" a="1"/>
  <c r="J31" i="12" s="1"/>
  <c r="U1539" i="25" s="1"/>
  <c r="K31" i="12" a="1"/>
  <c r="K31" i="12" s="1"/>
  <c r="V1539" i="25" s="1"/>
  <c r="AI1539" i="25" s="1"/>
  <c r="I32" i="12" a="1"/>
  <c r="I32" i="12" s="1"/>
  <c r="J32" i="12" a="1"/>
  <c r="J32" i="12" s="1"/>
  <c r="U1540" i="25" s="1"/>
  <c r="K32" i="12" a="1"/>
  <c r="K32" i="12" s="1"/>
  <c r="V1540" i="25" s="1"/>
  <c r="AI1540" i="25" s="1"/>
  <c r="I33" i="12" a="1"/>
  <c r="I33" i="12" s="1"/>
  <c r="J33" i="12" a="1"/>
  <c r="J33" i="12" s="1"/>
  <c r="U1541" i="25" s="1"/>
  <c r="K33" i="12" a="1"/>
  <c r="K33" i="12" s="1"/>
  <c r="V1541" i="25" s="1"/>
  <c r="AI1541" i="25" s="1"/>
  <c r="I34" i="12" a="1"/>
  <c r="I34" i="12" s="1"/>
  <c r="J34" i="12" a="1"/>
  <c r="J34" i="12" s="1"/>
  <c r="U1542" i="25" s="1"/>
  <c r="K34" i="12" a="1"/>
  <c r="K34" i="12" s="1"/>
  <c r="V1542" i="25" s="1"/>
  <c r="AI1542" i="25" s="1"/>
  <c r="I35" i="12" a="1"/>
  <c r="I35" i="12" s="1"/>
  <c r="J35" i="12" a="1"/>
  <c r="J35" i="12" s="1"/>
  <c r="U1543" i="25" s="1"/>
  <c r="K35" i="12" a="1"/>
  <c r="K35" i="12" s="1"/>
  <c r="V1543" i="25" s="1"/>
  <c r="AI1543" i="25" s="1"/>
  <c r="I36" i="12" a="1"/>
  <c r="I36" i="12" s="1"/>
  <c r="J36" i="12" a="1"/>
  <c r="J36" i="12" s="1"/>
  <c r="U1544" i="25" s="1"/>
  <c r="K36" i="12" a="1"/>
  <c r="K36" i="12" s="1"/>
  <c r="V1544" i="25" s="1"/>
  <c r="AI1544" i="25" s="1"/>
  <c r="I37" i="12" a="1"/>
  <c r="I37" i="12" s="1"/>
  <c r="J37" i="12" a="1"/>
  <c r="J37" i="12" s="1"/>
  <c r="U1545" i="25" s="1"/>
  <c r="K37" i="12" a="1"/>
  <c r="K37" i="12" s="1"/>
  <c r="V1545" i="25" s="1"/>
  <c r="AI1545" i="25" s="1"/>
  <c r="I38" i="12" a="1"/>
  <c r="I38" i="12" s="1"/>
  <c r="J38" i="12" a="1"/>
  <c r="J38" i="12" s="1"/>
  <c r="U1546" i="25" s="1"/>
  <c r="K38" i="12" a="1"/>
  <c r="K38" i="12" s="1"/>
  <c r="V1546" i="25" s="1"/>
  <c r="AI1546" i="25" s="1"/>
  <c r="I39" i="12" a="1"/>
  <c r="I39" i="12" s="1"/>
  <c r="J39" i="12" a="1"/>
  <c r="J39" i="12" s="1"/>
  <c r="U1547" i="25" s="1"/>
  <c r="K39" i="12" a="1"/>
  <c r="K39" i="12" s="1"/>
  <c r="V1547" i="25" s="1"/>
  <c r="AI1547" i="25" s="1"/>
  <c r="I40" i="12" a="1"/>
  <c r="I40" i="12" s="1"/>
  <c r="J40" i="12" a="1"/>
  <c r="J40" i="12" s="1"/>
  <c r="U1548" i="25" s="1"/>
  <c r="K40" i="12" a="1"/>
  <c r="K40" i="12" s="1"/>
  <c r="V1548" i="25" s="1"/>
  <c r="AI1548" i="25" s="1"/>
  <c r="I41" i="12" a="1"/>
  <c r="I41" i="12" s="1"/>
  <c r="J41" i="12" a="1"/>
  <c r="J41" i="12" s="1"/>
  <c r="U1549" i="25" s="1"/>
  <c r="K41" i="12" a="1"/>
  <c r="K41" i="12" s="1"/>
  <c r="V1549" i="25" s="1"/>
  <c r="AI1549" i="25" s="1"/>
  <c r="I42" i="12" a="1"/>
  <c r="I42" i="12" s="1"/>
  <c r="J42" i="12" a="1"/>
  <c r="J42" i="12" s="1"/>
  <c r="U1550" i="25" s="1"/>
  <c r="K42" i="12" a="1"/>
  <c r="K42" i="12" s="1"/>
  <c r="V1550" i="25" s="1"/>
  <c r="AI1550" i="25" s="1"/>
  <c r="I43" i="12" a="1"/>
  <c r="I43" i="12" s="1"/>
  <c r="J43" i="12" a="1"/>
  <c r="J43" i="12" s="1"/>
  <c r="U1551" i="25" s="1"/>
  <c r="K43" i="12" a="1"/>
  <c r="K43" i="12" s="1"/>
  <c r="V1551" i="25" s="1"/>
  <c r="AI1551" i="25" s="1"/>
  <c r="I44" i="12" a="1"/>
  <c r="I44" i="12" s="1"/>
  <c r="J44" i="12" a="1"/>
  <c r="J44" i="12" s="1"/>
  <c r="U1552" i="25" s="1"/>
  <c r="K44" i="12" a="1"/>
  <c r="K44" i="12" s="1"/>
  <c r="V1552" i="25" s="1"/>
  <c r="AI1552" i="25" s="1"/>
  <c r="I45" i="12" a="1"/>
  <c r="I45" i="12" s="1"/>
  <c r="J45" i="12" a="1"/>
  <c r="J45" i="12" s="1"/>
  <c r="U1553" i="25" s="1"/>
  <c r="K45" i="12" a="1"/>
  <c r="K45" i="12" s="1"/>
  <c r="V1553" i="25" s="1"/>
  <c r="AI1553" i="25" s="1"/>
  <c r="I46" i="12" a="1"/>
  <c r="I46" i="12" s="1"/>
  <c r="J46" i="12" a="1"/>
  <c r="J46" i="12" s="1"/>
  <c r="U1554" i="25" s="1"/>
  <c r="K46" i="12" a="1"/>
  <c r="K46" i="12" s="1"/>
  <c r="V1554" i="25" s="1"/>
  <c r="AI1554" i="25" s="1"/>
  <c r="I47" i="12" a="1"/>
  <c r="I47" i="12" s="1"/>
  <c r="J47" i="12" a="1"/>
  <c r="J47" i="12" s="1"/>
  <c r="U1555" i="25" s="1"/>
  <c r="K47" i="12" a="1"/>
  <c r="K47" i="12" s="1"/>
  <c r="V1555" i="25" s="1"/>
  <c r="AI1555" i="25" s="1"/>
  <c r="I48" i="12" a="1"/>
  <c r="I48" i="12" s="1"/>
  <c r="J48" i="12" a="1"/>
  <c r="J48" i="12" s="1"/>
  <c r="U1556" i="25" s="1"/>
  <c r="K48" i="12" a="1"/>
  <c r="K48" i="12" s="1"/>
  <c r="V1556" i="25" s="1"/>
  <c r="AI1556" i="25" s="1"/>
  <c r="K8" i="12" a="1"/>
  <c r="K8" i="12" s="1"/>
  <c r="V1516" i="25" s="1"/>
  <c r="J8" i="12" a="1"/>
  <c r="J8" i="12" s="1"/>
  <c r="G71" i="18" l="1"/>
  <c r="G73" i="18" s="1"/>
  <c r="X16" i="11" a="1"/>
  <c r="X16" i="11" s="1"/>
  <c r="X15" i="11" s="1"/>
  <c r="G14" i="11" s="1"/>
  <c r="D21" i="26" s="1"/>
  <c r="AE1607" i="25"/>
  <c r="I10" i="12" a="1"/>
  <c r="I10" i="12" s="1"/>
  <c r="T1518" i="25" s="1"/>
  <c r="T1533" i="25"/>
  <c r="T1574" i="25"/>
  <c r="T1553" i="25"/>
  <c r="T1555" i="25"/>
  <c r="T1547" i="25"/>
  <c r="T1539" i="25"/>
  <c r="T1531" i="25"/>
  <c r="T1523" i="25"/>
  <c r="T1520" i="25"/>
  <c r="T1580" i="25"/>
  <c r="T1572" i="25"/>
  <c r="T1561" i="25"/>
  <c r="T1599" i="25"/>
  <c r="T1591" i="25"/>
  <c r="T1549" i="25"/>
  <c r="T1525" i="25"/>
  <c r="T1582" i="25"/>
  <c r="T1601" i="25"/>
  <c r="T1593" i="25"/>
  <c r="T1546" i="25"/>
  <c r="T1552" i="25"/>
  <c r="T1544" i="25"/>
  <c r="T1536" i="25"/>
  <c r="T1528" i="25"/>
  <c r="T1577" i="25"/>
  <c r="T1569" i="25"/>
  <c r="T1604" i="25"/>
  <c r="T1596" i="25"/>
  <c r="T1588" i="25"/>
  <c r="T1530" i="25"/>
  <c r="T1579" i="25"/>
  <c r="T1571" i="25"/>
  <c r="T1606" i="25"/>
  <c r="T1543" i="25"/>
  <c r="T1535" i="25"/>
  <c r="T1527" i="25"/>
  <c r="T1584" i="25"/>
  <c r="T1576" i="25"/>
  <c r="T1568" i="25"/>
  <c r="T1603" i="25"/>
  <c r="T1595" i="25"/>
  <c r="T1587" i="25"/>
  <c r="T1566" i="25"/>
  <c r="T1538" i="25"/>
  <c r="T1519" i="25"/>
  <c r="T1560" i="25"/>
  <c r="T1598" i="25"/>
  <c r="T1556" i="25"/>
  <c r="T1548" i="25"/>
  <c r="T1540" i="25"/>
  <c r="T1532" i="25"/>
  <c r="T1524" i="25"/>
  <c r="U1521" i="25"/>
  <c r="T1581" i="25"/>
  <c r="T1573" i="25"/>
  <c r="T1565" i="25"/>
  <c r="T1562" i="25"/>
  <c r="T1600" i="25"/>
  <c r="T1592" i="25"/>
  <c r="T1541" i="25"/>
  <c r="T1563" i="25"/>
  <c r="T1522" i="25"/>
  <c r="T1590" i="25"/>
  <c r="T1551" i="25"/>
  <c r="T1545" i="25"/>
  <c r="T1537" i="25"/>
  <c r="T1529" i="25"/>
  <c r="T1578" i="25"/>
  <c r="T1570" i="25"/>
  <c r="T1585" i="25"/>
  <c r="T1605" i="25"/>
  <c r="T1597" i="25"/>
  <c r="T1589" i="25"/>
  <c r="T1554" i="25"/>
  <c r="T1550" i="25"/>
  <c r="T1542" i="25"/>
  <c r="T1534" i="25"/>
  <c r="T1526" i="25"/>
  <c r="T1583" i="25"/>
  <c r="T1575" i="25"/>
  <c r="T1567" i="25"/>
  <c r="T1564" i="25"/>
  <c r="T1602" i="25"/>
  <c r="T1594" i="25"/>
  <c r="T1586" i="25"/>
  <c r="AI1516" i="25"/>
  <c r="H73" i="18"/>
  <c r="I73" i="18"/>
  <c r="I8" i="12" a="1"/>
  <c r="I8" i="12" s="1"/>
  <c r="U1516" i="25"/>
  <c r="I53" i="12" a="1"/>
  <c r="I53" i="12" s="1"/>
  <c r="V60" i="12" a="1"/>
  <c r="V60" i="12" s="1"/>
  <c r="AG1564" i="25" s="1"/>
  <c r="I9" i="12" a="1"/>
  <c r="I9" i="12" s="1"/>
  <c r="U1517" i="25"/>
  <c r="I55" i="12" a="1"/>
  <c r="I55" i="12" s="1"/>
  <c r="I54" i="12" a="1"/>
  <c r="I54" i="12" s="1"/>
  <c r="S99" i="12" a="1"/>
  <c r="S99" i="12" s="1"/>
  <c r="AD1600" i="25" s="1"/>
  <c r="Q99" i="12" a="1"/>
  <c r="Q99" i="12" s="1"/>
  <c r="AB1600" i="25" s="1"/>
  <c r="V99" i="12" a="1"/>
  <c r="V99" i="12" s="1"/>
  <c r="AG1600" i="25" s="1"/>
  <c r="R99" i="12" a="1"/>
  <c r="R99" i="12" s="1"/>
  <c r="AC1600" i="25" s="1"/>
  <c r="P99" i="12" a="1"/>
  <c r="P99" i="12" s="1"/>
  <c r="AA1600" i="25" s="1"/>
  <c r="S91" i="12" a="1"/>
  <c r="S91" i="12" s="1"/>
  <c r="AD1592" i="25" s="1"/>
  <c r="Q91" i="12" a="1"/>
  <c r="Q91" i="12" s="1"/>
  <c r="AB1592" i="25" s="1"/>
  <c r="V91" i="12" a="1"/>
  <c r="V91" i="12" s="1"/>
  <c r="AG1592" i="25" s="1"/>
  <c r="R91" i="12" a="1"/>
  <c r="R91" i="12" s="1"/>
  <c r="AC1592" i="25" s="1"/>
  <c r="P91" i="12" a="1"/>
  <c r="P91" i="12" s="1"/>
  <c r="AA1592" i="25" s="1"/>
  <c r="V104" i="12" a="1"/>
  <c r="V104" i="12" s="1"/>
  <c r="AG1605" i="25" s="1"/>
  <c r="R104" i="12" a="1"/>
  <c r="R104" i="12" s="1"/>
  <c r="AC1605" i="25" s="1"/>
  <c r="P104" i="12" a="1"/>
  <c r="P104" i="12" s="1"/>
  <c r="AA1605" i="25" s="1"/>
  <c r="S104" i="12" a="1"/>
  <c r="S104" i="12" s="1"/>
  <c r="AD1605" i="25" s="1"/>
  <c r="Q104" i="12" a="1"/>
  <c r="Q104" i="12" s="1"/>
  <c r="AB1605" i="25" s="1"/>
  <c r="V96" i="12" a="1"/>
  <c r="V96" i="12" s="1"/>
  <c r="AG1597" i="25" s="1"/>
  <c r="R96" i="12" a="1"/>
  <c r="R96" i="12" s="1"/>
  <c r="AC1597" i="25" s="1"/>
  <c r="P96" i="12" a="1"/>
  <c r="P96" i="12" s="1"/>
  <c r="AA1597" i="25" s="1"/>
  <c r="S96" i="12" a="1"/>
  <c r="S96" i="12" s="1"/>
  <c r="AD1597" i="25" s="1"/>
  <c r="Q96" i="12" a="1"/>
  <c r="Q96" i="12" s="1"/>
  <c r="AB1597" i="25" s="1"/>
  <c r="V88" i="12" a="1"/>
  <c r="V88" i="12" s="1"/>
  <c r="AG1589" i="25" s="1"/>
  <c r="R88" i="12" a="1"/>
  <c r="R88" i="12" s="1"/>
  <c r="AC1589" i="25" s="1"/>
  <c r="P88" i="12" a="1"/>
  <c r="P88" i="12" s="1"/>
  <c r="AA1589" i="25" s="1"/>
  <c r="S88" i="12" a="1"/>
  <c r="S88" i="12" s="1"/>
  <c r="AD1589" i="25" s="1"/>
  <c r="Q88" i="12" a="1"/>
  <c r="Q88" i="12" s="1"/>
  <c r="AB1589" i="25" s="1"/>
  <c r="S98" i="12" a="1"/>
  <c r="S98" i="12" s="1"/>
  <c r="AD1599" i="25" s="1"/>
  <c r="Q98" i="12" a="1"/>
  <c r="Q98" i="12" s="1"/>
  <c r="AB1599" i="25" s="1"/>
  <c r="V98" i="12" a="1"/>
  <c r="V98" i="12" s="1"/>
  <c r="AG1599" i="25" s="1"/>
  <c r="R98" i="12" a="1"/>
  <c r="R98" i="12" s="1"/>
  <c r="AC1599" i="25" s="1"/>
  <c r="P98" i="12" a="1"/>
  <c r="P98" i="12" s="1"/>
  <c r="AA1599" i="25" s="1"/>
  <c r="S90" i="12" a="1"/>
  <c r="S90" i="12" s="1"/>
  <c r="AD1591" i="25" s="1"/>
  <c r="Q90" i="12" a="1"/>
  <c r="Q90" i="12" s="1"/>
  <c r="AB1591" i="25" s="1"/>
  <c r="V90" i="12" a="1"/>
  <c r="V90" i="12" s="1"/>
  <c r="AG1591" i="25" s="1"/>
  <c r="R90" i="12" a="1"/>
  <c r="R90" i="12" s="1"/>
  <c r="AC1591" i="25" s="1"/>
  <c r="P90" i="12" a="1"/>
  <c r="P90" i="12" s="1"/>
  <c r="AA1591" i="25" s="1"/>
  <c r="V101" i="12" a="1"/>
  <c r="V101" i="12" s="1"/>
  <c r="AG1602" i="25" s="1"/>
  <c r="S101" i="12" a="1"/>
  <c r="S101" i="12" s="1"/>
  <c r="AD1602" i="25" s="1"/>
  <c r="Q101" i="12" a="1"/>
  <c r="Q101" i="12" s="1"/>
  <c r="AB1602" i="25" s="1"/>
  <c r="P101" i="12" a="1"/>
  <c r="P101" i="12" s="1"/>
  <c r="AA1602" i="25" s="1"/>
  <c r="R101" i="12" a="1"/>
  <c r="R101" i="12" s="1"/>
  <c r="AC1602" i="25" s="1"/>
  <c r="V103" i="12" a="1"/>
  <c r="V103" i="12" s="1"/>
  <c r="AG1604" i="25" s="1"/>
  <c r="R103" i="12" a="1"/>
  <c r="R103" i="12" s="1"/>
  <c r="AC1604" i="25" s="1"/>
  <c r="P103" i="12" a="1"/>
  <c r="P103" i="12" s="1"/>
  <c r="AA1604" i="25" s="1"/>
  <c r="S103" i="12" a="1"/>
  <c r="S103" i="12" s="1"/>
  <c r="AD1604" i="25" s="1"/>
  <c r="Q103" i="12" a="1"/>
  <c r="Q103" i="12" s="1"/>
  <c r="AB1604" i="25" s="1"/>
  <c r="V95" i="12" a="1"/>
  <c r="V95" i="12" s="1"/>
  <c r="AG1596" i="25" s="1"/>
  <c r="R95" i="12" a="1"/>
  <c r="R95" i="12" s="1"/>
  <c r="AC1596" i="25" s="1"/>
  <c r="P95" i="12" a="1"/>
  <c r="P95" i="12" s="1"/>
  <c r="AA1596" i="25" s="1"/>
  <c r="S95" i="12" a="1"/>
  <c r="S95" i="12" s="1"/>
  <c r="AD1596" i="25" s="1"/>
  <c r="Q95" i="12" a="1"/>
  <c r="Q95" i="12" s="1"/>
  <c r="AB1596" i="25" s="1"/>
  <c r="V87" i="12" a="1"/>
  <c r="V87" i="12" s="1"/>
  <c r="AG1588" i="25" s="1"/>
  <c r="R87" i="12" a="1"/>
  <c r="R87" i="12" s="1"/>
  <c r="AC1588" i="25" s="1"/>
  <c r="P87" i="12" a="1"/>
  <c r="P87" i="12" s="1"/>
  <c r="AA1588" i="25" s="1"/>
  <c r="S87" i="12" a="1"/>
  <c r="S87" i="12" s="1"/>
  <c r="AD1588" i="25" s="1"/>
  <c r="Q87" i="12" a="1"/>
  <c r="Q87" i="12" s="1"/>
  <c r="AB1588" i="25" s="1"/>
  <c r="V93" i="12" a="1"/>
  <c r="V93" i="12" s="1"/>
  <c r="AG1594" i="25" s="1"/>
  <c r="P93" i="12" a="1"/>
  <c r="P93" i="12" s="1"/>
  <c r="AA1594" i="25" s="1"/>
  <c r="S93" i="12" a="1"/>
  <c r="S93" i="12" s="1"/>
  <c r="AD1594" i="25" s="1"/>
  <c r="Q93" i="12" a="1"/>
  <c r="Q93" i="12" s="1"/>
  <c r="AB1594" i="25" s="1"/>
  <c r="R93" i="12" a="1"/>
  <c r="R93" i="12" s="1"/>
  <c r="AC1594" i="25" s="1"/>
  <c r="S100" i="12" a="1"/>
  <c r="S100" i="12" s="1"/>
  <c r="AD1601" i="25" s="1"/>
  <c r="Q100" i="12" a="1"/>
  <c r="Q100" i="12" s="1"/>
  <c r="AB1601" i="25" s="1"/>
  <c r="V100" i="12" a="1"/>
  <c r="V100" i="12" s="1"/>
  <c r="AG1601" i="25" s="1"/>
  <c r="R100" i="12" a="1"/>
  <c r="R100" i="12" s="1"/>
  <c r="AC1601" i="25" s="1"/>
  <c r="P100" i="12" a="1"/>
  <c r="P100" i="12" s="1"/>
  <c r="AA1601" i="25" s="1"/>
  <c r="S92" i="12" a="1"/>
  <c r="S92" i="12" s="1"/>
  <c r="AD1593" i="25" s="1"/>
  <c r="Q92" i="12" a="1"/>
  <c r="Q92" i="12" s="1"/>
  <c r="AB1593" i="25" s="1"/>
  <c r="V92" i="12" a="1"/>
  <c r="V92" i="12" s="1"/>
  <c r="AG1593" i="25" s="1"/>
  <c r="R92" i="12" a="1"/>
  <c r="R92" i="12" s="1"/>
  <c r="AC1593" i="25" s="1"/>
  <c r="P92" i="12" a="1"/>
  <c r="P92" i="12" s="1"/>
  <c r="AA1593" i="25" s="1"/>
  <c r="Q105" i="12" a="1"/>
  <c r="Q105" i="12" s="1"/>
  <c r="AB1606" i="25" s="1"/>
  <c r="V105" i="12" a="1"/>
  <c r="V105" i="12" s="1"/>
  <c r="AG1606" i="25" s="1"/>
  <c r="R105" i="12" a="1"/>
  <c r="R105" i="12" s="1"/>
  <c r="AC1606" i="25" s="1"/>
  <c r="P105" i="12" a="1"/>
  <c r="P105" i="12" s="1"/>
  <c r="AA1606" i="25" s="1"/>
  <c r="S105" i="12" a="1"/>
  <c r="S105" i="12" s="1"/>
  <c r="AD1606" i="25" s="1"/>
  <c r="S97" i="12" a="1"/>
  <c r="S97" i="12" s="1"/>
  <c r="AD1598" i="25" s="1"/>
  <c r="V97" i="12" a="1"/>
  <c r="V97" i="12" s="1"/>
  <c r="AG1598" i="25" s="1"/>
  <c r="R97" i="12" a="1"/>
  <c r="R97" i="12" s="1"/>
  <c r="AC1598" i="25" s="1"/>
  <c r="P97" i="12" a="1"/>
  <c r="P97" i="12" s="1"/>
  <c r="AA1598" i="25" s="1"/>
  <c r="Q97" i="12" a="1"/>
  <c r="Q97" i="12" s="1"/>
  <c r="AB1598" i="25" s="1"/>
  <c r="Q89" i="12" a="1"/>
  <c r="Q89" i="12" s="1"/>
  <c r="AB1590" i="25" s="1"/>
  <c r="V89" i="12" a="1"/>
  <c r="V89" i="12" s="1"/>
  <c r="AG1590" i="25" s="1"/>
  <c r="R89" i="12" a="1"/>
  <c r="R89" i="12" s="1"/>
  <c r="AC1590" i="25" s="1"/>
  <c r="P89" i="12" a="1"/>
  <c r="P89" i="12" s="1"/>
  <c r="AA1590" i="25" s="1"/>
  <c r="S89" i="12" a="1"/>
  <c r="S89" i="12" s="1"/>
  <c r="AD1590" i="25" s="1"/>
  <c r="V102" i="12" a="1"/>
  <c r="V102" i="12" s="1"/>
  <c r="AG1603" i="25" s="1"/>
  <c r="R102" i="12" a="1"/>
  <c r="R102" i="12" s="1"/>
  <c r="AC1603" i="25" s="1"/>
  <c r="P102" i="12" a="1"/>
  <c r="P102" i="12" s="1"/>
  <c r="AA1603" i="25" s="1"/>
  <c r="S102" i="12" a="1"/>
  <c r="S102" i="12" s="1"/>
  <c r="AD1603" i="25" s="1"/>
  <c r="Q102" i="12" a="1"/>
  <c r="Q102" i="12" s="1"/>
  <c r="AB1603" i="25" s="1"/>
  <c r="V94" i="12" a="1"/>
  <c r="V94" i="12" s="1"/>
  <c r="AG1595" i="25" s="1"/>
  <c r="R94" i="12" a="1"/>
  <c r="R94" i="12" s="1"/>
  <c r="AC1595" i="25" s="1"/>
  <c r="P94" i="12" a="1"/>
  <c r="P94" i="12" s="1"/>
  <c r="AA1595" i="25" s="1"/>
  <c r="S94" i="12" a="1"/>
  <c r="S94" i="12" s="1"/>
  <c r="AD1595" i="25" s="1"/>
  <c r="Q94" i="12" a="1"/>
  <c r="Q94" i="12" s="1"/>
  <c r="AB1595" i="25" s="1"/>
  <c r="V86" i="12" a="1"/>
  <c r="V86" i="12" s="1"/>
  <c r="AG1587" i="25" s="1"/>
  <c r="R86" i="12" a="1"/>
  <c r="R86" i="12" s="1"/>
  <c r="AC1587" i="25" s="1"/>
  <c r="P86" i="12" a="1"/>
  <c r="P86" i="12" s="1"/>
  <c r="AA1587" i="25" s="1"/>
  <c r="S86" i="12" a="1"/>
  <c r="S86" i="12" s="1"/>
  <c r="AD1587" i="25" s="1"/>
  <c r="Q86" i="12" a="1"/>
  <c r="Q86" i="12" s="1"/>
  <c r="AB1587" i="25" s="1"/>
  <c r="V85" i="12" a="1"/>
  <c r="V85" i="12" s="1"/>
  <c r="AG1586" i="25" s="1"/>
  <c r="R85" i="12" a="1"/>
  <c r="R85" i="12" s="1"/>
  <c r="AC1586" i="25" s="1"/>
  <c r="P85" i="12" a="1"/>
  <c r="P85" i="12" s="1"/>
  <c r="AA1586" i="25" s="1"/>
  <c r="S85" i="12" a="1"/>
  <c r="S85" i="12" s="1"/>
  <c r="AD1586" i="25" s="1"/>
  <c r="Q85" i="12" a="1"/>
  <c r="Q85" i="12" s="1"/>
  <c r="AB1586" i="25" s="1"/>
  <c r="O78" i="12" a="1"/>
  <c r="O78" i="12" s="1"/>
  <c r="Z1582" i="25" s="1"/>
  <c r="R78" i="12" a="1"/>
  <c r="R78" i="12" s="1"/>
  <c r="AC1582" i="25" s="1"/>
  <c r="P78" i="12" a="1"/>
  <c r="P78" i="12" s="1"/>
  <c r="AA1582" i="25" s="1"/>
  <c r="S78" i="12" a="1"/>
  <c r="S78" i="12" s="1"/>
  <c r="AD1582" i="25" s="1"/>
  <c r="Q78" i="12" a="1"/>
  <c r="Q78" i="12" s="1"/>
  <c r="AB1582" i="25" s="1"/>
  <c r="V78" i="12" a="1"/>
  <c r="V78" i="12" s="1"/>
  <c r="AG1582" i="25" s="1"/>
  <c r="V75" i="12" a="1"/>
  <c r="V75" i="12" s="1"/>
  <c r="AG1579" i="25" s="1"/>
  <c r="O75" i="12" a="1"/>
  <c r="O75" i="12" s="1"/>
  <c r="Z1579" i="25" s="1"/>
  <c r="P75" i="12" a="1"/>
  <c r="P75" i="12" s="1"/>
  <c r="AA1579" i="25" s="1"/>
  <c r="Q75" i="12" a="1"/>
  <c r="Q75" i="12" s="1"/>
  <c r="AB1579" i="25" s="1"/>
  <c r="R75" i="12" a="1"/>
  <c r="R75" i="12" s="1"/>
  <c r="AC1579" i="25" s="1"/>
  <c r="S75" i="12" a="1"/>
  <c r="S75" i="12" s="1"/>
  <c r="AD1579" i="25" s="1"/>
  <c r="R67" i="12" a="1"/>
  <c r="R67" i="12" s="1"/>
  <c r="AC1571" i="25" s="1"/>
  <c r="S67" i="12" a="1"/>
  <c r="S67" i="12" s="1"/>
  <c r="AD1571" i="25" s="1"/>
  <c r="P67" i="12" a="1"/>
  <c r="P67" i="12" s="1"/>
  <c r="AA1571" i="25" s="1"/>
  <c r="Q67" i="12" a="1"/>
  <c r="Q67" i="12" s="1"/>
  <c r="AB1571" i="25" s="1"/>
  <c r="V67" i="12" a="1"/>
  <c r="V67" i="12" s="1"/>
  <c r="AG1571" i="25" s="1"/>
  <c r="O67" i="12" a="1"/>
  <c r="O67" i="12" s="1"/>
  <c r="Z1571" i="25" s="1"/>
  <c r="V59" i="12" a="1"/>
  <c r="V59" i="12" s="1"/>
  <c r="AG1563" i="25" s="1"/>
  <c r="R59" i="12" a="1"/>
  <c r="R59" i="12" s="1"/>
  <c r="AC1563" i="25" s="1"/>
  <c r="S59" i="12" a="1"/>
  <c r="S59" i="12" s="1"/>
  <c r="AD1563" i="25" s="1"/>
  <c r="O59" i="12" a="1"/>
  <c r="O59" i="12" s="1"/>
  <c r="Z1563" i="25" s="1"/>
  <c r="P59" i="12" a="1"/>
  <c r="P59" i="12" s="1"/>
  <c r="AA1563" i="25" s="1"/>
  <c r="Q59" i="12" a="1"/>
  <c r="Q59" i="12" s="1"/>
  <c r="AB1563" i="25" s="1"/>
  <c r="V73" i="12" a="1"/>
  <c r="V73" i="12" s="1"/>
  <c r="AG1577" i="25" s="1"/>
  <c r="R73" i="12" a="1"/>
  <c r="R73" i="12" s="1"/>
  <c r="AC1577" i="25" s="1"/>
  <c r="S73" i="12" a="1"/>
  <c r="S73" i="12" s="1"/>
  <c r="AD1577" i="25" s="1"/>
  <c r="O73" i="12" a="1"/>
  <c r="O73" i="12" s="1"/>
  <c r="Z1577" i="25" s="1"/>
  <c r="P73" i="12" a="1"/>
  <c r="P73" i="12" s="1"/>
  <c r="AA1577" i="25" s="1"/>
  <c r="Q73" i="12" a="1"/>
  <c r="Q73" i="12" s="1"/>
  <c r="AB1577" i="25" s="1"/>
  <c r="P65" i="12" a="1"/>
  <c r="P65" i="12" s="1"/>
  <c r="AA1569" i="25" s="1"/>
  <c r="V65" i="12" a="1"/>
  <c r="V65" i="12" s="1"/>
  <c r="AG1569" i="25" s="1"/>
  <c r="Q65" i="12" a="1"/>
  <c r="Q65" i="12" s="1"/>
  <c r="AB1569" i="25" s="1"/>
  <c r="S65" i="12" a="1"/>
  <c r="S65" i="12" s="1"/>
  <c r="AD1569" i="25" s="1"/>
  <c r="R65" i="12" a="1"/>
  <c r="R65" i="12" s="1"/>
  <c r="AC1569" i="25" s="1"/>
  <c r="O65" i="12" a="1"/>
  <c r="O65" i="12" s="1"/>
  <c r="Z1569" i="25" s="1"/>
  <c r="S57" i="12" a="1"/>
  <c r="S57" i="12" s="1"/>
  <c r="AD1561" i="25" s="1"/>
  <c r="O57" i="12" a="1"/>
  <c r="O57" i="12" s="1"/>
  <c r="Z1561" i="25" s="1"/>
  <c r="R57" i="12" a="1"/>
  <c r="R57" i="12" s="1"/>
  <c r="AC1561" i="25" s="1"/>
  <c r="P57" i="12" a="1"/>
  <c r="P57" i="12" s="1"/>
  <c r="AA1561" i="25" s="1"/>
  <c r="Q57" i="12" a="1"/>
  <c r="Q57" i="12" s="1"/>
  <c r="AB1561" i="25" s="1"/>
  <c r="V57" i="12" a="1"/>
  <c r="V57" i="12" s="1"/>
  <c r="AG1561" i="25" s="1"/>
  <c r="V70" i="12" a="1"/>
  <c r="V70" i="12" s="1"/>
  <c r="AG1574" i="25" s="1"/>
  <c r="Q70" i="12" a="1"/>
  <c r="Q70" i="12" s="1"/>
  <c r="AB1574" i="25" s="1"/>
  <c r="S70" i="12" a="1"/>
  <c r="S70" i="12" s="1"/>
  <c r="AD1574" i="25" s="1"/>
  <c r="O70" i="12" a="1"/>
  <c r="O70" i="12" s="1"/>
  <c r="Z1574" i="25" s="1"/>
  <c r="R70" i="12" a="1"/>
  <c r="R70" i="12" s="1"/>
  <c r="AC1574" i="25" s="1"/>
  <c r="P70" i="12" a="1"/>
  <c r="P70" i="12" s="1"/>
  <c r="AA1574" i="25" s="1"/>
  <c r="P62" i="12" a="1"/>
  <c r="P62" i="12" s="1"/>
  <c r="AA1566" i="25" s="1"/>
  <c r="R62" i="12" a="1"/>
  <c r="R62" i="12" s="1"/>
  <c r="AC1566" i="25" s="1"/>
  <c r="S62" i="12" a="1"/>
  <c r="S62" i="12" s="1"/>
  <c r="AD1566" i="25" s="1"/>
  <c r="V62" i="12" a="1"/>
  <c r="V62" i="12" s="1"/>
  <c r="AG1566" i="25" s="1"/>
  <c r="O62" i="12" a="1"/>
  <c r="O62" i="12" s="1"/>
  <c r="Z1566" i="25" s="1"/>
  <c r="Q62" i="12" a="1"/>
  <c r="Q62" i="12" s="1"/>
  <c r="AB1566" i="25" s="1"/>
  <c r="V80" i="12" a="1"/>
  <c r="V80" i="12" s="1"/>
  <c r="AG1584" i="25" s="1"/>
  <c r="O80" i="12" a="1"/>
  <c r="O80" i="12" s="1"/>
  <c r="Z1584" i="25" s="1"/>
  <c r="S80" i="12" a="1"/>
  <c r="S80" i="12" s="1"/>
  <c r="AD1584" i="25" s="1"/>
  <c r="P80" i="12" a="1"/>
  <c r="P80" i="12" s="1"/>
  <c r="AA1584" i="25" s="1"/>
  <c r="R80" i="12" a="1"/>
  <c r="R80" i="12" s="1"/>
  <c r="AC1584" i="25" s="1"/>
  <c r="Q80" i="12" a="1"/>
  <c r="Q80" i="12" s="1"/>
  <c r="AB1584" i="25" s="1"/>
  <c r="R72" i="12" a="1"/>
  <c r="R72" i="12" s="1"/>
  <c r="AC1576" i="25" s="1"/>
  <c r="Q72" i="12" a="1"/>
  <c r="Q72" i="12" s="1"/>
  <c r="AB1576" i="25" s="1"/>
  <c r="P72" i="12" a="1"/>
  <c r="P72" i="12" s="1"/>
  <c r="AA1576" i="25" s="1"/>
  <c r="S72" i="12" a="1"/>
  <c r="S72" i="12" s="1"/>
  <c r="AD1576" i="25" s="1"/>
  <c r="O72" i="12" a="1"/>
  <c r="O72" i="12" s="1"/>
  <c r="Z1576" i="25" s="1"/>
  <c r="V72" i="12" a="1"/>
  <c r="V72" i="12" s="1"/>
  <c r="AG1576" i="25" s="1"/>
  <c r="V64" i="12" a="1"/>
  <c r="V64" i="12" s="1"/>
  <c r="AG1568" i="25" s="1"/>
  <c r="P64" i="12" a="1"/>
  <c r="P64" i="12" s="1"/>
  <c r="AA1568" i="25" s="1"/>
  <c r="Q64" i="12" a="1"/>
  <c r="Q64" i="12" s="1"/>
  <c r="AB1568" i="25" s="1"/>
  <c r="R64" i="12" a="1"/>
  <c r="R64" i="12" s="1"/>
  <c r="AC1568" i="25" s="1"/>
  <c r="S64" i="12" a="1"/>
  <c r="S64" i="12" s="1"/>
  <c r="AD1568" i="25" s="1"/>
  <c r="O64" i="12" a="1"/>
  <c r="O64" i="12" s="1"/>
  <c r="Z1568" i="25" s="1"/>
  <c r="O56" i="12" a="1"/>
  <c r="O56" i="12" s="1"/>
  <c r="Z1560" i="25" s="1"/>
  <c r="P56" i="12" a="1"/>
  <c r="P56" i="12" s="1"/>
  <c r="AA1560" i="25" s="1"/>
  <c r="R56" i="12" a="1"/>
  <c r="R56" i="12" s="1"/>
  <c r="AC1560" i="25" s="1"/>
  <c r="V56" i="12" a="1"/>
  <c r="V56" i="12" s="1"/>
  <c r="AG1560" i="25" s="1"/>
  <c r="Q56" i="12" a="1"/>
  <c r="Q56" i="12" s="1"/>
  <c r="AB1560" i="25" s="1"/>
  <c r="S56" i="12" a="1"/>
  <c r="S56" i="12" s="1"/>
  <c r="AD1560" i="25" s="1"/>
  <c r="R58" i="12" a="1"/>
  <c r="R58" i="12" s="1"/>
  <c r="AC1562" i="25" s="1"/>
  <c r="S58" i="12" a="1"/>
  <c r="S58" i="12" s="1"/>
  <c r="AD1562" i="25" s="1"/>
  <c r="O58" i="12" a="1"/>
  <c r="O58" i="12" s="1"/>
  <c r="Z1562" i="25" s="1"/>
  <c r="Q58" i="12" a="1"/>
  <c r="Q58" i="12" s="1"/>
  <c r="AB1562" i="25" s="1"/>
  <c r="P58" i="12" a="1"/>
  <c r="P58" i="12" s="1"/>
  <c r="AA1562" i="25" s="1"/>
  <c r="V58" i="12" a="1"/>
  <c r="V58" i="12" s="1"/>
  <c r="AG1562" i="25" s="1"/>
  <c r="O79" i="12" a="1"/>
  <c r="O79" i="12" s="1"/>
  <c r="Z1583" i="25" s="1"/>
  <c r="P79" i="12" a="1"/>
  <c r="P79" i="12" s="1"/>
  <c r="AA1583" i="25" s="1"/>
  <c r="Q79" i="12" a="1"/>
  <c r="Q79" i="12" s="1"/>
  <c r="AB1583" i="25" s="1"/>
  <c r="R79" i="12" a="1"/>
  <c r="R79" i="12" s="1"/>
  <c r="AC1583" i="25" s="1"/>
  <c r="V79" i="12" a="1"/>
  <c r="V79" i="12" s="1"/>
  <c r="AG1583" i="25" s="1"/>
  <c r="S79" i="12" a="1"/>
  <c r="S79" i="12" s="1"/>
  <c r="AD1583" i="25" s="1"/>
  <c r="R71" i="12" a="1"/>
  <c r="R71" i="12" s="1"/>
  <c r="AC1575" i="25" s="1"/>
  <c r="S71" i="12" a="1"/>
  <c r="S71" i="12" s="1"/>
  <c r="AD1575" i="25" s="1"/>
  <c r="V71" i="12" a="1"/>
  <c r="V71" i="12" s="1"/>
  <c r="AG1575" i="25" s="1"/>
  <c r="O71" i="12" a="1"/>
  <c r="O71" i="12" s="1"/>
  <c r="Z1575" i="25" s="1"/>
  <c r="Q71" i="12" a="1"/>
  <c r="Q71" i="12" s="1"/>
  <c r="AB1575" i="25" s="1"/>
  <c r="P71" i="12" a="1"/>
  <c r="P71" i="12" s="1"/>
  <c r="AA1575" i="25" s="1"/>
  <c r="Q63" i="12" a="1"/>
  <c r="Q63" i="12" s="1"/>
  <c r="AB1567" i="25" s="1"/>
  <c r="R63" i="12" a="1"/>
  <c r="R63" i="12" s="1"/>
  <c r="AC1567" i="25" s="1"/>
  <c r="V63" i="12" a="1"/>
  <c r="V63" i="12" s="1"/>
  <c r="AG1567" i="25" s="1"/>
  <c r="P63" i="12" a="1"/>
  <c r="P63" i="12" s="1"/>
  <c r="AA1567" i="25" s="1"/>
  <c r="S63" i="12" a="1"/>
  <c r="S63" i="12" s="1"/>
  <c r="AD1567" i="25" s="1"/>
  <c r="O63" i="12" a="1"/>
  <c r="O63" i="12" s="1"/>
  <c r="Z1567" i="25" s="1"/>
  <c r="S77" i="12" a="1"/>
  <c r="S77" i="12" s="1"/>
  <c r="AD1581" i="25" s="1"/>
  <c r="P77" i="12" a="1"/>
  <c r="P77" i="12" s="1"/>
  <c r="AA1581" i="25" s="1"/>
  <c r="Q77" i="12" a="1"/>
  <c r="Q77" i="12" s="1"/>
  <c r="AB1581" i="25" s="1"/>
  <c r="V77" i="12" a="1"/>
  <c r="V77" i="12" s="1"/>
  <c r="AG1581" i="25" s="1"/>
  <c r="R77" i="12" a="1"/>
  <c r="R77" i="12" s="1"/>
  <c r="AC1581" i="25" s="1"/>
  <c r="O77" i="12" a="1"/>
  <c r="O77" i="12" s="1"/>
  <c r="Z1581" i="25" s="1"/>
  <c r="S69" i="12" a="1"/>
  <c r="S69" i="12" s="1"/>
  <c r="AD1573" i="25" s="1"/>
  <c r="V69" i="12" a="1"/>
  <c r="V69" i="12" s="1"/>
  <c r="AG1573" i="25" s="1"/>
  <c r="O69" i="12" a="1"/>
  <c r="O69" i="12" s="1"/>
  <c r="Z1573" i="25" s="1"/>
  <c r="P69" i="12" a="1"/>
  <c r="P69" i="12" s="1"/>
  <c r="AA1573" i="25" s="1"/>
  <c r="Q69" i="12" a="1"/>
  <c r="Q69" i="12" s="1"/>
  <c r="AB1573" i="25" s="1"/>
  <c r="R69" i="12" a="1"/>
  <c r="R69" i="12" s="1"/>
  <c r="AC1573" i="25" s="1"/>
  <c r="R61" i="12" a="1"/>
  <c r="R61" i="12" s="1"/>
  <c r="AC1565" i="25" s="1"/>
  <c r="S61" i="12" a="1"/>
  <c r="S61" i="12" s="1"/>
  <c r="AD1565" i="25" s="1"/>
  <c r="Q61" i="12" a="1"/>
  <c r="Q61" i="12" s="1"/>
  <c r="AB1565" i="25" s="1"/>
  <c r="V61" i="12" a="1"/>
  <c r="V61" i="12" s="1"/>
  <c r="AG1565" i="25" s="1"/>
  <c r="O61" i="12" a="1"/>
  <c r="O61" i="12" s="1"/>
  <c r="Z1565" i="25" s="1"/>
  <c r="P61" i="12" a="1"/>
  <c r="P61" i="12" s="1"/>
  <c r="AA1565" i="25" s="1"/>
  <c r="Q74" i="12" a="1"/>
  <c r="Q74" i="12" s="1"/>
  <c r="AB1578" i="25" s="1"/>
  <c r="P74" i="12" a="1"/>
  <c r="P74" i="12" s="1"/>
  <c r="AA1578" i="25" s="1"/>
  <c r="R74" i="12" a="1"/>
  <c r="R74" i="12" s="1"/>
  <c r="AC1578" i="25" s="1"/>
  <c r="V74" i="12" a="1"/>
  <c r="V74" i="12" s="1"/>
  <c r="AG1578" i="25" s="1"/>
  <c r="S74" i="12" a="1"/>
  <c r="S74" i="12" s="1"/>
  <c r="AD1578" i="25" s="1"/>
  <c r="O74" i="12" a="1"/>
  <c r="O74" i="12" s="1"/>
  <c r="Z1578" i="25" s="1"/>
  <c r="P66" i="12" a="1"/>
  <c r="P66" i="12" s="1"/>
  <c r="AA1570" i="25" s="1"/>
  <c r="V66" i="12" a="1"/>
  <c r="V66" i="12" s="1"/>
  <c r="AG1570" i="25" s="1"/>
  <c r="Q66" i="12" a="1"/>
  <c r="Q66" i="12" s="1"/>
  <c r="AB1570" i="25" s="1"/>
  <c r="S66" i="12" a="1"/>
  <c r="S66" i="12" s="1"/>
  <c r="AD1570" i="25" s="1"/>
  <c r="O66" i="12" a="1"/>
  <c r="O66" i="12" s="1"/>
  <c r="Z1570" i="25" s="1"/>
  <c r="R66" i="12" a="1"/>
  <c r="R66" i="12" s="1"/>
  <c r="AC1570" i="25" s="1"/>
  <c r="P76" i="12" a="1"/>
  <c r="P76" i="12" s="1"/>
  <c r="AA1580" i="25" s="1"/>
  <c r="V76" i="12" a="1"/>
  <c r="V76" i="12" s="1"/>
  <c r="AG1580" i="25" s="1"/>
  <c r="Q76" i="12" a="1"/>
  <c r="Q76" i="12" s="1"/>
  <c r="AB1580" i="25" s="1"/>
  <c r="S76" i="12" a="1"/>
  <c r="S76" i="12" s="1"/>
  <c r="AD1580" i="25" s="1"/>
  <c r="O76" i="12" a="1"/>
  <c r="O76" i="12" s="1"/>
  <c r="Z1580" i="25" s="1"/>
  <c r="R76" i="12" a="1"/>
  <c r="R76" i="12" s="1"/>
  <c r="AC1580" i="25" s="1"/>
  <c r="O68" i="12" a="1"/>
  <c r="O68" i="12" s="1"/>
  <c r="Z1572" i="25" s="1"/>
  <c r="V68" i="12" a="1"/>
  <c r="V68" i="12" s="1"/>
  <c r="AG1572" i="25" s="1"/>
  <c r="S68" i="12" a="1"/>
  <c r="S68" i="12" s="1"/>
  <c r="AD1572" i="25" s="1"/>
  <c r="P68" i="12" a="1"/>
  <c r="P68" i="12" s="1"/>
  <c r="AA1572" i="25" s="1"/>
  <c r="Q68" i="12" a="1"/>
  <c r="Q68" i="12" s="1"/>
  <c r="AB1572" i="25" s="1"/>
  <c r="R68" i="12" a="1"/>
  <c r="R68" i="12" s="1"/>
  <c r="AC1572" i="25" s="1"/>
  <c r="V84" i="12" a="1"/>
  <c r="V84" i="12" s="1"/>
  <c r="AG1585" i="25" s="1"/>
  <c r="O84" i="12" a="1"/>
  <c r="O84" i="12" s="1"/>
  <c r="Z1585" i="25" s="1"/>
  <c r="O89" i="12" a="1"/>
  <c r="O89" i="12" s="1"/>
  <c r="Z1590" i="25" s="1"/>
  <c r="O98" i="12" a="1"/>
  <c r="O98" i="12" s="1"/>
  <c r="Z1599" i="25" s="1"/>
  <c r="Q84" i="12" a="1"/>
  <c r="Q84" i="12" s="1"/>
  <c r="AB1585" i="25" s="1"/>
  <c r="O99" i="12" a="1"/>
  <c r="O99" i="12" s="1"/>
  <c r="Z1600" i="25" s="1"/>
  <c r="O91" i="12" a="1"/>
  <c r="O91" i="12" s="1"/>
  <c r="Z1592" i="25" s="1"/>
  <c r="O96" i="12" a="1"/>
  <c r="O96" i="12" s="1"/>
  <c r="Z1597" i="25" s="1"/>
  <c r="O102" i="12" a="1"/>
  <c r="O102" i="12" s="1"/>
  <c r="Z1603" i="25" s="1"/>
  <c r="O85" i="12" a="1"/>
  <c r="O85" i="12" s="1"/>
  <c r="Z1586" i="25" s="1"/>
  <c r="O94" i="12" a="1"/>
  <c r="O94" i="12" s="1"/>
  <c r="Z1595" i="25" s="1"/>
  <c r="O103" i="12" a="1"/>
  <c r="O103" i="12" s="1"/>
  <c r="Z1604" i="25" s="1"/>
  <c r="O90" i="12" a="1"/>
  <c r="O90" i="12" s="1"/>
  <c r="Z1591" i="25" s="1"/>
  <c r="R84" i="12" a="1"/>
  <c r="R84" i="12" s="1"/>
  <c r="AC1585" i="25" s="1"/>
  <c r="O100" i="12" a="1"/>
  <c r="O100" i="12" s="1"/>
  <c r="Z1601" i="25" s="1"/>
  <c r="P84" i="12" a="1"/>
  <c r="P84" i="12" s="1"/>
  <c r="AA1585" i="25" s="1"/>
  <c r="O104" i="12" a="1"/>
  <c r="O104" i="12" s="1"/>
  <c r="Z1605" i="25" s="1"/>
  <c r="O101" i="12" a="1"/>
  <c r="O101" i="12" s="1"/>
  <c r="Z1602" i="25" s="1"/>
  <c r="O88" i="12" a="1"/>
  <c r="O88" i="12" s="1"/>
  <c r="Z1589" i="25" s="1"/>
  <c r="O86" i="12" a="1"/>
  <c r="O86" i="12" s="1"/>
  <c r="Z1587" i="25" s="1"/>
  <c r="O95" i="12" a="1"/>
  <c r="O95" i="12" s="1"/>
  <c r="Z1596" i="25" s="1"/>
  <c r="O105" i="12" a="1"/>
  <c r="O105" i="12" s="1"/>
  <c r="Z1606" i="25" s="1"/>
  <c r="O87" i="12" a="1"/>
  <c r="O87" i="12" s="1"/>
  <c r="Z1588" i="25" s="1"/>
  <c r="S84" i="12" a="1"/>
  <c r="S84" i="12" s="1"/>
  <c r="AD1585" i="25" s="1"/>
  <c r="O92" i="12" a="1"/>
  <c r="O92" i="12" s="1"/>
  <c r="Z1593" i="25" s="1"/>
  <c r="O97" i="12" a="1"/>
  <c r="O97" i="12" s="1"/>
  <c r="Z1598" i="25" s="1"/>
  <c r="O93" i="12" a="1"/>
  <c r="O93" i="12" s="1"/>
  <c r="Z1594" i="25" s="1"/>
  <c r="R60" i="12" a="1"/>
  <c r="R60" i="12" s="1"/>
  <c r="AC1564" i="25" s="1"/>
  <c r="S60" i="12" a="1"/>
  <c r="S60" i="12" s="1"/>
  <c r="AD1564" i="25" s="1"/>
  <c r="O60" i="12" a="1"/>
  <c r="O60" i="12" s="1"/>
  <c r="Z1564" i="25" s="1"/>
  <c r="P60" i="12" a="1"/>
  <c r="P60" i="12" s="1"/>
  <c r="AA1564" i="25" s="1"/>
  <c r="Q60" i="12" a="1"/>
  <c r="Q60" i="12" s="1"/>
  <c r="AB1564" i="25" s="1"/>
  <c r="L34" i="12"/>
  <c r="W1542" i="25" s="1"/>
  <c r="AJ1542" i="25" s="1"/>
  <c r="V34" i="12" a="1"/>
  <c r="V34" i="12" s="1"/>
  <c r="AG1542" i="25" s="1"/>
  <c r="P34" i="12" a="1"/>
  <c r="P34" i="12" s="1"/>
  <c r="AA1542" i="25" s="1"/>
  <c r="Q34" i="12" a="1"/>
  <c r="Q34" i="12" s="1"/>
  <c r="AB1542" i="25" s="1"/>
  <c r="S34" i="12" a="1"/>
  <c r="S34" i="12" s="1"/>
  <c r="AD1542" i="25" s="1"/>
  <c r="O34" i="12" a="1"/>
  <c r="O34" i="12" s="1"/>
  <c r="Z1542" i="25" s="1"/>
  <c r="R34" i="12" a="1"/>
  <c r="R34" i="12" s="1"/>
  <c r="AC1542" i="25" s="1"/>
  <c r="L18" i="12"/>
  <c r="W1526" i="25" s="1"/>
  <c r="AJ1526" i="25" s="1"/>
  <c r="R18" i="12" a="1"/>
  <c r="R18" i="12" s="1"/>
  <c r="AC1526" i="25" s="1"/>
  <c r="O18" i="12" a="1"/>
  <c r="O18" i="12" s="1"/>
  <c r="Z1526" i="25" s="1"/>
  <c r="V18" i="12" a="1"/>
  <c r="V18" i="12" s="1"/>
  <c r="AG1526" i="25" s="1"/>
  <c r="S18" i="12" a="1"/>
  <c r="S18" i="12" s="1"/>
  <c r="AD1526" i="25" s="1"/>
  <c r="Q18" i="12" a="1"/>
  <c r="Q18" i="12" s="1"/>
  <c r="AB1526" i="25" s="1"/>
  <c r="P18" i="12" a="1"/>
  <c r="P18" i="12" s="1"/>
  <c r="AA1526" i="25" s="1"/>
  <c r="L46" i="12"/>
  <c r="W1554" i="25" s="1"/>
  <c r="AJ1554" i="25" s="1"/>
  <c r="O46" i="12" a="1"/>
  <c r="O46" i="12" s="1"/>
  <c r="Z1554" i="25" s="1"/>
  <c r="P46" i="12" a="1"/>
  <c r="P46" i="12" s="1"/>
  <c r="AA1554" i="25" s="1"/>
  <c r="V46" i="12" a="1"/>
  <c r="V46" i="12" s="1"/>
  <c r="AG1554" i="25" s="1"/>
  <c r="R46" i="12" a="1"/>
  <c r="R46" i="12" s="1"/>
  <c r="AC1554" i="25" s="1"/>
  <c r="Q46" i="12" a="1"/>
  <c r="Q46" i="12" s="1"/>
  <c r="AB1554" i="25" s="1"/>
  <c r="S46" i="12" a="1"/>
  <c r="S46" i="12" s="1"/>
  <c r="AD1554" i="25" s="1"/>
  <c r="L30" i="12"/>
  <c r="W1538" i="25" s="1"/>
  <c r="AJ1538" i="25" s="1"/>
  <c r="Q30" i="12" a="1"/>
  <c r="Q30" i="12" s="1"/>
  <c r="AB1538" i="25" s="1"/>
  <c r="S30" i="12" a="1"/>
  <c r="S30" i="12" s="1"/>
  <c r="AD1538" i="25" s="1"/>
  <c r="V30" i="12" a="1"/>
  <c r="V30" i="12" s="1"/>
  <c r="AG1538" i="25" s="1"/>
  <c r="R30" i="12" a="1"/>
  <c r="R30" i="12" s="1"/>
  <c r="AC1538" i="25" s="1"/>
  <c r="P30" i="12" a="1"/>
  <c r="P30" i="12" s="1"/>
  <c r="AA1538" i="25" s="1"/>
  <c r="O30" i="12" a="1"/>
  <c r="O30" i="12" s="1"/>
  <c r="Z1538" i="25" s="1"/>
  <c r="L22" i="12"/>
  <c r="W1530" i="25" s="1"/>
  <c r="AJ1530" i="25" s="1"/>
  <c r="P22" i="12" a="1"/>
  <c r="P22" i="12" s="1"/>
  <c r="AA1530" i="25" s="1"/>
  <c r="V22" i="12" a="1"/>
  <c r="V22" i="12" s="1"/>
  <c r="AG1530" i="25" s="1"/>
  <c r="Q22" i="12" a="1"/>
  <c r="Q22" i="12" s="1"/>
  <c r="AB1530" i="25" s="1"/>
  <c r="O22" i="12" a="1"/>
  <c r="O22" i="12" s="1"/>
  <c r="Z1530" i="25" s="1"/>
  <c r="R22" i="12" a="1"/>
  <c r="R22" i="12" s="1"/>
  <c r="AC1530" i="25" s="1"/>
  <c r="S22" i="12" a="1"/>
  <c r="S22" i="12" s="1"/>
  <c r="AD1530" i="25" s="1"/>
  <c r="L14" i="12"/>
  <c r="W1522" i="25" s="1"/>
  <c r="AJ1522" i="25" s="1"/>
  <c r="O14" i="12" a="1"/>
  <c r="O14" i="12" s="1"/>
  <c r="Z1522" i="25" s="1"/>
  <c r="V14" i="12" a="1"/>
  <c r="V14" i="12" s="1"/>
  <c r="AG1522" i="25" s="1"/>
  <c r="P14" i="12" a="1"/>
  <c r="P14" i="12" s="1"/>
  <c r="AA1522" i="25" s="1"/>
  <c r="R14" i="12" a="1"/>
  <c r="R14" i="12" s="1"/>
  <c r="AC1522" i="25" s="1"/>
  <c r="S14" i="12" a="1"/>
  <c r="S14" i="12" s="1"/>
  <c r="AD1522" i="25" s="1"/>
  <c r="Q14" i="12" a="1"/>
  <c r="Q14" i="12" s="1"/>
  <c r="AB1522" i="25" s="1"/>
  <c r="L43" i="12"/>
  <c r="W1551" i="25" s="1"/>
  <c r="AJ1551" i="25" s="1"/>
  <c r="P43" i="12" a="1"/>
  <c r="P43" i="12" s="1"/>
  <c r="AA1551" i="25" s="1"/>
  <c r="V43" i="12" a="1"/>
  <c r="V43" i="12" s="1"/>
  <c r="AG1551" i="25" s="1"/>
  <c r="R43" i="12" a="1"/>
  <c r="R43" i="12" s="1"/>
  <c r="AC1551" i="25" s="1"/>
  <c r="Q43" i="12" a="1"/>
  <c r="Q43" i="12" s="1"/>
  <c r="AB1551" i="25" s="1"/>
  <c r="O43" i="12" a="1"/>
  <c r="O43" i="12" s="1"/>
  <c r="Z1551" i="25" s="1"/>
  <c r="S43" i="12" a="1"/>
  <c r="S43" i="12" s="1"/>
  <c r="AD1551" i="25" s="1"/>
  <c r="L35" i="12"/>
  <c r="W1543" i="25" s="1"/>
  <c r="AJ1543" i="25" s="1"/>
  <c r="O35" i="12" a="1"/>
  <c r="O35" i="12" s="1"/>
  <c r="Z1543" i="25" s="1"/>
  <c r="V35" i="12" a="1"/>
  <c r="V35" i="12" s="1"/>
  <c r="AG1543" i="25" s="1"/>
  <c r="P35" i="12" a="1"/>
  <c r="P35" i="12" s="1"/>
  <c r="AA1543" i="25" s="1"/>
  <c r="S35" i="12" a="1"/>
  <c r="S35" i="12" s="1"/>
  <c r="AD1543" i="25" s="1"/>
  <c r="R35" i="12" a="1"/>
  <c r="R35" i="12" s="1"/>
  <c r="AC1543" i="25" s="1"/>
  <c r="Q35" i="12" a="1"/>
  <c r="Q35" i="12" s="1"/>
  <c r="AB1543" i="25" s="1"/>
  <c r="L27" i="12"/>
  <c r="W1535" i="25" s="1"/>
  <c r="AJ1535" i="25" s="1"/>
  <c r="V27" i="12" a="1"/>
  <c r="V27" i="12" s="1"/>
  <c r="AG1535" i="25" s="1"/>
  <c r="S27" i="12" a="1"/>
  <c r="S27" i="12" s="1"/>
  <c r="AD1535" i="25" s="1"/>
  <c r="O27" i="12" a="1"/>
  <c r="O27" i="12" s="1"/>
  <c r="Z1535" i="25" s="1"/>
  <c r="Q27" i="12" a="1"/>
  <c r="Q27" i="12" s="1"/>
  <c r="AB1535" i="25" s="1"/>
  <c r="R27" i="12" a="1"/>
  <c r="R27" i="12" s="1"/>
  <c r="AC1535" i="25" s="1"/>
  <c r="P27" i="12" a="1"/>
  <c r="P27" i="12" s="1"/>
  <c r="AA1535" i="25" s="1"/>
  <c r="L19" i="12"/>
  <c r="W1527" i="25" s="1"/>
  <c r="AJ1527" i="25" s="1"/>
  <c r="Q19" i="12" a="1"/>
  <c r="Q19" i="12" s="1"/>
  <c r="AB1527" i="25" s="1"/>
  <c r="S19" i="12" a="1"/>
  <c r="S19" i="12" s="1"/>
  <c r="AD1527" i="25" s="1"/>
  <c r="R19" i="12" a="1"/>
  <c r="R19" i="12" s="1"/>
  <c r="AC1527" i="25" s="1"/>
  <c r="V19" i="12" a="1"/>
  <c r="V19" i="12" s="1"/>
  <c r="AG1527" i="25" s="1"/>
  <c r="P19" i="12" a="1"/>
  <c r="P19" i="12" s="1"/>
  <c r="AA1527" i="25" s="1"/>
  <c r="O19" i="12" a="1"/>
  <c r="O19" i="12" s="1"/>
  <c r="Z1527" i="25" s="1"/>
  <c r="L11" i="12"/>
  <c r="W1519" i="25" s="1"/>
  <c r="AJ1519" i="25" s="1"/>
  <c r="P11" i="12" a="1"/>
  <c r="P11" i="12" s="1"/>
  <c r="AA1519" i="25" s="1"/>
  <c r="V11" i="12" a="1"/>
  <c r="V11" i="12" s="1"/>
  <c r="AG1519" i="25" s="1"/>
  <c r="R11" i="12" a="1"/>
  <c r="R11" i="12" s="1"/>
  <c r="AC1519" i="25" s="1"/>
  <c r="Q11" i="12" a="1"/>
  <c r="Q11" i="12" s="1"/>
  <c r="AB1519" i="25" s="1"/>
  <c r="O11" i="12" a="1"/>
  <c r="O11" i="12" s="1"/>
  <c r="Z1519" i="25" s="1"/>
  <c r="S11" i="12" a="1"/>
  <c r="S11" i="12" s="1"/>
  <c r="AD1519" i="25" s="1"/>
  <c r="L42" i="12"/>
  <c r="W1550" i="25" s="1"/>
  <c r="AJ1550" i="25" s="1"/>
  <c r="R42" i="12" a="1"/>
  <c r="R42" i="12" s="1"/>
  <c r="AC1550" i="25" s="1"/>
  <c r="Q42" i="12" a="1"/>
  <c r="Q42" i="12" s="1"/>
  <c r="AB1550" i="25" s="1"/>
  <c r="V42" i="12" a="1"/>
  <c r="V42" i="12" s="1"/>
  <c r="AG1550" i="25" s="1"/>
  <c r="P42" i="12" a="1"/>
  <c r="P42" i="12" s="1"/>
  <c r="AA1550" i="25" s="1"/>
  <c r="O42" i="12" a="1"/>
  <c r="O42" i="12" s="1"/>
  <c r="Z1550" i="25" s="1"/>
  <c r="S42" i="12" a="1"/>
  <c r="S42" i="12" s="1"/>
  <c r="AD1550" i="25" s="1"/>
  <c r="L47" i="12"/>
  <c r="W1555" i="25" s="1"/>
  <c r="AJ1555" i="25" s="1"/>
  <c r="V47" i="12" a="1"/>
  <c r="V47" i="12" s="1"/>
  <c r="AG1555" i="25" s="1"/>
  <c r="S47" i="12" a="1"/>
  <c r="S47" i="12" s="1"/>
  <c r="AD1555" i="25" s="1"/>
  <c r="O47" i="12" a="1"/>
  <c r="O47" i="12" s="1"/>
  <c r="Z1555" i="25" s="1"/>
  <c r="P47" i="12" a="1"/>
  <c r="P47" i="12" s="1"/>
  <c r="AA1555" i="25" s="1"/>
  <c r="R47" i="12" a="1"/>
  <c r="R47" i="12" s="1"/>
  <c r="AC1555" i="25" s="1"/>
  <c r="Q47" i="12" a="1"/>
  <c r="Q47" i="12" s="1"/>
  <c r="AB1555" i="25" s="1"/>
  <c r="L38" i="12"/>
  <c r="W1546" i="25" s="1"/>
  <c r="AJ1546" i="25" s="1"/>
  <c r="V38" i="12" a="1"/>
  <c r="V38" i="12" s="1"/>
  <c r="AG1546" i="25" s="1"/>
  <c r="R38" i="12" a="1"/>
  <c r="R38" i="12" s="1"/>
  <c r="AC1546" i="25" s="1"/>
  <c r="S38" i="12" a="1"/>
  <c r="S38" i="12" s="1"/>
  <c r="AD1546" i="25" s="1"/>
  <c r="O38" i="12" a="1"/>
  <c r="O38" i="12" s="1"/>
  <c r="Z1546" i="25" s="1"/>
  <c r="Q38" i="12" a="1"/>
  <c r="Q38" i="12" s="1"/>
  <c r="AB1546" i="25" s="1"/>
  <c r="P38" i="12" a="1"/>
  <c r="P38" i="12" s="1"/>
  <c r="AA1546" i="25" s="1"/>
  <c r="L48" i="12"/>
  <c r="W1556" i="25" s="1"/>
  <c r="AJ1556" i="25" s="1"/>
  <c r="S48" i="12" a="1"/>
  <c r="S48" i="12" s="1"/>
  <c r="AD1556" i="25" s="1"/>
  <c r="V48" i="12" a="1"/>
  <c r="V48" i="12" s="1"/>
  <c r="AG1556" i="25" s="1"/>
  <c r="O48" i="12" a="1"/>
  <c r="O48" i="12" s="1"/>
  <c r="Z1556" i="25" s="1"/>
  <c r="P48" i="12" a="1"/>
  <c r="P48" i="12" s="1"/>
  <c r="AA1556" i="25" s="1"/>
  <c r="Q48" i="12" a="1"/>
  <c r="Q48" i="12" s="1"/>
  <c r="AB1556" i="25" s="1"/>
  <c r="R48" i="12" a="1"/>
  <c r="R48" i="12" s="1"/>
  <c r="AC1556" i="25" s="1"/>
  <c r="L40" i="12"/>
  <c r="W1548" i="25" s="1"/>
  <c r="AJ1548" i="25" s="1"/>
  <c r="R40" i="12" a="1"/>
  <c r="R40" i="12" s="1"/>
  <c r="AC1548" i="25" s="1"/>
  <c r="S40" i="12" a="1"/>
  <c r="S40" i="12" s="1"/>
  <c r="AD1548" i="25" s="1"/>
  <c r="P40" i="12" a="1"/>
  <c r="P40" i="12" s="1"/>
  <c r="AA1548" i="25" s="1"/>
  <c r="Q40" i="12" a="1"/>
  <c r="Q40" i="12" s="1"/>
  <c r="AB1548" i="25" s="1"/>
  <c r="V40" i="12" a="1"/>
  <c r="V40" i="12" s="1"/>
  <c r="AG1548" i="25" s="1"/>
  <c r="O40" i="12" a="1"/>
  <c r="O40" i="12" s="1"/>
  <c r="Z1548" i="25" s="1"/>
  <c r="L32" i="12"/>
  <c r="W1540" i="25" s="1"/>
  <c r="AJ1540" i="25" s="1"/>
  <c r="P32" i="12" a="1"/>
  <c r="P32" i="12" s="1"/>
  <c r="AA1540" i="25" s="1"/>
  <c r="Q32" i="12" a="1"/>
  <c r="Q32" i="12" s="1"/>
  <c r="AB1540" i="25" s="1"/>
  <c r="R32" i="12" a="1"/>
  <c r="R32" i="12" s="1"/>
  <c r="AC1540" i="25" s="1"/>
  <c r="V32" i="12" a="1"/>
  <c r="V32" i="12" s="1"/>
  <c r="AG1540" i="25" s="1"/>
  <c r="O32" i="12" a="1"/>
  <c r="O32" i="12" s="1"/>
  <c r="Z1540" i="25" s="1"/>
  <c r="S32" i="12" a="1"/>
  <c r="S32" i="12" s="1"/>
  <c r="AD1540" i="25" s="1"/>
  <c r="L24" i="12"/>
  <c r="W1532" i="25" s="1"/>
  <c r="AJ1532" i="25" s="1"/>
  <c r="O24" i="12" a="1"/>
  <c r="O24" i="12" s="1"/>
  <c r="Z1532" i="25" s="1"/>
  <c r="Q24" i="12" a="1"/>
  <c r="Q24" i="12" s="1"/>
  <c r="AB1532" i="25" s="1"/>
  <c r="P24" i="12" a="1"/>
  <c r="P24" i="12" s="1"/>
  <c r="AA1532" i="25" s="1"/>
  <c r="V24" i="12" a="1"/>
  <c r="V24" i="12" s="1"/>
  <c r="AG1532" i="25" s="1"/>
  <c r="S24" i="12" a="1"/>
  <c r="S24" i="12" s="1"/>
  <c r="AD1532" i="25" s="1"/>
  <c r="R24" i="12" a="1"/>
  <c r="R24" i="12" s="1"/>
  <c r="AC1532" i="25" s="1"/>
  <c r="L16" i="12"/>
  <c r="W1524" i="25" s="1"/>
  <c r="AJ1524" i="25" s="1"/>
  <c r="S16" i="12" a="1"/>
  <c r="S16" i="12" s="1"/>
  <c r="AD1524" i="25" s="1"/>
  <c r="O16" i="12" a="1"/>
  <c r="O16" i="12" s="1"/>
  <c r="Z1524" i="25" s="1"/>
  <c r="V16" i="12" a="1"/>
  <c r="V16" i="12" s="1"/>
  <c r="AG1524" i="25" s="1"/>
  <c r="R16" i="12" a="1"/>
  <c r="R16" i="12" s="1"/>
  <c r="AC1524" i="25" s="1"/>
  <c r="P16" i="12" a="1"/>
  <c r="P16" i="12" s="1"/>
  <c r="AA1524" i="25" s="1"/>
  <c r="Q16" i="12" a="1"/>
  <c r="Q16" i="12" s="1"/>
  <c r="AB1524" i="25" s="1"/>
  <c r="L45" i="12"/>
  <c r="W1553" i="25" s="1"/>
  <c r="AJ1553" i="25" s="1"/>
  <c r="O45" i="12" a="1"/>
  <c r="O45" i="12" s="1"/>
  <c r="Z1553" i="25" s="1"/>
  <c r="P45" i="12" a="1"/>
  <c r="P45" i="12" s="1"/>
  <c r="AA1553" i="25" s="1"/>
  <c r="Q45" i="12" a="1"/>
  <c r="Q45" i="12" s="1"/>
  <c r="AB1553" i="25" s="1"/>
  <c r="R45" i="12" a="1"/>
  <c r="R45" i="12" s="1"/>
  <c r="AC1553" i="25" s="1"/>
  <c r="S45" i="12" a="1"/>
  <c r="S45" i="12" s="1"/>
  <c r="AD1553" i="25" s="1"/>
  <c r="V45" i="12" a="1"/>
  <c r="V45" i="12" s="1"/>
  <c r="AG1553" i="25" s="1"/>
  <c r="L37" i="12"/>
  <c r="W1545" i="25" s="1"/>
  <c r="AJ1545" i="25" s="1"/>
  <c r="S37" i="12" a="1"/>
  <c r="S37" i="12" s="1"/>
  <c r="AD1545" i="25" s="1"/>
  <c r="P37" i="12" a="1"/>
  <c r="P37" i="12" s="1"/>
  <c r="AA1545" i="25" s="1"/>
  <c r="O37" i="12" a="1"/>
  <c r="O37" i="12" s="1"/>
  <c r="Z1545" i="25" s="1"/>
  <c r="R37" i="12" a="1"/>
  <c r="R37" i="12" s="1"/>
  <c r="AC1545" i="25" s="1"/>
  <c r="V37" i="12" a="1"/>
  <c r="V37" i="12" s="1"/>
  <c r="AG1545" i="25" s="1"/>
  <c r="Q37" i="12" a="1"/>
  <c r="Q37" i="12" s="1"/>
  <c r="AB1545" i="25" s="1"/>
  <c r="L29" i="12"/>
  <c r="W1537" i="25" s="1"/>
  <c r="AJ1537" i="25" s="1"/>
  <c r="V29" i="12" a="1"/>
  <c r="V29" i="12" s="1"/>
  <c r="AG1537" i="25" s="1"/>
  <c r="S29" i="12" a="1"/>
  <c r="S29" i="12" s="1"/>
  <c r="AD1537" i="25" s="1"/>
  <c r="R29" i="12" a="1"/>
  <c r="R29" i="12" s="1"/>
  <c r="AC1537" i="25" s="1"/>
  <c r="Q29" i="12" a="1"/>
  <c r="Q29" i="12" s="1"/>
  <c r="AB1537" i="25" s="1"/>
  <c r="P29" i="12" a="1"/>
  <c r="P29" i="12" s="1"/>
  <c r="AA1537" i="25" s="1"/>
  <c r="O29" i="12" a="1"/>
  <c r="O29" i="12" s="1"/>
  <c r="Z1537" i="25" s="1"/>
  <c r="L21" i="12"/>
  <c r="W1529" i="25" s="1"/>
  <c r="AJ1529" i="25" s="1"/>
  <c r="V21" i="12" a="1"/>
  <c r="V21" i="12" s="1"/>
  <c r="AG1529" i="25" s="1"/>
  <c r="Q21" i="12" a="1"/>
  <c r="Q21" i="12" s="1"/>
  <c r="AB1529" i="25" s="1"/>
  <c r="R21" i="12" a="1"/>
  <c r="R21" i="12" s="1"/>
  <c r="AC1529" i="25" s="1"/>
  <c r="O21" i="12" a="1"/>
  <c r="O21" i="12" s="1"/>
  <c r="Z1529" i="25" s="1"/>
  <c r="P21" i="12" a="1"/>
  <c r="P21" i="12" s="1"/>
  <c r="AA1529" i="25" s="1"/>
  <c r="S21" i="12" a="1"/>
  <c r="S21" i="12" s="1"/>
  <c r="AD1529" i="25" s="1"/>
  <c r="L13" i="12"/>
  <c r="W1521" i="25" s="1"/>
  <c r="AJ1521" i="25" s="1"/>
  <c r="V13" i="12" a="1"/>
  <c r="V13" i="12" s="1"/>
  <c r="AG1521" i="25" s="1"/>
  <c r="O13" i="12" a="1"/>
  <c r="O13" i="12" s="1"/>
  <c r="Z1521" i="25" s="1"/>
  <c r="Q13" i="12" a="1"/>
  <c r="Q13" i="12" s="1"/>
  <c r="AB1521" i="25" s="1"/>
  <c r="P13" i="12" a="1"/>
  <c r="P13" i="12" s="1"/>
  <c r="AA1521" i="25" s="1"/>
  <c r="S13" i="12" a="1"/>
  <c r="S13" i="12" s="1"/>
  <c r="AD1521" i="25" s="1"/>
  <c r="R13" i="12" a="1"/>
  <c r="R13" i="12" s="1"/>
  <c r="AC1521" i="25" s="1"/>
  <c r="L26" i="12"/>
  <c r="W1534" i="25" s="1"/>
  <c r="AJ1534" i="25" s="1"/>
  <c r="S26" i="12" a="1"/>
  <c r="S26" i="12" s="1"/>
  <c r="AD1534" i="25" s="1"/>
  <c r="P26" i="12" a="1"/>
  <c r="P26" i="12" s="1"/>
  <c r="AA1534" i="25" s="1"/>
  <c r="O26" i="12" a="1"/>
  <c r="O26" i="12" s="1"/>
  <c r="Z1534" i="25" s="1"/>
  <c r="V26" i="12" a="1"/>
  <c r="V26" i="12" s="1"/>
  <c r="AG1534" i="25" s="1"/>
  <c r="R26" i="12" a="1"/>
  <c r="R26" i="12" s="1"/>
  <c r="AC1534" i="25" s="1"/>
  <c r="Q26" i="12" a="1"/>
  <c r="Q26" i="12" s="1"/>
  <c r="AB1534" i="25" s="1"/>
  <c r="L44" i="12"/>
  <c r="W1552" i="25" s="1"/>
  <c r="AJ1552" i="25" s="1"/>
  <c r="P44" i="12" a="1"/>
  <c r="P44" i="12" s="1"/>
  <c r="AA1552" i="25" s="1"/>
  <c r="V44" i="12" a="1"/>
  <c r="V44" i="12" s="1"/>
  <c r="AG1552" i="25" s="1"/>
  <c r="Q44" i="12" a="1"/>
  <c r="Q44" i="12" s="1"/>
  <c r="AB1552" i="25" s="1"/>
  <c r="S44" i="12" a="1"/>
  <c r="S44" i="12" s="1"/>
  <c r="AD1552" i="25" s="1"/>
  <c r="O44" i="12" a="1"/>
  <c r="O44" i="12" s="1"/>
  <c r="Z1552" i="25" s="1"/>
  <c r="R44" i="12" a="1"/>
  <c r="R44" i="12" s="1"/>
  <c r="AC1552" i="25" s="1"/>
  <c r="L36" i="12"/>
  <c r="W1544" i="25" s="1"/>
  <c r="AJ1544" i="25" s="1"/>
  <c r="S36" i="12" a="1"/>
  <c r="S36" i="12" s="1"/>
  <c r="AD1544" i="25" s="1"/>
  <c r="P36" i="12" a="1"/>
  <c r="P36" i="12" s="1"/>
  <c r="AA1544" i="25" s="1"/>
  <c r="O36" i="12" a="1"/>
  <c r="O36" i="12" s="1"/>
  <c r="Z1544" i="25" s="1"/>
  <c r="R36" i="12" a="1"/>
  <c r="R36" i="12" s="1"/>
  <c r="AC1544" i="25" s="1"/>
  <c r="V36" i="12" a="1"/>
  <c r="V36" i="12" s="1"/>
  <c r="AG1544" i="25" s="1"/>
  <c r="Q36" i="12" a="1"/>
  <c r="Q36" i="12" s="1"/>
  <c r="AB1544" i="25" s="1"/>
  <c r="L28" i="12"/>
  <c r="W1536" i="25" s="1"/>
  <c r="AJ1536" i="25" s="1"/>
  <c r="R28" i="12" a="1"/>
  <c r="R28" i="12" s="1"/>
  <c r="AC1536" i="25" s="1"/>
  <c r="O28" i="12" a="1"/>
  <c r="O28" i="12" s="1"/>
  <c r="Z1536" i="25" s="1"/>
  <c r="S28" i="12" a="1"/>
  <c r="S28" i="12" s="1"/>
  <c r="AD1536" i="25" s="1"/>
  <c r="V28" i="12" a="1"/>
  <c r="V28" i="12" s="1"/>
  <c r="AG1536" i="25" s="1"/>
  <c r="Q28" i="12" a="1"/>
  <c r="Q28" i="12" s="1"/>
  <c r="AB1536" i="25" s="1"/>
  <c r="P28" i="12" a="1"/>
  <c r="P28" i="12" s="1"/>
  <c r="AA1536" i="25" s="1"/>
  <c r="L20" i="12"/>
  <c r="W1528" i="25" s="1"/>
  <c r="AJ1528" i="25" s="1"/>
  <c r="Q20" i="12" a="1"/>
  <c r="Q20" i="12" s="1"/>
  <c r="AB1528" i="25" s="1"/>
  <c r="R20" i="12" a="1"/>
  <c r="R20" i="12" s="1"/>
  <c r="AC1528" i="25" s="1"/>
  <c r="V20" i="12" a="1"/>
  <c r="V20" i="12" s="1"/>
  <c r="AG1528" i="25" s="1"/>
  <c r="P20" i="12" a="1"/>
  <c r="P20" i="12" s="1"/>
  <c r="AA1528" i="25" s="1"/>
  <c r="S20" i="12" a="1"/>
  <c r="S20" i="12" s="1"/>
  <c r="AD1528" i="25" s="1"/>
  <c r="O20" i="12" a="1"/>
  <c r="O20" i="12" s="1"/>
  <c r="Z1528" i="25" s="1"/>
  <c r="L12" i="12"/>
  <c r="W1520" i="25" s="1"/>
  <c r="AJ1520" i="25" s="1"/>
  <c r="P12" i="12" a="1"/>
  <c r="P12" i="12" s="1"/>
  <c r="AA1520" i="25" s="1"/>
  <c r="Q12" i="12" a="1"/>
  <c r="Q12" i="12" s="1"/>
  <c r="AB1520" i="25" s="1"/>
  <c r="V12" i="12" a="1"/>
  <c r="V12" i="12" s="1"/>
  <c r="AG1520" i="25" s="1"/>
  <c r="S12" i="12" a="1"/>
  <c r="S12" i="12" s="1"/>
  <c r="AD1520" i="25" s="1"/>
  <c r="O12" i="12" a="1"/>
  <c r="O12" i="12" s="1"/>
  <c r="Z1520" i="25" s="1"/>
  <c r="R12" i="12" a="1"/>
  <c r="R12" i="12" s="1"/>
  <c r="AC1520" i="25" s="1"/>
  <c r="L39" i="12"/>
  <c r="W1547" i="25" s="1"/>
  <c r="AJ1547" i="25" s="1"/>
  <c r="R39" i="12" a="1"/>
  <c r="R39" i="12" s="1"/>
  <c r="AC1547" i="25" s="1"/>
  <c r="O39" i="12" a="1"/>
  <c r="O39" i="12" s="1"/>
  <c r="Z1547" i="25" s="1"/>
  <c r="V39" i="12" a="1"/>
  <c r="V39" i="12" s="1"/>
  <c r="AG1547" i="25" s="1"/>
  <c r="S39" i="12" a="1"/>
  <c r="S39" i="12" s="1"/>
  <c r="AD1547" i="25" s="1"/>
  <c r="Q39" i="12" a="1"/>
  <c r="Q39" i="12" s="1"/>
  <c r="AB1547" i="25" s="1"/>
  <c r="P39" i="12" a="1"/>
  <c r="P39" i="12" s="1"/>
  <c r="AA1547" i="25" s="1"/>
  <c r="L31" i="12"/>
  <c r="W1539" i="25" s="1"/>
  <c r="AJ1539" i="25" s="1"/>
  <c r="Q31" i="12" a="1"/>
  <c r="Q31" i="12" s="1"/>
  <c r="AB1539" i="25" s="1"/>
  <c r="R31" i="12" a="1"/>
  <c r="R31" i="12" s="1"/>
  <c r="AC1539" i="25" s="1"/>
  <c r="V31" i="12" a="1"/>
  <c r="V31" i="12" s="1"/>
  <c r="AG1539" i="25" s="1"/>
  <c r="P31" i="12" a="1"/>
  <c r="P31" i="12" s="1"/>
  <c r="AA1539" i="25" s="1"/>
  <c r="O31" i="12" a="1"/>
  <c r="O31" i="12" s="1"/>
  <c r="Z1539" i="25" s="1"/>
  <c r="S31" i="12" a="1"/>
  <c r="S31" i="12" s="1"/>
  <c r="AD1539" i="25" s="1"/>
  <c r="L23" i="12"/>
  <c r="W1531" i="25" s="1"/>
  <c r="AJ1531" i="25" s="1"/>
  <c r="Q23" i="12" a="1"/>
  <c r="Q23" i="12" s="1"/>
  <c r="AB1531" i="25" s="1"/>
  <c r="P23" i="12" a="1"/>
  <c r="P23" i="12" s="1"/>
  <c r="AA1531" i="25" s="1"/>
  <c r="S23" i="12" a="1"/>
  <c r="S23" i="12" s="1"/>
  <c r="AD1531" i="25" s="1"/>
  <c r="O23" i="12" a="1"/>
  <c r="O23" i="12" s="1"/>
  <c r="Z1531" i="25" s="1"/>
  <c r="V23" i="12" a="1"/>
  <c r="V23" i="12" s="1"/>
  <c r="AG1531" i="25" s="1"/>
  <c r="R23" i="12" a="1"/>
  <c r="R23" i="12" s="1"/>
  <c r="AC1531" i="25" s="1"/>
  <c r="L15" i="12"/>
  <c r="W1523" i="25" s="1"/>
  <c r="AJ1523" i="25" s="1"/>
  <c r="S15" i="12" a="1"/>
  <c r="S15" i="12" s="1"/>
  <c r="AD1523" i="25" s="1"/>
  <c r="O15" i="12" a="1"/>
  <c r="O15" i="12" s="1"/>
  <c r="Z1523" i="25" s="1"/>
  <c r="P15" i="12" a="1"/>
  <c r="P15" i="12" s="1"/>
  <c r="AA1523" i="25" s="1"/>
  <c r="V15" i="12" a="1"/>
  <c r="V15" i="12" s="1"/>
  <c r="AG1523" i="25" s="1"/>
  <c r="R15" i="12" a="1"/>
  <c r="R15" i="12" s="1"/>
  <c r="AC1523" i="25" s="1"/>
  <c r="Q15" i="12" a="1"/>
  <c r="Q15" i="12" s="1"/>
  <c r="AB1523" i="25" s="1"/>
  <c r="L41" i="12"/>
  <c r="W1549" i="25" s="1"/>
  <c r="AJ1549" i="25" s="1"/>
  <c r="Q41" i="12" a="1"/>
  <c r="Q41" i="12" s="1"/>
  <c r="AB1549" i="25" s="1"/>
  <c r="R41" i="12" a="1"/>
  <c r="R41" i="12" s="1"/>
  <c r="AC1549" i="25" s="1"/>
  <c r="V41" i="12" a="1"/>
  <c r="V41" i="12" s="1"/>
  <c r="AG1549" i="25" s="1"/>
  <c r="P41" i="12" a="1"/>
  <c r="P41" i="12" s="1"/>
  <c r="AA1549" i="25" s="1"/>
  <c r="O41" i="12" a="1"/>
  <c r="O41" i="12" s="1"/>
  <c r="Z1549" i="25" s="1"/>
  <c r="S41" i="12" a="1"/>
  <c r="S41" i="12" s="1"/>
  <c r="AD1549" i="25" s="1"/>
  <c r="L33" i="12"/>
  <c r="W1541" i="25" s="1"/>
  <c r="AJ1541" i="25" s="1"/>
  <c r="V33" i="12" a="1"/>
  <c r="V33" i="12" s="1"/>
  <c r="AG1541" i="25" s="1"/>
  <c r="P33" i="12" a="1"/>
  <c r="P33" i="12" s="1"/>
  <c r="AA1541" i="25" s="1"/>
  <c r="Q33" i="12" a="1"/>
  <c r="Q33" i="12" s="1"/>
  <c r="AB1541" i="25" s="1"/>
  <c r="S33" i="12" a="1"/>
  <c r="S33" i="12" s="1"/>
  <c r="AD1541" i="25" s="1"/>
  <c r="O33" i="12" a="1"/>
  <c r="O33" i="12" s="1"/>
  <c r="Z1541" i="25" s="1"/>
  <c r="R33" i="12" a="1"/>
  <c r="R33" i="12" s="1"/>
  <c r="AC1541" i="25" s="1"/>
  <c r="L25" i="12"/>
  <c r="W1533" i="25" s="1"/>
  <c r="AJ1533" i="25" s="1"/>
  <c r="V25" i="12" a="1"/>
  <c r="V25" i="12" s="1"/>
  <c r="AG1533" i="25" s="1"/>
  <c r="S25" i="12" a="1"/>
  <c r="S25" i="12" s="1"/>
  <c r="AD1533" i="25" s="1"/>
  <c r="O25" i="12" a="1"/>
  <c r="O25" i="12" s="1"/>
  <c r="Z1533" i="25" s="1"/>
  <c r="P25" i="12" a="1"/>
  <c r="P25" i="12" s="1"/>
  <c r="AA1533" i="25" s="1"/>
  <c r="R25" i="12" a="1"/>
  <c r="R25" i="12" s="1"/>
  <c r="AC1533" i="25" s="1"/>
  <c r="Q25" i="12" a="1"/>
  <c r="Q25" i="12" s="1"/>
  <c r="AB1533" i="25" s="1"/>
  <c r="L17" i="12"/>
  <c r="W1525" i="25" s="1"/>
  <c r="AJ1525" i="25" s="1"/>
  <c r="V17" i="12" a="1"/>
  <c r="V17" i="12" s="1"/>
  <c r="AG1525" i="25" s="1"/>
  <c r="R17" i="12" a="1"/>
  <c r="R17" i="12" s="1"/>
  <c r="AC1525" i="25" s="1"/>
  <c r="O17" i="12" a="1"/>
  <c r="O17" i="12" s="1"/>
  <c r="Z1525" i="25" s="1"/>
  <c r="S17" i="12" a="1"/>
  <c r="S17" i="12" s="1"/>
  <c r="AD1525" i="25" s="1"/>
  <c r="Q17" i="12" a="1"/>
  <c r="Q17" i="12" s="1"/>
  <c r="AB1525" i="25" s="1"/>
  <c r="P17" i="12" a="1"/>
  <c r="P17" i="12" s="1"/>
  <c r="AA1525" i="25" s="1"/>
  <c r="O10" i="12" l="1" a="1"/>
  <c r="O10" i="12" s="1"/>
  <c r="Z1518" i="25" s="1"/>
  <c r="P10" i="12" a="1"/>
  <c r="P10" i="12" s="1"/>
  <c r="AA1518" i="25" s="1"/>
  <c r="V10" i="12" a="1"/>
  <c r="V10" i="12" s="1"/>
  <c r="AG1518" i="25" s="1"/>
  <c r="S10" i="12" a="1"/>
  <c r="S10" i="12" s="1"/>
  <c r="AD1518" i="25" s="1"/>
  <c r="Q10" i="12" a="1"/>
  <c r="Q10" i="12" s="1"/>
  <c r="AB1518" i="25" s="1"/>
  <c r="R10" i="12" a="1"/>
  <c r="R10" i="12" s="1"/>
  <c r="AC1518" i="25" s="1"/>
  <c r="T1558" i="25"/>
  <c r="T1559" i="25"/>
  <c r="T1557" i="25"/>
  <c r="T1517" i="25"/>
  <c r="T1516" i="25"/>
  <c r="R9" i="12" a="1"/>
  <c r="R9" i="12" s="1"/>
  <c r="AC1517" i="25" s="1"/>
  <c r="O8" i="12" a="1"/>
  <c r="O8" i="12" s="1"/>
  <c r="Z1516" i="25" s="1"/>
  <c r="P9" i="12" a="1"/>
  <c r="P9" i="12" s="1"/>
  <c r="AA1517" i="25" s="1"/>
  <c r="V8" i="12" a="1"/>
  <c r="V8" i="12" s="1"/>
  <c r="AG1516" i="25" s="1"/>
  <c r="Q8" i="12" a="1"/>
  <c r="Q8" i="12" s="1"/>
  <c r="AB1516" i="25" s="1"/>
  <c r="S8" i="12" a="1"/>
  <c r="S8" i="12" s="1"/>
  <c r="AD1516" i="25" s="1"/>
  <c r="R8" i="12" a="1"/>
  <c r="R8" i="12" s="1"/>
  <c r="AC1516" i="25" s="1"/>
  <c r="P8" i="12" a="1"/>
  <c r="P8" i="12" s="1"/>
  <c r="AA1516" i="25" s="1"/>
  <c r="Q9" i="12" a="1"/>
  <c r="Q9" i="12" s="1"/>
  <c r="AB1517" i="25" s="1"/>
  <c r="V9" i="12" a="1"/>
  <c r="V9" i="12" s="1"/>
  <c r="AG1517" i="25" s="1"/>
  <c r="S9" i="12" a="1"/>
  <c r="S9" i="12" s="1"/>
  <c r="AD1517" i="25" s="1"/>
  <c r="O9" i="12" a="1"/>
  <c r="O9" i="12" s="1"/>
  <c r="Z1517" i="25" s="1"/>
  <c r="L92" i="12"/>
  <c r="L90" i="12"/>
  <c r="L93" i="12"/>
  <c r="L88" i="12"/>
  <c r="L94" i="12"/>
  <c r="L89" i="12"/>
  <c r="L104" i="12"/>
  <c r="L97" i="12"/>
  <c r="L101" i="12"/>
  <c r="L87" i="12"/>
  <c r="L100" i="12"/>
  <c r="L91" i="12"/>
  <c r="L96" i="12"/>
  <c r="L105" i="12"/>
  <c r="L99" i="12"/>
  <c r="L102" i="12"/>
  <c r="L95" i="12"/>
  <c r="L86" i="12"/>
  <c r="L103" i="12"/>
  <c r="L98" i="12"/>
  <c r="L85" i="12"/>
  <c r="L64" i="12"/>
  <c r="L72" i="12"/>
  <c r="L58" i="12"/>
  <c r="L69" i="12"/>
  <c r="L59" i="12"/>
  <c r="L77" i="12"/>
  <c r="L80" i="12"/>
  <c r="L65" i="12"/>
  <c r="L67" i="12"/>
  <c r="L78" i="12"/>
  <c r="L76" i="12"/>
  <c r="L57" i="12"/>
  <c r="L62" i="12"/>
  <c r="L75" i="12"/>
  <c r="L63" i="12"/>
  <c r="L70" i="12"/>
  <c r="L73" i="12"/>
  <c r="L56" i="12"/>
  <c r="L66" i="12"/>
  <c r="L61" i="12"/>
  <c r="L68" i="12"/>
  <c r="L74" i="12"/>
  <c r="L71" i="12"/>
  <c r="L79" i="12"/>
  <c r="L60" i="12"/>
  <c r="W1564" i="25" s="1"/>
  <c r="AJ1564" i="25" s="1"/>
  <c r="L84" i="12"/>
  <c r="L8" i="12" l="1"/>
  <c r="W1516" i="25" s="1"/>
  <c r="AJ1516" i="25" s="1"/>
  <c r="L10" i="12"/>
  <c r="W1518" i="25" s="1"/>
  <c r="AJ1518" i="25" s="1"/>
  <c r="W1577" i="25"/>
  <c r="AJ1577" i="25" s="1"/>
  <c r="W1568" i="25"/>
  <c r="AJ1568" i="25" s="1"/>
  <c r="W1590" i="25"/>
  <c r="AJ1590" i="25" s="1"/>
  <c r="W1575" i="25"/>
  <c r="AJ1575" i="25" s="1"/>
  <c r="W1584" i="25"/>
  <c r="AJ1584" i="25" s="1"/>
  <c r="W1592" i="25"/>
  <c r="AJ1592" i="25" s="1"/>
  <c r="W1589" i="25"/>
  <c r="AJ1589" i="25" s="1"/>
  <c r="W1579" i="25"/>
  <c r="AJ1579" i="25" s="1"/>
  <c r="W1572" i="25"/>
  <c r="AJ1572" i="25" s="1"/>
  <c r="W1566" i="25"/>
  <c r="AJ1566" i="25" s="1"/>
  <c r="W1563" i="25"/>
  <c r="AJ1563" i="25" s="1"/>
  <c r="W1587" i="25"/>
  <c r="AJ1587" i="25" s="1"/>
  <c r="W1588" i="25"/>
  <c r="AJ1588" i="25" s="1"/>
  <c r="W1591" i="25"/>
  <c r="AJ1591" i="25" s="1"/>
  <c r="W1571" i="25"/>
  <c r="AJ1571" i="25" s="1"/>
  <c r="W1606" i="25"/>
  <c r="AJ1606" i="25" s="1"/>
  <c r="W1578" i="25"/>
  <c r="AJ1578" i="25" s="1"/>
  <c r="W1581" i="25"/>
  <c r="AJ1581" i="25" s="1"/>
  <c r="W1604" i="25"/>
  <c r="AJ1604" i="25" s="1"/>
  <c r="W1601" i="25"/>
  <c r="AJ1601" i="25" s="1"/>
  <c r="W1594" i="25"/>
  <c r="AJ1594" i="25" s="1"/>
  <c r="W1565" i="25"/>
  <c r="AJ1565" i="25" s="1"/>
  <c r="W1561" i="25"/>
  <c r="AJ1561" i="25" s="1"/>
  <c r="W1573" i="25"/>
  <c r="AJ1573" i="25" s="1"/>
  <c r="W1596" i="25"/>
  <c r="AJ1596" i="25" s="1"/>
  <c r="W1602" i="25"/>
  <c r="AJ1602" i="25" s="1"/>
  <c r="W1593" i="25"/>
  <c r="AJ1593" i="25" s="1"/>
  <c r="W1583" i="25"/>
  <c r="AJ1583" i="25" s="1"/>
  <c r="W1603" i="25"/>
  <c r="AJ1603" i="25" s="1"/>
  <c r="W1574" i="25"/>
  <c r="AJ1574" i="25" s="1"/>
  <c r="W1569" i="25"/>
  <c r="AJ1569" i="25" s="1"/>
  <c r="W1586" i="25"/>
  <c r="AJ1586" i="25" s="1"/>
  <c r="W1597" i="25"/>
  <c r="AJ1597" i="25" s="1"/>
  <c r="W1595" i="25"/>
  <c r="AJ1595" i="25" s="1"/>
  <c r="W1567" i="25"/>
  <c r="AJ1567" i="25" s="1"/>
  <c r="W1599" i="25"/>
  <c r="AJ1599" i="25" s="1"/>
  <c r="W1570" i="25"/>
  <c r="AJ1570" i="25" s="1"/>
  <c r="W1580" i="25"/>
  <c r="AJ1580" i="25" s="1"/>
  <c r="W1562" i="25"/>
  <c r="AJ1562" i="25" s="1"/>
  <c r="W1598" i="25"/>
  <c r="AJ1598" i="25" s="1"/>
  <c r="W1560" i="25"/>
  <c r="AJ1560" i="25" s="1"/>
  <c r="W1582" i="25"/>
  <c r="AJ1582" i="25" s="1"/>
  <c r="W1576" i="25"/>
  <c r="AJ1576" i="25" s="1"/>
  <c r="W1600" i="25"/>
  <c r="AJ1600" i="25" s="1"/>
  <c r="W1605" i="25"/>
  <c r="AJ1605" i="25" s="1"/>
  <c r="W1585" i="25"/>
  <c r="AJ1585" i="25" s="1"/>
  <c r="D20" i="26"/>
  <c r="E20" i="26" s="1"/>
  <c r="L9" i="12"/>
  <c r="I35" i="18"/>
  <c r="AB1280" i="25"/>
  <c r="AB1281" i="25"/>
  <c r="AB1282" i="25"/>
  <c r="AB1283" i="25"/>
  <c r="AB1284" i="25"/>
  <c r="AB1285" i="25"/>
  <c r="AB1286" i="25"/>
  <c r="AB1287" i="25"/>
  <c r="AB1288" i="25"/>
  <c r="AB1289" i="25"/>
  <c r="AB1290" i="25"/>
  <c r="AB1291" i="25"/>
  <c r="AB1292" i="25"/>
  <c r="AB1293" i="25"/>
  <c r="AB1294" i="25"/>
  <c r="AB1295" i="25"/>
  <c r="AB1296" i="25"/>
  <c r="AB1297" i="25"/>
  <c r="AB1298" i="25"/>
  <c r="AB1299" i="25"/>
  <c r="AB1300" i="25"/>
  <c r="AB1301" i="25"/>
  <c r="AB1302" i="25"/>
  <c r="AB1303" i="25"/>
  <c r="AB1304" i="25"/>
  <c r="AB1305" i="25"/>
  <c r="AB1306" i="25"/>
  <c r="AB1307" i="25"/>
  <c r="AB1308" i="25"/>
  <c r="AB1309" i="25"/>
  <c r="AB1310" i="25"/>
  <c r="AB1311" i="25"/>
  <c r="AB1312" i="25"/>
  <c r="AB1313" i="25"/>
  <c r="AB1314" i="25"/>
  <c r="AB1315" i="25"/>
  <c r="AB1316" i="25"/>
  <c r="AB1317" i="25"/>
  <c r="AB1318" i="25"/>
  <c r="AB1319" i="25"/>
  <c r="AB1320" i="25"/>
  <c r="AB1321" i="25"/>
  <c r="AB1322" i="25"/>
  <c r="AB1323" i="25"/>
  <c r="AB1324" i="25"/>
  <c r="AB1325" i="25"/>
  <c r="AB1326" i="25"/>
  <c r="AB1327" i="25"/>
  <c r="AB1328" i="25"/>
  <c r="AB1329" i="25"/>
  <c r="AB1330" i="25"/>
  <c r="AB1331" i="25"/>
  <c r="AB1332" i="25"/>
  <c r="AB1333" i="25"/>
  <c r="AB1334" i="25"/>
  <c r="AB1335" i="25"/>
  <c r="AB1336" i="25"/>
  <c r="AB1337" i="25"/>
  <c r="AB1338" i="25"/>
  <c r="AB1339" i="25"/>
  <c r="AB1340" i="25"/>
  <c r="AB1341" i="25"/>
  <c r="AB1342" i="25"/>
  <c r="AB1343" i="25"/>
  <c r="AB1344" i="25"/>
  <c r="AB1345" i="25"/>
  <c r="AB1346" i="25"/>
  <c r="AB1347" i="25"/>
  <c r="AB1348" i="25"/>
  <c r="AB1349" i="25"/>
  <c r="AB1350" i="25"/>
  <c r="AB1351" i="25"/>
  <c r="AB1352" i="25"/>
  <c r="AB1353" i="25"/>
  <c r="AB1354" i="25"/>
  <c r="AB1355" i="25"/>
  <c r="AB1356" i="25"/>
  <c r="AB1357" i="25"/>
  <c r="AB1358" i="25"/>
  <c r="AB1359" i="25"/>
  <c r="AB1360" i="25"/>
  <c r="AB1361" i="25"/>
  <c r="AB1362" i="25"/>
  <c r="AB1363" i="25"/>
  <c r="AB1364" i="25"/>
  <c r="AB1365" i="25"/>
  <c r="AB1366" i="25"/>
  <c r="AB1367" i="25"/>
  <c r="AB1368" i="25"/>
  <c r="AB1374" i="25"/>
  <c r="AB1375" i="25"/>
  <c r="AB1376" i="25"/>
  <c r="AB1377" i="25"/>
  <c r="AB1378" i="25"/>
  <c r="AB1379" i="25"/>
  <c r="AB1380" i="25"/>
  <c r="AB1381" i="25"/>
  <c r="AB1382" i="25"/>
  <c r="AB1383" i="25"/>
  <c r="AB1384" i="25"/>
  <c r="AB1385" i="25"/>
  <c r="AB1386" i="25"/>
  <c r="AB1387" i="25"/>
  <c r="V379" i="17"/>
  <c r="V380" i="17"/>
  <c r="V381" i="17"/>
  <c r="V367" i="17"/>
  <c r="V368" i="17"/>
  <c r="V369" i="17"/>
  <c r="V370" i="17"/>
  <c r="V371" i="17"/>
  <c r="V372" i="17"/>
  <c r="V376" i="17"/>
  <c r="V319" i="17"/>
  <c r="V320" i="17"/>
  <c r="V321" i="17"/>
  <c r="V322" i="17"/>
  <c r="V323" i="17"/>
  <c r="V324" i="17"/>
  <c r="V325" i="17"/>
  <c r="V326" i="17"/>
  <c r="V327" i="17"/>
  <c r="V328" i="17"/>
  <c r="V329" i="17"/>
  <c r="V330" i="17"/>
  <c r="V331" i="17"/>
  <c r="V332" i="17"/>
  <c r="V333" i="17"/>
  <c r="V334" i="17"/>
  <c r="V335" i="17"/>
  <c r="V336" i="17"/>
  <c r="V337" i="17"/>
  <c r="V338" i="17"/>
  <c r="V339" i="17"/>
  <c r="V340" i="17"/>
  <c r="V341" i="17"/>
  <c r="V342" i="17"/>
  <c r="V343" i="17"/>
  <c r="V344" i="17"/>
  <c r="V345" i="17"/>
  <c r="V346" i="17"/>
  <c r="V347" i="17"/>
  <c r="V348" i="17"/>
  <c r="V349" i="17"/>
  <c r="V350" i="17"/>
  <c r="V351" i="17"/>
  <c r="V352" i="17"/>
  <c r="V353" i="17"/>
  <c r="V354" i="17"/>
  <c r="V355" i="17"/>
  <c r="V356" i="17"/>
  <c r="V357" i="17"/>
  <c r="V358" i="17"/>
  <c r="V359" i="17"/>
  <c r="V360" i="17"/>
  <c r="V361" i="17"/>
  <c r="V362" i="17"/>
  <c r="V363" i="17"/>
  <c r="V364" i="17"/>
  <c r="V365" i="17"/>
  <c r="V366" i="17"/>
  <c r="V213" i="17"/>
  <c r="V214" i="17"/>
  <c r="V215" i="17"/>
  <c r="V216" i="17"/>
  <c r="V217" i="17"/>
  <c r="V218" i="17"/>
  <c r="V219" i="17"/>
  <c r="V220" i="17"/>
  <c r="V221" i="17"/>
  <c r="V222" i="17"/>
  <c r="V223" i="17"/>
  <c r="V224" i="17"/>
  <c r="V225" i="17"/>
  <c r="V226" i="17"/>
  <c r="V227" i="17"/>
  <c r="V228" i="17"/>
  <c r="V229" i="17"/>
  <c r="V230" i="17"/>
  <c r="V231" i="17"/>
  <c r="V232" i="17"/>
  <c r="V233" i="17"/>
  <c r="V234" i="17"/>
  <c r="V235" i="17"/>
  <c r="V236" i="17"/>
  <c r="V237" i="17"/>
  <c r="V238" i="17"/>
  <c r="V239" i="17"/>
  <c r="V240" i="17"/>
  <c r="V241" i="17"/>
  <c r="V242" i="17"/>
  <c r="V243" i="17"/>
  <c r="V244" i="17"/>
  <c r="V245" i="17"/>
  <c r="V246" i="17"/>
  <c r="V247" i="17"/>
  <c r="V248" i="17"/>
  <c r="V249" i="17"/>
  <c r="V250" i="17"/>
  <c r="V251" i="17"/>
  <c r="V252" i="17"/>
  <c r="V253" i="17"/>
  <c r="V254" i="17"/>
  <c r="V255" i="17"/>
  <c r="V256" i="17"/>
  <c r="V257" i="17"/>
  <c r="V258" i="17"/>
  <c r="V259" i="17"/>
  <c r="V260" i="17"/>
  <c r="V261" i="17"/>
  <c r="V262" i="17"/>
  <c r="V263" i="17"/>
  <c r="V264" i="17"/>
  <c r="V265" i="17"/>
  <c r="V266" i="17"/>
  <c r="V267" i="17"/>
  <c r="V268" i="17"/>
  <c r="V269" i="17"/>
  <c r="V270" i="17"/>
  <c r="V271" i="17"/>
  <c r="V272" i="17"/>
  <c r="V273" i="17"/>
  <c r="V274" i="17"/>
  <c r="V275" i="17"/>
  <c r="V276" i="17"/>
  <c r="V277" i="17"/>
  <c r="V278" i="17"/>
  <c r="V279" i="17"/>
  <c r="V280" i="17"/>
  <c r="V281" i="17"/>
  <c r="V282" i="17"/>
  <c r="V283" i="17"/>
  <c r="V284" i="17"/>
  <c r="V285" i="17"/>
  <c r="V286" i="17"/>
  <c r="V287" i="17"/>
  <c r="V288" i="17"/>
  <c r="V289" i="17"/>
  <c r="V290" i="17"/>
  <c r="V291" i="17"/>
  <c r="V292" i="17"/>
  <c r="V293" i="17"/>
  <c r="V294" i="17"/>
  <c r="V295" i="17"/>
  <c r="V296" i="17"/>
  <c r="V297" i="17"/>
  <c r="V298" i="17"/>
  <c r="V299" i="17"/>
  <c r="V300" i="17"/>
  <c r="V301" i="17"/>
  <c r="V302" i="17"/>
  <c r="V303" i="17"/>
  <c r="V304" i="17"/>
  <c r="V305" i="17"/>
  <c r="V306" i="17"/>
  <c r="V307" i="17"/>
  <c r="V308" i="17"/>
  <c r="V309" i="17"/>
  <c r="V310" i="17"/>
  <c r="V311" i="17"/>
  <c r="V312" i="17"/>
  <c r="V313" i="17"/>
  <c r="V314" i="17"/>
  <c r="V315" i="17"/>
  <c r="V316" i="17"/>
  <c r="V317" i="17"/>
  <c r="V318" i="17"/>
  <c r="W1517" i="25" l="1"/>
  <c r="AJ1517" i="25" s="1"/>
  <c r="AI1144" i="25"/>
  <c r="E55" i="18"/>
  <c r="F55" i="18" s="1"/>
  <c r="E59" i="18"/>
  <c r="F59" i="18" s="1"/>
  <c r="E58" i="18"/>
  <c r="F58" i="18" s="1"/>
  <c r="E47" i="18"/>
  <c r="F47" i="18" s="1"/>
  <c r="E53" i="18"/>
  <c r="F53" i="18" s="1"/>
  <c r="E51" i="18"/>
  <c r="F51" i="18" s="1"/>
  <c r="E46" i="18"/>
  <c r="F46" i="18" s="1"/>
  <c r="E62" i="18"/>
  <c r="F62" i="18" s="1"/>
  <c r="E54" i="18"/>
  <c r="F54" i="18" s="1"/>
  <c r="E52" i="18"/>
  <c r="F52" i="18" s="1"/>
  <c r="E48" i="18"/>
  <c r="F48" i="18" s="1"/>
  <c r="E50" i="18"/>
  <c r="F50" i="18" s="1"/>
  <c r="E56" i="18"/>
  <c r="F56" i="18" s="1"/>
  <c r="E45" i="18"/>
  <c r="F45" i="18" s="1"/>
  <c r="E61" i="18"/>
  <c r="F61" i="18" s="1"/>
  <c r="E57" i="18"/>
  <c r="F57" i="18" s="1"/>
  <c r="E60" i="18"/>
  <c r="F60" i="18" s="1"/>
  <c r="E49" i="18"/>
  <c r="F49" i="18" s="1"/>
  <c r="E44" i="18"/>
  <c r="V11" i="17"/>
  <c r="V118" i="17"/>
  <c r="V119" i="17"/>
  <c r="V120" i="17"/>
  <c r="V121" i="17"/>
  <c r="V122" i="17"/>
  <c r="V123" i="17"/>
  <c r="V124" i="17"/>
  <c r="V125" i="17"/>
  <c r="V126" i="17"/>
  <c r="V127" i="17"/>
  <c r="V128" i="17"/>
  <c r="V129" i="17"/>
  <c r="V130" i="17"/>
  <c r="V131" i="17"/>
  <c r="V132" i="17"/>
  <c r="V133" i="17"/>
  <c r="V134" i="17"/>
  <c r="V135" i="17"/>
  <c r="V136" i="17"/>
  <c r="V137" i="17"/>
  <c r="V138" i="17"/>
  <c r="V139" i="17"/>
  <c r="V140" i="17"/>
  <c r="V141" i="17"/>
  <c r="V142" i="17"/>
  <c r="V143" i="17"/>
  <c r="V149" i="17"/>
  <c r="V150" i="17"/>
  <c r="V154" i="17"/>
  <c r="V155" i="17"/>
  <c r="V156" i="17"/>
  <c r="V160" i="17"/>
  <c r="V162" i="17"/>
  <c r="V164" i="17"/>
  <c r="V166" i="17"/>
  <c r="V167" i="17"/>
  <c r="V172" i="17"/>
  <c r="V173" i="17"/>
  <c r="V176" i="17"/>
  <c r="V177" i="17"/>
  <c r="V178" i="17"/>
  <c r="V182" i="17"/>
  <c r="V183" i="17"/>
  <c r="V184" i="17"/>
  <c r="V185" i="17"/>
  <c r="V186" i="17"/>
  <c r="V187" i="17"/>
  <c r="V190" i="17"/>
  <c r="V191" i="17"/>
  <c r="V192" i="17"/>
  <c r="V193" i="17"/>
  <c r="V198" i="17"/>
  <c r="V199" i="17"/>
  <c r="V200" i="17"/>
  <c r="V201" i="17"/>
  <c r="V206" i="17"/>
  <c r="V208" i="17"/>
  <c r="V209" i="17"/>
  <c r="V210" i="17"/>
  <c r="V211" i="17"/>
  <c r="V212" i="17"/>
  <c r="V117" i="17"/>
  <c r="V4" i="17"/>
  <c r="V5" i="17"/>
  <c r="V6" i="17"/>
  <c r="V7" i="17"/>
  <c r="V8" i="17"/>
  <c r="V9" i="17"/>
  <c r="V10" i="17"/>
  <c r="V12" i="17"/>
  <c r="V14" i="17"/>
  <c r="V15" i="17"/>
  <c r="V16" i="17"/>
  <c r="V17" i="17"/>
  <c r="V18" i="17"/>
  <c r="M8" i="23" s="1" a="1"/>
  <c r="M8" i="23" s="1"/>
  <c r="V19" i="17"/>
  <c r="V20" i="17"/>
  <c r="V21" i="17"/>
  <c r="V22" i="17"/>
  <c r="V27" i="17"/>
  <c r="V28" i="17"/>
  <c r="V29" i="17"/>
  <c r="V30" i="17"/>
  <c r="V31" i="17"/>
  <c r="V32" i="17"/>
  <c r="V33" i="17"/>
  <c r="V34" i="17"/>
  <c r="V35" i="17"/>
  <c r="V36" i="17"/>
  <c r="V37" i="17"/>
  <c r="V38" i="17"/>
  <c r="V39" i="17"/>
  <c r="V40" i="17"/>
  <c r="V41" i="17"/>
  <c r="V42" i="17"/>
  <c r="V43" i="17"/>
  <c r="V44" i="17"/>
  <c r="V45" i="17"/>
  <c r="V46" i="17"/>
  <c r="V47" i="17"/>
  <c r="V48" i="17"/>
  <c r="V49" i="17"/>
  <c r="V50" i="17"/>
  <c r="V51" i="17"/>
  <c r="V52" i="17"/>
  <c r="V53" i="17"/>
  <c r="V54" i="17"/>
  <c r="V55" i="17"/>
  <c r="V56" i="17"/>
  <c r="V57" i="17"/>
  <c r="V58" i="17"/>
  <c r="V59" i="17"/>
  <c r="V60" i="17"/>
  <c r="V61" i="17"/>
  <c r="V62" i="17"/>
  <c r="V63" i="17"/>
  <c r="V64" i="17"/>
  <c r="V65" i="17"/>
  <c r="V66" i="17"/>
  <c r="V67" i="17"/>
  <c r="V68" i="17"/>
  <c r="V69" i="17"/>
  <c r="V70" i="17"/>
  <c r="V71" i="17"/>
  <c r="V72" i="17"/>
  <c r="V73" i="17"/>
  <c r="V74" i="17"/>
  <c r="V75" i="17"/>
  <c r="V76" i="17"/>
  <c r="V77" i="17"/>
  <c r="V78" i="17"/>
  <c r="V79" i="17"/>
  <c r="V80" i="17"/>
  <c r="V81" i="17"/>
  <c r="V82" i="17"/>
  <c r="V83" i="17"/>
  <c r="V84" i="17"/>
  <c r="V85" i="17"/>
  <c r="V86" i="17"/>
  <c r="V87" i="17"/>
  <c r="V88" i="17"/>
  <c r="V89" i="17"/>
  <c r="V90" i="17"/>
  <c r="V91" i="17"/>
  <c r="V92" i="17"/>
  <c r="V93" i="17"/>
  <c r="V94" i="17"/>
  <c r="V95" i="17"/>
  <c r="V96" i="17"/>
  <c r="V97" i="17"/>
  <c r="V98" i="17"/>
  <c r="V99" i="17"/>
  <c r="V100" i="17"/>
  <c r="V101" i="17"/>
  <c r="V102" i="17"/>
  <c r="V103" i="17"/>
  <c r="V104" i="17"/>
  <c r="V105" i="17"/>
  <c r="V106" i="17"/>
  <c r="V107" i="17"/>
  <c r="V108" i="17"/>
  <c r="V109" i="17"/>
  <c r="V110" i="17"/>
  <c r="V111" i="17"/>
  <c r="V112" i="17"/>
  <c r="V113" i="17"/>
  <c r="V114" i="17"/>
  <c r="V115" i="17"/>
  <c r="V3" i="17"/>
  <c r="H46" i="18"/>
  <c r="H61" i="18"/>
  <c r="G46" i="18"/>
  <c r="G61" i="18"/>
  <c r="K343" i="4" a="1"/>
  <c r="K343" i="4" s="1"/>
  <c r="K348" i="4" a="1"/>
  <c r="K348" i="4" s="1"/>
  <c r="T846" i="25" s="1"/>
  <c r="K475" i="4" a="1"/>
  <c r="K475" i="4" s="1"/>
  <c r="T923" i="25" s="1"/>
  <c r="K476" i="4" a="1"/>
  <c r="K476" i="4" s="1"/>
  <c r="T924" i="25" s="1"/>
  <c r="K477" i="4" a="1"/>
  <c r="K477" i="4" s="1"/>
  <c r="T925" i="25" s="1"/>
  <c r="K478" i="4" a="1"/>
  <c r="K478" i="4" s="1"/>
  <c r="T926" i="25" s="1"/>
  <c r="K479" i="4" a="1"/>
  <c r="K479" i="4" s="1"/>
  <c r="T927" i="25" s="1"/>
  <c r="L343" i="4"/>
  <c r="L344" i="4"/>
  <c r="U842" i="25" s="1"/>
  <c r="L345" i="4"/>
  <c r="U843" i="25" s="1"/>
  <c r="L346" i="4"/>
  <c r="U844" i="25" s="1"/>
  <c r="L347" i="4"/>
  <c r="U845" i="25" s="1"/>
  <c r="L348" i="4"/>
  <c r="U846" i="25" s="1"/>
  <c r="L475" i="4"/>
  <c r="U923" i="25" s="1"/>
  <c r="L476" i="4"/>
  <c r="U924" i="25" s="1"/>
  <c r="L477" i="4"/>
  <c r="U925" i="25" s="1"/>
  <c r="L478" i="4"/>
  <c r="U926" i="25" s="1"/>
  <c r="L479" i="4"/>
  <c r="U927" i="25" s="1"/>
  <c r="M343" i="4" a="1"/>
  <c r="M343" i="4" s="1"/>
  <c r="M344" i="4" a="1"/>
  <c r="M344" i="4" s="1"/>
  <c r="V842" i="25" s="1"/>
  <c r="AI842" i="25" s="1"/>
  <c r="M345" i="4" a="1"/>
  <c r="M345" i="4" s="1"/>
  <c r="V843" i="25" s="1"/>
  <c r="AI843" i="25" s="1"/>
  <c r="M346" i="4" a="1"/>
  <c r="M346" i="4" s="1"/>
  <c r="V844" i="25" s="1"/>
  <c r="AI844" i="25" s="1"/>
  <c r="M347" i="4" a="1"/>
  <c r="M347" i="4" s="1"/>
  <c r="V845" i="25" s="1"/>
  <c r="AI845" i="25" s="1"/>
  <c r="M348" i="4" a="1"/>
  <c r="M348" i="4" s="1"/>
  <c r="V846" i="25" s="1"/>
  <c r="AI846" i="25" s="1"/>
  <c r="M475" i="4" a="1"/>
  <c r="M475" i="4" s="1"/>
  <c r="V923" i="25" s="1"/>
  <c r="AI923" i="25" s="1"/>
  <c r="M476" i="4" a="1"/>
  <c r="M476" i="4" s="1"/>
  <c r="V924" i="25" s="1"/>
  <c r="AI924" i="25" s="1"/>
  <c r="M477" i="4" a="1"/>
  <c r="M477" i="4" s="1"/>
  <c r="V925" i="25" s="1"/>
  <c r="AI925" i="25" s="1"/>
  <c r="M478" i="4" a="1"/>
  <c r="M478" i="4" s="1"/>
  <c r="V926" i="25" s="1"/>
  <c r="AI926" i="25" s="1"/>
  <c r="M479" i="4" a="1"/>
  <c r="M479" i="4" s="1"/>
  <c r="V927" i="25" s="1"/>
  <c r="AI927" i="25" s="1"/>
  <c r="Z846" i="25"/>
  <c r="Z923" i="25"/>
  <c r="Z924" i="25"/>
  <c r="Z925" i="25"/>
  <c r="Z926" i="25"/>
  <c r="Z927" i="25"/>
  <c r="AA846" i="25"/>
  <c r="AA923" i="25"/>
  <c r="AA924" i="25"/>
  <c r="AA925" i="25"/>
  <c r="AA926" i="25"/>
  <c r="AA927" i="25"/>
  <c r="AB846" i="25"/>
  <c r="AB923" i="25"/>
  <c r="AB924" i="25"/>
  <c r="AB925" i="25"/>
  <c r="AB926" i="25"/>
  <c r="AB927" i="25"/>
  <c r="AC846" i="25"/>
  <c r="AC923" i="25"/>
  <c r="AC924" i="25"/>
  <c r="AC925" i="25"/>
  <c r="AC926" i="25"/>
  <c r="AC927" i="25"/>
  <c r="AD846" i="25"/>
  <c r="AD923" i="25"/>
  <c r="AD924" i="25"/>
  <c r="AD925" i="25"/>
  <c r="AD926" i="25"/>
  <c r="AD927" i="25"/>
  <c r="C86" i="18"/>
  <c r="C85" i="18"/>
  <c r="F85" i="12"/>
  <c r="Q1586" i="25" s="1"/>
  <c r="F86" i="12"/>
  <c r="Q1587" i="25" s="1"/>
  <c r="F87" i="12"/>
  <c r="Q1588" i="25" s="1"/>
  <c r="F88" i="12"/>
  <c r="Q1589" i="25" s="1"/>
  <c r="F89" i="12"/>
  <c r="Q1590" i="25" s="1"/>
  <c r="F55" i="12"/>
  <c r="Q1559" i="25" s="1"/>
  <c r="F56" i="12"/>
  <c r="Q1560" i="25" s="1"/>
  <c r="F57" i="12"/>
  <c r="Q1561" i="25" s="1"/>
  <c r="F58" i="12"/>
  <c r="Q1562" i="25" s="1"/>
  <c r="F59" i="12"/>
  <c r="Q1563" i="25" s="1"/>
  <c r="F60" i="12"/>
  <c r="Q1564" i="25" s="1"/>
  <c r="F61" i="12"/>
  <c r="Q1565" i="25" s="1"/>
  <c r="F62" i="12"/>
  <c r="Q1566" i="25" s="1"/>
  <c r="F63" i="12"/>
  <c r="Q1567" i="25" s="1"/>
  <c r="F64" i="12"/>
  <c r="Q1568" i="25" s="1"/>
  <c r="F65" i="12"/>
  <c r="Q1569" i="25" s="1"/>
  <c r="F19" i="12"/>
  <c r="Q1527" i="25" s="1"/>
  <c r="F20" i="12"/>
  <c r="Q1528" i="25" s="1"/>
  <c r="F21" i="12"/>
  <c r="Q1529" i="25" s="1"/>
  <c r="F18" i="12"/>
  <c r="Q1526" i="25" s="1"/>
  <c r="F22" i="12"/>
  <c r="Q1530" i="25" s="1"/>
  <c r="F23" i="12"/>
  <c r="Q1531" i="25" s="1"/>
  <c r="F24" i="12"/>
  <c r="Q1532" i="25" s="1"/>
  <c r="F25" i="12"/>
  <c r="Q1533" i="25" s="1"/>
  <c r="F26" i="12"/>
  <c r="Q1534" i="25" s="1"/>
  <c r="F11" i="12"/>
  <c r="Q1519" i="25" s="1"/>
  <c r="F12" i="12"/>
  <c r="Q1520" i="25" s="1"/>
  <c r="F13" i="12"/>
  <c r="Q1521" i="25" s="1"/>
  <c r="F14" i="12"/>
  <c r="Q1522" i="25" s="1"/>
  <c r="F15" i="12"/>
  <c r="Q1523" i="25" s="1"/>
  <c r="F16" i="12"/>
  <c r="Q1524" i="25" s="1"/>
  <c r="F17" i="12"/>
  <c r="Q1525" i="25" s="1"/>
  <c r="F27" i="12"/>
  <c r="Q1535" i="25" s="1"/>
  <c r="F28" i="12"/>
  <c r="Q1536" i="25" s="1"/>
  <c r="F29" i="12"/>
  <c r="Q1537" i="25" s="1"/>
  <c r="F30" i="12"/>
  <c r="Q1538" i="25" s="1"/>
  <c r="F31" i="12"/>
  <c r="Q1539" i="25" s="1"/>
  <c r="F32" i="12"/>
  <c r="Q1540" i="25" s="1"/>
  <c r="F44" i="19"/>
  <c r="Q1234" i="25" s="1"/>
  <c r="F45" i="19"/>
  <c r="Q1235" i="25" s="1"/>
  <c r="F46" i="19"/>
  <c r="Q1236" i="25" s="1"/>
  <c r="F47" i="19"/>
  <c r="Q1237" i="25" s="1"/>
  <c r="F48" i="19"/>
  <c r="Q1238" i="25" s="1"/>
  <c r="I44" i="19" a="1"/>
  <c r="I44" i="19" s="1"/>
  <c r="I45" i="19" a="1"/>
  <c r="I45" i="19" s="1"/>
  <c r="I46" i="19" a="1"/>
  <c r="I46" i="19" s="1"/>
  <c r="I47" i="19" a="1"/>
  <c r="I47" i="19" s="1"/>
  <c r="I48" i="19" a="1"/>
  <c r="I48" i="19" s="1"/>
  <c r="J44" i="19" a="1"/>
  <c r="J44" i="19" s="1"/>
  <c r="U1234" i="25" s="1"/>
  <c r="J45" i="19" a="1"/>
  <c r="J45" i="19" s="1"/>
  <c r="U1235" i="25" s="1"/>
  <c r="J46" i="19" a="1"/>
  <c r="J46" i="19" s="1"/>
  <c r="U1236" i="25" s="1"/>
  <c r="J47" i="19" a="1"/>
  <c r="J47" i="19" s="1"/>
  <c r="U1237" i="25" s="1"/>
  <c r="J48" i="19" a="1"/>
  <c r="J48" i="19" s="1"/>
  <c r="U1238" i="25" s="1"/>
  <c r="K44" i="19" a="1"/>
  <c r="K44" i="19" s="1"/>
  <c r="V1234" i="25" s="1"/>
  <c r="AI1234" i="25" s="1"/>
  <c r="K45" i="19" a="1"/>
  <c r="K45" i="19" s="1"/>
  <c r="V1235" i="25" s="1"/>
  <c r="AI1235" i="25" s="1"/>
  <c r="K46" i="19" a="1"/>
  <c r="K46" i="19" s="1"/>
  <c r="V1236" i="25" s="1"/>
  <c r="AI1236" i="25" s="1"/>
  <c r="K47" i="19" a="1"/>
  <c r="K47" i="19" s="1"/>
  <c r="V1237" i="25" s="1"/>
  <c r="AI1237" i="25" s="1"/>
  <c r="K48" i="19" a="1"/>
  <c r="K48" i="19" s="1"/>
  <c r="V1238" i="25" s="1"/>
  <c r="AI1238" i="25" s="1"/>
  <c r="F13" i="19"/>
  <c r="Q1206" i="25" s="1"/>
  <c r="F14" i="19"/>
  <c r="Q1207" i="25" s="1"/>
  <c r="F15" i="19"/>
  <c r="Q1208" i="25" s="1"/>
  <c r="F16" i="19"/>
  <c r="Q1209" i="25" s="1"/>
  <c r="F17" i="19"/>
  <c r="Q1210" i="25" s="1"/>
  <c r="F18" i="19"/>
  <c r="Q1211" i="25" s="1"/>
  <c r="F19" i="19"/>
  <c r="Q1212" i="25" s="1"/>
  <c r="I13" i="19" a="1"/>
  <c r="I13" i="19" s="1"/>
  <c r="I14" i="19" a="1"/>
  <c r="I14" i="19" s="1"/>
  <c r="I15" i="19" a="1"/>
  <c r="I15" i="19" s="1"/>
  <c r="I16" i="19" a="1"/>
  <c r="I16" i="19" s="1"/>
  <c r="I17" i="19" a="1"/>
  <c r="I17" i="19" s="1"/>
  <c r="I18" i="19" a="1"/>
  <c r="I18" i="19" s="1"/>
  <c r="I19" i="19" a="1"/>
  <c r="I19" i="19" s="1"/>
  <c r="J13" i="19" a="1"/>
  <c r="J13" i="19" s="1"/>
  <c r="U1206" i="25" s="1"/>
  <c r="J14" i="19" a="1"/>
  <c r="J14" i="19" s="1"/>
  <c r="U1207" i="25" s="1"/>
  <c r="J15" i="19" a="1"/>
  <c r="J15" i="19" s="1"/>
  <c r="U1208" i="25" s="1"/>
  <c r="J16" i="19" a="1"/>
  <c r="J16" i="19" s="1"/>
  <c r="U1209" i="25" s="1"/>
  <c r="J17" i="19" a="1"/>
  <c r="J17" i="19" s="1"/>
  <c r="U1210" i="25" s="1"/>
  <c r="J18" i="19" a="1"/>
  <c r="J18" i="19" s="1"/>
  <c r="U1211" i="25" s="1"/>
  <c r="J19" i="19" a="1"/>
  <c r="J19" i="19" s="1"/>
  <c r="U1212" i="25" s="1"/>
  <c r="K13" i="19" a="1"/>
  <c r="K13" i="19" s="1"/>
  <c r="V1206" i="25" s="1"/>
  <c r="AI1206" i="25" s="1"/>
  <c r="K14" i="19" a="1"/>
  <c r="K14" i="19" s="1"/>
  <c r="V1207" i="25" s="1"/>
  <c r="AI1207" i="25" s="1"/>
  <c r="K15" i="19" a="1"/>
  <c r="K15" i="19" s="1"/>
  <c r="V1208" i="25" s="1"/>
  <c r="AI1208" i="25" s="1"/>
  <c r="K16" i="19" a="1"/>
  <c r="K16" i="19" s="1"/>
  <c r="V1209" i="25" s="1"/>
  <c r="AI1209" i="25" s="1"/>
  <c r="K17" i="19" a="1"/>
  <c r="K17" i="19" s="1"/>
  <c r="V1210" i="25" s="1"/>
  <c r="AI1210" i="25" s="1"/>
  <c r="K18" i="19" a="1"/>
  <c r="K18" i="19" s="1"/>
  <c r="V1211" i="25" s="1"/>
  <c r="AI1211" i="25" s="1"/>
  <c r="K19" i="19" a="1"/>
  <c r="K19" i="19" s="1"/>
  <c r="V1212" i="25" s="1"/>
  <c r="AI1212" i="25" s="1"/>
  <c r="O13" i="19" a="1"/>
  <c r="O13" i="19" s="1"/>
  <c r="Z1206" i="25" s="1"/>
  <c r="O14" i="19" a="1"/>
  <c r="O14" i="19" s="1"/>
  <c r="Z1207" i="25" s="1"/>
  <c r="O15" i="19" a="1"/>
  <c r="O15" i="19" s="1"/>
  <c r="Z1208" i="25" s="1"/>
  <c r="O16" i="19" a="1"/>
  <c r="O16" i="19" s="1"/>
  <c r="Z1209" i="25" s="1"/>
  <c r="O17" i="19" a="1"/>
  <c r="O17" i="19" s="1"/>
  <c r="Z1210" i="25" s="1"/>
  <c r="O18" i="19" a="1"/>
  <c r="O18" i="19" s="1"/>
  <c r="Z1211" i="25" s="1"/>
  <c r="O19" i="19" a="1"/>
  <c r="O19" i="19" s="1"/>
  <c r="Z1212" i="25" s="1"/>
  <c r="P13" i="19" a="1"/>
  <c r="P13" i="19" s="1"/>
  <c r="AA1206" i="25" s="1"/>
  <c r="P14" i="19" a="1"/>
  <c r="P14" i="19" s="1"/>
  <c r="AA1207" i="25" s="1"/>
  <c r="P15" i="19" a="1"/>
  <c r="P15" i="19" s="1"/>
  <c r="AA1208" i="25" s="1"/>
  <c r="P16" i="19" a="1"/>
  <c r="P16" i="19" s="1"/>
  <c r="AA1209" i="25" s="1"/>
  <c r="P17" i="19" a="1"/>
  <c r="P17" i="19" s="1"/>
  <c r="AA1210" i="25" s="1"/>
  <c r="P18" i="19" a="1"/>
  <c r="P18" i="19" s="1"/>
  <c r="AA1211" i="25" s="1"/>
  <c r="P19" i="19" a="1"/>
  <c r="P19" i="19" s="1"/>
  <c r="AA1212" i="25" s="1"/>
  <c r="Q13" i="19" a="1"/>
  <c r="Q13" i="19" s="1"/>
  <c r="AB1206" i="25" s="1"/>
  <c r="Q14" i="19" a="1"/>
  <c r="Q14" i="19" s="1"/>
  <c r="AB1207" i="25" s="1"/>
  <c r="Q15" i="19" a="1"/>
  <c r="Q15" i="19" s="1"/>
  <c r="AB1208" i="25" s="1"/>
  <c r="Q16" i="19" a="1"/>
  <c r="Q16" i="19" s="1"/>
  <c r="AB1209" i="25" s="1"/>
  <c r="Q17" i="19" a="1"/>
  <c r="Q17" i="19" s="1"/>
  <c r="AB1210" i="25" s="1"/>
  <c r="Q18" i="19" a="1"/>
  <c r="Q18" i="19" s="1"/>
  <c r="AB1211" i="25" s="1"/>
  <c r="Q19" i="19" a="1"/>
  <c r="Q19" i="19" s="1"/>
  <c r="AB1212" i="25" s="1"/>
  <c r="R13" i="19" a="1"/>
  <c r="R13" i="19" s="1"/>
  <c r="AC1206" i="25" s="1"/>
  <c r="R14" i="19" a="1"/>
  <c r="R14" i="19" s="1"/>
  <c r="AC1207" i="25" s="1"/>
  <c r="R15" i="19" a="1"/>
  <c r="R15" i="19" s="1"/>
  <c r="AC1208" i="25" s="1"/>
  <c r="R16" i="19" a="1"/>
  <c r="R16" i="19" s="1"/>
  <c r="AC1209" i="25" s="1"/>
  <c r="R17" i="19" a="1"/>
  <c r="R17" i="19" s="1"/>
  <c r="AC1210" i="25" s="1"/>
  <c r="R18" i="19" a="1"/>
  <c r="R18" i="19" s="1"/>
  <c r="AC1211" i="25" s="1"/>
  <c r="R19" i="19" a="1"/>
  <c r="R19" i="19" s="1"/>
  <c r="AC1212" i="25" s="1"/>
  <c r="S13" i="19" a="1"/>
  <c r="S13" i="19" s="1"/>
  <c r="AD1206" i="25" s="1"/>
  <c r="S14" i="19" a="1"/>
  <c r="S14" i="19" s="1"/>
  <c r="AD1207" i="25" s="1"/>
  <c r="S15" i="19" a="1"/>
  <c r="S15" i="19" s="1"/>
  <c r="AD1208" i="25" s="1"/>
  <c r="S16" i="19" a="1"/>
  <c r="S16" i="19" s="1"/>
  <c r="AD1209" i="25" s="1"/>
  <c r="S17" i="19" a="1"/>
  <c r="S17" i="19" s="1"/>
  <c r="AD1210" i="25" s="1"/>
  <c r="S18" i="19" a="1"/>
  <c r="S18" i="19" s="1"/>
  <c r="AD1211" i="25" s="1"/>
  <c r="S19" i="19" a="1"/>
  <c r="S19" i="19" s="1"/>
  <c r="AD1212" i="25" s="1"/>
  <c r="V13" i="19" a="1"/>
  <c r="V13" i="19" s="1"/>
  <c r="V14" i="19" a="1"/>
  <c r="V14" i="19" s="1"/>
  <c r="V15" i="19" a="1"/>
  <c r="V15" i="19" s="1"/>
  <c r="V16" i="19" a="1"/>
  <c r="V16" i="19" s="1"/>
  <c r="V17" i="19" a="1"/>
  <c r="V17" i="19" s="1"/>
  <c r="V18" i="19" a="1"/>
  <c r="V18" i="19" s="1"/>
  <c r="V19" i="19" a="1"/>
  <c r="V19" i="19" s="1"/>
  <c r="J51" i="12"/>
  <c r="O10" i="17"/>
  <c r="T841" i="25" l="1"/>
  <c r="T838" i="25"/>
  <c r="U841" i="25"/>
  <c r="U838" i="25"/>
  <c r="V841" i="25"/>
  <c r="AI841" i="25" s="1"/>
  <c r="V838" i="25"/>
  <c r="AI838" i="25" s="1"/>
  <c r="V1161" i="25"/>
  <c r="AI1161" i="25" s="1"/>
  <c r="N8" i="23"/>
  <c r="Q844" i="25"/>
  <c r="Q927" i="25"/>
  <c r="Q843" i="25"/>
  <c r="Q926" i="25"/>
  <c r="Q842" i="25"/>
  <c r="Q925" i="25"/>
  <c r="Q841" i="25"/>
  <c r="Q924" i="25"/>
  <c r="Q923" i="25"/>
  <c r="Q846" i="25"/>
  <c r="Q845" i="25"/>
  <c r="K347" i="4" a="1"/>
  <c r="K347" i="4" s="1"/>
  <c r="T845" i="25" s="1"/>
  <c r="K346" i="4" a="1"/>
  <c r="K346" i="4" s="1"/>
  <c r="T844" i="25" s="1"/>
  <c r="K345" i="4" a="1"/>
  <c r="K345" i="4" s="1"/>
  <c r="T843" i="25" s="1"/>
  <c r="K344" i="4" a="1"/>
  <c r="K344" i="4" s="1"/>
  <c r="T842" i="25" s="1"/>
  <c r="X347" i="4" a="1"/>
  <c r="X347" i="4" s="1"/>
  <c r="AG845" i="25" s="1"/>
  <c r="X346" i="4" a="1"/>
  <c r="X346" i="4" s="1"/>
  <c r="AG844" i="25" s="1"/>
  <c r="X345" i="4" a="1"/>
  <c r="X345" i="4" s="1"/>
  <c r="AG843" i="25" s="1"/>
  <c r="X344" i="4" a="1"/>
  <c r="X344" i="4" s="1"/>
  <c r="AG842" i="25" s="1"/>
  <c r="T1208" i="25"/>
  <c r="L15" i="19"/>
  <c r="W1208" i="25" s="1"/>
  <c r="AJ1208" i="25" s="1"/>
  <c r="T1234" i="25"/>
  <c r="L44" i="19"/>
  <c r="W1234" i="25" s="1"/>
  <c r="AJ1234" i="25" s="1"/>
  <c r="T1207" i="25"/>
  <c r="L14" i="19"/>
  <c r="W1207" i="25" s="1"/>
  <c r="AJ1207" i="25" s="1"/>
  <c r="T1212" i="25"/>
  <c r="L19" i="19"/>
  <c r="W1212" i="25" s="1"/>
  <c r="AJ1212" i="25" s="1"/>
  <c r="T1238" i="25"/>
  <c r="L48" i="19"/>
  <c r="W1238" i="25" s="1"/>
  <c r="AJ1238" i="25" s="1"/>
  <c r="T1211" i="25"/>
  <c r="L18" i="19"/>
  <c r="W1211" i="25" s="1"/>
  <c r="AJ1211" i="25" s="1"/>
  <c r="T1237" i="25"/>
  <c r="L47" i="19"/>
  <c r="W1237" i="25" s="1"/>
  <c r="AJ1237" i="25" s="1"/>
  <c r="T1206" i="25"/>
  <c r="L13" i="19"/>
  <c r="W1206" i="25" s="1"/>
  <c r="AJ1206" i="25" s="1"/>
  <c r="T1210" i="25"/>
  <c r="L17" i="19"/>
  <c r="W1210" i="25" s="1"/>
  <c r="AJ1210" i="25" s="1"/>
  <c r="T1236" i="25"/>
  <c r="L46" i="19"/>
  <c r="W1236" i="25" s="1"/>
  <c r="AJ1236" i="25" s="1"/>
  <c r="T1209" i="25"/>
  <c r="L16" i="19"/>
  <c r="W1209" i="25" s="1"/>
  <c r="AJ1209" i="25" s="1"/>
  <c r="T1235" i="25"/>
  <c r="L45" i="19"/>
  <c r="W1235" i="25" s="1"/>
  <c r="AJ1235" i="25" s="1"/>
  <c r="AJ1144" i="25"/>
  <c r="H57" i="18"/>
  <c r="G45" i="18"/>
  <c r="G57" i="18"/>
  <c r="X343" i="4" a="1"/>
  <c r="X343" i="4" s="1"/>
  <c r="N343" i="4"/>
  <c r="S45" i="19" a="1"/>
  <c r="S45" i="19" s="1"/>
  <c r="AD1235" i="25" s="1"/>
  <c r="O45" i="19" a="1"/>
  <c r="O45" i="19" s="1"/>
  <c r="Z1235" i="25" s="1"/>
  <c r="P45" i="19" a="1"/>
  <c r="P45" i="19" s="1"/>
  <c r="AA1235" i="25" s="1"/>
  <c r="V45" i="19" a="1"/>
  <c r="V45" i="19" s="1"/>
  <c r="R45" i="19" a="1"/>
  <c r="R45" i="19" s="1"/>
  <c r="AC1235" i="25" s="1"/>
  <c r="Q45" i="19" a="1"/>
  <c r="Q45" i="19" s="1"/>
  <c r="AB1235" i="25" s="1"/>
  <c r="O44" i="19" a="1"/>
  <c r="O44" i="19" s="1"/>
  <c r="Z1234" i="25" s="1"/>
  <c r="P44" i="19" a="1"/>
  <c r="P44" i="19" s="1"/>
  <c r="AA1234" i="25" s="1"/>
  <c r="V44" i="19" a="1"/>
  <c r="V44" i="19" s="1"/>
  <c r="Q44" i="19" a="1"/>
  <c r="Q44" i="19" s="1"/>
  <c r="AB1234" i="25" s="1"/>
  <c r="R44" i="19" a="1"/>
  <c r="R44" i="19" s="1"/>
  <c r="AC1234" i="25" s="1"/>
  <c r="S44" i="19" a="1"/>
  <c r="S44" i="19" s="1"/>
  <c r="AD1234" i="25" s="1"/>
  <c r="R48" i="19" a="1"/>
  <c r="R48" i="19" s="1"/>
  <c r="AC1238" i="25" s="1"/>
  <c r="S48" i="19" a="1"/>
  <c r="S48" i="19" s="1"/>
  <c r="AD1238" i="25" s="1"/>
  <c r="O48" i="19" a="1"/>
  <c r="O48" i="19" s="1"/>
  <c r="Z1238" i="25" s="1"/>
  <c r="P48" i="19" a="1"/>
  <c r="P48" i="19" s="1"/>
  <c r="AA1238" i="25" s="1"/>
  <c r="V48" i="19" a="1"/>
  <c r="V48" i="19" s="1"/>
  <c r="Q48" i="19" a="1"/>
  <c r="Q48" i="19" s="1"/>
  <c r="AB1238" i="25" s="1"/>
  <c r="O47" i="19" a="1"/>
  <c r="O47" i="19" s="1"/>
  <c r="Z1237" i="25" s="1"/>
  <c r="P47" i="19" a="1"/>
  <c r="P47" i="19" s="1"/>
  <c r="AA1237" i="25" s="1"/>
  <c r="V47" i="19" a="1"/>
  <c r="V47" i="19" s="1"/>
  <c r="Q47" i="19" a="1"/>
  <c r="Q47" i="19" s="1"/>
  <c r="AB1237" i="25" s="1"/>
  <c r="S47" i="19" a="1"/>
  <c r="S47" i="19" s="1"/>
  <c r="AD1237" i="25" s="1"/>
  <c r="R47" i="19" a="1"/>
  <c r="R47" i="19" s="1"/>
  <c r="AC1237" i="25" s="1"/>
  <c r="P46" i="19" a="1"/>
  <c r="P46" i="19" s="1"/>
  <c r="AA1236" i="25" s="1"/>
  <c r="V46" i="19" a="1"/>
  <c r="V46" i="19" s="1"/>
  <c r="Q46" i="19" a="1"/>
  <c r="Q46" i="19" s="1"/>
  <c r="AB1236" i="25" s="1"/>
  <c r="R46" i="19" a="1"/>
  <c r="R46" i="19" s="1"/>
  <c r="AC1236" i="25" s="1"/>
  <c r="S46" i="19" a="1"/>
  <c r="S46" i="19" s="1"/>
  <c r="AD1236" i="25" s="1"/>
  <c r="O46" i="19" a="1"/>
  <c r="O46" i="19" s="1"/>
  <c r="Z1236" i="25" s="1"/>
  <c r="H63" i="18"/>
  <c r="H45" i="18"/>
  <c r="R54" i="12" a="1"/>
  <c r="R54" i="12" s="1"/>
  <c r="AC1558" i="25" s="1"/>
  <c r="R53" i="12" a="1"/>
  <c r="R53" i="12" s="1"/>
  <c r="AC1557" i="25" s="1"/>
  <c r="R55" i="12" a="1"/>
  <c r="R55" i="12" s="1"/>
  <c r="AC1559" i="25" s="1"/>
  <c r="O53" i="12" a="1"/>
  <c r="O53" i="12" s="1"/>
  <c r="Z1557" i="25" s="1"/>
  <c r="V53" i="12" a="1"/>
  <c r="V53" i="12" s="1"/>
  <c r="AG1557" i="25" s="1"/>
  <c r="Q55" i="12" a="1"/>
  <c r="Q55" i="12" s="1"/>
  <c r="AB1559" i="25" s="1"/>
  <c r="O54" i="12" a="1"/>
  <c r="O54" i="12" s="1"/>
  <c r="Z1558" i="25" s="1"/>
  <c r="Q53" i="12" a="1"/>
  <c r="Q53" i="12" s="1"/>
  <c r="AB1557" i="25" s="1"/>
  <c r="S55" i="12" a="1"/>
  <c r="S55" i="12" s="1"/>
  <c r="AD1559" i="25" s="1"/>
  <c r="V54" i="12" a="1"/>
  <c r="V54" i="12" s="1"/>
  <c r="AG1558" i="25" s="1"/>
  <c r="P55" i="12" a="1"/>
  <c r="P55" i="12" s="1"/>
  <c r="AA1559" i="25" s="1"/>
  <c r="S54" i="12" a="1"/>
  <c r="S54" i="12" s="1"/>
  <c r="AD1558" i="25" s="1"/>
  <c r="P53" i="12" a="1"/>
  <c r="P53" i="12" s="1"/>
  <c r="AA1557" i="25" s="1"/>
  <c r="P54" i="12" a="1"/>
  <c r="P54" i="12" s="1"/>
  <c r="AA1558" i="25" s="1"/>
  <c r="O55" i="12" a="1"/>
  <c r="O55" i="12" s="1"/>
  <c r="Z1559" i="25" s="1"/>
  <c r="Q54" i="12" a="1"/>
  <c r="Q54" i="12" s="1"/>
  <c r="AB1558" i="25" s="1"/>
  <c r="V55" i="12" a="1"/>
  <c r="V55" i="12" s="1"/>
  <c r="AG1559" i="25" s="1"/>
  <c r="S53" i="12" a="1"/>
  <c r="S53" i="12" s="1"/>
  <c r="AD1557" i="25" s="1"/>
  <c r="G63" i="18"/>
  <c r="U28" i="12"/>
  <c r="AF1536" i="25" s="1"/>
  <c r="T28" i="12"/>
  <c r="U11" i="12"/>
  <c r="AF1519" i="25" s="1"/>
  <c r="T11" i="12"/>
  <c r="T20" i="12"/>
  <c r="U20" i="12"/>
  <c r="AF1528" i="25" s="1"/>
  <c r="T59" i="12"/>
  <c r="U59" i="12"/>
  <c r="AF1563" i="25" s="1"/>
  <c r="T86" i="12"/>
  <c r="U86" i="12"/>
  <c r="AF1587" i="25" s="1"/>
  <c r="U60" i="12"/>
  <c r="AF1564" i="25" s="1"/>
  <c r="T60" i="12"/>
  <c r="AE1564" i="25" s="1"/>
  <c r="T27" i="12"/>
  <c r="U27" i="12"/>
  <c r="AF1535" i="25" s="1"/>
  <c r="T26" i="12"/>
  <c r="U26" i="12"/>
  <c r="AF1534" i="25" s="1"/>
  <c r="T19" i="12"/>
  <c r="U19" i="12"/>
  <c r="AF1527" i="25" s="1"/>
  <c r="T58" i="12"/>
  <c r="U58" i="12"/>
  <c r="AF1562" i="25" s="1"/>
  <c r="T85" i="12"/>
  <c r="U85" i="12"/>
  <c r="AF1586" i="25" s="1"/>
  <c r="T87" i="12"/>
  <c r="U87" i="12"/>
  <c r="AF1588" i="25" s="1"/>
  <c r="T17" i="12"/>
  <c r="U17" i="12"/>
  <c r="AF1525" i="25" s="1"/>
  <c r="T25" i="12"/>
  <c r="U25" i="12"/>
  <c r="AF1533" i="25" s="1"/>
  <c r="T65" i="12"/>
  <c r="U65" i="12"/>
  <c r="AF1569" i="25" s="1"/>
  <c r="T57" i="12"/>
  <c r="U57" i="12"/>
  <c r="AF1561" i="25" s="1"/>
  <c r="U12" i="12"/>
  <c r="AF1520" i="25" s="1"/>
  <c r="T12" i="12"/>
  <c r="T16" i="12"/>
  <c r="U16" i="12"/>
  <c r="AF1524" i="25" s="1"/>
  <c r="T24" i="12"/>
  <c r="U24" i="12"/>
  <c r="AF1532" i="25" s="1"/>
  <c r="U64" i="12"/>
  <c r="AF1568" i="25" s="1"/>
  <c r="T64" i="12"/>
  <c r="T56" i="12"/>
  <c r="U56" i="12"/>
  <c r="AF1560" i="25" s="1"/>
  <c r="U21" i="12"/>
  <c r="AF1529" i="25" s="1"/>
  <c r="T21" i="12"/>
  <c r="T32" i="12"/>
  <c r="U32" i="12"/>
  <c r="AF1540" i="25" s="1"/>
  <c r="T15" i="12"/>
  <c r="U15" i="12"/>
  <c r="AF1523" i="25" s="1"/>
  <c r="T23" i="12"/>
  <c r="U23" i="12"/>
  <c r="AF1531" i="25" s="1"/>
  <c r="T63" i="12"/>
  <c r="U63" i="12"/>
  <c r="AF1567" i="25" s="1"/>
  <c r="T29" i="12"/>
  <c r="U29" i="12"/>
  <c r="AF1537" i="25" s="1"/>
  <c r="T31" i="12"/>
  <c r="U31" i="12"/>
  <c r="AF1539" i="25" s="1"/>
  <c r="T14" i="12"/>
  <c r="U14" i="12"/>
  <c r="AF1522" i="25" s="1"/>
  <c r="T22" i="12"/>
  <c r="U22" i="12"/>
  <c r="AF1530" i="25" s="1"/>
  <c r="T62" i="12"/>
  <c r="U62" i="12"/>
  <c r="AF1566" i="25" s="1"/>
  <c r="U89" i="12"/>
  <c r="AF1590" i="25" s="1"/>
  <c r="T89" i="12"/>
  <c r="T30" i="12"/>
  <c r="U30" i="12"/>
  <c r="AF1538" i="25" s="1"/>
  <c r="T13" i="12"/>
  <c r="U13" i="12"/>
  <c r="AF1521" i="25" s="1"/>
  <c r="T18" i="12"/>
  <c r="U18" i="12"/>
  <c r="AF1526" i="25" s="1"/>
  <c r="T61" i="12"/>
  <c r="U61" i="12"/>
  <c r="AF1565" i="25" s="1"/>
  <c r="U88" i="12"/>
  <c r="AF1589" i="25" s="1"/>
  <c r="T88" i="12"/>
  <c r="N479" i="4"/>
  <c r="W927" i="25" s="1"/>
  <c r="AJ927" i="25" s="1"/>
  <c r="N478" i="4"/>
  <c r="W926" i="25" s="1"/>
  <c r="AJ926" i="25" s="1"/>
  <c r="N477" i="4"/>
  <c r="W925" i="25" s="1"/>
  <c r="AJ925" i="25" s="1"/>
  <c r="N476" i="4"/>
  <c r="W924" i="25" s="1"/>
  <c r="AJ924" i="25" s="1"/>
  <c r="N475" i="4"/>
  <c r="W923" i="25" s="1"/>
  <c r="AJ923" i="25" s="1"/>
  <c r="N348" i="4"/>
  <c r="W846" i="25" s="1"/>
  <c r="AJ846" i="25" s="1"/>
  <c r="F44" i="18"/>
  <c r="F64" i="18" s="1"/>
  <c r="E64" i="18"/>
  <c r="AA841" i="25" l="1"/>
  <c r="AA838" i="25"/>
  <c r="AD841" i="25"/>
  <c r="AD838" i="25"/>
  <c r="AB841" i="25"/>
  <c r="AB838" i="25"/>
  <c r="Z841" i="25"/>
  <c r="Z838" i="25"/>
  <c r="AC841" i="25"/>
  <c r="AC838" i="25"/>
  <c r="AG841" i="25"/>
  <c r="AG838" i="25"/>
  <c r="W841" i="25"/>
  <c r="AJ841" i="25" s="1"/>
  <c r="W838" i="25"/>
  <c r="AJ838" i="25" s="1"/>
  <c r="V8" i="23"/>
  <c r="W8" i="23"/>
  <c r="W1161" i="25"/>
  <c r="AJ1161" i="25" s="1"/>
  <c r="AE1521" i="25"/>
  <c r="X13" i="12" a="1"/>
  <c r="X13" i="12" s="1"/>
  <c r="AE1524" i="25"/>
  <c r="X16" i="12" a="1"/>
  <c r="X16" i="12" s="1"/>
  <c r="AE1520" i="25"/>
  <c r="X12" i="12" a="1"/>
  <c r="X12" i="12" s="1"/>
  <c r="AE1530" i="25"/>
  <c r="X22" i="12" a="1"/>
  <c r="X22" i="12" s="1"/>
  <c r="AE1536" i="25"/>
  <c r="X28" i="12" a="1"/>
  <c r="X28" i="12" s="1"/>
  <c r="AE1522" i="25"/>
  <c r="X14" i="12" a="1"/>
  <c r="X14" i="12" s="1"/>
  <c r="AE1525" i="25"/>
  <c r="X17" i="12" a="1"/>
  <c r="X17" i="12" s="1"/>
  <c r="AE1590" i="25"/>
  <c r="X89" i="12" a="1"/>
  <c r="X89" i="12" s="1"/>
  <c r="AE1568" i="25"/>
  <c r="X64" i="12" a="1"/>
  <c r="X64" i="12" s="1"/>
  <c r="AE1565" i="25"/>
  <c r="X61" i="12" a="1"/>
  <c r="X61" i="12" s="1"/>
  <c r="AE1539" i="25"/>
  <c r="X31" i="12" a="1"/>
  <c r="X31" i="12" s="1"/>
  <c r="AE1523" i="25"/>
  <c r="X15" i="12" a="1"/>
  <c r="X15" i="12" s="1"/>
  <c r="AE1561" i="25"/>
  <c r="X57" i="12" a="1"/>
  <c r="X57" i="12" s="1"/>
  <c r="AE1588" i="25"/>
  <c r="X87" i="12" a="1"/>
  <c r="X87" i="12" s="1"/>
  <c r="AE1534" i="25"/>
  <c r="X26" i="12" a="1"/>
  <c r="X26" i="12" s="1"/>
  <c r="AE1563" i="25"/>
  <c r="X59" i="12" a="1"/>
  <c r="X59" i="12" s="1"/>
  <c r="AE1519" i="25"/>
  <c r="X11" i="12" a="1"/>
  <c r="X11" i="12" s="1"/>
  <c r="V1564" i="25"/>
  <c r="AI1564" i="25" s="1"/>
  <c r="X60" i="12" a="1"/>
  <c r="X60" i="12" s="1"/>
  <c r="AE1567" i="25"/>
  <c r="X63" i="12" a="1"/>
  <c r="X63" i="12" s="1"/>
  <c r="AE1533" i="25"/>
  <c r="X25" i="12" a="1"/>
  <c r="X25" i="12" s="1"/>
  <c r="V1558" i="25"/>
  <c r="AI1558" i="25" s="1"/>
  <c r="AE1531" i="25"/>
  <c r="X23" i="12" a="1"/>
  <c r="X23" i="12" s="1"/>
  <c r="AE1529" i="25"/>
  <c r="X21" i="12" a="1"/>
  <c r="X21" i="12" s="1"/>
  <c r="AE1562" i="25"/>
  <c r="X58" i="12" a="1"/>
  <c r="X58" i="12" s="1"/>
  <c r="AE1589" i="25"/>
  <c r="X88" i="12" a="1"/>
  <c r="X88" i="12" s="1"/>
  <c r="AE1538" i="25"/>
  <c r="X30" i="12" a="1"/>
  <c r="X30" i="12" s="1"/>
  <c r="AE1560" i="25"/>
  <c r="X56" i="12" a="1"/>
  <c r="X56" i="12" s="1"/>
  <c r="AE1527" i="25"/>
  <c r="X19" i="12" a="1"/>
  <c r="X19" i="12" s="1"/>
  <c r="AE1587" i="25"/>
  <c r="X86" i="12" a="1"/>
  <c r="X86" i="12" s="1"/>
  <c r="AE1526" i="25"/>
  <c r="X18" i="12" a="1"/>
  <c r="X18" i="12" s="1"/>
  <c r="AE1566" i="25"/>
  <c r="X62" i="12" a="1"/>
  <c r="X62" i="12" s="1"/>
  <c r="AE1537" i="25"/>
  <c r="X29" i="12" a="1"/>
  <c r="X29" i="12" s="1"/>
  <c r="AE1540" i="25"/>
  <c r="X32" i="12" a="1"/>
  <c r="X32" i="12" s="1"/>
  <c r="AE1532" i="25"/>
  <c r="X24" i="12" a="1"/>
  <c r="X24" i="12" s="1"/>
  <c r="AE1569" i="25"/>
  <c r="X65" i="12" a="1"/>
  <c r="X65" i="12" s="1"/>
  <c r="AE1586" i="25"/>
  <c r="X85" i="12" a="1"/>
  <c r="X85" i="12" s="1"/>
  <c r="AE1535" i="25"/>
  <c r="X27" i="12" a="1"/>
  <c r="X27" i="12" s="1"/>
  <c r="AE1528" i="25"/>
  <c r="X20" i="12" a="1"/>
  <c r="X20" i="12" s="1"/>
  <c r="V1559" i="25"/>
  <c r="AI1559" i="25" s="1"/>
  <c r="Z843" i="25"/>
  <c r="AC843" i="25"/>
  <c r="AB843" i="25"/>
  <c r="AA843" i="25"/>
  <c r="AD843" i="25"/>
  <c r="AB844" i="25"/>
  <c r="AC844" i="25"/>
  <c r="AA844" i="25"/>
  <c r="AD844" i="25"/>
  <c r="AB845" i="25"/>
  <c r="AA845" i="25"/>
  <c r="AD845" i="25"/>
  <c r="AC845" i="25"/>
  <c r="AC842" i="25"/>
  <c r="AA842" i="25"/>
  <c r="AB842" i="25"/>
  <c r="AD842" i="25"/>
  <c r="T14" i="19"/>
  <c r="U18" i="19"/>
  <c r="AF1211" i="25" s="1"/>
  <c r="V479" i="4"/>
  <c r="AE927" i="25" s="1"/>
  <c r="T48" i="19"/>
  <c r="AE1238" i="25" s="1"/>
  <c r="U48" i="19"/>
  <c r="AF1238" i="25" s="1"/>
  <c r="U44" i="19"/>
  <c r="AF1234" i="25" s="1"/>
  <c r="T44" i="19"/>
  <c r="AE1234" i="25" s="1"/>
  <c r="U46" i="19"/>
  <c r="AF1236" i="25" s="1"/>
  <c r="T46" i="19"/>
  <c r="AE1236" i="25" s="1"/>
  <c r="T47" i="19"/>
  <c r="AE1237" i="25" s="1"/>
  <c r="U47" i="19"/>
  <c r="AF1237" i="25" s="1"/>
  <c r="T45" i="19"/>
  <c r="AE1235" i="25" s="1"/>
  <c r="U45" i="19"/>
  <c r="AF1235" i="25" s="1"/>
  <c r="L55" i="12"/>
  <c r="W1559" i="25" s="1"/>
  <c r="AJ1559" i="25" s="1"/>
  <c r="L54" i="12"/>
  <c r="W1558" i="25" s="1"/>
  <c r="AJ1558" i="25" s="1"/>
  <c r="I37" i="18"/>
  <c r="I36" i="18"/>
  <c r="G44" i="18"/>
  <c r="G64" i="18" s="1"/>
  <c r="H44" i="18"/>
  <c r="H64" i="18" s="1"/>
  <c r="W479" i="4"/>
  <c r="AF927" i="25" s="1"/>
  <c r="L53" i="12"/>
  <c r="W1557" i="25" s="1"/>
  <c r="AJ1557" i="25" s="1"/>
  <c r="W478" i="4"/>
  <c r="AF926" i="25" s="1"/>
  <c r="V478" i="4"/>
  <c r="W348" i="4"/>
  <c r="AF846" i="25" s="1"/>
  <c r="V348" i="4"/>
  <c r="AE846" i="25" s="1"/>
  <c r="W476" i="4"/>
  <c r="AF924" i="25" s="1"/>
  <c r="V476" i="4"/>
  <c r="AE924" i="25" s="1"/>
  <c r="V343" i="4"/>
  <c r="W343" i="4"/>
  <c r="W475" i="4"/>
  <c r="AF923" i="25" s="1"/>
  <c r="V475" i="4"/>
  <c r="AE923" i="25" s="1"/>
  <c r="V477" i="4"/>
  <c r="W477" i="4"/>
  <c r="AF925" i="25" s="1"/>
  <c r="T18" i="19"/>
  <c r="AE1211" i="25" s="1"/>
  <c r="U14" i="19"/>
  <c r="AF1207" i="25" s="1"/>
  <c r="T16" i="19"/>
  <c r="AE1209" i="25" s="1"/>
  <c r="U16" i="19"/>
  <c r="AF1209" i="25" s="1"/>
  <c r="U19" i="19"/>
  <c r="AF1212" i="25" s="1"/>
  <c r="T19" i="19"/>
  <c r="AE1212" i="25" s="1"/>
  <c r="T17" i="19"/>
  <c r="AE1210" i="25" s="1"/>
  <c r="U17" i="19"/>
  <c r="AF1210" i="25" s="1"/>
  <c r="T15" i="19"/>
  <c r="AE1208" i="25" s="1"/>
  <c r="U15" i="19"/>
  <c r="AF1208" i="25" s="1"/>
  <c r="U13" i="19"/>
  <c r="AF1206" i="25" s="1"/>
  <c r="T13" i="19"/>
  <c r="I38" i="14"/>
  <c r="I49" i="14"/>
  <c r="I50" i="14"/>
  <c r="I51" i="14"/>
  <c r="I52" i="14"/>
  <c r="I53" i="14"/>
  <c r="I54" i="14"/>
  <c r="I55" i="14"/>
  <c r="I56" i="14"/>
  <c r="I57" i="14"/>
  <c r="I58" i="14"/>
  <c r="I59" i="14"/>
  <c r="I60" i="14"/>
  <c r="V26" i="17"/>
  <c r="V25" i="17"/>
  <c r="E93" i="14"/>
  <c r="O77" i="29" s="1"/>
  <c r="E94" i="14"/>
  <c r="O78" i="29" s="1"/>
  <c r="E95" i="14"/>
  <c r="O79" i="29" s="1"/>
  <c r="E96" i="14"/>
  <c r="O80" i="29" s="1"/>
  <c r="E97" i="14"/>
  <c r="O81" i="29" s="1"/>
  <c r="E98" i="14"/>
  <c r="O82" i="29" s="1"/>
  <c r="E99" i="14"/>
  <c r="O83" i="29" s="1"/>
  <c r="E100" i="14"/>
  <c r="O84" i="29" s="1"/>
  <c r="E101" i="14"/>
  <c r="O85" i="29" s="1"/>
  <c r="E102" i="14"/>
  <c r="O86" i="29" s="1"/>
  <c r="E103" i="14"/>
  <c r="O87" i="29" s="1"/>
  <c r="E104" i="14"/>
  <c r="O88" i="29" s="1"/>
  <c r="E105" i="14"/>
  <c r="O89" i="29" s="1"/>
  <c r="E92" i="14"/>
  <c r="O76" i="29" s="1"/>
  <c r="V153" i="17"/>
  <c r="K53" i="12" s="1" a="1"/>
  <c r="K53" i="12" s="1"/>
  <c r="V1557" i="25" s="1"/>
  <c r="AI1557" i="25" s="1"/>
  <c r="V152" i="17"/>
  <c r="O9" i="17"/>
  <c r="L21" i="5"/>
  <c r="G505" i="4"/>
  <c r="Q1138" i="25" s="1"/>
  <c r="F8" i="19"/>
  <c r="Q1201" i="25" s="1"/>
  <c r="F9" i="19"/>
  <c r="Q1202" i="25" s="1"/>
  <c r="F10" i="19"/>
  <c r="Q1203" i="25" s="1"/>
  <c r="F11" i="19"/>
  <c r="Q1204" i="25" s="1"/>
  <c r="F12" i="19"/>
  <c r="Q1205" i="25" s="1"/>
  <c r="F20" i="19"/>
  <c r="Q1213" i="25" s="1"/>
  <c r="F70" i="12"/>
  <c r="Q1574" i="25" s="1"/>
  <c r="F71" i="12"/>
  <c r="Q1575" i="25" s="1"/>
  <c r="F72" i="12"/>
  <c r="Q1576" i="25" s="1"/>
  <c r="F73" i="12"/>
  <c r="Q1577" i="25" s="1"/>
  <c r="F74" i="12"/>
  <c r="Q1578" i="25" s="1"/>
  <c r="F75" i="12"/>
  <c r="Q1579" i="25" s="1"/>
  <c r="F76" i="12"/>
  <c r="Q1580" i="25" s="1"/>
  <c r="F77" i="12"/>
  <c r="Q1581" i="25" s="1"/>
  <c r="F78" i="12"/>
  <c r="Q1582" i="25" s="1"/>
  <c r="F79" i="12"/>
  <c r="Q1583" i="25" s="1"/>
  <c r="F80" i="12"/>
  <c r="Q1584" i="25" s="1"/>
  <c r="F54" i="12"/>
  <c r="Q1558" i="25" s="1"/>
  <c r="F66" i="12"/>
  <c r="Q1570" i="25" s="1"/>
  <c r="F67" i="12"/>
  <c r="Q1571" i="25" s="1"/>
  <c r="F68" i="12"/>
  <c r="Q1572" i="25" s="1"/>
  <c r="F69" i="12"/>
  <c r="Q1573" i="25" s="1"/>
  <c r="F65" i="19"/>
  <c r="Q1252" i="25" s="1"/>
  <c r="F66" i="19"/>
  <c r="Q1253" i="25" s="1"/>
  <c r="O70" i="19"/>
  <c r="Z1257" i="25" s="1"/>
  <c r="F69" i="19"/>
  <c r="Q1256" i="25" s="1"/>
  <c r="F70" i="19"/>
  <c r="Q1257" i="25" s="1"/>
  <c r="H69" i="19"/>
  <c r="S1256" i="25" s="1"/>
  <c r="H70" i="19"/>
  <c r="K69" i="19"/>
  <c r="V1256" i="25" s="1"/>
  <c r="AI1256" i="25" s="1"/>
  <c r="K70" i="19"/>
  <c r="V1257" i="25" s="1"/>
  <c r="AI1257" i="25" s="1"/>
  <c r="E23" i="10"/>
  <c r="E22" i="10"/>
  <c r="F22" i="19"/>
  <c r="Q1215" i="25" s="1"/>
  <c r="F23" i="19"/>
  <c r="Q1216" i="25" s="1"/>
  <c r="F24" i="19"/>
  <c r="Q1217" i="25" s="1"/>
  <c r="F25" i="19"/>
  <c r="Q1218" i="25" s="1"/>
  <c r="F26" i="19"/>
  <c r="Q1219" i="25" s="1"/>
  <c r="I22" i="19" a="1"/>
  <c r="I22" i="19" s="1"/>
  <c r="I23" i="19" a="1"/>
  <c r="I23" i="19" s="1"/>
  <c r="I24" i="19" a="1"/>
  <c r="I24" i="19" s="1"/>
  <c r="I25" i="19" a="1"/>
  <c r="I25" i="19" s="1"/>
  <c r="I26" i="19" a="1"/>
  <c r="I26" i="19" s="1"/>
  <c r="J22" i="19" a="1"/>
  <c r="J22" i="19" s="1"/>
  <c r="U1215" i="25" s="1"/>
  <c r="J23" i="19" a="1"/>
  <c r="J23" i="19" s="1"/>
  <c r="U1216" i="25" s="1"/>
  <c r="J24" i="19" a="1"/>
  <c r="J24" i="19" s="1"/>
  <c r="U1217" i="25" s="1"/>
  <c r="J25" i="19" a="1"/>
  <c r="J25" i="19" s="1"/>
  <c r="U1218" i="25" s="1"/>
  <c r="J26" i="19" a="1"/>
  <c r="J26" i="19" s="1"/>
  <c r="U1219" i="25" s="1"/>
  <c r="K22" i="19" a="1"/>
  <c r="K22" i="19" s="1"/>
  <c r="V1215" i="25" s="1"/>
  <c r="AI1215" i="25" s="1"/>
  <c r="K23" i="19" a="1"/>
  <c r="K23" i="19" s="1"/>
  <c r="V1216" i="25" s="1"/>
  <c r="AI1216" i="25" s="1"/>
  <c r="K24" i="19" a="1"/>
  <c r="K24" i="19" s="1"/>
  <c r="V1217" i="25" s="1"/>
  <c r="AI1217" i="25" s="1"/>
  <c r="K25" i="19" a="1"/>
  <c r="K25" i="19" s="1"/>
  <c r="V1218" i="25" s="1"/>
  <c r="AI1218" i="25" s="1"/>
  <c r="K26" i="19" a="1"/>
  <c r="K26" i="19" s="1"/>
  <c r="V1219" i="25" s="1"/>
  <c r="AI1219" i="25" s="1"/>
  <c r="O22" i="19" a="1"/>
  <c r="O22" i="19" s="1"/>
  <c r="Z1215" i="25" s="1"/>
  <c r="O23" i="19" a="1"/>
  <c r="O23" i="19" s="1"/>
  <c r="Z1216" i="25" s="1"/>
  <c r="O24" i="19" a="1"/>
  <c r="O24" i="19" s="1"/>
  <c r="Z1217" i="25" s="1"/>
  <c r="O25" i="19" a="1"/>
  <c r="O25" i="19" s="1"/>
  <c r="Z1218" i="25" s="1"/>
  <c r="O26" i="19" a="1"/>
  <c r="O26" i="19" s="1"/>
  <c r="Z1219" i="25" s="1"/>
  <c r="P22" i="19" a="1"/>
  <c r="P22" i="19" s="1"/>
  <c r="AA1215" i="25" s="1"/>
  <c r="P23" i="19" a="1"/>
  <c r="P23" i="19" s="1"/>
  <c r="AA1216" i="25" s="1"/>
  <c r="P24" i="19" a="1"/>
  <c r="P24" i="19" s="1"/>
  <c r="AA1217" i="25" s="1"/>
  <c r="P25" i="19" a="1"/>
  <c r="P25" i="19" s="1"/>
  <c r="AA1218" i="25" s="1"/>
  <c r="P26" i="19" a="1"/>
  <c r="P26" i="19" s="1"/>
  <c r="AA1219" i="25" s="1"/>
  <c r="Q22" i="19" a="1"/>
  <c r="Q22" i="19" s="1"/>
  <c r="AB1215" i="25" s="1"/>
  <c r="Q23" i="19" a="1"/>
  <c r="Q23" i="19" s="1"/>
  <c r="AB1216" i="25" s="1"/>
  <c r="Q24" i="19" a="1"/>
  <c r="Q24" i="19" s="1"/>
  <c r="AB1217" i="25" s="1"/>
  <c r="Q25" i="19" a="1"/>
  <c r="Q25" i="19" s="1"/>
  <c r="AB1218" i="25" s="1"/>
  <c r="Q26" i="19" a="1"/>
  <c r="Q26" i="19" s="1"/>
  <c r="AB1219" i="25" s="1"/>
  <c r="R22" i="19" a="1"/>
  <c r="R22" i="19" s="1"/>
  <c r="AC1215" i="25" s="1"/>
  <c r="R23" i="19" a="1"/>
  <c r="R23" i="19" s="1"/>
  <c r="AC1216" i="25" s="1"/>
  <c r="R24" i="19" a="1"/>
  <c r="R24" i="19" s="1"/>
  <c r="AC1217" i="25" s="1"/>
  <c r="R25" i="19" a="1"/>
  <c r="R25" i="19" s="1"/>
  <c r="AC1218" i="25" s="1"/>
  <c r="R26" i="19" a="1"/>
  <c r="R26" i="19" s="1"/>
  <c r="AC1219" i="25" s="1"/>
  <c r="S22" i="19" a="1"/>
  <c r="S22" i="19" s="1"/>
  <c r="AD1215" i="25" s="1"/>
  <c r="S23" i="19" a="1"/>
  <c r="S23" i="19" s="1"/>
  <c r="AD1216" i="25" s="1"/>
  <c r="S24" i="19" a="1"/>
  <c r="S24" i="19" s="1"/>
  <c r="AD1217" i="25" s="1"/>
  <c r="S25" i="19" a="1"/>
  <c r="S25" i="19" s="1"/>
  <c r="AD1218" i="25" s="1"/>
  <c r="S26" i="19" a="1"/>
  <c r="S26" i="19" s="1"/>
  <c r="AD1219" i="25" s="1"/>
  <c r="V22" i="19" a="1"/>
  <c r="V22" i="19" s="1"/>
  <c r="V23" i="19" a="1"/>
  <c r="V23" i="19" s="1"/>
  <c r="V24" i="19" a="1"/>
  <c r="V24" i="19" s="1"/>
  <c r="V25" i="19" a="1"/>
  <c r="V25" i="19" s="1"/>
  <c r="V26" i="19" a="1"/>
  <c r="V26" i="19" s="1"/>
  <c r="F52" i="19"/>
  <c r="Q1242" i="25" s="1"/>
  <c r="F53" i="19"/>
  <c r="Q1243" i="25" s="1"/>
  <c r="F54" i="19"/>
  <c r="Q1244" i="25" s="1"/>
  <c r="F55" i="19"/>
  <c r="Q1245" i="25" s="1"/>
  <c r="I52" i="19" a="1"/>
  <c r="I52" i="19" s="1"/>
  <c r="I53" i="19" a="1"/>
  <c r="I53" i="19" s="1"/>
  <c r="I54" i="19" a="1"/>
  <c r="I54" i="19" s="1"/>
  <c r="I55" i="19" a="1"/>
  <c r="I55" i="19" s="1"/>
  <c r="J52" i="19" a="1"/>
  <c r="J52" i="19" s="1"/>
  <c r="U1242" i="25" s="1"/>
  <c r="J53" i="19" a="1"/>
  <c r="J53" i="19" s="1"/>
  <c r="U1243" i="25" s="1"/>
  <c r="J54" i="19" a="1"/>
  <c r="J54" i="19" s="1"/>
  <c r="U1244" i="25" s="1"/>
  <c r="J55" i="19" a="1"/>
  <c r="J55" i="19" s="1"/>
  <c r="U1245" i="25" s="1"/>
  <c r="K52" i="19" a="1"/>
  <c r="K52" i="19" s="1"/>
  <c r="V1242" i="25" s="1"/>
  <c r="AI1242" i="25" s="1"/>
  <c r="K53" i="19" a="1"/>
  <c r="K53" i="19" s="1"/>
  <c r="V1243" i="25" s="1"/>
  <c r="AI1243" i="25" s="1"/>
  <c r="K54" i="19" a="1"/>
  <c r="K54" i="19" s="1"/>
  <c r="V1244" i="25" s="1"/>
  <c r="AI1244" i="25" s="1"/>
  <c r="K55" i="19" a="1"/>
  <c r="K55" i="19" s="1"/>
  <c r="V1245" i="25" s="1"/>
  <c r="AI1245" i="25" s="1"/>
  <c r="AF841" i="25" l="1"/>
  <c r="AF838" i="25"/>
  <c r="AE841" i="25"/>
  <c r="AE838" i="25"/>
  <c r="O44" i="29"/>
  <c r="T53" i="14" a="1"/>
  <c r="T53" i="14" s="1"/>
  <c r="O40" i="29"/>
  <c r="T49" i="14" a="1"/>
  <c r="T49" i="14" s="1"/>
  <c r="O51" i="29"/>
  <c r="T60" i="14" a="1"/>
  <c r="T60" i="14" s="1"/>
  <c r="O43" i="29"/>
  <c r="T52" i="14" a="1"/>
  <c r="T52" i="14" s="1"/>
  <c r="O50" i="29"/>
  <c r="T59" i="14" a="1"/>
  <c r="T59" i="14" s="1"/>
  <c r="O42" i="29"/>
  <c r="T51" i="14" a="1"/>
  <c r="T51" i="14" s="1"/>
  <c r="O48" i="29"/>
  <c r="T57" i="14" a="1"/>
  <c r="T57" i="14" s="1"/>
  <c r="O49" i="29"/>
  <c r="T58" i="14" a="1"/>
  <c r="T58" i="14" s="1"/>
  <c r="O41" i="29"/>
  <c r="T50" i="14" a="1"/>
  <c r="T50" i="14" s="1"/>
  <c r="O47" i="29"/>
  <c r="T56" i="14" a="1"/>
  <c r="T56" i="14" s="1"/>
  <c r="O46" i="29"/>
  <c r="T55" i="14" a="1"/>
  <c r="T55" i="14" s="1"/>
  <c r="O45" i="29"/>
  <c r="T54" i="14" a="1"/>
  <c r="T54" i="14" s="1"/>
  <c r="AF1161" i="25"/>
  <c r="H26" i="18"/>
  <c r="G26" i="18"/>
  <c r="AE1161" i="25"/>
  <c r="Z8" i="23" a="1"/>
  <c r="Z8" i="23" s="1"/>
  <c r="Z7" i="23" s="1"/>
  <c r="I6" i="23" s="1"/>
  <c r="D9" i="26" s="1"/>
  <c r="E9" i="26" s="1"/>
  <c r="O29" i="29"/>
  <c r="T38" i="14" a="1"/>
  <c r="T38" i="14" s="1"/>
  <c r="I70" i="19"/>
  <c r="L70" i="19" s="1"/>
  <c r="W1257" i="25" s="1"/>
  <c r="AJ1257" i="25" s="1"/>
  <c r="S1257" i="25"/>
  <c r="W1292" i="25"/>
  <c r="AJ1292" i="25" s="1"/>
  <c r="Z21" i="5" a="1"/>
  <c r="Z21" i="5" s="1"/>
  <c r="X47" i="19" a="1"/>
  <c r="X47" i="19" s="1"/>
  <c r="AE1207" i="25"/>
  <c r="X14" i="19" a="1"/>
  <c r="X14" i="19" s="1"/>
  <c r="X18" i="19" a="1"/>
  <c r="X18" i="19" s="1"/>
  <c r="X48" i="19" a="1"/>
  <c r="X48" i="19" s="1"/>
  <c r="X46" i="19" a="1"/>
  <c r="X46" i="19" s="1"/>
  <c r="X45" i="19" a="1"/>
  <c r="X45" i="19" s="1"/>
  <c r="X15" i="19" a="1"/>
  <c r="X15" i="19" s="1"/>
  <c r="AE1206" i="25"/>
  <c r="X13" i="19" a="1"/>
  <c r="X13" i="19" s="1"/>
  <c r="X44" i="19" a="1"/>
  <c r="X44" i="19" s="1"/>
  <c r="X19" i="19" a="1"/>
  <c r="X19" i="19" s="1"/>
  <c r="X17" i="19" a="1"/>
  <c r="X17" i="19" s="1"/>
  <c r="X16" i="19" a="1"/>
  <c r="X16" i="19" s="1"/>
  <c r="Z348" i="4" a="1"/>
  <c r="Z348" i="4" s="1"/>
  <c r="AE925" i="25"/>
  <c r="Z476" i="4" a="1"/>
  <c r="Z476" i="4" s="1"/>
  <c r="Z477" i="4" a="1"/>
  <c r="Z477" i="4" s="1"/>
  <c r="AE926" i="25"/>
  <c r="Z479" i="4" a="1"/>
  <c r="Z479" i="4" s="1"/>
  <c r="Z475" i="4" a="1"/>
  <c r="Z475" i="4" s="1"/>
  <c r="Z478" i="4" a="1"/>
  <c r="Z478" i="4" s="1"/>
  <c r="Z343" i="4" a="1"/>
  <c r="Z343" i="4" s="1"/>
  <c r="Z845" i="25"/>
  <c r="N347" i="4"/>
  <c r="N345" i="4"/>
  <c r="Z844" i="25"/>
  <c r="N346" i="4"/>
  <c r="Z842" i="25"/>
  <c r="N344" i="4"/>
  <c r="T1245" i="25"/>
  <c r="L55" i="19"/>
  <c r="S55" i="19" a="1"/>
  <c r="S55" i="19" s="1"/>
  <c r="AD1245" i="25" s="1"/>
  <c r="P55" i="19" a="1"/>
  <c r="P55" i="19" s="1"/>
  <c r="AA1245" i="25" s="1"/>
  <c r="V55" i="19" a="1"/>
  <c r="V55" i="19" s="1"/>
  <c r="O55" i="19" a="1"/>
  <c r="O55" i="19" s="1"/>
  <c r="Z1245" i="25" s="1"/>
  <c r="Q55" i="19" a="1"/>
  <c r="Q55" i="19" s="1"/>
  <c r="AB1245" i="25" s="1"/>
  <c r="R55" i="19" a="1"/>
  <c r="R55" i="19" s="1"/>
  <c r="AC1245" i="25" s="1"/>
  <c r="T1219" i="25"/>
  <c r="L26" i="19"/>
  <c r="W1219" i="25" s="1"/>
  <c r="AJ1219" i="25" s="1"/>
  <c r="L25" i="19"/>
  <c r="W1218" i="25" s="1"/>
  <c r="AJ1218" i="25" s="1"/>
  <c r="T1218" i="25"/>
  <c r="T1244" i="25"/>
  <c r="L54" i="19"/>
  <c r="W1244" i="25" s="1"/>
  <c r="AJ1244" i="25" s="1"/>
  <c r="T1243" i="25"/>
  <c r="L53" i="19"/>
  <c r="W1243" i="25" s="1"/>
  <c r="AJ1243" i="25" s="1"/>
  <c r="T1217" i="25"/>
  <c r="L24" i="19"/>
  <c r="W1217" i="25" s="1"/>
  <c r="AJ1217" i="25" s="1"/>
  <c r="U55" i="12"/>
  <c r="AF1559" i="25" s="1"/>
  <c r="T1242" i="25"/>
  <c r="L52" i="19"/>
  <c r="W1242" i="25" s="1"/>
  <c r="AJ1242" i="25" s="1"/>
  <c r="T1216" i="25"/>
  <c r="L23" i="19"/>
  <c r="W1216" i="25" s="1"/>
  <c r="AJ1216" i="25" s="1"/>
  <c r="T1215" i="25"/>
  <c r="L22" i="19"/>
  <c r="W1215" i="25" s="1"/>
  <c r="AJ1215" i="25" s="1"/>
  <c r="O53" i="19" a="1"/>
  <c r="O53" i="19" s="1"/>
  <c r="Z1243" i="25" s="1"/>
  <c r="P53" i="19" a="1"/>
  <c r="P53" i="19" s="1"/>
  <c r="AA1243" i="25" s="1"/>
  <c r="V53" i="19" a="1"/>
  <c r="V53" i="19" s="1"/>
  <c r="Q53" i="19" a="1"/>
  <c r="Q53" i="19" s="1"/>
  <c r="AB1243" i="25" s="1"/>
  <c r="R53" i="19" a="1"/>
  <c r="R53" i="19" s="1"/>
  <c r="AC1243" i="25" s="1"/>
  <c r="S53" i="19" a="1"/>
  <c r="S53" i="19" s="1"/>
  <c r="AD1243" i="25" s="1"/>
  <c r="R52" i="19" a="1"/>
  <c r="R52" i="19" s="1"/>
  <c r="AC1242" i="25" s="1"/>
  <c r="S52" i="19" a="1"/>
  <c r="S52" i="19" s="1"/>
  <c r="AD1242" i="25" s="1"/>
  <c r="O52" i="19" a="1"/>
  <c r="O52" i="19" s="1"/>
  <c r="Z1242" i="25" s="1"/>
  <c r="Q52" i="19" a="1"/>
  <c r="Q52" i="19" s="1"/>
  <c r="AB1242" i="25" s="1"/>
  <c r="P52" i="19" a="1"/>
  <c r="P52" i="19" s="1"/>
  <c r="AA1242" i="25" s="1"/>
  <c r="V52" i="19" a="1"/>
  <c r="V52" i="19" s="1"/>
  <c r="R54" i="19" a="1"/>
  <c r="R54" i="19" s="1"/>
  <c r="AC1244" i="25" s="1"/>
  <c r="S54" i="19" a="1"/>
  <c r="S54" i="19" s="1"/>
  <c r="AD1244" i="25" s="1"/>
  <c r="O54" i="19" a="1"/>
  <c r="O54" i="19" s="1"/>
  <c r="Z1244" i="25" s="1"/>
  <c r="P54" i="19" a="1"/>
  <c r="P54" i="19" s="1"/>
  <c r="AA1244" i="25" s="1"/>
  <c r="V54" i="19" a="1"/>
  <c r="V54" i="19" s="1"/>
  <c r="Q54" i="19" a="1"/>
  <c r="Q54" i="19" s="1"/>
  <c r="AB1244" i="25" s="1"/>
  <c r="T55" i="12"/>
  <c r="AE1559" i="25" s="1"/>
  <c r="T69" i="12"/>
  <c r="U69" i="12"/>
  <c r="AF1573" i="25" s="1"/>
  <c r="T68" i="12"/>
  <c r="U68" i="12"/>
  <c r="AF1572" i="25" s="1"/>
  <c r="T76" i="12"/>
  <c r="U76" i="12"/>
  <c r="AF1580" i="25" s="1"/>
  <c r="U77" i="12"/>
  <c r="AF1581" i="25" s="1"/>
  <c r="T77" i="12"/>
  <c r="U67" i="12"/>
  <c r="AF1571" i="25" s="1"/>
  <c r="T67" i="12"/>
  <c r="T75" i="12"/>
  <c r="U75" i="12"/>
  <c r="AF1579" i="25" s="1"/>
  <c r="T78" i="12"/>
  <c r="U78" i="12"/>
  <c r="AF1582" i="25" s="1"/>
  <c r="T54" i="12"/>
  <c r="AE1558" i="25" s="1"/>
  <c r="U54" i="12"/>
  <c r="AF1558" i="25" s="1"/>
  <c r="U73" i="12"/>
  <c r="AF1577" i="25" s="1"/>
  <c r="T73" i="12"/>
  <c r="T66" i="12"/>
  <c r="U66" i="12"/>
  <c r="AF1570" i="25" s="1"/>
  <c r="T74" i="12"/>
  <c r="U74" i="12"/>
  <c r="AF1578" i="25" s="1"/>
  <c r="T80" i="12"/>
  <c r="U80" i="12"/>
  <c r="AF1584" i="25" s="1"/>
  <c r="T72" i="12"/>
  <c r="U72" i="12"/>
  <c r="AF1576" i="25" s="1"/>
  <c r="U70" i="12"/>
  <c r="AF1574" i="25" s="1"/>
  <c r="T70" i="12"/>
  <c r="T79" i="12"/>
  <c r="U79" i="12"/>
  <c r="AF1583" i="25" s="1"/>
  <c r="U71" i="12"/>
  <c r="AF1575" i="25" s="1"/>
  <c r="T71" i="12"/>
  <c r="T53" i="12"/>
  <c r="AE1557" i="25" s="1"/>
  <c r="U53" i="12"/>
  <c r="AF1557" i="25" s="1"/>
  <c r="V23" i="17"/>
  <c r="E21" i="26"/>
  <c r="J70" i="19"/>
  <c r="U1257" i="25" s="1"/>
  <c r="J69" i="19"/>
  <c r="Q70" i="19"/>
  <c r="AB1257" i="25" s="1"/>
  <c r="S70" i="19"/>
  <c r="AD1257" i="25" s="1"/>
  <c r="P70" i="19"/>
  <c r="AA1257" i="25" s="1"/>
  <c r="V70" i="19"/>
  <c r="AG1257" i="25" s="1"/>
  <c r="R70" i="19"/>
  <c r="AC1257" i="25" s="1"/>
  <c r="T36" i="14" l="1"/>
  <c r="T1257" i="25"/>
  <c r="X53" i="12" a="1"/>
  <c r="X53" i="12" s="1"/>
  <c r="AE1572" i="25"/>
  <c r="X68" i="12" a="1"/>
  <c r="X68" i="12" s="1"/>
  <c r="AE1583" i="25"/>
  <c r="X79" i="12" a="1"/>
  <c r="X79" i="12" s="1"/>
  <c r="AE1578" i="25"/>
  <c r="X74" i="12" a="1"/>
  <c r="X74" i="12" s="1"/>
  <c r="AE1582" i="25"/>
  <c r="X78" i="12" a="1"/>
  <c r="X78" i="12" s="1"/>
  <c r="AE1580" i="25"/>
  <c r="X76" i="12" a="1"/>
  <c r="X76" i="12" s="1"/>
  <c r="X54" i="12" a="1"/>
  <c r="X54" i="12" s="1"/>
  <c r="AE1570" i="25"/>
  <c r="X66" i="12" a="1"/>
  <c r="X66" i="12" s="1"/>
  <c r="AE1579" i="25"/>
  <c r="X75" i="12" a="1"/>
  <c r="X75" i="12" s="1"/>
  <c r="AE1577" i="25"/>
  <c r="X73" i="12" a="1"/>
  <c r="X73" i="12" s="1"/>
  <c r="AE1571" i="25"/>
  <c r="X67" i="12" a="1"/>
  <c r="X67" i="12" s="1"/>
  <c r="AE1576" i="25"/>
  <c r="X72" i="12" a="1"/>
  <c r="X72" i="12" s="1"/>
  <c r="AE1573" i="25"/>
  <c r="X69" i="12" a="1"/>
  <c r="X69" i="12" s="1"/>
  <c r="AE1575" i="25"/>
  <c r="X71" i="12" a="1"/>
  <c r="X71" i="12" s="1"/>
  <c r="AE1581" i="25"/>
  <c r="X77" i="12" a="1"/>
  <c r="X77" i="12" s="1"/>
  <c r="X55" i="12" a="1"/>
  <c r="X55" i="12" s="1"/>
  <c r="AE1574" i="25"/>
  <c r="X70" i="12" a="1"/>
  <c r="X70" i="12" s="1"/>
  <c r="AE1584" i="25"/>
  <c r="X80" i="12" a="1"/>
  <c r="X80" i="12" s="1"/>
  <c r="W842" i="25"/>
  <c r="W344" i="4"/>
  <c r="AF842" i="25" s="1"/>
  <c r="V344" i="4"/>
  <c r="AE842" i="25" s="1"/>
  <c r="W844" i="25"/>
  <c r="AJ844" i="25" s="1"/>
  <c r="V346" i="4"/>
  <c r="AE844" i="25" s="1"/>
  <c r="W346" i="4"/>
  <c r="AF844" i="25" s="1"/>
  <c r="W845" i="25"/>
  <c r="AJ845" i="25" s="1"/>
  <c r="V347" i="4"/>
  <c r="AE845" i="25" s="1"/>
  <c r="W347" i="4"/>
  <c r="AF845" i="25" s="1"/>
  <c r="W843" i="25"/>
  <c r="AJ843" i="25" s="1"/>
  <c r="V345" i="4"/>
  <c r="AE843" i="25" s="1"/>
  <c r="W345" i="4"/>
  <c r="AF843" i="25" s="1"/>
  <c r="I69" i="19"/>
  <c r="U1256" i="25"/>
  <c r="U22" i="19"/>
  <c r="AF1215" i="25" s="1"/>
  <c r="U25" i="19"/>
  <c r="AF1218" i="25" s="1"/>
  <c r="U24" i="19"/>
  <c r="AF1217" i="25" s="1"/>
  <c r="U70" i="19"/>
  <c r="AF1257" i="25" s="1"/>
  <c r="U23" i="19"/>
  <c r="AF1216" i="25" s="1"/>
  <c r="W1245" i="25"/>
  <c r="AJ1245" i="25" s="1"/>
  <c r="T55" i="19"/>
  <c r="AE1245" i="25" s="1"/>
  <c r="U55" i="19"/>
  <c r="AF1245" i="25" s="1"/>
  <c r="T52" i="19"/>
  <c r="AE1242" i="25" s="1"/>
  <c r="U52" i="19"/>
  <c r="AF1242" i="25" s="1"/>
  <c r="T54" i="19"/>
  <c r="AE1244" i="25" s="1"/>
  <c r="U54" i="19"/>
  <c r="AF1244" i="25" s="1"/>
  <c r="T53" i="19"/>
  <c r="AE1243" i="25" s="1"/>
  <c r="U53" i="19"/>
  <c r="AF1243" i="25" s="1"/>
  <c r="H36" i="18"/>
  <c r="G36" i="18"/>
  <c r="Q69" i="19"/>
  <c r="AB1256" i="25" s="1"/>
  <c r="R69" i="19"/>
  <c r="AC1256" i="25" s="1"/>
  <c r="O69" i="19"/>
  <c r="Z1256" i="25" s="1"/>
  <c r="V69" i="19"/>
  <c r="AG1256" i="25" s="1"/>
  <c r="P69" i="19"/>
  <c r="AA1256" i="25" s="1"/>
  <c r="S69" i="19"/>
  <c r="AD1256" i="25" s="1"/>
  <c r="T70" i="19"/>
  <c r="T24" i="19"/>
  <c r="AE1217" i="25" s="1"/>
  <c r="T23" i="19"/>
  <c r="AE1216" i="25" s="1"/>
  <c r="T22" i="19"/>
  <c r="AE1215" i="25" s="1"/>
  <c r="T25" i="19"/>
  <c r="AE1218" i="25" s="1"/>
  <c r="T26" i="19"/>
  <c r="AE1219" i="25" s="1"/>
  <c r="U26" i="19"/>
  <c r="AF1219" i="25" s="1"/>
  <c r="AJ842" i="25" l="1"/>
  <c r="X52" i="12"/>
  <c r="H51" i="12" s="1"/>
  <c r="D19" i="26" s="1"/>
  <c r="E19" i="26" s="1"/>
  <c r="X54" i="19" a="1"/>
  <c r="X54" i="19" s="1"/>
  <c r="X52" i="19" a="1"/>
  <c r="X52" i="19" s="1"/>
  <c r="X70" i="19" a="1"/>
  <c r="X70" i="19" s="1"/>
  <c r="AE1257" i="25"/>
  <c r="X22" i="19" a="1"/>
  <c r="X22" i="19" s="1"/>
  <c r="X53" i="19" a="1"/>
  <c r="X53" i="19" s="1"/>
  <c r="X24" i="19" a="1"/>
  <c r="X24" i="19" s="1"/>
  <c r="X23" i="19" a="1"/>
  <c r="X23" i="19" s="1"/>
  <c r="X25" i="19" a="1"/>
  <c r="X25" i="19" s="1"/>
  <c r="X26" i="19" a="1"/>
  <c r="X26" i="19" s="1"/>
  <c r="X55" i="19" a="1"/>
  <c r="X55" i="19" s="1"/>
  <c r="T1256" i="25"/>
  <c r="Z347" i="4" a="1"/>
  <c r="Z347" i="4" s="1"/>
  <c r="Z346" i="4" a="1"/>
  <c r="Z346" i="4" s="1"/>
  <c r="Z345" i="4" a="1"/>
  <c r="Z345" i="4" s="1"/>
  <c r="Z344" i="4" a="1"/>
  <c r="Z344" i="4" s="1"/>
  <c r="L69" i="19"/>
  <c r="W1256" i="25" s="1"/>
  <c r="AJ1256" i="25" s="1"/>
  <c r="C83" i="18"/>
  <c r="C87" i="18" s="1"/>
  <c r="V207" i="17"/>
  <c r="V180" i="17"/>
  <c r="V179" i="17"/>
  <c r="V181" i="17"/>
  <c r="V175" i="17"/>
  <c r="V174" i="17"/>
  <c r="V169" i="17"/>
  <c r="V168" i="17"/>
  <c r="V165" i="17"/>
  <c r="V163" i="17"/>
  <c r="V161" i="17"/>
  <c r="V159" i="17"/>
  <c r="V158" i="17"/>
  <c r="V157" i="17"/>
  <c r="V189" i="17"/>
  <c r="V188" i="17"/>
  <c r="V195" i="17"/>
  <c r="V194" i="17"/>
  <c r="V197" i="17"/>
  <c r="V196" i="17"/>
  <c r="V205" i="17"/>
  <c r="V204" i="17"/>
  <c r="V203" i="17"/>
  <c r="V202" i="17"/>
  <c r="V147" i="17"/>
  <c r="V146" i="17"/>
  <c r="U69" i="19" l="1"/>
  <c r="AF1256" i="25" s="1"/>
  <c r="T69" i="19"/>
  <c r="L506" i="4" a="1"/>
  <c r="L506" i="4" s="1"/>
  <c r="L507" i="4" a="1"/>
  <c r="L507" i="4" s="1"/>
  <c r="L508" i="4" a="1"/>
  <c r="L508" i="4" s="1"/>
  <c r="L509" i="4" a="1"/>
  <c r="L509" i="4" s="1"/>
  <c r="L510" i="4" a="1"/>
  <c r="L510" i="4" s="1"/>
  <c r="K505" i="4"/>
  <c r="U1138" i="25" s="1"/>
  <c r="K506" i="4"/>
  <c r="U1139" i="25" s="1"/>
  <c r="K507" i="4"/>
  <c r="U1140" i="25" s="1"/>
  <c r="K508" i="4"/>
  <c r="U1141" i="25" s="1"/>
  <c r="K509" i="4"/>
  <c r="U1142" i="25" s="1"/>
  <c r="K510" i="4"/>
  <c r="U1143" i="25" s="1"/>
  <c r="L7" i="4"/>
  <c r="U502" i="25" s="1"/>
  <c r="M485" i="4" a="1"/>
  <c r="M485" i="4" s="1"/>
  <c r="V933" i="25" s="1"/>
  <c r="AI933" i="25" s="1"/>
  <c r="M486" i="4" a="1"/>
  <c r="M486" i="4" s="1"/>
  <c r="V934" i="25" s="1"/>
  <c r="AI934" i="25" s="1"/>
  <c r="M487" i="4" a="1"/>
  <c r="M487" i="4" s="1"/>
  <c r="V935" i="25" s="1"/>
  <c r="AI935" i="25" s="1"/>
  <c r="M488" i="4" a="1"/>
  <c r="M488" i="4" s="1"/>
  <c r="V936" i="25" s="1"/>
  <c r="AI936" i="25" s="1"/>
  <c r="M489" i="4" a="1"/>
  <c r="M489" i="4" s="1"/>
  <c r="V937" i="25" s="1"/>
  <c r="AI937" i="25" s="1"/>
  <c r="M490" i="4" a="1"/>
  <c r="M490" i="4" s="1"/>
  <c r="V938" i="25" s="1"/>
  <c r="AI938" i="25" s="1"/>
  <c r="M491" i="4" a="1"/>
  <c r="M491" i="4" s="1"/>
  <c r="V939" i="25" s="1"/>
  <c r="AI939" i="25" s="1"/>
  <c r="M492" i="4" a="1"/>
  <c r="M492" i="4" s="1"/>
  <c r="V940" i="25" s="1"/>
  <c r="AI940" i="25" s="1"/>
  <c r="M493" i="4" a="1"/>
  <c r="M493" i="4" s="1"/>
  <c r="V941" i="25" s="1"/>
  <c r="AI941" i="25" s="1"/>
  <c r="M494" i="4" a="1"/>
  <c r="M494" i="4" s="1"/>
  <c r="V942" i="25" s="1"/>
  <c r="AI942" i="25" s="1"/>
  <c r="M495" i="4" a="1"/>
  <c r="M495" i="4" s="1"/>
  <c r="V943" i="25" s="1"/>
  <c r="AI943" i="25" s="1"/>
  <c r="M496" i="4" a="1"/>
  <c r="M496" i="4" s="1"/>
  <c r="V944" i="25" s="1"/>
  <c r="AI944" i="25" s="1"/>
  <c r="M497" i="4" a="1"/>
  <c r="M497" i="4" s="1"/>
  <c r="V945" i="25" s="1"/>
  <c r="AI945" i="25" s="1"/>
  <c r="M498" i="4" a="1"/>
  <c r="M498" i="4" s="1"/>
  <c r="V946" i="25" s="1"/>
  <c r="AI946" i="25" s="1"/>
  <c r="M499" i="4" a="1"/>
  <c r="M499" i="4" s="1"/>
  <c r="V947" i="25" s="1"/>
  <c r="AI947" i="25" s="1"/>
  <c r="L341" i="4"/>
  <c r="L342" i="4"/>
  <c r="L480" i="4"/>
  <c r="U928" i="25" s="1"/>
  <c r="L481" i="4"/>
  <c r="U929" i="25" s="1"/>
  <c r="L482" i="4"/>
  <c r="U930" i="25" s="1"/>
  <c r="L483" i="4"/>
  <c r="U931" i="25" s="1"/>
  <c r="L484" i="4"/>
  <c r="U932" i="25" s="1"/>
  <c r="L485" i="4"/>
  <c r="U933" i="25" s="1"/>
  <c r="L486" i="4"/>
  <c r="U934" i="25" s="1"/>
  <c r="L487" i="4"/>
  <c r="U935" i="25" s="1"/>
  <c r="L488" i="4"/>
  <c r="U936" i="25" s="1"/>
  <c r="L489" i="4"/>
  <c r="U937" i="25" s="1"/>
  <c r="L490" i="4"/>
  <c r="U938" i="25" s="1"/>
  <c r="L491" i="4"/>
  <c r="U939" i="25" s="1"/>
  <c r="L492" i="4"/>
  <c r="U940" i="25" s="1"/>
  <c r="L493" i="4"/>
  <c r="U941" i="25" s="1"/>
  <c r="L494" i="4"/>
  <c r="U942" i="25" s="1"/>
  <c r="L495" i="4"/>
  <c r="U943" i="25" s="1"/>
  <c r="L496" i="4"/>
  <c r="U944" i="25" s="1"/>
  <c r="L497" i="4"/>
  <c r="U945" i="25" s="1"/>
  <c r="L498" i="4"/>
  <c r="U946" i="25" s="1"/>
  <c r="L499" i="4"/>
  <c r="U947" i="25" s="1"/>
  <c r="V170" i="17"/>
  <c r="K42" i="19" a="1"/>
  <c r="K42" i="19" s="1"/>
  <c r="V1232" i="25" s="1"/>
  <c r="AI1232" i="25" s="1"/>
  <c r="K43" i="19" a="1"/>
  <c r="K43" i="19" s="1"/>
  <c r="V1233" i="25" s="1"/>
  <c r="AI1233" i="25" s="1"/>
  <c r="K49" i="19" a="1"/>
  <c r="K49" i="19" s="1"/>
  <c r="V1239" i="25" s="1"/>
  <c r="AI1239" i="25" s="1"/>
  <c r="K50" i="19" a="1"/>
  <c r="K50" i="19" s="1"/>
  <c r="V1240" i="25" s="1"/>
  <c r="AI1240" i="25" s="1"/>
  <c r="K51" i="19" a="1"/>
  <c r="K51" i="19" s="1"/>
  <c r="V1241" i="25" s="1"/>
  <c r="AI1241" i="25" s="1"/>
  <c r="K56" i="19" a="1"/>
  <c r="K56" i="19" s="1"/>
  <c r="V1246" i="25" s="1"/>
  <c r="AI1246" i="25" s="1"/>
  <c r="K57" i="19" a="1"/>
  <c r="K57" i="19" s="1"/>
  <c r="V1247" i="25" s="1"/>
  <c r="AI1247" i="25" s="1"/>
  <c r="K58" i="19" a="1"/>
  <c r="K58" i="19" s="1"/>
  <c r="V1248" i="25" s="1"/>
  <c r="AI1248" i="25" s="1"/>
  <c r="K59" i="19" a="1"/>
  <c r="K59" i="19" s="1"/>
  <c r="V1249" i="25" s="1"/>
  <c r="AI1249" i="25" s="1"/>
  <c r="K60" i="19" a="1"/>
  <c r="K60" i="19" s="1"/>
  <c r="V1250" i="25" s="1"/>
  <c r="AI1250" i="25" s="1"/>
  <c r="K61" i="19" a="1"/>
  <c r="K61" i="19" s="1"/>
  <c r="V1251" i="25" s="1"/>
  <c r="AI1251" i="25" s="1"/>
  <c r="K27" i="19" a="1"/>
  <c r="K27" i="19" s="1"/>
  <c r="V1220" i="25" s="1"/>
  <c r="AI1220" i="25" s="1"/>
  <c r="K28" i="19" a="1"/>
  <c r="K28" i="19" s="1"/>
  <c r="V1221" i="25" s="1"/>
  <c r="AI1221" i="25" s="1"/>
  <c r="K29" i="19" a="1"/>
  <c r="K29" i="19" s="1"/>
  <c r="V1222" i="25" s="1"/>
  <c r="AI1222" i="25" s="1"/>
  <c r="K30" i="19" a="1"/>
  <c r="K30" i="19" s="1"/>
  <c r="V1223" i="25" s="1"/>
  <c r="AI1223" i="25" s="1"/>
  <c r="K31" i="19" a="1"/>
  <c r="K31" i="19" s="1"/>
  <c r="V1224" i="25" s="1"/>
  <c r="AI1224" i="25" s="1"/>
  <c r="K32" i="19" a="1"/>
  <c r="K32" i="19" s="1"/>
  <c r="V1225" i="25" s="1"/>
  <c r="AI1225" i="25" s="1"/>
  <c r="K33" i="19" a="1"/>
  <c r="K33" i="19" s="1"/>
  <c r="V1226" i="25" s="1"/>
  <c r="AI1226" i="25" s="1"/>
  <c r="K34" i="19" a="1"/>
  <c r="K34" i="19" s="1"/>
  <c r="V1227" i="25" s="1"/>
  <c r="AI1227" i="25" s="1"/>
  <c r="J8" i="19" a="1"/>
  <c r="J8" i="19" s="1"/>
  <c r="J9" i="19" a="1"/>
  <c r="J9" i="19" s="1"/>
  <c r="J10" i="19" a="1"/>
  <c r="J10" i="19" s="1"/>
  <c r="U1203" i="25" s="1"/>
  <c r="J11" i="19" a="1"/>
  <c r="J11" i="19" s="1"/>
  <c r="U1204" i="25" s="1"/>
  <c r="J12" i="19" a="1"/>
  <c r="J12" i="19" s="1"/>
  <c r="U1205" i="25" s="1"/>
  <c r="J20" i="19" a="1"/>
  <c r="J20" i="19" s="1"/>
  <c r="U1213" i="25" s="1"/>
  <c r="J21" i="19" a="1"/>
  <c r="J21" i="19" s="1"/>
  <c r="U1214" i="25" s="1"/>
  <c r="J27" i="19" a="1"/>
  <c r="J27" i="19" s="1"/>
  <c r="U1220" i="25" s="1"/>
  <c r="J28" i="19" a="1"/>
  <c r="J28" i="19" s="1"/>
  <c r="U1221" i="25" s="1"/>
  <c r="J29" i="19" a="1"/>
  <c r="J29" i="19" s="1"/>
  <c r="U1222" i="25" s="1"/>
  <c r="J30" i="19" a="1"/>
  <c r="J30" i="19" s="1"/>
  <c r="U1223" i="25" s="1"/>
  <c r="J31" i="19" a="1"/>
  <c r="J31" i="19" s="1"/>
  <c r="U1224" i="25" s="1"/>
  <c r="J32" i="19" a="1"/>
  <c r="J32" i="19" s="1"/>
  <c r="U1225" i="25" s="1"/>
  <c r="J33" i="19" a="1"/>
  <c r="J33" i="19" s="1"/>
  <c r="U1226" i="25" s="1"/>
  <c r="J34" i="19" a="1"/>
  <c r="J34" i="19" s="1"/>
  <c r="U1227" i="25" s="1"/>
  <c r="F67" i="19"/>
  <c r="Q1254" i="25" s="1"/>
  <c r="F68" i="19"/>
  <c r="Q1255" i="25" s="1"/>
  <c r="F71" i="19"/>
  <c r="Q1258" i="25" s="1"/>
  <c r="F72" i="19"/>
  <c r="Q1259" i="25" s="1"/>
  <c r="F73" i="19"/>
  <c r="Q1260" i="25" s="1"/>
  <c r="F74" i="19"/>
  <c r="Q1261" i="25" s="1"/>
  <c r="K67" i="19"/>
  <c r="V1254" i="25" s="1"/>
  <c r="AI1254" i="25" s="1"/>
  <c r="K68" i="19"/>
  <c r="V1255" i="25" s="1"/>
  <c r="AI1255" i="25" s="1"/>
  <c r="K71" i="19"/>
  <c r="V1258" i="25" s="1"/>
  <c r="AI1258" i="25" s="1"/>
  <c r="K72" i="19"/>
  <c r="V1259" i="25" s="1"/>
  <c r="AI1259" i="25" s="1"/>
  <c r="K73" i="19"/>
  <c r="V1260" i="25" s="1"/>
  <c r="AI1260" i="25" s="1"/>
  <c r="K74" i="19"/>
  <c r="V1261" i="25" s="1"/>
  <c r="AI1261" i="25" s="1"/>
  <c r="P67" i="19"/>
  <c r="AA1254" i="25" s="1"/>
  <c r="Q67" i="19"/>
  <c r="AB1254" i="25" s="1"/>
  <c r="R67" i="19"/>
  <c r="AC1254" i="25" s="1"/>
  <c r="S67" i="19"/>
  <c r="AD1254" i="25" s="1"/>
  <c r="V67" i="19"/>
  <c r="AG1254" i="25" s="1"/>
  <c r="H66" i="19"/>
  <c r="S1253" i="25" s="1"/>
  <c r="H67" i="19"/>
  <c r="H68" i="19"/>
  <c r="H71" i="19"/>
  <c r="H72" i="19"/>
  <c r="H73" i="19"/>
  <c r="H74" i="19"/>
  <c r="O67" i="19"/>
  <c r="Z1254" i="25" s="1"/>
  <c r="H65" i="19"/>
  <c r="U840" i="25" l="1"/>
  <c r="U837" i="25"/>
  <c r="U839" i="25"/>
  <c r="U836" i="25"/>
  <c r="V1142" i="25"/>
  <c r="AI1142" i="25" s="1"/>
  <c r="V1143" i="25"/>
  <c r="AI1143" i="25" s="1"/>
  <c r="V1141" i="25"/>
  <c r="AI1141" i="25" s="1"/>
  <c r="V1139" i="25"/>
  <c r="AI1139" i="25" s="1"/>
  <c r="V1140" i="25"/>
  <c r="AI1140" i="25" s="1"/>
  <c r="J65" i="19"/>
  <c r="U1252" i="25" s="1"/>
  <c r="S1252" i="25"/>
  <c r="I74" i="19"/>
  <c r="L74" i="19" s="1"/>
  <c r="W1261" i="25" s="1"/>
  <c r="AJ1261" i="25" s="1"/>
  <c r="S1261" i="25"/>
  <c r="I73" i="19"/>
  <c r="T1260" i="25" s="1"/>
  <c r="S1260" i="25"/>
  <c r="I72" i="19"/>
  <c r="T1259" i="25" s="1"/>
  <c r="S1259" i="25"/>
  <c r="I71" i="19"/>
  <c r="T1258" i="25" s="1"/>
  <c r="S1258" i="25"/>
  <c r="X69" i="19" a="1"/>
  <c r="X69" i="19" s="1"/>
  <c r="AE1256" i="25"/>
  <c r="I67" i="19"/>
  <c r="T1254" i="25" s="1"/>
  <c r="S1254" i="25"/>
  <c r="I68" i="19"/>
  <c r="S1255" i="25"/>
  <c r="K486" i="4" a="1"/>
  <c r="K486" i="4" s="1"/>
  <c r="T934" i="25" s="1"/>
  <c r="I9" i="19" a="1"/>
  <c r="I9" i="19" s="1"/>
  <c r="U1202" i="25"/>
  <c r="I8" i="19" a="1"/>
  <c r="I8" i="19" s="1"/>
  <c r="U1201" i="25"/>
  <c r="K480" i="4" a="1"/>
  <c r="K480" i="4" s="1"/>
  <c r="T928" i="25" s="1"/>
  <c r="K7" i="4" a="1"/>
  <c r="K7" i="4" s="1"/>
  <c r="T502" i="25" s="1"/>
  <c r="V171" i="17"/>
  <c r="G65" i="19"/>
  <c r="R1252" i="25" s="1"/>
  <c r="F9" i="12"/>
  <c r="Q1517" i="25" s="1"/>
  <c r="F10" i="12"/>
  <c r="Q1518" i="25" s="1"/>
  <c r="F33" i="12"/>
  <c r="Q1541" i="25" s="1"/>
  <c r="F34" i="12"/>
  <c r="Q1542" i="25" s="1"/>
  <c r="F35" i="12"/>
  <c r="Q1543" i="25" s="1"/>
  <c r="F36" i="12"/>
  <c r="Q1544" i="25" s="1"/>
  <c r="F37" i="12"/>
  <c r="Q1545" i="25" s="1"/>
  <c r="F38" i="12"/>
  <c r="Q1546" i="25" s="1"/>
  <c r="F39" i="12"/>
  <c r="Q1547" i="25" s="1"/>
  <c r="F40" i="12"/>
  <c r="Q1548" i="25" s="1"/>
  <c r="F41" i="12"/>
  <c r="Q1549" i="25" s="1"/>
  <c r="F42" i="12"/>
  <c r="Q1550" i="25" s="1"/>
  <c r="F43" i="12"/>
  <c r="Q1551" i="25" s="1"/>
  <c r="F44" i="12"/>
  <c r="Q1552" i="25" s="1"/>
  <c r="F45" i="12"/>
  <c r="Q1553" i="25" s="1"/>
  <c r="F46" i="12"/>
  <c r="Q1554" i="25" s="1"/>
  <c r="F47" i="12"/>
  <c r="Q1555" i="25" s="1"/>
  <c r="F48" i="12"/>
  <c r="Q1556" i="25" s="1"/>
  <c r="F8" i="12"/>
  <c r="Q1516" i="25" s="1"/>
  <c r="F90" i="12"/>
  <c r="Q1591" i="25" s="1"/>
  <c r="F91" i="12"/>
  <c r="Q1592" i="25" s="1"/>
  <c r="F92" i="12"/>
  <c r="Q1593" i="25" s="1"/>
  <c r="F93" i="12"/>
  <c r="Q1594" i="25" s="1"/>
  <c r="F94" i="12"/>
  <c r="Q1595" i="25" s="1"/>
  <c r="F95" i="12"/>
  <c r="Q1596" i="25" s="1"/>
  <c r="F96" i="12"/>
  <c r="Q1597" i="25" s="1"/>
  <c r="F97" i="12"/>
  <c r="Q1598" i="25" s="1"/>
  <c r="F98" i="12"/>
  <c r="Q1599" i="25" s="1"/>
  <c r="F99" i="12"/>
  <c r="Q1600" i="25" s="1"/>
  <c r="F100" i="12"/>
  <c r="Q1601" i="25" s="1"/>
  <c r="F101" i="12"/>
  <c r="Q1602" i="25" s="1"/>
  <c r="F102" i="12"/>
  <c r="Q1603" i="25" s="1"/>
  <c r="F103" i="12"/>
  <c r="Q1604" i="25" s="1"/>
  <c r="F104" i="12"/>
  <c r="Q1605" i="25" s="1"/>
  <c r="F105" i="12"/>
  <c r="Q1606" i="25" s="1"/>
  <c r="F84" i="12"/>
  <c r="Q1585" i="25" s="1"/>
  <c r="J66" i="19"/>
  <c r="U1253" i="25" s="1"/>
  <c r="J67" i="19"/>
  <c r="U1254" i="25" s="1"/>
  <c r="J68" i="19"/>
  <c r="U1255" i="25" s="1"/>
  <c r="J71" i="19"/>
  <c r="U1258" i="25" s="1"/>
  <c r="J72" i="19"/>
  <c r="U1259" i="25" s="1"/>
  <c r="J73" i="19"/>
  <c r="U1260" i="25" s="1"/>
  <c r="J74" i="19"/>
  <c r="U1261" i="25" s="1"/>
  <c r="F49" i="19"/>
  <c r="Q1239" i="25" s="1"/>
  <c r="F50" i="19"/>
  <c r="Q1240" i="25" s="1"/>
  <c r="F51" i="19"/>
  <c r="Q1241" i="25" s="1"/>
  <c r="F56" i="19"/>
  <c r="Q1246" i="25" s="1"/>
  <c r="I49" i="19" a="1"/>
  <c r="I49" i="19" s="1"/>
  <c r="I50" i="19" a="1"/>
  <c r="I50" i="19" s="1"/>
  <c r="I56" i="19" a="1"/>
  <c r="I56" i="19" s="1"/>
  <c r="J49" i="19" a="1"/>
  <c r="J49" i="19" s="1"/>
  <c r="U1239" i="25" s="1"/>
  <c r="J50" i="19" a="1"/>
  <c r="J50" i="19" s="1"/>
  <c r="U1240" i="25" s="1"/>
  <c r="J51" i="19" a="1"/>
  <c r="J51" i="19" s="1"/>
  <c r="J56" i="19" a="1"/>
  <c r="J56" i="19" s="1"/>
  <c r="U1246" i="25" s="1"/>
  <c r="F21" i="19"/>
  <c r="Q1214" i="25" s="1"/>
  <c r="F27" i="19"/>
  <c r="Q1220" i="25" s="1"/>
  <c r="F28" i="19"/>
  <c r="Q1221" i="25" s="1"/>
  <c r="F29" i="19"/>
  <c r="Q1222" i="25" s="1"/>
  <c r="I21" i="19" a="1"/>
  <c r="I21" i="19" s="1"/>
  <c r="I27" i="19" a="1"/>
  <c r="I27" i="19" s="1"/>
  <c r="I28" i="19" a="1"/>
  <c r="I28" i="19" s="1"/>
  <c r="I29" i="19" a="1"/>
  <c r="I29" i="19" s="1"/>
  <c r="O21" i="19" a="1"/>
  <c r="O21" i="19" s="1"/>
  <c r="Z1214" i="25" s="1"/>
  <c r="O27" i="19" a="1"/>
  <c r="O27" i="19" s="1"/>
  <c r="Z1220" i="25" s="1"/>
  <c r="O28" i="19" a="1"/>
  <c r="O28" i="19" s="1"/>
  <c r="Z1221" i="25" s="1"/>
  <c r="O29" i="19" a="1"/>
  <c r="O29" i="19" s="1"/>
  <c r="Z1222" i="25" s="1"/>
  <c r="P21" i="19" a="1"/>
  <c r="P21" i="19" s="1"/>
  <c r="AA1214" i="25" s="1"/>
  <c r="P27" i="19" a="1"/>
  <c r="P27" i="19" s="1"/>
  <c r="AA1220" i="25" s="1"/>
  <c r="P28" i="19" a="1"/>
  <c r="P28" i="19" s="1"/>
  <c r="AA1221" i="25" s="1"/>
  <c r="P29" i="19" a="1"/>
  <c r="P29" i="19" s="1"/>
  <c r="AA1222" i="25" s="1"/>
  <c r="Q21" i="19" a="1"/>
  <c r="Q21" i="19" s="1"/>
  <c r="AB1214" i="25" s="1"/>
  <c r="Q27" i="19" a="1"/>
  <c r="Q27" i="19" s="1"/>
  <c r="AB1220" i="25" s="1"/>
  <c r="Q28" i="19" a="1"/>
  <c r="Q28" i="19" s="1"/>
  <c r="AB1221" i="25" s="1"/>
  <c r="Q29" i="19" a="1"/>
  <c r="Q29" i="19" s="1"/>
  <c r="AB1222" i="25" s="1"/>
  <c r="R21" i="19" a="1"/>
  <c r="R21" i="19" s="1"/>
  <c r="AC1214" i="25" s="1"/>
  <c r="R27" i="19" a="1"/>
  <c r="R27" i="19" s="1"/>
  <c r="AC1220" i="25" s="1"/>
  <c r="R28" i="19" a="1"/>
  <c r="R28" i="19" s="1"/>
  <c r="AC1221" i="25" s="1"/>
  <c r="R29" i="19" a="1"/>
  <c r="R29" i="19" s="1"/>
  <c r="AC1222" i="25" s="1"/>
  <c r="S21" i="19" a="1"/>
  <c r="S21" i="19" s="1"/>
  <c r="AD1214" i="25" s="1"/>
  <c r="S27" i="19" a="1"/>
  <c r="S27" i="19" s="1"/>
  <c r="AD1220" i="25" s="1"/>
  <c r="S28" i="19" a="1"/>
  <c r="S28" i="19" s="1"/>
  <c r="AD1221" i="25" s="1"/>
  <c r="S29" i="19" a="1"/>
  <c r="S29" i="19" s="1"/>
  <c r="AD1222" i="25" s="1"/>
  <c r="V21" i="19" a="1"/>
  <c r="V21" i="19" s="1"/>
  <c r="V27" i="19" a="1"/>
  <c r="V27" i="19" s="1"/>
  <c r="V28" i="19" a="1"/>
  <c r="V28" i="19" s="1"/>
  <c r="V29" i="19" a="1"/>
  <c r="V29" i="19" s="1"/>
  <c r="I20" i="19" a="1"/>
  <c r="I20" i="19" s="1"/>
  <c r="F30" i="19"/>
  <c r="Q1223" i="25" s="1"/>
  <c r="I30" i="19" a="1"/>
  <c r="I30" i="19" s="1"/>
  <c r="O30" i="19" a="1"/>
  <c r="O30" i="19" s="1"/>
  <c r="Z1223" i="25" s="1"/>
  <c r="P30" i="19" a="1"/>
  <c r="P30" i="19" s="1"/>
  <c r="AA1223" i="25" s="1"/>
  <c r="Q30" i="19" a="1"/>
  <c r="Q30" i="19" s="1"/>
  <c r="AB1223" i="25" s="1"/>
  <c r="R30" i="19" a="1"/>
  <c r="R30" i="19" s="1"/>
  <c r="AC1223" i="25" s="1"/>
  <c r="S30" i="19" a="1"/>
  <c r="S30" i="19" s="1"/>
  <c r="AD1223" i="25" s="1"/>
  <c r="V30" i="19" a="1"/>
  <c r="V30" i="19" s="1"/>
  <c r="K484" i="4" a="1"/>
  <c r="K484" i="4" s="1"/>
  <c r="T932" i="25" s="1"/>
  <c r="K485" i="4" a="1"/>
  <c r="K485" i="4" s="1"/>
  <c r="T933" i="25" s="1"/>
  <c r="AB934" i="25"/>
  <c r="K487" i="4" a="1"/>
  <c r="K487" i="4" s="1"/>
  <c r="T935" i="25" s="1"/>
  <c r="K488" i="4" a="1"/>
  <c r="K488" i="4" s="1"/>
  <c r="T936" i="25" s="1"/>
  <c r="K489" i="4" a="1"/>
  <c r="K489" i="4" s="1"/>
  <c r="K490" i="4" a="1"/>
  <c r="K490" i="4" s="1"/>
  <c r="T938" i="25" s="1"/>
  <c r="K491" i="4" a="1"/>
  <c r="K491" i="4" s="1"/>
  <c r="T939" i="25" s="1"/>
  <c r="Z932" i="25"/>
  <c r="Z933" i="25"/>
  <c r="Z935" i="25"/>
  <c r="Z936" i="25"/>
  <c r="Z937" i="25"/>
  <c r="Z939" i="25"/>
  <c r="AA932" i="25"/>
  <c r="AA933" i="25"/>
  <c r="AA935" i="25"/>
  <c r="AA936" i="25"/>
  <c r="AA937" i="25"/>
  <c r="AA939" i="25"/>
  <c r="AB933" i="25"/>
  <c r="AB935" i="25"/>
  <c r="AB936" i="25"/>
  <c r="AB937" i="25"/>
  <c r="AB939" i="25"/>
  <c r="AC932" i="25"/>
  <c r="AC933" i="25"/>
  <c r="AC935" i="25"/>
  <c r="AC936" i="25"/>
  <c r="AC937" i="25"/>
  <c r="AC938" i="25"/>
  <c r="AC939" i="25"/>
  <c r="AD933" i="25"/>
  <c r="AD935" i="25"/>
  <c r="AD936" i="25"/>
  <c r="AD937" i="25"/>
  <c r="AD939" i="25"/>
  <c r="K494" i="4" a="1"/>
  <c r="K494" i="4" s="1"/>
  <c r="T942" i="25" s="1"/>
  <c r="Z942" i="25"/>
  <c r="AA942" i="25"/>
  <c r="AB942" i="25"/>
  <c r="AC942" i="25"/>
  <c r="AD942" i="25"/>
  <c r="K495" i="4" a="1"/>
  <c r="K495" i="4" s="1"/>
  <c r="T943" i="25" s="1"/>
  <c r="Z943" i="25"/>
  <c r="AA943" i="25"/>
  <c r="AB943" i="25"/>
  <c r="AC943" i="25"/>
  <c r="AD943" i="25"/>
  <c r="Z940" i="25"/>
  <c r="AA940" i="25"/>
  <c r="AB940" i="25"/>
  <c r="AC940" i="25"/>
  <c r="AD940" i="25"/>
  <c r="Z941" i="25"/>
  <c r="AA941" i="25"/>
  <c r="AB941" i="25"/>
  <c r="AC941" i="25"/>
  <c r="AD941" i="25"/>
  <c r="Z945" i="25"/>
  <c r="AA945" i="25"/>
  <c r="AB945" i="25"/>
  <c r="AC945" i="25"/>
  <c r="AD945" i="25"/>
  <c r="Z946" i="25"/>
  <c r="AA946" i="25"/>
  <c r="AB946" i="25"/>
  <c r="AC946" i="25"/>
  <c r="AD946" i="25"/>
  <c r="Z947" i="25"/>
  <c r="AA947" i="25"/>
  <c r="AB947" i="25"/>
  <c r="AC947" i="25"/>
  <c r="AD947" i="25"/>
  <c r="K493" i="4" a="1"/>
  <c r="K493" i="4" s="1"/>
  <c r="T941" i="25" s="1"/>
  <c r="K496" i="4" a="1"/>
  <c r="K496" i="4" s="1"/>
  <c r="T944" i="25" s="1"/>
  <c r="K497" i="4" a="1"/>
  <c r="K497" i="4" s="1"/>
  <c r="T945" i="25" s="1"/>
  <c r="K342" i="4" a="1"/>
  <c r="K342" i="4" s="1"/>
  <c r="T837" i="25" s="1"/>
  <c r="AC928" i="25"/>
  <c r="K481" i="4" a="1"/>
  <c r="K481" i="4" s="1"/>
  <c r="T929" i="25" s="1"/>
  <c r="K482" i="4" a="1"/>
  <c r="K482" i="4" s="1"/>
  <c r="T930" i="25" s="1"/>
  <c r="K483" i="4" a="1"/>
  <c r="K483" i="4" s="1"/>
  <c r="T931" i="25" s="1"/>
  <c r="K492" i="4" a="1"/>
  <c r="K492" i="4" s="1"/>
  <c r="T940" i="25" s="1"/>
  <c r="K498" i="4" a="1"/>
  <c r="K498" i="4" s="1"/>
  <c r="T946" i="25" s="1"/>
  <c r="K499" i="4" a="1"/>
  <c r="K499" i="4" s="1"/>
  <c r="T947" i="25" s="1"/>
  <c r="J507" i="4" a="1"/>
  <c r="J507" i="4" s="1"/>
  <c r="J508" i="4" a="1"/>
  <c r="J508" i="4" s="1"/>
  <c r="T1141" i="25" s="1"/>
  <c r="J509" i="4" a="1"/>
  <c r="J509" i="4" s="1"/>
  <c r="T1142" i="25" s="1"/>
  <c r="J510" i="4" a="1"/>
  <c r="J510" i="4" s="1"/>
  <c r="T1143" i="25" s="1"/>
  <c r="S507" i="4" a="1"/>
  <c r="S507" i="4" s="1"/>
  <c r="AC1140" i="25" s="1"/>
  <c r="T507" i="4" a="1"/>
  <c r="T507" i="4" s="1"/>
  <c r="AD1140" i="25" s="1"/>
  <c r="P508" i="4" a="1"/>
  <c r="P508" i="4" s="1"/>
  <c r="Z1141" i="25" s="1"/>
  <c r="Q508" i="4" a="1"/>
  <c r="Q508" i="4" s="1"/>
  <c r="AA1141" i="25" s="1"/>
  <c r="R508" i="4" a="1"/>
  <c r="R508" i="4" s="1"/>
  <c r="AB1141" i="25" s="1"/>
  <c r="S508" i="4" a="1"/>
  <c r="S508" i="4" s="1"/>
  <c r="AC1141" i="25" s="1"/>
  <c r="T508" i="4" a="1"/>
  <c r="T508" i="4" s="1"/>
  <c r="AD1141" i="25" s="1"/>
  <c r="P509" i="4" a="1"/>
  <c r="P509" i="4" s="1"/>
  <c r="Z1142" i="25" s="1"/>
  <c r="Q509" i="4" a="1"/>
  <c r="Q509" i="4" s="1"/>
  <c r="AA1142" i="25" s="1"/>
  <c r="R509" i="4" a="1"/>
  <c r="R509" i="4" s="1"/>
  <c r="AB1142" i="25" s="1"/>
  <c r="S509" i="4" a="1"/>
  <c r="S509" i="4" s="1"/>
  <c r="AC1142" i="25" s="1"/>
  <c r="T509" i="4" a="1"/>
  <c r="T509" i="4" s="1"/>
  <c r="AD1142" i="25" s="1"/>
  <c r="P510" i="4" a="1"/>
  <c r="P510" i="4" s="1"/>
  <c r="Z1143" i="25" s="1"/>
  <c r="Q510" i="4" a="1"/>
  <c r="Q510" i="4" s="1"/>
  <c r="AA1143" i="25" s="1"/>
  <c r="R510" i="4" a="1"/>
  <c r="R510" i="4" s="1"/>
  <c r="AB1143" i="25" s="1"/>
  <c r="S510" i="4" a="1"/>
  <c r="S510" i="4" s="1"/>
  <c r="AC1143" i="25" s="1"/>
  <c r="T510" i="4" a="1"/>
  <c r="T510" i="4" s="1"/>
  <c r="AD1143" i="25" s="1"/>
  <c r="T937" i="25" l="1"/>
  <c r="X489" i="4" a="1"/>
  <c r="X489" i="4" s="1"/>
  <c r="AG937" i="25" s="1"/>
  <c r="P507" i="4" a="1"/>
  <c r="P507" i="4" s="1"/>
  <c r="Z1140" i="25" s="1"/>
  <c r="T1140" i="25"/>
  <c r="L71" i="19"/>
  <c r="W1258" i="25" s="1"/>
  <c r="AJ1258" i="25" s="1"/>
  <c r="L72" i="19"/>
  <c r="W1259" i="25" s="1"/>
  <c r="AJ1259" i="25" s="1"/>
  <c r="T1261" i="25"/>
  <c r="L73" i="19"/>
  <c r="W1260" i="25" s="1"/>
  <c r="AJ1260" i="25" s="1"/>
  <c r="I65" i="19"/>
  <c r="T1252" i="25" s="1"/>
  <c r="E24" i="26"/>
  <c r="L67" i="19"/>
  <c r="W1254" i="25" s="1"/>
  <c r="AJ1254" i="25" s="1"/>
  <c r="T1201" i="25"/>
  <c r="T1255" i="25"/>
  <c r="R507" i="4" a="1"/>
  <c r="R507" i="4" s="1"/>
  <c r="AB1140" i="25" s="1"/>
  <c r="Q507" i="4" a="1"/>
  <c r="Q507" i="4" s="1"/>
  <c r="AA1140" i="25" s="1"/>
  <c r="Q933" i="25"/>
  <c r="Q940" i="25"/>
  <c r="Q945" i="25"/>
  <c r="Q932" i="25"/>
  <c r="Q946" i="25"/>
  <c r="Q931" i="25"/>
  <c r="Q939" i="25"/>
  <c r="Q938" i="25"/>
  <c r="Q930" i="25"/>
  <c r="W507" i="4" a="1"/>
  <c r="W507" i="4" s="1"/>
  <c r="AG1140" i="25" s="1"/>
  <c r="Q929" i="25"/>
  <c r="Q942" i="25"/>
  <c r="Q937" i="25"/>
  <c r="Q928" i="25"/>
  <c r="Q941" i="25"/>
  <c r="Q943" i="25"/>
  <c r="Q936" i="25"/>
  <c r="Q944" i="25"/>
  <c r="Q840" i="25"/>
  <c r="Q935" i="25"/>
  <c r="Q947" i="25"/>
  <c r="Q839" i="25"/>
  <c r="Q934" i="25"/>
  <c r="T840" i="25"/>
  <c r="X342" i="4" a="1"/>
  <c r="X342" i="4" s="1"/>
  <c r="L68" i="19"/>
  <c r="W1255" i="25" s="1"/>
  <c r="AJ1255" i="25" s="1"/>
  <c r="T1214" i="25"/>
  <c r="M508" i="4"/>
  <c r="W1141" i="25" s="1"/>
  <c r="N494" i="4"/>
  <c r="W942" i="25" s="1"/>
  <c r="AJ942" i="25" s="1"/>
  <c r="T1222" i="25"/>
  <c r="L29" i="19"/>
  <c r="W1222" i="25" s="1"/>
  <c r="AJ1222" i="25" s="1"/>
  <c r="N493" i="4"/>
  <c r="W941" i="25" s="1"/>
  <c r="AJ941" i="25" s="1"/>
  <c r="N495" i="4"/>
  <c r="W943" i="25" s="1"/>
  <c r="AJ943" i="25" s="1"/>
  <c r="N489" i="4"/>
  <c r="W937" i="25" s="1"/>
  <c r="AJ937" i="25" s="1"/>
  <c r="T1221" i="25"/>
  <c r="L28" i="19"/>
  <c r="W1221" i="25" s="1"/>
  <c r="AJ1221" i="25" s="1"/>
  <c r="I51" i="19" a="1"/>
  <c r="I51" i="19" s="1"/>
  <c r="U1241" i="25"/>
  <c r="N486" i="4"/>
  <c r="W934" i="25" s="1"/>
  <c r="AJ934" i="25" s="1"/>
  <c r="N498" i="4"/>
  <c r="W946" i="25" s="1"/>
  <c r="AJ946" i="25" s="1"/>
  <c r="T1246" i="25"/>
  <c r="L56" i="19"/>
  <c r="S56" i="19" a="1"/>
  <c r="S56" i="19" s="1"/>
  <c r="AD1246" i="25" s="1"/>
  <c r="V56" i="19" a="1"/>
  <c r="V56" i="19" s="1"/>
  <c r="Q56" i="19" a="1"/>
  <c r="Q56" i="19" s="1"/>
  <c r="AB1246" i="25" s="1"/>
  <c r="P56" i="19" a="1"/>
  <c r="P56" i="19" s="1"/>
  <c r="AA1246" i="25" s="1"/>
  <c r="R56" i="19" a="1"/>
  <c r="R56" i="19" s="1"/>
  <c r="AC1246" i="25" s="1"/>
  <c r="O56" i="19" a="1"/>
  <c r="O56" i="19" s="1"/>
  <c r="Z1246" i="25" s="1"/>
  <c r="N499" i="4"/>
  <c r="W947" i="25" s="1"/>
  <c r="AJ947" i="25" s="1"/>
  <c r="N485" i="4"/>
  <c r="W933" i="25" s="1"/>
  <c r="AJ933" i="25" s="1"/>
  <c r="T1223" i="25"/>
  <c r="L30" i="19"/>
  <c r="W1223" i="25" s="1"/>
  <c r="AJ1223" i="25" s="1"/>
  <c r="T1240" i="25"/>
  <c r="L50" i="19"/>
  <c r="W1240" i="25" s="1"/>
  <c r="AJ1240" i="25" s="1"/>
  <c r="T1220" i="25"/>
  <c r="L27" i="19"/>
  <c r="W1220" i="25" s="1"/>
  <c r="AJ1220" i="25" s="1"/>
  <c r="N487" i="4"/>
  <c r="W935" i="25" s="1"/>
  <c r="AJ935" i="25" s="1"/>
  <c r="M510" i="4"/>
  <c r="W1143" i="25" s="1"/>
  <c r="T1239" i="25"/>
  <c r="L49" i="19"/>
  <c r="W1239" i="25" s="1"/>
  <c r="AJ1239" i="25" s="1"/>
  <c r="N488" i="4"/>
  <c r="W936" i="25" s="1"/>
  <c r="AJ936" i="25" s="1"/>
  <c r="L9" i="19"/>
  <c r="W1202" i="25" s="1"/>
  <c r="AJ1202" i="25" s="1"/>
  <c r="T1202" i="25"/>
  <c r="N492" i="4"/>
  <c r="W940" i="25" s="1"/>
  <c r="AJ940" i="25" s="1"/>
  <c r="N497" i="4"/>
  <c r="W945" i="25" s="1"/>
  <c r="AJ945" i="25" s="1"/>
  <c r="M509" i="4"/>
  <c r="W1142" i="25" s="1"/>
  <c r="N496" i="4"/>
  <c r="W944" i="25" s="1"/>
  <c r="AJ944" i="25" s="1"/>
  <c r="N491" i="4"/>
  <c r="W939" i="25" s="1"/>
  <c r="AJ939" i="25" s="1"/>
  <c r="P20" i="19" a="1"/>
  <c r="P20" i="19" s="1"/>
  <c r="AA1213" i="25" s="1"/>
  <c r="T1213" i="25"/>
  <c r="X7" i="4" a="1"/>
  <c r="X7" i="4" s="1"/>
  <c r="AG502" i="25" s="1"/>
  <c r="S50" i="19" a="1"/>
  <c r="S50" i="19" s="1"/>
  <c r="AD1240" i="25" s="1"/>
  <c r="O50" i="19" a="1"/>
  <c r="O50" i="19" s="1"/>
  <c r="Z1240" i="25" s="1"/>
  <c r="P50" i="19" a="1"/>
  <c r="P50" i="19" s="1"/>
  <c r="AA1240" i="25" s="1"/>
  <c r="V50" i="19" a="1"/>
  <c r="V50" i="19" s="1"/>
  <c r="R50" i="19" a="1"/>
  <c r="R50" i="19" s="1"/>
  <c r="AC1240" i="25" s="1"/>
  <c r="Q50" i="19" a="1"/>
  <c r="Q50" i="19" s="1"/>
  <c r="AB1240" i="25" s="1"/>
  <c r="P49" i="19" a="1"/>
  <c r="P49" i="19" s="1"/>
  <c r="AA1239" i="25" s="1"/>
  <c r="V49" i="19" a="1"/>
  <c r="V49" i="19" s="1"/>
  <c r="Q49" i="19" a="1"/>
  <c r="Q49" i="19" s="1"/>
  <c r="AB1239" i="25" s="1"/>
  <c r="R49" i="19" a="1"/>
  <c r="R49" i="19" s="1"/>
  <c r="AC1239" i="25" s="1"/>
  <c r="S49" i="19" a="1"/>
  <c r="S49" i="19" s="1"/>
  <c r="AD1239" i="25" s="1"/>
  <c r="O49" i="19" a="1"/>
  <c r="O49" i="19" s="1"/>
  <c r="Z1239" i="25" s="1"/>
  <c r="T91" i="12"/>
  <c r="U91" i="12"/>
  <c r="AF1592" i="25" s="1"/>
  <c r="U35" i="12"/>
  <c r="AF1543" i="25" s="1"/>
  <c r="T35" i="12"/>
  <c r="T84" i="12"/>
  <c r="U84" i="12"/>
  <c r="T98" i="12"/>
  <c r="U98" i="12"/>
  <c r="AF1599" i="25" s="1"/>
  <c r="T90" i="12"/>
  <c r="U90" i="12"/>
  <c r="AF1591" i="25" s="1"/>
  <c r="T42" i="12"/>
  <c r="U42" i="12"/>
  <c r="AF1550" i="25" s="1"/>
  <c r="T34" i="12"/>
  <c r="U34" i="12"/>
  <c r="AF1542" i="25" s="1"/>
  <c r="T92" i="12"/>
  <c r="U92" i="12"/>
  <c r="AF1593" i="25" s="1"/>
  <c r="T99" i="12"/>
  <c r="U99" i="12"/>
  <c r="AF1600" i="25" s="1"/>
  <c r="T43" i="12"/>
  <c r="U43" i="12"/>
  <c r="AF1551" i="25" s="1"/>
  <c r="T105" i="12"/>
  <c r="U105" i="12"/>
  <c r="AF1606" i="25" s="1"/>
  <c r="U97" i="12"/>
  <c r="AF1598" i="25" s="1"/>
  <c r="T97" i="12"/>
  <c r="U8" i="12"/>
  <c r="AF1516" i="25" s="1"/>
  <c r="T8" i="12"/>
  <c r="U41" i="12"/>
  <c r="AF1549" i="25" s="1"/>
  <c r="T41" i="12"/>
  <c r="T33" i="12"/>
  <c r="U33" i="12"/>
  <c r="AF1541" i="25" s="1"/>
  <c r="T100" i="12"/>
  <c r="U100" i="12"/>
  <c r="AF1601" i="25" s="1"/>
  <c r="T40" i="12"/>
  <c r="U40" i="12"/>
  <c r="AF1548" i="25" s="1"/>
  <c r="U103" i="12"/>
  <c r="AF1604" i="25" s="1"/>
  <c r="T103" i="12"/>
  <c r="T95" i="12"/>
  <c r="U95" i="12"/>
  <c r="AF1596" i="25" s="1"/>
  <c r="U47" i="12"/>
  <c r="AF1555" i="25" s="1"/>
  <c r="T47" i="12"/>
  <c r="T39" i="12"/>
  <c r="U39" i="12"/>
  <c r="AF1547" i="25" s="1"/>
  <c r="T9" i="12"/>
  <c r="U9" i="12"/>
  <c r="AF1517" i="25" s="1"/>
  <c r="T44" i="12"/>
  <c r="U44" i="12"/>
  <c r="AF1552" i="25" s="1"/>
  <c r="T96" i="12"/>
  <c r="U96" i="12"/>
  <c r="AF1597" i="25" s="1"/>
  <c r="T10" i="12"/>
  <c r="U10" i="12"/>
  <c r="AF1518" i="25" s="1"/>
  <c r="T102" i="12"/>
  <c r="U102" i="12"/>
  <c r="AF1603" i="25" s="1"/>
  <c r="U94" i="12"/>
  <c r="AF1595" i="25" s="1"/>
  <c r="T94" i="12"/>
  <c r="U46" i="12"/>
  <c r="AF1554" i="25" s="1"/>
  <c r="T46" i="12"/>
  <c r="U38" i="12"/>
  <c r="AF1546" i="25" s="1"/>
  <c r="T38" i="12"/>
  <c r="U36" i="12"/>
  <c r="AF1544" i="25" s="1"/>
  <c r="T36" i="12"/>
  <c r="U104" i="12"/>
  <c r="AF1605" i="25" s="1"/>
  <c r="T104" i="12"/>
  <c r="U48" i="12"/>
  <c r="AF1556" i="25" s="1"/>
  <c r="T48" i="12"/>
  <c r="T101" i="12"/>
  <c r="U101" i="12"/>
  <c r="AF1602" i="25" s="1"/>
  <c r="U93" i="12"/>
  <c r="AF1594" i="25" s="1"/>
  <c r="T93" i="12"/>
  <c r="T45" i="12"/>
  <c r="U45" i="12"/>
  <c r="AF1553" i="25" s="1"/>
  <c r="T37" i="12"/>
  <c r="U37" i="12"/>
  <c r="AF1545" i="25" s="1"/>
  <c r="N490" i="4"/>
  <c r="W938" i="25" s="1"/>
  <c r="AJ938" i="25" s="1"/>
  <c r="AA931" i="25"/>
  <c r="Z929" i="25"/>
  <c r="AB932" i="25"/>
  <c r="AD934" i="25"/>
  <c r="Z934" i="25"/>
  <c r="AA934" i="25"/>
  <c r="AC934" i="25"/>
  <c r="Z938" i="25"/>
  <c r="AB938" i="25"/>
  <c r="AA938" i="25"/>
  <c r="AD938" i="25"/>
  <c r="AC930" i="25"/>
  <c r="AA930" i="25"/>
  <c r="AB931" i="25"/>
  <c r="AD930" i="25"/>
  <c r="AC931" i="25"/>
  <c r="Z931" i="25"/>
  <c r="Z930" i="25"/>
  <c r="AB930" i="25"/>
  <c r="AD929" i="25"/>
  <c r="AC929" i="25"/>
  <c r="AB929" i="25"/>
  <c r="AA929" i="25"/>
  <c r="I66" i="19"/>
  <c r="T74" i="19"/>
  <c r="AE1261" i="25" s="1"/>
  <c r="U74" i="19"/>
  <c r="AF1261" i="25" s="1"/>
  <c r="S65" i="19"/>
  <c r="AD1252" i="25" s="1"/>
  <c r="S74" i="19"/>
  <c r="AD1261" i="25" s="1"/>
  <c r="P74" i="19"/>
  <c r="AA1261" i="25" s="1"/>
  <c r="V74" i="19"/>
  <c r="AG1261" i="25" s="1"/>
  <c r="Q74" i="19"/>
  <c r="O74" i="19"/>
  <c r="Z1261" i="25" s="1"/>
  <c r="R74" i="19"/>
  <c r="AC1261" i="25" s="1"/>
  <c r="S68" i="19"/>
  <c r="AD1255" i="25" s="1"/>
  <c r="P68" i="19"/>
  <c r="AA1255" i="25" s="1"/>
  <c r="V68" i="19"/>
  <c r="AG1255" i="25" s="1"/>
  <c r="Q68" i="19"/>
  <c r="AB1255" i="25" s="1"/>
  <c r="O68" i="19"/>
  <c r="R68" i="19"/>
  <c r="AC1255" i="25" s="1"/>
  <c r="P73" i="19"/>
  <c r="AA1260" i="25" s="1"/>
  <c r="V73" i="19"/>
  <c r="AG1260" i="25" s="1"/>
  <c r="Q73" i="19"/>
  <c r="AB1260" i="25" s="1"/>
  <c r="O73" i="19"/>
  <c r="R73" i="19"/>
  <c r="AC1260" i="25" s="1"/>
  <c r="S73" i="19"/>
  <c r="AD1260" i="25" s="1"/>
  <c r="V65" i="19"/>
  <c r="AG1252" i="25" s="1"/>
  <c r="Q72" i="19"/>
  <c r="AB1259" i="25" s="1"/>
  <c r="O72" i="19"/>
  <c r="R72" i="19"/>
  <c r="AC1259" i="25" s="1"/>
  <c r="S72" i="19"/>
  <c r="AD1259" i="25" s="1"/>
  <c r="P72" i="19"/>
  <c r="AA1259" i="25" s="1"/>
  <c r="V72" i="19"/>
  <c r="AG1259" i="25" s="1"/>
  <c r="O65" i="19"/>
  <c r="Z1252" i="25" s="1"/>
  <c r="R71" i="19"/>
  <c r="AC1258" i="25" s="1"/>
  <c r="S71" i="19"/>
  <c r="AD1258" i="25" s="1"/>
  <c r="P71" i="19"/>
  <c r="AA1258" i="25" s="1"/>
  <c r="V71" i="19"/>
  <c r="AG1258" i="25" s="1"/>
  <c r="Q71" i="19"/>
  <c r="AB1258" i="25" s="1"/>
  <c r="O71" i="19"/>
  <c r="P65" i="19"/>
  <c r="AA1252" i="25" s="1"/>
  <c r="R65" i="19"/>
  <c r="AC1252" i="25" s="1"/>
  <c r="S20" i="19" a="1"/>
  <c r="S20" i="19" s="1"/>
  <c r="AD1213" i="25" s="1"/>
  <c r="R20" i="19" a="1"/>
  <c r="R20" i="19" s="1"/>
  <c r="AC1213" i="25" s="1"/>
  <c r="P66" i="19"/>
  <c r="AA1253" i="25" s="1"/>
  <c r="O20" i="19" a="1"/>
  <c r="O20" i="19" s="1"/>
  <c r="Z1213" i="25" s="1"/>
  <c r="Q20" i="19" a="1"/>
  <c r="Q20" i="19" s="1"/>
  <c r="AB1213" i="25" s="1"/>
  <c r="V20" i="19" a="1"/>
  <c r="V20" i="19" s="1"/>
  <c r="AC944" i="25"/>
  <c r="Z944" i="25"/>
  <c r="AA944" i="25"/>
  <c r="AB944" i="25"/>
  <c r="AB928" i="25"/>
  <c r="AA928" i="25"/>
  <c r="Z928" i="25"/>
  <c r="AD944" i="25"/>
  <c r="B87" i="18"/>
  <c r="T71" i="19" l="1"/>
  <c r="AE1258" i="25" s="1"/>
  <c r="T72" i="19"/>
  <c r="AE1259" i="25" s="1"/>
  <c r="AC840" i="25"/>
  <c r="AC837" i="25"/>
  <c r="Z840" i="25"/>
  <c r="Z837" i="25"/>
  <c r="AG840" i="25"/>
  <c r="AG837" i="25"/>
  <c r="AD840" i="25"/>
  <c r="AD837" i="25"/>
  <c r="AB840" i="25"/>
  <c r="AB837" i="25"/>
  <c r="AA840" i="25"/>
  <c r="AA837" i="25"/>
  <c r="AF1585" i="25"/>
  <c r="H37" i="18"/>
  <c r="U73" i="19"/>
  <c r="AF1260" i="25" s="1"/>
  <c r="T73" i="19"/>
  <c r="AE1260" i="25" s="1"/>
  <c r="U72" i="19"/>
  <c r="AF1259" i="25" s="1"/>
  <c r="T67" i="19"/>
  <c r="AE1254" i="25" s="1"/>
  <c r="U71" i="19"/>
  <c r="AF1258" i="25" s="1"/>
  <c r="U67" i="19"/>
  <c r="AF1254" i="25" s="1"/>
  <c r="AE1517" i="25"/>
  <c r="X9" i="12" a="1"/>
  <c r="X9" i="12" s="1"/>
  <c r="Z1259" i="25"/>
  <c r="Z1258" i="25"/>
  <c r="Z1260" i="25"/>
  <c r="AE1553" i="25"/>
  <c r="X45" i="12" a="1"/>
  <c r="X45" i="12" s="1"/>
  <c r="AE1552" i="25"/>
  <c r="X44" i="12" a="1"/>
  <c r="X44" i="12" s="1"/>
  <c r="AE1596" i="25"/>
  <c r="X95" i="12" a="1"/>
  <c r="X95" i="12" s="1"/>
  <c r="AE1541" i="25"/>
  <c r="X33" i="12" a="1"/>
  <c r="X33" i="12" s="1"/>
  <c r="AE1606" i="25"/>
  <c r="X105" i="12" a="1"/>
  <c r="X105" i="12" s="1"/>
  <c r="AE1542" i="25"/>
  <c r="X34" i="12" a="1"/>
  <c r="X34" i="12" s="1"/>
  <c r="AE1585" i="25"/>
  <c r="X84" i="12" a="1"/>
  <c r="X84" i="12" s="1"/>
  <c r="AE1603" i="25"/>
  <c r="X102" i="12" a="1"/>
  <c r="X102" i="12" s="1"/>
  <c r="AE1594" i="25"/>
  <c r="X93" i="12" a="1"/>
  <c r="X93" i="12" s="1"/>
  <c r="AE1544" i="25"/>
  <c r="X36" i="12" a="1"/>
  <c r="X36" i="12" s="1"/>
  <c r="AE1604" i="25"/>
  <c r="X103" i="12" a="1"/>
  <c r="X103" i="12" s="1"/>
  <c r="AE1549" i="25"/>
  <c r="X41" i="12" a="1"/>
  <c r="X41" i="12" s="1"/>
  <c r="AE1543" i="25"/>
  <c r="X35" i="12" a="1"/>
  <c r="X35" i="12" s="1"/>
  <c r="AE1551" i="25"/>
  <c r="X43" i="12" a="1"/>
  <c r="X43" i="12" s="1"/>
  <c r="AE1550" i="25"/>
  <c r="X42" i="12" a="1"/>
  <c r="X42" i="12" s="1"/>
  <c r="AE1546" i="25"/>
  <c r="X38" i="12" a="1"/>
  <c r="X38" i="12" s="1"/>
  <c r="X74" i="19" a="1"/>
  <c r="X74" i="19" s="1"/>
  <c r="AB1261" i="25"/>
  <c r="AE1602" i="25"/>
  <c r="X101" i="12" a="1"/>
  <c r="X101" i="12" s="1"/>
  <c r="AE1518" i="25"/>
  <c r="X10" i="12" a="1"/>
  <c r="X10" i="12" s="1"/>
  <c r="AE1547" i="25"/>
  <c r="X39" i="12" a="1"/>
  <c r="X39" i="12" s="1"/>
  <c r="AE1548" i="25"/>
  <c r="X40" i="12" a="1"/>
  <c r="X40" i="12" s="1"/>
  <c r="AE1600" i="25"/>
  <c r="X99" i="12" a="1"/>
  <c r="X99" i="12" s="1"/>
  <c r="AE1591" i="25"/>
  <c r="X90" i="12" a="1"/>
  <c r="X90" i="12" s="1"/>
  <c r="AE1592" i="25"/>
  <c r="X91" i="12" a="1"/>
  <c r="X91" i="12" s="1"/>
  <c r="Z1255" i="25"/>
  <c r="U68" i="19"/>
  <c r="AF1255" i="25" s="1"/>
  <c r="AE1556" i="25"/>
  <c r="X48" i="12" a="1"/>
  <c r="X48" i="12" s="1"/>
  <c r="AE1554" i="25"/>
  <c r="X46" i="12" a="1"/>
  <c r="X46" i="12" s="1"/>
  <c r="AE1555" i="25"/>
  <c r="X47" i="12" a="1"/>
  <c r="X47" i="12" s="1"/>
  <c r="AE1598" i="25"/>
  <c r="X97" i="12" a="1"/>
  <c r="X97" i="12" s="1"/>
  <c r="T68" i="19"/>
  <c r="AE1255" i="25" s="1"/>
  <c r="AE1545" i="25"/>
  <c r="X37" i="12" a="1"/>
  <c r="X37" i="12" s="1"/>
  <c r="AE1597" i="25"/>
  <c r="X96" i="12" a="1"/>
  <c r="X96" i="12" s="1"/>
  <c r="AE1601" i="25"/>
  <c r="X100" i="12" a="1"/>
  <c r="X100" i="12" s="1"/>
  <c r="AE1593" i="25"/>
  <c r="X92" i="12" a="1"/>
  <c r="X92" i="12" s="1"/>
  <c r="AE1599" i="25"/>
  <c r="X98" i="12" a="1"/>
  <c r="X98" i="12" s="1"/>
  <c r="R51" i="19" a="1"/>
  <c r="R51" i="19" s="1"/>
  <c r="AC1241" i="25" s="1"/>
  <c r="AE1516" i="25"/>
  <c r="X8" i="12" a="1"/>
  <c r="X8" i="12" s="1"/>
  <c r="AE1605" i="25"/>
  <c r="X104" i="12" a="1"/>
  <c r="X104" i="12" s="1"/>
  <c r="AE1595" i="25"/>
  <c r="X94" i="12" a="1"/>
  <c r="X94" i="12" s="1"/>
  <c r="M507" i="4"/>
  <c r="AJ1141" i="25"/>
  <c r="AJ1143" i="25"/>
  <c r="AJ1142" i="25"/>
  <c r="V493" i="4"/>
  <c r="AE941" i="25" s="1"/>
  <c r="W495" i="4"/>
  <c r="AF943" i="25" s="1"/>
  <c r="V495" i="4"/>
  <c r="AE943" i="25" s="1"/>
  <c r="V486" i="4"/>
  <c r="AE934" i="25" s="1"/>
  <c r="V491" i="4"/>
  <c r="V494" i="4"/>
  <c r="AE942" i="25" s="1"/>
  <c r="V499" i="4"/>
  <c r="W499" i="4"/>
  <c r="AF947" i="25" s="1"/>
  <c r="V487" i="4"/>
  <c r="AE935" i="25" s="1"/>
  <c r="W492" i="4"/>
  <c r="AF940" i="25" s="1"/>
  <c r="W491" i="4"/>
  <c r="AF939" i="25" s="1"/>
  <c r="V492" i="4"/>
  <c r="AE940" i="25" s="1"/>
  <c r="V485" i="4"/>
  <c r="AE933" i="25" s="1"/>
  <c r="W486" i="4"/>
  <c r="AF934" i="25" s="1"/>
  <c r="W487" i="4"/>
  <c r="AF935" i="25" s="1"/>
  <c r="W494" i="4"/>
  <c r="AF942" i="25" s="1"/>
  <c r="W493" i="4"/>
  <c r="AF941" i="25" s="1"/>
  <c r="W485" i="4"/>
  <c r="AF933" i="25" s="1"/>
  <c r="P51" i="19" a="1"/>
  <c r="P51" i="19" s="1"/>
  <c r="AA1241" i="25" s="1"/>
  <c r="S51" i="19" a="1"/>
  <c r="S51" i="19" s="1"/>
  <c r="AD1241" i="25" s="1"/>
  <c r="V496" i="4"/>
  <c r="AE944" i="25" s="1"/>
  <c r="O51" i="19" a="1"/>
  <c r="O51" i="19" s="1"/>
  <c r="Z1241" i="25" s="1"/>
  <c r="Q51" i="19" a="1"/>
  <c r="Q51" i="19" s="1"/>
  <c r="AB1241" i="25" s="1"/>
  <c r="W496" i="4"/>
  <c r="AF944" i="25" s="1"/>
  <c r="V51" i="19" a="1"/>
  <c r="V51" i="19" s="1"/>
  <c r="W488" i="4"/>
  <c r="AF936" i="25" s="1"/>
  <c r="V489" i="4"/>
  <c r="V488" i="4"/>
  <c r="W489" i="4"/>
  <c r="AF937" i="25" s="1"/>
  <c r="V66" i="19"/>
  <c r="AG1253" i="25" s="1"/>
  <c r="T1253" i="25"/>
  <c r="W498" i="4"/>
  <c r="AF946" i="25" s="1"/>
  <c r="V497" i="4"/>
  <c r="V498" i="4"/>
  <c r="AE946" i="25" s="1"/>
  <c r="W497" i="4"/>
  <c r="AF945" i="25" s="1"/>
  <c r="T1241" i="25"/>
  <c r="L51" i="19"/>
  <c r="W1241" i="25" s="1"/>
  <c r="AJ1241" i="25" s="1"/>
  <c r="W1246" i="25"/>
  <c r="AJ1246" i="25" s="1"/>
  <c r="T56" i="19"/>
  <c r="AE1246" i="25" s="1"/>
  <c r="U56" i="19"/>
  <c r="AF1246" i="25" s="1"/>
  <c r="U49" i="19"/>
  <c r="AF1239" i="25" s="1"/>
  <c r="T49" i="19"/>
  <c r="AE1239" i="25" s="1"/>
  <c r="T50" i="19"/>
  <c r="U50" i="19"/>
  <c r="AF1240" i="25" s="1"/>
  <c r="G37" i="18"/>
  <c r="G35" i="18"/>
  <c r="H35" i="18"/>
  <c r="W490" i="4"/>
  <c r="AF938" i="25" s="1"/>
  <c r="V490" i="4"/>
  <c r="AE938" i="25" s="1"/>
  <c r="R66" i="19"/>
  <c r="AC1253" i="25" s="1"/>
  <c r="S66" i="19"/>
  <c r="AD1253" i="25" s="1"/>
  <c r="O66" i="19"/>
  <c r="Z1253" i="25" s="1"/>
  <c r="D37" i="18"/>
  <c r="E37" i="18"/>
  <c r="C37" i="18"/>
  <c r="U29" i="19"/>
  <c r="AF1222" i="25" s="1"/>
  <c r="T29" i="19"/>
  <c r="T30" i="19"/>
  <c r="U30" i="19"/>
  <c r="AF1223" i="25" s="1"/>
  <c r="U27" i="19"/>
  <c r="AF1220" i="25" s="1"/>
  <c r="T27" i="19"/>
  <c r="AE1220" i="25" s="1"/>
  <c r="U28" i="19"/>
  <c r="AF1221" i="25" s="1"/>
  <c r="T28" i="19"/>
  <c r="AE1221" i="25" s="1"/>
  <c r="W1140" i="25" l="1"/>
  <c r="AJ1140" i="25" s="1"/>
  <c r="X72" i="19" a="1"/>
  <c r="X72" i="19" s="1"/>
  <c r="X73" i="19" a="1"/>
  <c r="X73" i="19" s="1"/>
  <c r="X71" i="19" a="1"/>
  <c r="X71" i="19" s="1"/>
  <c r="X67" i="19" a="1"/>
  <c r="X67" i="19" s="1"/>
  <c r="X7" i="12"/>
  <c r="H6" i="12" s="1"/>
  <c r="X27" i="19" a="1"/>
  <c r="X27" i="19" s="1"/>
  <c r="X83" i="12"/>
  <c r="AE1223" i="25"/>
  <c r="X30" i="19" a="1"/>
  <c r="X30" i="19" s="1"/>
  <c r="AE1240" i="25"/>
  <c r="X50" i="19" a="1"/>
  <c r="X50" i="19" s="1"/>
  <c r="X49" i="19" a="1"/>
  <c r="X49" i="19" s="1"/>
  <c r="AE1222" i="25"/>
  <c r="X29" i="19" a="1"/>
  <c r="X29" i="19" s="1"/>
  <c r="X28" i="19" a="1"/>
  <c r="X28" i="19" s="1"/>
  <c r="X68" i="19" a="1"/>
  <c r="X68" i="19" s="1"/>
  <c r="X56" i="19" a="1"/>
  <c r="X56" i="19" s="1"/>
  <c r="Z485" i="4" a="1"/>
  <c r="Z485" i="4" s="1"/>
  <c r="Z488" i="4" a="1"/>
  <c r="Z488" i="4" s="1"/>
  <c r="Z493" i="4" a="1"/>
  <c r="Z493" i="4" s="1"/>
  <c r="Z496" i="4" a="1"/>
  <c r="Z496" i="4" s="1"/>
  <c r="Z495" i="4" a="1"/>
  <c r="Z495" i="4" s="1"/>
  <c r="Z487" i="4" a="1"/>
  <c r="Z487" i="4" s="1"/>
  <c r="AE937" i="25"/>
  <c r="Z489" i="4" a="1"/>
  <c r="Z489" i="4" s="1"/>
  <c r="Z494" i="4" a="1"/>
  <c r="Z494" i="4" s="1"/>
  <c r="Z492" i="4" a="1"/>
  <c r="Z492" i="4" s="1"/>
  <c r="Z490" i="4" a="1"/>
  <c r="Z490" i="4" s="1"/>
  <c r="AE936" i="25"/>
  <c r="Z498" i="4" a="1"/>
  <c r="Z498" i="4" s="1"/>
  <c r="AE947" i="25"/>
  <c r="Z499" i="4" a="1"/>
  <c r="Z499" i="4" s="1"/>
  <c r="AE945" i="25"/>
  <c r="Z497" i="4" a="1"/>
  <c r="Z497" i="4" s="1"/>
  <c r="AE939" i="25"/>
  <c r="Z491" i="4" a="1"/>
  <c r="Z491" i="4" s="1"/>
  <c r="Z486" i="4" a="1"/>
  <c r="Z486" i="4" s="1"/>
  <c r="I29" i="18"/>
  <c r="U51" i="19"/>
  <c r="AF1241" i="25" s="1"/>
  <c r="T51" i="19"/>
  <c r="AE1241" i="25" s="1"/>
  <c r="F37" i="18"/>
  <c r="X51" i="19" l="1" a="1"/>
  <c r="X51" i="19" s="1"/>
  <c r="D36" i="18"/>
  <c r="C36" i="18"/>
  <c r="E36" i="18" l="1"/>
  <c r="F36" i="18" s="1"/>
  <c r="B64" i="18"/>
  <c r="B38" i="18"/>
  <c r="F31" i="19"/>
  <c r="Q1224" i="25" s="1"/>
  <c r="F32" i="19"/>
  <c r="Q1225" i="25" s="1"/>
  <c r="F33" i="19"/>
  <c r="Q1226" i="25" s="1"/>
  <c r="F34" i="19"/>
  <c r="Q1227" i="25" s="1"/>
  <c r="O31" i="19" a="1"/>
  <c r="O31" i="19" s="1"/>
  <c r="Z1224" i="25" s="1"/>
  <c r="P31" i="19" a="1"/>
  <c r="P31" i="19" s="1"/>
  <c r="AA1224" i="25" s="1"/>
  <c r="Q31" i="19" a="1"/>
  <c r="Q31" i="19" s="1"/>
  <c r="AB1224" i="25" s="1"/>
  <c r="R31" i="19" a="1"/>
  <c r="R31" i="19" s="1"/>
  <c r="AC1224" i="25" s="1"/>
  <c r="S31" i="19" a="1"/>
  <c r="S31" i="19" s="1"/>
  <c r="AD1224" i="25" s="1"/>
  <c r="V31" i="19" a="1"/>
  <c r="V31" i="19" s="1"/>
  <c r="O32" i="19" a="1"/>
  <c r="O32" i="19" s="1"/>
  <c r="Z1225" i="25" s="1"/>
  <c r="P32" i="19" a="1"/>
  <c r="P32" i="19" s="1"/>
  <c r="AA1225" i="25" s="1"/>
  <c r="Q32" i="19" a="1"/>
  <c r="Q32" i="19" s="1"/>
  <c r="AB1225" i="25" s="1"/>
  <c r="R32" i="19" a="1"/>
  <c r="R32" i="19" s="1"/>
  <c r="AC1225" i="25" s="1"/>
  <c r="S32" i="19" a="1"/>
  <c r="S32" i="19" s="1"/>
  <c r="AD1225" i="25" s="1"/>
  <c r="V32" i="19" a="1"/>
  <c r="V32" i="19" s="1"/>
  <c r="O33" i="19" a="1"/>
  <c r="O33" i="19" s="1"/>
  <c r="Z1226" i="25" s="1"/>
  <c r="P33" i="19" a="1"/>
  <c r="P33" i="19" s="1"/>
  <c r="AA1226" i="25" s="1"/>
  <c r="Q33" i="19" a="1"/>
  <c r="Q33" i="19" s="1"/>
  <c r="AB1226" i="25" s="1"/>
  <c r="R33" i="19" a="1"/>
  <c r="R33" i="19" s="1"/>
  <c r="AC1226" i="25" s="1"/>
  <c r="S33" i="19" a="1"/>
  <c r="S33" i="19" s="1"/>
  <c r="AD1226" i="25" s="1"/>
  <c r="V33" i="19" a="1"/>
  <c r="V33" i="19" s="1"/>
  <c r="O34" i="19" a="1"/>
  <c r="O34" i="19" s="1"/>
  <c r="Z1227" i="25" s="1"/>
  <c r="P34" i="19" a="1"/>
  <c r="P34" i="19" s="1"/>
  <c r="AA1227" i="25" s="1"/>
  <c r="Q34" i="19" a="1"/>
  <c r="Q34" i="19" s="1"/>
  <c r="AB1227" i="25" s="1"/>
  <c r="R34" i="19" a="1"/>
  <c r="R34" i="19" s="1"/>
  <c r="AC1227" i="25" s="1"/>
  <c r="S34" i="19" a="1"/>
  <c r="S34" i="19" s="1"/>
  <c r="AD1227" i="25" s="1"/>
  <c r="V34" i="19" a="1"/>
  <c r="V34" i="19" s="1"/>
  <c r="C35" i="18" l="1"/>
  <c r="B18" i="18" l="1"/>
  <c r="B15" i="18"/>
  <c r="J505" i="4" a="1"/>
  <c r="J505" i="4" s="1"/>
  <c r="T1138" i="25" s="1"/>
  <c r="J506" i="4" a="1"/>
  <c r="J506" i="4" s="1"/>
  <c r="M482" i="4" a="1"/>
  <c r="M482" i="4" s="1"/>
  <c r="K21" i="19" a="1"/>
  <c r="K21" i="19" s="1"/>
  <c r="K10" i="19" a="1"/>
  <c r="K10" i="19" s="1"/>
  <c r="V1203" i="25" s="1"/>
  <c r="AI1203" i="25" s="1"/>
  <c r="K40" i="19" a="1"/>
  <c r="K40" i="19" s="1"/>
  <c r="V1230" i="25" s="1"/>
  <c r="AI1230" i="25" s="1"/>
  <c r="K12" i="19" a="1"/>
  <c r="K12" i="19" s="1"/>
  <c r="V1205" i="25" s="1"/>
  <c r="AI1205" i="25" s="1"/>
  <c r="V13" i="17"/>
  <c r="O8" i="17"/>
  <c r="K341" i="4" s="1" a="1"/>
  <c r="K341" i="4" s="1"/>
  <c r="T836" i="25" s="1"/>
  <c r="O7" i="17"/>
  <c r="G506" i="4"/>
  <c r="Q1139" i="25" s="1"/>
  <c r="G507" i="4"/>
  <c r="Q1140" i="25" s="1"/>
  <c r="G508" i="4"/>
  <c r="Q1141" i="25" s="1"/>
  <c r="G509" i="4"/>
  <c r="Q1142" i="25" s="1"/>
  <c r="G510" i="4"/>
  <c r="Q1143" i="25" s="1"/>
  <c r="F38" i="19"/>
  <c r="Q1228" i="25" s="1"/>
  <c r="J61" i="19" a="1"/>
  <c r="J61" i="19" s="1"/>
  <c r="F61" i="19"/>
  <c r="Q1251" i="25" s="1"/>
  <c r="J60" i="19" a="1"/>
  <c r="J60" i="19" s="1"/>
  <c r="F60" i="19"/>
  <c r="Q1250" i="25" s="1"/>
  <c r="J59" i="19" a="1"/>
  <c r="J59" i="19" s="1"/>
  <c r="F59" i="19"/>
  <c r="Q1249" i="25" s="1"/>
  <c r="J58" i="19" a="1"/>
  <c r="J58" i="19" s="1"/>
  <c r="F58" i="19"/>
  <c r="Q1248" i="25" s="1"/>
  <c r="J57" i="19" a="1"/>
  <c r="J57" i="19" s="1"/>
  <c r="F57" i="19"/>
  <c r="Q1247" i="25" s="1"/>
  <c r="J43" i="19" a="1"/>
  <c r="J43" i="19" s="1"/>
  <c r="F43" i="19"/>
  <c r="Q1233" i="25" s="1"/>
  <c r="J42" i="19" a="1"/>
  <c r="J42" i="19" s="1"/>
  <c r="F42" i="19"/>
  <c r="Q1232" i="25" s="1"/>
  <c r="J41" i="19" a="1"/>
  <c r="J41" i="19" s="1"/>
  <c r="F41" i="19"/>
  <c r="Q1231" i="25" s="1"/>
  <c r="J40" i="19" a="1"/>
  <c r="J40" i="19" s="1"/>
  <c r="F40" i="19"/>
  <c r="Q1230" i="25" s="1"/>
  <c r="J39" i="19" a="1"/>
  <c r="J39" i="19" s="1"/>
  <c r="F39" i="19"/>
  <c r="Q1229" i="25" s="1"/>
  <c r="J38" i="19" a="1"/>
  <c r="J38" i="19" s="1"/>
  <c r="I11" i="19" a="1"/>
  <c r="I11" i="19" s="1"/>
  <c r="I12" i="19" a="1"/>
  <c r="I12" i="19" s="1"/>
  <c r="I31" i="19" a="1"/>
  <c r="I31" i="19" s="1"/>
  <c r="I32" i="19" a="1"/>
  <c r="I32" i="19" s="1"/>
  <c r="I33" i="19" a="1"/>
  <c r="I33" i="19" s="1"/>
  <c r="I34" i="19" a="1"/>
  <c r="I34" i="19" s="1"/>
  <c r="I10" i="19" a="1"/>
  <c r="I10" i="19" s="1"/>
  <c r="W506" i="4" l="1" a="1"/>
  <c r="W506" i="4" s="1"/>
  <c r="AG1139" i="25" s="1"/>
  <c r="T1139" i="25"/>
  <c r="V930" i="25"/>
  <c r="AI930" i="25" s="1"/>
  <c r="T839" i="25"/>
  <c r="W505" i="4" a="1"/>
  <c r="W505" i="4" s="1"/>
  <c r="AG1138" i="25" s="1"/>
  <c r="I38" i="19" a="1"/>
  <c r="I38" i="19" s="1"/>
  <c r="U1228" i="25"/>
  <c r="T1227" i="25"/>
  <c r="L34" i="19"/>
  <c r="W1227" i="25" s="1"/>
  <c r="AJ1227" i="25" s="1"/>
  <c r="I39" i="19" a="1"/>
  <c r="I39" i="19" s="1"/>
  <c r="U1229" i="25"/>
  <c r="I43" i="19" a="1"/>
  <c r="I43" i="19" s="1"/>
  <c r="U1233" i="25"/>
  <c r="I60" i="19" a="1"/>
  <c r="I60" i="19" s="1"/>
  <c r="U1250" i="25"/>
  <c r="V1214" i="25"/>
  <c r="AI1214" i="25" s="1"/>
  <c r="L21" i="19"/>
  <c r="W1214" i="25" s="1"/>
  <c r="AJ1214" i="25" s="1"/>
  <c r="T1226" i="25"/>
  <c r="L33" i="19"/>
  <c r="W1226" i="25" s="1"/>
  <c r="AJ1226" i="25" s="1"/>
  <c r="N482" i="4"/>
  <c r="W930" i="25" s="1"/>
  <c r="AJ930" i="25" s="1"/>
  <c r="I42" i="19" a="1"/>
  <c r="I42" i="19" s="1"/>
  <c r="U1232" i="25"/>
  <c r="T1203" i="25"/>
  <c r="L10" i="19"/>
  <c r="W1203" i="25" s="1"/>
  <c r="AJ1203" i="25" s="1"/>
  <c r="T1225" i="25"/>
  <c r="L32" i="19"/>
  <c r="W1225" i="25" s="1"/>
  <c r="AJ1225" i="25" s="1"/>
  <c r="I40" i="19" a="1"/>
  <c r="I40" i="19" s="1"/>
  <c r="U1230" i="25"/>
  <c r="I57" i="19" a="1"/>
  <c r="I57" i="19" s="1"/>
  <c r="U1247" i="25"/>
  <c r="I61" i="19" a="1"/>
  <c r="I61" i="19" s="1"/>
  <c r="U1251" i="25"/>
  <c r="X341" i="4" a="1"/>
  <c r="X341" i="4" s="1"/>
  <c r="T1224" i="25"/>
  <c r="L31" i="19"/>
  <c r="W1224" i="25" s="1"/>
  <c r="AJ1224" i="25" s="1"/>
  <c r="I59" i="19" a="1"/>
  <c r="I59" i="19" s="1"/>
  <c r="U1249" i="25"/>
  <c r="T1205" i="25"/>
  <c r="L12" i="19"/>
  <c r="W1205" i="25" s="1"/>
  <c r="AJ1205" i="25" s="1"/>
  <c r="I41" i="19" a="1"/>
  <c r="I41" i="19" s="1"/>
  <c r="U1231" i="25"/>
  <c r="I58" i="19" a="1"/>
  <c r="I58" i="19" s="1"/>
  <c r="U1248" i="25"/>
  <c r="T1204" i="25"/>
  <c r="U509" i="4"/>
  <c r="AE1142" i="25" s="1"/>
  <c r="V509" i="4"/>
  <c r="AF1142" i="25" s="1"/>
  <c r="V508" i="4"/>
  <c r="AF1141" i="25" s="1"/>
  <c r="U508" i="4"/>
  <c r="AE1141" i="25" s="1"/>
  <c r="U507" i="4"/>
  <c r="AE1140" i="25" s="1"/>
  <c r="V507" i="4"/>
  <c r="AF1140" i="25" s="1"/>
  <c r="V510" i="4"/>
  <c r="AF1143" i="25" s="1"/>
  <c r="U510" i="4"/>
  <c r="AE1143" i="25" s="1"/>
  <c r="S505" i="4" a="1"/>
  <c r="S505" i="4" s="1"/>
  <c r="AC1138" i="25" s="1"/>
  <c r="M341" i="4" a="1"/>
  <c r="M341" i="4" s="1"/>
  <c r="K38" i="19" a="1"/>
  <c r="K38" i="19" s="1"/>
  <c r="V1228" i="25" s="1"/>
  <c r="AI1228" i="25" s="1"/>
  <c r="K39" i="19" a="1"/>
  <c r="K39" i="19" s="1"/>
  <c r="V1229" i="25" s="1"/>
  <c r="AI1229" i="25" s="1"/>
  <c r="M342" i="4" a="1"/>
  <c r="M342" i="4" s="1"/>
  <c r="V837" i="25" s="1"/>
  <c r="AI837" i="25" s="1"/>
  <c r="M481" i="4" a="1"/>
  <c r="M481" i="4" s="1"/>
  <c r="K20" i="19" a="1"/>
  <c r="K20" i="19" s="1"/>
  <c r="K41" i="19" a="1"/>
  <c r="K41" i="19" s="1"/>
  <c r="V1231" i="25" s="1"/>
  <c r="AI1231" i="25" s="1"/>
  <c r="K11" i="19" a="1"/>
  <c r="K11" i="19" s="1"/>
  <c r="V1204" i="25" s="1"/>
  <c r="AI1204" i="25" s="1"/>
  <c r="K8" i="19" a="1"/>
  <c r="K8" i="19" s="1"/>
  <c r="R7" i="4" a="1"/>
  <c r="R7" i="4" s="1"/>
  <c r="AA502" i="25" s="1"/>
  <c r="C29" i="18"/>
  <c r="D29" i="18"/>
  <c r="Q10" i="19" a="1"/>
  <c r="Q10" i="19" s="1"/>
  <c r="AB1203" i="25" s="1"/>
  <c r="V10" i="19" a="1"/>
  <c r="V10" i="19" s="1"/>
  <c r="R10" i="19" a="1"/>
  <c r="R10" i="19" s="1"/>
  <c r="AC1203" i="25" s="1"/>
  <c r="S10" i="19" a="1"/>
  <c r="S10" i="19" s="1"/>
  <c r="AD1203" i="25" s="1"/>
  <c r="O10" i="19" a="1"/>
  <c r="O10" i="19" s="1"/>
  <c r="Z1203" i="25" s="1"/>
  <c r="P10" i="19" a="1"/>
  <c r="P10" i="19" s="1"/>
  <c r="AA1203" i="25" s="1"/>
  <c r="O9" i="19" a="1"/>
  <c r="O9" i="19" s="1"/>
  <c r="R9" i="19" a="1"/>
  <c r="R9" i="19" s="1"/>
  <c r="AC1202" i="25" s="1"/>
  <c r="P9" i="19" a="1"/>
  <c r="P9" i="19" s="1"/>
  <c r="AA1202" i="25" s="1"/>
  <c r="V9" i="19" a="1"/>
  <c r="V9" i="19" s="1"/>
  <c r="S9" i="19" a="1"/>
  <c r="S9" i="19" s="1"/>
  <c r="AD1202" i="25" s="1"/>
  <c r="Q9" i="19" a="1"/>
  <c r="Q9" i="19" s="1"/>
  <c r="AB1202" i="25" s="1"/>
  <c r="R8" i="19" a="1"/>
  <c r="R8" i="19" s="1"/>
  <c r="AC1201" i="25" s="1"/>
  <c r="P8" i="19" a="1"/>
  <c r="P8" i="19" s="1"/>
  <c r="AA1201" i="25" s="1"/>
  <c r="V8" i="19" a="1"/>
  <c r="V8" i="19" s="1"/>
  <c r="Q8" i="19" a="1"/>
  <c r="Q8" i="19" s="1"/>
  <c r="AB1201" i="25" s="1"/>
  <c r="S8" i="19" a="1"/>
  <c r="S8" i="19" s="1"/>
  <c r="AD1201" i="25" s="1"/>
  <c r="O8" i="19" a="1"/>
  <c r="O8" i="19" s="1"/>
  <c r="Z1201" i="25" s="1"/>
  <c r="Q12" i="19" a="1"/>
  <c r="Q12" i="19" s="1"/>
  <c r="AB1205" i="25" s="1"/>
  <c r="R12" i="19" a="1"/>
  <c r="R12" i="19" s="1"/>
  <c r="AC1205" i="25" s="1"/>
  <c r="O12" i="19" a="1"/>
  <c r="O12" i="19" s="1"/>
  <c r="Z1205" i="25" s="1"/>
  <c r="S12" i="19" a="1"/>
  <c r="S12" i="19" s="1"/>
  <c r="AD1205" i="25" s="1"/>
  <c r="P12" i="19" a="1"/>
  <c r="P12" i="19" s="1"/>
  <c r="AA1205" i="25" s="1"/>
  <c r="V12" i="19" a="1"/>
  <c r="V12" i="19" s="1"/>
  <c r="S11" i="19" a="1"/>
  <c r="S11" i="19" s="1"/>
  <c r="AD1204" i="25" s="1"/>
  <c r="Q11" i="19" a="1"/>
  <c r="Q11" i="19" s="1"/>
  <c r="AB1204" i="25" s="1"/>
  <c r="V11" i="19" a="1"/>
  <c r="V11" i="19" s="1"/>
  <c r="O11" i="19" a="1"/>
  <c r="O11" i="19" s="1"/>
  <c r="Z1204" i="25" s="1"/>
  <c r="P11" i="19" a="1"/>
  <c r="P11" i="19" s="1"/>
  <c r="AA1204" i="25" s="1"/>
  <c r="R11" i="19" a="1"/>
  <c r="R11" i="19" s="1"/>
  <c r="AC1204" i="25" s="1"/>
  <c r="P505" i="4" a="1"/>
  <c r="P505" i="4" s="1"/>
  <c r="Z1138" i="25" s="1"/>
  <c r="Q506" i="4" a="1"/>
  <c r="Q506" i="4" s="1"/>
  <c r="AA1139" i="25" s="1"/>
  <c r="R506" i="4" a="1"/>
  <c r="R506" i="4" s="1"/>
  <c r="AB1139" i="25" s="1"/>
  <c r="T506" i="4" a="1"/>
  <c r="T506" i="4" s="1"/>
  <c r="AD1139" i="25" s="1"/>
  <c r="P506" i="4" a="1"/>
  <c r="P506" i="4" s="1"/>
  <c r="Z1139" i="25" s="1"/>
  <c r="S506" i="4" a="1"/>
  <c r="S506" i="4" s="1"/>
  <c r="AC1139" i="25" s="1"/>
  <c r="Q505" i="4" a="1"/>
  <c r="Q505" i="4" s="1"/>
  <c r="AA1138" i="25" s="1"/>
  <c r="R505" i="4" a="1"/>
  <c r="R505" i="4" s="1"/>
  <c r="AB1138" i="25" s="1"/>
  <c r="AC839" i="25" l="1"/>
  <c r="AC836" i="25"/>
  <c r="AA839" i="25"/>
  <c r="AA836" i="25"/>
  <c r="AB839" i="25"/>
  <c r="AB836" i="25"/>
  <c r="Z839" i="25"/>
  <c r="Z836" i="25"/>
  <c r="AD839" i="25"/>
  <c r="AD836" i="25"/>
  <c r="AG839" i="25"/>
  <c r="AG836" i="25"/>
  <c r="V839" i="25"/>
  <c r="AI839" i="25" s="1"/>
  <c r="V836" i="25"/>
  <c r="AI836" i="25" s="1"/>
  <c r="D15" i="18"/>
  <c r="V43" i="19" a="1"/>
  <c r="V43" i="19" s="1"/>
  <c r="P40" i="19" a="1"/>
  <c r="P40" i="19" s="1"/>
  <c r="AA1230" i="25" s="1"/>
  <c r="Z1202" i="25"/>
  <c r="O39" i="19" a="1"/>
  <c r="O39" i="19" s="1"/>
  <c r="Z1229" i="25" s="1"/>
  <c r="P41" i="19" a="1"/>
  <c r="P41" i="19" s="1"/>
  <c r="AA1231" i="25" s="1"/>
  <c r="V1201" i="25"/>
  <c r="AI1201" i="25" s="1"/>
  <c r="V38" i="19" a="1"/>
  <c r="V38" i="19" s="1"/>
  <c r="T1232" i="25"/>
  <c r="V929" i="25"/>
  <c r="AI929" i="25" s="1"/>
  <c r="V840" i="25"/>
  <c r="AI840" i="25" s="1"/>
  <c r="I18" i="18"/>
  <c r="AI948" i="25"/>
  <c r="Z507" i="4" a="1"/>
  <c r="Z507" i="4" s="1"/>
  <c r="Z508" i="4" a="1"/>
  <c r="Z508" i="4" s="1"/>
  <c r="Z509" i="4" a="1"/>
  <c r="Z509" i="4" s="1"/>
  <c r="Z510" i="4" a="1"/>
  <c r="Z510" i="4" s="1"/>
  <c r="M506" i="4"/>
  <c r="S42" i="19" a="1"/>
  <c r="S42" i="19" s="1"/>
  <c r="AD1232" i="25" s="1"/>
  <c r="O38" i="19" a="1"/>
  <c r="O38" i="19" s="1"/>
  <c r="Z1228" i="25" s="1"/>
  <c r="R38" i="19" a="1"/>
  <c r="R38" i="19" s="1"/>
  <c r="AC1228" i="25" s="1"/>
  <c r="P38" i="19" a="1"/>
  <c r="P38" i="19" s="1"/>
  <c r="AA1228" i="25" s="1"/>
  <c r="O42" i="19" a="1"/>
  <c r="O42" i="19" s="1"/>
  <c r="Z1232" i="25" s="1"/>
  <c r="U21" i="19"/>
  <c r="AF1214" i="25" s="1"/>
  <c r="T21" i="19"/>
  <c r="AE1214" i="25" s="1"/>
  <c r="P43" i="19" a="1"/>
  <c r="P43" i="19" s="1"/>
  <c r="AA1233" i="25" s="1"/>
  <c r="O43" i="19" a="1"/>
  <c r="O43" i="19" s="1"/>
  <c r="Z1233" i="25" s="1"/>
  <c r="R43" i="19" a="1"/>
  <c r="R43" i="19" s="1"/>
  <c r="AC1233" i="25" s="1"/>
  <c r="S43" i="19" a="1"/>
  <c r="S43" i="19" s="1"/>
  <c r="AD1233" i="25" s="1"/>
  <c r="Q43" i="19" a="1"/>
  <c r="Q43" i="19" s="1"/>
  <c r="AB1233" i="25" s="1"/>
  <c r="V482" i="4"/>
  <c r="AE930" i="25" s="1"/>
  <c r="W482" i="4"/>
  <c r="AF930" i="25" s="1"/>
  <c r="S40" i="19" a="1"/>
  <c r="S40" i="19" s="1"/>
  <c r="AD1230" i="25" s="1"/>
  <c r="R40" i="19" a="1"/>
  <c r="R40" i="19" s="1"/>
  <c r="AC1230" i="25" s="1"/>
  <c r="Q40" i="19" a="1"/>
  <c r="Q40" i="19" s="1"/>
  <c r="AB1230" i="25" s="1"/>
  <c r="P39" i="19" a="1"/>
  <c r="P39" i="19" s="1"/>
  <c r="AA1229" i="25" s="1"/>
  <c r="V40" i="19" a="1"/>
  <c r="V40" i="19" s="1"/>
  <c r="S39" i="19" a="1"/>
  <c r="S39" i="19" s="1"/>
  <c r="AD1229" i="25" s="1"/>
  <c r="O40" i="19" a="1"/>
  <c r="O40" i="19" s="1"/>
  <c r="Z1230" i="25" s="1"/>
  <c r="R39" i="19" a="1"/>
  <c r="R39" i="19" s="1"/>
  <c r="AC1229" i="25" s="1"/>
  <c r="Q39" i="19" a="1"/>
  <c r="Q39" i="19" s="1"/>
  <c r="AB1229" i="25" s="1"/>
  <c r="V39" i="19" a="1"/>
  <c r="V39" i="19" s="1"/>
  <c r="S41" i="19" a="1"/>
  <c r="S41" i="19" s="1"/>
  <c r="AD1231" i="25" s="1"/>
  <c r="Q38" i="19" a="1"/>
  <c r="Q38" i="19" s="1"/>
  <c r="AB1228" i="25" s="1"/>
  <c r="T1230" i="25"/>
  <c r="L40" i="19"/>
  <c r="W1230" i="25" s="1"/>
  <c r="AJ1230" i="25" s="1"/>
  <c r="T1233" i="25"/>
  <c r="L43" i="19"/>
  <c r="W1233" i="25" s="1"/>
  <c r="AJ1233" i="25" s="1"/>
  <c r="O41" i="19" a="1"/>
  <c r="O41" i="19" s="1"/>
  <c r="Z1231" i="25" s="1"/>
  <c r="R42" i="19" a="1"/>
  <c r="R42" i="19" s="1"/>
  <c r="AC1232" i="25" s="1"/>
  <c r="R41" i="19" a="1"/>
  <c r="R41" i="19" s="1"/>
  <c r="AC1231" i="25" s="1"/>
  <c r="L11" i="19"/>
  <c r="W1204" i="25" s="1"/>
  <c r="AJ1204" i="25" s="1"/>
  <c r="N481" i="4"/>
  <c r="W929" i="25" s="1"/>
  <c r="AJ929" i="25" s="1"/>
  <c r="Q42" i="19" a="1"/>
  <c r="Q42" i="19" s="1"/>
  <c r="AB1232" i="25" s="1"/>
  <c r="Q41" i="19" a="1"/>
  <c r="Q41" i="19" s="1"/>
  <c r="AB1231" i="25" s="1"/>
  <c r="I15" i="18"/>
  <c r="T1229" i="25"/>
  <c r="L39" i="19"/>
  <c r="W1229" i="25" s="1"/>
  <c r="AJ1229" i="25" s="1"/>
  <c r="AJ948" i="25"/>
  <c r="V1213" i="25"/>
  <c r="AI1213" i="25" s="1"/>
  <c r="L20" i="19"/>
  <c r="W1213" i="25" s="1"/>
  <c r="AJ1213" i="25" s="1"/>
  <c r="N342" i="4"/>
  <c r="V42" i="19" a="1"/>
  <c r="V42" i="19" s="1"/>
  <c r="V41" i="19" a="1"/>
  <c r="V41" i="19" s="1"/>
  <c r="S38" i="19" a="1"/>
  <c r="S38" i="19" s="1"/>
  <c r="AD1228" i="25" s="1"/>
  <c r="P42" i="19" a="1"/>
  <c r="P42" i="19" s="1"/>
  <c r="AA1232" i="25" s="1"/>
  <c r="T1248" i="25"/>
  <c r="L58" i="19"/>
  <c r="S58" i="19" a="1"/>
  <c r="S58" i="19" s="1"/>
  <c r="AD1248" i="25" s="1"/>
  <c r="P58" i="19" a="1"/>
  <c r="P58" i="19" s="1"/>
  <c r="AA1248" i="25" s="1"/>
  <c r="V58" i="19" a="1"/>
  <c r="V58" i="19" s="1"/>
  <c r="Q58" i="19" a="1"/>
  <c r="Q58" i="19" s="1"/>
  <c r="AB1248" i="25" s="1"/>
  <c r="O58" i="19" a="1"/>
  <c r="O58" i="19" s="1"/>
  <c r="Z1248" i="25" s="1"/>
  <c r="R58" i="19" a="1"/>
  <c r="R58" i="19" s="1"/>
  <c r="AC1248" i="25" s="1"/>
  <c r="T1249" i="25"/>
  <c r="L59" i="19"/>
  <c r="S59" i="19" a="1"/>
  <c r="S59" i="19" s="1"/>
  <c r="AD1249" i="25" s="1"/>
  <c r="O59" i="19" a="1"/>
  <c r="O59" i="19" s="1"/>
  <c r="Z1249" i="25" s="1"/>
  <c r="V59" i="19" a="1"/>
  <c r="V59" i="19" s="1"/>
  <c r="P59" i="19" a="1"/>
  <c r="P59" i="19" s="1"/>
  <c r="AA1249" i="25" s="1"/>
  <c r="Q59" i="19" a="1"/>
  <c r="Q59" i="19" s="1"/>
  <c r="AB1249" i="25" s="1"/>
  <c r="R59" i="19" a="1"/>
  <c r="R59" i="19" s="1"/>
  <c r="AC1249" i="25" s="1"/>
  <c r="T1251" i="25"/>
  <c r="L61" i="19"/>
  <c r="S61" i="19" a="1"/>
  <c r="S61" i="19" s="1"/>
  <c r="AD1251" i="25" s="1"/>
  <c r="V61" i="19" a="1"/>
  <c r="V61" i="19" s="1"/>
  <c r="Q61" i="19" a="1"/>
  <c r="Q61" i="19" s="1"/>
  <c r="AB1251" i="25" s="1"/>
  <c r="P61" i="19" a="1"/>
  <c r="P61" i="19" s="1"/>
  <c r="AA1251" i="25" s="1"/>
  <c r="R61" i="19" a="1"/>
  <c r="R61" i="19" s="1"/>
  <c r="AC1251" i="25" s="1"/>
  <c r="O61" i="19" a="1"/>
  <c r="O61" i="19" s="1"/>
  <c r="Z1251" i="25" s="1"/>
  <c r="T1231" i="25"/>
  <c r="L41" i="19"/>
  <c r="W1231" i="25" s="1"/>
  <c r="AJ1231" i="25" s="1"/>
  <c r="T1247" i="25"/>
  <c r="L57" i="19"/>
  <c r="S57" i="19" a="1"/>
  <c r="S57" i="19" s="1"/>
  <c r="AD1247" i="25" s="1"/>
  <c r="O57" i="19" a="1"/>
  <c r="O57" i="19" s="1"/>
  <c r="Z1247" i="25" s="1"/>
  <c r="V57" i="19" a="1"/>
  <c r="V57" i="19" s="1"/>
  <c r="Q57" i="19" a="1"/>
  <c r="Q57" i="19" s="1"/>
  <c r="AB1247" i="25" s="1"/>
  <c r="R57" i="19" a="1"/>
  <c r="R57" i="19" s="1"/>
  <c r="AC1247" i="25" s="1"/>
  <c r="P57" i="19" a="1"/>
  <c r="P57" i="19" s="1"/>
  <c r="AA1247" i="25" s="1"/>
  <c r="T1250" i="25"/>
  <c r="L60" i="19"/>
  <c r="S60" i="19" a="1"/>
  <c r="S60" i="19" s="1"/>
  <c r="AD1250" i="25" s="1"/>
  <c r="P60" i="19" a="1"/>
  <c r="P60" i="19" s="1"/>
  <c r="AA1250" i="25" s="1"/>
  <c r="V60" i="19" a="1"/>
  <c r="V60" i="19" s="1"/>
  <c r="O60" i="19" a="1"/>
  <c r="O60" i="19" s="1"/>
  <c r="Z1250" i="25" s="1"/>
  <c r="Q60" i="19" a="1"/>
  <c r="Q60" i="19" s="1"/>
  <c r="AB1250" i="25" s="1"/>
  <c r="R60" i="19" a="1"/>
  <c r="R60" i="19" s="1"/>
  <c r="AC1250" i="25" s="1"/>
  <c r="T1228" i="25"/>
  <c r="L42" i="19"/>
  <c r="L8" i="19"/>
  <c r="W1201" i="25" s="1"/>
  <c r="AJ1201" i="25" s="1"/>
  <c r="N341" i="4"/>
  <c r="W836" i="25" s="1"/>
  <c r="AJ836" i="25" s="1"/>
  <c r="I27" i="18"/>
  <c r="D18" i="26"/>
  <c r="E18" i="26" s="1"/>
  <c r="T34" i="19"/>
  <c r="AE1227" i="25" s="1"/>
  <c r="U34" i="19"/>
  <c r="AF1227" i="25" s="1"/>
  <c r="T12" i="19"/>
  <c r="AE1205" i="25" s="1"/>
  <c r="U12" i="19"/>
  <c r="AF1205" i="25" s="1"/>
  <c r="U31" i="19"/>
  <c r="AF1224" i="25" s="1"/>
  <c r="T31" i="19"/>
  <c r="AE1224" i="25" s="1"/>
  <c r="U10" i="19"/>
  <c r="AF1203" i="25" s="1"/>
  <c r="T10" i="19"/>
  <c r="AE1203" i="25" s="1"/>
  <c r="T32" i="19"/>
  <c r="AE1225" i="25" s="1"/>
  <c r="U32" i="19"/>
  <c r="AF1225" i="25" s="1"/>
  <c r="U9" i="19"/>
  <c r="AF1202" i="25" s="1"/>
  <c r="T9" i="19"/>
  <c r="AE1202" i="25" s="1"/>
  <c r="U33" i="19"/>
  <c r="AF1226" i="25" s="1"/>
  <c r="T33" i="19"/>
  <c r="AE1226" i="25" s="1"/>
  <c r="Q7" i="4" a="1"/>
  <c r="Q7" i="4" s="1"/>
  <c r="T7" i="4" a="1"/>
  <c r="T7" i="4" s="1"/>
  <c r="AC502" i="25" s="1"/>
  <c r="S7" i="4" a="1"/>
  <c r="S7" i="4" s="1"/>
  <c r="AB502" i="25" s="1"/>
  <c r="D35" i="18"/>
  <c r="C38" i="18"/>
  <c r="C27" i="18"/>
  <c r="E27" i="18"/>
  <c r="D27" i="18"/>
  <c r="D18" i="18"/>
  <c r="E35" i="18"/>
  <c r="C18" i="18"/>
  <c r="W840" i="25" l="1"/>
  <c r="AJ840" i="25" s="1"/>
  <c r="W837" i="25"/>
  <c r="AJ837" i="25" s="1"/>
  <c r="E25" i="26"/>
  <c r="U506" i="4"/>
  <c r="AE1139" i="25" s="1"/>
  <c r="W1139" i="25"/>
  <c r="AJ1139" i="25" s="1"/>
  <c r="Z502" i="25"/>
  <c r="L38" i="19"/>
  <c r="W1228" i="25" s="1"/>
  <c r="AJ1228" i="25" s="1"/>
  <c r="X12" i="19" a="1"/>
  <c r="X12" i="19" s="1"/>
  <c r="X21" i="19" a="1"/>
  <c r="X21" i="19" s="1"/>
  <c r="X31" i="19" a="1"/>
  <c r="X31" i="19" s="1"/>
  <c r="X33" i="19" a="1"/>
  <c r="X33" i="19" s="1"/>
  <c r="X9" i="19" a="1"/>
  <c r="X9" i="19" s="1"/>
  <c r="X10" i="19" a="1"/>
  <c r="X10" i="19" s="1"/>
  <c r="X34" i="19" a="1"/>
  <c r="X34" i="19" s="1"/>
  <c r="X32" i="19" a="1"/>
  <c r="X32" i="19" s="1"/>
  <c r="V506" i="4"/>
  <c r="AF1139" i="25" s="1"/>
  <c r="Z482" i="4" a="1"/>
  <c r="Z482" i="4" s="1"/>
  <c r="W341" i="4"/>
  <c r="W839" i="25"/>
  <c r="AJ839" i="25" s="1"/>
  <c r="T40" i="19"/>
  <c r="AE1230" i="25" s="1"/>
  <c r="T11" i="19"/>
  <c r="AE1204" i="25" s="1"/>
  <c r="T39" i="19"/>
  <c r="U40" i="19"/>
  <c r="AF1230" i="25" s="1"/>
  <c r="W481" i="4"/>
  <c r="AF929" i="25" s="1"/>
  <c r="U11" i="19"/>
  <c r="AF1204" i="25" s="1"/>
  <c r="V481" i="4"/>
  <c r="V342" i="4"/>
  <c r="AE837" i="25" s="1"/>
  <c r="W342" i="4"/>
  <c r="U39" i="19"/>
  <c r="AF1229" i="25" s="1"/>
  <c r="C28" i="18"/>
  <c r="C30" i="18" s="1"/>
  <c r="U20" i="19"/>
  <c r="AF1213" i="25" s="1"/>
  <c r="I28" i="18"/>
  <c r="I30" i="18" s="1"/>
  <c r="E28" i="18"/>
  <c r="T43" i="19"/>
  <c r="AE1233" i="25" s="1"/>
  <c r="W1250" i="25"/>
  <c r="AJ1250" i="25" s="1"/>
  <c r="T60" i="19"/>
  <c r="U60" i="19"/>
  <c r="AF1250" i="25" s="1"/>
  <c r="W1247" i="25"/>
  <c r="AJ1247" i="25" s="1"/>
  <c r="T57" i="19"/>
  <c r="AE1247" i="25" s="1"/>
  <c r="U57" i="19"/>
  <c r="AF1247" i="25" s="1"/>
  <c r="W1251" i="25"/>
  <c r="AJ1251" i="25" s="1"/>
  <c r="T61" i="19"/>
  <c r="AE1251" i="25" s="1"/>
  <c r="U61" i="19"/>
  <c r="AF1251" i="25" s="1"/>
  <c r="T41" i="19"/>
  <c r="AE1231" i="25" s="1"/>
  <c r="V341" i="4"/>
  <c r="AE836" i="25" s="1"/>
  <c r="W1249" i="25"/>
  <c r="AJ1249" i="25" s="1"/>
  <c r="T59" i="19"/>
  <c r="AE1249" i="25" s="1"/>
  <c r="U59" i="19"/>
  <c r="AF1249" i="25" s="1"/>
  <c r="W1248" i="25"/>
  <c r="AJ1248" i="25" s="1"/>
  <c r="T58" i="19"/>
  <c r="AE1248" i="25" s="1"/>
  <c r="U58" i="19"/>
  <c r="AF1248" i="25" s="1"/>
  <c r="D28" i="18"/>
  <c r="D30" i="18" s="1"/>
  <c r="U41" i="19"/>
  <c r="AF1231" i="25" s="1"/>
  <c r="T20" i="19"/>
  <c r="AE1213" i="25" s="1"/>
  <c r="U43" i="19"/>
  <c r="AF1233" i="25" s="1"/>
  <c r="T42" i="19"/>
  <c r="AE1232" i="25" s="1"/>
  <c r="W1232" i="25"/>
  <c r="AJ1232" i="25" s="1"/>
  <c r="U42" i="19"/>
  <c r="AF1232" i="25" s="1"/>
  <c r="AD932" i="25"/>
  <c r="AD931" i="25"/>
  <c r="F27" i="18"/>
  <c r="F35" i="18"/>
  <c r="F38" i="18" s="1"/>
  <c r="U7" i="4" a="1"/>
  <c r="U7" i="4" s="1"/>
  <c r="AD502" i="25" s="1"/>
  <c r="AD928" i="25"/>
  <c r="F26" i="18"/>
  <c r="D38" i="18"/>
  <c r="T505" i="4" a="1"/>
  <c r="T505" i="4" s="1"/>
  <c r="AD1138" i="25" s="1"/>
  <c r="E38" i="18"/>
  <c r="T8" i="19"/>
  <c r="D12" i="11"/>
  <c r="AF840" i="25" l="1"/>
  <c r="AF837" i="25"/>
  <c r="AF839" i="25"/>
  <c r="AF836" i="25"/>
  <c r="U38" i="19"/>
  <c r="AF1228" i="25" s="1"/>
  <c r="T38" i="19"/>
  <c r="AE1228" i="25" s="1"/>
  <c r="X41" i="19" a="1"/>
  <c r="X41" i="19" s="1"/>
  <c r="X11" i="19" a="1"/>
  <c r="X11" i="19" s="1"/>
  <c r="X57" i="19" a="1"/>
  <c r="X57" i="19" s="1"/>
  <c r="AE1250" i="25"/>
  <c r="X60" i="19" a="1"/>
  <c r="X60" i="19" s="1"/>
  <c r="AE1229" i="25"/>
  <c r="X39" i="19" a="1"/>
  <c r="X39" i="19" s="1"/>
  <c r="X43" i="19" a="1"/>
  <c r="X43" i="19" s="1"/>
  <c r="X59" i="19" a="1"/>
  <c r="X59" i="19" s="1"/>
  <c r="X20" i="19" a="1"/>
  <c r="X20" i="19" s="1"/>
  <c r="X42" i="19" a="1"/>
  <c r="X42" i="19" s="1"/>
  <c r="X58" i="19" a="1"/>
  <c r="X58" i="19" s="1"/>
  <c r="X40" i="19" a="1"/>
  <c r="X40" i="19" s="1"/>
  <c r="X61" i="19" a="1"/>
  <c r="X61" i="19" s="1"/>
  <c r="Z506" i="4" a="1"/>
  <c r="Z506" i="4" s="1"/>
  <c r="AE839" i="25"/>
  <c r="Z341" i="4" a="1"/>
  <c r="Z341" i="4" s="1"/>
  <c r="AE840" i="25"/>
  <c r="AE929" i="25"/>
  <c r="Z481" i="4" a="1"/>
  <c r="Z481" i="4" s="1"/>
  <c r="Z342" i="4" a="1"/>
  <c r="Z342" i="4" s="1"/>
  <c r="E18" i="18"/>
  <c r="F18" i="18" s="1"/>
  <c r="F28" i="18"/>
  <c r="G27" i="18"/>
  <c r="AE1201" i="25"/>
  <c r="M483" i="4" a="1"/>
  <c r="M483" i="4" s="1"/>
  <c r="M484" i="4" a="1"/>
  <c r="M484" i="4" s="1"/>
  <c r="V116" i="17"/>
  <c r="M480" i="4" a="1"/>
  <c r="M480" i="4" s="1"/>
  <c r="L505" i="4" a="1"/>
  <c r="L505" i="4" s="1"/>
  <c r="V1138" i="25" s="1"/>
  <c r="M7" i="4" a="1"/>
  <c r="M7" i="4" s="1"/>
  <c r="V502" i="25" s="1"/>
  <c r="AI502" i="25" s="1"/>
  <c r="U8" i="19"/>
  <c r="X8" i="19" s="1" a="1"/>
  <c r="X8" i="19" s="1"/>
  <c r="Q65" i="19"/>
  <c r="AB1252" i="25" s="1"/>
  <c r="F12" i="11"/>
  <c r="H28" i="18" l="1"/>
  <c r="G28" i="18"/>
  <c r="X38" i="19" a="1"/>
  <c r="X38" i="19" s="1"/>
  <c r="X7" i="19"/>
  <c r="H6" i="19" s="1"/>
  <c r="D11" i="26" s="1"/>
  <c r="E11" i="26" s="1"/>
  <c r="V928" i="25"/>
  <c r="AI928" i="25" s="1"/>
  <c r="V931" i="25"/>
  <c r="AI931" i="25" s="1"/>
  <c r="V932" i="25"/>
  <c r="AI932" i="25" s="1"/>
  <c r="AI1138" i="25"/>
  <c r="N484" i="4"/>
  <c r="W932" i="25" s="1"/>
  <c r="AJ932" i="25" s="1"/>
  <c r="N483" i="4"/>
  <c r="W931" i="25" s="1"/>
  <c r="AJ931" i="25" s="1"/>
  <c r="N480" i="4"/>
  <c r="W928" i="25" s="1"/>
  <c r="H27" i="18"/>
  <c r="AF1201" i="25"/>
  <c r="N7" i="4"/>
  <c r="W502" i="25" s="1"/>
  <c r="AJ502" i="25" s="1"/>
  <c r="G38" i="18"/>
  <c r="I38" i="18"/>
  <c r="M505" i="4"/>
  <c r="W1138" i="25" s="1"/>
  <c r="Q66" i="19"/>
  <c r="K66" i="19"/>
  <c r="H38" i="18"/>
  <c r="L8" i="5"/>
  <c r="AJ928" i="25" l="1"/>
  <c r="W1279" i="25"/>
  <c r="AJ1279" i="25" s="1"/>
  <c r="Z8" i="5" a="1"/>
  <c r="Z8" i="5" s="1"/>
  <c r="E29" i="18"/>
  <c r="F29" i="18" s="1"/>
  <c r="F30" i="18" s="1"/>
  <c r="AB1253" i="25"/>
  <c r="AJ1138" i="25"/>
  <c r="AJ3" i="25"/>
  <c r="AI3" i="25"/>
  <c r="V483" i="4"/>
  <c r="AE931" i="25" s="1"/>
  <c r="V480" i="4"/>
  <c r="W480" i="4"/>
  <c r="AF928" i="25" s="1"/>
  <c r="V484" i="4"/>
  <c r="W484" i="4"/>
  <c r="AF932" i="25" s="1"/>
  <c r="W483" i="4"/>
  <c r="AF931" i="25" s="1"/>
  <c r="V1253" i="25"/>
  <c r="AI1253" i="25" s="1"/>
  <c r="L66" i="19"/>
  <c r="V7" i="4"/>
  <c r="AE502" i="25" s="1"/>
  <c r="W7" i="4"/>
  <c r="AF502" i="25" s="1"/>
  <c r="U505" i="4"/>
  <c r="AE1138" i="25" s="1"/>
  <c r="V505" i="4"/>
  <c r="AF1138" i="25" s="1"/>
  <c r="K65" i="19"/>
  <c r="E30" i="18" l="1"/>
  <c r="V1252" i="25"/>
  <c r="E26" i="26" s="1"/>
  <c r="W1253" i="25"/>
  <c r="AJ1253" i="25" s="1"/>
  <c r="Z505" i="4" a="1"/>
  <c r="Z505" i="4" s="1"/>
  <c r="Z504" i="4" s="1"/>
  <c r="I503" i="4" s="1"/>
  <c r="AA6" i="4"/>
  <c r="AE932" i="25"/>
  <c r="Z484" i="4" a="1"/>
  <c r="Z484" i="4" s="1"/>
  <c r="AE928" i="25"/>
  <c r="Z480" i="4" a="1"/>
  <c r="Z480" i="4" s="1"/>
  <c r="Z483" i="4" a="1"/>
  <c r="Z483" i="4" s="1"/>
  <c r="Z7" i="4" a="1"/>
  <c r="Z7" i="4" s="1"/>
  <c r="U66" i="19"/>
  <c r="AF1253" i="25" s="1"/>
  <c r="T66" i="19"/>
  <c r="G18" i="18"/>
  <c r="H18" i="18"/>
  <c r="G15" i="18"/>
  <c r="H15" i="18"/>
  <c r="L65" i="19"/>
  <c r="D21" i="18"/>
  <c r="D9" i="18" s="1"/>
  <c r="E31" i="26" s="1"/>
  <c r="E15" i="18"/>
  <c r="E21" i="18" s="1"/>
  <c r="C15" i="18"/>
  <c r="C21" i="18" s="1"/>
  <c r="C9" i="18" l="1"/>
  <c r="E30" i="26" s="1"/>
  <c r="E9" i="18"/>
  <c r="E32" i="26" s="1"/>
  <c r="X66" i="19" a="1"/>
  <c r="X66" i="19" s="1"/>
  <c r="AE1253" i="25"/>
  <c r="AI1252" i="25"/>
  <c r="E28" i="26" s="1"/>
  <c r="D5" i="26"/>
  <c r="E5" i="26" s="1"/>
  <c r="E6" i="26"/>
  <c r="Z6" i="4"/>
  <c r="J5" i="4" s="1"/>
  <c r="G21" i="18"/>
  <c r="W1252" i="25"/>
  <c r="U65" i="19"/>
  <c r="T65" i="19"/>
  <c r="F15" i="18"/>
  <c r="F21" i="18" s="1"/>
  <c r="F9" i="18" s="1"/>
  <c r="H21" i="18"/>
  <c r="L9" i="5"/>
  <c r="L10" i="5"/>
  <c r="L11" i="5"/>
  <c r="L12" i="5"/>
  <c r="L13" i="5"/>
  <c r="L14" i="5"/>
  <c r="L15" i="5"/>
  <c r="L16" i="5"/>
  <c r="L17" i="5"/>
  <c r="L18" i="5"/>
  <c r="L19" i="5"/>
  <c r="L20" i="5"/>
  <c r="L22" i="5"/>
  <c r="L23" i="5"/>
  <c r="L24" i="5"/>
  <c r="L25" i="5"/>
  <c r="L26" i="5"/>
  <c r="L27" i="5"/>
  <c r="L28" i="5"/>
  <c r="L29" i="5"/>
  <c r="L30" i="5"/>
  <c r="L31" i="5"/>
  <c r="L32" i="5"/>
  <c r="L33" i="5"/>
  <c r="L34" i="5"/>
  <c r="L35" i="5"/>
  <c r="L36" i="5"/>
  <c r="L37" i="5"/>
  <c r="L38" i="5"/>
  <c r="L39" i="5"/>
  <c r="L40" i="5"/>
  <c r="L41" i="5"/>
  <c r="L42" i="5"/>
  <c r="L43" i="5"/>
  <c r="L44" i="5"/>
  <c r="L45" i="5"/>
  <c r="L46" i="5"/>
  <c r="L47" i="5"/>
  <c r="L48" i="5"/>
  <c r="L49" i="5"/>
  <c r="L50" i="5"/>
  <c r="L51" i="5"/>
  <c r="L52" i="5"/>
  <c r="L53" i="5"/>
  <c r="L54" i="5"/>
  <c r="L55" i="5"/>
  <c r="L56" i="5"/>
  <c r="L57" i="5"/>
  <c r="L58" i="5"/>
  <c r="L59" i="5"/>
  <c r="L60" i="5"/>
  <c r="L61" i="5"/>
  <c r="L62" i="5"/>
  <c r="L63" i="5"/>
  <c r="L64" i="5"/>
  <c r="L65" i="5"/>
  <c r="L66" i="5"/>
  <c r="L67" i="5"/>
  <c r="L68" i="5"/>
  <c r="L69" i="5"/>
  <c r="L70" i="5"/>
  <c r="L71" i="5"/>
  <c r="L72" i="5"/>
  <c r="L73" i="5"/>
  <c r="L74" i="5"/>
  <c r="L75" i="5"/>
  <c r="L76" i="5"/>
  <c r="L77" i="5"/>
  <c r="L78" i="5"/>
  <c r="L79" i="5"/>
  <c r="L80" i="5"/>
  <c r="L81" i="5"/>
  <c r="L82" i="5"/>
  <c r="L83" i="5"/>
  <c r="L84" i="5"/>
  <c r="L85" i="5"/>
  <c r="L86" i="5"/>
  <c r="L87" i="5"/>
  <c r="L88" i="5"/>
  <c r="L89" i="5"/>
  <c r="L90" i="5"/>
  <c r="L91" i="5"/>
  <c r="L92" i="5"/>
  <c r="L93" i="5"/>
  <c r="L94" i="5"/>
  <c r="L95" i="5"/>
  <c r="L96" i="5"/>
  <c r="L97" i="5"/>
  <c r="L103" i="5"/>
  <c r="L104" i="5"/>
  <c r="L105" i="5"/>
  <c r="L106" i="5"/>
  <c r="L107" i="5"/>
  <c r="L108" i="5"/>
  <c r="L109" i="5"/>
  <c r="L110" i="5"/>
  <c r="L111" i="5"/>
  <c r="L112" i="5"/>
  <c r="L113" i="5"/>
  <c r="L114" i="5"/>
  <c r="L115" i="5"/>
  <c r="L116" i="5"/>
  <c r="L117" i="5"/>
  <c r="W1367" i="25" l="1"/>
  <c r="AJ1367" i="25" s="1"/>
  <c r="Z96" i="5" a="1"/>
  <c r="Z96" i="5" s="1"/>
  <c r="W1335" i="25"/>
  <c r="AJ1335" i="25" s="1"/>
  <c r="Z64" i="5" a="1"/>
  <c r="Z64" i="5" s="1"/>
  <c r="W1311" i="25"/>
  <c r="AJ1311" i="25" s="1"/>
  <c r="Z40" i="5" a="1"/>
  <c r="Z40" i="5" s="1"/>
  <c r="W1286" i="25"/>
  <c r="AJ1286" i="25" s="1"/>
  <c r="Z15" i="5" a="1"/>
  <c r="Z15" i="5" s="1"/>
  <c r="W1358" i="25"/>
  <c r="AJ1358" i="25" s="1"/>
  <c r="Z87" i="5" a="1"/>
  <c r="Z87" i="5" s="1"/>
  <c r="W1326" i="25"/>
  <c r="AJ1326" i="25" s="1"/>
  <c r="Z55" i="5" a="1"/>
  <c r="Z55" i="5" s="1"/>
  <c r="W1310" i="25"/>
  <c r="AJ1310" i="25" s="1"/>
  <c r="Z39" i="5" a="1"/>
  <c r="Z39" i="5" s="1"/>
  <c r="W1378" i="25"/>
  <c r="AJ1378" i="25" s="1"/>
  <c r="Z107" i="5" a="1"/>
  <c r="Z107" i="5" s="1"/>
  <c r="W1341" i="25"/>
  <c r="AJ1341" i="25" s="1"/>
  <c r="Z70" i="5" a="1"/>
  <c r="Z70" i="5" s="1"/>
  <c r="W1375" i="25"/>
  <c r="AJ1375" i="25" s="1"/>
  <c r="Z104" i="5" a="1"/>
  <c r="Z104" i="5" s="1"/>
  <c r="W1354" i="25"/>
  <c r="AJ1354" i="25" s="1"/>
  <c r="Z83" i="5" a="1"/>
  <c r="Z83" i="5" s="1"/>
  <c r="W1338" i="25"/>
  <c r="AJ1338" i="25" s="1"/>
  <c r="Z67" i="5" a="1"/>
  <c r="Z67" i="5" s="1"/>
  <c r="W1322" i="25"/>
  <c r="AJ1322" i="25" s="1"/>
  <c r="Z51" i="5" a="1"/>
  <c r="Z51" i="5" s="1"/>
  <c r="W1306" i="25"/>
  <c r="AJ1306" i="25" s="1"/>
  <c r="Z35" i="5" a="1"/>
  <c r="Z35" i="5" s="1"/>
  <c r="W1289" i="25"/>
  <c r="AJ1289" i="25" s="1"/>
  <c r="Z18" i="5" a="1"/>
  <c r="Z18" i="5" s="1"/>
  <c r="W1382" i="25"/>
  <c r="AJ1382" i="25" s="1"/>
  <c r="Z111" i="5" a="1"/>
  <c r="Z111" i="5" s="1"/>
  <c r="W1374" i="25"/>
  <c r="AJ1374" i="25" s="1"/>
  <c r="Z103" i="5" a="1"/>
  <c r="Z103" i="5" s="1"/>
  <c r="W1361" i="25"/>
  <c r="AJ1361" i="25" s="1"/>
  <c r="Z90" i="5" a="1"/>
  <c r="Z90" i="5" s="1"/>
  <c r="W1353" i="25"/>
  <c r="AJ1353" i="25" s="1"/>
  <c r="Z82" i="5" a="1"/>
  <c r="Z82" i="5" s="1"/>
  <c r="W1345" i="25"/>
  <c r="AJ1345" i="25" s="1"/>
  <c r="Z74" i="5" a="1"/>
  <c r="Z74" i="5" s="1"/>
  <c r="W1337" i="25"/>
  <c r="AJ1337" i="25" s="1"/>
  <c r="Z66" i="5" a="1"/>
  <c r="Z66" i="5" s="1"/>
  <c r="W1329" i="25"/>
  <c r="AJ1329" i="25" s="1"/>
  <c r="Z58" i="5" a="1"/>
  <c r="Z58" i="5" s="1"/>
  <c r="W1321" i="25"/>
  <c r="AJ1321" i="25" s="1"/>
  <c r="Z50" i="5" a="1"/>
  <c r="Z50" i="5" s="1"/>
  <c r="W1313" i="25"/>
  <c r="AJ1313" i="25" s="1"/>
  <c r="Z42" i="5" a="1"/>
  <c r="Z42" i="5" s="1"/>
  <c r="W1305" i="25"/>
  <c r="AJ1305" i="25" s="1"/>
  <c r="Z34" i="5" a="1"/>
  <c r="Z34" i="5" s="1"/>
  <c r="W1297" i="25"/>
  <c r="AJ1297" i="25" s="1"/>
  <c r="Z26" i="5" a="1"/>
  <c r="Z26" i="5" s="1"/>
  <c r="W1288" i="25"/>
  <c r="AJ1288" i="25" s="1"/>
  <c r="Z17" i="5" a="1"/>
  <c r="Z17" i="5" s="1"/>
  <c r="W1280" i="25"/>
  <c r="Z9" i="5" a="1"/>
  <c r="Z9" i="5" s="1"/>
  <c r="W1359" i="25"/>
  <c r="AJ1359" i="25" s="1"/>
  <c r="Z88" i="5" a="1"/>
  <c r="Z88" i="5" s="1"/>
  <c r="W1351" i="25"/>
  <c r="AJ1351" i="25" s="1"/>
  <c r="Z80" i="5" a="1"/>
  <c r="Z80" i="5" s="1"/>
  <c r="W1327" i="25"/>
  <c r="AJ1327" i="25" s="1"/>
  <c r="Z56" i="5" a="1"/>
  <c r="Z56" i="5" s="1"/>
  <c r="W1303" i="25"/>
  <c r="AJ1303" i="25" s="1"/>
  <c r="Z32" i="5" a="1"/>
  <c r="Z32" i="5" s="1"/>
  <c r="W1387" i="25"/>
  <c r="AJ1387" i="25" s="1"/>
  <c r="Z116" i="5" a="1"/>
  <c r="Z116" i="5" s="1"/>
  <c r="W1342" i="25"/>
  <c r="AJ1342" i="25" s="1"/>
  <c r="Z71" i="5" a="1"/>
  <c r="Z71" i="5" s="1"/>
  <c r="W1318" i="25"/>
  <c r="AJ1318" i="25" s="1"/>
  <c r="Z47" i="5" a="1"/>
  <c r="Z47" i="5" s="1"/>
  <c r="W1294" i="25"/>
  <c r="AJ1294" i="25" s="1"/>
  <c r="Z23" i="5" a="1"/>
  <c r="Z23" i="5" s="1"/>
  <c r="W1349" i="25"/>
  <c r="AJ1349" i="25" s="1"/>
  <c r="Z78" i="5" a="1"/>
  <c r="Z78" i="5" s="1"/>
  <c r="W1383" i="25"/>
  <c r="AJ1383" i="25" s="1"/>
  <c r="Z112" i="5" a="1"/>
  <c r="Z112" i="5" s="1"/>
  <c r="W1362" i="25"/>
  <c r="AJ1362" i="25" s="1"/>
  <c r="Z91" i="5" a="1"/>
  <c r="Z91" i="5" s="1"/>
  <c r="W1346" i="25"/>
  <c r="AJ1346" i="25" s="1"/>
  <c r="Z75" i="5" a="1"/>
  <c r="Z75" i="5" s="1"/>
  <c r="W1330" i="25"/>
  <c r="AJ1330" i="25" s="1"/>
  <c r="Z59" i="5" a="1"/>
  <c r="Z59" i="5" s="1"/>
  <c r="W1314" i="25"/>
  <c r="AJ1314" i="25" s="1"/>
  <c r="Z43" i="5" a="1"/>
  <c r="Z43" i="5" s="1"/>
  <c r="W1298" i="25"/>
  <c r="AJ1298" i="25" s="1"/>
  <c r="Z27" i="5" a="1"/>
  <c r="Z27" i="5" s="1"/>
  <c r="W1281" i="25"/>
  <c r="AJ1281" i="25" s="1"/>
  <c r="Z10" i="5" a="1"/>
  <c r="Z10" i="5" s="1"/>
  <c r="W1381" i="25"/>
  <c r="AJ1381" i="25" s="1"/>
  <c r="Z110" i="5" a="1"/>
  <c r="Z110" i="5" s="1"/>
  <c r="W1368" i="25"/>
  <c r="AJ1368" i="25" s="1"/>
  <c r="Z97" i="5" a="1"/>
  <c r="Z97" i="5" s="1"/>
  <c r="W1360" i="25"/>
  <c r="AJ1360" i="25" s="1"/>
  <c r="Z89" i="5" a="1"/>
  <c r="Z89" i="5" s="1"/>
  <c r="W1352" i="25"/>
  <c r="AJ1352" i="25" s="1"/>
  <c r="Z81" i="5" a="1"/>
  <c r="Z81" i="5" s="1"/>
  <c r="W1344" i="25"/>
  <c r="AJ1344" i="25" s="1"/>
  <c r="Z73" i="5" a="1"/>
  <c r="Z73" i="5" s="1"/>
  <c r="W1336" i="25"/>
  <c r="AJ1336" i="25" s="1"/>
  <c r="Z65" i="5" a="1"/>
  <c r="Z65" i="5" s="1"/>
  <c r="W1328" i="25"/>
  <c r="AJ1328" i="25" s="1"/>
  <c r="Z57" i="5" a="1"/>
  <c r="Z57" i="5" s="1"/>
  <c r="W1320" i="25"/>
  <c r="AJ1320" i="25" s="1"/>
  <c r="Z49" i="5" a="1"/>
  <c r="Z49" i="5" s="1"/>
  <c r="W1312" i="25"/>
  <c r="AJ1312" i="25" s="1"/>
  <c r="Z41" i="5" a="1"/>
  <c r="Z41" i="5" s="1"/>
  <c r="W1304" i="25"/>
  <c r="AJ1304" i="25" s="1"/>
  <c r="Z33" i="5" a="1"/>
  <c r="Z33" i="5" s="1"/>
  <c r="W1287" i="25"/>
  <c r="AJ1287" i="25" s="1"/>
  <c r="Z16" i="5" a="1"/>
  <c r="Z16" i="5" s="1"/>
  <c r="W1380" i="25"/>
  <c r="AJ1380" i="25" s="1"/>
  <c r="Z109" i="5" a="1"/>
  <c r="Z109" i="5" s="1"/>
  <c r="W1343" i="25"/>
  <c r="AJ1343" i="25" s="1"/>
  <c r="Z72" i="5" a="1"/>
  <c r="Z72" i="5" s="1"/>
  <c r="W1319" i="25"/>
  <c r="AJ1319" i="25" s="1"/>
  <c r="Z48" i="5" a="1"/>
  <c r="Z48" i="5" s="1"/>
  <c r="W1295" i="25"/>
  <c r="AJ1295" i="25" s="1"/>
  <c r="Z24" i="5" a="1"/>
  <c r="Z24" i="5" s="1"/>
  <c r="W1379" i="25"/>
  <c r="AJ1379" i="25" s="1"/>
  <c r="Z108" i="5" a="1"/>
  <c r="Z108" i="5" s="1"/>
  <c r="W1350" i="25"/>
  <c r="AJ1350" i="25" s="1"/>
  <c r="Z79" i="5" a="1"/>
  <c r="Z79" i="5" s="1"/>
  <c r="W1285" i="25"/>
  <c r="AJ1285" i="25" s="1"/>
  <c r="Z14" i="5" a="1"/>
  <c r="Z14" i="5" s="1"/>
  <c r="W1365" i="25"/>
  <c r="AJ1365" i="25" s="1"/>
  <c r="Z94" i="5" a="1"/>
  <c r="Z94" i="5" s="1"/>
  <c r="W1333" i="25"/>
  <c r="AJ1333" i="25" s="1"/>
  <c r="Z62" i="5" a="1"/>
  <c r="Z62" i="5" s="1"/>
  <c r="W1317" i="25"/>
  <c r="AJ1317" i="25" s="1"/>
  <c r="Z46" i="5" a="1"/>
  <c r="Z46" i="5" s="1"/>
  <c r="W1293" i="25"/>
  <c r="AJ1293" i="25" s="1"/>
  <c r="Z22" i="5" a="1"/>
  <c r="Z22" i="5" s="1"/>
  <c r="W1385" i="25"/>
  <c r="AJ1385" i="25" s="1"/>
  <c r="Z114" i="5" a="1"/>
  <c r="Z114" i="5" s="1"/>
  <c r="W1364" i="25"/>
  <c r="AJ1364" i="25" s="1"/>
  <c r="Z93" i="5" a="1"/>
  <c r="Z93" i="5" s="1"/>
  <c r="W1348" i="25"/>
  <c r="AJ1348" i="25" s="1"/>
  <c r="Z77" i="5" a="1"/>
  <c r="Z77" i="5" s="1"/>
  <c r="W1340" i="25"/>
  <c r="AJ1340" i="25" s="1"/>
  <c r="Z69" i="5" a="1"/>
  <c r="Z69" i="5" s="1"/>
  <c r="W1332" i="25"/>
  <c r="AJ1332" i="25" s="1"/>
  <c r="Z61" i="5" a="1"/>
  <c r="Z61" i="5" s="1"/>
  <c r="W1324" i="25"/>
  <c r="AJ1324" i="25" s="1"/>
  <c r="Z53" i="5" a="1"/>
  <c r="Z53" i="5" s="1"/>
  <c r="W1316" i="25"/>
  <c r="AJ1316" i="25" s="1"/>
  <c r="Z45" i="5" a="1"/>
  <c r="Z45" i="5" s="1"/>
  <c r="W1308" i="25"/>
  <c r="AJ1308" i="25" s="1"/>
  <c r="Z37" i="5" a="1"/>
  <c r="Z37" i="5" s="1"/>
  <c r="W1300" i="25"/>
  <c r="AJ1300" i="25" s="1"/>
  <c r="Z29" i="5" a="1"/>
  <c r="Z29" i="5" s="1"/>
  <c r="W1291" i="25"/>
  <c r="AJ1291" i="25" s="1"/>
  <c r="Z20" i="5" a="1"/>
  <c r="Z20" i="5" s="1"/>
  <c r="W1283" i="25"/>
  <c r="AJ1283" i="25" s="1"/>
  <c r="Z12" i="5" a="1"/>
  <c r="Z12" i="5" s="1"/>
  <c r="W1388" i="25"/>
  <c r="AJ1388" i="25" s="1"/>
  <c r="Z117" i="5" a="1"/>
  <c r="Z117" i="5" s="1"/>
  <c r="W1366" i="25"/>
  <c r="AJ1366" i="25" s="1"/>
  <c r="Z95" i="5" a="1"/>
  <c r="Z95" i="5" s="1"/>
  <c r="W1302" i="25"/>
  <c r="AJ1302" i="25" s="1"/>
  <c r="Z31" i="5" a="1"/>
  <c r="Z31" i="5" s="1"/>
  <c r="W1386" i="25"/>
  <c r="AJ1386" i="25" s="1"/>
  <c r="Z115" i="5" a="1"/>
  <c r="Z115" i="5" s="1"/>
  <c r="W1357" i="25"/>
  <c r="AJ1357" i="25" s="1"/>
  <c r="Z86" i="5" a="1"/>
  <c r="Z86" i="5" s="1"/>
  <c r="W1325" i="25"/>
  <c r="AJ1325" i="25" s="1"/>
  <c r="Z54" i="5" a="1"/>
  <c r="Z54" i="5" s="1"/>
  <c r="W1309" i="25"/>
  <c r="AJ1309" i="25" s="1"/>
  <c r="Z38" i="5" a="1"/>
  <c r="Z38" i="5" s="1"/>
  <c r="W1301" i="25"/>
  <c r="AJ1301" i="25" s="1"/>
  <c r="Z30" i="5" a="1"/>
  <c r="Z30" i="5" s="1"/>
  <c r="W1284" i="25"/>
  <c r="AJ1284" i="25" s="1"/>
  <c r="Z13" i="5" a="1"/>
  <c r="Z13" i="5" s="1"/>
  <c r="W1356" i="25"/>
  <c r="AJ1356" i="25" s="1"/>
  <c r="Z85" i="5" a="1"/>
  <c r="Z85" i="5" s="1"/>
  <c r="W1384" i="25"/>
  <c r="AJ1384" i="25" s="1"/>
  <c r="Z113" i="5" a="1"/>
  <c r="Z113" i="5" s="1"/>
  <c r="W1376" i="25"/>
  <c r="AJ1376" i="25" s="1"/>
  <c r="Z105" i="5" a="1"/>
  <c r="Z105" i="5" s="1"/>
  <c r="W1363" i="25"/>
  <c r="AJ1363" i="25" s="1"/>
  <c r="Z92" i="5" a="1"/>
  <c r="Z92" i="5" s="1"/>
  <c r="W1355" i="25"/>
  <c r="AJ1355" i="25" s="1"/>
  <c r="Z84" i="5" a="1"/>
  <c r="Z84" i="5" s="1"/>
  <c r="W1347" i="25"/>
  <c r="AJ1347" i="25" s="1"/>
  <c r="Z76" i="5" a="1"/>
  <c r="Z76" i="5" s="1"/>
  <c r="W1339" i="25"/>
  <c r="AJ1339" i="25" s="1"/>
  <c r="Z68" i="5" a="1"/>
  <c r="Z68" i="5" s="1"/>
  <c r="W1331" i="25"/>
  <c r="AJ1331" i="25" s="1"/>
  <c r="Z60" i="5" a="1"/>
  <c r="Z60" i="5" s="1"/>
  <c r="W1323" i="25"/>
  <c r="AJ1323" i="25" s="1"/>
  <c r="Z52" i="5" a="1"/>
  <c r="Z52" i="5" s="1"/>
  <c r="W1315" i="25"/>
  <c r="AJ1315" i="25" s="1"/>
  <c r="Z44" i="5" a="1"/>
  <c r="Z44" i="5" s="1"/>
  <c r="W1307" i="25"/>
  <c r="AJ1307" i="25" s="1"/>
  <c r="Z36" i="5" a="1"/>
  <c r="Z36" i="5" s="1"/>
  <c r="W1299" i="25"/>
  <c r="AJ1299" i="25" s="1"/>
  <c r="Z28" i="5" a="1"/>
  <c r="Z28" i="5" s="1"/>
  <c r="W1290" i="25"/>
  <c r="AJ1290" i="25" s="1"/>
  <c r="Z19" i="5" a="1"/>
  <c r="Z19" i="5" s="1"/>
  <c r="X65" i="19" a="1"/>
  <c r="X65" i="19" s="1"/>
  <c r="X64" i="19" s="1"/>
  <c r="W1377" i="25"/>
  <c r="AJ1377" i="25" s="1"/>
  <c r="Z106" i="5" a="1"/>
  <c r="Z106" i="5" s="1"/>
  <c r="W1334" i="25"/>
  <c r="AJ1334" i="25" s="1"/>
  <c r="Z63" i="5" a="1"/>
  <c r="Z63" i="5" s="1"/>
  <c r="W1296" i="25"/>
  <c r="AJ1296" i="25" s="1"/>
  <c r="Z25" i="5" a="1"/>
  <c r="Z25" i="5" s="1"/>
  <c r="W1282" i="25"/>
  <c r="AJ1282" i="25" s="1"/>
  <c r="Z11" i="5" a="1"/>
  <c r="Z11" i="5" s="1"/>
  <c r="D4" i="26"/>
  <c r="E4" i="26" s="1"/>
  <c r="AJ1252" i="25"/>
  <c r="G29" i="18"/>
  <c r="G30" i="18" s="1"/>
  <c r="G9" i="18" s="1"/>
  <c r="AE1252" i="25"/>
  <c r="H29" i="18"/>
  <c r="H30" i="18" s="1"/>
  <c r="H9" i="18" s="1"/>
  <c r="AF1252" i="25"/>
  <c r="I21" i="18"/>
  <c r="I9" i="18" s="1"/>
  <c r="X37" i="19" l="1"/>
  <c r="H36" i="19" s="1"/>
  <c r="D12" i="26" s="1"/>
  <c r="E12" i="26" s="1"/>
  <c r="H63" i="19"/>
  <c r="D14" i="26" s="1"/>
  <c r="E14" i="26" s="1"/>
  <c r="E33" i="26"/>
  <c r="E27" i="26"/>
  <c r="AJ1280" i="25"/>
  <c r="E29" i="26"/>
  <c r="Z7" i="5"/>
  <c r="L6" i="5" s="1"/>
  <c r="D16" i="26" s="1"/>
  <c r="E16" i="26" s="1"/>
  <c r="H6" i="28"/>
  <c r="F5" i="28" s="1"/>
  <c r="O24" i="17"/>
  <c r="V24" i="17"/>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<sst xmlns="http://schemas.openxmlformats.org/spreadsheetml/2006/main" count="13548" uniqueCount="1394">
  <si>
    <t>Version 13</t>
  </si>
  <si>
    <t>Introduction and Organisation Data</t>
  </si>
  <si>
    <r>
      <t xml:space="preserve">This spreadsheet is the required format for Welsh public sector organisations reporting their carbon emissions for the </t>
    </r>
    <r>
      <rPr>
        <b/>
        <sz val="11"/>
        <color rgb="FF636363"/>
        <rFont val="Calibri"/>
        <family val="2"/>
        <scheme val="minor"/>
      </rPr>
      <t>2024 - 2025 reporting period</t>
    </r>
    <r>
      <rPr>
        <sz val="11"/>
        <color rgb="FF636363"/>
        <rFont val="Calibri"/>
        <family val="2"/>
        <scheme val="minor"/>
      </rPr>
      <t xml:space="preserve">.
It is based on the Welsh Public Sector Net Zero Carbon Reporting Guide.  
The following updates have been applied to this version of the template:	
• Emission factors have been updated where appropriate
• Building level data, including building category, building type and floor area, can be submitted
• Number of vehicles can be submitted for fleet data
• Renewable tables have been split out and availability can be collected. </t>
    </r>
  </si>
  <si>
    <r>
      <rPr>
        <sz val="11"/>
        <color rgb="FF636363"/>
        <rFont val="Calibri"/>
        <family val="2"/>
        <scheme val="minor"/>
      </rPr>
      <t>Please send the completed form to</t>
    </r>
    <r>
      <rPr>
        <b/>
        <sz val="11"/>
        <color rgb="FF636363"/>
        <rFont val="Calibri"/>
        <family val="2"/>
        <scheme val="minor"/>
      </rPr>
      <t xml:space="preserve"> </t>
    </r>
    <r>
      <rPr>
        <b/>
        <sz val="11"/>
        <color theme="4"/>
        <rFont val="Calibri"/>
        <family val="2"/>
        <scheme val="minor"/>
      </rPr>
      <t>netzeroreporting@energyservice.wales</t>
    </r>
    <r>
      <rPr>
        <b/>
        <sz val="11"/>
        <color rgb="FF636363"/>
        <rFont val="Calibri"/>
        <family val="2"/>
        <scheme val="minor"/>
      </rPr>
      <t xml:space="preserve"> </t>
    </r>
    <r>
      <rPr>
        <sz val="11"/>
        <color rgb="FF636363"/>
        <rFont val="Calibri"/>
        <family val="2"/>
        <scheme val="minor"/>
      </rPr>
      <t>by</t>
    </r>
    <r>
      <rPr>
        <b/>
        <sz val="11"/>
        <color rgb="FFFF0000"/>
        <rFont val="Calibri"/>
        <family val="2"/>
        <scheme val="minor"/>
      </rPr>
      <t xml:space="preserve"> </t>
    </r>
    <r>
      <rPr>
        <b/>
        <u/>
        <sz val="11"/>
        <rFont val="Calibri"/>
        <family val="2"/>
        <scheme val="minor"/>
      </rPr>
      <t>1st September 2025</t>
    </r>
  </si>
  <si>
    <t>Organisational information</t>
  </si>
  <si>
    <t>Organisation type</t>
  </si>
  <si>
    <t>Cell colour codes</t>
  </si>
  <si>
    <t>Organisation name</t>
  </si>
  <si>
    <t>Financial year period for reporting</t>
  </si>
  <si>
    <t>Information cell or question</t>
  </si>
  <si>
    <t>Date of report submission</t>
  </si>
  <si>
    <t>Information entry. Some cells have drop down lists</t>
  </si>
  <si>
    <t>Person responsible for this report</t>
  </si>
  <si>
    <t>Activity data. Numeric data entry</t>
  </si>
  <si>
    <t>Email address of person responsible for this report</t>
  </si>
  <si>
    <t>Calculated data</t>
  </si>
  <si>
    <t>Total financial budget /spend/ turnover £</t>
  </si>
  <si>
    <t>Summary data</t>
  </si>
  <si>
    <t>Number of Full Time Equivalent employees</t>
  </si>
  <si>
    <t>Not used</t>
  </si>
  <si>
    <t>Building internal floor area equivalent to the energy data reported (sq m)</t>
  </si>
  <si>
    <t xml:space="preserve">Region of Wales </t>
  </si>
  <si>
    <t>Boundary information</t>
  </si>
  <si>
    <t>Buildings in scope</t>
  </si>
  <si>
    <t>Do you own buildings that you occupy?</t>
  </si>
  <si>
    <t>Do you lease buildings that you occupy?</t>
  </si>
  <si>
    <t>Do you lease out buildings that you own to organisations to deliver public services on your behalf?</t>
  </si>
  <si>
    <t>Do you lease out buildings that you own to other public bodies?</t>
  </si>
  <si>
    <t>Do you lease out buildings that you own to private organisations for their own purposes?</t>
  </si>
  <si>
    <t>Streetlighting in scope</t>
  </si>
  <si>
    <t>Do you own and operate streetlighting or signage</t>
  </si>
  <si>
    <t>Fleet and equipment in scope</t>
  </si>
  <si>
    <t>Do you own or lease fleet and equipment?</t>
  </si>
  <si>
    <t>Agriculture in scope</t>
  </si>
  <si>
    <t>Do you have farms with livestock (not leased out)?</t>
  </si>
  <si>
    <t>F-gases in scope</t>
  </si>
  <si>
    <t>Do you have air conditioning or refrigeration systems that require refrigerant gas top-ups, or do you use anaesthetic gases?</t>
  </si>
  <si>
    <t>Business travel in scope</t>
  </si>
  <si>
    <t>Do staff travel for work using their own cars or other transport modes (not fleet vehicles)</t>
  </si>
  <si>
    <t>Commuting in scope</t>
  </si>
  <si>
    <t>Do staff commute to offices or other sites?</t>
  </si>
  <si>
    <t>Homeworking in scope</t>
  </si>
  <si>
    <t>Do any staff work from home?</t>
  </si>
  <si>
    <t>Supply chain in scope</t>
  </si>
  <si>
    <t>Do you purchase goods and services?</t>
  </si>
  <si>
    <t>Land use in scope</t>
  </si>
  <si>
    <t>Do you own and manage land for providing public services, with a total of more than 10 hectares?</t>
  </si>
  <si>
    <t>Waste in scope</t>
  </si>
  <si>
    <t>Does your organisation produce waste from operations that is collected from your premises by a third party organisation?</t>
  </si>
  <si>
    <t>Does your organisation produce waste from operations and also operate the collection service of this waste?</t>
  </si>
  <si>
    <t>Do you run waste collection services that collect and dispose of municipal waste?</t>
  </si>
  <si>
    <t>Do you contract out a waste collection service that collect and dispose of municipal waste?</t>
  </si>
  <si>
    <t>Reporting comments</t>
  </si>
  <si>
    <t>Please provide comments on scope and completeness of your report and any significant changes in methods compared to last year.
This comment will be included in your individual organisation report output once data have been reviewed and compared across all organisations. If you wish for some of the comment to be excluded from that report please make that clear.</t>
  </si>
  <si>
    <t>Peer review (optional)</t>
  </si>
  <si>
    <t>Peer review</t>
  </si>
  <si>
    <t>Peer organisation that has reviewed the data and calculations</t>
  </si>
  <si>
    <t>Date of last review</t>
  </si>
  <si>
    <t>Name of reviewer</t>
  </si>
  <si>
    <t>Brief comments of the review outcomes</t>
  </si>
  <si>
    <t>Version</t>
  </si>
  <si>
    <t>Data created</t>
  </si>
  <si>
    <t>Updated by</t>
  </si>
  <si>
    <t>Changes</t>
  </si>
  <si>
    <t>V3</t>
  </si>
  <si>
    <t>HecW</t>
  </si>
  <si>
    <t>All changes requested for new reporting round, this is version published online</t>
  </si>
  <si>
    <t>V4</t>
  </si>
  <si>
    <t>HVO added as a fuel option for buildings from Hayley Warren's (TfW) request to net zero inbox</t>
  </si>
  <si>
    <t>V5</t>
  </si>
  <si>
    <t>HVO, ME and other biofuel related fuels have had their WTT and OOS emissions factors updated as per Hayley's(TfW) email see net zero inbox</t>
  </si>
  <si>
    <t>V6</t>
  </si>
  <si>
    <t>Site name column for buildings unlocked for editting (see NRW email). Car size info added to Business trvael tab as per Rachel Gradiner's email through Dale. Ben Turpin's email from Flintshire, updated unit lookup in agriculture table, made clearer where double counting can occur in supply chain table, added info for hiding/showing tables in the stationary assets tab.</t>
  </si>
  <si>
    <t>V7</t>
  </si>
  <si>
    <t>Supply chain combined tier 1 and tier 2 was adding tier 2 spend instead of tier 2 emissions after the first 2/3 of the calc, now fixed</t>
  </si>
  <si>
    <t>V8</t>
  </si>
  <si>
    <t>Unlocked site name for gas in the building tab. Updated the high and low calcs in supply chain table 2, as it had the same issue as that idenitified in v7 update. See Ben Turpins email.</t>
  </si>
  <si>
    <t>V9</t>
  </si>
  <si>
    <t>Added more lines for tier 2 suppliers in supply chain tab as per Central NHS request; CJCs added in as organsation options too</t>
  </si>
  <si>
    <t>V10</t>
  </si>
  <si>
    <t>Added Penthrox to medical gases</t>
  </si>
  <si>
    <t>V11</t>
  </si>
  <si>
    <t>CarO</t>
  </si>
  <si>
    <t>Unlocked columns M and N on the land use and agriculture tabs</t>
  </si>
  <si>
    <t>V12</t>
  </si>
  <si>
    <t>Made it clearer that C51 needs to be filled in on municipal data tab otherwise the table will show with errors</t>
  </si>
  <si>
    <t>V13</t>
  </si>
  <si>
    <t>MadL</t>
  </si>
  <si>
    <t>Summary of results</t>
  </si>
  <si>
    <t xml:space="preserve">You do not need to input any information into this sheet. Please note, 'Outside of scopes' emissions are not included in 'Total' emissions or 'High' and 'Low' estimates. </t>
  </si>
  <si>
    <r>
      <t>Units of kgCO</t>
    </r>
    <r>
      <rPr>
        <b/>
        <vertAlign val="subscript"/>
        <sz val="10"/>
        <color rgb="FFFFFFFF"/>
        <rFont val="Calibri"/>
        <family val="2"/>
        <scheme val="minor"/>
      </rPr>
      <t>2</t>
    </r>
    <r>
      <rPr>
        <b/>
        <sz val="10"/>
        <color rgb="FFFFFFFF"/>
        <rFont val="Calibri"/>
        <family val="2"/>
        <scheme val="minor"/>
      </rPr>
      <t>e</t>
    </r>
  </si>
  <si>
    <t>Total emissions</t>
  </si>
  <si>
    <t>Direct</t>
  </si>
  <si>
    <t>Indirect</t>
  </si>
  <si>
    <t>Total</t>
  </si>
  <si>
    <t>Estimated range</t>
  </si>
  <si>
    <t>Outside of scopes</t>
  </si>
  <si>
    <t>Scope 1</t>
  </si>
  <si>
    <t>Scope 2</t>
  </si>
  <si>
    <t>Scope 3</t>
  </si>
  <si>
    <t>High</t>
  </si>
  <si>
    <t>Low</t>
  </si>
  <si>
    <t>Buildings &amp; stationary assets</t>
  </si>
  <si>
    <t>Categories</t>
  </si>
  <si>
    <t>F gases</t>
  </si>
  <si>
    <t>Medical gases</t>
  </si>
  <si>
    <t>Buildings &amp; stationary assets total</t>
  </si>
  <si>
    <t>Transport</t>
  </si>
  <si>
    <t>Fleet and equipment</t>
  </si>
  <si>
    <t>Business travel</t>
  </si>
  <si>
    <t>Commuting</t>
  </si>
  <si>
    <t>Homeworking</t>
  </si>
  <si>
    <t>Transport total</t>
  </si>
  <si>
    <t>Waste</t>
  </si>
  <si>
    <t>Organisational waste</t>
  </si>
  <si>
    <t>Municipal waste</t>
  </si>
  <si>
    <t>Project waste</t>
  </si>
  <si>
    <t>Supply chain - Tier 1 and Tier 2 combined</t>
  </si>
  <si>
    <t>Agriculture, forestry and fishing</t>
  </si>
  <si>
    <t>Mining and quarrying</t>
  </si>
  <si>
    <t>Manufacturing</t>
  </si>
  <si>
    <t>Electricity, gas, steam and air conditioning supply</t>
  </si>
  <si>
    <t>Water supply; sewerage, waste management and remediation activities</t>
  </si>
  <si>
    <t>Construction</t>
  </si>
  <si>
    <t>Wholesale and retail trade; repair of motor vehicles and motorcycles</t>
  </si>
  <si>
    <t>Transportation and storage</t>
  </si>
  <si>
    <t>Accommodation and food service activities</t>
  </si>
  <si>
    <t>Information and communication</t>
  </si>
  <si>
    <t>Financial and insurance activities</t>
  </si>
  <si>
    <t>Real estate activities</t>
  </si>
  <si>
    <t>Professional, scientific and technical activities</t>
  </si>
  <si>
    <t>Administrative and support service activities</t>
  </si>
  <si>
    <t>Public administration and defence; compulsory social security</t>
  </si>
  <si>
    <t>Education</t>
  </si>
  <si>
    <t>Human health and social work activities</t>
  </si>
  <si>
    <t>Arts, entertainment and recreation</t>
  </si>
  <si>
    <t>Other service activities</t>
  </si>
  <si>
    <t>Activities of households as employers; undifferentiated goods- and services-producing activities of households for own use</t>
  </si>
  <si>
    <t>Land based and agriculture</t>
  </si>
  <si>
    <t>Land based emissions</t>
  </si>
  <si>
    <t>Land based removals</t>
  </si>
  <si>
    <t>Agriculture</t>
  </si>
  <si>
    <t>Total land based and agriculture</t>
  </si>
  <si>
    <t>Renewables</t>
  </si>
  <si>
    <t>Units of kWh</t>
  </si>
  <si>
    <t>Total generated</t>
  </si>
  <si>
    <t>Total exported</t>
  </si>
  <si>
    <t>Onsite renewables - electricity</t>
  </si>
  <si>
    <t>Offsite renewables - electricity</t>
  </si>
  <si>
    <t>Onsite renewables - heat</t>
  </si>
  <si>
    <t>Offsite renewables - heat</t>
  </si>
  <si>
    <t>Onsite renewables - CHP</t>
  </si>
  <si>
    <t>Offsite renewables - CHP</t>
  </si>
  <si>
    <t>Purchased renewables - heat</t>
  </si>
  <si>
    <t>Purchased renewables - electricity</t>
  </si>
  <si>
    <t>Cell colour codes:</t>
  </si>
  <si>
    <t>Building Information</t>
  </si>
  <si>
    <r>
      <rPr>
        <b/>
        <sz val="12"/>
        <color theme="1" tint="0.499984740745262"/>
        <rFont val="Calibri"/>
        <family val="2"/>
        <scheme val="minor"/>
      </rPr>
      <t>Guidance for users</t>
    </r>
    <r>
      <rPr>
        <sz val="11"/>
        <color theme="1" tint="0.499984740745262"/>
        <rFont val="Calibri"/>
        <family val="2"/>
        <scheme val="minor"/>
      </rPr>
      <t xml:space="preserve">
This sheet contains one table - Site Information (buildings and standalone renewable energy assets). 
</t>
    </r>
    <r>
      <rPr>
        <b/>
        <sz val="11"/>
        <color theme="1" tint="0.499984740745262"/>
        <rFont val="Calibri"/>
        <family val="2"/>
        <scheme val="minor"/>
      </rPr>
      <t xml:space="preserve">Please see </t>
    </r>
    <r>
      <rPr>
        <b/>
        <sz val="11"/>
        <color theme="1"/>
        <rFont val="Calibri"/>
        <family val="2"/>
        <scheme val="minor"/>
      </rPr>
      <t>Section 7</t>
    </r>
    <r>
      <rPr>
        <b/>
        <sz val="11"/>
        <color theme="1" tint="0.499984740745262"/>
        <rFont val="Calibri"/>
        <family val="2"/>
        <scheme val="minor"/>
      </rPr>
      <t xml:space="preserve"> of the Welsh Net Zero Public Sector Reporting Guide for further guidance.</t>
    </r>
    <r>
      <rPr>
        <sz val="11"/>
        <color theme="1" tint="0.499984740745262"/>
        <rFont val="Calibri"/>
        <family val="2"/>
        <scheme val="minor"/>
      </rPr>
      <t xml:space="preserve">
</t>
    </r>
  </si>
  <si>
    <r>
      <rPr>
        <b/>
        <sz val="12"/>
        <color rgb="FF808080"/>
        <rFont val="Calibri"/>
        <family val="2"/>
      </rPr>
      <t xml:space="preserve">Instructions for users
</t>
    </r>
    <r>
      <rPr>
        <sz val="11"/>
        <color rgb="FF808080"/>
        <rFont val="Calibri"/>
        <family val="2"/>
      </rPr>
      <t>• Input information into the orange and blue cells. 
• For a building, please fill in all five columns. 
• For a standalone renewable energy asset, please fill in the</t>
    </r>
    <r>
      <rPr>
        <b/>
        <sz val="11"/>
        <color rgb="FF808080"/>
        <rFont val="Calibri"/>
        <family val="2"/>
      </rPr>
      <t xml:space="preserve"> first two columns only </t>
    </r>
    <r>
      <rPr>
        <sz val="11"/>
        <color rgb="FF808080"/>
        <rFont val="Calibri"/>
        <family val="2"/>
      </rPr>
      <t xml:space="preserve">(site name and site type). 
• Activity data entered in the 'Floor area (m2)' column should only be in m2. If your data is not in m2, you must convert it before entering it into this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t>
    </r>
  </si>
  <si>
    <t>Site Information (buildings and standalone renewable energy assets)</t>
  </si>
  <si>
    <t>Missing Data Test</t>
  </si>
  <si>
    <t>Blank Test</t>
  </si>
  <si>
    <t>Site name</t>
  </si>
  <si>
    <t>Site type</t>
  </si>
  <si>
    <t>Building Category</t>
  </si>
  <si>
    <t>Building type</t>
  </si>
  <si>
    <t>Occupied floor area (m2)</t>
  </si>
  <si>
    <t>TEST</t>
  </si>
  <si>
    <t>Buildings we own and occupy</t>
  </si>
  <si>
    <t>Entertainment</t>
  </si>
  <si>
    <t>Cottage</t>
  </si>
  <si>
    <t>Buildings - Grid Electricity</t>
  </si>
  <si>
    <r>
      <rPr>
        <b/>
        <sz val="12"/>
        <color theme="1" tint="0.499984740745262"/>
        <rFont val="Calibri"/>
        <family val="2"/>
        <scheme val="minor"/>
      </rPr>
      <t>Guidance for users</t>
    </r>
    <r>
      <rPr>
        <sz val="11"/>
        <color theme="1" tint="0.499984740745262"/>
        <rFont val="Calibri"/>
        <family val="2"/>
        <scheme val="minor"/>
      </rPr>
      <t xml:space="preserve">
This sheet contains two tables - Buildings - Grid Electricity and Streetlighting.
</t>
    </r>
    <r>
      <rPr>
        <b/>
        <sz val="11"/>
        <color theme="1" tint="0.499984740745262"/>
        <rFont val="Calibri"/>
        <family val="2"/>
        <scheme val="minor"/>
      </rPr>
      <t>Please see Section 7 of the Welsh Net Zero Public Sector Reporting Guide for further guidance.</t>
    </r>
    <r>
      <rPr>
        <sz val="11"/>
        <color theme="1" tint="0.499984740745262"/>
        <rFont val="Calibri"/>
        <family val="2"/>
        <scheme val="minor"/>
      </rPr>
      <t xml:space="preserve">
</t>
    </r>
  </si>
  <si>
    <r>
      <rPr>
        <b/>
        <sz val="12"/>
        <color theme="1" tint="0.499984740745262"/>
        <rFont val="Calibri"/>
        <family val="2"/>
        <scheme val="minor"/>
      </rPr>
      <t>Instructions for users</t>
    </r>
    <r>
      <rPr>
        <sz val="11"/>
        <color theme="1" tint="0.499984740745262"/>
        <rFont val="Calibri"/>
        <family val="2"/>
        <scheme val="minor"/>
      </rPr>
      <t xml:space="preserve">
• Use the [+] symbols to the left of column A to show/hide the data tables for entry.
• Input information into the orange and blue cells. Grey cells should not be edited.
• Activity data entered in the 'data' column should only be in units specified in the 'units' column drop down list. If your data is in units that are not included in this drop down list, you will need to convert it before entering it into this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 for each row.
• Please note that the 'Outside of scopes' emissions are not included in the 'Total emissions'.
</t>
    </r>
  </si>
  <si>
    <r>
      <t>Emission data breakdown (kg CO</t>
    </r>
    <r>
      <rPr>
        <b/>
        <vertAlign val="subscript"/>
        <sz val="12"/>
        <color rgb="FF636363"/>
        <rFont val="Calibri"/>
        <family val="2"/>
        <scheme val="minor"/>
      </rPr>
      <t>2</t>
    </r>
    <r>
      <rPr>
        <b/>
        <sz val="12"/>
        <color rgb="FF636363"/>
        <rFont val="Calibri"/>
        <family val="2"/>
        <scheme val="minor"/>
      </rPr>
      <t>e)</t>
    </r>
  </si>
  <si>
    <t>Error Test</t>
  </si>
  <si>
    <t>Unique Reference Number (e.g. MPAN)</t>
  </si>
  <si>
    <t>Ownership structure</t>
  </si>
  <si>
    <t>Fuel/emission source</t>
  </si>
  <si>
    <t>Category 1</t>
  </si>
  <si>
    <t>Methodology</t>
  </si>
  <si>
    <t>RSD</t>
  </si>
  <si>
    <t>Data</t>
  </si>
  <si>
    <t>Units</t>
  </si>
  <si>
    <t>Converted data</t>
  </si>
  <si>
    <t>Standard units</t>
  </si>
  <si>
    <r>
      <t>Total EF (kgCO</t>
    </r>
    <r>
      <rPr>
        <b/>
        <vertAlign val="subscript"/>
        <sz val="11"/>
        <color rgb="FFFFFFFF"/>
        <rFont val="Calibri"/>
        <family val="2"/>
        <scheme val="minor"/>
      </rPr>
      <t>2</t>
    </r>
    <r>
      <rPr>
        <b/>
        <sz val="11"/>
        <color rgb="FFFFFFFF"/>
        <rFont val="Calibri"/>
        <family val="2"/>
        <scheme val="minor"/>
      </rPr>
      <t>e/unit)</t>
    </r>
  </si>
  <si>
    <r>
      <t>Total emissions (kgCO</t>
    </r>
    <r>
      <rPr>
        <b/>
        <vertAlign val="subscript"/>
        <sz val="11"/>
        <color rgb="FFFFFFFF"/>
        <rFont val="Calibri"/>
        <family val="2"/>
        <scheme val="minor"/>
      </rPr>
      <t>2</t>
    </r>
    <r>
      <rPr>
        <b/>
        <sz val="11"/>
        <color rgb="FFFFFFFF"/>
        <rFont val="Calibri"/>
        <family val="2"/>
        <scheme val="minor"/>
      </rPr>
      <t>e)</t>
    </r>
  </si>
  <si>
    <t>Notes</t>
  </si>
  <si>
    <t>Ease of collection</t>
  </si>
  <si>
    <t>Indirect generation</t>
  </si>
  <si>
    <t>Indirect service</t>
  </si>
  <si>
    <t>Indirect T&amp;D</t>
  </si>
  <si>
    <t>Indirect WTT</t>
  </si>
  <si>
    <t>&lt;&lt; Show/Hide</t>
  </si>
  <si>
    <t>Streetlighting</t>
  </si>
  <si>
    <t>Blank</t>
  </si>
  <si>
    <t>Type of lighting</t>
  </si>
  <si>
    <t>Buildings - Heat &amp; Fuels</t>
  </si>
  <si>
    <r>
      <rPr>
        <b/>
        <sz val="12"/>
        <color theme="1" tint="0.499984740745262"/>
        <rFont val="Calibri"/>
        <family val="2"/>
        <scheme val="minor"/>
      </rPr>
      <t>Guidance for users</t>
    </r>
    <r>
      <rPr>
        <sz val="11"/>
        <color theme="1" tint="0.499984740745262"/>
        <rFont val="Calibri"/>
        <family val="2"/>
        <scheme val="minor"/>
      </rPr>
      <t xml:space="preserve">
This sheet contains two tables - Buildings - Heat &amp; Fuels and Other Gases.
</t>
    </r>
    <r>
      <rPr>
        <b/>
        <sz val="11"/>
        <color theme="1" tint="0.499984740745262"/>
        <rFont val="Calibri"/>
        <family val="2"/>
        <scheme val="minor"/>
      </rPr>
      <t>Please see Section 7 of the Welsh Net Zero Public Sector Reporting Guide for further guidance.</t>
    </r>
    <r>
      <rPr>
        <sz val="11"/>
        <color theme="1" tint="0.499984740745262"/>
        <rFont val="Calibri"/>
        <family val="2"/>
        <scheme val="minor"/>
      </rPr>
      <t xml:space="preserve">
</t>
    </r>
  </si>
  <si>
    <t xml:space="preserve">Unique Reference (e.g. MPRN) </t>
  </si>
  <si>
    <t>Other gases - F gases</t>
  </si>
  <si>
    <t>Type</t>
  </si>
  <si>
    <t>Gas</t>
  </si>
  <si>
    <t>F gas</t>
  </si>
  <si>
    <t>HFC-32</t>
  </si>
  <si>
    <t>Tier 3</t>
  </si>
  <si>
    <t>kg</t>
  </si>
  <si>
    <t>Buildings - Water</t>
  </si>
  <si>
    <r>
      <rPr>
        <b/>
        <sz val="12"/>
        <color theme="1" tint="0.499984740745262"/>
        <rFont val="Calibri"/>
        <family val="2"/>
        <scheme val="minor"/>
      </rPr>
      <t>Guidance for users</t>
    </r>
    <r>
      <rPr>
        <sz val="11"/>
        <color theme="1" tint="0.499984740745262"/>
        <rFont val="Calibri"/>
        <family val="2"/>
        <scheme val="minor"/>
      </rPr>
      <t xml:space="preserve">
This sheet contains one table - Buildings - Water.
</t>
    </r>
    <r>
      <rPr>
        <b/>
        <sz val="11"/>
        <color theme="1" tint="0.499984740745262"/>
        <rFont val="Calibri"/>
        <family val="2"/>
        <scheme val="minor"/>
      </rPr>
      <t>Please see Section 7 of the Welsh Net Zero Public Sector Reporting Guide for further guidance.</t>
    </r>
    <r>
      <rPr>
        <sz val="11"/>
        <color theme="1" tint="0.499984740745262"/>
        <rFont val="Calibri"/>
        <family val="2"/>
        <scheme val="minor"/>
      </rPr>
      <t xml:space="preserve">
</t>
    </r>
  </si>
  <si>
    <t>Unique Reference Number</t>
  </si>
  <si>
    <t>Medical gases (NHS only)</t>
  </si>
  <si>
    <r>
      <rPr>
        <b/>
        <sz val="12"/>
        <color theme="1" tint="0.499984740745262"/>
        <rFont val="Calibri"/>
        <family val="2"/>
        <scheme val="minor"/>
      </rPr>
      <t>Guidance for users</t>
    </r>
    <r>
      <rPr>
        <sz val="11"/>
        <color theme="1" tint="0.499984740745262"/>
        <rFont val="Calibri"/>
        <family val="2"/>
        <scheme val="minor"/>
      </rPr>
      <t xml:space="preserve">
This sheet contains one table - medical gases.
</t>
    </r>
    <r>
      <rPr>
        <b/>
        <sz val="11"/>
        <color theme="1" tint="0.499984740745262"/>
        <rFont val="Calibri"/>
        <family val="2"/>
        <scheme val="minor"/>
      </rPr>
      <t>Please see Section 7 of the Welsh Net Zero Public Sector Reporting Guide for further guidance.</t>
    </r>
    <r>
      <rPr>
        <sz val="11"/>
        <color theme="1" tint="0.499984740745262"/>
        <rFont val="Calibri"/>
        <family val="2"/>
        <scheme val="minor"/>
      </rPr>
      <t xml:space="preserve">
</t>
    </r>
  </si>
  <si>
    <r>
      <rPr>
        <b/>
        <sz val="12"/>
        <color theme="1" tint="0.499984740745262"/>
        <rFont val="Calibri"/>
        <family val="2"/>
        <scheme val="minor"/>
      </rPr>
      <t>Instructions for users</t>
    </r>
    <r>
      <rPr>
        <sz val="11"/>
        <color theme="1" tint="0.499984740745262"/>
        <rFont val="Calibri"/>
        <family val="2"/>
        <scheme val="minor"/>
      </rPr>
      <t xml:space="preserve">
• Input information into the orange and blue cells. Grey cells should not be edited.
• Activity data entered in the 'data' column should only be in units specified in the 'units' column drop down list. If your data is in units that are not included in this drop down list, you will need to convert it before entering it into this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 for each row.
• Please note that the 'Outside of scopes' emissions are not included in the 'Total emissions'.
</t>
    </r>
  </si>
  <si>
    <t>Medical gas</t>
  </si>
  <si>
    <t>Fleet &amp; Equipment</t>
  </si>
  <si>
    <r>
      <rPr>
        <b/>
        <sz val="12"/>
        <color theme="1" tint="0.499984740745262"/>
        <rFont val="Calibri"/>
        <family val="2"/>
        <scheme val="minor"/>
      </rPr>
      <t>Guidance for users</t>
    </r>
    <r>
      <rPr>
        <sz val="11"/>
        <color theme="1" tint="0.499984740745262"/>
        <rFont val="Calibri"/>
        <family val="2"/>
        <scheme val="minor"/>
      </rPr>
      <t xml:space="preserve">
This sheet contains two tables -  fleet and equipment (fuel) and fleet (distance).
</t>
    </r>
    <r>
      <rPr>
        <b/>
        <sz val="11"/>
        <color theme="1" tint="0.499984740745262"/>
        <rFont val="Calibri"/>
        <family val="2"/>
        <scheme val="minor"/>
      </rPr>
      <t>Please see Section 7 of the Welsh Net Zero Public Sector Reporting Guide for further guidance.</t>
    </r>
    <r>
      <rPr>
        <sz val="11"/>
        <color theme="1" tint="0.499984740745262"/>
        <rFont val="Calibri"/>
        <family val="2"/>
        <scheme val="minor"/>
      </rPr>
      <t xml:space="preserve">
</t>
    </r>
  </si>
  <si>
    <r>
      <rPr>
        <b/>
        <sz val="12"/>
        <color theme="1" tint="0.499984740745262"/>
        <rFont val="Calibri"/>
        <family val="2"/>
        <scheme val="minor"/>
      </rPr>
      <t>Instructions for users</t>
    </r>
    <r>
      <rPr>
        <sz val="11"/>
        <color theme="1" tint="0.499984740745262"/>
        <rFont val="Calibri"/>
        <family val="2"/>
        <scheme val="minor"/>
      </rPr>
      <t xml:space="preserve">
• Input information into the orange and blue cells. Grey cells should not be edited.
• Activity data entered in the 'data' column should only be in units specified in the 'units' column drop down list. If your data is in units that are not included in this drop down list, you will need to convert it before entering it into this sheet (see conversion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 for each row.
• Please note that the 'Outside of scopes' emissions are not included in the 'Total emissions'.
• Update: You can now enter how many fleet vehicles make up your organisation's fuel usage and fleet distance. Gathering data on fleet vehicle numbers will help the wider WGES with fleet decarbonisation projects. 
</t>
    </r>
  </si>
  <si>
    <t>Fleet and equipment - fuel</t>
  </si>
  <si>
    <t>Fuel</t>
  </si>
  <si>
    <t>Number of vehicles</t>
  </si>
  <si>
    <t>Fleet - distance</t>
  </si>
  <si>
    <t>Size</t>
  </si>
  <si>
    <t>Business travel, commuting and homeworking</t>
  </si>
  <si>
    <r>
      <rPr>
        <b/>
        <sz val="11"/>
        <color rgb="FF636363"/>
        <rFont val="Calibri"/>
        <family val="2"/>
        <scheme val="minor"/>
      </rPr>
      <t>Guidance for users</t>
    </r>
    <r>
      <rPr>
        <sz val="11"/>
        <color rgb="FF636363"/>
        <rFont val="Calibri"/>
        <family val="2"/>
        <scheme val="minor"/>
      </rPr>
      <t xml:space="preserve">
This sheet contains three tables - business travel, commuting and homeworking.
</t>
    </r>
    <r>
      <rPr>
        <b/>
        <sz val="11"/>
        <color rgb="FF636363"/>
        <rFont val="Calibri"/>
        <family val="2"/>
        <scheme val="minor"/>
      </rPr>
      <t>Please see Section 8 of the Welsh Net Zero Public Sector Reporting Guide for further guidance.</t>
    </r>
  </si>
  <si>
    <r>
      <rPr>
        <b/>
        <sz val="11"/>
        <color theme="1" tint="0.499984740745262"/>
        <rFont val="Calibri"/>
        <family val="2"/>
        <scheme val="minor"/>
      </rPr>
      <t>Instructions for users</t>
    </r>
    <r>
      <rPr>
        <sz val="11"/>
        <color theme="1" tint="0.499984740745262"/>
        <rFont val="Calibri"/>
        <family val="2"/>
        <scheme val="minor"/>
      </rPr>
      <t xml:space="preserve">
• Input information into the orange and blue cells. Grey cells should not be edited.
• Activity data entered in the 'data' column should only be in units specified in the 'units' column drop down list. If your data is in units that are not included in this drop down list, you will need to convert it before entering it into this sheet (see conversion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 for each row.
• Please note that the 'Outside of scopes' emissions are not included in the 'Total emissions'.</t>
    </r>
  </si>
  <si>
    <t xml:space="preserve">
</t>
  </si>
  <si>
    <t>Emission data breakdown (kg CO2e)</t>
  </si>
  <si>
    <t>Emission source</t>
  </si>
  <si>
    <t>Category 2</t>
  </si>
  <si>
    <t>Methodology used</t>
  </si>
  <si>
    <t>Total EF (kgCO2e/unit)</t>
  </si>
  <si>
    <t>Number of FTE</t>
  </si>
  <si>
    <t>% working hours at home</t>
  </si>
  <si>
    <t>Organisational, municipal and project waste</t>
  </si>
  <si>
    <r>
      <rPr>
        <b/>
        <sz val="11"/>
        <color rgb="FF636363"/>
        <rFont val="Calibri"/>
        <family val="2"/>
        <scheme val="minor"/>
      </rPr>
      <t>Guidance for users</t>
    </r>
    <r>
      <rPr>
        <sz val="11"/>
        <color rgb="FF636363"/>
        <rFont val="Calibri"/>
        <family val="2"/>
        <scheme val="minor"/>
      </rPr>
      <t xml:space="preserve">
This tab has three tables for entering waste data - every effort has been made to include relevant waste types. If the waste type is not available, choose the closest match and write in the notes what waste type it is. 
The first table is for organisational waste - this is waste produced by your organisation in day to day operations. You can choose from a range of waste types and disposal routes (some disposal routes are not applicable for certain waste types and therefore these option combinations are not available in the drop down lists). 
The second table is for municipal waste collections and is only relevant to Local Authorities who provide this service. There is a question at the start of this table about operation of waste vehicles and recording of fuel used. This question has to be answered. Your answer will determine whether the emission factors applied in this table include the waste transport emissions (they may be already included elsewhere).
The third table is for construction project waste, where this is collected separately. You do not need to complete this table if it is not relevant to your organisation. 
Please note: if your organisation has reported organisational waste based on tonnage, you should remove expenditure on waste collection services in your supply chain data to avoid double-counting. 
</t>
    </r>
    <r>
      <rPr>
        <b/>
        <sz val="11"/>
        <color rgb="FF636363"/>
        <rFont val="Calibri"/>
        <family val="2"/>
        <scheme val="minor"/>
      </rPr>
      <t xml:space="preserve">Please see Section 9 of the Welsh Net Zero Public Sector Reporting Guide for further guidance.
</t>
    </r>
  </si>
  <si>
    <r>
      <rPr>
        <b/>
        <sz val="11"/>
        <color theme="1" tint="0.34998626667073579"/>
        <rFont val="Calibri"/>
        <family val="2"/>
        <scheme val="minor"/>
      </rPr>
      <t>Instructions for users</t>
    </r>
    <r>
      <rPr>
        <sz val="11"/>
        <color theme="1" tint="0.34998626667073579"/>
        <rFont val="Calibri"/>
        <family val="2"/>
        <scheme val="minor"/>
      </rPr>
      <t xml:space="preserve">
•  Input information into the orange and blue cells. Grey cells should not be edited.
•  Activity data entered in the 'data' column should only be in units specified in the 'units' column drop down list. If your data is in units that are not included in this drop down list, you will need to convert it before entering it into this sheet (see conversion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
• Please note that 'Outside of scopes' emissions are not included in the 'Total emissions'.</t>
    </r>
  </si>
  <si>
    <t>Waste type</t>
  </si>
  <si>
    <t>Disposal</t>
  </si>
  <si>
    <t>Organic mixed</t>
  </si>
  <si>
    <t>Landfill</t>
  </si>
  <si>
    <t>tonnes</t>
  </si>
  <si>
    <t>Does your organisation collect this waste and include the vehicle fuel in the fleet section?</t>
  </si>
  <si>
    <t>Y</t>
  </si>
  <si>
    <t>&lt;&lt; Fill this first</t>
  </si>
  <si>
    <t>Indirect emissions from the supply chain</t>
  </si>
  <si>
    <r>
      <rPr>
        <b/>
        <sz val="11"/>
        <color rgb="FF636363"/>
        <rFont val="Calibri"/>
        <family val="2"/>
        <scheme val="minor"/>
      </rPr>
      <t xml:space="preserve">Guidance for users
</t>
    </r>
    <r>
      <rPr>
        <sz val="11"/>
        <color rgb="FF636363"/>
        <rFont val="Calibri"/>
        <family val="2"/>
        <scheme val="minor"/>
      </rPr>
      <t>This sheet contains two tables: Tier 1 supply chain spend based estimates and Tier 2 supply chain more accurate estimates</t>
    </r>
    <r>
      <rPr>
        <b/>
        <sz val="11"/>
        <color rgb="FF636363"/>
        <rFont val="Calibri"/>
        <family val="2"/>
        <scheme val="minor"/>
      </rPr>
      <t xml:space="preserve"> based on reported carbon.</t>
    </r>
    <r>
      <rPr>
        <sz val="11"/>
        <color rgb="FF636363"/>
        <rFont val="Calibri"/>
        <family val="2"/>
        <scheme val="minor"/>
      </rPr>
      <t xml:space="preserve">
</t>
    </r>
    <r>
      <rPr>
        <b/>
        <sz val="11"/>
        <color rgb="FF636363"/>
        <rFont val="Calibri"/>
        <family val="2"/>
        <scheme val="minor"/>
      </rPr>
      <t>Please see Section 11 of the Welsh Net Zero Public Sector Reporting Guide for further guidance.</t>
    </r>
  </si>
  <si>
    <r>
      <rPr>
        <sz val="11"/>
        <color rgb="FF636363"/>
        <rFont val="Calibri"/>
        <family val="2"/>
        <scheme val="minor"/>
      </rPr>
      <t xml:space="preserve">The Tier 1 table is based on the Defra source 'Conversion factors KgCO2 per £ spent, by SIC code 2021', rounded to 3 d.p.
</t>
    </r>
    <r>
      <rPr>
        <u/>
        <sz val="11"/>
        <color rgb="FF636363"/>
        <rFont val="Calibri"/>
        <family val="2"/>
        <scheme val="minor"/>
      </rPr>
      <t xml:space="preserve">www.gov.uk/government/statistics/uks-carbon-footprint  
</t>
    </r>
    <r>
      <rPr>
        <sz val="11"/>
        <color rgb="FF636363"/>
        <rFont val="Calibri"/>
        <family val="2"/>
        <scheme val="minor"/>
      </rPr>
      <t xml:space="preserve">This table only covers indirect emissions from the supply chain and is an estimate of the indirect GHG emissions resulting from expenditure on procuring goods and services. The emission factors were calculated by the University of Leeds as an update to the dataset used previously which were factors for 2011. 
This table also includes a number of activities that are likely to be covered in your operational emissions, such as fuel use and transmission and distribution, travel and water. If you have captured that activity in the Operational emissions tab, you should remove the related expenditure from this table as otherwise you will be double counting your emissions. However, the information in this table may still be useful for a rough initial calculation of the relative importance of these activities in the first instance.
</t>
    </r>
  </si>
  <si>
    <r>
      <rPr>
        <b/>
        <sz val="11"/>
        <color rgb="FF636363"/>
        <rFont val="Calibri"/>
        <family val="2"/>
        <scheme val="minor"/>
      </rPr>
      <t xml:space="preserve">Instructions for users: </t>
    </r>
    <r>
      <rPr>
        <sz val="11"/>
        <color rgb="FF636363"/>
        <rFont val="Calibri"/>
        <family val="2"/>
        <scheme val="minor"/>
      </rPr>
      <t xml:space="preserve">
• Input information into the orange and blue cells. Grey cells should not be edited. Fill in the notes column describing the data source used and any data exclusions. 
• Identify the amount spent on different product and service groups (in actual prices in £s, including VAT).
• Categroies that are likely to be accounted for elsewhere in this data collection form have been highlighted with an orange box.
• In Tier 1, the amount of spend is automatically multiplied by the conversion factor to get total emissions in kilograms of carbon dioxide equivalent (kg CO</t>
    </r>
    <r>
      <rPr>
        <vertAlign val="subscript"/>
        <sz val="11"/>
        <color rgb="FF636363"/>
        <rFont val="Calibri"/>
        <family val="2"/>
        <scheme val="minor"/>
      </rPr>
      <t>2</t>
    </r>
    <r>
      <rPr>
        <sz val="11"/>
        <color rgb="FF636363"/>
        <rFont val="Calibri"/>
        <family val="2"/>
        <scheme val="minor"/>
      </rPr>
      <t xml:space="preserve">e).  
• If you wish to use a higher tier (Tier 2) method for part of your supply chain emissions, you can record these in the second table below. Please include notes about your method and the amount of spend that these emissions account for. Please </t>
    </r>
    <r>
      <rPr>
        <b/>
        <sz val="11"/>
        <color rgb="FF636363"/>
        <rFont val="Calibri"/>
        <family val="2"/>
        <scheme val="minor"/>
      </rPr>
      <t>DO NOT</t>
    </r>
    <r>
      <rPr>
        <sz val="11"/>
        <color rgb="FF636363"/>
        <rFont val="Calibri"/>
        <family val="2"/>
        <scheme val="minor"/>
      </rPr>
      <t xml:space="preserve"> subtract this spend from the data reported in the Tier 1 table (i.e any emissions reported in the Tier 2 table should also be included in the total spend for that category in the Tier 1 table). Any emissions calculated by Tier 2 methods are included in column J of the Tier 1 table to provide an overall total without double counting. </t>
    </r>
  </si>
  <si>
    <t>Supply chain - tier 1 methodology</t>
  </si>
  <si>
    <t>Tier test</t>
  </si>
  <si>
    <t>Supply chain group</t>
  </si>
  <si>
    <t>SIC code (SIC 2007)</t>
  </si>
  <si>
    <t>Product category</t>
  </si>
  <si>
    <t>Amount spent by product category (£)</t>
  </si>
  <si>
    <t>Converted Data (£)</t>
  </si>
  <si>
    <t>Standard Units</t>
  </si>
  <si>
    <r>
      <t>Emission factor (kgCO</t>
    </r>
    <r>
      <rPr>
        <b/>
        <vertAlign val="subscript"/>
        <sz val="10"/>
        <color theme="0"/>
        <rFont val="Calibri"/>
        <family val="2"/>
        <scheme val="minor"/>
      </rPr>
      <t>2</t>
    </r>
    <r>
      <rPr>
        <b/>
        <sz val="10"/>
        <color theme="0"/>
        <rFont val="Calibri"/>
        <family val="2"/>
        <scheme val="minor"/>
      </rPr>
      <t>e per £ spent)</t>
    </r>
  </si>
  <si>
    <r>
      <t>Total kg CO</t>
    </r>
    <r>
      <rPr>
        <b/>
        <vertAlign val="subscript"/>
        <sz val="10"/>
        <color theme="0"/>
        <rFont val="Arial"/>
        <family val="2"/>
      </rPr>
      <t>2</t>
    </r>
    <r>
      <rPr>
        <b/>
        <sz val="10"/>
        <color theme="0"/>
        <rFont val="Arial"/>
        <family val="2"/>
      </rPr>
      <t>e</t>
    </r>
  </si>
  <si>
    <t>Notes on data source and exclusions</t>
  </si>
  <si>
    <t>01</t>
  </si>
  <si>
    <t xml:space="preserve">Products of agriculture, hunting and related services         </t>
  </si>
  <si>
    <t>Tier 1</t>
  </si>
  <si>
    <t>£</t>
  </si>
  <si>
    <t>02</t>
  </si>
  <si>
    <t xml:space="preserve">Products of forestry, logging and related services         </t>
  </si>
  <si>
    <t>03</t>
  </si>
  <si>
    <t xml:space="preserve">Fish and other fishing products; aquaculture products; support services to fishing     </t>
  </si>
  <si>
    <t>05</t>
  </si>
  <si>
    <t xml:space="preserve">Coal and lignite             </t>
  </si>
  <si>
    <t>06</t>
  </si>
  <si>
    <t xml:space="preserve">Crude petroleum and natural gas           </t>
  </si>
  <si>
    <t>08</t>
  </si>
  <si>
    <t xml:space="preserve">Other mining and quarrying products           </t>
  </si>
  <si>
    <t>09</t>
  </si>
  <si>
    <t xml:space="preserve">Mining support services             </t>
  </si>
  <si>
    <t>10.1</t>
  </si>
  <si>
    <t xml:space="preserve">Preserved meat and meat products           </t>
  </si>
  <si>
    <t>10.2 -3</t>
  </si>
  <si>
    <t xml:space="preserve">Processed and preserved fish, crustaceans, molluscs, fruit and vegetables       </t>
  </si>
  <si>
    <t>10.4</t>
  </si>
  <si>
    <t xml:space="preserve">Vegetable and animal oils and fats          </t>
  </si>
  <si>
    <t>10.5</t>
  </si>
  <si>
    <t xml:space="preserve">Dairy products              </t>
  </si>
  <si>
    <t>10.6</t>
  </si>
  <si>
    <t xml:space="preserve">Grain mill products, starches and starch products         </t>
  </si>
  <si>
    <t>10.7</t>
  </si>
  <si>
    <t xml:space="preserve">Bakery and farinaceous products            </t>
  </si>
  <si>
    <t>10.8</t>
  </si>
  <si>
    <t xml:space="preserve">Other food products             </t>
  </si>
  <si>
    <t xml:space="preserve">Prepared animal feeds             </t>
  </si>
  <si>
    <t>11.01-6</t>
  </si>
  <si>
    <t xml:space="preserve">Alcoholic beverages              </t>
  </si>
  <si>
    <t xml:space="preserve">Soft drinks              </t>
  </si>
  <si>
    <t xml:space="preserve">Tobacco products              </t>
  </si>
  <si>
    <t xml:space="preserve">Textiles               </t>
  </si>
  <si>
    <t xml:space="preserve">Wearing apparel              </t>
  </si>
  <si>
    <t xml:space="preserve">Leather and related products            </t>
  </si>
  <si>
    <t>Wood and of products of wood and cork, except furniture; articles of straw and plaiting materials</t>
  </si>
  <si>
    <t xml:space="preserve">Paper and paper products            </t>
  </si>
  <si>
    <t xml:space="preserve">Printing and recording services            </t>
  </si>
  <si>
    <t xml:space="preserve">Coke and refined petroleum products           </t>
  </si>
  <si>
    <t xml:space="preserve">Paints, varnishes and similar coatings, printing ink and mastics       </t>
  </si>
  <si>
    <t xml:space="preserve">Soap and detergents, cleaning and polishing preparations, perfumes and toilet preparations     </t>
  </si>
  <si>
    <t xml:space="preserve">Other chemical products             </t>
  </si>
  <si>
    <t>20A</t>
  </si>
  <si>
    <t xml:space="preserve">Industrial gases, inorganics and fertilisers (all inorganic chemicals) - 20.11/13/15      </t>
  </si>
  <si>
    <t>20B</t>
  </si>
  <si>
    <t xml:space="preserve">Petrochemicals - 20.14/16/17/60             </t>
  </si>
  <si>
    <t>20C</t>
  </si>
  <si>
    <t xml:space="preserve">Dyestuffs, agro-chemicals - 20.12/20            </t>
  </si>
  <si>
    <t xml:space="preserve">Basic pharmaceutical products and pharmaceutical preparations          </t>
  </si>
  <si>
    <t xml:space="preserve">Rubber and plastic products            </t>
  </si>
  <si>
    <t>23.5-6</t>
  </si>
  <si>
    <t xml:space="preserve">Cement, lime, plaster and articles of concrete, cement and plaster </t>
  </si>
  <si>
    <t>23OTHER</t>
  </si>
  <si>
    <t xml:space="preserve">Glass, refractory, clay, other porcelain and ceramic, stone and abrasive products - 23.1-4/7-9   </t>
  </si>
  <si>
    <t>24.1-3</t>
  </si>
  <si>
    <t xml:space="preserve">Basic iron and steel            </t>
  </si>
  <si>
    <t>24.4-5</t>
  </si>
  <si>
    <t xml:space="preserve">Other basic metals and casting           </t>
  </si>
  <si>
    <t xml:space="preserve">Weapons and ammunition             </t>
  </si>
  <si>
    <t>25OTHER</t>
  </si>
  <si>
    <t xml:space="preserve">Fabricated metal products, excl. machinery and equipment and weapons &amp; ammunition - 25.1-3/25.5-9   </t>
  </si>
  <si>
    <t xml:space="preserve">Computer, electronic and optical products           </t>
  </si>
  <si>
    <t xml:space="preserve">Electrical equipment              </t>
  </si>
  <si>
    <t xml:space="preserve">Machinery and equipment n.e.c.            </t>
  </si>
  <si>
    <t xml:space="preserve">Motor vehicles, trailers and semi-trailers           </t>
  </si>
  <si>
    <t xml:space="preserve">Ships and boats             </t>
  </si>
  <si>
    <t xml:space="preserve">Air and spacecraft and related machinery          </t>
  </si>
  <si>
    <t>30OTHER</t>
  </si>
  <si>
    <t xml:space="preserve">Other transport equipment - 30.2/4/9           </t>
  </si>
  <si>
    <t xml:space="preserve">Furniture               </t>
  </si>
  <si>
    <t xml:space="preserve">Other manufactured goods             </t>
  </si>
  <si>
    <t xml:space="preserve">Repair and maintenance of ships and boats         </t>
  </si>
  <si>
    <t xml:space="preserve">Repair and maintenance of aircraft and spacecraft         </t>
  </si>
  <si>
    <t>33OTHER</t>
  </si>
  <si>
    <t xml:space="preserve">Rest of repair; Installation - 33.11-14/17/19/20          </t>
  </si>
  <si>
    <t>Electricity, transmission and distribution</t>
  </si>
  <si>
    <t>35.2-3</t>
  </si>
  <si>
    <t xml:space="preserve">Gas; distribution of gaseous fuels through mains; steam and air conditioning supply    </t>
  </si>
  <si>
    <t xml:space="preserve">Natural water; water treatment and supply services         </t>
  </si>
  <si>
    <t xml:space="preserve">Sewerage services; sewage sludge            </t>
  </si>
  <si>
    <t xml:space="preserve">Waste collection, treatment and disposal services; materials recovery services       </t>
  </si>
  <si>
    <t xml:space="preserve">Remediation services and other waste management services         </t>
  </si>
  <si>
    <t xml:space="preserve">Buildings and building construction works           </t>
  </si>
  <si>
    <t>42.1-2</t>
  </si>
  <si>
    <t xml:space="preserve">Constructions and construction works for civil engineering         </t>
  </si>
  <si>
    <t xml:space="preserve">Specialised construction works             </t>
  </si>
  <si>
    <t xml:space="preserve">Wholesale and retail trade and repair services of motor vehicles and motorcycles    </t>
  </si>
  <si>
    <t xml:space="preserve">Wholesale trade services, except of motor vehicles and motorcycles       </t>
  </si>
  <si>
    <t xml:space="preserve">Retail trade services, except of motor vehicles and motorcycles       </t>
  </si>
  <si>
    <t>49.1-2</t>
  </si>
  <si>
    <t xml:space="preserve">Rail transport services             </t>
  </si>
  <si>
    <t>49.3-5</t>
  </si>
  <si>
    <t xml:space="preserve">Land transport services and transport services via pipelines, excluding rail transport     </t>
  </si>
  <si>
    <t xml:space="preserve">Water transport services             </t>
  </si>
  <si>
    <t xml:space="preserve">Air transport services             </t>
  </si>
  <si>
    <t xml:space="preserve">Warehousing and support services for transportation          </t>
  </si>
  <si>
    <t xml:space="preserve">Postal and courier services            </t>
  </si>
  <si>
    <t xml:space="preserve">Accommodation services              </t>
  </si>
  <si>
    <t xml:space="preserve">Food and beverage serving services           </t>
  </si>
  <si>
    <t xml:space="preserve">Publishing services              </t>
  </si>
  <si>
    <t xml:space="preserve">Motion picture, video and TV programme production services, sound recording &amp; music publishing   </t>
  </si>
  <si>
    <t xml:space="preserve">Programming and broadcasting services            </t>
  </si>
  <si>
    <t xml:space="preserve">Telecommunications services              </t>
  </si>
  <si>
    <t xml:space="preserve">Computer programming, consultancy and related services          </t>
  </si>
  <si>
    <t xml:space="preserve">Information services              </t>
  </si>
  <si>
    <t xml:space="preserve">Financial services, except insurance and pension funding         </t>
  </si>
  <si>
    <t>65.1-2</t>
  </si>
  <si>
    <t xml:space="preserve">Insurance and reinsurance services, except compulsory social security      </t>
  </si>
  <si>
    <t xml:space="preserve">Services auxiliary to financial services and insurance services        </t>
  </si>
  <si>
    <t xml:space="preserve">Real estate services, excluding on a fee or contract basis and imputed rent   </t>
  </si>
  <si>
    <t>68.2IMP</t>
  </si>
  <si>
    <t>Owner-Occupiers' Housing Services</t>
  </si>
  <si>
    <t xml:space="preserve">Real estate services on a fee or contract basis       </t>
  </si>
  <si>
    <t xml:space="preserve">Legal services              </t>
  </si>
  <si>
    <t xml:space="preserve">Accounting, bookkeeping and auditing services; tax consulting services        </t>
  </si>
  <si>
    <t xml:space="preserve">Services of head offices; management consulting services         </t>
  </si>
  <si>
    <t xml:space="preserve">Architectural and engineering services; technical testing and analysis services       </t>
  </si>
  <si>
    <t xml:space="preserve">Scientific research and development services           </t>
  </si>
  <si>
    <t xml:space="preserve">Advertising and market research services           </t>
  </si>
  <si>
    <t xml:space="preserve">Other professional, scientific and technical services          </t>
  </si>
  <si>
    <t xml:space="preserve">Veterinary services              </t>
  </si>
  <si>
    <t xml:space="preserve">Rental and leasing services            </t>
  </si>
  <si>
    <t xml:space="preserve">Employment services              </t>
  </si>
  <si>
    <t xml:space="preserve">Travel agency, tour operator and other reservation services and related services     </t>
  </si>
  <si>
    <t xml:space="preserve">Security and investigation services            </t>
  </si>
  <si>
    <t xml:space="preserve">Services to buildings and landscape           </t>
  </si>
  <si>
    <t xml:space="preserve">Office administrative, office support and other business support services       </t>
  </si>
  <si>
    <t xml:space="preserve">Public administration and defence services; compulsory social security services       </t>
  </si>
  <si>
    <t xml:space="preserve">Education services              </t>
  </si>
  <si>
    <t xml:space="preserve">Human health services             </t>
  </si>
  <si>
    <t xml:space="preserve">Residential care services             </t>
  </si>
  <si>
    <t xml:space="preserve">Social work services without accommodation           </t>
  </si>
  <si>
    <t xml:space="preserve">Creative, arts and entertainment services           </t>
  </si>
  <si>
    <t xml:space="preserve">Libraries, archives, museums and other cultural services         </t>
  </si>
  <si>
    <t xml:space="preserve">Gambling and betting services            </t>
  </si>
  <si>
    <t xml:space="preserve">Sports services and amusement and recreation services         </t>
  </si>
  <si>
    <t xml:space="preserve">Services furnished by membership organisations           </t>
  </si>
  <si>
    <t xml:space="preserve">Repair services of computers and personal and household goods       </t>
  </si>
  <si>
    <t xml:space="preserve">Other personal services             </t>
  </si>
  <si>
    <t xml:space="preserve">Services of households as employers of domestic personnel        </t>
  </si>
  <si>
    <r>
      <t xml:space="preserve">If you wish to use a higher tier method for part of your supply chain emissions, you can record the emissions in the table below together with the equivalent spend associated with those emissions. Include brief notes about your method for calculating the emissions, or a reference to further information. 
</t>
    </r>
    <r>
      <rPr>
        <b/>
        <sz val="11"/>
        <color rgb="FF636363"/>
        <rFont val="Calibri"/>
        <family val="2"/>
        <scheme val="minor"/>
      </rPr>
      <t>DO NOT</t>
    </r>
    <r>
      <rPr>
        <sz val="11"/>
        <color rgb="FF636363"/>
        <rFont val="Calibri"/>
        <family val="2"/>
        <scheme val="minor"/>
      </rPr>
      <t xml:space="preserve"> subtract this spend from the data reported in the Tier 1 table (i.e any emissions reported in the table </t>
    </r>
    <r>
      <rPr>
        <b/>
        <sz val="11"/>
        <color rgb="FF636363"/>
        <rFont val="Calibri"/>
        <family val="2"/>
        <scheme val="minor"/>
      </rPr>
      <t>below</t>
    </r>
    <r>
      <rPr>
        <sz val="11"/>
        <color rgb="FF636363"/>
        <rFont val="Calibri"/>
        <family val="2"/>
        <scheme val="minor"/>
      </rPr>
      <t xml:space="preserve"> should also be included in the total spend for that category in the table </t>
    </r>
    <r>
      <rPr>
        <b/>
        <sz val="11"/>
        <color rgb="FF636363"/>
        <rFont val="Calibri"/>
        <family val="2"/>
        <scheme val="minor"/>
      </rPr>
      <t>above</t>
    </r>
    <r>
      <rPr>
        <sz val="11"/>
        <color rgb="FF636363"/>
        <rFont val="Calibri"/>
        <family val="2"/>
        <scheme val="minor"/>
      </rPr>
      <t>. Duplicated emissions will be reconciled when compiling the data. The 'Supply chain group' and 'SIC code' columns will automatically fill once a category has been selected in the 'Product category' column.</t>
    </r>
  </si>
  <si>
    <t>Supply chain - tier 2 methodology</t>
  </si>
  <si>
    <t>Spend for which Tier 2 method accounts</t>
  </si>
  <si>
    <t>Unit</t>
  </si>
  <si>
    <t>Calculated emissions (kgCO2e) for this spend</t>
  </si>
  <si>
    <t>Notes on data source and methods</t>
  </si>
  <si>
    <t>Tier 2</t>
  </si>
  <si>
    <t>Land-based emissions, sequestration and agriculture</t>
  </si>
  <si>
    <r>
      <rPr>
        <b/>
        <sz val="11"/>
        <color rgb="FF636363"/>
        <rFont val="Calibri"/>
        <family val="2"/>
        <scheme val="minor"/>
      </rPr>
      <t>Guidance for users</t>
    </r>
    <r>
      <rPr>
        <sz val="11"/>
        <color rgb="FF636363"/>
        <rFont val="Calibri"/>
        <family val="2"/>
        <scheme val="minor"/>
      </rPr>
      <t xml:space="preserve">
This sheet contains three tables - Land emissions (tier 1), land emissions (tier 2) and agriculture
The organisational boundary should be defined as assets and operations under your organisation’s operational control. This equates to emissions and sequestration in the vegetation and soils of land managed by your organisation for the delivery of public services, whether owned or leased. 
</t>
    </r>
    <r>
      <rPr>
        <b/>
        <sz val="11"/>
        <color rgb="FF636363"/>
        <rFont val="Calibri"/>
        <family val="2"/>
        <scheme val="minor"/>
      </rPr>
      <t>Please see Sections 7 &amp; 10 of the Welsh Net Zero Public Sector Reporting Guide for further guidance.</t>
    </r>
  </si>
  <si>
    <r>
      <rPr>
        <b/>
        <sz val="11"/>
        <color rgb="FF636363"/>
        <rFont val="Calibri"/>
        <family val="2"/>
        <scheme val="minor"/>
      </rPr>
      <t>Instructions for users:</t>
    </r>
    <r>
      <rPr>
        <sz val="11"/>
        <color rgb="FF636363"/>
        <rFont val="Calibri"/>
        <family val="2"/>
        <scheme val="minor"/>
      </rPr>
      <t xml:space="preserve">
• Input information into the orange and blue cells. Grey cells should not be edited. Please fill in the notes column with a description of the method and data source used.
• Find out the extent of land holdings that are under the operational control of your organisation.
• Complete the scoping table below to determine whether Tier 1 methodology is required.
If so,
• Complete the Tier 1 table below with available information and notes about sources of data
</t>
    </r>
    <r>
      <rPr>
        <b/>
        <sz val="11"/>
        <color rgb="FF636363"/>
        <rFont val="Calibri"/>
        <family val="2"/>
        <scheme val="minor"/>
      </rPr>
      <t>OR</t>
    </r>
    <r>
      <rPr>
        <sz val="11"/>
        <color rgb="FF636363"/>
        <rFont val="Calibri"/>
        <family val="2"/>
        <scheme val="minor"/>
      </rPr>
      <t xml:space="preserve">
If you want to use a Tier 2 method to report your emissions, complete the Tier 2 table below, providing notes about data sources and methods used.</t>
    </r>
  </si>
  <si>
    <t>Land-based scoping questions</t>
  </si>
  <si>
    <t>Land area</t>
  </si>
  <si>
    <t>Land area in hectares (ha)</t>
  </si>
  <si>
    <t>Land owned and managed by your organisation</t>
  </si>
  <si>
    <t>Land owned by your organisation and leased to a private organisation or individual but still used for delivering public services</t>
  </si>
  <si>
    <t>Land owned by your organisation and leased to another public sector body, where your organisation is responsible for management of the asset</t>
  </si>
  <si>
    <t>Land leased by your organisation from a private organisation or individual and used for delivering public services,</t>
  </si>
  <si>
    <t>Land leased from another public sector body, where your organisation is responsible for management of the asset</t>
  </si>
  <si>
    <t>Scoping result</t>
  </si>
  <si>
    <t>Tier 1 methodology for land-based emissions</t>
  </si>
  <si>
    <t>Current land use type</t>
  </si>
  <si>
    <t>Soil type</t>
  </si>
  <si>
    <t>Previous land use type (select the same type as current if &gt;20 years under same use)</t>
  </si>
  <si>
    <t>RSD estimate (+/-%)</t>
  </si>
  <si>
    <r>
      <t>Emission factor (tCO</t>
    </r>
    <r>
      <rPr>
        <b/>
        <vertAlign val="subscript"/>
        <sz val="10"/>
        <color theme="0"/>
        <rFont val="Calibri"/>
        <family val="2"/>
        <scheme val="minor"/>
      </rPr>
      <t>2</t>
    </r>
    <r>
      <rPr>
        <b/>
        <sz val="10"/>
        <color theme="0"/>
        <rFont val="Calibri"/>
        <family val="2"/>
        <scheme val="minor"/>
      </rPr>
      <t>/ha/year)</t>
    </r>
  </si>
  <si>
    <r>
      <t>Total  kg CO</t>
    </r>
    <r>
      <rPr>
        <b/>
        <vertAlign val="subscript"/>
        <sz val="10"/>
        <color theme="0"/>
        <rFont val="Calibri"/>
        <family val="2"/>
        <scheme val="minor"/>
      </rPr>
      <t>2</t>
    </r>
    <r>
      <rPr>
        <b/>
        <sz val="10"/>
        <color theme="0"/>
        <rFont val="Calibri"/>
        <family val="2"/>
        <scheme val="minor"/>
      </rPr>
      <t>e</t>
    </r>
  </si>
  <si>
    <t>Source of data (e.g. estates team digital maps or estimates)</t>
  </si>
  <si>
    <t>ha</t>
  </si>
  <si>
    <t xml:space="preserve">If you wish to use a higher tier method to report your land use emissions, record these in the table below.  </t>
  </si>
  <si>
    <t>Tier 2 methodology for land-based emissions</t>
  </si>
  <si>
    <t>Land use type</t>
  </si>
  <si>
    <t>Methodology used (IPCC equivalent Tier)</t>
  </si>
  <si>
    <r>
      <t>Emission kg CO</t>
    </r>
    <r>
      <rPr>
        <b/>
        <vertAlign val="subscript"/>
        <sz val="10"/>
        <color theme="0"/>
        <rFont val="Calibri"/>
        <family val="2"/>
        <scheme val="minor"/>
      </rPr>
      <t>2</t>
    </r>
    <r>
      <rPr>
        <b/>
        <sz val="10"/>
        <color theme="0"/>
        <rFont val="Calibri"/>
        <family val="2"/>
        <scheme val="minor"/>
      </rPr>
      <t>e</t>
    </r>
  </si>
  <si>
    <t xml:space="preserve">Notes on data sources </t>
  </si>
  <si>
    <t>Agriculture emission source</t>
  </si>
  <si>
    <t>Category  1</t>
  </si>
  <si>
    <r>
      <t>Total EF (kgCO</t>
    </r>
    <r>
      <rPr>
        <b/>
        <vertAlign val="subscript"/>
        <sz val="10"/>
        <color rgb="FFFFFFFF"/>
        <rFont val="Calibri"/>
        <family val="2"/>
        <scheme val="minor"/>
      </rPr>
      <t>2</t>
    </r>
    <r>
      <rPr>
        <b/>
        <sz val="10"/>
        <color rgb="FFFFFFFF"/>
        <rFont val="Calibri"/>
        <family val="2"/>
        <scheme val="minor"/>
      </rPr>
      <t>e/unit)</t>
    </r>
  </si>
  <si>
    <r>
      <t>Total emissions (kgCO</t>
    </r>
    <r>
      <rPr>
        <b/>
        <vertAlign val="subscript"/>
        <sz val="10"/>
        <color rgb="FFFFFFFF"/>
        <rFont val="Calibri"/>
        <family val="2"/>
        <scheme val="minor"/>
      </rPr>
      <t>2</t>
    </r>
    <r>
      <rPr>
        <b/>
        <sz val="10"/>
        <color rgb="FFFFFFFF"/>
        <rFont val="Calibri"/>
        <family val="2"/>
        <scheme val="minor"/>
      </rPr>
      <t>e)</t>
    </r>
  </si>
  <si>
    <r>
      <rPr>
        <b/>
        <sz val="10"/>
        <color rgb="FF636363"/>
        <rFont val="Calibri"/>
        <family val="2"/>
        <scheme val="minor"/>
      </rPr>
      <t>Guidance for users</t>
    </r>
    <r>
      <rPr>
        <sz val="10"/>
        <color rgb="FF636363"/>
        <rFont val="Calibri"/>
        <family val="2"/>
        <scheme val="minor"/>
      </rPr>
      <t xml:space="preserve">
This sheet allows users to provide information about any renewable energy that an organisation generates or purchases. It has two tables, one for renewables generated onsite/offsite by your organisation, and one for any renewable electricity or heat that your organisation purchases. 
If your organisation purchases renewable electricity (e.g. through a green tariff) which is reported in this sheet, the activity data should also be included in the 'Buildings' table in the 'Buildings, fleet &amp;other assets' sheet. This is because the Welsh Public Sector has agreed to use a locational based approach to accounting; all the renewable electricity in the grid is already accounted for in the average grid factor. If individual organisations account for this green electricity as zero carbon and the grid average also includes it as a zero carbon component, the benefit is being double counted. 
</t>
    </r>
    <r>
      <rPr>
        <b/>
        <sz val="10"/>
        <color rgb="FF636363"/>
        <rFont val="Calibri"/>
        <family val="2"/>
        <scheme val="minor"/>
      </rPr>
      <t>Please see Section 12 of the Welsh Net Zero Public Sector Reporting Guide for further guidance.</t>
    </r>
    <r>
      <rPr>
        <sz val="10"/>
        <color rgb="FF636363"/>
        <rFont val="Calibri"/>
        <family val="2"/>
        <scheme val="minor"/>
      </rPr>
      <t xml:space="preserve">
</t>
    </r>
  </si>
  <si>
    <r>
      <rPr>
        <b/>
        <sz val="10"/>
        <color rgb="FF636363"/>
        <rFont val="Calibri"/>
        <family val="2"/>
        <scheme val="minor"/>
      </rPr>
      <t>Instructions for users</t>
    </r>
    <r>
      <rPr>
        <sz val="10"/>
        <color rgb="FF636363"/>
        <rFont val="Calibri"/>
        <family val="2"/>
        <scheme val="minor"/>
      </rPr>
      <t xml:space="preserve">
• Input information into the orange and blue cells. Grey cells should not be edited.
• Activity data should only be in kWh unit.  If your data is in other units, you will need to convert it before entering it into this sheet (see conversion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
• Note that we now ask for Total capacity tobe submitted in kW. Previously we asked for submission in MW.</t>
    </r>
  </si>
  <si>
    <t>Onsite and offsite electricity</t>
  </si>
  <si>
    <t>Error test</t>
  </si>
  <si>
    <t>Blank test</t>
  </si>
  <si>
    <t>Generating site name</t>
  </si>
  <si>
    <t>Location</t>
  </si>
  <si>
    <t>Renewable Type</t>
  </si>
  <si>
    <t>Technology</t>
  </si>
  <si>
    <t>Type of ownership</t>
  </si>
  <si>
    <t>Age (years)</t>
  </si>
  <si>
    <r>
      <t xml:space="preserve">Total </t>
    </r>
    <r>
      <rPr>
        <b/>
        <u/>
        <sz val="11"/>
        <color rgb="FFFFFFFF"/>
        <rFont val="Calibri"/>
        <family val="2"/>
        <scheme val="minor"/>
      </rPr>
      <t>kW</t>
    </r>
    <r>
      <rPr>
        <b/>
        <sz val="11"/>
        <color rgb="FFFFFFFF"/>
        <rFont val="Calibri"/>
        <family val="2"/>
        <scheme val="minor"/>
      </rPr>
      <t xml:space="preserve"> capacity</t>
    </r>
  </si>
  <si>
    <t>Availability</t>
  </si>
  <si>
    <t>Total kWh generated</t>
  </si>
  <si>
    <t>kWh consumed by reporting organisation</t>
  </si>
  <si>
    <t>kWh exported to grid</t>
  </si>
  <si>
    <t>kWh exported to other PSB</t>
  </si>
  <si>
    <t>Name of other Public Sector Body</t>
  </si>
  <si>
    <t>Onsite</t>
  </si>
  <si>
    <t>Renewable electricity</t>
  </si>
  <si>
    <t>Rooftop Solar PV</t>
  </si>
  <si>
    <t>Community</t>
  </si>
  <si>
    <t>Onsite heat</t>
  </si>
  <si>
    <t>Only applicable to heat networks</t>
  </si>
  <si>
    <t>Total MW capacity (thermal)</t>
  </si>
  <si>
    <t>kWh exported to a heat network</t>
  </si>
  <si>
    <t>Offsite heat</t>
  </si>
  <si>
    <t>Offsite</t>
  </si>
  <si>
    <t>Purchased renewables</t>
  </si>
  <si>
    <t>If you purchase renewable electricity that is supplied through the UK grid, you must also include this electricity in the buildings table.</t>
  </si>
  <si>
    <t>Agreement</t>
  </si>
  <si>
    <t>Total kWh purchased</t>
  </si>
  <si>
    <t>Not used2</t>
  </si>
  <si>
    <t>ID</t>
  </si>
  <si>
    <t>Year</t>
  </si>
  <si>
    <t>Orgainsation Type</t>
  </si>
  <si>
    <t>Organisation Name</t>
  </si>
  <si>
    <t>Category</t>
  </si>
  <si>
    <t>Sub-Category</t>
  </si>
  <si>
    <t>Descriptor 1</t>
  </si>
  <si>
    <t>UNR</t>
  </si>
  <si>
    <t>Descriptor 2</t>
  </si>
  <si>
    <t>Building Type</t>
  </si>
  <si>
    <t>Descriptor 3</t>
  </si>
  <si>
    <t>Descriptor 4</t>
  </si>
  <si>
    <t>Missing EF?</t>
  </si>
  <si>
    <t>Missing Emissions?</t>
  </si>
  <si>
    <t>Buildings</t>
  </si>
  <si>
    <t>Buildings - Sites</t>
  </si>
  <si>
    <t>Buildings - Heat and Fuels</t>
  </si>
  <si>
    <t>Refrigerants</t>
  </si>
  <si>
    <t>Fleet</t>
  </si>
  <si>
    <t>Supply chain</t>
  </si>
  <si>
    <t>Organisational</t>
  </si>
  <si>
    <t>Municipal</t>
  </si>
  <si>
    <t>Project</t>
  </si>
  <si>
    <t>Land</t>
  </si>
  <si>
    <t>Total kWh capacity</t>
  </si>
  <si>
    <t>Onsite/offsite electricity</t>
  </si>
  <si>
    <t>General lists</t>
  </si>
  <si>
    <t>Organisational data</t>
  </si>
  <si>
    <t>Land use</t>
  </si>
  <si>
    <t>Buildings, fleet &amp; other assets</t>
  </si>
  <si>
    <t>Business travel, commuting and home working</t>
  </si>
  <si>
    <t>Product Category Lookup</t>
  </si>
  <si>
    <t>RSD lookup by tier</t>
  </si>
  <si>
    <t>Ease</t>
  </si>
  <si>
    <t>Yesno</t>
  </si>
  <si>
    <t>Reporting year</t>
  </si>
  <si>
    <t>Land use types</t>
  </si>
  <si>
    <t>Buildings ownership</t>
  </si>
  <si>
    <t>Organisationalwaste</t>
  </si>
  <si>
    <t>Municipalwaste</t>
  </si>
  <si>
    <t>Projectwaste</t>
  </si>
  <si>
    <t>Wasteunits</t>
  </si>
  <si>
    <t>Businesstravel</t>
  </si>
  <si>
    <t>Onsiteheat</t>
  </si>
  <si>
    <t>Data complete and easy to collect and process</t>
  </si>
  <si>
    <t>College</t>
  </si>
  <si>
    <t>Financial year 2024/25</t>
  </si>
  <si>
    <t>Forest land</t>
  </si>
  <si>
    <t>Mineral</t>
  </si>
  <si>
    <t>Streetlights</t>
  </si>
  <si>
    <t>Pool car</t>
  </si>
  <si>
    <t>Livestock</t>
  </si>
  <si>
    <t>Commercial and industrial waste</t>
  </si>
  <si>
    <t>Household residual waste</t>
  </si>
  <si>
    <t>Aggregates</t>
  </si>
  <si>
    <t>Private car</t>
  </si>
  <si>
    <t>Renewable heat</t>
  </si>
  <si>
    <t>Purchased renewable heat</t>
  </si>
  <si>
    <t>Methodologyall</t>
  </si>
  <si>
    <t>Natural gas</t>
  </si>
  <si>
    <t>Data complete but requires effort to collect and process</t>
  </si>
  <si>
    <t>N</t>
  </si>
  <si>
    <t>Corporate Joint Committee</t>
  </si>
  <si>
    <t>Academic year 2023/24</t>
  </si>
  <si>
    <t>Cropland</t>
  </si>
  <si>
    <t>Organic</t>
  </si>
  <si>
    <t>Buildings we lease in from other organisations</t>
  </si>
  <si>
    <t>Traffic signs</t>
  </si>
  <si>
    <t>Van</t>
  </si>
  <si>
    <t>Farmland soils</t>
  </si>
  <si>
    <t>Average construction</t>
  </si>
  <si>
    <t>Hire car</t>
  </si>
  <si>
    <t>Motorbike</t>
  </si>
  <si>
    <t>Renewable CHP heat</t>
  </si>
  <si>
    <t>Purchased renewable electricity</t>
  </si>
  <si>
    <t>Kerosene</t>
  </si>
  <si>
    <t>Data incomplete but easy to collect and process</t>
  </si>
  <si>
    <t>Fire and Rescue Service</t>
  </si>
  <si>
    <t>Grassland</t>
  </si>
  <si>
    <t>Buildings we lease out to deliver services</t>
  </si>
  <si>
    <t>Other public lighting</t>
  </si>
  <si>
    <t>HGV</t>
  </si>
  <si>
    <t>Organic food and drink</t>
  </si>
  <si>
    <t>Asbestos</t>
  </si>
  <si>
    <t>Public Transport</t>
  </si>
  <si>
    <t>Renewableheattechnology</t>
  </si>
  <si>
    <t>LPG</t>
  </si>
  <si>
    <t>Data incomplete and requires effort to collect and processs</t>
  </si>
  <si>
    <t>Local Authority</t>
  </si>
  <si>
    <t>Wetlands</t>
  </si>
  <si>
    <t>Buildings we lease out to another public body</t>
  </si>
  <si>
    <t>Equipment</t>
  </si>
  <si>
    <t>Organic garden</t>
  </si>
  <si>
    <t>Asphalt</t>
  </si>
  <si>
    <t>Air source heat pump</t>
  </si>
  <si>
    <t>Gas oil</t>
  </si>
  <si>
    <t>Methodologytier1</t>
  </si>
  <si>
    <t>Data unavailable in the timescales</t>
  </si>
  <si>
    <t>National Park Authority</t>
  </si>
  <si>
    <t>Settlements</t>
  </si>
  <si>
    <t>Buildings - all our estate</t>
  </si>
  <si>
    <t>Generator</t>
  </si>
  <si>
    <t>Mixed WEEE</t>
  </si>
  <si>
    <t>Bricks</t>
  </si>
  <si>
    <t>Flight</t>
  </si>
  <si>
    <t>Water source heat pump</t>
  </si>
  <si>
    <t>Purchasedrenewableheatagreement</t>
  </si>
  <si>
    <t>Diesel</t>
  </si>
  <si>
    <t>Availability of data unknown</t>
  </si>
  <si>
    <t>NHS Wales</t>
  </si>
  <si>
    <t>Other land</t>
  </si>
  <si>
    <t>Renewable electricity generation site</t>
  </si>
  <si>
    <t>Mixed plastics</t>
  </si>
  <si>
    <t>Concrete</t>
  </si>
  <si>
    <t>Ground source heat pump</t>
  </si>
  <si>
    <t>Heat purchased from district heat ring</t>
  </si>
  <si>
    <t>Petrol</t>
  </si>
  <si>
    <t>Emission source not relevant to our organisation</t>
  </si>
  <si>
    <t>Other Public Sector Body</t>
  </si>
  <si>
    <t>Mixed glass</t>
  </si>
  <si>
    <t>Insulation</t>
  </si>
  <si>
    <t>Solar thermal</t>
  </si>
  <si>
    <t>Heat purchased from neighbouring site</t>
  </si>
  <si>
    <t>Bioenergy</t>
  </si>
  <si>
    <t>Methodologytier12</t>
  </si>
  <si>
    <t>University</t>
  </si>
  <si>
    <t>Mixed paper</t>
  </si>
  <si>
    <t>Metals</t>
  </si>
  <si>
    <t>Biomass boiler</t>
  </si>
  <si>
    <t>Delivered heat contract</t>
  </si>
  <si>
    <t>Heat and steam</t>
  </si>
  <si>
    <t>Welsh Government</t>
  </si>
  <si>
    <t>Mixed metal cans</t>
  </si>
  <si>
    <t>Soils</t>
  </si>
  <si>
    <t>Privatecarunits</t>
  </si>
  <si>
    <t>Privatecarcategory1</t>
  </si>
  <si>
    <t>Privatecarcategory2 - multiple</t>
  </si>
  <si>
    <t>Vancategory1</t>
  </si>
  <si>
    <t>vanaverage</t>
  </si>
  <si>
    <t>Biogas boiler</t>
  </si>
  <si>
    <t>Coal</t>
  </si>
  <si>
    <t>Livestockunits</t>
  </si>
  <si>
    <t>Mixed recycling</t>
  </si>
  <si>
    <t>Mineral oil</t>
  </si>
  <si>
    <t>Vehicle km</t>
  </si>
  <si>
    <t>Small</t>
  </si>
  <si>
    <t>Average</t>
  </si>
  <si>
    <t>RenewableCHPheattechnology</t>
  </si>
  <si>
    <t>Water</t>
  </si>
  <si>
    <t>Regions</t>
  </si>
  <si>
    <t>Poolcarfuel</t>
  </si>
  <si>
    <t>PoolcarSize</t>
  </si>
  <si>
    <t>Head</t>
  </si>
  <si>
    <t>Batteries</t>
  </si>
  <si>
    <t>Plasterboard</t>
  </si>
  <si>
    <t>Vehicle miles</t>
  </si>
  <si>
    <t>Medium</t>
  </si>
  <si>
    <t>Biomass CHP</t>
  </si>
  <si>
    <t>Biodiesel</t>
  </si>
  <si>
    <t>Methdologytier2</t>
  </si>
  <si>
    <t>North Wales</t>
  </si>
  <si>
    <t>Grid electricity</t>
  </si>
  <si>
    <t>FarmlandSoilsunits</t>
  </si>
  <si>
    <t>Clothing</t>
  </si>
  <si>
    <t>Tyres</t>
  </si>
  <si>
    <t>Large</t>
  </si>
  <si>
    <t>Hybrid</t>
  </si>
  <si>
    <t>Biogas CHP</t>
  </si>
  <si>
    <t>Biopetrol</t>
  </si>
  <si>
    <t>Mid Wales</t>
  </si>
  <si>
    <t>hectares</t>
  </si>
  <si>
    <t>Wood</t>
  </si>
  <si>
    <t>Plug-in Hybrid Electric Vehicle</t>
  </si>
  <si>
    <t>Battery Electric Vehicle</t>
  </si>
  <si>
    <t>Offsiteheat</t>
  </si>
  <si>
    <t>Purchasedrenewableelectricityagreement</t>
  </si>
  <si>
    <t>South East Wales</t>
  </si>
  <si>
    <t>km2</t>
  </si>
  <si>
    <t>Non infectious offensive waste</t>
  </si>
  <si>
    <t>Unknown</t>
  </si>
  <si>
    <t>Private wire</t>
  </si>
  <si>
    <t>Methodologytier23</t>
  </si>
  <si>
    <t>South West Wales</t>
  </si>
  <si>
    <t>Infectious waste</t>
  </si>
  <si>
    <t>Unknown fuel</t>
  </si>
  <si>
    <t>Power purchase agreement</t>
  </si>
  <si>
    <t>All Wales</t>
  </si>
  <si>
    <t>Clinical waste</t>
  </si>
  <si>
    <t xml:space="preserve">Sleeved </t>
  </si>
  <si>
    <t>Dairy cattle</t>
  </si>
  <si>
    <t>Medical contaminated sharps waste</t>
  </si>
  <si>
    <t>Hirecarunits</t>
  </si>
  <si>
    <t>Hirecarcategory1</t>
  </si>
  <si>
    <t>Hirecarcategory2 - multiple</t>
  </si>
  <si>
    <t>Onsiteandoffsiteelectricity</t>
  </si>
  <si>
    <t>Green tarrif</t>
  </si>
  <si>
    <t>TypeOrganisation</t>
  </si>
  <si>
    <t>Organisation</t>
  </si>
  <si>
    <t>Non-dairy cattle</t>
  </si>
  <si>
    <t>Anatomical waste</t>
  </si>
  <si>
    <t>REGO tariff</t>
  </si>
  <si>
    <t>Methodologytier3</t>
  </si>
  <si>
    <t>Bridgend College</t>
  </si>
  <si>
    <t>Pigs</t>
  </si>
  <si>
    <t>Medicinal waste</t>
  </si>
  <si>
    <t>Renewable CHP electricity</t>
  </si>
  <si>
    <t>Cardiff and Vale College</t>
  </si>
  <si>
    <t>CHP plant</t>
  </si>
  <si>
    <t>Vanfuel</t>
  </si>
  <si>
    <t>Vansize</t>
  </si>
  <si>
    <t>Poultry</t>
  </si>
  <si>
    <t>Coleg Cambria</t>
  </si>
  <si>
    <t>Horses</t>
  </si>
  <si>
    <t>Disposal routes</t>
  </si>
  <si>
    <t>Coleg Ceredigion</t>
  </si>
  <si>
    <t>Biomass</t>
  </si>
  <si>
    <t>Sheep and goats</t>
  </si>
  <si>
    <t>Recycling</t>
  </si>
  <si>
    <t>Renewableelectricitytechnology</t>
  </si>
  <si>
    <t>SupplyChain Tier2RSD</t>
  </si>
  <si>
    <t>Coleg Gwent</t>
  </si>
  <si>
    <t>High temperature incineration</t>
  </si>
  <si>
    <t>Wind</t>
  </si>
  <si>
    <t>Coleg Sir Gâr</t>
  </si>
  <si>
    <t>Farmlandsoils</t>
  </si>
  <si>
    <t>Coleg y Cymoedd</t>
  </si>
  <si>
    <t>Arable land</t>
  </si>
  <si>
    <t>Motorbikeunits</t>
  </si>
  <si>
    <t>Motorbikecategory1</t>
  </si>
  <si>
    <t>Motorbikecategory2 - multiple</t>
  </si>
  <si>
    <t>Ground Solar PV</t>
  </si>
  <si>
    <t>Gower College Swansea</t>
  </si>
  <si>
    <t>Improved grassland</t>
  </si>
  <si>
    <t>Solar Canopy</t>
  </si>
  <si>
    <t>Grwp Llandrillo Menai</t>
  </si>
  <si>
    <t>HGVsize</t>
  </si>
  <si>
    <t>Hydro</t>
  </si>
  <si>
    <t>Merthyr Tydfil College</t>
  </si>
  <si>
    <t>Average rigid</t>
  </si>
  <si>
    <t>Farmland Soils</t>
  </si>
  <si>
    <t>NPTC Group</t>
  </si>
  <si>
    <t>Naturalgasunits</t>
  </si>
  <si>
    <t>Naturalgascategory1</t>
  </si>
  <si>
    <t>HGVfuel</t>
  </si>
  <si>
    <t>Average articulated</t>
  </si>
  <si>
    <t>RenewableCHPelectricitytechnology</t>
  </si>
  <si>
    <t>Pembrokeshire College</t>
  </si>
  <si>
    <t>kWh</t>
  </si>
  <si>
    <t>All natural gas</t>
  </si>
  <si>
    <t>Average HGV</t>
  </si>
  <si>
    <t>Combustion</t>
  </si>
  <si>
    <t>St David's Catholic College</t>
  </si>
  <si>
    <t>m3</t>
  </si>
  <si>
    <t>Publictransportunits</t>
  </si>
  <si>
    <t>Publictransportcategory1</t>
  </si>
  <si>
    <t>Publictransporttaxi</t>
  </si>
  <si>
    <t>Publictransportbus</t>
  </si>
  <si>
    <t>Publictransportrail</t>
  </si>
  <si>
    <t>Publictransportferry</t>
  </si>
  <si>
    <t>Mid Wales CJC</t>
  </si>
  <si>
    <t>Allfleetfuel</t>
  </si>
  <si>
    <t>Passenger km</t>
  </si>
  <si>
    <t>Taxi</t>
  </si>
  <si>
    <t>Taxi - Regular</t>
  </si>
  <si>
    <t>Average local bus</t>
  </si>
  <si>
    <t>National rail</t>
  </si>
  <si>
    <t>Ferry - Foot passenger</t>
  </si>
  <si>
    <t>Renewableelectricityownership</t>
  </si>
  <si>
    <t>North Wales CJC</t>
  </si>
  <si>
    <t>LPGunits</t>
  </si>
  <si>
    <t>LPGcategory1</t>
  </si>
  <si>
    <t>Poolcarsizefuel</t>
  </si>
  <si>
    <t>Passenger miles</t>
  </si>
  <si>
    <t>Bus</t>
  </si>
  <si>
    <t>Taxi - Black cab</t>
  </si>
  <si>
    <t>Coach</t>
  </si>
  <si>
    <t>International rail</t>
  </si>
  <si>
    <t>Ferry - Car passenger</t>
  </si>
  <si>
    <t>Public</t>
  </si>
  <si>
    <t>South East Wales CJC</t>
  </si>
  <si>
    <t>All LPG</t>
  </si>
  <si>
    <t>Autoclave treatment and combustion</t>
  </si>
  <si>
    <t>Rail</t>
  </si>
  <si>
    <t>Light rail and tram</t>
  </si>
  <si>
    <t>Shared</t>
  </si>
  <si>
    <t>South Wales CJC</t>
  </si>
  <si>
    <t>litres</t>
  </si>
  <si>
    <t>Ferry</t>
  </si>
  <si>
    <t>London Underground</t>
  </si>
  <si>
    <t>Mid and West Wales Fire and Rescue Service</t>
  </si>
  <si>
    <t>Private (Welsh)</t>
  </si>
  <si>
    <t>North Wales Fire and Rescue Service</t>
  </si>
  <si>
    <t>Private (Non-Welsh)</t>
  </si>
  <si>
    <t>South Wales Fire and Rescue Service</t>
  </si>
  <si>
    <t>Keroseneunits</t>
  </si>
  <si>
    <t>Kerosenecategory1</t>
  </si>
  <si>
    <t>Blaenau Gwent County Borough Council</t>
  </si>
  <si>
    <t>All kerosene</t>
  </si>
  <si>
    <t>Bridgend County Borough Council</t>
  </si>
  <si>
    <t>Caerphilly County Borough Council</t>
  </si>
  <si>
    <t>Equipmentfuel</t>
  </si>
  <si>
    <t>Cardiff Council</t>
  </si>
  <si>
    <t>Gasoilcategory1</t>
  </si>
  <si>
    <t>Vansizefuel</t>
  </si>
  <si>
    <t>Composting</t>
  </si>
  <si>
    <t>Carmarthenshire County Council</t>
  </si>
  <si>
    <t>All gas oil</t>
  </si>
  <si>
    <t>Ceredigion County Council</t>
  </si>
  <si>
    <t>Conwy County Borough Council</t>
  </si>
  <si>
    <t>Flightshorthaul</t>
  </si>
  <si>
    <t>Denbighshire County Council</t>
  </si>
  <si>
    <t>Dieselcategory1</t>
  </si>
  <si>
    <t>Flightunits</t>
  </si>
  <si>
    <t>Flightcategory1</t>
  </si>
  <si>
    <t>Flightdomestic</t>
  </si>
  <si>
    <t>Flightlonghaul</t>
  </si>
  <si>
    <t>Flintshire County Council</t>
  </si>
  <si>
    <t>Average biofuel blend</t>
  </si>
  <si>
    <t>Anaerobic digestion</t>
  </si>
  <si>
    <t>Domestic</t>
  </si>
  <si>
    <t>Gwynedd Council</t>
  </si>
  <si>
    <t>100% mineral diesel</t>
  </si>
  <si>
    <t>Short haul</t>
  </si>
  <si>
    <t>Economy</t>
  </si>
  <si>
    <t>Isle of Anglesey County Council</t>
  </si>
  <si>
    <t>Generatorfuel</t>
  </si>
  <si>
    <t>HGVsizefuel</t>
  </si>
  <si>
    <t>Long haul</t>
  </si>
  <si>
    <t>Business</t>
  </si>
  <si>
    <t>Merthyr Tydfil County Borough Council</t>
  </si>
  <si>
    <t>Petrolcategory1</t>
  </si>
  <si>
    <t>Monmouthshire County Council</t>
  </si>
  <si>
    <t>Waste Soils</t>
  </si>
  <si>
    <t>Neath Port Talbot County Borough Council</t>
  </si>
  <si>
    <t>100% mineral petrol</t>
  </si>
  <si>
    <t>Newport City Council</t>
  </si>
  <si>
    <t>Poolcarunits</t>
  </si>
  <si>
    <t>Pembrokeshire County Council</t>
  </si>
  <si>
    <t>Biodieselunits</t>
  </si>
  <si>
    <t>Gridelectricitycategory1</t>
  </si>
  <si>
    <t>Powys County Council</t>
  </si>
  <si>
    <t>Consumption based</t>
  </si>
  <si>
    <t>Rhondda Cynon Taf County Borough Council</t>
  </si>
  <si>
    <t>Swansea Council</t>
  </si>
  <si>
    <t>Biopetrolunits</t>
  </si>
  <si>
    <t>Heatandsteamcategory1</t>
  </si>
  <si>
    <t>Vanunits</t>
  </si>
  <si>
    <t>Torfaen County Borough Council</t>
  </si>
  <si>
    <t>Vale of Glamorgan Council</t>
  </si>
  <si>
    <t>District</t>
  </si>
  <si>
    <t>Wrexham County Borough Council</t>
  </si>
  <si>
    <t>Grid electricity units</t>
  </si>
  <si>
    <t>Brecon Beacons National Park Authority</t>
  </si>
  <si>
    <t>Bioenergycategory1</t>
  </si>
  <si>
    <t>HGVunits</t>
  </si>
  <si>
    <t>Pembrokeshire Coast National Park Authority</t>
  </si>
  <si>
    <t>Biogas</t>
  </si>
  <si>
    <t>Snowdonia National Park Authority</t>
  </si>
  <si>
    <t>Heat and steam units</t>
  </si>
  <si>
    <t>Wood pellets</t>
  </si>
  <si>
    <t>Aneurin Bevan University Health Board</t>
  </si>
  <si>
    <t>Wood chips</t>
  </si>
  <si>
    <t>Betsi Cadwaladr University Health Board</t>
  </si>
  <si>
    <t>Cardiff and Vale University Health Board</t>
  </si>
  <si>
    <t>Watercategory1</t>
  </si>
  <si>
    <t>Cwm Taf Morgannwg University Health Board</t>
  </si>
  <si>
    <t>Bioenergyunits</t>
  </si>
  <si>
    <t>Mains supply</t>
  </si>
  <si>
    <t>Digital Health and Care Wales</t>
  </si>
  <si>
    <t>Mains treatment</t>
  </si>
  <si>
    <t>Health Education and Improvement Wales</t>
  </si>
  <si>
    <t>Onsite supply</t>
  </si>
  <si>
    <t>Hywel Dda University Health Board</t>
  </si>
  <si>
    <t>Onsite treatment</t>
  </si>
  <si>
    <t>NWSSP</t>
  </si>
  <si>
    <t>Powys Teaching Health Board</t>
  </si>
  <si>
    <t>Waterunits</t>
  </si>
  <si>
    <t>Biopetrolcategory1</t>
  </si>
  <si>
    <t>Public Health Wales NHS Trust</t>
  </si>
  <si>
    <t>100% biopetrol</t>
  </si>
  <si>
    <t>Swansea Bay University Health Board</t>
  </si>
  <si>
    <t>Velindre University NHS Trust</t>
  </si>
  <si>
    <t>Biodieselcategory1</t>
  </si>
  <si>
    <t>Welsh Ambulance Services NHS Trust</t>
  </si>
  <si>
    <t>Coalunits</t>
  </si>
  <si>
    <t>HVO</t>
  </si>
  <si>
    <t>Arts Council for Wales</t>
  </si>
  <si>
    <t>ME</t>
  </si>
  <si>
    <t>Audit Wales</t>
  </si>
  <si>
    <t>Boundary Commission for Wales</t>
  </si>
  <si>
    <t>Coalcategory1</t>
  </si>
  <si>
    <t>Careers Wales</t>
  </si>
  <si>
    <t>Othergases</t>
  </si>
  <si>
    <t>Centre for Digital Public Services</t>
  </si>
  <si>
    <t>Development Bank of Wales</t>
  </si>
  <si>
    <t>Anaesthetic gas</t>
  </si>
  <si>
    <t>Estyn</t>
  </si>
  <si>
    <t>Higher Education Funding Council for Wales</t>
  </si>
  <si>
    <t>F-gas</t>
  </si>
  <si>
    <t>FgasUnits</t>
  </si>
  <si>
    <t>Life Sciences Hub Wales</t>
  </si>
  <si>
    <t>HFC-23</t>
  </si>
  <si>
    <t>National Library of Wales</t>
  </si>
  <si>
    <t>National Museum of Wales</t>
  </si>
  <si>
    <t>HFC-41</t>
  </si>
  <si>
    <t>National Resilience Wales</t>
  </si>
  <si>
    <t>HFC-125</t>
  </si>
  <si>
    <t>Natural Resources Wales</t>
  </si>
  <si>
    <t>HFC-134</t>
  </si>
  <si>
    <t>Nitrous oxide</t>
  </si>
  <si>
    <t>Qualifications Wales</t>
  </si>
  <si>
    <t>HFC-134a</t>
  </si>
  <si>
    <t>Entonox</t>
  </si>
  <si>
    <t>Royal Commission</t>
  </si>
  <si>
    <t>HFC-143</t>
  </si>
  <si>
    <t>Penthrox</t>
  </si>
  <si>
    <t>Social care Wales</t>
  </si>
  <si>
    <t>HFC-143a</t>
  </si>
  <si>
    <t>Isoflurane</t>
  </si>
  <si>
    <t>Sports Council for Wales</t>
  </si>
  <si>
    <t>HFC-152a</t>
  </si>
  <si>
    <t>Sevoflurane</t>
  </si>
  <si>
    <t>Transport for Wales</t>
  </si>
  <si>
    <t>HFC-227ea</t>
  </si>
  <si>
    <t>Desflurane</t>
  </si>
  <si>
    <t>Welsh Revenue Authority</t>
  </si>
  <si>
    <t>HFC-236fa</t>
  </si>
  <si>
    <t>Aberystwyth University</t>
  </si>
  <si>
    <t>HFC-245fa</t>
  </si>
  <si>
    <t>AnaestheticgasUnits</t>
  </si>
  <si>
    <t>Bangor University</t>
  </si>
  <si>
    <t>HFC-43-I0mee</t>
  </si>
  <si>
    <t>Litres</t>
  </si>
  <si>
    <t>Cardiff Metropolitan University</t>
  </si>
  <si>
    <t>Perfluoromethane (PFC-14)</t>
  </si>
  <si>
    <t>Cardiff University</t>
  </si>
  <si>
    <t>Perfluoroethane (PFC-116)</t>
  </si>
  <si>
    <t>Glyndwr Wrexham University</t>
  </si>
  <si>
    <t>Perfluoropropane (PFC-218)</t>
  </si>
  <si>
    <t>Swansea University</t>
  </si>
  <si>
    <t>Perfluorocyclobutane (PFC-318)</t>
  </si>
  <si>
    <t>University of South Wales</t>
  </si>
  <si>
    <t>Perfluorobutane (PFC-3-1-10)</t>
  </si>
  <si>
    <t>University of Wales Trinity Saint David</t>
  </si>
  <si>
    <t>Perfluoropentane (PFC-4-1-12)</t>
  </si>
  <si>
    <t>Perfluorohexane (PFC-5-1-14)</t>
  </si>
  <si>
    <t>PFC-9-1-18</t>
  </si>
  <si>
    <t>Perfluorocyclopropane</t>
  </si>
  <si>
    <t>Sulphur hexafluoride (SF6)</t>
  </si>
  <si>
    <t>HFC-152</t>
  </si>
  <si>
    <t>HFC-161</t>
  </si>
  <si>
    <t>HFC-236cb</t>
  </si>
  <si>
    <t>HFC-236ea</t>
  </si>
  <si>
    <t>HFC-245ca</t>
  </si>
  <si>
    <t>HFC-365mfc</t>
  </si>
  <si>
    <t>Nitrogen trifluoride</t>
  </si>
  <si>
    <t>R401A</t>
  </si>
  <si>
    <t>R401B</t>
  </si>
  <si>
    <t>R401C</t>
  </si>
  <si>
    <t>R402A</t>
  </si>
  <si>
    <t>R402B</t>
  </si>
  <si>
    <t>R403A</t>
  </si>
  <si>
    <t>R403B</t>
  </si>
  <si>
    <t>R404A</t>
  </si>
  <si>
    <t>R405A</t>
  </si>
  <si>
    <t>R406A</t>
  </si>
  <si>
    <t>R407A</t>
  </si>
  <si>
    <t>R407B</t>
  </si>
  <si>
    <t>R407C</t>
  </si>
  <si>
    <t>R407D</t>
  </si>
  <si>
    <t>R407E</t>
  </si>
  <si>
    <t>R407F</t>
  </si>
  <si>
    <t>R408A</t>
  </si>
  <si>
    <t>R409A</t>
  </si>
  <si>
    <t>R409B</t>
  </si>
  <si>
    <t>R410A</t>
  </si>
  <si>
    <t>R410B</t>
  </si>
  <si>
    <t>R411A</t>
  </si>
  <si>
    <t>R411B</t>
  </si>
  <si>
    <t>R412A</t>
  </si>
  <si>
    <t>R413A</t>
  </si>
  <si>
    <t>R414A</t>
  </si>
  <si>
    <t>R414B</t>
  </si>
  <si>
    <t>R415A</t>
  </si>
  <si>
    <t>R415B</t>
  </si>
  <si>
    <t>R416A</t>
  </si>
  <si>
    <t>R417A</t>
  </si>
  <si>
    <t>R417B</t>
  </si>
  <si>
    <t>R417C</t>
  </si>
  <si>
    <t>R418A</t>
  </si>
  <si>
    <t>R419A</t>
  </si>
  <si>
    <t>R419B</t>
  </si>
  <si>
    <t>R420A</t>
  </si>
  <si>
    <t>R421A</t>
  </si>
  <si>
    <t>R421B</t>
  </si>
  <si>
    <t>R422A</t>
  </si>
  <si>
    <t>R422B</t>
  </si>
  <si>
    <t>R422C</t>
  </si>
  <si>
    <t>R422D</t>
  </si>
  <si>
    <t>R422E</t>
  </si>
  <si>
    <t>R423A</t>
  </si>
  <si>
    <t>R424A</t>
  </si>
  <si>
    <t>R425A</t>
  </si>
  <si>
    <t>R426A</t>
  </si>
  <si>
    <t>R427A</t>
  </si>
  <si>
    <t>R428A</t>
  </si>
  <si>
    <t>R429A</t>
  </si>
  <si>
    <t>R430A</t>
  </si>
  <si>
    <t>R431A</t>
  </si>
  <si>
    <t>R432A</t>
  </si>
  <si>
    <t>R433A</t>
  </si>
  <si>
    <t>R433B</t>
  </si>
  <si>
    <t>R433C</t>
  </si>
  <si>
    <t>R434A</t>
  </si>
  <si>
    <t>R435A</t>
  </si>
  <si>
    <t>R436A</t>
  </si>
  <si>
    <t>R436B</t>
  </si>
  <si>
    <t>R437A</t>
  </si>
  <si>
    <t>R438A</t>
  </si>
  <si>
    <t>R439A</t>
  </si>
  <si>
    <t>R440A</t>
  </si>
  <si>
    <t>R441A</t>
  </si>
  <si>
    <t>R442A</t>
  </si>
  <si>
    <t>R443A</t>
  </si>
  <si>
    <t>R444A</t>
  </si>
  <si>
    <t>R445A</t>
  </si>
  <si>
    <t>R500</t>
  </si>
  <si>
    <t>R501</t>
  </si>
  <si>
    <t>R502</t>
  </si>
  <si>
    <t>R503</t>
  </si>
  <si>
    <t>R504</t>
  </si>
  <si>
    <t>R505</t>
  </si>
  <si>
    <t>R506</t>
  </si>
  <si>
    <t>R507A</t>
  </si>
  <si>
    <t>R508A</t>
  </si>
  <si>
    <t>R508B</t>
  </si>
  <si>
    <t>R509A</t>
  </si>
  <si>
    <t>R510A</t>
  </si>
  <si>
    <t>R511A</t>
  </si>
  <si>
    <t>R512A</t>
  </si>
  <si>
    <t>CFC-11/R11 = trichlorofluoromethane</t>
  </si>
  <si>
    <t>CFC-12/R12 = dichlorodifluoromethane</t>
  </si>
  <si>
    <t>CFC-13</t>
  </si>
  <si>
    <t>CFC-113</t>
  </si>
  <si>
    <t>CFC-114</t>
  </si>
  <si>
    <t>CFC-115</t>
  </si>
  <si>
    <t>Halon-1211</t>
  </si>
  <si>
    <t>Halon-1301</t>
  </si>
  <si>
    <t>Halon-2402</t>
  </si>
  <si>
    <t>Carbon tetrachloride</t>
  </si>
  <si>
    <t>Methyl bromide</t>
  </si>
  <si>
    <t>Methyl chloroform</t>
  </si>
  <si>
    <t>HCFC-22/R22 = chlorodifluoromethane</t>
  </si>
  <si>
    <t>HCFC-123</t>
  </si>
  <si>
    <t>HCFC-124</t>
  </si>
  <si>
    <t>HCFC-141b</t>
  </si>
  <si>
    <t>HCFC-142b</t>
  </si>
  <si>
    <t>HCFC-225ca</t>
  </si>
  <si>
    <t>HCFC-225cb</t>
  </si>
  <si>
    <t>HCFC-21</t>
  </si>
  <si>
    <t>HFE-125</t>
  </si>
  <si>
    <t>HFE-134</t>
  </si>
  <si>
    <t>HFE-143a</t>
  </si>
  <si>
    <t>HCFE-235da2</t>
  </si>
  <si>
    <t>HFE-245cb2</t>
  </si>
  <si>
    <t>HFE-245fa2</t>
  </si>
  <si>
    <t>HFE-254cb2</t>
  </si>
  <si>
    <t>HFE-347mcc3</t>
  </si>
  <si>
    <t>HFE-347pcf2</t>
  </si>
  <si>
    <t>HFE-356pcc3</t>
  </si>
  <si>
    <t>HFE-449sl (HFE-7100)</t>
  </si>
  <si>
    <t>HFE-569sf2 (HFE-7200)</t>
  </si>
  <si>
    <t>HFE-43-10pccc124 (H-Galden1040x)</t>
  </si>
  <si>
    <t>HFE-236ca12 (HG-10)</t>
  </si>
  <si>
    <t>HFE-338pcc13 (HG-01)</t>
  </si>
  <si>
    <t>Trifluoromethyl sulphur pentafluoride</t>
  </si>
  <si>
    <t>PFPMIE</t>
  </si>
  <si>
    <t>Dimethylether</t>
  </si>
  <si>
    <t>Methylene chloride</t>
  </si>
  <si>
    <t>Methyl chloride</t>
  </si>
  <si>
    <t>R290 = propane</t>
  </si>
  <si>
    <t>R600A = isobutane</t>
  </si>
  <si>
    <t>R600 = butane</t>
  </si>
  <si>
    <t>R601 = pentane</t>
  </si>
  <si>
    <t>R601A = isopentane</t>
  </si>
  <si>
    <t>R170 = ethane</t>
  </si>
  <si>
    <t>R1270 = propene</t>
  </si>
  <si>
    <t>Buildingcategory</t>
  </si>
  <si>
    <t>Buildingcategory_long</t>
  </si>
  <si>
    <t>Buildingtype</t>
  </si>
  <si>
    <t>Catering</t>
  </si>
  <si>
    <t>Fast food restaurants</t>
  </si>
  <si>
    <t>Public houses</t>
  </si>
  <si>
    <t>Education (further and higher)</t>
  </si>
  <si>
    <t>Restaurants (in public houses)</t>
  </si>
  <si>
    <t>Education (Higher)</t>
  </si>
  <si>
    <t>Restaurants (with bar)</t>
  </si>
  <si>
    <t>Education (schools)</t>
  </si>
  <si>
    <t>Detached House (gas-heated)</t>
  </si>
  <si>
    <t>Detached House (elec-heated)</t>
  </si>
  <si>
    <t>Hospitals</t>
  </si>
  <si>
    <t>Semi-Detached House (gas-heated)</t>
  </si>
  <si>
    <t>Hotels</t>
  </si>
  <si>
    <t>Semi-Detached House (elec-heated)</t>
  </si>
  <si>
    <t>Industrial buildings</t>
  </si>
  <si>
    <t>End Terrace House (gas-heated)</t>
  </si>
  <si>
    <t>Local authority buildings</t>
  </si>
  <si>
    <t>End Terrace House (elec-heated)</t>
  </si>
  <si>
    <t>Ministry of Defence buildings</t>
  </si>
  <si>
    <t>Mid Terrace House (gas-heated)</t>
  </si>
  <si>
    <t>Offices</t>
  </si>
  <si>
    <t>Mid Terrace House (elec-heated)</t>
  </si>
  <si>
    <t>Primary health care (GP Pactice/Dentist)</t>
  </si>
  <si>
    <t>Bungalow (gas-heated)</t>
  </si>
  <si>
    <t>Public buildings</t>
  </si>
  <si>
    <t>Bungalow (elec-heated)</t>
  </si>
  <si>
    <t>Retail</t>
  </si>
  <si>
    <t>Flat (gas-heated)</t>
  </si>
  <si>
    <t>Sports and recreation</t>
  </si>
  <si>
    <t>Flat (elec-heated)</t>
  </si>
  <si>
    <t>Other</t>
  </si>
  <si>
    <t>Catering, bar/restaurant</t>
  </si>
  <si>
    <t>Catering, fast food</t>
  </si>
  <si>
    <t>Lecture room, arts</t>
  </si>
  <si>
    <t>Lecture room, science</t>
  </si>
  <si>
    <t>Library, air conditioned</t>
  </si>
  <si>
    <t>Library, naturally ventilated</t>
  </si>
  <si>
    <t>Residential, halls of residence</t>
  </si>
  <si>
    <t>Residential, self catering/flats</t>
  </si>
  <si>
    <t>Science laboratory</t>
  </si>
  <si>
    <t>Academic - art and design</t>
  </si>
  <si>
    <t>Academic - biology/medicine</t>
  </si>
  <si>
    <t>Academic - chemistry/physics</t>
  </si>
  <si>
    <t>Academic - engineering</t>
  </si>
  <si>
    <t>Academic - other, non-laboratory/workshop based</t>
  </si>
  <si>
    <t>Administration</t>
  </si>
  <si>
    <t>Catering / bar</t>
  </si>
  <si>
    <t>Hospital or clinic</t>
  </si>
  <si>
    <t>Lecture theatre / conference facility</t>
  </si>
  <si>
    <t>Library or learning centre</t>
  </si>
  <si>
    <t>Residential</t>
  </si>
  <si>
    <t>Sports</t>
  </si>
  <si>
    <t>Primary School</t>
  </si>
  <si>
    <t>Secondary School</t>
  </si>
  <si>
    <t>Special School</t>
  </si>
  <si>
    <t>Secondary (with swimming pool)</t>
  </si>
  <si>
    <t>Theatres</t>
  </si>
  <si>
    <t>Bingo clubs</t>
  </si>
  <si>
    <t>Cinemas</t>
  </si>
  <si>
    <t>Social clubs</t>
  </si>
  <si>
    <t>General Acute Hospital</t>
  </si>
  <si>
    <t>Teaching/Specialist Hospital</t>
  </si>
  <si>
    <t>Long stay</t>
  </si>
  <si>
    <t>Holiday</t>
  </si>
  <si>
    <t>Luxury</t>
  </si>
  <si>
    <t>Post-1995; &gt;5000 m2</t>
  </si>
  <si>
    <t>Post-1995; =5000 m2</t>
  </si>
  <si>
    <t>Pre-1995; &gt;5000 m2</t>
  </si>
  <si>
    <t>Pre-1995; =5000 m2</t>
  </si>
  <si>
    <t>Town hall</t>
  </si>
  <si>
    <t>Community centres</t>
  </si>
  <si>
    <t>Day centre</t>
  </si>
  <si>
    <t>Residential care homes</t>
  </si>
  <si>
    <t>Car park (enclosed)</t>
  </si>
  <si>
    <t>Car park (open)</t>
  </si>
  <si>
    <t>Depots</t>
  </si>
  <si>
    <t>Sheltered housing</t>
  </si>
  <si>
    <t>Temporary homeless units</t>
  </si>
  <si>
    <t>Aircraft hangars (heated)</t>
  </si>
  <si>
    <t>Junior mess</t>
  </si>
  <si>
    <t>Motor transport facilities</t>
  </si>
  <si>
    <t>Multi-occupancy accommodation</t>
  </si>
  <si>
    <t>Officers’ mess</t>
  </si>
  <si>
    <t>Stores/warehouses (occupied)</t>
  </si>
  <si>
    <t>Stores/warehouses (unoccupied</t>
  </si>
  <si>
    <t>Workshops</t>
  </si>
  <si>
    <t>Central government office</t>
  </si>
  <si>
    <t>Local government office</t>
  </si>
  <si>
    <t>Air conditioned, prestige</t>
  </si>
  <si>
    <t>Air conditioned, standard</t>
  </si>
  <si>
    <t>Naturally ventilated, cellular</t>
  </si>
  <si>
    <t>Naturally ventilated, open plan</t>
  </si>
  <si>
    <t>Health Centres and Clinics</t>
  </si>
  <si>
    <t>Primary health care buildings</t>
  </si>
  <si>
    <t>Courts (combined County/Crown)</t>
  </si>
  <si>
    <t>Library</t>
  </si>
  <si>
    <t>Museum</t>
  </si>
  <si>
    <t>Fire station</t>
  </si>
  <si>
    <t>Police station</t>
  </si>
  <si>
    <t>Ambulance stations</t>
  </si>
  <si>
    <t>Churches</t>
  </si>
  <si>
    <t>Courts (County)</t>
  </si>
  <si>
    <t>Courts (Crown)</t>
  </si>
  <si>
    <t>Courts (Magistrates)</t>
  </si>
  <si>
    <t>Prisons</t>
  </si>
  <si>
    <t>Prisons (high security)</t>
  </si>
  <si>
    <t>Banks and building societies</t>
  </si>
  <si>
    <t>Banks and building societies (all electric)</t>
  </si>
  <si>
    <t>Book stores (all electric)</t>
  </si>
  <si>
    <t>Catalogue stores</t>
  </si>
  <si>
    <t>Catalogue stores (all electric)</t>
  </si>
  <si>
    <t>Clothes shops</t>
  </si>
  <si>
    <t>Clothes shops (all electric)</t>
  </si>
  <si>
    <t>Department stores</t>
  </si>
  <si>
    <t>Department stores (all electric)</t>
  </si>
  <si>
    <t>Distribution warehouses</t>
  </si>
  <si>
    <t>Distribution warehouses (all electric)</t>
  </si>
  <si>
    <t>DIY stores</t>
  </si>
  <si>
    <t>Electrical goods rental</t>
  </si>
  <si>
    <t>Electrical goods retail</t>
  </si>
  <si>
    <t>Frozen food centres</t>
  </si>
  <si>
    <t>High street agencies</t>
  </si>
  <si>
    <t>High street agencies (all electric)</t>
  </si>
  <si>
    <t>Meat butchers (all electric)</t>
  </si>
  <si>
    <t>Off licences (all electric)</t>
  </si>
  <si>
    <t>Post office (all electric)</t>
  </si>
  <si>
    <t>Post offices</t>
  </si>
  <si>
    <t>Shoe shops (all electric)</t>
  </si>
  <si>
    <t>Small food shops</t>
  </si>
  <si>
    <t>Small food shops (all electric)</t>
  </si>
  <si>
    <t>Supermarket</t>
  </si>
  <si>
    <t>Supermarket (all electric)</t>
  </si>
  <si>
    <t>Swimming pool</t>
  </si>
  <si>
    <t>Combined centre</t>
  </si>
  <si>
    <t>Dry sports centre (local)</t>
  </si>
  <si>
    <t>Fitness centre</t>
  </si>
  <si>
    <t>Ice rink</t>
  </si>
  <si>
    <t>Leisure pool centre</t>
  </si>
  <si>
    <t>Sports ground changing facility</t>
  </si>
  <si>
    <t>Rounded to 3.d.p</t>
  </si>
  <si>
    <t>Source: UK Government GHG Conversion Factors for Company Reporting 2023</t>
  </si>
  <si>
    <t>The carbon footprint of waste streams in a UK hospital, Journal of Cleaner Production, 281, 2021. Rizan et al</t>
  </si>
  <si>
    <t>Fleet &amp; equipment</t>
  </si>
  <si>
    <t>Other typical unit</t>
  </si>
  <si>
    <t>Fuels</t>
  </si>
  <si>
    <t>Refrigerant &amp; other</t>
  </si>
  <si>
    <t>UK electricity</t>
  </si>
  <si>
    <t>WTT - fuels</t>
  </si>
  <si>
    <t>WTT- bioenergy</t>
  </si>
  <si>
    <t>Transmission and distribution</t>
  </si>
  <si>
    <t>WTT- UK &amp; overseas elec</t>
  </si>
  <si>
    <t>WTT- heat and steam</t>
  </si>
  <si>
    <t>Water supply</t>
  </si>
  <si>
    <t>Water treatment</t>
  </si>
  <si>
    <t>Waste disposal</t>
  </si>
  <si>
    <t>Business travel- air</t>
  </si>
  <si>
    <t>WTT- business travel- air</t>
  </si>
  <si>
    <t>Business travel- sea</t>
  </si>
  <si>
    <t>WTT- business travel- sea</t>
  </si>
  <si>
    <t>Business travel- land</t>
  </si>
  <si>
    <t>WTT- pass vehs &amp; travel- land</t>
  </si>
  <si>
    <t>UK electricity for Evs</t>
  </si>
  <si>
    <t>UK electricity T&amp;D for Evs</t>
  </si>
  <si>
    <t>Freighting goods</t>
  </si>
  <si>
    <t>WTT - delivery vehs &amp; freight</t>
  </si>
  <si>
    <t>Table 2</t>
  </si>
  <si>
    <t>Table 3</t>
  </si>
  <si>
    <t>Table 4</t>
  </si>
  <si>
    <t>UK Efs calculated from 2019 NAEI data</t>
  </si>
  <si>
    <t>Modern inhalation anesthetics: Potent greenhouse gases in the global atmosphere</t>
  </si>
  <si>
    <t>Gross CV</t>
  </si>
  <si>
    <t>Standard natural gas received through the gas mains grid network in the UK. Note - contains limited biogas content.</t>
  </si>
  <si>
    <t>Kerosene is listed as burning oil in the conversion factors dataset</t>
  </si>
  <si>
    <t>Grid electricity is made up of generation (scope 2) and transmission &amp; distribution (scope 3). Each of these parts have associated WTT emissions.</t>
  </si>
  <si>
    <t>Use these factors for onsite or adjacent suppliers</t>
  </si>
  <si>
    <t>Use these factors if the heat and steam are being supplied through a longer network</t>
  </si>
  <si>
    <t>Assumed that onsite supply from rainwater or borehole requires no additional processing</t>
  </si>
  <si>
    <t>Assumed that onsite treatment produces no additional emissions</t>
  </si>
  <si>
    <t>Emission factor unit is litres rather than kWh. Converted to kWh using gross CV kWh/litre from fuel properties sheet</t>
  </si>
  <si>
    <t>AKA Bioethanol. Emission factor unit is GJ rather than kWh. Converted to kWh using factor of 278. No conversion unit for litres so used relationship between emission factor for kWh and litres</t>
  </si>
  <si>
    <t>Average (up to 3.5 tonnes)</t>
  </si>
  <si>
    <t>Average laden</t>
  </si>
  <si>
    <t>Public transport</t>
  </si>
  <si>
    <t>Home office electricity and heating fuel</t>
  </si>
  <si>
    <t>FTE year</t>
  </si>
  <si>
    <t>BEIS factor multiplied by 7.5 working hours per day, working 5 days per week for 52 weeks less 28 days of leave.</t>
  </si>
  <si>
    <t>Waste collection</t>
  </si>
  <si>
    <t>All</t>
  </si>
  <si>
    <t>tonne.km</t>
  </si>
  <si>
    <t>50% laden</t>
  </si>
  <si>
    <t>Rigid &gt;17 tonnes</t>
  </si>
  <si>
    <t>Waste EF not including transport</t>
  </si>
  <si>
    <t>R1234yf</t>
  </si>
  <si>
    <t>There is no specific figure available, however it is known that the GWP factor is less than 1 kg CO2e</t>
  </si>
  <si>
    <t>R1234ze</t>
  </si>
  <si>
    <t>penthrox is 117.7 times lower than entonox for same volume - https://emj.bmj.com/content/emermed/41/2/69.full.pdf</t>
  </si>
  <si>
    <t>Land use emission factors (kgCO2e/ha)</t>
  </si>
  <si>
    <t>Previous landuse</t>
  </si>
  <si>
    <t>Current land use</t>
  </si>
  <si>
    <t>No emission factor available</t>
  </si>
  <si>
    <t>Benchmarking data</t>
  </si>
  <si>
    <t>This sheet contains the following tables:</t>
  </si>
  <si>
    <t>Energy use in building benchmarks</t>
  </si>
  <si>
    <t>Water use and waste benchmarks</t>
  </si>
  <si>
    <t>Commuting benchmarks</t>
  </si>
  <si>
    <t>Public transport £/passenger km benchmarks</t>
  </si>
  <si>
    <t>Waste density factors</t>
  </si>
  <si>
    <t xml:space="preserve">The source of building energy benchmarks is the Chartered Institution of Building Services (CIBSE) Energy Benchmarking tool. Organisations are free to use alternative sources of benchmark energy data but any data sources should be carefully documented, along with rationale for selection. Benchmarks for other building types are available through the tool, which can be accessed via the link below:
</t>
  </si>
  <si>
    <t>The source of building water benchmarks is a publication by the Better Buildings Partnership (2017 Real Estate Environmental Benchmarks: January 2018 ). Organisations are free to use alternative sources of benchmark water data but any data sources should be carefully documented, along with rationale for selection.</t>
  </si>
  <si>
    <t xml:space="preserve">The average commuting distance in Wales average is 9.5 miles/ 15.3 km and the modal split is shown in the table below. Data source: ‘The Car and the Commute: The journey to work in England and Wales’ report by the RAC Foundation </t>
  </si>
  <si>
    <t>https://www.cibse.org/Knowledge/Benchmarking</t>
  </si>
  <si>
    <t>Note: Values are correct as of 20/05/2022</t>
  </si>
  <si>
    <t>Name</t>
  </si>
  <si>
    <t>Description</t>
  </si>
  <si>
    <t>Fossil-thermal typical benchmark (kWh/m2)</t>
  </si>
  <si>
    <t>Electricity typical benchmark (kWh/m2)</t>
  </si>
  <si>
    <t>Good practice benchmark (litre/person/working day)</t>
  </si>
  <si>
    <t>Typical practice benchmark (litre/person/working day)</t>
  </si>
  <si>
    <t>Travel mode</t>
  </si>
  <si>
    <t>% split</t>
  </si>
  <si>
    <t>Source</t>
  </si>
  <si>
    <t>Town Hall</t>
  </si>
  <si>
    <t>Car</t>
  </si>
  <si>
    <t>https://www.racfoundation.org/assets/rac_foundation/content/downloadables/car-and-the-commute-web-version.pdf</t>
  </si>
  <si>
    <t>Community Centres</t>
  </si>
  <si>
    <t>Car passenger</t>
  </si>
  <si>
    <t>Waste benchmarks have been taken from WRAP (Waste &amp; Resources Action Programme) Green Office: A Guide to Running a More Cost-effective and Environmentally Sustainable Office .</t>
  </si>
  <si>
    <t>Taxi/ mini cab</t>
  </si>
  <si>
    <t>Good practice benchmark (quantity per person per year)</t>
  </si>
  <si>
    <t>Walking</t>
  </si>
  <si>
    <t>less than 200kg</t>
  </si>
  <si>
    <t>Moped/ Motorbike</t>
  </si>
  <si>
    <t xml:space="preserve">Where only data on total cost by travel mode is available, and in the absence of any more accurate local estimates, the following estimates of £/passenger km can be used to estimate kilometres travelled from spend. </t>
  </si>
  <si>
    <t>Cycling</t>
  </si>
  <si>
    <t>Work from home</t>
  </si>
  <si>
    <t>Local Government office</t>
  </si>
  <si>
    <t>£/passenger km</t>
  </si>
  <si>
    <t>Table 12.10 Revenue per passenger kilometre and revenue per passenger journey. Office of Rail and Road. UK Government</t>
  </si>
  <si>
    <t>Schools</t>
  </si>
  <si>
    <t>Primary</t>
  </si>
  <si>
    <t>https://www.gov.uk/government/statistical-data-sets/bus-statistics-data-tables - Number of journeys (BUS01a)</t>
  </si>
  <si>
    <t>Secondary</t>
  </si>
  <si>
    <t>https://www.walesonline.co.uk/news/wales-news/dragon-taxis-cardiff-cost-fares-17767633</t>
  </si>
  <si>
    <t>Special</t>
  </si>
  <si>
    <t>Air</t>
  </si>
  <si>
    <t>-</t>
  </si>
  <si>
    <t>http://www.webflyer.com/travel/mileage_calculator/</t>
  </si>
  <si>
    <t>Secondary, with swimming pool</t>
  </si>
  <si>
    <t xml:space="preserve">Calculate distance travelled for each of the journeys taken. Option to choose top ten frequent trips and work out an average £/passenger km to apply to remainder. </t>
  </si>
  <si>
    <t>Hospital</t>
  </si>
  <si>
    <t>General Acute</t>
  </si>
  <si>
    <t>Teaching/specialist</t>
  </si>
  <si>
    <t>Cottage hospital</t>
  </si>
  <si>
    <t>Lecture room/conference facility</t>
  </si>
  <si>
    <t>Waste density table</t>
  </si>
  <si>
    <t xml:space="preserve">Where your organisation has information on the estimated volume of waste collected rather than the weight, the following density factors can be used to estimate the weight.
These density conversion factors were developed by the Environment Agency for the 1998/99 commercial and industrial waste survey in England and have since been used across the UK by all of the Agencies including SEPA. The factors were derived from a number of different sources including published research, advice from the waste management industry and some original research at the time (source: https://www.sepa.org.uk/media/163323/uk-conversion-factors-for-waste.xlsx). 		</t>
  </si>
  <si>
    <t>Density factors for waste</t>
  </si>
  <si>
    <t>EWC code</t>
  </si>
  <si>
    <t>Waste Description</t>
  </si>
  <si>
    <t>Density conversion factor (kg per litre)</t>
  </si>
  <si>
    <t>17 01 07</t>
  </si>
  <si>
    <t xml:space="preserve">mixtures of concrete, bricks, tiles and ceramics other than those mentioned in 17 01 06 </t>
  </si>
  <si>
    <t>18 01 02</t>
  </si>
  <si>
    <t>Body parts and organs including blood bags and blood preserves (except 18 01 03)</t>
  </si>
  <si>
    <t>17 06 01*</t>
  </si>
  <si>
    <t>insulation materials containing asbestos</t>
  </si>
  <si>
    <t>17 03 02</t>
  </si>
  <si>
    <t>bituminous mixtures other than those mentioned in 17 03 01</t>
  </si>
  <si>
    <t>17 09 04</t>
  </si>
  <si>
    <t>mixed construction and demolition wastes other than those mentioned in 17 09 01, 17 09 02 and 17 09 03</t>
  </si>
  <si>
    <t>20 01 33*</t>
  </si>
  <si>
    <t>batteries and accumulators included in 16 06 01, 16 06 02 or 16 06 03 and unsorted batteries and accumulators containing these batteries</t>
  </si>
  <si>
    <t>17 01 02</t>
  </si>
  <si>
    <t>bricks</t>
  </si>
  <si>
    <t>18 01 03*</t>
  </si>
  <si>
    <t>wastes whose collection and disposal is subject to special requirements in order to prevent infection</t>
  </si>
  <si>
    <t>20 01 10</t>
  </si>
  <si>
    <t>clothes</t>
  </si>
  <si>
    <t>20 03 01</t>
  </si>
  <si>
    <t>mixed municipal waste</t>
  </si>
  <si>
    <t>17 01 01</t>
  </si>
  <si>
    <t>concrete</t>
  </si>
  <si>
    <t>17 06 04</t>
  </si>
  <si>
    <t>insulation materials other than those mentioned in 17 06 01 and 17 06 03</t>
  </si>
  <si>
    <t>18 01 01</t>
  </si>
  <si>
    <t>sharps (except 18 01 03)</t>
  </si>
  <si>
    <t>20 01 32</t>
  </si>
  <si>
    <t>medicines other than those mentioned in 20 01 31</t>
  </si>
  <si>
    <t>17 04 07</t>
  </si>
  <si>
    <t>mixed metals</t>
  </si>
  <si>
    <t>13 03 10*</t>
  </si>
  <si>
    <t>other insulating and heat transmission oils</t>
  </si>
  <si>
    <t>20 01 02</t>
  </si>
  <si>
    <t>glass</t>
  </si>
  <si>
    <t>20 01 40</t>
  </si>
  <si>
    <t>metals</t>
  </si>
  <si>
    <t>20 01 01</t>
  </si>
  <si>
    <t>paper and cardboard</t>
  </si>
  <si>
    <t>20 01 39</t>
  </si>
  <si>
    <t>plastics</t>
  </si>
  <si>
    <t>20 01 36</t>
  </si>
  <si>
    <t>discarded electrical and electronic equipment other than those mentioned in 20 01 21, 20 01 23 and 20 01 35</t>
  </si>
  <si>
    <t>18 01 04</t>
  </si>
  <si>
    <t>wastes whose collection and disposal is not subject to special requirements in order to prevent infection(for example dressings, plaster casts, linen, disposable clothing, diapers)</t>
  </si>
  <si>
    <t>20 01 08</t>
  </si>
  <si>
    <t>biodegradable kitchen and canteen waste</t>
  </si>
  <si>
    <t>20 02 01</t>
  </si>
  <si>
    <t>biodegradable waste</t>
  </si>
  <si>
    <t>19 12 07</t>
  </si>
  <si>
    <t>wood other than that mentioned in 19 12 06</t>
  </si>
  <si>
    <t>20 02 02</t>
  </si>
  <si>
    <t>soil and stones</t>
  </si>
  <si>
    <t>16 01 03</t>
  </si>
  <si>
    <t>end-of-life tyres</t>
  </si>
  <si>
    <t>20 01 38</t>
  </si>
  <si>
    <t>wood other than that mentioned in 20 01 37</t>
  </si>
  <si>
    <t>Table</t>
  </si>
  <si>
    <t>Note</t>
  </si>
  <si>
    <t>Error?</t>
  </si>
  <si>
    <t>Other gases</t>
  </si>
  <si>
    <t>Land tier 1</t>
  </si>
  <si>
    <t>Land tier 2</t>
  </si>
  <si>
    <t>Totals</t>
  </si>
  <si>
    <t>EFs</t>
  </si>
  <si>
    <t>Emissions</t>
  </si>
  <si>
    <t>Missing EFs</t>
  </si>
  <si>
    <t>Missing Emissions</t>
  </si>
  <si>
    <t xml:space="preserve">Updated emission factors for 2024 (including 2021 supply chain emission factors - as they were published in February 2025) (updated Waste excluding transport EF to 0 except for Landfill as EF only include transport from waste); separated out buildings data into 3 tabs: Grid Electricity, Heat &amp; Fuels Water; introduced mandatory floor area data; enabled the number of fleet vehicles to be added; separated out renewables reporting into onsite heat offsite heat and onside and offsite renewable electricity; added availability to the renewables tables; edited Totals table to account for new columns; added the TotalsRenewables tab to pull through all renewables data. </t>
  </si>
  <si>
    <t>EF for waste only includes transport (Conversion Factors 2024: Methodology, pg.121).</t>
  </si>
  <si>
    <t>Table 52, Methodology Paper for Conversion factors 2024. Transport distances and vehicles assumptions for waste transport. Landfill - 10km (1 way) distance, average HGV tonne km 50% laden factor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</si>
</sst>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8" formatCode="&quot;£&quot;#,##0.00;[Red]\-&quot;£&quot;#,##0.00"/>
    <numFmt numFmtId="44" formatCode="_-&quot;£&quot;* #,##0.00_-;\-&quot;£&quot;* #,##0.00_-;_-&quot;£&quot;* &quot;-&quot;??_-;_-@_-"/>
    <numFmt numFmtId="43" formatCode="_-* #,##0.00_-;\-* #,##0.00_-;_-* &quot;-&quot;??_-;_-@_-"/>
    <numFmt numFmtId="164" formatCode="&quot;£&quot;#,##0.00"/>
    <numFmt numFmtId="165" formatCode="_-* #,##0_-;\-* #,##0_-;_-* &quot;-&quot;??_-;_-@_-"/>
    <numFmt numFmtId="166" formatCode="0.0000"/>
    <numFmt numFmtId="167" formatCode="0.0"/>
    <numFmt numFmtId="168" formatCode="_-* #,##0.0_-;\-* #,##0.0_-;_-* &quot;-&quot;??_-;_-@_-"/>
    <numFmt numFmtId="169" formatCode="0.000"/>
    <numFmt numFmtId="170" formatCode="0.0%"/>
    <numFmt numFmtId="171" formatCode="0.00000"/>
    <numFmt numFmtId="172" formatCode="_-&quot;£&quot;* #,##0_-;\-&quot;£&quot;* #,##0_-;_-&quot;£&quot;* &quot;-&quot;??_-;_-@_-"/>
    <numFmt numFmtId="173" formatCode="#,##0.000"/>
    <numFmt numFmtId="174" formatCode="_-* #,##0.00_-;\-* #,##0.00_-;_-* &quot;-&quot;?_-;_-@_-"/>
    <numFmt numFmtId="175" formatCode="_-* #,##0.000_-;\-* #,##0.000_-;_-* &quot;-&quot;??_-;_-@_-"/>
    <numFmt numFmtId="176" formatCode="#,##0_ ;\-#,##0\ "/>
  </numFmts>
  <fonts count="88" x14ac:knownFonts="1">
    <font>
      <sz val="11"/>
      <color theme="1"/>
      <name val="Calibri"/>
      <family val="2"/>
      <scheme val="minor"/>
    </font>
    <font>
      <sz val="11"/>
      <color theme="1"/>
      <name val="Calibri"/>
      <scheme val="minor"/>
    </font>
    <font>
      <sz val="11"/>
      <color theme="1"/>
      <name val="Calibri"/>
      <family val="2"/>
      <scheme val="minor"/>
    </font>
    <font>
      <sz val="11"/>
      <color theme="1"/>
      <name val="Calibri"/>
      <family val="2"/>
      <scheme val="minor"/>
    </font>
    <font>
      <b/>
      <sz val="10"/>
      <color rgb="FFFFFFFF"/>
      <name val="Calibri"/>
      <family val="2"/>
      <scheme val="minor"/>
    </font>
    <font>
      <sz val="10"/>
      <color rgb="FF636363"/>
      <name val="Calibri"/>
      <family val="2"/>
      <scheme val="minor"/>
    </font>
    <font>
      <b/>
      <vertAlign val="subscript"/>
      <sz val="10"/>
      <color rgb="FFFFFFFF"/>
      <name val="Calibri"/>
      <family val="2"/>
      <scheme val="minor"/>
    </font>
    <font>
      <i/>
      <sz val="10"/>
      <color rgb="FF636363"/>
      <name val="Calibri"/>
      <family val="2"/>
      <scheme val="minor"/>
    </font>
    <font>
      <sz val="10"/>
      <name val="Arial"/>
      <family val="2"/>
    </font>
    <font>
      <b/>
      <sz val="10"/>
      <color rgb="FF636363"/>
      <name val="Calibri"/>
      <family val="2"/>
      <scheme val="minor"/>
    </font>
    <font>
      <b/>
      <sz val="10"/>
      <color theme="0"/>
      <name val="Calibri"/>
      <family val="2"/>
      <scheme val="minor"/>
    </font>
    <font>
      <sz val="10"/>
      <name val="Calibri"/>
      <family val="2"/>
      <scheme val="minor"/>
    </font>
    <font>
      <sz val="11"/>
      <color rgb="FF636363"/>
      <name val="Calibri"/>
      <family val="2"/>
      <scheme val="minor"/>
    </font>
    <font>
      <i/>
      <sz val="10"/>
      <color rgb="FF0599C7"/>
      <name val="Calibri"/>
      <family val="2"/>
      <scheme val="minor"/>
    </font>
    <font>
      <b/>
      <sz val="12"/>
      <color rgb="FF636363"/>
      <name val="Calibri"/>
      <family val="2"/>
      <scheme val="minor"/>
    </font>
    <font>
      <b/>
      <sz val="11"/>
      <color theme="1"/>
      <name val="Calibri"/>
      <family val="2"/>
      <scheme val="minor"/>
    </font>
    <font>
      <sz val="11"/>
      <color theme="1" tint="0.499984740745262"/>
      <name val="Calibri"/>
      <family val="2"/>
      <scheme val="minor"/>
    </font>
    <font>
      <b/>
      <sz val="11"/>
      <color theme="1" tint="0.34998626667073579"/>
      <name val="Calibri"/>
      <family val="2"/>
      <scheme val="minor"/>
    </font>
    <font>
      <b/>
      <sz val="11"/>
      <color rgb="FFFFFFFF"/>
      <name val="Calibri"/>
      <family val="2"/>
      <scheme val="minor"/>
    </font>
    <font>
      <b/>
      <vertAlign val="subscript"/>
      <sz val="10"/>
      <color theme="0"/>
      <name val="Calibri"/>
      <family val="2"/>
      <scheme val="minor"/>
    </font>
    <font>
      <sz val="11"/>
      <color rgb="FFFF0000"/>
      <name val="Calibri"/>
      <family val="2"/>
      <scheme val="minor"/>
    </font>
    <font>
      <sz val="11"/>
      <name val="Calibri"/>
      <family val="2"/>
      <scheme val="minor"/>
    </font>
    <font>
      <sz val="8"/>
      <name val="Calibri"/>
      <family val="2"/>
      <scheme val="minor"/>
    </font>
    <font>
      <b/>
      <sz val="14"/>
      <color theme="1"/>
      <name val="Calibri"/>
      <family val="2"/>
      <scheme val="minor"/>
    </font>
    <font>
      <b/>
      <sz val="10"/>
      <name val="Calibri"/>
      <family val="2"/>
      <scheme val="minor"/>
    </font>
    <font>
      <b/>
      <sz val="12"/>
      <color theme="1"/>
      <name val="Calibri"/>
      <family val="2"/>
      <scheme val="minor"/>
    </font>
    <font>
      <sz val="11"/>
      <color theme="0"/>
      <name val="Calibri"/>
      <family val="2"/>
      <scheme val="minor"/>
    </font>
    <font>
      <b/>
      <sz val="14"/>
      <color rgb="FF636363"/>
      <name val="Calibri"/>
      <family val="2"/>
      <scheme val="minor"/>
    </font>
    <font>
      <b/>
      <sz val="16"/>
      <color rgb="FF636363"/>
      <name val="Calibri"/>
      <family val="2"/>
      <scheme val="minor"/>
    </font>
    <font>
      <b/>
      <i/>
      <sz val="14"/>
      <color rgb="FF0599C7"/>
      <name val="Calibri"/>
      <family val="2"/>
      <scheme val="minor"/>
    </font>
    <font>
      <sz val="10"/>
      <color theme="1"/>
      <name val="Arial"/>
      <family val="2"/>
    </font>
    <font>
      <u/>
      <sz val="11"/>
      <color indexed="12"/>
      <name val="Calibri"/>
      <family val="2"/>
    </font>
    <font>
      <u/>
      <sz val="10"/>
      <color indexed="12"/>
      <name val="Arial"/>
      <family val="2"/>
    </font>
    <font>
      <i/>
      <sz val="10"/>
      <name val="Calibri"/>
      <family val="2"/>
      <scheme val="minor"/>
    </font>
    <font>
      <b/>
      <i/>
      <sz val="10"/>
      <name val="Calibri"/>
      <family val="2"/>
      <scheme val="minor"/>
    </font>
    <font>
      <sz val="11"/>
      <color rgb="FF000000"/>
      <name val="Calibri"/>
      <family val="2"/>
      <scheme val="minor"/>
    </font>
    <font>
      <b/>
      <sz val="11"/>
      <color theme="0"/>
      <name val="Calibri"/>
      <family val="2"/>
      <scheme val="minor"/>
    </font>
    <font>
      <b/>
      <sz val="11"/>
      <color rgb="FF00B0F0"/>
      <name val="Calibri"/>
      <family val="2"/>
      <scheme val="minor"/>
    </font>
    <font>
      <sz val="11"/>
      <color rgb="FF00B0F0"/>
      <name val="Calibri"/>
      <family val="2"/>
      <scheme val="minor"/>
    </font>
    <font>
      <sz val="10"/>
      <color theme="0" tint="-0.249977111117893"/>
      <name val="Calibri"/>
      <family val="2"/>
      <scheme val="minor"/>
    </font>
    <font>
      <b/>
      <sz val="11"/>
      <color rgb="FF636363"/>
      <name val="Calibri"/>
      <family val="2"/>
      <scheme val="minor"/>
    </font>
    <font>
      <vertAlign val="subscript"/>
      <sz val="11"/>
      <color rgb="FF636363"/>
      <name val="Calibri"/>
      <family val="2"/>
      <scheme val="minor"/>
    </font>
    <font>
      <b/>
      <sz val="12"/>
      <color theme="1" tint="0.499984740745262"/>
      <name val="Calibri"/>
      <family val="2"/>
      <scheme val="minor"/>
    </font>
    <font>
      <sz val="11"/>
      <color theme="2" tint="-0.499984740745262"/>
      <name val="Calibri"/>
      <family val="2"/>
      <scheme val="minor"/>
    </font>
    <font>
      <i/>
      <sz val="11"/>
      <color theme="1"/>
      <name val="Calibri"/>
      <family val="2"/>
      <scheme val="minor"/>
    </font>
    <font>
      <u/>
      <sz val="11"/>
      <color theme="10"/>
      <name val="Calibri"/>
      <family val="2"/>
      <scheme val="minor"/>
    </font>
    <font>
      <b/>
      <sz val="11"/>
      <color theme="2" tint="-0.499984740745262"/>
      <name val="Calibri"/>
      <family val="2"/>
      <scheme val="minor"/>
    </font>
    <font>
      <b/>
      <i/>
      <sz val="11"/>
      <color rgb="FF0599C7"/>
      <name val="Calibri"/>
      <family val="2"/>
      <scheme val="minor"/>
    </font>
    <font>
      <sz val="11"/>
      <color theme="1" tint="0.34998626667073579"/>
      <name val="Calibri"/>
      <family val="2"/>
      <scheme val="minor"/>
    </font>
    <font>
      <b/>
      <sz val="11"/>
      <color theme="1" tint="0.499984740745262"/>
      <name val="Calibri"/>
      <family val="2"/>
      <scheme val="minor"/>
    </font>
    <font>
      <b/>
      <sz val="11"/>
      <name val="Calibri"/>
      <family val="2"/>
      <scheme val="minor"/>
    </font>
    <font>
      <b/>
      <sz val="11"/>
      <color theme="4"/>
      <name val="Calibri"/>
      <family val="2"/>
      <scheme val="minor"/>
    </font>
    <font>
      <sz val="10"/>
      <color theme="6" tint="-0.249977111117893"/>
      <name val="Calibri"/>
      <family val="2"/>
      <scheme val="minor"/>
    </font>
    <font>
      <b/>
      <sz val="11"/>
      <color theme="6" tint="-0.249977111117893"/>
      <name val="Calibri"/>
      <family val="2"/>
      <scheme val="minor"/>
    </font>
    <font>
      <b/>
      <sz val="14"/>
      <color theme="1" tint="0.499984740745262"/>
      <name val="Calibri"/>
      <family val="2"/>
      <scheme val="minor"/>
    </font>
    <font>
      <b/>
      <sz val="20"/>
      <color theme="1" tint="0.499984740745262"/>
      <name val="Calibri"/>
      <family val="2"/>
      <scheme val="minor"/>
    </font>
    <font>
      <u/>
      <sz val="14"/>
      <color theme="10"/>
      <name val="Calibri"/>
      <family val="2"/>
      <scheme val="minor"/>
    </font>
    <font>
      <b/>
      <vertAlign val="subscript"/>
      <sz val="11"/>
      <color rgb="FFFFFFFF"/>
      <name val="Calibri"/>
      <family val="2"/>
      <scheme val="minor"/>
    </font>
    <font>
      <b/>
      <vertAlign val="subscript"/>
      <sz val="12"/>
      <color rgb="FF636363"/>
      <name val="Calibri"/>
      <family val="2"/>
      <scheme val="minor"/>
    </font>
    <font>
      <sz val="10"/>
      <color theme="1"/>
      <name val="Calibri"/>
      <family val="2"/>
      <scheme val="minor"/>
    </font>
    <font>
      <b/>
      <sz val="11"/>
      <color rgb="FFFF0000"/>
      <name val="Calibri"/>
      <family val="2"/>
      <scheme val="minor"/>
    </font>
    <font>
      <b/>
      <vertAlign val="subscript"/>
      <sz val="10"/>
      <color theme="0"/>
      <name val="Arial"/>
      <family val="2"/>
    </font>
    <font>
      <b/>
      <sz val="10"/>
      <color theme="0"/>
      <name val="Arial"/>
      <family val="2"/>
    </font>
    <font>
      <sz val="18"/>
      <color theme="3"/>
      <name val="Calibri Light"/>
      <family val="2"/>
      <scheme val="major"/>
    </font>
    <font>
      <sz val="11"/>
      <color rgb="FF006100"/>
      <name val="Calibri"/>
      <family val="2"/>
      <scheme val="minor"/>
    </font>
    <font>
      <sz val="11"/>
      <color rgb="FF9C0006"/>
      <name val="Calibri"/>
      <family val="2"/>
      <scheme val="minor"/>
    </font>
    <font>
      <sz val="11"/>
      <color rgb="FF9C5700"/>
      <name val="Calibri"/>
      <family val="2"/>
      <scheme val="minor"/>
    </font>
    <font>
      <sz val="10"/>
      <color theme="9" tint="-0.499984740745262"/>
      <name val="Arial"/>
      <family val="2"/>
    </font>
    <font>
      <i/>
      <sz val="10"/>
      <color rgb="FFFF0000"/>
      <name val="Arial"/>
      <family val="2"/>
    </font>
    <font>
      <u/>
      <sz val="10"/>
      <color theme="11"/>
      <name val="Arial"/>
      <family val="2"/>
    </font>
    <font>
      <sz val="11"/>
      <color theme="1"/>
      <name val="Arial"/>
      <family val="2"/>
    </font>
    <font>
      <sz val="10"/>
      <color theme="2" tint="-0.499984740745262"/>
      <name val="Calibri"/>
      <family val="2"/>
      <scheme val="minor"/>
    </font>
    <font>
      <sz val="9"/>
      <color theme="0" tint="-0.34998626667073579"/>
      <name val="Calibri"/>
      <family val="2"/>
      <scheme val="minor"/>
    </font>
    <font>
      <sz val="10"/>
      <color rgb="FFFF0000"/>
      <name val="Calibri"/>
      <family val="2"/>
      <scheme val="minor"/>
    </font>
    <font>
      <sz val="10"/>
      <color rgb="FFC00000"/>
      <name val="Calibri"/>
      <family val="2"/>
      <scheme val="minor"/>
    </font>
    <font>
      <sz val="11"/>
      <color theme="2" tint="-0.249977111117893"/>
      <name val="Calibri"/>
      <family val="2"/>
      <scheme val="minor"/>
    </font>
    <font>
      <sz val="12"/>
      <color theme="1"/>
      <name val="Arial"/>
      <family val="2"/>
    </font>
    <font>
      <sz val="12"/>
      <color rgb="FF000000"/>
      <name val="Aptos"/>
      <family val="2"/>
    </font>
    <font>
      <sz val="11"/>
      <color theme="9" tint="-0.499984740745262"/>
      <name val="Calibri"/>
      <family val="2"/>
      <scheme val="minor"/>
    </font>
    <font>
      <u/>
      <sz val="11"/>
      <color rgb="FF636363"/>
      <name val="Calibri"/>
      <family val="2"/>
      <scheme val="minor"/>
    </font>
    <font>
      <b/>
      <sz val="12"/>
      <color rgb="FF808080"/>
      <name val="Calibri"/>
      <family val="2"/>
    </font>
    <font>
      <sz val="11"/>
      <color rgb="FF808080"/>
      <name val="Calibri"/>
      <family val="2"/>
    </font>
    <font>
      <b/>
      <sz val="11"/>
      <color rgb="FF808080"/>
      <name val="Calibri"/>
      <family val="2"/>
    </font>
    <font>
      <sz val="11"/>
      <name val="Calibri"/>
      <scheme val="minor"/>
    </font>
    <font>
      <sz val="10"/>
      <color rgb="FF636363"/>
      <name val="Calibri"/>
      <scheme val="minor"/>
    </font>
    <font>
      <i/>
      <sz val="10"/>
      <name val="Calibri"/>
      <scheme val="minor"/>
    </font>
    <font>
      <b/>
      <u/>
      <sz val="11"/>
      <color rgb="FFFFFFFF"/>
      <name val="Calibri"/>
      <family val="2"/>
      <scheme val="minor"/>
    </font>
    <font>
      <b/>
      <u/>
      <sz val="11"/>
      <name val="Calibri"/>
      <family val="2"/>
      <scheme val="minor"/>
    </font>
  </fonts>
  <fills count="71">
    <fill>
      <patternFill patternType="none"/>
    </fill>
    <fill>
      <patternFill patternType="gray125"/>
    </fill>
    <fill>
      <patternFill patternType="solid">
        <fgColor rgb="FF0599C7"/>
        <bgColor indexed="64"/>
      </patternFill>
    </fill>
    <fill>
      <patternFill patternType="solid">
        <fgColor rgb="FFF2F2F2"/>
        <bgColor indexed="64"/>
      </patternFill>
    </fill>
    <fill>
      <patternFill patternType="darkUp">
        <bgColor rgb="FFF2F2F2"/>
      </patternFill>
    </fill>
    <fill>
      <patternFill patternType="solid">
        <fgColor rgb="FFCBCBCB"/>
        <bgColor indexed="64"/>
      </patternFill>
    </fill>
    <fill>
      <patternFill patternType="solid">
        <fgColor rgb="FF70DBFC"/>
        <bgColor indexed="64"/>
      </patternFill>
    </fill>
    <fill>
      <patternFill patternType="solid">
        <fgColor rgb="FF9FC3CD"/>
        <bgColor indexed="64"/>
      </patternFill>
    </fill>
    <fill>
      <patternFill patternType="solid">
        <fgColor theme="5" tint="0.59999389629810485"/>
        <bgColor indexed="64"/>
      </patternFill>
    </fill>
    <fill>
      <patternFill patternType="solid">
        <fgColor theme="0" tint="-0.34998626667073579"/>
        <bgColor indexed="64"/>
      </patternFill>
    </fill>
    <fill>
      <patternFill patternType="solid">
        <fgColor theme="4"/>
        <bgColor indexed="64"/>
      </patternFill>
    </fill>
    <fill>
      <patternFill patternType="solid">
        <fgColor theme="8"/>
        <bgColor indexed="64"/>
      </patternFill>
    </fill>
    <fill>
      <patternFill patternType="solid">
        <fgColor theme="9"/>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59999389629810485"/>
        <bgColor indexed="64"/>
      </patternFill>
    </fill>
    <fill>
      <patternFill patternType="solid">
        <fgColor theme="9" tint="0.39997558519241921"/>
        <bgColor indexed="64"/>
      </patternFill>
    </fill>
    <fill>
      <patternFill patternType="solid">
        <fgColor theme="2" tint="-0.249977111117893"/>
        <bgColor indexed="64"/>
      </patternFill>
    </fill>
    <fill>
      <patternFill patternType="solid">
        <fgColor theme="6" tint="0.59999389629810485"/>
        <bgColor indexed="64"/>
      </patternFill>
    </fill>
    <fill>
      <patternFill patternType="lightUp">
        <bgColor theme="6" tint="0.59999389629810485"/>
      </patternFill>
    </fill>
    <fill>
      <patternFill patternType="solid">
        <fgColor rgb="FF00B050"/>
        <bgColor indexed="64"/>
      </patternFill>
    </fill>
    <fill>
      <patternFill patternType="solid">
        <fgColor theme="7"/>
        <bgColor indexed="64"/>
      </patternFill>
    </fill>
    <fill>
      <patternFill patternType="solid">
        <fgColor rgb="FFA6A6A6"/>
        <bgColor indexed="64"/>
      </patternFill>
    </fill>
    <fill>
      <patternFill patternType="solid">
        <fgColor theme="6" tint="-0.249977111117893"/>
        <bgColor indexed="64"/>
      </patternFill>
    </fill>
    <fill>
      <patternFill patternType="solid">
        <fgColor rgb="FF27CCF9"/>
        <bgColor indexed="64"/>
      </patternFill>
    </fill>
    <fill>
      <patternFill patternType="darkUp">
        <bgColor theme="2" tint="-0.249977111117893"/>
      </patternFill>
    </fill>
    <fill>
      <patternFill patternType="darkUp">
        <bgColor rgb="FF9FC3CD"/>
      </patternFill>
    </fill>
    <fill>
      <patternFill patternType="solid">
        <fgColor rgb="FFC6EFCE"/>
      </patternFill>
    </fill>
    <fill>
      <patternFill patternType="solid">
        <fgColor rgb="FFFFC7CE"/>
      </patternFill>
    </fill>
    <fill>
      <patternFill patternType="solid">
        <fgColor rgb="FFFFEB9C"/>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2D050"/>
        <bgColor indexed="64"/>
      </patternFill>
    </fill>
    <fill>
      <patternFill patternType="solid">
        <fgColor rgb="FFCC99FF"/>
        <bgColor indexed="64"/>
      </patternFill>
    </fill>
    <fill>
      <patternFill patternType="solid">
        <fgColor theme="7" tint="0.39997558519241921"/>
        <bgColor rgb="FF000000"/>
      </patternFill>
    </fill>
    <fill>
      <patternFill patternType="solid">
        <fgColor rgb="FFFFFF99"/>
        <bgColor indexed="64"/>
      </patternFill>
    </fill>
    <fill>
      <patternFill patternType="solid">
        <fgColor rgb="FFFFFF99"/>
        <bgColor rgb="FF000000"/>
      </patternFill>
    </fill>
    <fill>
      <patternFill patternType="solid">
        <fgColor rgb="FF002060"/>
        <bgColor indexed="64"/>
      </patternFill>
    </fill>
    <fill>
      <patternFill patternType="solid">
        <fgColor theme="4" tint="0.79998168889431442"/>
        <bgColor rgb="FF000000"/>
      </patternFill>
    </fill>
    <fill>
      <patternFill patternType="solid">
        <fgColor rgb="FFFF00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0" tint="-0.249977111117893"/>
        <bgColor indexed="64"/>
      </patternFill>
    </fill>
    <fill>
      <patternFill patternType="solid">
        <fgColor theme="4" tint="0.79998168889431442"/>
        <bgColor theme="4" tint="0.79998168889431442"/>
      </patternFill>
    </fill>
  </fills>
  <borders count="139">
    <border>
      <left/>
      <right/>
      <top/>
      <bottom/>
      <diagonal/>
    </border>
    <border>
      <left style="thin">
        <color theme="0"/>
      </left>
      <right style="thin">
        <color theme="0"/>
      </right>
      <top style="thin">
        <color theme="0"/>
      </top>
      <bottom style="thin">
        <color theme="0"/>
      </bottom>
      <diagonal/>
    </border>
    <border>
      <left style="medium">
        <color rgb="FFFFFFFF"/>
      </left>
      <right style="medium">
        <color rgb="FFFFFFFF"/>
      </right>
      <top style="medium">
        <color rgb="FFFFFFFF"/>
      </top>
      <bottom style="medium">
        <color rgb="FFFFFFFF"/>
      </bottom>
      <diagonal/>
    </border>
    <border>
      <left/>
      <right style="medium">
        <color rgb="FFFFFFFF"/>
      </right>
      <top style="medium">
        <color rgb="FFFFFFFF"/>
      </top>
      <bottom style="medium">
        <color rgb="FFFFFFFF"/>
      </bottom>
      <diagonal/>
    </border>
    <border>
      <left style="medium">
        <color rgb="FFFFFFFF"/>
      </left>
      <right style="medium">
        <color rgb="FFFFFFFF"/>
      </right>
      <top/>
      <bottom style="medium">
        <color rgb="FFFFFFFF"/>
      </bottom>
      <diagonal/>
    </border>
    <border>
      <left/>
      <right style="medium">
        <color rgb="FFFFFFFF"/>
      </right>
      <top/>
      <bottom style="medium">
        <color rgb="FFFFFFFF"/>
      </bottom>
      <diagonal/>
    </border>
    <border>
      <left style="medium">
        <color rgb="FFFFFFFF"/>
      </left>
      <right/>
      <top style="medium">
        <color rgb="FFFFFFFF"/>
      </top>
      <bottom style="medium">
        <color rgb="FFFFFFFF"/>
      </bottom>
      <diagonal/>
    </border>
    <border>
      <left/>
      <right/>
      <top style="medium">
        <color rgb="FFFFFFFF"/>
      </top>
      <bottom style="medium">
        <color rgb="FFFFFFFF"/>
      </bottom>
      <diagonal/>
    </border>
    <border>
      <left style="medium">
        <color rgb="FFFFFFFF"/>
      </left>
      <right style="medium">
        <color rgb="FFFFFFFF"/>
      </right>
      <top style="medium">
        <color rgb="FFFFFFFF"/>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style="thin">
        <color theme="0"/>
      </left>
      <right style="thin">
        <color theme="0"/>
      </right>
      <top style="thin">
        <color theme="0"/>
      </top>
      <bottom/>
      <diagonal/>
    </border>
    <border>
      <left style="thin">
        <color theme="0"/>
      </left>
      <right/>
      <top style="medium">
        <color theme="0" tint="-0.34998626667073579"/>
      </top>
      <bottom style="thin">
        <color theme="0"/>
      </bottom>
      <diagonal/>
    </border>
    <border>
      <left/>
      <right/>
      <top style="medium">
        <color theme="0" tint="-0.34998626667073579"/>
      </top>
      <bottom style="thin">
        <color theme="0"/>
      </bottom>
      <diagonal/>
    </border>
    <border>
      <left/>
      <right style="thin">
        <color theme="0"/>
      </right>
      <top style="medium">
        <color theme="0" tint="-0.34998626667073579"/>
      </top>
      <bottom style="thin">
        <color theme="0"/>
      </bottom>
      <diagonal/>
    </border>
    <border>
      <left style="thin">
        <color theme="0"/>
      </left>
      <right/>
      <top style="thin">
        <color theme="0"/>
      </top>
      <bottom style="medium">
        <color theme="0" tint="-0.34998626667073579"/>
      </bottom>
      <diagonal/>
    </border>
    <border>
      <left/>
      <right/>
      <top style="thin">
        <color theme="0"/>
      </top>
      <bottom style="medium">
        <color theme="0" tint="-0.34998626667073579"/>
      </bottom>
      <diagonal/>
    </border>
    <border>
      <left/>
      <right style="thin">
        <color theme="0"/>
      </right>
      <top style="thin">
        <color theme="0"/>
      </top>
      <bottom style="medium">
        <color theme="0" tint="-0.34998626667073579"/>
      </bottom>
      <diagonal/>
    </border>
    <border>
      <left style="medium">
        <color rgb="FFFFFFFF"/>
      </left>
      <right style="medium">
        <color rgb="FFFFFFFF"/>
      </right>
      <top style="medium">
        <color rgb="FFFFFFFF"/>
      </top>
      <bottom style="medium">
        <color theme="1" tint="0.34998626667073579"/>
      </bottom>
      <diagonal/>
    </border>
    <border>
      <left/>
      <right style="medium">
        <color rgb="FFFFFFFF"/>
      </right>
      <top style="medium">
        <color rgb="FFFFFFFF"/>
      </top>
      <bottom style="medium">
        <color theme="1" tint="0.34998626667073579"/>
      </bottom>
      <diagonal/>
    </border>
    <border>
      <left style="thin">
        <color theme="0"/>
      </left>
      <right style="thin">
        <color theme="0"/>
      </right>
      <top style="thin">
        <color theme="0"/>
      </top>
      <bottom style="medium">
        <color theme="1" tint="0.34998626667073579"/>
      </bottom>
      <diagonal/>
    </border>
    <border>
      <left style="medium">
        <color rgb="FFFFFFFF"/>
      </left>
      <right/>
      <top/>
      <bottom/>
      <diagonal/>
    </border>
    <border>
      <left/>
      <right style="thin">
        <color theme="0"/>
      </right>
      <top/>
      <bottom/>
      <diagonal/>
    </border>
    <border>
      <left style="medium">
        <color rgb="FFFFFFFF"/>
      </left>
      <right/>
      <top/>
      <bottom style="medium">
        <color rgb="FFFFFFFF"/>
      </bottom>
      <diagonal/>
    </border>
    <border>
      <left style="medium">
        <color rgb="FFFFFFFF"/>
      </left>
      <right/>
      <top style="medium">
        <color rgb="FFFFFFFF"/>
      </top>
      <bottom/>
      <diagonal/>
    </border>
    <border>
      <left/>
      <right/>
      <top style="medium">
        <color rgb="FFFFFFFF"/>
      </top>
      <bottom/>
      <diagonal/>
    </border>
    <border>
      <left style="medium">
        <color rgb="FFFFFFFF"/>
      </left>
      <right/>
      <top style="medium">
        <color rgb="FFFFFFFF"/>
      </top>
      <bottom style="medium">
        <color theme="1" tint="0.34998626667073579"/>
      </bottom>
      <diagonal/>
    </border>
    <border>
      <left style="medium">
        <color rgb="FFFFFFFF"/>
      </left>
      <right/>
      <top style="medium">
        <color theme="1" tint="0.34998626667073579"/>
      </top>
      <bottom style="medium">
        <color rgb="FFFFFFFF"/>
      </bottom>
      <diagonal/>
    </border>
    <border>
      <left/>
      <right style="medium">
        <color rgb="FFFFFFFF"/>
      </right>
      <top style="medium">
        <color theme="1" tint="0.34998626667073579"/>
      </top>
      <bottom style="medium">
        <color rgb="FFFFFFFF"/>
      </bottom>
      <diagonal/>
    </border>
    <border>
      <left style="medium">
        <color rgb="FFFFFFFF"/>
      </left>
      <right/>
      <top style="thin">
        <color theme="0"/>
      </top>
      <bottom style="medium">
        <color theme="1" tint="0.34998626667073579"/>
      </bottom>
      <diagonal/>
    </border>
    <border>
      <left style="medium">
        <color rgb="FFFFFFFF"/>
      </left>
      <right style="medium">
        <color theme="0"/>
      </right>
      <top style="thin">
        <color theme="0"/>
      </top>
      <bottom style="medium">
        <color theme="0"/>
      </bottom>
      <diagonal/>
    </border>
    <border>
      <left style="thin">
        <color theme="0"/>
      </left>
      <right/>
      <top/>
      <bottom style="medium">
        <color rgb="FFFFFFFF"/>
      </bottom>
      <diagonal/>
    </border>
    <border>
      <left/>
      <right/>
      <top/>
      <bottom style="medium">
        <color rgb="FFFFFFFF"/>
      </bottom>
      <diagonal/>
    </border>
    <border>
      <left/>
      <right/>
      <top style="thin">
        <color theme="0"/>
      </top>
      <bottom/>
      <diagonal/>
    </border>
    <border>
      <left style="medium">
        <color rgb="FFFFFFFF"/>
      </left>
      <right style="medium">
        <color theme="0"/>
      </right>
      <top style="medium">
        <color rgb="FFFFFFFF"/>
      </top>
      <bottom style="medium">
        <color rgb="FFFFFFFF"/>
      </bottom>
      <diagonal/>
    </border>
    <border>
      <left style="medium">
        <color theme="0"/>
      </left>
      <right/>
      <top style="medium">
        <color rgb="FFFFFFFF"/>
      </top>
      <bottom style="medium">
        <color rgb="FFFFFFFF"/>
      </bottom>
      <diagonal/>
    </border>
    <border>
      <left/>
      <right style="medium">
        <color rgb="FFFFFFFF"/>
      </right>
      <top/>
      <bottom/>
      <diagonal/>
    </border>
    <border>
      <left style="thin">
        <color theme="0"/>
      </left>
      <right style="medium">
        <color theme="0"/>
      </right>
      <top style="medium">
        <color theme="1" tint="0.34998626667073579"/>
      </top>
      <bottom/>
      <diagonal/>
    </border>
    <border>
      <left style="medium">
        <color rgb="FFFFFFFF"/>
      </left>
      <right style="medium">
        <color theme="0"/>
      </right>
      <top style="medium">
        <color theme="1" tint="0.34998626667073579"/>
      </top>
      <bottom/>
      <diagonal/>
    </border>
    <border>
      <left style="thin">
        <color theme="0"/>
      </left>
      <right style="thin">
        <color theme="0"/>
      </right>
      <top/>
      <bottom style="thin">
        <color theme="0"/>
      </bottom>
      <diagonal/>
    </border>
    <border>
      <left style="medium">
        <color theme="0"/>
      </left>
      <right style="medium">
        <color theme="0"/>
      </right>
      <top style="medium">
        <color theme="0"/>
      </top>
      <bottom style="medium">
        <color theme="0"/>
      </bottom>
      <diagonal/>
    </border>
    <border>
      <left/>
      <right style="thin">
        <color theme="0"/>
      </right>
      <top style="thin">
        <color theme="0"/>
      </top>
      <bottom/>
      <diagonal/>
    </border>
    <border>
      <left style="medium">
        <color rgb="FFFFFFFF"/>
      </left>
      <right/>
      <top style="thin">
        <color theme="0"/>
      </top>
      <bottom style="medium">
        <color rgb="FFFFFFFF"/>
      </bottom>
      <diagonal/>
    </border>
    <border>
      <left/>
      <right/>
      <top style="thin">
        <color theme="0"/>
      </top>
      <bottom style="medium">
        <color rgb="FFFFFFFF"/>
      </bottom>
      <diagonal/>
    </border>
    <border>
      <left/>
      <right style="thin">
        <color theme="0"/>
      </right>
      <top style="thin">
        <color theme="0"/>
      </top>
      <bottom style="medium">
        <color rgb="FFFFFFFF"/>
      </bottom>
      <diagonal/>
    </border>
    <border>
      <left/>
      <right style="medium">
        <color theme="0"/>
      </right>
      <top style="medium">
        <color theme="0"/>
      </top>
      <bottom style="medium">
        <color theme="0"/>
      </bottom>
      <diagonal/>
    </border>
    <border>
      <left/>
      <right style="medium">
        <color rgb="FFFFFFFF"/>
      </right>
      <top style="medium">
        <color rgb="FFFFFFFF"/>
      </top>
      <bottom/>
      <diagonal/>
    </border>
    <border>
      <left style="medium">
        <color theme="0"/>
      </left>
      <right style="medium">
        <color theme="0"/>
      </right>
      <top style="medium">
        <color theme="0"/>
      </top>
      <bottom/>
      <diagonal/>
    </border>
    <border>
      <left style="medium">
        <color rgb="FFFFFFFF"/>
      </left>
      <right/>
      <top style="medium">
        <color theme="1" tint="0.34998626667073579"/>
      </top>
      <bottom/>
      <diagonal/>
    </border>
    <border>
      <left style="medium">
        <color rgb="FFFFFFFF"/>
      </left>
      <right style="medium">
        <color theme="0"/>
      </right>
      <top style="medium">
        <color rgb="FFFFFFFF"/>
      </top>
      <bottom/>
      <diagonal/>
    </border>
    <border>
      <left style="medium">
        <color theme="0"/>
      </left>
      <right/>
      <top style="medium">
        <color rgb="FFFFFFFF"/>
      </top>
      <bottom/>
      <diagonal/>
    </border>
    <border>
      <left style="medium">
        <color rgb="FFFFFFFF"/>
      </left>
      <right/>
      <top style="thin">
        <color theme="0"/>
      </top>
      <bottom/>
      <diagonal/>
    </border>
    <border>
      <left/>
      <right style="medium">
        <color rgb="FFFFFFFF"/>
      </right>
      <top style="medium">
        <color rgb="FFFFFFFF"/>
      </top>
      <bottom style="thin">
        <color theme="0"/>
      </bottom>
      <diagonal/>
    </border>
    <border>
      <left style="medium">
        <color rgb="FFFFFFFF"/>
      </left>
      <right style="medium">
        <color theme="0"/>
      </right>
      <top/>
      <bottom/>
      <diagonal/>
    </border>
    <border>
      <left style="thin">
        <color theme="0"/>
      </left>
      <right style="medium">
        <color rgb="FFFFFFFF"/>
      </right>
      <top style="medium">
        <color rgb="FFFFFFFF"/>
      </top>
      <bottom style="thin">
        <color theme="0"/>
      </bottom>
      <diagonal/>
    </border>
    <border>
      <left/>
      <right/>
      <top style="medium">
        <color rgb="FFFFFFFF"/>
      </top>
      <bottom style="thin">
        <color theme="0"/>
      </bottom>
      <diagonal/>
    </border>
    <border>
      <left style="medium">
        <color rgb="FFFFFFFF"/>
      </left>
      <right style="medium">
        <color rgb="FFFFFFFF"/>
      </right>
      <top/>
      <bottom/>
      <diagonal/>
    </border>
    <border>
      <left style="medium">
        <color rgb="FFFFFFFF"/>
      </left>
      <right style="medium">
        <color rgb="FFFFFFFF"/>
      </right>
      <top style="thin">
        <color theme="4" tint="0.39997558519241921"/>
      </top>
      <bottom style="medium">
        <color rgb="FFFFFFFF"/>
      </bottom>
      <diagonal/>
    </border>
    <border>
      <left/>
      <right style="thin">
        <color theme="0"/>
      </right>
      <top/>
      <bottom style="medium">
        <color rgb="FFFFFFFF"/>
      </bottom>
      <diagonal/>
    </border>
    <border>
      <left style="medium">
        <color theme="0"/>
      </left>
      <right/>
      <top style="medium">
        <color theme="0"/>
      </top>
      <bottom style="medium">
        <color theme="0"/>
      </bottom>
      <diagonal/>
    </border>
    <border>
      <left/>
      <right/>
      <top style="medium">
        <color theme="0"/>
      </top>
      <bottom style="medium">
        <color theme="0"/>
      </bottom>
      <diagonal/>
    </border>
    <border>
      <left/>
      <right/>
      <top/>
      <bottom style="medium">
        <color theme="3"/>
      </bottom>
      <diagonal/>
    </border>
    <border>
      <left style="medium">
        <color theme="0"/>
      </left>
      <right/>
      <top/>
      <bottom/>
      <diagonal/>
    </border>
    <border>
      <left/>
      <right style="medium">
        <color theme="0"/>
      </right>
      <top style="thin">
        <color theme="0"/>
      </top>
      <bottom style="medium">
        <color theme="0" tint="-0.34998626667073579"/>
      </bottom>
      <diagonal/>
    </border>
    <border>
      <left style="thin">
        <color theme="0"/>
      </left>
      <right/>
      <top/>
      <bottom style="medium">
        <color theme="0" tint="-0.34998626667073579"/>
      </bottom>
      <diagonal/>
    </border>
    <border>
      <left/>
      <right/>
      <top/>
      <bottom style="medium">
        <color theme="0" tint="-0.34998626667073579"/>
      </bottom>
      <diagonal/>
    </border>
    <border>
      <left style="thin">
        <color theme="0"/>
      </left>
      <right style="thin">
        <color theme="0"/>
      </right>
      <top/>
      <bottom/>
      <diagonal/>
    </border>
    <border>
      <left style="medium">
        <color theme="2" tint="-0.499984740745262"/>
      </left>
      <right style="medium">
        <color theme="2" tint="-0.499984740745262"/>
      </right>
      <top style="medium">
        <color theme="2" tint="-0.499984740745262"/>
      </top>
      <bottom style="medium">
        <color theme="2" tint="-0.499984740745262"/>
      </bottom>
      <diagonal/>
    </border>
    <border>
      <left style="thin">
        <color theme="0"/>
      </left>
      <right/>
      <top style="medium">
        <color theme="0" tint="-0.34998626667073579"/>
      </top>
      <bottom style="medium">
        <color theme="0" tint="-0.34998626667073579"/>
      </bottom>
      <diagonal/>
    </border>
    <border>
      <left/>
      <right/>
      <top style="medium">
        <color theme="0" tint="-0.34998626667073579"/>
      </top>
      <bottom style="medium">
        <color theme="0" tint="-0.34998626667073579"/>
      </bottom>
      <diagonal/>
    </border>
    <border>
      <left/>
      <right style="thin">
        <color theme="0"/>
      </right>
      <top style="medium">
        <color theme="0" tint="-0.34998626667073579"/>
      </top>
      <bottom style="medium">
        <color theme="0" tint="-0.34998626667073579"/>
      </bottom>
      <diagonal/>
    </border>
    <border>
      <left style="medium">
        <color theme="0"/>
      </left>
      <right style="medium">
        <color rgb="FFFFFFFF"/>
      </right>
      <top style="medium">
        <color rgb="FFFFFFFF"/>
      </top>
      <bottom style="medium">
        <color rgb="FFFFFFFF"/>
      </bottom>
      <diagonal/>
    </border>
    <border>
      <left style="medium">
        <color theme="0"/>
      </left>
      <right style="medium">
        <color theme="0"/>
      </right>
      <top style="medium">
        <color rgb="FFFFFFFF"/>
      </top>
      <bottom style="medium">
        <color rgb="FFFFFFFF"/>
      </bottom>
      <diagonal/>
    </border>
    <border>
      <left style="medium">
        <color theme="0"/>
      </left>
      <right style="medium">
        <color rgb="FFFFFFFF"/>
      </right>
      <top style="medium">
        <color rgb="FFFFFFFF"/>
      </top>
      <bottom style="medium">
        <color theme="1" tint="0.34998626667073579"/>
      </bottom>
      <diagonal/>
    </border>
    <border>
      <left style="medium">
        <color rgb="FFFFFFFF"/>
      </left>
      <right style="medium">
        <color theme="0"/>
      </right>
      <top style="medium">
        <color rgb="FFFFFFFF"/>
      </top>
      <bottom style="medium">
        <color theme="1" tint="0.34998626667073579"/>
      </bottom>
      <diagonal/>
    </border>
    <border>
      <left style="medium">
        <color theme="0"/>
      </left>
      <right style="medium">
        <color rgb="FFFFFFFF"/>
      </right>
      <top/>
      <bottom style="medium">
        <color rgb="FFFFFFF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theme="0"/>
      </left>
      <right/>
      <top style="thin">
        <color theme="0"/>
      </top>
      <bottom style="medium">
        <color rgb="FFFFFFFF"/>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BFBFBF"/>
      </left>
      <right style="thin">
        <color rgb="FFBFBFBF"/>
      </right>
      <top style="thin">
        <color rgb="FFBFBFBF"/>
      </top>
      <bottom style="thin">
        <color rgb="FFBFBFBF"/>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medium">
        <color theme="0"/>
      </left>
      <right style="medium">
        <color theme="0"/>
      </right>
      <top style="medium">
        <color theme="0"/>
      </top>
      <bottom style="thin">
        <color theme="0"/>
      </bottom>
      <diagonal/>
    </border>
    <border>
      <left style="medium">
        <color theme="0"/>
      </left>
      <right style="medium">
        <color theme="0"/>
      </right>
      <top style="thin">
        <color theme="0"/>
      </top>
      <bottom style="thin">
        <color theme="0"/>
      </bottom>
      <diagonal/>
    </border>
    <border>
      <left style="medium">
        <color theme="0"/>
      </left>
      <right style="medium">
        <color theme="0"/>
      </right>
      <top style="thin">
        <color theme="0"/>
      </top>
      <bottom style="medium">
        <color theme="0"/>
      </bottom>
      <diagonal/>
    </border>
    <border>
      <left style="medium">
        <color rgb="FFFFFFFF"/>
      </left>
      <right style="thin">
        <color theme="0"/>
      </right>
      <top style="medium">
        <color rgb="FFFFFFFF"/>
      </top>
      <bottom style="medium">
        <color rgb="FFFFFFFF"/>
      </bottom>
      <diagonal/>
    </border>
    <border>
      <left style="medium">
        <color theme="0"/>
      </left>
      <right style="medium">
        <color theme="0"/>
      </right>
      <top style="medium">
        <color rgb="FFFFFFFF"/>
      </top>
      <bottom/>
      <diagonal/>
    </border>
    <border>
      <left style="medium">
        <color theme="0"/>
      </left>
      <right style="thin">
        <color theme="0"/>
      </right>
      <top style="thin">
        <color theme="0"/>
      </top>
      <bottom style="thin">
        <color theme="0"/>
      </bottom>
      <diagonal/>
    </border>
    <border>
      <left style="medium">
        <color theme="0"/>
      </left>
      <right style="medium">
        <color theme="0"/>
      </right>
      <top style="medium">
        <color theme="0"/>
      </top>
      <bottom style="medium">
        <color rgb="FFFFFFFF"/>
      </bottom>
      <diagonal/>
    </border>
    <border>
      <left/>
      <right style="medium">
        <color rgb="FFFFFFFF"/>
      </right>
      <top style="thin">
        <color theme="0"/>
      </top>
      <bottom style="medium">
        <color rgb="FFFFFFFF"/>
      </bottom>
      <diagonal/>
    </border>
    <border>
      <left/>
      <right style="medium">
        <color theme="0"/>
      </right>
      <top style="thin">
        <color theme="0"/>
      </top>
      <bottom style="medium">
        <color rgb="FFFFFFFF"/>
      </bottom>
      <diagonal/>
    </border>
    <border>
      <left/>
      <right style="medium">
        <color theme="0"/>
      </right>
      <top style="medium">
        <color rgb="FFFFFFFF"/>
      </top>
      <bottom style="medium">
        <color rgb="FFFFFFFF"/>
      </bottom>
      <diagonal/>
    </border>
    <border>
      <left style="thin">
        <color theme="0"/>
      </left>
      <right style="medium">
        <color theme="0"/>
      </right>
      <top/>
      <bottom style="thin">
        <color theme="0"/>
      </bottom>
      <diagonal/>
    </border>
    <border>
      <left style="thin">
        <color theme="0"/>
      </left>
      <right style="medium">
        <color theme="0"/>
      </right>
      <top style="thin">
        <color theme="0"/>
      </top>
      <bottom style="thin">
        <color theme="0"/>
      </bottom>
      <diagonal/>
    </border>
    <border>
      <left/>
      <right style="medium">
        <color theme="0"/>
      </right>
      <top/>
      <bottom style="medium">
        <color rgb="FFFFFFFF"/>
      </bottom>
      <diagonal/>
    </border>
    <border>
      <left style="medium">
        <color rgb="FFFFFFFF"/>
      </left>
      <right style="medium">
        <color rgb="FFFFFFFF"/>
      </right>
      <top style="thin">
        <color theme="0"/>
      </top>
      <bottom style="thin">
        <color theme="0"/>
      </bottom>
      <diagonal/>
    </border>
    <border>
      <left style="medium">
        <color theme="0"/>
      </left>
      <right style="medium">
        <color theme="0"/>
      </right>
      <top/>
      <bottom style="medium">
        <color rgb="FFFFFFFF"/>
      </bottom>
      <diagonal/>
    </border>
    <border>
      <left style="medium">
        <color theme="0"/>
      </left>
      <right style="medium">
        <color theme="0"/>
      </right>
      <top style="medium">
        <color rgb="FFFFFFFF"/>
      </top>
      <bottom style="medium">
        <color theme="0"/>
      </bottom>
      <diagonal/>
    </border>
    <border>
      <left style="medium">
        <color theme="0"/>
      </left>
      <right style="medium">
        <color theme="0"/>
      </right>
      <top style="medium">
        <color theme="0"/>
      </top>
      <bottom style="medium">
        <color theme="1" tint="0.249977111117893"/>
      </bottom>
      <diagonal/>
    </border>
    <border>
      <left/>
      <right style="medium">
        <color theme="0"/>
      </right>
      <top style="medium">
        <color rgb="FFFFFFFF"/>
      </top>
      <bottom/>
      <diagonal/>
    </border>
    <border>
      <left style="medium">
        <color theme="0"/>
      </left>
      <right style="medium">
        <color theme="0"/>
      </right>
      <top/>
      <bottom style="thin">
        <color theme="0"/>
      </bottom>
      <diagonal/>
    </border>
    <border>
      <left style="medium">
        <color theme="0"/>
      </left>
      <right/>
      <top style="medium">
        <color theme="0"/>
      </top>
      <bottom style="thin">
        <color theme="0"/>
      </bottom>
      <diagonal/>
    </border>
    <border>
      <left style="medium">
        <color theme="0"/>
      </left>
      <right/>
      <top style="medium">
        <color rgb="FFFFFFFF"/>
      </top>
      <bottom style="thin">
        <color theme="0"/>
      </bottom>
      <diagonal/>
    </border>
    <border>
      <left style="medium">
        <color theme="0"/>
      </left>
      <right style="medium">
        <color theme="0"/>
      </right>
      <top/>
      <bottom/>
      <diagonal/>
    </border>
    <border>
      <left style="medium">
        <color theme="0"/>
      </left>
      <right/>
      <top/>
      <bottom style="medium">
        <color rgb="FFFFFFFF"/>
      </bottom>
      <diagonal/>
    </border>
    <border>
      <left style="medium">
        <color theme="0"/>
      </left>
      <right style="medium">
        <color theme="0"/>
      </right>
      <top style="medium">
        <color theme="1" tint="0.34998626667073579"/>
      </top>
      <bottom/>
      <diagonal/>
    </border>
    <border>
      <left style="medium">
        <color theme="0"/>
      </left>
      <right/>
      <top style="thin">
        <color theme="0"/>
      </top>
      <bottom style="thin">
        <color theme="0"/>
      </bottom>
      <diagonal/>
    </border>
    <border>
      <left style="medium">
        <color theme="0"/>
      </left>
      <right/>
      <top style="medium">
        <color theme="1" tint="0.34998626667073579"/>
      </top>
      <bottom/>
      <diagonal/>
    </border>
    <border>
      <left style="medium">
        <color theme="0"/>
      </left>
      <right/>
      <top style="medium">
        <color rgb="FFFFFFFF"/>
      </top>
      <bottom style="medium">
        <color theme="0"/>
      </bottom>
      <diagonal/>
    </border>
    <border>
      <left style="medium">
        <color theme="0"/>
      </left>
      <right style="medium">
        <color theme="0"/>
      </right>
      <top/>
      <bottom style="medium">
        <color theme="0"/>
      </bottom>
      <diagonal/>
    </border>
    <border>
      <left style="medium">
        <color rgb="FFFFFFFF"/>
      </left>
      <right style="medium">
        <color theme="0"/>
      </right>
      <top/>
      <bottom style="medium">
        <color rgb="FFFFFFFF"/>
      </bottom>
      <diagonal/>
    </border>
    <border>
      <left style="medium">
        <color rgb="FFFFFFFF"/>
      </left>
      <right style="medium">
        <color rgb="FFFFFFFF"/>
      </right>
      <top style="medium">
        <color rgb="FFFFFFFF"/>
      </top>
      <bottom style="thin">
        <color indexed="64"/>
      </bottom>
      <diagonal/>
    </border>
    <border>
      <left style="medium">
        <color rgb="FFFFFFFF"/>
      </left>
      <right/>
      <top style="medium">
        <color rgb="FFFFFFFF"/>
      </top>
      <bottom style="thin">
        <color indexed="64"/>
      </bottom>
      <diagonal/>
    </border>
    <border>
      <left style="hair">
        <color auto="1"/>
      </left>
      <right style="hair">
        <color auto="1"/>
      </right>
      <top style="hair">
        <color auto="1"/>
      </top>
      <bottom style="hair">
        <color auto="1"/>
      </bottom>
      <diagonal/>
    </border>
    <border>
      <left/>
      <right style="medium">
        <color theme="0"/>
      </right>
      <top/>
      <bottom style="medium">
        <color theme="0"/>
      </bottom>
      <diagonal/>
    </border>
    <border>
      <left/>
      <right style="medium">
        <color theme="0"/>
      </right>
      <top style="medium">
        <color theme="0"/>
      </top>
      <bottom/>
      <diagonal/>
    </border>
    <border>
      <left/>
      <right/>
      <top style="hair">
        <color auto="1"/>
      </top>
      <bottom style="hair">
        <color auto="1"/>
      </bottom>
      <diagonal/>
    </border>
    <border>
      <left/>
      <right/>
      <top/>
      <bottom style="hair">
        <color auto="1"/>
      </bottom>
      <diagonal/>
    </border>
    <border>
      <left style="hair">
        <color auto="1"/>
      </left>
      <right style="hair">
        <color auto="1"/>
      </right>
      <top style="hair">
        <color auto="1"/>
      </top>
      <bottom/>
      <diagonal/>
    </border>
    <border>
      <left/>
      <right/>
      <top/>
      <bottom style="thin">
        <color auto="1"/>
      </bottom>
      <diagonal/>
    </border>
    <border>
      <left/>
      <right/>
      <top style="hair">
        <color auto="1"/>
      </top>
      <bottom/>
      <diagonal/>
    </border>
    <border>
      <left style="medium">
        <color theme="5"/>
      </left>
      <right style="medium">
        <color theme="5"/>
      </right>
      <top style="medium">
        <color theme="5"/>
      </top>
      <bottom style="medium">
        <color theme="5"/>
      </bottom>
      <diagonal/>
    </border>
    <border>
      <left/>
      <right/>
      <top/>
      <bottom style="medium">
        <color theme="0"/>
      </bottom>
      <diagonal/>
    </border>
    <border>
      <left/>
      <right style="medium">
        <color theme="0"/>
      </right>
      <top style="thin">
        <color theme="4" tint="0.39997558519241921"/>
      </top>
      <bottom style="medium">
        <color theme="0"/>
      </bottom>
      <diagonal/>
    </border>
    <border>
      <left style="medium">
        <color theme="0"/>
      </left>
      <right style="medium">
        <color theme="0"/>
      </right>
      <top style="medium">
        <color theme="0"/>
      </top>
      <bottom style="thin">
        <color theme="4" tint="0.39997558519241921"/>
      </bottom>
      <diagonal/>
    </border>
    <border>
      <left style="thin">
        <color theme="0"/>
      </left>
      <right/>
      <top style="medium">
        <color theme="0" tint="-0.34998626667073579"/>
      </top>
      <bottom/>
      <diagonal/>
    </border>
    <border>
      <left/>
      <right/>
      <top style="medium">
        <color theme="0" tint="-0.34998626667073579"/>
      </top>
      <bottom/>
      <diagonal/>
    </border>
    <border>
      <left style="medium">
        <color theme="0"/>
      </left>
      <right style="thin">
        <color theme="0"/>
      </right>
      <top style="medium">
        <color rgb="FFFFFFFF"/>
      </top>
      <bottom style="medium">
        <color rgb="FFFFFFFF"/>
      </bottom>
      <diagonal/>
    </border>
    <border>
      <left style="thin">
        <color theme="0"/>
      </left>
      <right/>
      <top/>
      <bottom/>
      <diagonal/>
    </border>
    <border>
      <left/>
      <right style="medium">
        <color rgb="FFFFFFFF"/>
      </right>
      <top/>
      <bottom style="thin">
        <color theme="0"/>
      </bottom>
      <diagonal/>
    </border>
    <border>
      <left/>
      <right style="medium">
        <color rgb="FFFFFFFF"/>
      </right>
      <top style="thin">
        <color theme="0"/>
      </top>
      <bottom style="thin">
        <color theme="0"/>
      </bottom>
      <diagonal/>
    </border>
  </borders>
  <cellStyleXfs count="66">
    <xf numFmtId="0" fontId="0" fillId="0" borderId="0"/>
    <xf numFmtId="9" fontId="3" fillId="0" borderId="0" applyFont="0" applyFill="0" applyBorder="0" applyAlignment="0" applyProtection="0"/>
    <xf numFmtId="0" fontId="8" fillId="0" borderId="0"/>
    <xf numFmtId="43" fontId="3" fillId="0" borderId="0" applyFont="0" applyFill="0" applyBorder="0" applyAlignment="0" applyProtection="0"/>
    <xf numFmtId="0" fontId="30" fillId="0" borderId="0"/>
    <xf numFmtId="0" fontId="31" fillId="0" borderId="0" applyNumberFormat="0" applyFill="0" applyBorder="0" applyAlignment="0" applyProtection="0">
      <alignment vertical="top"/>
      <protection locked="0"/>
    </xf>
    <xf numFmtId="44" fontId="3" fillId="0" borderId="0" applyFont="0" applyFill="0" applyBorder="0" applyAlignment="0" applyProtection="0"/>
    <xf numFmtId="43" fontId="3" fillId="0" borderId="0" applyFont="0" applyFill="0" applyBorder="0" applyAlignment="0" applyProtection="0"/>
    <xf numFmtId="0" fontId="32" fillId="0" borderId="0" applyNumberFormat="0" applyFill="0" applyBorder="0" applyAlignment="0" applyProtection="0">
      <alignment vertical="top"/>
      <protection locked="0"/>
    </xf>
    <xf numFmtId="43" fontId="3" fillId="0" borderId="0" applyFont="0" applyFill="0" applyBorder="0" applyAlignment="0" applyProtection="0"/>
    <xf numFmtId="0" fontId="45" fillId="0" borderId="0" applyNumberFormat="0" applyFill="0" applyBorder="0" applyAlignment="0" applyProtection="0"/>
    <xf numFmtId="0" fontId="63" fillId="0" borderId="0" applyNumberFormat="0" applyFill="0" applyBorder="0" applyAlignment="0" applyProtection="0"/>
    <xf numFmtId="0" fontId="64" fillId="27" borderId="0" applyNumberFormat="0" applyBorder="0" applyAlignment="0" applyProtection="0"/>
    <xf numFmtId="0" fontId="65" fillId="28" borderId="0" applyNumberFormat="0" applyBorder="0" applyAlignment="0" applyProtection="0"/>
    <xf numFmtId="0" fontId="66" fillId="29" borderId="0" applyNumberFormat="0" applyBorder="0" applyAlignment="0" applyProtection="0"/>
    <xf numFmtId="0" fontId="36" fillId="30" borderId="82" applyNumberFormat="0" applyAlignment="0" applyProtection="0"/>
    <xf numFmtId="0" fontId="26"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26"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26"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26" fillId="44"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7" borderId="0" applyNumberFormat="0" applyBorder="0" applyAlignment="0" applyProtection="0"/>
    <xf numFmtId="0" fontId="26" fillId="48" borderId="0" applyNumberFormat="0" applyBorder="0" applyAlignment="0" applyProtection="0"/>
    <xf numFmtId="0" fontId="3" fillId="49" borderId="0" applyNumberFormat="0" applyBorder="0" applyAlignment="0" applyProtection="0"/>
    <xf numFmtId="0" fontId="3" fillId="50" borderId="0" applyNumberFormat="0" applyBorder="0" applyAlignment="0" applyProtection="0"/>
    <xf numFmtId="0" fontId="3" fillId="51" borderId="0" applyNumberFormat="0" applyBorder="0" applyAlignment="0" applyProtection="0"/>
    <xf numFmtId="0" fontId="26" fillId="52" borderId="0" applyNumberFormat="0" applyBorder="0" applyAlignment="0" applyProtection="0"/>
    <xf numFmtId="0" fontId="3" fillId="53" borderId="0" applyNumberFormat="0" applyBorder="0" applyAlignment="0" applyProtection="0"/>
    <xf numFmtId="0" fontId="3" fillId="54" borderId="0" applyNumberFormat="0" applyBorder="0" applyAlignment="0" applyProtection="0"/>
    <xf numFmtId="0" fontId="3" fillId="55" borderId="0" applyNumberFormat="0" applyBorder="0" applyAlignment="0" applyProtection="0"/>
    <xf numFmtId="0" fontId="8" fillId="57" borderId="85" applyNumberFormat="0" applyAlignment="0" applyProtection="0"/>
    <xf numFmtId="0" fontId="67" fillId="58" borderId="86" applyNumberFormat="0" applyProtection="0">
      <alignment vertical="center"/>
    </xf>
    <xf numFmtId="43" fontId="30" fillId="0" borderId="0" applyFont="0" applyFill="0" applyBorder="0" applyAlignment="0" applyProtection="0"/>
    <xf numFmtId="43" fontId="30" fillId="0" borderId="0" applyFont="0" applyFill="0" applyBorder="0" applyAlignment="0" applyProtection="0"/>
    <xf numFmtId="0" fontId="68" fillId="0" borderId="0" applyNumberFormat="0" applyFill="0" applyBorder="0" applyAlignment="0" applyProtection="0"/>
    <xf numFmtId="0" fontId="69" fillId="0" borderId="0" applyNumberFormat="0" applyFill="0" applyBorder="0" applyAlignment="0" applyProtection="0"/>
    <xf numFmtId="0" fontId="8" fillId="59" borderId="81" applyNumberFormat="0" applyBorder="0" applyAlignment="0" applyProtection="0"/>
    <xf numFmtId="0" fontId="8" fillId="60" borderId="0">
      <alignment vertical="center"/>
    </xf>
    <xf numFmtId="0" fontId="8" fillId="56" borderId="87" applyNumberFormat="0" applyAlignment="0" applyProtection="0"/>
    <xf numFmtId="0" fontId="70" fillId="0" borderId="0"/>
    <xf numFmtId="0" fontId="30" fillId="31" borderId="83" applyNumberFormat="0" applyFont="0" applyAlignment="0" applyProtection="0"/>
    <xf numFmtId="0" fontId="62" fillId="61" borderId="88" applyNumberFormat="0" applyAlignment="0" applyProtection="0"/>
    <xf numFmtId="9" fontId="70" fillId="0" borderId="0" applyFont="0" applyFill="0" applyBorder="0" applyAlignment="0" applyProtection="0"/>
    <xf numFmtId="0" fontId="8" fillId="62" borderId="89" applyNumberFormat="0" applyProtection="0">
      <alignment vertical="center"/>
    </xf>
    <xf numFmtId="0" fontId="62" fillId="63" borderId="0" applyNumberFormat="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 fillId="0" borderId="0" applyFont="0" applyFill="0" applyBorder="0" applyAlignment="0" applyProtection="0"/>
    <xf numFmtId="4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cellStyleXfs>
  <cellXfs count="648">
    <xf numFmtId="0" fontId="0" fillId="0" borderId="0" xfId="0"/>
    <xf numFmtId="0" fontId="0" fillId="0" borderId="1" xfId="0" applyBorder="1"/>
    <xf numFmtId="0" fontId="4" fillId="2" borderId="2" xfId="0" applyFont="1" applyFill="1" applyBorder="1" applyAlignment="1">
      <alignment vertical="center" wrapText="1"/>
    </xf>
    <xf numFmtId="0" fontId="4" fillId="2" borderId="3" xfId="0" applyFont="1" applyFill="1" applyBorder="1" applyAlignment="1">
      <alignment vertical="center" wrapText="1"/>
    </xf>
    <xf numFmtId="0" fontId="5" fillId="3" borderId="4" xfId="0" applyFont="1" applyFill="1" applyBorder="1" applyAlignment="1">
      <alignment vertical="center" wrapText="1"/>
    </xf>
    <xf numFmtId="0" fontId="5" fillId="3" borderId="5" xfId="0" applyFont="1" applyFill="1" applyBorder="1" applyAlignment="1">
      <alignment vertical="center" wrapText="1"/>
    </xf>
    <xf numFmtId="0" fontId="5" fillId="4" borderId="4" xfId="0" applyFont="1" applyFill="1" applyBorder="1" applyAlignment="1">
      <alignment vertical="center" wrapText="1"/>
    </xf>
    <xf numFmtId="0" fontId="0" fillId="0" borderId="16" xfId="0" applyBorder="1"/>
    <xf numFmtId="0" fontId="4" fillId="2" borderId="5" xfId="0" applyFont="1" applyFill="1" applyBorder="1" applyAlignment="1">
      <alignment horizontal="center" vertical="center" wrapText="1"/>
    </xf>
    <xf numFmtId="0" fontId="15" fillId="0" borderId="1" xfId="0" applyFont="1" applyBorder="1"/>
    <xf numFmtId="0" fontId="4" fillId="2" borderId="8" xfId="0" applyFont="1" applyFill="1" applyBorder="1" applyAlignment="1">
      <alignment vertical="center" wrapText="1"/>
    </xf>
    <xf numFmtId="0" fontId="20" fillId="0" borderId="1" xfId="0" applyFont="1" applyBorder="1"/>
    <xf numFmtId="0" fontId="4" fillId="2" borderId="3" xfId="0" applyFont="1" applyFill="1" applyBorder="1" applyAlignment="1">
      <alignment horizontal="center" vertical="center" wrapText="1"/>
    </xf>
    <xf numFmtId="0" fontId="4" fillId="2" borderId="4" xfId="0" applyFont="1" applyFill="1" applyBorder="1" applyAlignment="1">
      <alignment vertical="center" wrapText="1"/>
    </xf>
    <xf numFmtId="0" fontId="5" fillId="3" borderId="41" xfId="0" applyFont="1" applyFill="1" applyBorder="1" applyAlignment="1">
      <alignment vertical="center" wrapText="1"/>
    </xf>
    <xf numFmtId="0" fontId="25" fillId="0" borderId="1" xfId="0" applyFont="1" applyBorder="1"/>
    <xf numFmtId="0" fontId="5" fillId="3" borderId="4" xfId="0" applyFont="1" applyFill="1" applyBorder="1" applyAlignment="1">
      <alignment horizontal="center" vertical="center" wrapText="1"/>
    </xf>
    <xf numFmtId="0" fontId="4" fillId="2" borderId="2" xfId="0" applyFont="1" applyFill="1" applyBorder="1" applyAlignment="1">
      <alignment horizontal="center" textRotation="90" wrapText="1"/>
    </xf>
    <xf numFmtId="0" fontId="0" fillId="0" borderId="12" xfId="0" applyBorder="1"/>
    <xf numFmtId="0" fontId="0" fillId="0" borderId="44" xfId="0" applyBorder="1"/>
    <xf numFmtId="0" fontId="29" fillId="0" borderId="0" xfId="0" applyFont="1" applyAlignment="1">
      <alignment vertical="center"/>
    </xf>
    <xf numFmtId="0" fontId="4" fillId="2" borderId="4" xfId="0" applyFont="1" applyFill="1" applyBorder="1" applyAlignment="1">
      <alignment horizontal="left" textRotation="90" wrapText="1"/>
    </xf>
    <xf numFmtId="0" fontId="5" fillId="3" borderId="5" xfId="0" applyFont="1" applyFill="1" applyBorder="1" applyAlignment="1">
      <alignment horizontal="center" vertical="center" wrapText="1"/>
    </xf>
    <xf numFmtId="0" fontId="25" fillId="12" borderId="1" xfId="0" applyFont="1" applyFill="1" applyBorder="1"/>
    <xf numFmtId="0" fontId="35" fillId="0" borderId="2" xfId="0" applyFont="1" applyBorder="1" applyAlignment="1">
      <alignment vertical="center"/>
    </xf>
    <xf numFmtId="0" fontId="35" fillId="0" borderId="4" xfId="0" applyFont="1" applyBorder="1" applyAlignment="1">
      <alignment vertical="center"/>
    </xf>
    <xf numFmtId="0" fontId="0" fillId="14" borderId="1" xfId="0" applyFill="1" applyBorder="1"/>
    <xf numFmtId="0" fontId="15" fillId="14" borderId="1" xfId="0" applyFont="1" applyFill="1" applyBorder="1"/>
    <xf numFmtId="0" fontId="0" fillId="14" borderId="44" xfId="0" applyFill="1" applyBorder="1"/>
    <xf numFmtId="0" fontId="20" fillId="0" borderId="16" xfId="0" applyFont="1" applyBorder="1"/>
    <xf numFmtId="0" fontId="0" fillId="0" borderId="14" xfId="0" applyBorder="1"/>
    <xf numFmtId="0" fontId="0" fillId="14" borderId="0" xfId="0" applyFill="1"/>
    <xf numFmtId="0" fontId="21" fillId="0" borderId="1" xfId="0" applyFont="1" applyBorder="1"/>
    <xf numFmtId="0" fontId="0" fillId="0" borderId="13" xfId="0" applyBorder="1"/>
    <xf numFmtId="0" fontId="0" fillId="15" borderId="1" xfId="0" applyFill="1" applyBorder="1"/>
    <xf numFmtId="0" fontId="15" fillId="15" borderId="1" xfId="0" applyFont="1" applyFill="1" applyBorder="1"/>
    <xf numFmtId="0" fontId="25" fillId="16" borderId="1" xfId="0" applyFont="1" applyFill="1" applyBorder="1"/>
    <xf numFmtId="0" fontId="0" fillId="16" borderId="1" xfId="0" applyFill="1" applyBorder="1"/>
    <xf numFmtId="0" fontId="20" fillId="14" borderId="0" xfId="0" applyFont="1" applyFill="1"/>
    <xf numFmtId="0" fontId="18" fillId="2" borderId="5"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2" borderId="28" xfId="0" applyFont="1" applyFill="1" applyBorder="1" applyAlignment="1">
      <alignment horizontal="center" vertical="center" wrapText="1"/>
    </xf>
    <xf numFmtId="0" fontId="11" fillId="4" borderId="4" xfId="0" applyFont="1" applyFill="1" applyBorder="1" applyAlignment="1">
      <alignment vertical="center" wrapText="1"/>
    </xf>
    <xf numFmtId="0" fontId="23" fillId="17" borderId="1" xfId="0" applyFont="1" applyFill="1" applyBorder="1"/>
    <xf numFmtId="0" fontId="11" fillId="18" borderId="5" xfId="0" applyFont="1" applyFill="1" applyBorder="1" applyAlignment="1">
      <alignment vertical="center" wrapText="1"/>
    </xf>
    <xf numFmtId="0" fontId="11" fillId="19" borderId="5" xfId="0" applyFont="1" applyFill="1" applyBorder="1" applyAlignment="1">
      <alignment vertical="center" wrapText="1"/>
    </xf>
    <xf numFmtId="0" fontId="4" fillId="2" borderId="4" xfId="0" applyFont="1" applyFill="1" applyBorder="1" applyAlignment="1">
      <alignment horizontal="center" textRotation="90" wrapText="1"/>
    </xf>
    <xf numFmtId="0" fontId="4" fillId="2" borderId="45" xfId="0" applyFont="1" applyFill="1" applyBorder="1" applyAlignment="1">
      <alignment horizontal="center" vertical="center" wrapText="1"/>
    </xf>
    <xf numFmtId="0" fontId="25" fillId="14" borderId="1" xfId="0" applyFont="1" applyFill="1" applyBorder="1"/>
    <xf numFmtId="0" fontId="25" fillId="20" borderId="1" xfId="0" applyFont="1" applyFill="1" applyBorder="1"/>
    <xf numFmtId="0" fontId="0" fillId="20" borderId="1" xfId="0" applyFill="1" applyBorder="1"/>
    <xf numFmtId="0" fontId="0" fillId="10" borderId="1" xfId="0" applyFill="1" applyBorder="1"/>
    <xf numFmtId="0" fontId="0" fillId="10" borderId="12" xfId="0" applyFill="1" applyBorder="1"/>
    <xf numFmtId="169" fontId="24" fillId="18" borderId="5" xfId="0" applyNumberFormat="1" applyFont="1" applyFill="1" applyBorder="1" applyAlignment="1">
      <alignment vertical="center" wrapText="1"/>
    </xf>
    <xf numFmtId="170" fontId="0" fillId="0" borderId="1" xfId="0" applyNumberFormat="1" applyBorder="1"/>
    <xf numFmtId="170" fontId="0" fillId="0" borderId="1" xfId="1" applyNumberFormat="1" applyFont="1" applyBorder="1"/>
    <xf numFmtId="0" fontId="44" fillId="14" borderId="66" xfId="0" applyFont="1" applyFill="1" applyBorder="1"/>
    <xf numFmtId="0" fontId="46" fillId="14" borderId="0" xfId="0" applyFont="1" applyFill="1"/>
    <xf numFmtId="8" fontId="5" fillId="3" borderId="5" xfId="0" applyNumberFormat="1" applyFont="1" applyFill="1" applyBorder="1" applyAlignment="1">
      <alignment vertical="center" wrapText="1"/>
    </xf>
    <xf numFmtId="0" fontId="45" fillId="3" borderId="41" xfId="10" applyFill="1" applyBorder="1" applyAlignment="1">
      <alignment vertical="center" wrapText="1"/>
    </xf>
    <xf numFmtId="9" fontId="5" fillId="3" borderId="5" xfId="0" applyNumberFormat="1" applyFont="1" applyFill="1" applyBorder="1" applyAlignment="1">
      <alignment vertical="center" wrapText="1"/>
    </xf>
    <xf numFmtId="10" fontId="5" fillId="3" borderId="5" xfId="0" applyNumberFormat="1" applyFont="1" applyFill="1" applyBorder="1" applyAlignment="1">
      <alignment vertical="center" wrapText="1"/>
    </xf>
    <xf numFmtId="0" fontId="0" fillId="0" borderId="11" xfId="0" applyBorder="1"/>
    <xf numFmtId="0" fontId="4" fillId="2" borderId="0" xfId="0" applyFont="1" applyFill="1" applyAlignment="1">
      <alignment horizontal="center" vertical="center" wrapText="1"/>
    </xf>
    <xf numFmtId="0" fontId="25" fillId="21" borderId="1" xfId="0" applyFont="1" applyFill="1" applyBorder="1"/>
    <xf numFmtId="0" fontId="0" fillId="21" borderId="1" xfId="0" applyFill="1" applyBorder="1"/>
    <xf numFmtId="9" fontId="0" fillId="0" borderId="1" xfId="0" applyNumberFormat="1" applyBorder="1"/>
    <xf numFmtId="0" fontId="5" fillId="14" borderId="0" xfId="0" applyFont="1" applyFill="1" applyAlignment="1">
      <alignment vertical="top" wrapText="1"/>
    </xf>
    <xf numFmtId="0" fontId="14" fillId="14" borderId="0" xfId="0" applyFont="1" applyFill="1" applyAlignment="1">
      <alignment horizontal="left" vertical="center" indent="5"/>
    </xf>
    <xf numFmtId="0" fontId="13" fillId="14" borderId="0" xfId="0" applyFont="1" applyFill="1" applyAlignment="1">
      <alignment vertical="center"/>
    </xf>
    <xf numFmtId="165" fontId="21" fillId="6" borderId="45" xfId="3" applyNumberFormat="1" applyFont="1" applyFill="1" applyBorder="1" applyAlignment="1" applyProtection="1">
      <alignment vertical="center" wrapText="1"/>
      <protection locked="0"/>
    </xf>
    <xf numFmtId="0" fontId="5" fillId="8" borderId="45" xfId="0" applyFont="1" applyFill="1" applyBorder="1" applyAlignment="1" applyProtection="1">
      <alignment vertical="center" wrapText="1"/>
      <protection locked="0"/>
    </xf>
    <xf numFmtId="0" fontId="0" fillId="8" borderId="45" xfId="0" applyFill="1" applyBorder="1" applyProtection="1">
      <protection locked="0"/>
    </xf>
    <xf numFmtId="0" fontId="5" fillId="8" borderId="52" xfId="0" applyFont="1" applyFill="1" applyBorder="1" applyAlignment="1" applyProtection="1">
      <alignment vertical="center" wrapText="1"/>
      <protection locked="0"/>
    </xf>
    <xf numFmtId="0" fontId="0" fillId="8" borderId="52" xfId="0" applyFill="1" applyBorder="1" applyProtection="1">
      <protection locked="0"/>
    </xf>
    <xf numFmtId="165" fontId="0" fillId="9" borderId="45" xfId="3" applyNumberFormat="1" applyFont="1" applyFill="1" applyBorder="1" applyProtection="1"/>
    <xf numFmtId="0" fontId="0" fillId="8" borderId="50" xfId="0" applyFill="1" applyBorder="1" applyProtection="1">
      <protection locked="0"/>
    </xf>
    <xf numFmtId="9" fontId="0" fillId="9" borderId="45" xfId="1" applyFont="1" applyFill="1" applyBorder="1" applyAlignment="1" applyProtection="1">
      <alignment horizontal="center" vertical="center"/>
    </xf>
    <xf numFmtId="0" fontId="21" fillId="0" borderId="1" xfId="0" applyFont="1" applyBorder="1" applyProtection="1">
      <protection locked="0"/>
    </xf>
    <xf numFmtId="0" fontId="24" fillId="8" borderId="64" xfId="0" applyFont="1" applyFill="1" applyBorder="1" applyAlignment="1">
      <alignment vertical="center"/>
    </xf>
    <xf numFmtId="0" fontId="24" fillId="3" borderId="64" xfId="0" applyFont="1" applyFill="1" applyBorder="1" applyAlignment="1">
      <alignment vertical="center"/>
    </xf>
    <xf numFmtId="0" fontId="24" fillId="6" borderId="64" xfId="0" applyFont="1" applyFill="1" applyBorder="1"/>
    <xf numFmtId="1" fontId="24" fillId="22" borderId="64" xfId="0" applyNumberFormat="1" applyFont="1" applyFill="1" applyBorder="1" applyAlignment="1">
      <alignment vertical="center" wrapText="1"/>
    </xf>
    <xf numFmtId="0" fontId="15" fillId="14" borderId="12" xfId="0" applyFont="1" applyFill="1" applyBorder="1" applyAlignment="1" applyProtection="1">
      <alignment horizontal="right"/>
      <protection locked="0"/>
    </xf>
    <xf numFmtId="0" fontId="28" fillId="14" borderId="68" xfId="0" applyFont="1" applyFill="1" applyBorder="1" applyAlignment="1">
      <alignment vertical="top"/>
    </xf>
    <xf numFmtId="0" fontId="0" fillId="0" borderId="71" xfId="0" applyBorder="1"/>
    <xf numFmtId="0" fontId="14" fillId="14" borderId="0" xfId="0" applyFont="1" applyFill="1" applyAlignment="1">
      <alignment vertical="top"/>
    </xf>
    <xf numFmtId="0" fontId="4" fillId="2" borderId="8" xfId="0" applyFont="1" applyFill="1" applyBorder="1" applyAlignment="1">
      <alignment horizontal="center" textRotation="90" wrapText="1"/>
    </xf>
    <xf numFmtId="0" fontId="5" fillId="14" borderId="4" xfId="0" applyFont="1" applyFill="1" applyBorder="1" applyAlignment="1">
      <alignment horizontal="center" vertical="center" wrapText="1"/>
    </xf>
    <xf numFmtId="0" fontId="52" fillId="14" borderId="1" xfId="0" applyFont="1" applyFill="1" applyBorder="1"/>
    <xf numFmtId="0" fontId="5" fillId="14" borderId="5" xfId="0" applyFont="1" applyFill="1" applyBorder="1" applyAlignment="1">
      <alignment vertical="center" wrapText="1"/>
    </xf>
    <xf numFmtId="0" fontId="4" fillId="23" borderId="8" xfId="0" applyFont="1" applyFill="1" applyBorder="1" applyAlignment="1">
      <alignment vertical="center" wrapText="1"/>
    </xf>
    <xf numFmtId="0" fontId="20" fillId="0" borderId="11" xfId="0" applyFont="1" applyBorder="1"/>
    <xf numFmtId="9" fontId="0" fillId="0" borderId="1" xfId="1" applyFont="1" applyBorder="1"/>
    <xf numFmtId="9" fontId="21" fillId="9" borderId="2" xfId="1" applyFont="1" applyFill="1" applyBorder="1" applyAlignment="1">
      <alignment horizontal="center"/>
    </xf>
    <xf numFmtId="165" fontId="21" fillId="25" borderId="2" xfId="3" applyNumberFormat="1" applyFont="1" applyFill="1" applyBorder="1" applyAlignment="1">
      <alignment vertical="center" wrapText="1"/>
    </xf>
    <xf numFmtId="0" fontId="18" fillId="17" borderId="4" xfId="0" applyFont="1" applyFill="1" applyBorder="1" applyAlignment="1">
      <alignment horizontal="center" vertical="center" wrapText="1"/>
    </xf>
    <xf numFmtId="0" fontId="53" fillId="14" borderId="1" xfId="0" applyFont="1" applyFill="1" applyBorder="1"/>
    <xf numFmtId="170" fontId="0" fillId="9" borderId="45" xfId="1" applyNumberFormat="1" applyFont="1" applyFill="1" applyBorder="1" applyAlignment="1" applyProtection="1">
      <alignment horizontal="center"/>
    </xf>
    <xf numFmtId="0" fontId="29" fillId="0" borderId="0" xfId="0" applyFont="1"/>
    <xf numFmtId="0" fontId="0" fillId="8" borderId="3" xfId="0" applyFill="1" applyBorder="1" applyProtection="1">
      <protection locked="0"/>
    </xf>
    <xf numFmtId="0" fontId="0" fillId="8" borderId="2" xfId="0" applyFill="1" applyBorder="1" applyProtection="1">
      <protection locked="0"/>
    </xf>
    <xf numFmtId="0" fontId="0" fillId="8" borderId="8" xfId="0" applyFill="1" applyBorder="1" applyProtection="1">
      <protection locked="0"/>
    </xf>
    <xf numFmtId="0" fontId="5" fillId="8" borderId="2" xfId="0" applyFont="1" applyFill="1" applyBorder="1" applyAlignment="1" applyProtection="1">
      <alignment vertical="center" wrapText="1"/>
      <protection locked="0"/>
    </xf>
    <xf numFmtId="0" fontId="5" fillId="8" borderId="8" xfId="0" applyFont="1" applyFill="1" applyBorder="1" applyAlignment="1" applyProtection="1">
      <alignment vertical="center" wrapText="1"/>
      <protection locked="0"/>
    </xf>
    <xf numFmtId="2" fontId="11" fillId="24" borderId="3" xfId="0" applyNumberFormat="1" applyFont="1" applyFill="1" applyBorder="1" applyAlignment="1" applyProtection="1">
      <alignment vertical="center" wrapText="1"/>
      <protection locked="0"/>
    </xf>
    <xf numFmtId="2" fontId="11" fillId="24" borderId="23" xfId="0" applyNumberFormat="1" applyFont="1" applyFill="1" applyBorder="1" applyAlignment="1" applyProtection="1">
      <alignment vertical="center" wrapText="1"/>
      <protection locked="0"/>
    </xf>
    <xf numFmtId="0" fontId="11" fillId="8" borderId="5" xfId="0" applyFont="1" applyFill="1" applyBorder="1" applyAlignment="1" applyProtection="1">
      <alignment vertical="center" wrapText="1"/>
      <protection locked="0"/>
    </xf>
    <xf numFmtId="165" fontId="11" fillId="6" borderId="45" xfId="3" applyNumberFormat="1" applyFont="1" applyFill="1" applyBorder="1" applyAlignment="1" applyProtection="1">
      <alignment vertical="center" wrapText="1"/>
      <protection locked="0"/>
    </xf>
    <xf numFmtId="0" fontId="11" fillId="8" borderId="41" xfId="0" applyFont="1" applyFill="1" applyBorder="1" applyAlignment="1" applyProtection="1">
      <alignment vertical="center" wrapText="1"/>
      <protection locked="0"/>
    </xf>
    <xf numFmtId="9" fontId="11" fillId="8" borderId="5" xfId="1" applyFont="1" applyFill="1" applyBorder="1" applyAlignment="1" applyProtection="1">
      <alignment vertical="center" wrapText="1"/>
      <protection locked="0"/>
    </xf>
    <xf numFmtId="164" fontId="11" fillId="6" borderId="3" xfId="0" applyNumberFormat="1" applyFont="1" applyFill="1" applyBorder="1" applyAlignment="1" applyProtection="1">
      <alignment vertical="center" wrapText="1"/>
      <protection locked="0"/>
    </xf>
    <xf numFmtId="49" fontId="11" fillId="8" borderId="3" xfId="0" applyNumberFormat="1" applyFont="1" applyFill="1" applyBorder="1" applyAlignment="1" applyProtection="1">
      <alignment vertical="center" wrapText="1"/>
      <protection locked="0"/>
    </xf>
    <xf numFmtId="0" fontId="21" fillId="8" borderId="3" xfId="0" applyFont="1" applyFill="1" applyBorder="1" applyProtection="1">
      <protection locked="0"/>
    </xf>
    <xf numFmtId="0" fontId="21" fillId="8" borderId="2" xfId="0" applyFont="1" applyFill="1" applyBorder="1" applyProtection="1">
      <protection locked="0"/>
    </xf>
    <xf numFmtId="0" fontId="21" fillId="8" borderId="51" xfId="0" applyFont="1" applyFill="1" applyBorder="1" applyProtection="1">
      <protection locked="0"/>
    </xf>
    <xf numFmtId="0" fontId="21" fillId="8" borderId="8" xfId="0" applyFont="1" applyFill="1" applyBorder="1" applyProtection="1">
      <protection locked="0"/>
    </xf>
    <xf numFmtId="165" fontId="21" fillId="6" borderId="2" xfId="3" applyNumberFormat="1" applyFont="1" applyFill="1" applyBorder="1" applyAlignment="1" applyProtection="1">
      <alignment vertical="center" wrapText="1"/>
      <protection locked="0"/>
    </xf>
    <xf numFmtId="165" fontId="21" fillId="6" borderId="8" xfId="3" applyNumberFormat="1" applyFont="1" applyFill="1" applyBorder="1" applyAlignment="1" applyProtection="1">
      <alignment vertical="center" wrapText="1"/>
      <protection locked="0"/>
    </xf>
    <xf numFmtId="0" fontId="21" fillId="8" borderId="6" xfId="0" applyFont="1" applyFill="1" applyBorder="1" applyProtection="1">
      <protection locked="0"/>
    </xf>
    <xf numFmtId="0" fontId="21" fillId="8" borderId="29" xfId="0" applyFont="1" applyFill="1" applyBorder="1" applyProtection="1">
      <protection locked="0"/>
    </xf>
    <xf numFmtId="14" fontId="21" fillId="8" borderId="45" xfId="3" applyNumberFormat="1" applyFont="1" applyFill="1" applyBorder="1" applyAlignment="1" applyProtection="1">
      <alignment vertical="center" wrapText="1"/>
      <protection locked="0"/>
    </xf>
    <xf numFmtId="165" fontId="21" fillId="8" borderId="45" xfId="3" applyNumberFormat="1" applyFont="1" applyFill="1" applyBorder="1" applyAlignment="1" applyProtection="1">
      <alignment vertical="center" wrapText="1"/>
      <protection locked="0"/>
    </xf>
    <xf numFmtId="0" fontId="11" fillId="8" borderId="37" xfId="0" applyFont="1" applyFill="1" applyBorder="1" applyAlignment="1" applyProtection="1">
      <alignment horizontal="center" vertical="center" wrapText="1"/>
      <protection locked="0"/>
    </xf>
    <xf numFmtId="0" fontId="5" fillId="3" borderId="0" xfId="0" applyFont="1" applyFill="1" applyAlignment="1">
      <alignment vertical="center" wrapText="1"/>
    </xf>
    <xf numFmtId="0" fontId="5" fillId="3" borderId="0" xfId="0" applyFont="1" applyFill="1" applyAlignment="1">
      <alignment horizontal="left" vertical="center" wrapText="1"/>
    </xf>
    <xf numFmtId="0" fontId="16" fillId="14" borderId="0" xfId="0" applyFont="1" applyFill="1"/>
    <xf numFmtId="0" fontId="44" fillId="14" borderId="0" xfId="0" applyFont="1" applyFill="1"/>
    <xf numFmtId="0" fontId="45" fillId="14" borderId="0" xfId="10" applyFill="1" applyAlignment="1">
      <alignment vertical="top"/>
    </xf>
    <xf numFmtId="0" fontId="55" fillId="14" borderId="66" xfId="0" applyFont="1" applyFill="1" applyBorder="1"/>
    <xf numFmtId="0" fontId="54" fillId="14" borderId="0" xfId="0" applyFont="1" applyFill="1"/>
    <xf numFmtId="0" fontId="56" fillId="14" borderId="0" xfId="10" applyFont="1" applyFill="1" applyBorder="1"/>
    <xf numFmtId="0" fontId="56" fillId="14" borderId="0" xfId="10" applyFont="1" applyFill="1"/>
    <xf numFmtId="17" fontId="21" fillId="8" borderId="5" xfId="0" applyNumberFormat="1" applyFont="1" applyFill="1" applyBorder="1" applyAlignment="1" applyProtection="1">
      <alignment vertical="center" wrapText="1"/>
      <protection locked="0"/>
    </xf>
    <xf numFmtId="14" fontId="21" fillId="8" borderId="5" xfId="0" applyNumberFormat="1" applyFont="1" applyFill="1" applyBorder="1" applyAlignment="1" applyProtection="1">
      <alignment vertical="center" wrapText="1"/>
      <protection locked="0"/>
    </xf>
    <xf numFmtId="0" fontId="21" fillId="6" borderId="2" xfId="0" applyFont="1" applyFill="1" applyBorder="1" applyProtection="1">
      <protection locked="0"/>
    </xf>
    <xf numFmtId="9" fontId="0" fillId="6" borderId="2" xfId="1" applyFont="1" applyFill="1" applyBorder="1" applyProtection="1">
      <protection locked="0"/>
    </xf>
    <xf numFmtId="0" fontId="0" fillId="8" borderId="51" xfId="0" applyFill="1" applyBorder="1" applyProtection="1">
      <protection locked="0"/>
    </xf>
    <xf numFmtId="9" fontId="0" fillId="6" borderId="8" xfId="1" applyFont="1" applyFill="1" applyBorder="1" applyProtection="1">
      <protection locked="0"/>
    </xf>
    <xf numFmtId="9" fontId="11" fillId="9" borderId="5" xfId="1" applyFont="1" applyFill="1" applyBorder="1" applyAlignment="1" applyProtection="1">
      <alignment vertical="center" wrapText="1"/>
    </xf>
    <xf numFmtId="0" fontId="5" fillId="3" borderId="28" xfId="0" applyFont="1" applyFill="1" applyBorder="1" applyAlignment="1">
      <alignment horizontal="center" vertical="center" wrapText="1"/>
    </xf>
    <xf numFmtId="0" fontId="71" fillId="13" borderId="1" xfId="0" applyFont="1" applyFill="1" applyBorder="1" applyAlignment="1">
      <alignment vertical="center" wrapText="1"/>
    </xf>
    <xf numFmtId="0" fontId="5" fillId="13" borderId="5" xfId="0" applyFont="1" applyFill="1" applyBorder="1" applyAlignment="1">
      <alignment vertical="center" wrapText="1"/>
    </xf>
    <xf numFmtId="0" fontId="11" fillId="19" borderId="41" xfId="0" applyFont="1" applyFill="1" applyBorder="1" applyAlignment="1">
      <alignment vertical="center" wrapText="1"/>
    </xf>
    <xf numFmtId="0" fontId="5" fillId="3" borderId="37" xfId="0" applyFont="1" applyFill="1" applyBorder="1" applyAlignment="1">
      <alignment vertical="center" wrapText="1"/>
    </xf>
    <xf numFmtId="0" fontId="11" fillId="19" borderId="93" xfId="0" applyFont="1" applyFill="1" applyBorder="1" applyAlignment="1">
      <alignment vertical="center" wrapText="1"/>
    </xf>
    <xf numFmtId="0" fontId="11" fillId="19" borderId="37" xfId="0" applyFont="1" applyFill="1" applyBorder="1" applyAlignment="1">
      <alignment vertical="center" wrapText="1"/>
    </xf>
    <xf numFmtId="0" fontId="0" fillId="0" borderId="95" xfId="0" applyBorder="1"/>
    <xf numFmtId="172" fontId="21" fillId="6" borderId="45" xfId="3" applyNumberFormat="1" applyFont="1" applyFill="1" applyBorder="1" applyAlignment="1" applyProtection="1">
      <alignment vertical="center" wrapText="1"/>
      <protection locked="0"/>
    </xf>
    <xf numFmtId="0" fontId="0" fillId="0" borderId="15" xfId="0" applyBorder="1"/>
    <xf numFmtId="0" fontId="0" fillId="0" borderId="9" xfId="0" applyBorder="1"/>
    <xf numFmtId="0" fontId="5" fillId="0" borderId="5" xfId="0" applyFont="1" applyBorder="1" applyAlignment="1">
      <alignment vertical="center" wrapText="1"/>
    </xf>
    <xf numFmtId="0" fontId="11" fillId="64" borderId="5" xfId="0" applyFont="1" applyFill="1" applyBorder="1" applyAlignment="1">
      <alignment vertical="center" wrapText="1"/>
    </xf>
    <xf numFmtId="164" fontId="73" fillId="6" borderId="3" xfId="0" applyNumberFormat="1" applyFont="1" applyFill="1" applyBorder="1" applyAlignment="1" applyProtection="1">
      <alignment vertical="center" wrapText="1"/>
      <protection locked="0"/>
    </xf>
    <xf numFmtId="0" fontId="0" fillId="0" borderId="1" xfId="0" applyBorder="1" applyAlignment="1">
      <alignment horizontal="left"/>
    </xf>
    <xf numFmtId="0" fontId="5" fillId="3" borderId="5" xfId="0" applyFont="1" applyFill="1" applyBorder="1" applyAlignment="1">
      <alignment vertical="center"/>
    </xf>
    <xf numFmtId="174" fontId="0" fillId="9" borderId="45" xfId="3" applyNumberFormat="1" applyFont="1" applyFill="1" applyBorder="1" applyProtection="1"/>
    <xf numFmtId="43" fontId="11" fillId="9" borderId="3" xfId="3" applyFont="1" applyFill="1" applyBorder="1" applyAlignment="1" applyProtection="1">
      <alignment vertical="center" wrapText="1"/>
    </xf>
    <xf numFmtId="43" fontId="33" fillId="9" borderId="3" xfId="3" applyFont="1" applyFill="1" applyBorder="1" applyAlignment="1" applyProtection="1">
      <alignment vertical="center" wrapText="1"/>
    </xf>
    <xf numFmtId="43" fontId="33" fillId="9" borderId="7" xfId="3" applyFont="1" applyFill="1" applyBorder="1" applyAlignment="1" applyProtection="1">
      <alignment vertical="center" wrapText="1"/>
    </xf>
    <xf numFmtId="43" fontId="11" fillId="22" borderId="3" xfId="3" applyFont="1" applyFill="1" applyBorder="1" applyAlignment="1" applyProtection="1">
      <alignment vertical="center" wrapText="1"/>
    </xf>
    <xf numFmtId="43" fontId="11" fillId="9" borderId="57" xfId="3" applyFont="1" applyFill="1" applyBorder="1" applyAlignment="1" applyProtection="1">
      <alignment vertical="center" wrapText="1"/>
    </xf>
    <xf numFmtId="43" fontId="11" fillId="9" borderId="97" xfId="3" applyFont="1" applyFill="1" applyBorder="1" applyAlignment="1" applyProtection="1">
      <alignment vertical="center" wrapText="1"/>
    </xf>
    <xf numFmtId="43" fontId="33" fillId="9" borderId="99" xfId="3" applyFont="1" applyFill="1" applyBorder="1" applyAlignment="1" applyProtection="1">
      <alignment vertical="center" wrapText="1"/>
    </xf>
    <xf numFmtId="43" fontId="33" fillId="9" borderId="5" xfId="3" applyFont="1" applyFill="1" applyBorder="1" applyAlignment="1" applyProtection="1">
      <alignment vertical="center" wrapText="1"/>
    </xf>
    <xf numFmtId="43" fontId="33" fillId="9" borderId="103" xfId="3" applyFont="1" applyFill="1" applyBorder="1" applyAlignment="1" applyProtection="1">
      <alignment vertical="center" wrapText="1"/>
    </xf>
    <xf numFmtId="43" fontId="11" fillId="9" borderId="45" xfId="3" applyFont="1" applyFill="1" applyBorder="1" applyAlignment="1" applyProtection="1">
      <alignment vertical="center" wrapText="1"/>
    </xf>
    <xf numFmtId="43" fontId="11" fillId="9" borderId="94" xfId="3" applyFont="1" applyFill="1" applyBorder="1" applyAlignment="1" applyProtection="1">
      <alignment vertical="center" wrapText="1"/>
    </xf>
    <xf numFmtId="43" fontId="11" fillId="9" borderId="104" xfId="3" applyFont="1" applyFill="1" applyBorder="1" applyAlignment="1" applyProtection="1">
      <alignment vertical="center" wrapText="1"/>
    </xf>
    <xf numFmtId="43" fontId="11" fillId="9" borderId="77" xfId="3" applyFont="1" applyFill="1" applyBorder="1" applyAlignment="1" applyProtection="1">
      <alignment vertical="center" wrapText="1"/>
    </xf>
    <xf numFmtId="43" fontId="11" fillId="9" borderId="105" xfId="3" applyFont="1" applyFill="1" applyBorder="1" applyAlignment="1" applyProtection="1">
      <alignment vertical="center" wrapText="1"/>
    </xf>
    <xf numFmtId="0" fontId="5" fillId="3" borderId="4" xfId="0" applyFont="1" applyFill="1" applyBorder="1" applyAlignment="1">
      <alignment vertical="center"/>
    </xf>
    <xf numFmtId="2" fontId="5" fillId="3" borderId="5" xfId="0" applyNumberFormat="1" applyFont="1" applyFill="1" applyBorder="1" applyAlignment="1">
      <alignment horizontal="right" vertical="center"/>
    </xf>
    <xf numFmtId="2" fontId="7" fillId="3" borderId="5" xfId="0" applyNumberFormat="1" applyFont="1" applyFill="1" applyBorder="1" applyAlignment="1">
      <alignment horizontal="right" vertical="center"/>
    </xf>
    <xf numFmtId="0" fontId="20" fillId="14" borderId="1" xfId="0" applyFont="1" applyFill="1" applyBorder="1"/>
    <xf numFmtId="165" fontId="75" fillId="25" borderId="2" xfId="3" applyNumberFormat="1" applyFont="1" applyFill="1" applyBorder="1" applyAlignment="1">
      <alignment vertical="center" wrapText="1"/>
    </xf>
    <xf numFmtId="9" fontId="21" fillId="22" borderId="2" xfId="1" applyFont="1" applyFill="1" applyBorder="1" applyAlignment="1">
      <alignment horizontal="center"/>
    </xf>
    <xf numFmtId="43" fontId="21" fillId="6" borderId="45" xfId="3" applyFont="1" applyFill="1" applyBorder="1" applyAlignment="1" applyProtection="1">
      <alignment vertical="center" wrapText="1"/>
      <protection locked="0"/>
    </xf>
    <xf numFmtId="0" fontId="59" fillId="0" borderId="0" xfId="0" applyFont="1"/>
    <xf numFmtId="171" fontId="11" fillId="65" borderId="5" xfId="0" applyNumberFormat="1" applyFont="1" applyFill="1" applyBorder="1" applyAlignment="1">
      <alignment vertical="center" wrapText="1"/>
    </xf>
    <xf numFmtId="0" fontId="11" fillId="65" borderId="5" xfId="0" applyFont="1" applyFill="1" applyBorder="1" applyAlignment="1">
      <alignment vertical="center" wrapText="1"/>
    </xf>
    <xf numFmtId="0" fontId="5" fillId="66" borderId="5" xfId="0" applyFont="1" applyFill="1" applyBorder="1" applyAlignment="1">
      <alignment vertical="center" wrapText="1"/>
    </xf>
    <xf numFmtId="169" fontId="5" fillId="66" borderId="5" xfId="0" applyNumberFormat="1" applyFont="1" applyFill="1" applyBorder="1" applyAlignment="1">
      <alignment vertical="center" wrapText="1"/>
    </xf>
    <xf numFmtId="169" fontId="11" fillId="65" borderId="5" xfId="0" applyNumberFormat="1" applyFont="1" applyFill="1" applyBorder="1" applyAlignment="1">
      <alignment vertical="center" wrapText="1"/>
    </xf>
    <xf numFmtId="0" fontId="11" fillId="65" borderId="5" xfId="0" applyFont="1" applyFill="1" applyBorder="1" applyAlignment="1">
      <alignment horizontal="right" vertical="center" wrapText="1"/>
    </xf>
    <xf numFmtId="168" fontId="11" fillId="9" borderId="3" xfId="3" applyNumberFormat="1" applyFont="1" applyFill="1" applyBorder="1" applyAlignment="1" applyProtection="1">
      <alignment vertical="center" wrapText="1"/>
    </xf>
    <xf numFmtId="165" fontId="11" fillId="9" borderId="3" xfId="3" applyNumberFormat="1" applyFont="1" applyFill="1" applyBorder="1" applyAlignment="1" applyProtection="1">
      <alignment vertical="center" wrapText="1"/>
    </xf>
    <xf numFmtId="9" fontId="11" fillId="9" borderId="5" xfId="1" applyFont="1" applyFill="1" applyBorder="1" applyAlignment="1" applyProtection="1">
      <alignment horizontal="center" vertical="center" wrapText="1"/>
    </xf>
    <xf numFmtId="165" fontId="21" fillId="22" borderId="45" xfId="3" applyNumberFormat="1" applyFont="1" applyFill="1" applyBorder="1" applyAlignment="1" applyProtection="1">
      <alignment vertical="center" wrapText="1"/>
    </xf>
    <xf numFmtId="0" fontId="45" fillId="3" borderId="5" xfId="10" applyFill="1" applyBorder="1" applyAlignment="1">
      <alignment vertical="center" wrapText="1"/>
    </xf>
    <xf numFmtId="0" fontId="0" fillId="8" borderId="64" xfId="0" applyFill="1" applyBorder="1" applyProtection="1">
      <protection locked="0"/>
    </xf>
    <xf numFmtId="43" fontId="33" fillId="9" borderId="77" xfId="3" applyFont="1" applyFill="1" applyBorder="1" applyAlignment="1" applyProtection="1">
      <alignment vertical="center" wrapText="1"/>
    </xf>
    <xf numFmtId="0" fontId="4" fillId="2" borderId="52" xfId="0" applyFont="1" applyFill="1" applyBorder="1" applyAlignment="1">
      <alignment horizontal="center" vertical="center" wrapText="1"/>
    </xf>
    <xf numFmtId="0" fontId="0" fillId="0" borderId="121" xfId="0" applyBorder="1"/>
    <xf numFmtId="0" fontId="0" fillId="67" borderId="121" xfId="0" applyFill="1" applyBorder="1"/>
    <xf numFmtId="49" fontId="0" fillId="0" borderId="121" xfId="0" applyNumberFormat="1" applyBorder="1"/>
    <xf numFmtId="1" fontId="0" fillId="0" borderId="121" xfId="0" applyNumberFormat="1" applyBorder="1"/>
    <xf numFmtId="9" fontId="0" fillId="0" borderId="1" xfId="0" applyNumberFormat="1" applyBorder="1" applyAlignment="1">
      <alignment horizontal="left"/>
    </xf>
    <xf numFmtId="10" fontId="0" fillId="0" borderId="1" xfId="0" applyNumberFormat="1" applyBorder="1" applyAlignment="1">
      <alignment horizontal="left"/>
    </xf>
    <xf numFmtId="2" fontId="21" fillId="6" borderId="45" xfId="3" applyNumberFormat="1" applyFont="1" applyFill="1" applyBorder="1" applyAlignment="1" applyProtection="1">
      <alignment vertical="center" wrapText="1"/>
      <protection locked="0"/>
    </xf>
    <xf numFmtId="0" fontId="0" fillId="0" borderId="124" xfId="0" applyBorder="1"/>
    <xf numFmtId="0" fontId="0" fillId="0" borderId="125" xfId="0" applyBorder="1"/>
    <xf numFmtId="43" fontId="11" fillId="9" borderId="5" xfId="3" applyFont="1" applyFill="1" applyBorder="1" applyAlignment="1" applyProtection="1">
      <alignment vertical="center" wrapText="1"/>
    </xf>
    <xf numFmtId="0" fontId="76" fillId="0" borderId="0" xfId="0" applyFont="1" applyAlignment="1">
      <alignment vertical="center"/>
    </xf>
    <xf numFmtId="0" fontId="45" fillId="0" borderId="0" xfId="10" applyAlignment="1">
      <alignment vertical="center"/>
    </xf>
    <xf numFmtId="0" fontId="77" fillId="0" borderId="0" xfId="0" applyFont="1" applyAlignment="1">
      <alignment vertical="center"/>
    </xf>
    <xf numFmtId="0" fontId="78" fillId="65" borderId="125" xfId="0" applyFont="1" applyFill="1" applyBorder="1"/>
    <xf numFmtId="0" fontId="78" fillId="65" borderId="124" xfId="0" applyFont="1" applyFill="1" applyBorder="1"/>
    <xf numFmtId="0" fontId="4" fillId="2" borderId="111" xfId="0" applyFont="1" applyFill="1" applyBorder="1" applyAlignment="1">
      <alignment horizontal="center" vertical="center" wrapText="1"/>
    </xf>
    <xf numFmtId="0" fontId="0" fillId="0" borderId="126" xfId="0" applyBorder="1"/>
    <xf numFmtId="0" fontId="0" fillId="67" borderId="126" xfId="0" applyFill="1" applyBorder="1"/>
    <xf numFmtId="0" fontId="15" fillId="0" borderId="127" xfId="0" applyFont="1" applyBorder="1"/>
    <xf numFmtId="0" fontId="0" fillId="0" borderId="128" xfId="0" applyBorder="1"/>
    <xf numFmtId="0" fontId="15" fillId="0" borderId="0" xfId="0" applyFont="1"/>
    <xf numFmtId="14" fontId="0" fillId="0" borderId="121" xfId="0" applyNumberFormat="1" applyBorder="1"/>
    <xf numFmtId="49" fontId="21" fillId="8" borderId="122" xfId="3" applyNumberFormat="1" applyFont="1" applyFill="1" applyBorder="1" applyAlignment="1" applyProtection="1">
      <alignment vertical="center" wrapText="1"/>
      <protection locked="0"/>
    </xf>
    <xf numFmtId="49" fontId="21" fillId="8" borderId="50" xfId="3" applyNumberFormat="1" applyFont="1" applyFill="1" applyBorder="1" applyAlignment="1" applyProtection="1">
      <alignment vertical="center" wrapText="1"/>
      <protection locked="0"/>
    </xf>
    <xf numFmtId="49" fontId="21" fillId="8" borderId="123" xfId="3" applyNumberFormat="1" applyFont="1" applyFill="1" applyBorder="1" applyAlignment="1" applyProtection="1">
      <alignment vertical="center" wrapText="1"/>
      <protection locked="0"/>
    </xf>
    <xf numFmtId="164" fontId="11" fillId="6" borderId="51" xfId="0" applyNumberFormat="1" applyFont="1" applyFill="1" applyBorder="1" applyAlignment="1" applyProtection="1">
      <alignment vertical="center" wrapText="1"/>
      <protection locked="0"/>
    </xf>
    <xf numFmtId="164" fontId="11" fillId="6" borderId="5" xfId="0" applyNumberFormat="1" applyFont="1" applyFill="1" applyBorder="1" applyAlignment="1" applyProtection="1">
      <alignment vertical="center" wrapText="1"/>
      <protection locked="0"/>
    </xf>
    <xf numFmtId="164" fontId="73" fillId="6" borderId="129" xfId="0" applyNumberFormat="1" applyFont="1" applyFill="1" applyBorder="1" applyAlignment="1" applyProtection="1">
      <alignment vertical="center" wrapText="1"/>
      <protection locked="0"/>
    </xf>
    <xf numFmtId="0" fontId="0" fillId="0" borderId="121" xfId="0" applyBorder="1" applyAlignment="1">
      <alignment wrapText="1"/>
    </xf>
    <xf numFmtId="43" fontId="11" fillId="8" borderId="122" xfId="3" applyFont="1" applyFill="1" applyBorder="1" applyAlignment="1" applyProtection="1">
      <alignment vertical="center" wrapText="1"/>
      <protection locked="0"/>
    </xf>
    <xf numFmtId="43" fontId="11" fillId="8" borderId="50" xfId="3" applyFont="1" applyFill="1" applyBorder="1" applyAlignment="1" applyProtection="1">
      <alignment vertical="center" wrapText="1"/>
      <protection locked="0"/>
    </xf>
    <xf numFmtId="43" fontId="11" fillId="8" borderId="123" xfId="3" applyFont="1" applyFill="1" applyBorder="1" applyAlignment="1" applyProtection="1">
      <alignment vertical="center" wrapText="1"/>
      <protection locked="0"/>
    </xf>
    <xf numFmtId="175" fontId="0" fillId="9" borderId="45" xfId="3" applyNumberFormat="1" applyFont="1" applyFill="1" applyBorder="1" applyProtection="1"/>
    <xf numFmtId="0" fontId="24" fillId="8" borderId="64" xfId="0" applyFont="1" applyFill="1" applyBorder="1" applyAlignment="1" applyProtection="1">
      <alignment vertical="center"/>
      <protection locked="0"/>
    </xf>
    <xf numFmtId="0" fontId="11" fillId="8" borderId="64" xfId="0" applyFont="1" applyFill="1" applyBorder="1" applyAlignment="1" applyProtection="1">
      <alignment vertical="center"/>
      <protection locked="0"/>
    </xf>
    <xf numFmtId="0" fontId="0" fillId="8" borderId="44" xfId="0" applyFill="1" applyBorder="1" applyProtection="1">
      <protection locked="0"/>
    </xf>
    <xf numFmtId="165" fontId="21" fillId="6" borderId="117" xfId="3" applyNumberFormat="1" applyFont="1" applyFill="1" applyBorder="1" applyAlignment="1" applyProtection="1">
      <alignment vertical="center" wrapText="1"/>
      <protection locked="0"/>
    </xf>
    <xf numFmtId="0" fontId="11" fillId="8" borderId="37" xfId="0" applyFont="1" applyFill="1" applyBorder="1" applyAlignment="1" applyProtection="1">
      <alignment vertical="center" wrapText="1"/>
      <protection locked="0"/>
    </xf>
    <xf numFmtId="0" fontId="15" fillId="0" borderId="16" xfId="0" applyFont="1" applyBorder="1"/>
    <xf numFmtId="0" fontId="35" fillId="14" borderId="0" xfId="0" applyFont="1" applyFill="1"/>
    <xf numFmtId="170" fontId="0" fillId="9" borderId="45" xfId="1" applyNumberFormat="1" applyFont="1" applyFill="1" applyBorder="1" applyAlignment="1" applyProtection="1">
      <alignment horizontal="left"/>
    </xf>
    <xf numFmtId="0" fontId="21" fillId="9" borderId="3" xfId="0" applyFont="1" applyFill="1" applyBorder="1" applyProtection="1">
      <protection locked="0"/>
    </xf>
    <xf numFmtId="0" fontId="0" fillId="65" borderId="124" xfId="0" applyFill="1" applyBorder="1"/>
    <xf numFmtId="0" fontId="0" fillId="65" borderId="128" xfId="0" applyFill="1" applyBorder="1"/>
    <xf numFmtId="0" fontId="0" fillId="69" borderId="121" xfId="0" applyFill="1" applyBorder="1"/>
    <xf numFmtId="0" fontId="4" fillId="2" borderId="132" xfId="0" applyFont="1" applyFill="1" applyBorder="1" applyAlignment="1">
      <alignment horizontal="center" vertical="center" wrapText="1"/>
    </xf>
    <xf numFmtId="0" fontId="0" fillId="70" borderId="121" xfId="0" applyFill="1" applyBorder="1"/>
    <xf numFmtId="170" fontId="2" fillId="9" borderId="45" xfId="1" applyNumberFormat="1" applyFont="1" applyFill="1" applyBorder="1" applyAlignment="1" applyProtection="1">
      <alignment horizontal="left"/>
    </xf>
    <xf numFmtId="0" fontId="2" fillId="8" borderId="45" xfId="0" applyFont="1" applyFill="1" applyBorder="1" applyProtection="1">
      <protection locked="0"/>
    </xf>
    <xf numFmtId="170" fontId="2" fillId="9" borderId="45" xfId="1" applyNumberFormat="1" applyFont="1" applyFill="1" applyBorder="1" applyAlignment="1" applyProtection="1">
      <alignment horizontal="center"/>
    </xf>
    <xf numFmtId="165" fontId="2" fillId="9" borderId="45" xfId="3" applyNumberFormat="1" applyFont="1" applyFill="1" applyBorder="1" applyProtection="1"/>
    <xf numFmtId="174" fontId="2" fillId="9" borderId="45" xfId="3" applyNumberFormat="1" applyFont="1" applyFill="1" applyBorder="1" applyProtection="1"/>
    <xf numFmtId="0" fontId="2" fillId="8" borderId="64" xfId="0" applyFont="1" applyFill="1" applyBorder="1" applyProtection="1">
      <protection locked="0"/>
    </xf>
    <xf numFmtId="0" fontId="2" fillId="8" borderId="3" xfId="0" applyFont="1" applyFill="1" applyBorder="1" applyProtection="1">
      <protection locked="0"/>
    </xf>
    <xf numFmtId="0" fontId="2" fillId="8" borderId="2" xfId="0" applyFont="1" applyFill="1" applyBorder="1" applyProtection="1">
      <protection locked="0"/>
    </xf>
    <xf numFmtId="10" fontId="21" fillId="6" borderId="2" xfId="3" applyNumberFormat="1" applyFont="1" applyFill="1" applyBorder="1" applyAlignment="1" applyProtection="1">
      <alignment vertical="center" wrapText="1"/>
      <protection locked="0"/>
    </xf>
    <xf numFmtId="10" fontId="21" fillId="6" borderId="8" xfId="3" applyNumberFormat="1" applyFont="1" applyFill="1" applyBorder="1" applyAlignment="1" applyProtection="1">
      <alignment vertical="center" wrapText="1"/>
      <protection locked="0"/>
    </xf>
    <xf numFmtId="176" fontId="21" fillId="6" borderId="2" xfId="3" applyNumberFormat="1" applyFont="1" applyFill="1" applyBorder="1" applyAlignment="1" applyProtection="1">
      <alignment vertical="center" wrapText="1"/>
      <protection locked="0"/>
    </xf>
    <xf numFmtId="2" fontId="21" fillId="22" borderId="2" xfId="3" applyNumberFormat="1" applyFont="1" applyFill="1" applyBorder="1" applyAlignment="1" applyProtection="1">
      <alignment vertical="center" wrapText="1"/>
      <protection locked="0"/>
    </xf>
    <xf numFmtId="2" fontId="21" fillId="22" borderId="8" xfId="3" applyNumberFormat="1" applyFont="1" applyFill="1" applyBorder="1" applyAlignment="1" applyProtection="1">
      <alignment vertical="center" wrapText="1"/>
      <protection locked="0"/>
    </xf>
    <xf numFmtId="2" fontId="21" fillId="6" borderId="2" xfId="3" applyNumberFormat="1" applyFont="1" applyFill="1" applyBorder="1" applyAlignment="1" applyProtection="1">
      <alignment vertical="center" wrapText="1"/>
      <protection locked="0"/>
    </xf>
    <xf numFmtId="2" fontId="21" fillId="6" borderId="8" xfId="3" applyNumberFormat="1" applyFont="1" applyFill="1" applyBorder="1" applyAlignment="1" applyProtection="1">
      <alignment vertical="center" wrapText="1"/>
      <protection locked="0"/>
    </xf>
    <xf numFmtId="0" fontId="18" fillId="2" borderId="61" xfId="0" applyFont="1" applyFill="1" applyBorder="1" applyAlignment="1">
      <alignment horizontal="center" vertical="center" wrapText="1"/>
    </xf>
    <xf numFmtId="0" fontId="0" fillId="69" borderId="0" xfId="0" applyFill="1"/>
    <xf numFmtId="9" fontId="0" fillId="0" borderId="121" xfId="0" applyNumberFormat="1" applyBorder="1"/>
    <xf numFmtId="171" fontId="59" fillId="65" borderId="5" xfId="0" applyNumberFormat="1" applyFont="1" applyFill="1" applyBorder="1" applyAlignment="1">
      <alignment vertical="center" wrapText="1"/>
    </xf>
    <xf numFmtId="0" fontId="59" fillId="65" borderId="5" xfId="0" applyFont="1" applyFill="1" applyBorder="1" applyAlignment="1">
      <alignment vertical="center" wrapText="1"/>
    </xf>
    <xf numFmtId="169" fontId="59" fillId="65" borderId="5" xfId="0" applyNumberFormat="1" applyFont="1" applyFill="1" applyBorder="1" applyAlignment="1">
      <alignment vertical="center" wrapText="1"/>
    </xf>
    <xf numFmtId="0" fontId="4" fillId="2" borderId="37" xfId="0" applyFont="1" applyFill="1" applyBorder="1" applyAlignment="1">
      <alignment horizontal="center" vertical="center" wrapText="1"/>
    </xf>
    <xf numFmtId="0" fontId="4" fillId="2" borderId="50" xfId="0" applyFont="1" applyFill="1" applyBorder="1" applyAlignment="1">
      <alignment horizontal="center" vertical="center" wrapText="1"/>
    </xf>
    <xf numFmtId="0" fontId="18" fillId="2" borderId="45" xfId="0" applyFont="1" applyFill="1" applyBorder="1" applyAlignment="1">
      <alignment horizontal="center" vertical="center" wrapText="1"/>
    </xf>
    <xf numFmtId="0" fontId="18" fillId="2" borderId="50" xfId="0" applyFont="1" applyFill="1" applyBorder="1" applyAlignment="1">
      <alignment horizontal="center" vertical="center" wrapText="1"/>
    </xf>
    <xf numFmtId="49" fontId="21" fillId="8" borderId="131" xfId="3" applyNumberFormat="1" applyFont="1" applyFill="1" applyBorder="1" applyAlignment="1" applyProtection="1">
      <alignment vertical="center" wrapText="1"/>
      <protection locked="0"/>
    </xf>
    <xf numFmtId="0" fontId="4" fillId="2" borderId="96" xfId="0" applyFont="1" applyFill="1" applyBorder="1" applyAlignment="1">
      <alignment horizontal="center" vertical="center" wrapText="1"/>
    </xf>
    <xf numFmtId="165" fontId="83" fillId="6" borderId="45" xfId="3" applyNumberFormat="1" applyFont="1" applyFill="1" applyBorder="1" applyAlignment="1" applyProtection="1">
      <alignment vertical="center" wrapText="1"/>
      <protection locked="0"/>
    </xf>
    <xf numFmtId="0" fontId="84" fillId="8" borderId="45" xfId="0" applyFont="1" applyFill="1" applyBorder="1" applyAlignment="1" applyProtection="1">
      <alignment vertical="center" wrapText="1"/>
      <protection locked="0"/>
    </xf>
    <xf numFmtId="43" fontId="85" fillId="9" borderId="3" xfId="3" applyFont="1" applyFill="1" applyBorder="1" applyAlignment="1" applyProtection="1">
      <alignment vertical="center" wrapText="1"/>
    </xf>
    <xf numFmtId="43" fontId="85" fillId="9" borderId="7" xfId="3" applyFont="1" applyFill="1" applyBorder="1" applyAlignment="1" applyProtection="1">
      <alignment vertical="center" wrapText="1"/>
    </xf>
    <xf numFmtId="43" fontId="85" fillId="9" borderId="77" xfId="3" applyFont="1" applyFill="1" applyBorder="1" applyAlignment="1" applyProtection="1">
      <alignment vertical="center" wrapText="1"/>
    </xf>
    <xf numFmtId="0" fontId="11" fillId="4" borderId="62" xfId="0" applyFont="1" applyFill="1" applyBorder="1" applyAlignment="1">
      <alignment vertical="center" wrapText="1"/>
    </xf>
    <xf numFmtId="0" fontId="18" fillId="17" borderId="45" xfId="0" applyFont="1" applyFill="1" applyBorder="1" applyAlignment="1">
      <alignment horizontal="center" vertical="center" wrapText="1"/>
    </xf>
    <xf numFmtId="0" fontId="18" fillId="2" borderId="2" xfId="0" applyFont="1" applyFill="1" applyBorder="1" applyAlignment="1">
      <alignment horizontal="center" vertical="center" wrapText="1"/>
    </xf>
    <xf numFmtId="165" fontId="0" fillId="9" borderId="2" xfId="3" applyNumberFormat="1" applyFont="1" applyFill="1" applyBorder="1" applyProtection="1"/>
    <xf numFmtId="168" fontId="21" fillId="9" borderId="45" xfId="3" applyNumberFormat="1" applyFont="1" applyFill="1" applyBorder="1" applyAlignment="1" applyProtection="1">
      <alignment vertical="center" wrapText="1"/>
    </xf>
    <xf numFmtId="168" fontId="0" fillId="9" borderId="2" xfId="3" applyNumberFormat="1" applyFont="1" applyFill="1" applyBorder="1" applyProtection="1"/>
    <xf numFmtId="0" fontId="18" fillId="17" borderId="2" xfId="0" applyFont="1" applyFill="1" applyBorder="1" applyAlignment="1">
      <alignment horizontal="center" vertical="center" wrapText="1"/>
    </xf>
    <xf numFmtId="165" fontId="33" fillId="9" borderId="77" xfId="3" applyNumberFormat="1" applyFont="1" applyFill="1" applyBorder="1" applyAlignment="1" applyProtection="1">
      <alignment vertical="center" wrapText="1"/>
    </xf>
    <xf numFmtId="0" fontId="4" fillId="2" borderId="2" xfId="0" applyFont="1" applyFill="1" applyBorder="1" applyAlignment="1">
      <alignment horizontal="right" vertical="center" wrapText="1"/>
    </xf>
    <xf numFmtId="0" fontId="4" fillId="2" borderId="2" xfId="0" applyFont="1" applyFill="1" applyBorder="1" applyAlignment="1">
      <alignment horizontal="center" vertical="center" wrapText="1"/>
    </xf>
    <xf numFmtId="0" fontId="10" fillId="2" borderId="35"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10" fillId="2" borderId="3" xfId="0" applyFont="1" applyFill="1" applyBorder="1" applyAlignment="1">
      <alignment horizontal="center" vertical="center" wrapText="1"/>
    </xf>
    <xf numFmtId="0" fontId="10" fillId="2" borderId="40" xfId="0" applyFont="1" applyFill="1" applyBorder="1" applyAlignment="1">
      <alignment horizontal="center" vertical="center" wrapText="1"/>
    </xf>
    <xf numFmtId="167" fontId="59" fillId="17" borderId="45" xfId="0" applyNumberFormat="1" applyFont="1" applyFill="1" applyBorder="1" applyAlignment="1">
      <alignment horizontal="center" vertical="center"/>
    </xf>
    <xf numFmtId="0" fontId="33" fillId="3" borderId="129" xfId="0" applyFont="1" applyFill="1" applyBorder="1" applyAlignment="1">
      <alignment vertical="center" wrapText="1"/>
    </xf>
    <xf numFmtId="0" fontId="10" fillId="2" borderId="2" xfId="0" applyFont="1" applyFill="1" applyBorder="1" applyAlignment="1">
      <alignment horizontal="center" vertical="center" wrapText="1"/>
    </xf>
    <xf numFmtId="1" fontId="11" fillId="9" borderId="3" xfId="0" applyNumberFormat="1" applyFont="1" applyFill="1" applyBorder="1" applyAlignment="1">
      <alignment horizontal="center" vertical="center" wrapText="1"/>
    </xf>
    <xf numFmtId="2" fontId="11" fillId="17" borderId="45" xfId="0" applyNumberFormat="1" applyFont="1" applyFill="1" applyBorder="1"/>
    <xf numFmtId="43" fontId="11" fillId="6" borderId="3" xfId="3" applyFont="1" applyFill="1" applyBorder="1" applyAlignment="1" applyProtection="1">
      <alignment vertical="center" wrapText="1"/>
    </xf>
    <xf numFmtId="43" fontId="11" fillId="6" borderId="5" xfId="3" applyFont="1" applyFill="1" applyBorder="1" applyAlignment="1" applyProtection="1">
      <alignment vertical="center" wrapText="1"/>
    </xf>
    <xf numFmtId="49" fontId="11" fillId="8" borderId="6" xfId="0" applyNumberFormat="1" applyFont="1" applyFill="1" applyBorder="1" applyAlignment="1" applyProtection="1">
      <alignment vertical="center" wrapText="1"/>
      <protection locked="0"/>
    </xf>
    <xf numFmtId="9" fontId="21" fillId="8" borderId="5" xfId="1" applyFont="1" applyFill="1" applyBorder="1" applyAlignment="1" applyProtection="1">
      <alignment vertical="center" wrapText="1"/>
      <protection locked="0"/>
    </xf>
    <xf numFmtId="43" fontId="11" fillId="6" borderId="137" xfId="3" applyFont="1" applyFill="1" applyBorder="1" applyAlignment="1" applyProtection="1">
      <alignment vertical="center" wrapText="1"/>
    </xf>
    <xf numFmtId="43" fontId="11" fillId="6" borderId="138" xfId="3" applyFont="1" applyFill="1" applyBorder="1" applyAlignment="1" applyProtection="1">
      <alignment vertical="center" wrapText="1"/>
    </xf>
    <xf numFmtId="43" fontId="11" fillId="6" borderId="97" xfId="3" applyFont="1" applyFill="1" applyBorder="1" applyAlignment="1" applyProtection="1">
      <alignment vertical="center" wrapText="1"/>
    </xf>
    <xf numFmtId="0" fontId="10" fillId="2" borderId="2" xfId="0" applyFont="1" applyFill="1" applyBorder="1" applyAlignment="1">
      <alignment vertical="center" wrapText="1"/>
    </xf>
    <xf numFmtId="0" fontId="10" fillId="2" borderId="3" xfId="0" applyFont="1" applyFill="1" applyBorder="1" applyAlignment="1">
      <alignment vertical="center" wrapText="1"/>
    </xf>
    <xf numFmtId="0" fontId="21" fillId="6" borderId="6" xfId="0" applyFont="1" applyFill="1" applyBorder="1" applyProtection="1">
      <protection locked="0"/>
    </xf>
    <xf numFmtId="165" fontId="21" fillId="6" borderId="6" xfId="3" applyNumberFormat="1" applyFont="1" applyFill="1" applyBorder="1" applyAlignment="1" applyProtection="1">
      <alignment vertical="center" wrapText="1"/>
      <protection locked="0"/>
    </xf>
    <xf numFmtId="0" fontId="0" fillId="6" borderId="65" xfId="0" applyFill="1" applyBorder="1" applyProtection="1">
      <protection locked="0"/>
    </xf>
    <xf numFmtId="0" fontId="0" fillId="8" borderId="123" xfId="0" applyFill="1" applyBorder="1" applyProtection="1">
      <protection locked="0"/>
    </xf>
    <xf numFmtId="0" fontId="15" fillId="0" borderId="12" xfId="0" applyFont="1" applyBorder="1" applyAlignment="1">
      <alignment horizontal="right"/>
    </xf>
    <xf numFmtId="0" fontId="50" fillId="14" borderId="0" xfId="0" applyFont="1" applyFill="1" applyAlignment="1">
      <alignment horizontal="center" vertical="top"/>
    </xf>
    <xf numFmtId="0" fontId="29" fillId="14" borderId="0" xfId="0" applyFont="1" applyFill="1" applyAlignment="1">
      <alignment vertical="top" wrapText="1"/>
    </xf>
    <xf numFmtId="0" fontId="15" fillId="14" borderId="0" xfId="0" applyFont="1" applyFill="1"/>
    <xf numFmtId="0" fontId="29" fillId="0" borderId="0" xfId="0" applyFont="1" applyAlignment="1">
      <alignment vertical="top" wrapText="1"/>
    </xf>
    <xf numFmtId="0" fontId="18" fillId="2" borderId="122" xfId="0" applyFont="1" applyFill="1" applyBorder="1" applyAlignment="1">
      <alignment horizontal="center" vertical="center" wrapText="1"/>
    </xf>
    <xf numFmtId="0" fontId="18" fillId="2" borderId="130" xfId="0" applyFont="1" applyFill="1" applyBorder="1" applyAlignment="1">
      <alignment horizontal="center" vertical="center" wrapText="1"/>
    </xf>
    <xf numFmtId="0" fontId="0" fillId="22" borderId="45" xfId="0" applyFill="1" applyBorder="1"/>
    <xf numFmtId="0" fontId="0" fillId="9" borderId="45" xfId="0" applyFill="1" applyBorder="1"/>
    <xf numFmtId="166" fontId="0" fillId="9" borderId="45" xfId="0" applyNumberFormat="1" applyFill="1" applyBorder="1"/>
    <xf numFmtId="0" fontId="2" fillId="9" borderId="45" xfId="0" applyFont="1" applyFill="1" applyBorder="1"/>
    <xf numFmtId="166" fontId="2" fillId="9" borderId="45" xfId="0" applyNumberFormat="1" applyFont="1" applyFill="1" applyBorder="1"/>
    <xf numFmtId="0" fontId="26" fillId="0" borderId="1" xfId="0" applyFont="1" applyBorder="1"/>
    <xf numFmtId="0" fontId="15" fillId="68" borderId="16" xfId="0" applyFont="1" applyFill="1" applyBorder="1"/>
    <xf numFmtId="0" fontId="14" fillId="0" borderId="1" xfId="0" applyFont="1" applyBorder="1"/>
    <xf numFmtId="0" fontId="26" fillId="0" borderId="12" xfId="0" applyFont="1" applyBorder="1"/>
    <xf numFmtId="0" fontId="16" fillId="14" borderId="1" xfId="0" applyFont="1" applyFill="1" applyBorder="1"/>
    <xf numFmtId="0" fontId="0" fillId="0" borderId="101" xfId="0" applyBorder="1"/>
    <xf numFmtId="0" fontId="4" fillId="2" borderId="102" xfId="0" applyFont="1" applyFill="1" applyBorder="1" applyAlignment="1">
      <alignment horizontal="center" vertical="center" wrapText="1"/>
    </xf>
    <xf numFmtId="0" fontId="50" fillId="0" borderId="1" xfId="0" applyFont="1" applyBorder="1"/>
    <xf numFmtId="0" fontId="0" fillId="22" borderId="50" xfId="0" applyFill="1" applyBorder="1"/>
    <xf numFmtId="0" fontId="4" fillId="2" borderId="41" xfId="0" applyFont="1" applyFill="1" applyBorder="1" applyAlignment="1">
      <alignment horizontal="center" vertical="center" wrapText="1"/>
    </xf>
    <xf numFmtId="0" fontId="21" fillId="0" borderId="14" xfId="0" applyFont="1" applyBorder="1"/>
    <xf numFmtId="0" fontId="4" fillId="2" borderId="98" xfId="0" applyFont="1" applyFill="1" applyBorder="1" applyAlignment="1">
      <alignment horizontal="center" vertical="center" wrapText="1"/>
    </xf>
    <xf numFmtId="0" fontId="0" fillId="0" borderId="100" xfId="0" applyBorder="1"/>
    <xf numFmtId="0" fontId="16" fillId="0" borderId="18" xfId="0" applyFont="1" applyBorder="1" applyAlignment="1">
      <alignment vertical="top" wrapText="1"/>
    </xf>
    <xf numFmtId="0" fontId="18" fillId="2" borderId="3" xfId="0" applyFont="1" applyFill="1" applyBorder="1" applyAlignment="1">
      <alignment horizontal="center" vertical="center" wrapText="1"/>
    </xf>
    <xf numFmtId="9" fontId="0" fillId="9" borderId="2" xfId="1" applyFont="1" applyFill="1" applyBorder="1" applyAlignment="1" applyProtection="1">
      <alignment horizontal="center"/>
    </xf>
    <xf numFmtId="0" fontId="0" fillId="9" borderId="2" xfId="0" applyFill="1" applyBorder="1"/>
    <xf numFmtId="43" fontId="0" fillId="9" borderId="2" xfId="3" applyFont="1" applyFill="1" applyBorder="1" applyProtection="1"/>
    <xf numFmtId="9" fontId="2" fillId="9" borderId="6" xfId="1" applyFont="1" applyFill="1" applyBorder="1" applyAlignment="1" applyProtection="1">
      <alignment horizontal="center"/>
    </xf>
    <xf numFmtId="165" fontId="2" fillId="9" borderId="2" xfId="3" applyNumberFormat="1" applyFont="1" applyFill="1" applyBorder="1" applyProtection="1"/>
    <xf numFmtId="0" fontId="2" fillId="9" borderId="2" xfId="0" applyFont="1" applyFill="1" applyBorder="1"/>
    <xf numFmtId="9" fontId="0" fillId="9" borderId="6" xfId="1" applyFont="1" applyFill="1" applyBorder="1" applyAlignment="1" applyProtection="1">
      <alignment horizontal="center"/>
    </xf>
    <xf numFmtId="9" fontId="0" fillId="9" borderId="8" xfId="1" applyFont="1" applyFill="1" applyBorder="1" applyAlignment="1" applyProtection="1">
      <alignment horizontal="center"/>
    </xf>
    <xf numFmtId="165" fontId="0" fillId="9" borderId="8" xfId="3" applyNumberFormat="1" applyFont="1" applyFill="1" applyBorder="1" applyProtection="1"/>
    <xf numFmtId="0" fontId="0" fillId="9" borderId="8" xfId="0" applyFill="1" applyBorder="1"/>
    <xf numFmtId="43" fontId="11" fillId="9" borderId="51" xfId="3" applyFont="1" applyFill="1" applyBorder="1" applyAlignment="1" applyProtection="1">
      <alignment vertical="center" wrapText="1"/>
    </xf>
    <xf numFmtId="43" fontId="33" fillId="9" borderId="51" xfId="3" applyFont="1" applyFill="1" applyBorder="1" applyAlignment="1" applyProtection="1">
      <alignment vertical="center" wrapText="1"/>
    </xf>
    <xf numFmtId="43" fontId="33" fillId="9" borderId="107" xfId="3" applyFont="1" applyFill="1" applyBorder="1" applyAlignment="1" applyProtection="1">
      <alignment vertical="center" wrapText="1"/>
    </xf>
    <xf numFmtId="43" fontId="33" fillId="9" borderId="102" xfId="3" applyFont="1" applyFill="1" applyBorder="1" applyAlignment="1" applyProtection="1">
      <alignment vertical="center" wrapText="1"/>
    </xf>
    <xf numFmtId="0" fontId="50" fillId="3" borderId="84" xfId="0" applyFont="1" applyFill="1" applyBorder="1" applyAlignment="1">
      <alignment wrapText="1"/>
    </xf>
    <xf numFmtId="9" fontId="0" fillId="9" borderId="2" xfId="1" applyFont="1" applyFill="1" applyBorder="1" applyAlignment="1" applyProtection="1">
      <alignment horizontal="center" vertical="center"/>
    </xf>
    <xf numFmtId="167" fontId="0" fillId="9" borderId="2" xfId="0" applyNumberFormat="1" applyFill="1" applyBorder="1"/>
    <xf numFmtId="9" fontId="0" fillId="9" borderId="39" xfId="1" applyFont="1" applyFill="1" applyBorder="1" applyAlignment="1" applyProtection="1">
      <alignment horizontal="center" vertical="center"/>
    </xf>
    <xf numFmtId="0" fontId="0" fillId="0" borderId="90" xfId="0" applyBorder="1"/>
    <xf numFmtId="0" fontId="27" fillId="0" borderId="20" xfId="0" applyFont="1" applyBorder="1" applyAlignment="1">
      <alignment horizontal="left"/>
    </xf>
    <xf numFmtId="0" fontId="0" fillId="0" borderId="91" xfId="0" applyBorder="1"/>
    <xf numFmtId="9" fontId="0" fillId="9" borderId="2" xfId="0" applyNumberFormat="1" applyFill="1" applyBorder="1" applyAlignment="1">
      <alignment horizontal="center"/>
    </xf>
    <xf numFmtId="2" fontId="0" fillId="9" borderId="2" xfId="0" applyNumberFormat="1" applyFill="1" applyBorder="1"/>
    <xf numFmtId="43" fontId="11" fillId="9" borderId="60" xfId="3" applyFont="1" applyFill="1" applyBorder="1" applyAlignment="1" applyProtection="1">
      <alignment vertical="center" wrapText="1"/>
    </xf>
    <xf numFmtId="43" fontId="11" fillId="9" borderId="109" xfId="3" applyFont="1" applyFill="1" applyBorder="1" applyAlignment="1" applyProtection="1">
      <alignment vertical="center" wrapText="1"/>
    </xf>
    <xf numFmtId="43" fontId="11" fillId="9" borderId="90" xfId="3" applyFont="1" applyFill="1" applyBorder="1" applyAlignment="1" applyProtection="1">
      <alignment vertical="center" wrapText="1"/>
    </xf>
    <xf numFmtId="43" fontId="11" fillId="9" borderId="110" xfId="3" applyFont="1" applyFill="1" applyBorder="1" applyAlignment="1" applyProtection="1">
      <alignment vertical="center" wrapText="1"/>
    </xf>
    <xf numFmtId="43" fontId="11" fillId="9" borderId="30" xfId="3" applyFont="1" applyFill="1" applyBorder="1" applyAlignment="1" applyProtection="1">
      <alignment vertical="center" wrapText="1"/>
    </xf>
    <xf numFmtId="43" fontId="11" fillId="9" borderId="55" xfId="3" applyFont="1" applyFill="1" applyBorder="1" applyAlignment="1" applyProtection="1">
      <alignment vertical="center" wrapText="1"/>
    </xf>
    <xf numFmtId="165" fontId="24" fillId="0" borderId="58" xfId="3" applyNumberFormat="1" applyFont="1" applyFill="1" applyBorder="1" applyAlignment="1" applyProtection="1">
      <alignment vertical="center" wrapText="1"/>
    </xf>
    <xf numFmtId="165" fontId="24" fillId="0" borderId="26" xfId="3" applyNumberFormat="1" applyFont="1" applyFill="1" applyBorder="1" applyAlignment="1" applyProtection="1">
      <alignment vertical="center" wrapText="1"/>
    </xf>
    <xf numFmtId="165" fontId="34" fillId="0" borderId="67" xfId="3" applyNumberFormat="1" applyFont="1" applyFill="1" applyBorder="1" applyAlignment="1" applyProtection="1">
      <alignment vertical="center" wrapText="1"/>
    </xf>
    <xf numFmtId="165" fontId="34" fillId="0" borderId="111" xfId="3" applyNumberFormat="1" applyFont="1" applyFill="1" applyBorder="1" applyAlignment="1" applyProtection="1">
      <alignment vertical="center" wrapText="1"/>
    </xf>
    <xf numFmtId="0" fontId="29" fillId="0" borderId="1" xfId="0" applyFont="1" applyBorder="1" applyAlignment="1">
      <alignment vertical="center"/>
    </xf>
    <xf numFmtId="0" fontId="0" fillId="0" borderId="114" xfId="0" applyBorder="1"/>
    <xf numFmtId="0" fontId="47" fillId="0" borderId="12" xfId="0" applyFont="1" applyBorder="1" applyAlignment="1">
      <alignment vertical="center" wrapText="1"/>
    </xf>
    <xf numFmtId="0" fontId="0" fillId="8" borderId="72" xfId="0" applyFill="1" applyBorder="1" applyAlignment="1">
      <alignment horizontal="center" vertical="center"/>
    </xf>
    <xf numFmtId="0" fontId="47" fillId="0" borderId="12" xfId="0" applyFont="1" applyBorder="1" applyAlignment="1">
      <alignment horizontal="right" vertical="center" wrapText="1"/>
    </xf>
    <xf numFmtId="165" fontId="24" fillId="0" borderId="1" xfId="3" applyNumberFormat="1" applyFont="1" applyFill="1" applyBorder="1" applyAlignment="1" applyProtection="1">
      <alignment vertical="center" wrapText="1"/>
    </xf>
    <xf numFmtId="0" fontId="0" fillId="14" borderId="12" xfId="0" applyFill="1" applyBorder="1"/>
    <xf numFmtId="165" fontId="34" fillId="0" borderId="114" xfId="3" applyNumberFormat="1" applyFont="1" applyFill="1" applyBorder="1" applyAlignment="1" applyProtection="1">
      <alignment vertical="center" wrapText="1"/>
    </xf>
    <xf numFmtId="165" fontId="34" fillId="0" borderId="91" xfId="3" applyNumberFormat="1" applyFont="1" applyFill="1" applyBorder="1" applyAlignment="1" applyProtection="1">
      <alignment vertical="center" wrapText="1"/>
    </xf>
    <xf numFmtId="0" fontId="4" fillId="2" borderId="112" xfId="0" applyFont="1" applyFill="1" applyBorder="1" applyAlignment="1">
      <alignment horizontal="center" vertical="center" wrapText="1"/>
    </xf>
    <xf numFmtId="0" fontId="4" fillId="2" borderId="104" xfId="0" applyFont="1" applyFill="1" applyBorder="1" applyAlignment="1">
      <alignment horizontal="center" vertical="center" wrapText="1"/>
    </xf>
    <xf numFmtId="0" fontId="0" fillId="0" borderId="108" xfId="0" applyBorder="1"/>
    <xf numFmtId="43" fontId="11" fillId="9" borderId="2" xfId="3" applyFont="1" applyFill="1" applyBorder="1" applyAlignment="1" applyProtection="1">
      <alignment vertical="center" wrapText="1"/>
    </xf>
    <xf numFmtId="43" fontId="11" fillId="9" borderId="6" xfId="3" applyFont="1" applyFill="1" applyBorder="1" applyAlignment="1" applyProtection="1">
      <alignment vertical="center" wrapText="1"/>
    </xf>
    <xf numFmtId="43" fontId="33" fillId="9" borderId="112" xfId="3" applyFont="1" applyFill="1" applyBorder="1" applyAlignment="1" applyProtection="1">
      <alignment vertical="center" wrapText="1"/>
    </xf>
    <xf numFmtId="165" fontId="33" fillId="9" borderId="104" xfId="3" applyNumberFormat="1" applyFont="1" applyFill="1" applyBorder="1" applyAlignment="1" applyProtection="1">
      <alignment vertical="center" wrapText="1"/>
    </xf>
    <xf numFmtId="43" fontId="33" fillId="9" borderId="40" xfId="3" applyFont="1" applyFill="1" applyBorder="1" applyAlignment="1" applyProtection="1">
      <alignment vertical="center" wrapText="1"/>
    </xf>
    <xf numFmtId="43" fontId="33" fillId="9" borderId="6" xfId="3" applyFont="1" applyFill="1" applyBorder="1" applyAlignment="1" applyProtection="1">
      <alignment vertical="center" wrapText="1"/>
    </xf>
    <xf numFmtId="43" fontId="33" fillId="9" borderId="55" xfId="3" applyFont="1" applyFill="1" applyBorder="1" applyAlignment="1" applyProtection="1">
      <alignment vertical="center" wrapText="1"/>
    </xf>
    <xf numFmtId="165" fontId="33" fillId="9" borderId="94" xfId="3" applyNumberFormat="1" applyFont="1" applyFill="1" applyBorder="1" applyAlignment="1" applyProtection="1">
      <alignment vertical="center" wrapText="1"/>
    </xf>
    <xf numFmtId="165" fontId="24" fillId="0" borderId="43" xfId="3" applyNumberFormat="1" applyFont="1" applyFill="1" applyBorder="1" applyAlignment="1" applyProtection="1">
      <alignment vertical="center" wrapText="1"/>
    </xf>
    <xf numFmtId="165" fontId="24" fillId="0" borderId="53" xfId="3" applyNumberFormat="1" applyFont="1" applyFill="1" applyBorder="1" applyAlignment="1" applyProtection="1">
      <alignment vertical="center" wrapText="1"/>
    </xf>
    <xf numFmtId="165" fontId="34" fillId="0" borderId="115" xfId="3" applyNumberFormat="1" applyFont="1" applyFill="1" applyBorder="1" applyAlignment="1" applyProtection="1">
      <alignment vertical="center" wrapText="1"/>
    </xf>
    <xf numFmtId="165" fontId="34" fillId="0" borderId="113" xfId="3" applyNumberFormat="1" applyFont="1" applyFill="1" applyBorder="1" applyAlignment="1" applyProtection="1">
      <alignment vertical="center" wrapText="1"/>
    </xf>
    <xf numFmtId="43" fontId="11" fillId="9" borderId="2" xfId="3" applyFont="1" applyFill="1" applyBorder="1" applyAlignment="1" applyProtection="1">
      <alignment horizontal="left" vertical="center" wrapText="1" indent="3"/>
    </xf>
    <xf numFmtId="43" fontId="11" fillId="9" borderId="6" xfId="3" applyFont="1" applyFill="1" applyBorder="1" applyAlignment="1" applyProtection="1">
      <alignment horizontal="left" vertical="center" wrapText="1" indent="3"/>
    </xf>
    <xf numFmtId="43" fontId="33" fillId="9" borderId="112" xfId="3" applyFont="1" applyFill="1" applyBorder="1" applyAlignment="1" applyProtection="1">
      <alignment horizontal="left" vertical="center" wrapText="1" indent="3"/>
    </xf>
    <xf numFmtId="43" fontId="33" fillId="9" borderId="104" xfId="3" applyFont="1" applyFill="1" applyBorder="1" applyAlignment="1" applyProtection="1">
      <alignment horizontal="left" vertical="center" wrapText="1" indent="3"/>
    </xf>
    <xf numFmtId="43" fontId="33" fillId="9" borderId="6" xfId="3" applyFont="1" applyFill="1" applyBorder="1" applyAlignment="1" applyProtection="1">
      <alignment horizontal="left" vertical="center" wrapText="1" indent="3"/>
    </xf>
    <xf numFmtId="43" fontId="33" fillId="9" borderId="40" xfId="3" applyFont="1" applyFill="1" applyBorder="1" applyAlignment="1" applyProtection="1">
      <alignment horizontal="left" vertical="center" wrapText="1" indent="3"/>
    </xf>
    <xf numFmtId="43" fontId="33" fillId="9" borderId="77" xfId="3" applyFont="1" applyFill="1" applyBorder="1" applyAlignment="1" applyProtection="1">
      <alignment horizontal="left" vertical="center" wrapText="1" indent="3"/>
    </xf>
    <xf numFmtId="43" fontId="33" fillId="9" borderId="116" xfId="3" applyFont="1" applyFill="1" applyBorder="1" applyAlignment="1" applyProtection="1">
      <alignment horizontal="left" vertical="center" wrapText="1" indent="3"/>
    </xf>
    <xf numFmtId="43" fontId="33" fillId="9" borderId="105" xfId="3" applyFont="1" applyFill="1" applyBorder="1" applyAlignment="1" applyProtection="1">
      <alignment horizontal="left" vertical="center" wrapText="1" indent="3"/>
    </xf>
    <xf numFmtId="0" fontId="27" fillId="0" borderId="20" xfId="0" applyFont="1" applyBorder="1"/>
    <xf numFmtId="0" fontId="27" fillId="0" borderId="21" xfId="0" applyFont="1" applyBorder="1"/>
    <xf numFmtId="0" fontId="27" fillId="0" borderId="22" xfId="0" applyFont="1" applyBorder="1"/>
    <xf numFmtId="0" fontId="0" fillId="0" borderId="46" xfId="0" applyBorder="1"/>
    <xf numFmtId="0" fontId="0" fillId="14" borderId="14" xfId="0" applyFill="1" applyBorder="1"/>
    <xf numFmtId="0" fontId="36" fillId="0" borderId="1" xfId="0" applyFont="1" applyBorder="1"/>
    <xf numFmtId="0" fontId="10" fillId="2" borderId="55" xfId="0" applyFont="1" applyFill="1" applyBorder="1" applyAlignment="1">
      <alignment horizontal="center" vertical="center" wrapText="1"/>
    </xf>
    <xf numFmtId="0" fontId="10" fillId="2" borderId="0" xfId="0" applyFont="1" applyFill="1" applyAlignment="1">
      <alignment horizontal="center" vertical="center" wrapText="1"/>
    </xf>
    <xf numFmtId="0" fontId="4" fillId="0" borderId="5" xfId="0" applyFont="1" applyBorder="1" applyAlignment="1">
      <alignment horizontal="center" vertical="center" wrapText="1"/>
    </xf>
    <xf numFmtId="49" fontId="11" fillId="3" borderId="5" xfId="0" applyNumberFormat="1" applyFont="1" applyFill="1" applyBorder="1" applyAlignment="1">
      <alignment vertical="center" wrapText="1"/>
    </xf>
    <xf numFmtId="49" fontId="11" fillId="3" borderId="4" xfId="0" applyNumberFormat="1" applyFont="1" applyFill="1" applyBorder="1" applyAlignment="1">
      <alignment horizontal="center" vertical="center" wrapText="1"/>
    </xf>
    <xf numFmtId="0" fontId="33" fillId="3" borderId="4" xfId="0" applyFont="1" applyFill="1" applyBorder="1" applyAlignment="1">
      <alignment vertical="center" wrapText="1"/>
    </xf>
    <xf numFmtId="0" fontId="33" fillId="3" borderId="5" xfId="0" applyFont="1" applyFill="1" applyBorder="1" applyAlignment="1">
      <alignment vertical="center" wrapText="1"/>
    </xf>
    <xf numFmtId="164" fontId="11" fillId="22" borderId="5" xfId="0" applyNumberFormat="1" applyFont="1" applyFill="1" applyBorder="1" applyAlignment="1">
      <alignment vertical="center" wrapText="1"/>
    </xf>
    <xf numFmtId="173" fontId="33" fillId="3" borderId="5" xfId="0" applyNumberFormat="1" applyFont="1" applyFill="1" applyBorder="1" applyAlignment="1">
      <alignment vertical="center" wrapText="1"/>
    </xf>
    <xf numFmtId="165" fontId="33" fillId="0" borderId="3" xfId="3" applyNumberFormat="1" applyFont="1" applyFill="1" applyBorder="1" applyAlignment="1" applyProtection="1">
      <alignment vertical="center" wrapText="1"/>
    </xf>
    <xf numFmtId="0" fontId="33" fillId="3" borderId="61" xfId="0" applyFont="1" applyFill="1" applyBorder="1" applyAlignment="1">
      <alignment vertical="center" wrapText="1"/>
    </xf>
    <xf numFmtId="49" fontId="11" fillId="3" borderId="28" xfId="0" applyNumberFormat="1" applyFont="1" applyFill="1" applyBorder="1" applyAlignment="1">
      <alignment horizontal="center" vertical="center" wrapText="1"/>
    </xf>
    <xf numFmtId="9" fontId="11" fillId="9" borderId="37" xfId="1" applyFont="1" applyFill="1" applyBorder="1" applyAlignment="1" applyProtection="1">
      <alignment horizontal="center" vertical="center" wrapText="1"/>
    </xf>
    <xf numFmtId="165" fontId="33" fillId="0" borderId="59" xfId="3" applyNumberFormat="1" applyFont="1" applyFill="1" applyBorder="1" applyAlignment="1" applyProtection="1">
      <alignment vertical="center" wrapText="1"/>
    </xf>
    <xf numFmtId="165" fontId="34" fillId="0" borderId="58" xfId="3" applyNumberFormat="1" applyFont="1" applyFill="1" applyBorder="1" applyAlignment="1" applyProtection="1">
      <alignment vertical="center" wrapText="1"/>
    </xf>
    <xf numFmtId="1" fontId="11" fillId="9" borderId="3" xfId="0" applyNumberFormat="1" applyFont="1" applyFill="1" applyBorder="1" applyAlignment="1">
      <alignment vertical="center"/>
    </xf>
    <xf numFmtId="49" fontId="11" fillId="22" borderId="3" xfId="0" applyNumberFormat="1" applyFont="1" applyFill="1" applyBorder="1" applyAlignment="1">
      <alignment vertical="center" wrapText="1"/>
    </xf>
    <xf numFmtId="0" fontId="29" fillId="0" borderId="1" xfId="0" applyFont="1" applyBorder="1"/>
    <xf numFmtId="0" fontId="18" fillId="2" borderId="34" xfId="0" applyFont="1" applyFill="1" applyBorder="1" applyAlignment="1">
      <alignment vertical="center" wrapText="1"/>
    </xf>
    <xf numFmtId="2" fontId="24" fillId="5" borderId="4" xfId="0" applyNumberFormat="1" applyFont="1" applyFill="1" applyBorder="1" applyAlignment="1">
      <alignment vertical="center" wrapText="1"/>
    </xf>
    <xf numFmtId="0" fontId="9" fillId="5" borderId="32" xfId="0" applyFont="1" applyFill="1" applyBorder="1" applyAlignment="1">
      <alignment vertical="center" wrapText="1"/>
    </xf>
    <xf numFmtId="0" fontId="13" fillId="0" borderId="0" xfId="0" applyFont="1" applyAlignment="1">
      <alignment vertical="center"/>
    </xf>
    <xf numFmtId="0" fontId="59" fillId="0" borderId="1" xfId="0" applyFont="1" applyBorder="1"/>
    <xf numFmtId="0" fontId="11" fillId="17" borderId="5" xfId="0" applyFont="1" applyFill="1" applyBorder="1" applyAlignment="1">
      <alignment vertical="center" wrapText="1"/>
    </xf>
    <xf numFmtId="4" fontId="33" fillId="9" borderId="5" xfId="0" applyNumberFormat="1" applyFont="1" applyFill="1" applyBorder="1" applyAlignment="1">
      <alignment horizontal="right" vertical="center" wrapText="1"/>
    </xf>
    <xf numFmtId="0" fontId="16" fillId="0" borderId="1" xfId="0" applyFont="1" applyBorder="1"/>
    <xf numFmtId="0" fontId="59" fillId="0" borderId="12" xfId="0" applyFont="1" applyBorder="1"/>
    <xf numFmtId="0" fontId="10" fillId="2" borderId="56" xfId="0" applyFont="1" applyFill="1" applyBorder="1" applyAlignment="1">
      <alignment vertical="center" wrapText="1"/>
    </xf>
    <xf numFmtId="0" fontId="73" fillId="0" borderId="14" xfId="0" applyFont="1" applyBorder="1"/>
    <xf numFmtId="0" fontId="27" fillId="0" borderId="1" xfId="0" applyFont="1" applyBorder="1"/>
    <xf numFmtId="0" fontId="43" fillId="0" borderId="16" xfId="0" applyFont="1" applyBorder="1"/>
    <xf numFmtId="0" fontId="48" fillId="14" borderId="14" xfId="0" applyFont="1" applyFill="1" applyBorder="1"/>
    <xf numFmtId="0" fontId="9" fillId="3" borderId="3" xfId="0" applyFont="1" applyFill="1" applyBorder="1" applyAlignment="1">
      <alignment vertical="center" wrapText="1"/>
    </xf>
    <xf numFmtId="165" fontId="24" fillId="7" borderId="3" xfId="3" applyNumberFormat="1" applyFont="1" applyFill="1" applyBorder="1" applyAlignment="1" applyProtection="1">
      <alignment vertical="center" wrapText="1"/>
    </xf>
    <xf numFmtId="0" fontId="5" fillId="3" borderId="3" xfId="0" applyFont="1" applyFill="1" applyBorder="1" applyAlignment="1">
      <alignment vertical="center" wrapText="1"/>
    </xf>
    <xf numFmtId="165" fontId="11" fillId="7" borderId="3" xfId="3" applyNumberFormat="1" applyFont="1" applyFill="1" applyBorder="1" applyAlignment="1" applyProtection="1">
      <alignment vertical="center" wrapText="1"/>
    </xf>
    <xf numFmtId="165" fontId="24" fillId="7" borderId="7" xfId="3" applyNumberFormat="1" applyFont="1" applyFill="1" applyBorder="1" applyAlignment="1" applyProtection="1">
      <alignment vertical="center" wrapText="1"/>
    </xf>
    <xf numFmtId="165" fontId="33" fillId="7" borderId="40" xfId="3" applyNumberFormat="1" applyFont="1" applyFill="1" applyBorder="1" applyAlignment="1" applyProtection="1">
      <alignment horizontal="center" vertical="center" wrapText="1"/>
    </xf>
    <xf numFmtId="165" fontId="11" fillId="7" borderId="39" xfId="3" applyNumberFormat="1" applyFont="1" applyFill="1" applyBorder="1" applyAlignment="1" applyProtection="1">
      <alignment vertical="center" wrapText="1"/>
    </xf>
    <xf numFmtId="165" fontId="11" fillId="7" borderId="135" xfId="3" applyNumberFormat="1" applyFont="1" applyFill="1" applyBorder="1" applyAlignment="1" applyProtection="1">
      <alignment vertical="center" wrapText="1"/>
    </xf>
    <xf numFmtId="165" fontId="11" fillId="7" borderId="76" xfId="3" applyNumberFormat="1" applyFont="1" applyFill="1" applyBorder="1" applyAlignment="1" applyProtection="1">
      <alignment vertical="center" wrapText="1"/>
    </xf>
    <xf numFmtId="165" fontId="11" fillId="7" borderId="51" xfId="3" applyNumberFormat="1" applyFont="1" applyFill="1" applyBorder="1" applyAlignment="1" applyProtection="1">
      <alignment vertical="center" wrapText="1"/>
    </xf>
    <xf numFmtId="165" fontId="24" fillId="7" borderId="51" xfId="3" applyNumberFormat="1" applyFont="1" applyFill="1" applyBorder="1" applyAlignment="1" applyProtection="1">
      <alignment vertical="center" wrapText="1"/>
    </xf>
    <xf numFmtId="0" fontId="5" fillId="3" borderId="45" xfId="0" applyFont="1" applyFill="1" applyBorder="1" applyAlignment="1">
      <alignment vertical="center" wrapText="1"/>
    </xf>
    <xf numFmtId="165" fontId="11" fillId="7" borderId="106" xfId="3" applyNumberFormat="1" applyFont="1" applyFill="1" applyBorder="1" applyAlignment="1" applyProtection="1">
      <alignment vertical="center" wrapText="1"/>
    </xf>
    <xf numFmtId="165" fontId="24" fillId="7" borderId="106" xfId="3" applyNumberFormat="1" applyFont="1" applyFill="1" applyBorder="1" applyAlignment="1" applyProtection="1">
      <alignment vertical="center" wrapText="1"/>
    </xf>
    <xf numFmtId="0" fontId="9" fillId="3" borderId="42" xfId="0" applyFont="1" applyFill="1" applyBorder="1" applyAlignment="1">
      <alignment vertical="center" wrapText="1"/>
    </xf>
    <xf numFmtId="165" fontId="34" fillId="7" borderId="58" xfId="3" applyNumberFormat="1" applyFont="1" applyFill="1" applyBorder="1" applyAlignment="1" applyProtection="1">
      <alignment vertical="center" wrapText="1"/>
    </xf>
    <xf numFmtId="165" fontId="33" fillId="7" borderId="77" xfId="3" applyNumberFormat="1" applyFont="1" applyFill="1" applyBorder="1" applyAlignment="1" applyProtection="1">
      <alignment horizontal="center" vertical="center" wrapText="1"/>
    </xf>
    <xf numFmtId="165" fontId="24" fillId="7" borderId="54" xfId="3" applyNumberFormat="1" applyFont="1" applyFill="1" applyBorder="1" applyAlignment="1" applyProtection="1">
      <alignment vertical="center" wrapText="1"/>
    </xf>
    <xf numFmtId="165" fontId="11" fillId="7" borderId="78" xfId="3" applyNumberFormat="1" applyFont="1" applyFill="1" applyBorder="1" applyAlignment="1" applyProtection="1">
      <alignment vertical="center" wrapText="1"/>
    </xf>
    <xf numFmtId="165" fontId="24" fillId="7" borderId="43" xfId="3" applyNumberFormat="1" applyFont="1" applyFill="1" applyBorder="1" applyAlignment="1" applyProtection="1">
      <alignment vertical="center" wrapText="1"/>
    </xf>
    <xf numFmtId="165" fontId="24" fillId="7" borderId="79" xfId="3" applyNumberFormat="1" applyFont="1" applyFill="1" applyBorder="1" applyAlignment="1" applyProtection="1">
      <alignment vertical="center" wrapText="1"/>
    </xf>
    <xf numFmtId="165" fontId="24" fillId="7" borderId="80" xfId="3" applyNumberFormat="1" applyFont="1" applyFill="1" applyBorder="1" applyAlignment="1" applyProtection="1">
      <alignment vertical="center" wrapText="1"/>
    </xf>
    <xf numFmtId="165" fontId="34" fillId="7" borderId="43" xfId="3" applyNumberFormat="1" applyFont="1" applyFill="1" applyBorder="1" applyAlignment="1" applyProtection="1">
      <alignment vertical="center" wrapText="1"/>
    </xf>
    <xf numFmtId="0" fontId="4" fillId="14" borderId="48" xfId="0" applyFont="1" applyFill="1" applyBorder="1" applyAlignment="1">
      <alignment horizontal="center" vertical="center" wrapText="1"/>
    </xf>
    <xf numFmtId="0" fontId="4" fillId="14" borderId="3" xfId="0" applyFont="1" applyFill="1" applyBorder="1" applyAlignment="1">
      <alignment horizontal="center" vertical="center" wrapText="1"/>
    </xf>
    <xf numFmtId="43" fontId="11" fillId="7" borderId="3" xfId="3" applyFont="1" applyFill="1" applyBorder="1" applyAlignment="1" applyProtection="1">
      <alignment vertical="center" wrapText="1"/>
    </xf>
    <xf numFmtId="165" fontId="11" fillId="14" borderId="3" xfId="3" applyNumberFormat="1" applyFont="1" applyFill="1" applyBorder="1" applyAlignment="1" applyProtection="1">
      <alignment vertical="center" wrapText="1"/>
    </xf>
    <xf numFmtId="0" fontId="5" fillId="14" borderId="3" xfId="0" applyFont="1" applyFill="1" applyBorder="1" applyAlignment="1">
      <alignment vertical="center" wrapText="1"/>
    </xf>
    <xf numFmtId="43" fontId="0" fillId="0" borderId="1" xfId="0" applyNumberFormat="1" applyBorder="1"/>
    <xf numFmtId="0" fontId="5" fillId="14" borderId="51" xfId="0" applyFont="1" applyFill="1" applyBorder="1" applyAlignment="1">
      <alignment vertical="center" wrapText="1"/>
    </xf>
    <xf numFmtId="165" fontId="11" fillId="14" borderId="51" xfId="3" applyNumberFormat="1" applyFont="1" applyFill="1" applyBorder="1" applyAlignment="1" applyProtection="1">
      <alignment vertical="center" wrapText="1"/>
    </xf>
    <xf numFmtId="0" fontId="5" fillId="4" borderId="119" xfId="0" applyFont="1" applyFill="1" applyBorder="1" applyAlignment="1">
      <alignment vertical="center" wrapText="1"/>
    </xf>
    <xf numFmtId="0" fontId="5" fillId="4" borderId="120" xfId="0" applyFont="1" applyFill="1" applyBorder="1" applyAlignment="1">
      <alignment vertical="center" wrapText="1"/>
    </xf>
    <xf numFmtId="0" fontId="5" fillId="14" borderId="0" xfId="0" applyFont="1" applyFill="1" applyAlignment="1">
      <alignment vertical="center" wrapText="1"/>
    </xf>
    <xf numFmtId="165" fontId="11" fillId="14" borderId="0" xfId="3" applyNumberFormat="1" applyFont="1" applyFill="1" applyBorder="1" applyAlignment="1" applyProtection="1">
      <alignment vertical="center" wrapText="1"/>
    </xf>
    <xf numFmtId="0" fontId="5" fillId="4" borderId="28" xfId="0" applyFont="1" applyFill="1" applyBorder="1" applyAlignment="1">
      <alignment vertical="center" wrapText="1"/>
    </xf>
    <xf numFmtId="0" fontId="9" fillId="14" borderId="0" xfId="0" applyFont="1" applyFill="1" applyAlignment="1">
      <alignment vertical="center" wrapText="1"/>
    </xf>
    <xf numFmtId="165" fontId="24" fillId="14" borderId="0" xfId="3" applyNumberFormat="1" applyFont="1" applyFill="1" applyBorder="1" applyAlignment="1" applyProtection="1">
      <alignment vertical="center" wrapText="1"/>
    </xf>
    <xf numFmtId="0" fontId="4" fillId="14" borderId="7" xfId="0" applyFont="1" applyFill="1" applyBorder="1" applyAlignment="1">
      <alignment horizontal="center" vertical="center" wrapText="1"/>
    </xf>
    <xf numFmtId="165" fontId="39" fillId="14" borderId="3" xfId="3" applyNumberFormat="1" applyFont="1" applyFill="1" applyBorder="1" applyAlignment="1" applyProtection="1">
      <alignment vertical="center"/>
    </xf>
    <xf numFmtId="165" fontId="11" fillId="14" borderId="39" xfId="3" applyNumberFormat="1" applyFont="1" applyFill="1" applyBorder="1" applyAlignment="1" applyProtection="1">
      <alignment vertical="center" wrapText="1"/>
    </xf>
    <xf numFmtId="165" fontId="24" fillId="14" borderId="7" xfId="3" applyNumberFormat="1" applyFont="1" applyFill="1" applyBorder="1" applyAlignment="1" applyProtection="1">
      <alignment vertical="center" wrapText="1"/>
    </xf>
    <xf numFmtId="165" fontId="33" fillId="14" borderId="40" xfId="3" applyNumberFormat="1" applyFont="1" applyFill="1" applyBorder="1" applyAlignment="1" applyProtection="1">
      <alignment horizontal="center" vertical="center" wrapText="1"/>
    </xf>
    <xf numFmtId="165" fontId="11" fillId="14" borderId="54" xfId="3" applyNumberFormat="1" applyFont="1" applyFill="1" applyBorder="1" applyAlignment="1" applyProtection="1">
      <alignment vertical="center" wrapText="1"/>
    </xf>
    <xf numFmtId="165" fontId="24" fillId="14" borderId="30" xfId="3" applyNumberFormat="1" applyFont="1" applyFill="1" applyBorder="1" applyAlignment="1" applyProtection="1">
      <alignment vertical="center" wrapText="1"/>
    </xf>
    <xf numFmtId="165" fontId="33" fillId="14" borderId="55" xfId="3" applyNumberFormat="1" applyFont="1" applyFill="1" applyBorder="1" applyAlignment="1" applyProtection="1">
      <alignment horizontal="center" vertical="center" wrapText="1"/>
    </xf>
    <xf numFmtId="0" fontId="0" fillId="14" borderId="16" xfId="0" applyFill="1" applyBorder="1"/>
    <xf numFmtId="165" fontId="33" fillId="14" borderId="0" xfId="3" applyNumberFormat="1" applyFont="1" applyFill="1" applyBorder="1" applyAlignment="1" applyProtection="1">
      <alignment horizontal="center" vertical="center" wrapText="1"/>
    </xf>
    <xf numFmtId="165" fontId="11" fillId="26" borderId="3" xfId="3" applyNumberFormat="1" applyFont="1" applyFill="1" applyBorder="1" applyAlignment="1" applyProtection="1">
      <alignment vertical="center" wrapText="1"/>
    </xf>
    <xf numFmtId="165" fontId="24" fillId="7" borderId="53" xfId="3" applyNumberFormat="1" applyFont="1" applyFill="1" applyBorder="1" applyAlignment="1" applyProtection="1">
      <alignment vertical="center" wrapText="1"/>
    </xf>
    <xf numFmtId="0" fontId="11" fillId="65" borderId="90" xfId="4" applyFont="1" applyFill="1" applyBorder="1" applyAlignment="1">
      <alignment horizontal="right"/>
    </xf>
    <xf numFmtId="0" fontId="11" fillId="65" borderId="91" xfId="4" applyFont="1" applyFill="1" applyBorder="1" applyAlignment="1">
      <alignment horizontal="right"/>
    </xf>
    <xf numFmtId="0" fontId="11" fillId="65" borderId="92" xfId="4" applyFont="1" applyFill="1" applyBorder="1" applyAlignment="1">
      <alignment horizontal="right"/>
    </xf>
    <xf numFmtId="165" fontId="0" fillId="9" borderId="45" xfId="3" applyNumberFormat="1" applyFont="1" applyFill="1" applyBorder="1"/>
    <xf numFmtId="170" fontId="1" fillId="9" borderId="45" xfId="1" applyNumberFormat="1" applyFont="1" applyFill="1" applyBorder="1" applyAlignment="1" applyProtection="1">
      <alignment horizontal="left"/>
    </xf>
    <xf numFmtId="0" fontId="1" fillId="22" borderId="45" xfId="0" applyFont="1" applyFill="1" applyBorder="1"/>
    <xf numFmtId="0" fontId="1" fillId="8" borderId="45" xfId="0" applyFont="1" applyFill="1" applyBorder="1" applyProtection="1">
      <protection locked="0"/>
    </xf>
    <xf numFmtId="170" fontId="1" fillId="9" borderId="45" xfId="1" applyNumberFormat="1" applyFont="1" applyFill="1" applyBorder="1" applyAlignment="1" applyProtection="1">
      <alignment horizontal="center"/>
    </xf>
    <xf numFmtId="165" fontId="1" fillId="9" borderId="45" xfId="3" applyNumberFormat="1" applyFont="1" applyFill="1" applyBorder="1" applyProtection="1"/>
    <xf numFmtId="0" fontId="1" fillId="9" borderId="45" xfId="0" applyFont="1" applyFill="1" applyBorder="1"/>
    <xf numFmtId="166" fontId="1" fillId="9" borderId="45" xfId="0" applyNumberFormat="1" applyFont="1" applyFill="1" applyBorder="1"/>
    <xf numFmtId="174" fontId="1" fillId="9" borderId="45" xfId="3" applyNumberFormat="1" applyFont="1" applyFill="1" applyBorder="1" applyProtection="1"/>
    <xf numFmtId="0" fontId="1" fillId="8" borderId="64" xfId="0" applyFont="1" applyFill="1" applyBorder="1" applyProtection="1">
      <protection locked="0"/>
    </xf>
    <xf numFmtId="43" fontId="21" fillId="8" borderId="2" xfId="3" applyFont="1" applyFill="1" applyBorder="1" applyAlignment="1" applyProtection="1">
      <alignment vertical="center" wrapText="1"/>
      <protection locked="0"/>
    </xf>
    <xf numFmtId="0" fontId="12" fillId="0" borderId="10" xfId="0" applyFont="1" applyBorder="1" applyAlignment="1">
      <alignment horizontal="left" vertical="top" wrapText="1"/>
    </xf>
    <xf numFmtId="15" fontId="72" fillId="13" borderId="1" xfId="0" applyNumberFormat="1" applyFont="1" applyFill="1" applyBorder="1"/>
    <xf numFmtId="0" fontId="37" fillId="14" borderId="0" xfId="0" applyFont="1" applyFill="1"/>
    <xf numFmtId="0" fontId="20" fillId="14" borderId="10" xfId="0" applyFont="1" applyFill="1" applyBorder="1" applyAlignment="1">
      <alignment horizontal="left" vertical="top" wrapText="1"/>
    </xf>
    <xf numFmtId="0" fontId="12" fillId="14" borderId="10" xfId="0" applyFont="1" applyFill="1" applyBorder="1" applyAlignment="1">
      <alignment horizontal="left" vertical="top" wrapText="1"/>
    </xf>
    <xf numFmtId="0" fontId="0" fillId="0" borderId="0" xfId="0" applyAlignment="1">
      <alignment horizontal="left" vertical="top" wrapText="1"/>
    </xf>
    <xf numFmtId="0" fontId="4" fillId="2" borderId="6" xfId="0" applyFont="1" applyFill="1" applyBorder="1" applyAlignment="1">
      <alignment vertical="center" wrapText="1"/>
    </xf>
    <xf numFmtId="0" fontId="17" fillId="0" borderId="25" xfId="0" applyFont="1" applyBorder="1"/>
    <xf numFmtId="0" fontId="7" fillId="8" borderId="4" xfId="0" applyFont="1" applyFill="1" applyBorder="1" applyAlignment="1">
      <alignment vertical="center" wrapText="1"/>
    </xf>
    <xf numFmtId="0" fontId="0" fillId="6" borderId="1" xfId="0" applyFill="1" applyBorder="1"/>
    <xf numFmtId="1" fontId="11" fillId="9" borderId="3" xfId="0" applyNumberFormat="1" applyFont="1" applyFill="1" applyBorder="1" applyAlignment="1">
      <alignment vertical="center" wrapText="1"/>
    </xf>
    <xf numFmtId="0" fontId="0" fillId="7" borderId="1" xfId="0" applyFill="1" applyBorder="1"/>
    <xf numFmtId="0" fontId="5" fillId="13" borderId="4" xfId="0" applyFont="1" applyFill="1" applyBorder="1" applyAlignment="1">
      <alignment vertical="center" wrapText="1"/>
    </xf>
    <xf numFmtId="0" fontId="5" fillId="14" borderId="4" xfId="0" applyFont="1" applyFill="1" applyBorder="1" applyAlignment="1">
      <alignment vertical="center" wrapText="1"/>
    </xf>
    <xf numFmtId="0" fontId="5" fillId="13" borderId="45" xfId="0" applyFont="1" applyFill="1" applyBorder="1" applyAlignment="1">
      <alignment vertical="top"/>
    </xf>
    <xf numFmtId="0" fontId="38" fillId="14" borderId="0" xfId="0" applyFont="1" applyFill="1"/>
    <xf numFmtId="0" fontId="5" fillId="13" borderId="45" xfId="0" applyFont="1" applyFill="1" applyBorder="1" applyAlignment="1">
      <alignment vertical="top" wrapText="1"/>
    </xf>
    <xf numFmtId="0" fontId="38" fillId="0" borderId="0" xfId="0" applyFont="1"/>
    <xf numFmtId="0" fontId="5" fillId="13" borderId="0" xfId="0" applyFont="1" applyFill="1" applyAlignment="1">
      <alignment vertical="top" wrapText="1"/>
    </xf>
    <xf numFmtId="0" fontId="5" fillId="13" borderId="0" xfId="0" applyFont="1" applyFill="1" applyAlignment="1">
      <alignment vertical="top"/>
    </xf>
    <xf numFmtId="0" fontId="37" fillId="14" borderId="0" xfId="0" applyFont="1" applyFill="1" applyAlignment="1">
      <alignment wrapText="1"/>
    </xf>
    <xf numFmtId="0" fontId="4" fillId="2" borderId="6" xfId="0" applyFont="1" applyFill="1" applyBorder="1" applyAlignment="1">
      <alignment horizontal="left" vertical="center" wrapText="1"/>
    </xf>
    <xf numFmtId="0" fontId="20" fillId="0" borderId="1" xfId="0" applyFont="1" applyBorder="1" applyAlignment="1">
      <alignment vertical="top"/>
    </xf>
    <xf numFmtId="17" fontId="21" fillId="8" borderId="36" xfId="0" applyNumberFormat="1" applyFont="1" applyFill="1" applyBorder="1" applyAlignment="1" applyProtection="1">
      <alignment horizontal="left" vertical="top" wrapText="1"/>
      <protection locked="0"/>
    </xf>
    <xf numFmtId="17" fontId="21" fillId="8" borderId="37" xfId="0" applyNumberFormat="1" applyFont="1" applyFill="1" applyBorder="1" applyAlignment="1" applyProtection="1">
      <alignment horizontal="left" vertical="top" wrapText="1"/>
      <protection locked="0"/>
    </xf>
    <xf numFmtId="17" fontId="21" fillId="8" borderId="5" xfId="0" applyNumberFormat="1" applyFont="1" applyFill="1" applyBorder="1" applyAlignment="1" applyProtection="1">
      <alignment horizontal="left" vertical="top" wrapText="1"/>
      <protection locked="0"/>
    </xf>
    <xf numFmtId="17" fontId="21" fillId="8" borderId="38" xfId="0" applyNumberFormat="1" applyFont="1" applyFill="1" applyBorder="1" applyAlignment="1" applyProtection="1">
      <alignment horizontal="left" vertical="top" wrapText="1"/>
      <protection locked="0"/>
    </xf>
    <xf numFmtId="0" fontId="12" fillId="0" borderId="9" xfId="0" applyFont="1" applyBorder="1" applyAlignment="1">
      <alignment horizontal="left" vertical="top" wrapText="1"/>
    </xf>
    <xf numFmtId="0" fontId="12" fillId="0" borderId="10" xfId="0" applyFont="1" applyBorder="1" applyAlignment="1">
      <alignment horizontal="left" vertical="top" wrapText="1"/>
    </xf>
    <xf numFmtId="0" fontId="27" fillId="0" borderId="15" xfId="0" applyFont="1" applyBorder="1" applyAlignment="1">
      <alignment horizontal="left" vertical="top"/>
    </xf>
    <xf numFmtId="0" fontId="27" fillId="0" borderId="38" xfId="0" applyFont="1" applyBorder="1" applyAlignment="1">
      <alignment horizontal="left" vertical="top"/>
    </xf>
    <xf numFmtId="0" fontId="40" fillId="0" borderId="12" xfId="0" applyFont="1" applyBorder="1" applyAlignment="1">
      <alignment horizontal="left" vertical="top" wrapText="1"/>
    </xf>
    <xf numFmtId="0" fontId="40" fillId="0" borderId="13" xfId="0" applyFont="1" applyBorder="1" applyAlignment="1">
      <alignment horizontal="left" vertical="top" wrapText="1"/>
    </xf>
    <xf numFmtId="0" fontId="4" fillId="2" borderId="54" xfId="0" applyFont="1" applyFill="1" applyBorder="1" applyAlignment="1">
      <alignment horizontal="left" vertical="center" wrapText="1"/>
    </xf>
    <xf numFmtId="0" fontId="4" fillId="2" borderId="58" xfId="0" applyFont="1" applyFill="1" applyBorder="1" applyAlignment="1">
      <alignment horizontal="left" vertical="center" wrapText="1"/>
    </xf>
    <xf numFmtId="0" fontId="4" fillId="2" borderId="118" xfId="0" applyFont="1" applyFill="1" applyBorder="1" applyAlignment="1">
      <alignment horizontal="left" vertical="center" wrapText="1"/>
    </xf>
    <xf numFmtId="0" fontId="4" fillId="2" borderId="29" xfId="0" applyFont="1" applyFill="1" applyBorder="1" applyAlignment="1">
      <alignment horizontal="left" vertical="center" wrapText="1"/>
    </xf>
    <xf numFmtId="0" fontId="4" fillId="2" borderId="26" xfId="0" applyFont="1" applyFill="1" applyBorder="1" applyAlignment="1">
      <alignment horizontal="left" vertical="center" wrapText="1"/>
    </xf>
    <xf numFmtId="0" fontId="4" fillId="2" borderId="28" xfId="0" applyFont="1" applyFill="1" applyBorder="1" applyAlignment="1">
      <alignment horizontal="left" vertical="center" wrapText="1"/>
    </xf>
    <xf numFmtId="0" fontId="4" fillId="2" borderId="7"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7" xfId="0" applyFont="1" applyFill="1" applyBorder="1" applyAlignment="1">
      <alignment horizontal="center" vertical="center" wrapText="1"/>
    </xf>
    <xf numFmtId="0" fontId="4" fillId="2" borderId="48" xfId="0" applyFont="1" applyFill="1" applyBorder="1" applyAlignment="1">
      <alignment horizontal="center" vertical="center" wrapText="1"/>
    </xf>
    <xf numFmtId="0" fontId="4" fillId="2" borderId="49" xfId="0" applyFont="1" applyFill="1" applyBorder="1" applyAlignment="1">
      <alignment horizontal="center" vertical="center" wrapText="1"/>
    </xf>
    <xf numFmtId="0" fontId="12" fillId="0" borderId="17" xfId="0" applyFont="1" applyBorder="1" applyAlignment="1">
      <alignment horizontal="left" vertical="top" wrapText="1"/>
    </xf>
    <xf numFmtId="0" fontId="12" fillId="0" borderId="18" xfId="0" applyFont="1" applyBorder="1" applyAlignment="1">
      <alignment horizontal="left" vertical="top" wrapText="1"/>
    </xf>
    <xf numFmtId="0" fontId="12" fillId="0" borderId="19" xfId="0" applyFont="1" applyBorder="1" applyAlignment="1">
      <alignment horizontal="left" vertical="top" wrapText="1"/>
    </xf>
    <xf numFmtId="0" fontId="4" fillId="2" borderId="28" xfId="0" applyFont="1" applyFill="1" applyBorder="1" applyAlignment="1">
      <alignment horizontal="center" vertical="center" wrapText="1"/>
    </xf>
    <xf numFmtId="0" fontId="4" fillId="2" borderId="37" xfId="0" applyFont="1" applyFill="1" applyBorder="1" applyAlignment="1">
      <alignment horizontal="center" vertical="center" wrapText="1"/>
    </xf>
    <xf numFmtId="0" fontId="4" fillId="2" borderId="63" xfId="0" applyFont="1" applyFill="1" applyBorder="1" applyAlignment="1">
      <alignment horizontal="center" vertical="center" wrapText="1"/>
    </xf>
    <xf numFmtId="0" fontId="29" fillId="14" borderId="0" xfId="0" applyFont="1" applyFill="1" applyAlignment="1">
      <alignment horizontal="left" vertical="top" wrapText="1"/>
    </xf>
    <xf numFmtId="0" fontId="16" fillId="0" borderId="73" xfId="0" applyFont="1" applyBorder="1" applyAlignment="1">
      <alignment horizontal="left" vertical="top" wrapText="1"/>
    </xf>
    <xf numFmtId="0" fontId="16" fillId="0" borderId="74" xfId="0" applyFont="1" applyBorder="1" applyAlignment="1">
      <alignment horizontal="left" vertical="top" wrapText="1"/>
    </xf>
    <xf numFmtId="0" fontId="81" fillId="0" borderId="133" xfId="0" applyFont="1" applyBorder="1" applyAlignment="1">
      <alignment horizontal="left" vertical="top" wrapText="1"/>
    </xf>
    <xf numFmtId="0" fontId="16" fillId="0" borderId="134" xfId="0" applyFont="1" applyBorder="1" applyAlignment="1">
      <alignment horizontal="left" vertical="top" wrapText="1"/>
    </xf>
    <xf numFmtId="0" fontId="24" fillId="3" borderId="64" xfId="0" applyFont="1" applyFill="1" applyBorder="1" applyAlignment="1">
      <alignment horizontal="left" vertical="center"/>
    </xf>
    <xf numFmtId="0" fontId="24" fillId="3" borderId="50" xfId="0" applyFont="1" applyFill="1" applyBorder="1" applyAlignment="1">
      <alignment horizontal="left" vertical="center"/>
    </xf>
    <xf numFmtId="0" fontId="24" fillId="6" borderId="64" xfId="0" applyFont="1" applyFill="1" applyBorder="1" applyAlignment="1">
      <alignment horizontal="left"/>
    </xf>
    <xf numFmtId="0" fontId="24" fillId="6" borderId="50" xfId="0" applyFont="1" applyFill="1" applyBorder="1" applyAlignment="1">
      <alignment horizontal="left"/>
    </xf>
    <xf numFmtId="0" fontId="24" fillId="8" borderId="64" xfId="0" applyFont="1" applyFill="1" applyBorder="1" applyAlignment="1">
      <alignment vertical="center"/>
    </xf>
    <xf numFmtId="0" fontId="24" fillId="8" borderId="50" xfId="0" applyFont="1" applyFill="1" applyBorder="1" applyAlignment="1">
      <alignment vertical="center"/>
    </xf>
    <xf numFmtId="1" fontId="24" fillId="22" borderId="64" xfId="0" applyNumberFormat="1" applyFont="1" applyFill="1" applyBorder="1" applyAlignment="1">
      <alignment horizontal="left" vertical="center" wrapText="1"/>
    </xf>
    <xf numFmtId="1" fontId="24" fillId="22" borderId="50" xfId="0" applyNumberFormat="1" applyFont="1" applyFill="1" applyBorder="1" applyAlignment="1">
      <alignment horizontal="left" vertical="center" wrapText="1"/>
    </xf>
    <xf numFmtId="0" fontId="27" fillId="0" borderId="20" xfId="0" applyFont="1" applyBorder="1" applyAlignment="1">
      <alignment horizontal="left" vertical="top"/>
    </xf>
    <xf numFmtId="0" fontId="27" fillId="0" borderId="21" xfId="0" applyFont="1" applyBorder="1" applyAlignment="1">
      <alignment horizontal="left" vertical="top"/>
    </xf>
    <xf numFmtId="0" fontId="27" fillId="0" borderId="22" xfId="0" applyFont="1" applyBorder="1" applyAlignment="1">
      <alignment horizontal="left" vertical="top"/>
    </xf>
    <xf numFmtId="0" fontId="16" fillId="0" borderId="17" xfId="0" applyFont="1" applyBorder="1" applyAlignment="1">
      <alignment horizontal="left" vertical="top" wrapText="1"/>
    </xf>
    <xf numFmtId="0" fontId="16" fillId="0" borderId="18" xfId="0" applyFont="1" applyBorder="1" applyAlignment="1">
      <alignment horizontal="left" vertical="top" wrapText="1"/>
    </xf>
    <xf numFmtId="0" fontId="16" fillId="0" borderId="19" xfId="0" applyFont="1" applyBorder="1" applyAlignment="1">
      <alignment horizontal="left" vertical="top" wrapText="1"/>
    </xf>
    <xf numFmtId="0" fontId="12" fillId="0" borderId="12" xfId="0" applyFont="1" applyBorder="1" applyAlignment="1">
      <alignment horizontal="left" vertical="top" wrapText="1"/>
    </xf>
    <xf numFmtId="0" fontId="12" fillId="0" borderId="13" xfId="0" applyFont="1" applyBorder="1" applyAlignment="1">
      <alignment horizontal="left" vertical="top" wrapText="1"/>
    </xf>
    <xf numFmtId="0" fontId="12" fillId="0" borderId="14" xfId="0" applyFont="1" applyBorder="1" applyAlignment="1">
      <alignment horizontal="left" vertical="top" wrapText="1"/>
    </xf>
    <xf numFmtId="0" fontId="27" fillId="14" borderId="20" xfId="0" applyFont="1" applyFill="1" applyBorder="1" applyAlignment="1">
      <alignment horizontal="left" vertical="top"/>
    </xf>
    <xf numFmtId="0" fontId="27" fillId="14" borderId="21" xfId="0" applyFont="1" applyFill="1" applyBorder="1" applyAlignment="1">
      <alignment horizontal="left" vertical="top"/>
    </xf>
    <xf numFmtId="0" fontId="12" fillId="14" borderId="73" xfId="0" applyFont="1" applyFill="1" applyBorder="1" applyAlignment="1">
      <alignment horizontal="left" vertical="top" wrapText="1"/>
    </xf>
    <xf numFmtId="0" fontId="12" fillId="14" borderId="74" xfId="0" applyFont="1" applyFill="1" applyBorder="1" applyAlignment="1">
      <alignment horizontal="left" vertical="top" wrapText="1"/>
    </xf>
    <xf numFmtId="0" fontId="12" fillId="14" borderId="75" xfId="0" applyFont="1" applyFill="1" applyBorder="1" applyAlignment="1">
      <alignment horizontal="left" vertical="top" wrapText="1"/>
    </xf>
    <xf numFmtId="0" fontId="48" fillId="0" borderId="17" xfId="0" applyFont="1" applyBorder="1" applyAlignment="1">
      <alignment horizontal="left" vertical="top" wrapText="1"/>
    </xf>
    <xf numFmtId="0" fontId="24" fillId="8" borderId="67" xfId="0" applyFont="1" applyFill="1" applyBorder="1" applyAlignment="1">
      <alignment horizontal="left" vertical="center"/>
    </xf>
    <xf numFmtId="0" fontId="24" fillId="8" borderId="0" xfId="0" applyFont="1" applyFill="1" applyAlignment="1">
      <alignment horizontal="left" vertical="center"/>
    </xf>
    <xf numFmtId="0" fontId="24" fillId="8" borderId="27" xfId="0" applyFont="1" applyFill="1" applyBorder="1" applyAlignment="1">
      <alignment horizontal="left" vertical="center"/>
    </xf>
    <xf numFmtId="0" fontId="24" fillId="3" borderId="67" xfId="0" applyFont="1" applyFill="1" applyBorder="1" applyAlignment="1">
      <alignment horizontal="left" vertical="center"/>
    </xf>
    <xf numFmtId="0" fontId="24" fillId="3" borderId="0" xfId="0" applyFont="1" applyFill="1" applyAlignment="1">
      <alignment horizontal="left" vertical="center"/>
    </xf>
    <xf numFmtId="0" fontId="24" fillId="3" borderId="27" xfId="0" applyFont="1" applyFill="1" applyBorder="1" applyAlignment="1">
      <alignment horizontal="left" vertical="center"/>
    </xf>
    <xf numFmtId="0" fontId="27" fillId="0" borderId="20" xfId="0" applyFont="1" applyBorder="1" applyAlignment="1">
      <alignment horizontal="left"/>
    </xf>
    <xf numFmtId="0" fontId="27" fillId="0" borderId="21" xfId="0" applyFont="1" applyBorder="1" applyAlignment="1">
      <alignment horizontal="left"/>
    </xf>
    <xf numFmtId="0" fontId="27" fillId="0" borderId="22" xfId="0" applyFont="1" applyBorder="1" applyAlignment="1">
      <alignment horizontal="left"/>
    </xf>
    <xf numFmtId="165" fontId="74" fillId="0" borderId="40" xfId="3" applyNumberFormat="1" applyFont="1" applyFill="1" applyBorder="1" applyAlignment="1" applyProtection="1">
      <alignment vertical="center" wrapText="1"/>
    </xf>
    <xf numFmtId="165" fontId="74" fillId="0" borderId="7" xfId="3" applyNumberFormat="1" applyFont="1" applyFill="1" applyBorder="1" applyAlignment="1" applyProtection="1">
      <alignment vertical="center" wrapText="1"/>
    </xf>
    <xf numFmtId="165" fontId="74" fillId="0" borderId="3" xfId="3" applyNumberFormat="1" applyFont="1" applyFill="1" applyBorder="1" applyAlignment="1" applyProtection="1">
      <alignment vertical="center" wrapText="1"/>
    </xf>
    <xf numFmtId="0" fontId="24" fillId="0" borderId="84" xfId="0" applyFont="1" applyBorder="1" applyAlignment="1">
      <alignment horizontal="center" vertical="center" wrapText="1"/>
    </xf>
    <xf numFmtId="0" fontId="24" fillId="0" borderId="48" xfId="0" applyFont="1" applyBorder="1" applyAlignment="1">
      <alignment horizontal="center" vertical="center" wrapText="1"/>
    </xf>
    <xf numFmtId="0" fontId="24" fillId="0" borderId="49" xfId="0" applyFont="1" applyBorder="1" applyAlignment="1">
      <alignment horizontal="center" vertical="center" wrapText="1"/>
    </xf>
    <xf numFmtId="0" fontId="12" fillId="0" borderId="11" xfId="0" applyFont="1" applyBorder="1" applyAlignment="1">
      <alignment horizontal="left" vertical="top" wrapText="1"/>
    </xf>
    <xf numFmtId="0" fontId="12" fillId="0" borderId="15" xfId="0" applyFont="1" applyBorder="1" applyAlignment="1">
      <alignment horizontal="left" wrapText="1"/>
    </xf>
    <xf numFmtId="0" fontId="12" fillId="0" borderId="38" xfId="0" applyFont="1" applyBorder="1" applyAlignment="1">
      <alignment horizontal="left" wrapText="1"/>
    </xf>
    <xf numFmtId="0" fontId="12" fillId="0" borderId="46" xfId="0" applyFont="1" applyBorder="1" applyAlignment="1">
      <alignment horizontal="left" wrapText="1"/>
    </xf>
    <xf numFmtId="0" fontId="12" fillId="0" borderId="9" xfId="0" applyFont="1" applyBorder="1" applyAlignment="1">
      <alignment horizontal="left" wrapText="1"/>
    </xf>
    <xf numFmtId="0" fontId="12" fillId="0" borderId="10" xfId="0" applyFont="1" applyBorder="1" applyAlignment="1">
      <alignment horizontal="left" wrapText="1"/>
    </xf>
    <xf numFmtId="0" fontId="12" fillId="0" borderId="11" xfId="0" applyFont="1" applyBorder="1" applyAlignment="1">
      <alignment horizontal="left" wrapText="1"/>
    </xf>
    <xf numFmtId="0" fontId="27" fillId="0" borderId="20" xfId="0" applyFont="1" applyBorder="1" applyAlignment="1">
      <alignment horizontal="left" vertical="center" wrapText="1"/>
    </xf>
    <xf numFmtId="0" fontId="27" fillId="0" borderId="21" xfId="0" applyFont="1" applyBorder="1" applyAlignment="1">
      <alignment horizontal="left" vertical="center" wrapText="1"/>
    </xf>
    <xf numFmtId="0" fontId="27" fillId="0" borderId="22" xfId="0" applyFont="1" applyBorder="1" applyAlignment="1">
      <alignment horizontal="left" vertical="center" wrapText="1"/>
    </xf>
    <xf numFmtId="0" fontId="4" fillId="2" borderId="27" xfId="0" applyFont="1" applyFill="1" applyBorder="1" applyAlignment="1">
      <alignment horizontal="left" vertical="center" wrapText="1"/>
    </xf>
    <xf numFmtId="0" fontId="11" fillId="3" borderId="28" xfId="0" applyFont="1" applyFill="1" applyBorder="1" applyAlignment="1">
      <alignment horizontal="left" vertical="center" wrapText="1"/>
    </xf>
    <xf numFmtId="0" fontId="11" fillId="3" borderId="5" xfId="0" applyFont="1" applyFill="1" applyBorder="1" applyAlignment="1">
      <alignment horizontal="left" vertical="center" wrapText="1"/>
    </xf>
    <xf numFmtId="0" fontId="11" fillId="3" borderId="6" xfId="0" applyFont="1" applyFill="1" applyBorder="1" applyAlignment="1">
      <alignment horizontal="left" vertical="center" wrapText="1"/>
    </xf>
    <xf numFmtId="0" fontId="11" fillId="3" borderId="3" xfId="0" applyFont="1" applyFill="1" applyBorder="1" applyAlignment="1">
      <alignment horizontal="left" vertical="center" wrapText="1"/>
    </xf>
    <xf numFmtId="0" fontId="11" fillId="3" borderId="29" xfId="0" applyFont="1" applyFill="1" applyBorder="1" applyAlignment="1">
      <alignment horizontal="left" vertical="center" wrapText="1"/>
    </xf>
    <xf numFmtId="0" fontId="11" fillId="3" borderId="30" xfId="0" applyFont="1" applyFill="1" applyBorder="1" applyAlignment="1">
      <alignment horizontal="left" vertical="center" wrapText="1"/>
    </xf>
    <xf numFmtId="0" fontId="11" fillId="3" borderId="26" xfId="0" applyFont="1" applyFill="1" applyBorder="1" applyAlignment="1">
      <alignment horizontal="left" vertical="center" wrapText="1"/>
    </xf>
    <xf numFmtId="0" fontId="11" fillId="3" borderId="0" xfId="0" applyFont="1" applyFill="1" applyAlignment="1">
      <alignment horizontal="left" vertical="center" wrapText="1"/>
    </xf>
    <xf numFmtId="0" fontId="11" fillId="3" borderId="31" xfId="0" applyFont="1" applyFill="1" applyBorder="1" applyAlignment="1">
      <alignment horizontal="left" vertical="center" wrapText="1"/>
    </xf>
    <xf numFmtId="0" fontId="11" fillId="3" borderId="24" xfId="0" applyFont="1" applyFill="1" applyBorder="1" applyAlignment="1">
      <alignment horizontal="left" vertical="center" wrapText="1"/>
    </xf>
    <xf numFmtId="0" fontId="24" fillId="5" borderId="32" xfId="0" applyFont="1" applyFill="1" applyBorder="1" applyAlignment="1">
      <alignment horizontal="left" vertical="center" wrapText="1"/>
    </xf>
    <xf numFmtId="0" fontId="24" fillId="5" borderId="33" xfId="0" applyFont="1" applyFill="1" applyBorder="1" applyAlignment="1">
      <alignment horizontal="left" vertical="center" wrapText="1"/>
    </xf>
    <xf numFmtId="0" fontId="23" fillId="66" borderId="136" xfId="0" applyFont="1" applyFill="1" applyBorder="1" applyAlignment="1">
      <alignment horizontal="center" vertical="center"/>
    </xf>
    <xf numFmtId="0" fontId="23" fillId="66" borderId="0" xfId="0" applyFont="1" applyFill="1" applyAlignment="1">
      <alignment horizontal="center" vertical="center"/>
    </xf>
    <xf numFmtId="0" fontId="5" fillId="0" borderId="17" xfId="0" applyFont="1" applyBorder="1" applyAlignment="1">
      <alignment horizontal="left" vertical="top" wrapText="1"/>
    </xf>
    <xf numFmtId="0" fontId="27" fillId="14" borderId="15" xfId="0" applyFont="1" applyFill="1" applyBorder="1" applyAlignment="1">
      <alignment horizontal="left"/>
    </xf>
    <xf numFmtId="0" fontId="27" fillId="14" borderId="38" xfId="0" applyFont="1" applyFill="1" applyBorder="1" applyAlignment="1">
      <alignment horizontal="left"/>
    </xf>
    <xf numFmtId="0" fontId="27" fillId="14" borderId="69" xfId="0" applyFont="1" applyFill="1" applyBorder="1" applyAlignment="1">
      <alignment horizontal="left"/>
    </xf>
    <xf numFmtId="0" fontId="27" fillId="14" borderId="70" xfId="0" applyFont="1" applyFill="1" applyBorder="1" applyAlignment="1">
      <alignment horizontal="left"/>
    </xf>
    <xf numFmtId="0" fontId="23" fillId="66" borderId="12" xfId="0" applyFont="1" applyFill="1" applyBorder="1" applyAlignment="1">
      <alignment horizontal="center" vertical="center"/>
    </xf>
    <xf numFmtId="0" fontId="23" fillId="66" borderId="13" xfId="0" applyFont="1" applyFill="1" applyBorder="1" applyAlignment="1">
      <alignment horizontal="center" vertical="center"/>
    </xf>
    <xf numFmtId="0" fontId="23" fillId="66" borderId="14" xfId="0" applyFont="1" applyFill="1" applyBorder="1" applyAlignment="1">
      <alignment horizontal="center" vertical="center"/>
    </xf>
    <xf numFmtId="0" fontId="25" fillId="10" borderId="12" xfId="0" applyFont="1" applyFill="1" applyBorder="1" applyAlignment="1">
      <alignment horizontal="center"/>
    </xf>
    <xf numFmtId="0" fontId="25" fillId="10" borderId="13" xfId="0" applyFont="1" applyFill="1" applyBorder="1" applyAlignment="1">
      <alignment horizontal="center"/>
    </xf>
    <xf numFmtId="0" fontId="25" fillId="10" borderId="14" xfId="0" applyFont="1" applyFill="1" applyBorder="1" applyAlignment="1">
      <alignment horizontal="center"/>
    </xf>
    <xf numFmtId="0" fontId="15" fillId="11" borderId="12" xfId="0" applyFont="1" applyFill="1" applyBorder="1" applyAlignment="1">
      <alignment horizontal="center"/>
    </xf>
    <xf numFmtId="0" fontId="15" fillId="11" borderId="13" xfId="0" applyFont="1" applyFill="1" applyBorder="1" applyAlignment="1">
      <alignment horizontal="center"/>
    </xf>
    <xf numFmtId="0" fontId="15" fillId="11" borderId="14" xfId="0" applyFont="1" applyFill="1" applyBorder="1" applyAlignment="1">
      <alignment horizontal="center"/>
    </xf>
    <xf numFmtId="0" fontId="4" fillId="2" borderId="64" xfId="0" applyFont="1" applyFill="1" applyBorder="1" applyAlignment="1">
      <alignment horizontal="center" vertical="center" wrapText="1"/>
    </xf>
    <xf numFmtId="0" fontId="4" fillId="2" borderId="65" xfId="0" applyFont="1" applyFill="1" applyBorder="1" applyAlignment="1">
      <alignment horizontal="center" vertical="center" wrapText="1"/>
    </xf>
    <xf numFmtId="0" fontId="4" fillId="2" borderId="50" xfId="0" applyFont="1" applyFill="1" applyBorder="1" applyAlignment="1">
      <alignment horizontal="center" vertical="center" wrapText="1"/>
    </xf>
    <xf numFmtId="0" fontId="5" fillId="3" borderId="8" xfId="0" applyFont="1" applyFill="1" applyBorder="1" applyAlignment="1">
      <alignment vertical="center" wrapText="1"/>
    </xf>
    <xf numFmtId="0" fontId="5" fillId="3" borderId="61" xfId="0" applyFont="1" applyFill="1" applyBorder="1" applyAlignment="1">
      <alignment vertical="center" wrapText="1"/>
    </xf>
    <xf numFmtId="0" fontId="5" fillId="3" borderId="4" xfId="0" applyFont="1" applyFill="1" applyBorder="1" applyAlignment="1">
      <alignment vertical="center" wrapText="1"/>
    </xf>
    <xf numFmtId="0" fontId="5" fillId="3" borderId="61" xfId="0" applyFont="1" applyFill="1" applyBorder="1" applyAlignment="1">
      <alignment horizontal="left" vertical="center" wrapText="1"/>
    </xf>
    <xf numFmtId="0" fontId="5" fillId="3" borderId="4" xfId="0" applyFont="1" applyFill="1" applyBorder="1" applyAlignment="1">
      <alignment horizontal="left" vertical="center" wrapText="1"/>
    </xf>
    <xf numFmtId="0" fontId="12" fillId="0" borderId="0" xfId="0" applyFont="1" applyAlignment="1">
      <alignment horizontal="left" vertical="center" wrapText="1"/>
    </xf>
    <xf numFmtId="0" fontId="43" fillId="14" borderId="0" xfId="0" applyFont="1" applyFill="1" applyAlignment="1">
      <alignment horizontal="left" vertical="top" wrapText="1"/>
    </xf>
    <xf numFmtId="0" fontId="45" fillId="3" borderId="8" xfId="10" applyFill="1" applyBorder="1" applyAlignment="1">
      <alignment vertical="center" wrapText="1"/>
    </xf>
    <xf numFmtId="0" fontId="45" fillId="3" borderId="61" xfId="10" applyFill="1" applyBorder="1" applyAlignment="1">
      <alignment vertical="center" wrapText="1"/>
    </xf>
    <xf numFmtId="0" fontId="45" fillId="3" borderId="4" xfId="10" applyFill="1" applyBorder="1" applyAlignment="1">
      <alignment vertical="center" wrapText="1"/>
    </xf>
    <xf numFmtId="0" fontId="20" fillId="14" borderId="26" xfId="0" applyFont="1" applyFill="1" applyBorder="1" applyAlignment="1">
      <alignment horizontal="left" vertical="top" wrapText="1"/>
    </xf>
    <xf numFmtId="0" fontId="20" fillId="14" borderId="0" xfId="0" applyFont="1" applyFill="1" applyAlignment="1">
      <alignment horizontal="left" vertical="top" wrapText="1"/>
    </xf>
    <xf numFmtId="0" fontId="16" fillId="14" borderId="0" xfId="0" applyFont="1" applyFill="1" applyAlignment="1">
      <alignment horizontal="left" vertical="top" wrapText="1"/>
    </xf>
    <xf numFmtId="0" fontId="43" fillId="14" borderId="0" xfId="0" applyFont="1" applyFill="1" applyAlignment="1">
      <alignment horizontal="left" wrapText="1"/>
    </xf>
  </cellXfs>
  <cellStyles count="66">
    <cellStyle name="20% - Accent1" xfId="17" builtinId="30" customBuiltin="1"/>
    <cellStyle name="20% - Accent2" xfId="21" builtinId="34" customBuiltin="1"/>
    <cellStyle name="20% - Accent3" xfId="25" builtinId="38" customBuiltin="1"/>
    <cellStyle name="20% - Accent4" xfId="29" builtinId="42" customBuiltin="1"/>
    <cellStyle name="20% - Accent5" xfId="33" builtinId="46" customBuiltin="1"/>
    <cellStyle name="20% - Accent6" xfId="37" builtinId="50" customBuiltin="1"/>
    <cellStyle name="40% - Accent1" xfId="18" builtinId="31" customBuiltin="1"/>
    <cellStyle name="40% - Accent2" xfId="22" builtinId="35" customBuiltin="1"/>
    <cellStyle name="40% - Accent3" xfId="26" builtinId="39" customBuiltin="1"/>
    <cellStyle name="40% - Accent4" xfId="30" builtinId="43" customBuiltin="1"/>
    <cellStyle name="40% - Accent5" xfId="34" builtinId="47" customBuiltin="1"/>
    <cellStyle name="40% - Accent6" xfId="38" builtinId="51" customBuiltin="1"/>
    <cellStyle name="60% - Accent1" xfId="19" builtinId="32" customBuiltin="1"/>
    <cellStyle name="60% - Accent2" xfId="23" builtinId="36" customBuiltin="1"/>
    <cellStyle name="60% - Accent3" xfId="27" builtinId="40" customBuiltin="1"/>
    <cellStyle name="60% - Accent4" xfId="31" builtinId="44" customBuiltin="1"/>
    <cellStyle name="60% - Accent5" xfId="35" builtinId="48" customBuiltin="1"/>
    <cellStyle name="60% - Accent6" xfId="39" builtinId="52" customBuiltin="1"/>
    <cellStyle name="Accent1" xfId="16" builtinId="29" customBuiltin="1"/>
    <cellStyle name="Accent2" xfId="20" builtinId="33" customBuiltin="1"/>
    <cellStyle name="Accent3" xfId="24" builtinId="37" customBuiltin="1"/>
    <cellStyle name="Accent4" xfId="28" builtinId="41" customBuiltin="1"/>
    <cellStyle name="Accent5" xfId="32" builtinId="45" customBuiltin="1"/>
    <cellStyle name="Accent6" xfId="36" builtinId="49" customBuiltin="1"/>
    <cellStyle name="Bad" xfId="13" builtinId="27" customBuiltin="1"/>
    <cellStyle name="Calculation 2" xfId="41" xr:uid="{98DB768E-EE81-4D4E-9E42-7B4668F4B34C}"/>
    <cellStyle name="Calculation 3" xfId="40" xr:uid="{6847C07E-56BF-4696-999C-5A2A3A0B4B27}"/>
    <cellStyle name="Check Cell" xfId="15" builtinId="23" customBuiltin="1"/>
    <cellStyle name="Comma" xfId="3" builtinId="3"/>
    <cellStyle name="Comma 2" xfId="7" xr:uid="{00000000-0005-0000-0000-000001000000}"/>
    <cellStyle name="Comma 2 2" xfId="43" xr:uid="{FB3494EE-AEB8-4B9E-B213-D385815B75CA}"/>
    <cellStyle name="Comma 2 2 2" xfId="62" xr:uid="{2CE0F312-E076-48EF-AB8C-1ABF28346A06}"/>
    <cellStyle name="Comma 2 3" xfId="55" xr:uid="{F27A9DDC-3FB2-489E-A6D8-68CAAF7DEBE5}"/>
    <cellStyle name="Comma 2 3 2" xfId="63" xr:uid="{67069500-9B74-470F-A892-CE1B051D28B5}"/>
    <cellStyle name="Comma 2 4" xfId="56" xr:uid="{AF4DF22D-7883-4F34-8D8D-08D38A8AC477}"/>
    <cellStyle name="Comma 2 4 2" xfId="64" xr:uid="{1330F815-919F-4BD8-A4EE-837BF37A5FCA}"/>
    <cellStyle name="Comma 2 5" xfId="59" xr:uid="{215DF10A-A9D8-4266-AB0F-ECBE9BBE30C8}"/>
    <cellStyle name="Comma 2 6" xfId="65" xr:uid="{9732FC91-D5F9-40E2-AFC0-238AD39CE220}"/>
    <cellStyle name="Comma 3" xfId="42" xr:uid="{5CA42CEF-5220-4362-87EA-4B1221EE5EEE}"/>
    <cellStyle name="Comma 3 2" xfId="61" xr:uid="{8CBE1463-95B7-426E-AA09-328518B5F701}"/>
    <cellStyle name="Comma 3 4" xfId="9" xr:uid="{00000000-0005-0000-0000-000002000000}"/>
    <cellStyle name="Comma 3 4 2" xfId="60" xr:uid="{37D894FE-341D-481B-84DB-6C0FE94098AA}"/>
    <cellStyle name="Comma 4" xfId="57" xr:uid="{72B88C68-BA45-4E4F-A8D2-17BD0C50CC6A}"/>
    <cellStyle name="Currency 2" xfId="6" xr:uid="{00000000-0005-0000-0000-000003000000}"/>
    <cellStyle name="Currency 2 2" xfId="58" xr:uid="{06A8C101-06BB-48B8-8718-03F67186ABB9}"/>
    <cellStyle name="Explanatory Text 2" xfId="44" xr:uid="{322823DF-C0E5-46B4-A9B3-8864C4A3EEF6}"/>
    <cellStyle name="Followed Hyperlink 2" xfId="45" xr:uid="{501F25EE-B867-4599-9845-A21B4B68FAAF}"/>
    <cellStyle name="Good" xfId="12" builtinId="26" customBuiltin="1"/>
    <cellStyle name="Hyperlink" xfId="10" builtinId="8"/>
    <cellStyle name="Hyperlink 2" xfId="5" xr:uid="{00000000-0005-0000-0000-000004000000}"/>
    <cellStyle name="Hyperlink 3" xfId="8" xr:uid="{00000000-0005-0000-0000-000005000000}"/>
    <cellStyle name="Input 2" xfId="46" xr:uid="{52EB0932-F7F0-4DE6-83CC-B006CEAFE712}"/>
    <cellStyle name="Input data" xfId="47" xr:uid="{D095E434-C0CC-407E-B2FE-982CE0168E5B}"/>
    <cellStyle name="Linked Cell 2" xfId="48" xr:uid="{4BBDCEE4-F2DA-4927-A115-2203AC357684}"/>
    <cellStyle name="Neutral" xfId="14" builtinId="28" customBuiltin="1"/>
    <cellStyle name="Normal" xfId="0" builtinId="0"/>
    <cellStyle name="Normal 2" xfId="2" xr:uid="{00000000-0005-0000-0000-000007000000}"/>
    <cellStyle name="Normal 2 2" xfId="4" xr:uid="{00000000-0005-0000-0000-000008000000}"/>
    <cellStyle name="Normal 2 2 2" xfId="49" xr:uid="{22788DEC-FFDF-48B7-9D3E-FBB6F0F83278}"/>
    <cellStyle name="Note 2" xfId="50" xr:uid="{D311C217-CC2E-4404-8E2B-310C4350D832}"/>
    <cellStyle name="Output 2" xfId="51" xr:uid="{851BAE96-6D43-439E-B977-D45F4BA37697}"/>
    <cellStyle name="Per cent" xfId="1" builtinId="5"/>
    <cellStyle name="Percent 2" xfId="52" xr:uid="{ACDC07C5-3B24-4388-A9BB-0D8E425A3F44}"/>
    <cellStyle name="Selection" xfId="53" xr:uid="{F4793A2C-6B3E-49D8-86C3-92EBBEA76192}"/>
    <cellStyle name="Title" xfId="11" builtinId="15" customBuiltin="1"/>
    <cellStyle name="Warning Text 2" xfId="54" xr:uid="{9CDE6EA5-CD1D-4AC7-8208-C3289544CC15}"/>
  </cellStyles>
  <dxfs count="707">
    <dxf>
      <font>
        <color rgb="FF9C0006"/>
      </font>
      <fill>
        <patternFill>
          <bgColor rgb="FFFFC7CE"/>
        </patternFill>
      </fill>
    </dxf>
    <dxf>
      <fill>
        <patternFill>
          <bgColor rgb="FF92D050"/>
        </patternFill>
      </fill>
    </dxf>
    <dxf>
      <fill>
        <patternFill>
          <bgColor theme="0" tint="-0.34998626667073579"/>
        </patternFill>
      </fill>
    </dxf>
    <dxf>
      <fill>
        <patternFill patternType="darkUp">
          <bgColor theme="0" tint="-4.9989318521683403E-2"/>
        </patternFill>
      </fill>
    </dxf>
    <dxf>
      <fill>
        <patternFill>
          <bgColor rgb="FF27CCF9"/>
        </patternFill>
      </fill>
    </dxf>
    <dxf>
      <fill>
        <patternFill patternType="darkUp">
          <bgColor theme="0" tint="-4.9989318521683403E-2"/>
        </patternFill>
      </fill>
    </dxf>
    <dxf>
      <fill>
        <patternFill>
          <bgColor rgb="FF27CCF9"/>
        </patternFill>
      </fill>
    </dxf>
    <dxf>
      <fill>
        <patternFill>
          <bgColor rgb="FF92D050"/>
        </patternFill>
      </fill>
    </dxf>
    <dxf>
      <fill>
        <patternFill>
          <bgColor theme="0" tint="-0.34998626667073579"/>
        </patternFill>
      </fill>
    </dxf>
    <dxf>
      <font>
        <color rgb="FFC00000"/>
      </font>
      <fill>
        <patternFill>
          <bgColor rgb="FFFFC7CE"/>
        </patternFill>
      </fill>
    </dxf>
    <dxf>
      <font>
        <color rgb="FFC00000"/>
      </font>
      <fill>
        <patternFill>
          <bgColor rgb="FFFFC7CE"/>
        </patternFill>
      </fill>
    </dxf>
    <dxf>
      <font>
        <color rgb="FFFF0000"/>
      </font>
      <fill>
        <patternFill>
          <bgColor rgb="FFFFCCCC"/>
        </patternFill>
      </fill>
    </dxf>
    <dxf>
      <font>
        <color rgb="FFFF0000"/>
      </font>
      <fill>
        <patternFill>
          <bgColor rgb="FFFFCCC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FF0000"/>
      </font>
      <fill>
        <patternFill>
          <bgColor rgb="FFFFCCC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FF0000"/>
      </font>
      <fill>
        <patternFill>
          <bgColor rgb="FFFFCCC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rgb="FFFFCCCC"/>
        </patternFill>
      </fill>
      <border>
        <left style="thin">
          <color rgb="FFFF0000"/>
        </left>
        <right style="thin">
          <color rgb="FFFF0000"/>
        </right>
        <top style="thin">
          <color rgb="FFFF0000"/>
        </top>
        <bottom style="thin">
          <color rgb="FFFF0000"/>
        </bottom>
        <vertical/>
        <horizontal/>
      </border>
    </dxf>
    <dxf>
      <font>
        <color rgb="FFFF0000"/>
      </font>
      <fill>
        <patternFill>
          <bgColor rgb="FFFFCCC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006100"/>
      </font>
      <fill>
        <patternFill patternType="solid">
          <fgColor indexed="64"/>
          <bgColor rgb="FFF2F2F2"/>
        </patternFill>
      </fill>
    </dxf>
    <dxf>
      <font>
        <color rgb="FFC00000"/>
      </font>
      <fill>
        <patternFill>
          <bgColor rgb="FFF2F2F2"/>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FF0000"/>
      </font>
      <fill>
        <patternFill>
          <bgColor rgb="FFFFCCCC"/>
        </patternFill>
      </fill>
    </dxf>
    <dxf>
      <font>
        <b/>
        <i val="0"/>
        <color rgb="FFC00000"/>
      </font>
      <fill>
        <patternFill>
          <bgColor rgb="FFFFC7CE"/>
        </patternFill>
      </fill>
    </dxf>
    <dxf>
      <font>
        <b/>
        <i val="0"/>
        <color theme="9" tint="-0.499984740745262"/>
      </font>
      <fill>
        <patternFill>
          <bgColor theme="9" tint="0.79998168889431442"/>
        </patternFill>
      </fill>
    </dxf>
    <dxf>
      <font>
        <b/>
        <i val="0"/>
      </font>
      <fill>
        <patternFill>
          <bgColor theme="6" tint="0.39994506668294322"/>
        </patternFill>
      </fill>
    </dxf>
    <dxf>
      <font>
        <color rgb="FFFF0000"/>
      </font>
      <fill>
        <patternFill>
          <bgColor rgb="FFFFCCCC"/>
        </patternFill>
      </fill>
    </dxf>
    <dxf>
      <font>
        <color rgb="FFFF0000"/>
      </font>
      <fill>
        <patternFill>
          <bgColor rgb="FFFFCCCC"/>
        </patternFill>
      </fill>
    </dxf>
    <dxf>
      <fill>
        <patternFill>
          <bgColor theme="0" tint="-0.34998626667073579"/>
        </patternFill>
      </fill>
    </dxf>
    <dxf>
      <font>
        <color rgb="FFFF0000"/>
      </font>
      <fill>
        <patternFill>
          <bgColor rgb="FFFFCCCC"/>
        </patternFill>
      </fill>
    </dxf>
    <dxf>
      <font>
        <b val="0"/>
        <i val="0"/>
        <strike val="0"/>
        <condense val="0"/>
        <extend val="0"/>
        <outline val="0"/>
        <shadow val="0"/>
        <u val="none"/>
        <vertAlign val="baseline"/>
        <sz val="11"/>
        <color theme="9" tint="-0.499984740745262"/>
        <name val="Calibri"/>
        <family val="2"/>
        <scheme val="minor"/>
      </font>
      <fill>
        <patternFill patternType="solid">
          <fgColor indexed="64"/>
          <bgColor theme="9" tint="0.79998168889431442"/>
        </patternFill>
      </fill>
      <border diagonalUp="0" diagonalDown="0">
        <left/>
        <right/>
        <top style="hair">
          <color auto="1"/>
        </top>
        <bottom style="hair">
          <color auto="1"/>
        </bottom>
        <vertical/>
        <horizontal/>
      </border>
    </dxf>
    <dxf>
      <border diagonalUp="0" diagonalDown="0">
        <left/>
        <right/>
        <top style="hair">
          <color auto="1"/>
        </top>
        <bottom style="hair">
          <color auto="1"/>
        </bottom>
        <vertical/>
        <horizontal/>
      </border>
    </dxf>
    <dxf>
      <border diagonalUp="0" diagonalDown="0">
        <left/>
        <right/>
        <top style="hair">
          <color auto="1"/>
        </top>
        <bottom style="hair">
          <color auto="1"/>
        </bottom>
        <vertical/>
        <horizontal/>
      </border>
    </dxf>
    <dxf>
      <border diagonalUp="0" diagonalDown="0">
        <left/>
        <right/>
        <top style="hair">
          <color auto="1"/>
        </top>
        <bottom style="hair">
          <color auto="1"/>
        </bottom>
        <vertical/>
        <horizontal/>
      </border>
    </dxf>
    <dxf>
      <border outline="0">
        <top style="thin">
          <color auto="1"/>
        </top>
        <bottom style="hair">
          <color auto="1"/>
        </bottom>
      </border>
    </dxf>
    <dxf>
      <border outline="0">
        <bottom style="thin">
          <color auto="1"/>
        </bottom>
      </border>
    </dxf>
    <dxf>
      <font>
        <b/>
        <i val="0"/>
        <strike val="0"/>
        <condense val="0"/>
        <extend val="0"/>
        <outline val="0"/>
        <shadow val="0"/>
        <u val="none"/>
        <vertAlign val="baseline"/>
        <sz val="11"/>
        <color theme="1"/>
        <name val="Calibri"/>
        <family val="2"/>
        <scheme val="minor"/>
      </font>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font>
        <b val="0"/>
        <i val="0"/>
        <strike val="0"/>
        <condense val="0"/>
        <extend val="0"/>
        <outline val="0"/>
        <shadow val="0"/>
        <u val="none"/>
        <vertAlign val="baseline"/>
        <sz val="11"/>
        <color theme="1"/>
        <name val="Calibri"/>
        <family val="2"/>
        <scheme val="minor"/>
      </font>
      <border diagonalUp="0" diagonalDown="0">
        <left style="hair">
          <color auto="1"/>
        </left>
        <right style="hair">
          <color auto="1"/>
        </right>
        <top style="hair">
          <color auto="1"/>
        </top>
        <bottom style="hair">
          <color auto="1"/>
        </bottom>
        <vertical/>
        <horizontal/>
      </border>
    </dxf>
    <dxf>
      <font>
        <b val="0"/>
        <i val="0"/>
        <strike val="0"/>
        <condense val="0"/>
        <extend val="0"/>
        <outline val="0"/>
        <shadow val="0"/>
        <u val="none"/>
        <vertAlign val="baseline"/>
        <sz val="11"/>
        <color theme="1"/>
        <name val="Calibri"/>
        <family val="2"/>
        <scheme val="minor"/>
      </font>
      <border diagonalUp="0" diagonalDown="0">
        <left style="hair">
          <color auto="1"/>
        </left>
        <right style="hair">
          <color auto="1"/>
        </right>
        <top style="hair">
          <color auto="1"/>
        </top>
        <bottom style="hair">
          <color auto="1"/>
        </bottom>
        <vertical/>
        <horizontal/>
      </border>
    </dxf>
    <dxf>
      <font>
        <b val="0"/>
        <i val="0"/>
        <strike val="0"/>
        <condense val="0"/>
        <extend val="0"/>
        <outline val="0"/>
        <shadow val="0"/>
        <u val="none"/>
        <vertAlign val="baseline"/>
        <sz val="11"/>
        <color theme="1"/>
        <name val="Calibri"/>
        <family val="2"/>
        <scheme val="minor"/>
      </font>
      <border diagonalUp="0" diagonalDown="0">
        <left style="hair">
          <color auto="1"/>
        </left>
        <right style="hair">
          <color auto="1"/>
        </right>
        <top style="hair">
          <color auto="1"/>
        </top>
        <bottom style="hair">
          <color auto="1"/>
        </bottom>
        <vertical/>
        <horizontal/>
      </border>
    </dxf>
    <dxf>
      <font>
        <b val="0"/>
        <i val="0"/>
        <strike val="0"/>
        <condense val="0"/>
        <extend val="0"/>
        <outline val="0"/>
        <shadow val="0"/>
        <u val="none"/>
        <vertAlign val="baseline"/>
        <sz val="11"/>
        <color theme="1"/>
        <name val="Calibri"/>
        <family val="2"/>
        <scheme val="minor"/>
      </font>
      <numFmt numFmtId="0" formatCode="General"/>
      <border diagonalUp="0" diagonalDown="0">
        <left style="hair">
          <color auto="1"/>
        </left>
        <right style="hair">
          <color auto="1"/>
        </right>
        <top style="hair">
          <color auto="1"/>
        </top>
        <bottom style="hair">
          <color auto="1"/>
        </bottom>
        <vertical/>
        <horizontal/>
      </border>
    </dxf>
    <dxf>
      <font>
        <b/>
        <i val="0"/>
        <strike val="0"/>
        <condense val="0"/>
        <extend val="0"/>
        <outline val="0"/>
        <shadow val="0"/>
        <u val="none"/>
        <vertAlign val="baseline"/>
        <sz val="11"/>
        <color rgb="FFFFFFFF"/>
        <name val="Calibri"/>
        <family val="2"/>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numFmt numFmtId="0" formatCode="General"/>
      <border diagonalUp="0" diagonalDown="0">
        <left style="hair">
          <color auto="1"/>
        </left>
        <right style="hair">
          <color auto="1"/>
        </right>
        <top style="hair">
          <color auto="1"/>
        </top>
        <bottom style="hair">
          <color auto="1"/>
        </bottom>
        <vertical/>
        <horizontal/>
      </border>
    </dxf>
    <dxf>
      <numFmt numFmtId="0" formatCode="General"/>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fill>
        <patternFill patternType="solid">
          <fgColor indexed="64"/>
          <bgColor theme="2" tint="-9.9978637043366805E-2"/>
        </patternFill>
      </fill>
      <border diagonalUp="0" diagonalDown="0">
        <left style="hair">
          <color auto="1"/>
        </left>
        <right style="hair">
          <color auto="1"/>
        </right>
        <top style="hair">
          <color auto="1"/>
        </top>
        <bottom style="hair">
          <color auto="1"/>
        </bottom>
        <vertical/>
        <horizontal/>
      </border>
    </dxf>
    <dxf>
      <fill>
        <patternFill patternType="solid">
          <fgColor indexed="64"/>
          <bgColor theme="2" tint="-9.9978637043366805E-2"/>
        </patternFill>
      </fill>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diagonalUp="0" diagonalDown="0">
        <left style="hair">
          <color auto="1"/>
        </left>
        <right style="hair">
          <color auto="1"/>
        </right>
        <top style="hair">
          <color auto="1"/>
        </top>
        <bottom style="hair">
          <color auto="1"/>
        </bottom>
        <vertical/>
        <horizontal/>
      </border>
    </dxf>
    <dxf>
      <border outline="0">
        <top style="medium">
          <color theme="0"/>
        </top>
        <bottom style="hair">
          <color auto="1"/>
        </bottom>
      </border>
    </dxf>
    <dxf>
      <font>
        <b/>
        <i val="0"/>
        <strike val="0"/>
        <condense val="0"/>
        <extend val="0"/>
        <outline val="0"/>
        <shadow val="0"/>
        <u val="none"/>
        <vertAlign val="baseline"/>
        <sz val="10"/>
        <color rgb="FFFFFFFF"/>
        <name val="Calibri"/>
        <family val="2"/>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theme="0"/>
        </left>
        <right style="medium">
          <color theme="0"/>
        </right>
        <top/>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rgb="FFA6A6A6"/>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4"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76" formatCode="#,##0_ ;\-#,##0\ "/>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3" formatCode="0%"/>
      <fill>
        <patternFill patternType="solid">
          <fgColor indexed="64"/>
          <bgColor rgb="FFA6A6A6"/>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rgb="FF70DBFC"/>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1"/>
        <color rgb="FFFFFFFF"/>
        <name val="Calibri"/>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A6A6A6"/>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family val="2"/>
        <scheme val="minor"/>
      </font>
      <numFmt numFmtId="165" formatCode="_-* #,##0_-;\-* #,##0_-;_-* &quot;-&quot;??_-;_-@_-"/>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vertical/>
        <horizontal/>
      </border>
      <protection locked="0"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numFmt numFmtId="13" formatCode="0%"/>
      <fill>
        <patternFill patternType="solid">
          <fgColor indexed="64"/>
          <bgColor rgb="FFA6A6A6"/>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0" tint="-0.34998626667073579"/>
        </patternFill>
      </fill>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border outline="0">
        <top style="medium">
          <color rgb="FFFFFFFF"/>
        </top>
      </border>
    </dxf>
    <dxf>
      <border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rgb="FF70DBFC"/>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1"/>
        <color rgb="FFFFFFFF"/>
        <name val="Calibri"/>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0" formatCode="General"/>
      <fill>
        <patternFill patternType="solid">
          <fgColor indexed="64"/>
          <bgColor theme="0" tint="-0.34998626667073579"/>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theme="2" tint="-0.249977111117893"/>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0" tint="-0.34998626667073579"/>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border>
      <protection locked="0" hidden="0"/>
    </dxf>
    <dxf>
      <border outline="0">
        <top style="medium">
          <color rgb="FFFFFFFF"/>
        </top>
      </border>
    </dxf>
    <dxf>
      <border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rgb="FF70DBFC"/>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1"/>
        <color rgb="FFFFFFFF"/>
        <name val="Calibri"/>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A6A6A6"/>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numFmt numFmtId="13" formatCode="0%"/>
      <fill>
        <patternFill patternType="solid">
          <fgColor indexed="64"/>
          <bgColor rgb="FFA6A6A6"/>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0" tint="-0.34998626667073579"/>
        </patternFill>
      </fill>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border outline="0">
        <top style="medium">
          <color rgb="FFFFFFFF"/>
        </top>
      </border>
    </dxf>
    <dxf>
      <border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rgb="FF70DBFC"/>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1"/>
        <color rgb="FFFFFFFF"/>
        <name val="Calibri"/>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theme="0"/>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3" formatCode="0%"/>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0"/>
        <color auto="1"/>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theme="0"/>
        </right>
        <top style="medium">
          <color theme="0"/>
        </top>
        <bottom style="medium">
          <color theme="0"/>
        </bottom>
        <vertical/>
        <horizontal/>
      </border>
      <protection locked="0" hidden="0"/>
    </dxf>
    <dxf>
      <border outline="0">
        <left style="medium">
          <color theme="0"/>
        </left>
        <right style="medium">
          <color rgb="FFFFFFFF"/>
        </right>
        <bottom style="thin">
          <color theme="0"/>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family val="2"/>
        <scheme val="minor"/>
      </font>
      <fill>
        <patternFill patternType="solid">
          <fgColor indexed="64"/>
          <bgColor rgb="FF0599C7"/>
        </patternFill>
      </fill>
      <alignment horizontal="center" vertical="center" textRotation="0" wrapText="1" indent="0" justifyLastLine="0" shrinkToFit="0" readingOrder="0"/>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numFmt numFmtId="35" formatCode="_-* #,##0.00_-;\-* #,##0.00_-;_-* &quot;-&quot;??_-;_-@_-"/>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1" hidden="0"/>
    </dxf>
    <dxf>
      <font>
        <b/>
        <sz val="10"/>
        <color auto="1"/>
      </font>
      <fill>
        <patternFill patternType="solid">
          <fgColor indexed="64"/>
          <bgColor theme="5" tint="0.59999389629810485"/>
        </patternFill>
      </fill>
      <alignment horizontal="general" vertical="center" textRotation="0" wrapText="0" indent="0" justifyLastLine="0" shrinkToFit="0" readingOrder="0"/>
      <border diagonalUp="0" diagonalDown="0">
        <left/>
        <right/>
        <top style="medium">
          <color theme="0"/>
        </top>
        <bottom style="medium">
          <color theme="0"/>
        </bottom>
      </border>
      <protection locked="0" hidden="0"/>
    </dxf>
    <dxf>
      <font>
        <b val="0"/>
        <sz val="10"/>
        <color auto="1"/>
      </font>
      <fill>
        <patternFill patternType="solid">
          <fgColor indexed="64"/>
          <bgColor theme="5" tint="0.59999389629810485"/>
        </patternFill>
      </fill>
      <alignment horizontal="general" vertical="center" textRotation="0" wrapText="0" indent="0" justifyLastLine="0" shrinkToFit="0" readingOrder="0"/>
      <border diagonalUp="0" diagonalDown="0">
        <left style="medium">
          <color theme="0"/>
        </left>
        <right/>
        <top style="medium">
          <color theme="0"/>
        </top>
        <bottom style="medium">
          <color theme="0"/>
        </bottom>
      </border>
      <protection locked="0" hidden="0"/>
    </dxf>
    <dxf>
      <font>
        <color auto="1"/>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auto="1"/>
        <name val="Calibri"/>
        <family val="2"/>
        <scheme val="minor"/>
      </font>
      <fill>
        <patternFill patternType="darkUp">
          <fgColor indexed="64"/>
          <bgColor rgb="FFF2F2F2"/>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family val="2"/>
        <scheme val="minor"/>
      </font>
      <fill>
        <patternFill patternType="darkUp">
          <fgColor indexed="64"/>
          <bgColor rgb="FFF2F2F2"/>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family val="2"/>
        <scheme val="minor"/>
      </font>
      <fill>
        <patternFill patternType="darkUp">
          <fgColor indexed="64"/>
          <bgColor rgb="FFF2F2F2"/>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thin">
          <color theme="0"/>
        </right>
        <top style="thin">
          <color theme="4" tint="0.39997558519241921"/>
        </top>
        <bottom style="medium">
          <color rgb="FFFFFFFF"/>
        </bottom>
      </border>
      <protection locked="1" hidden="0"/>
    </dxf>
    <dxf>
      <font>
        <color auto="1"/>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numFmt numFmtId="13" formatCode="0%"/>
      <fill>
        <patternFill patternType="solid">
          <fgColor indexed="64"/>
          <bgColor theme="5" tint="0.59999389629810485"/>
        </patternFill>
      </fill>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protection locked="0" hidden="0"/>
    </dxf>
    <dxf>
      <font>
        <b val="0"/>
        <i val="0"/>
        <strike val="0"/>
        <condense val="0"/>
        <extend val="0"/>
        <outline val="0"/>
        <shadow val="0"/>
        <u val="none"/>
        <vertAlign val="baseline"/>
        <sz val="10"/>
        <color auto="1"/>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style="thin">
          <color theme="4" tint="0.39997558519241921"/>
        </top>
        <bottom style="medium">
          <color rgb="FFFFFFFF"/>
        </bottom>
        <vertical/>
        <horizontal/>
      </border>
      <protection locked="1"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0" hidden="0"/>
    </dxf>
    <dxf>
      <fill>
        <patternFill patternType="solid">
          <fgColor indexed="64"/>
          <bgColor theme="5" tint="0.59999389629810485"/>
        </patternFill>
      </fill>
      <border diagonalUp="0" diagonalDown="0">
        <left style="thin">
          <color theme="0"/>
        </left>
        <right style="thin">
          <color theme="0"/>
        </right>
        <top style="thin">
          <color theme="0"/>
        </top>
        <bottom style="thin">
          <color theme="0"/>
        </bottom>
        <vertical/>
        <horizontal/>
      </border>
      <protection locked="0" hidden="0"/>
    </dxf>
    <dxf>
      <border outline="0">
        <left style="thin">
          <color theme="0"/>
        </left>
        <right style="thin">
          <color theme="0"/>
        </right>
        <bottom style="thin">
          <color theme="0"/>
        </bottom>
      </border>
    </dxf>
    <dxf>
      <fill>
        <patternFill patternType="solid">
          <fgColor indexed="64"/>
          <bgColor theme="5" tint="0.59999389629810485"/>
        </patternFill>
      </fill>
      <protection locked="1" hidden="0"/>
    </dxf>
    <dxf>
      <font>
        <strike val="0"/>
        <outline val="0"/>
        <shadow val="0"/>
        <u val="none"/>
        <sz val="10"/>
        <name val="Calibri"/>
        <family val="2"/>
        <scheme val="minor"/>
      </font>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vertical/>
        <horizontal/>
      </border>
      <protection locked="1" hidden="0"/>
    </dxf>
    <dxf>
      <numFmt numFmtId="165" formatCode="_-* #,##0_-;\-* #,##0_-;_-* &quot;-&quot;??_-;_-@_-"/>
      <border diagonalUp="0" diagonalDown="0">
        <left style="thin">
          <color theme="0"/>
        </left>
        <right style="thin">
          <color theme="0"/>
        </right>
        <top style="thin">
          <color theme="0"/>
        </top>
        <bottom style="thin">
          <color theme="0"/>
        </bottom>
        <vertical/>
        <horizontal/>
      </border>
      <protection locked="1" hidden="0"/>
    </dxf>
    <dxf>
      <font>
        <sz val="10"/>
        <color auto="1"/>
      </font>
      <numFmt numFmtId="165" formatCode="_-* #,##0_-;\-* #,##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vertical/>
        <horizontal/>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vertical/>
        <horizontal/>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vertical/>
        <horizontal/>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vertical/>
        <horizontal/>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vertical/>
        <horizontal/>
      </border>
      <protection locked="1" hidden="0"/>
    </dxf>
    <dxf>
      <font>
        <b/>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0" indent="0" justifyLastLine="0" shrinkToFit="0" readingOrder="0"/>
      <border diagonalUp="0" diagonalDown="0">
        <left/>
        <right/>
        <top style="medium">
          <color theme="0"/>
        </top>
        <bottom style="medium">
          <color theme="0"/>
        </bottom>
      </border>
      <protection locked="0" hidden="0"/>
    </dxf>
    <dxf>
      <font>
        <b val="0"/>
        <i val="0"/>
        <strike val="0"/>
        <condense val="0"/>
        <extend val="0"/>
        <outline val="0"/>
        <shadow val="0"/>
        <u val="none"/>
        <vertAlign val="baseline"/>
        <sz val="10"/>
        <color auto="1"/>
        <name val="Calibri"/>
        <scheme val="minor"/>
      </font>
      <numFmt numFmtId="13" formatCode="0%"/>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bottom style="medium">
          <color rgb="FFFFFFFF"/>
        </bottom>
      </border>
      <protection locked="0" hidden="0"/>
    </dxf>
    <dxf>
      <font>
        <b val="0"/>
        <i val="0"/>
        <strike val="0"/>
        <condense val="0"/>
        <extend val="0"/>
        <outline val="0"/>
        <shadow val="0"/>
        <u val="none"/>
        <vertAlign val="baseline"/>
        <sz val="10"/>
        <color auto="1"/>
        <name val="Calibri"/>
        <scheme val="minor"/>
      </font>
      <numFmt numFmtId="165" formatCode="_-* #,##0_-;\-* #,##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4" formatCode="#,##0.00"/>
      <fill>
        <patternFill patternType="solid">
          <fgColor indexed="64"/>
          <bgColor theme="0" tint="-0.34998626667073579"/>
        </patternFill>
      </fill>
      <alignment horizontal="right" vertical="center" textRotation="0" wrapText="1" indent="0" justifyLastLine="0" shrinkToFit="0" readingOrder="0"/>
      <border diagonalUp="0" diagonalDown="0">
        <left style="medium">
          <color theme="0"/>
        </left>
        <right style="medium">
          <color rgb="FFFFFFFF"/>
        </right>
        <top/>
        <bottom style="medium">
          <color rgb="FFFFFFFF"/>
        </bottom>
      </border>
      <protection locked="1"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A6A6A6"/>
        </patternFill>
      </fill>
      <alignment horizontal="general" vertical="center" textRotation="0" wrapText="1" indent="0" justifyLastLine="0" shrinkToFit="0" readingOrder="0"/>
      <border>
        <left style="medium">
          <color theme="0"/>
        </left>
      </border>
      <protection locked="1"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A6A6A6"/>
        </patternFill>
      </fill>
      <alignment horizontal="general" vertical="center" textRotation="0" wrapText="1" indent="0" justifyLastLine="0" shrinkToFit="0" readingOrder="0"/>
      <border>
        <left style="medium">
          <color theme="0"/>
        </left>
        <right style="medium">
          <color theme="0"/>
        </right>
      </border>
      <protection locked="1" hidden="0"/>
    </dxf>
    <dxf>
      <font>
        <b val="0"/>
        <i val="0"/>
        <strike val="0"/>
        <condense val="0"/>
        <extend val="0"/>
        <outline val="0"/>
        <shadow val="0"/>
        <u val="none"/>
        <vertAlign val="baseline"/>
        <sz val="11"/>
        <color auto="1"/>
        <name val="Calibri"/>
        <family val="2"/>
        <scheme val="minor"/>
      </font>
      <numFmt numFmtId="165" formatCode="_-* #,##0_-;\-* #,##0_-;_-* &quot;-&quot;??_-;_-@_-"/>
      <fill>
        <patternFill patternType="solid">
          <fgColor indexed="64"/>
          <bgColor rgb="FFA6A6A6"/>
        </patternFill>
      </fill>
      <alignment horizontal="general" vertical="center" textRotation="0" wrapText="1" indent="0" justifyLastLine="0" shrinkToFit="0" readingOrder="0"/>
      <border>
        <right style="medium">
          <color theme="0"/>
        </right>
      </border>
      <protection locked="1" hidden="0"/>
    </dxf>
    <dxf>
      <font>
        <b val="0"/>
        <i val="0"/>
        <strike val="0"/>
        <condense val="0"/>
        <extend val="0"/>
        <outline val="0"/>
        <shadow val="0"/>
        <u val="none"/>
        <vertAlign val="baseline"/>
        <sz val="10"/>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border>
        <left style="medium">
          <color rgb="FFFFFFFF"/>
        </left>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2" tint="-0.249977111117893"/>
        </patternFill>
      </fill>
      <alignment horizontal="general" vertical="center" textRotation="0" wrapText="1" indent="0" justifyLastLine="0" shrinkToFit="0" readingOrder="0"/>
      <border diagonalUp="0" diagonalDown="0">
        <left/>
        <right style="medium">
          <color rgb="FFFFFFFF"/>
        </right>
        <top/>
        <bottom style="medium">
          <color rgb="FFFFFFFF"/>
        </bottom>
      </border>
      <protection locked="1"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protection locked="0"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protection locked="0" hidden="0"/>
    </dxf>
    <dxf>
      <border outline="0">
        <left style="medium">
          <color rgb="FFFFFFFF"/>
        </left>
        <right style="medium">
          <color rgb="FFFFFFFF"/>
        </right>
        <bottom style="medium">
          <color rgb="FFFFFFFF"/>
        </bottom>
      </border>
    </dxf>
    <dxf>
      <protection locked="1" hidden="0"/>
    </dxf>
    <dxf>
      <font>
        <strike val="0"/>
        <outline val="0"/>
        <shadow val="0"/>
        <u val="none"/>
        <sz val="10"/>
        <name val="Calibri"/>
        <family val="2"/>
        <scheme val="minor"/>
      </font>
      <protection locked="1" hidden="0"/>
    </dxf>
    <dxf>
      <font>
        <strike val="0"/>
        <outline val="0"/>
        <shadow val="0"/>
        <u val="none"/>
        <sz val="10"/>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1" hidden="0"/>
    </dxf>
    <dxf>
      <font>
        <strike val="0"/>
        <outline val="0"/>
        <shadow val="0"/>
        <u val="none"/>
        <sz val="10"/>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1" hidden="0"/>
    </dxf>
    <dxf>
      <font>
        <strike val="0"/>
        <outline val="0"/>
        <shadow val="0"/>
        <u val="none"/>
        <sz val="10"/>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0"/>
        <color theme="1"/>
        <name val="Calibri"/>
        <family val="2"/>
        <scheme val="minor"/>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0"/>
        <color theme="1"/>
        <name val="Calibri"/>
        <family val="2"/>
        <scheme val="minor"/>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0"/>
        <color auto="1"/>
        <name val="Calibri"/>
        <family val="2"/>
        <scheme val="minor"/>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1" hidden="0"/>
    </dxf>
    <dxf>
      <font>
        <sz val="10"/>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1" hidden="0"/>
    </dxf>
    <dxf>
      <font>
        <sz val="10"/>
      </font>
      <numFmt numFmtId="167" formatCode="0.0"/>
      <fill>
        <patternFill patternType="solid">
          <fgColor indexed="64"/>
          <bgColor theme="2" tint="-0.249977111117893"/>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top/>
        <bottom style="medium">
          <color rgb="FFFFFFFF"/>
        </bottom>
      </border>
      <protection locked="0" hidden="0"/>
    </dxf>
    <dxf>
      <font>
        <b val="0"/>
        <i val="0"/>
        <strike val="0"/>
        <condense val="0"/>
        <extend val="0"/>
        <outline val="0"/>
        <shadow val="0"/>
        <u val="none"/>
        <vertAlign val="baseline"/>
        <sz val="10"/>
        <color auto="1"/>
        <name val="Calibri"/>
        <scheme val="minor"/>
      </font>
      <numFmt numFmtId="168" formatCode="_-* #,##0.0_-;\-* #,##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173" formatCode="#,##0.000"/>
      <fill>
        <patternFill patternType="solid">
          <fgColor indexed="64"/>
          <bgColor rgb="FFF2F2F2"/>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protection locked="1" hidden="0"/>
    </dxf>
    <dxf>
      <font>
        <b val="0"/>
        <i val="0"/>
        <strike val="0"/>
        <condense val="0"/>
        <extend val="0"/>
        <outline val="0"/>
        <shadow val="0"/>
        <u val="none"/>
        <vertAlign val="baseline"/>
        <sz val="10"/>
        <color auto="1"/>
        <name val="Calibri"/>
        <family val="2"/>
        <scheme val="minor"/>
      </font>
      <numFmt numFmtId="164" formatCode="&quot;£&quot;#,##0.00"/>
      <fill>
        <patternFill patternType="solid">
          <fgColor indexed="64"/>
          <bgColor rgb="FFA6A6A6"/>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border>
      <protection locked="1" hidden="0"/>
    </dxf>
    <dxf>
      <font>
        <b val="0"/>
        <i val="0"/>
        <strike val="0"/>
        <condense val="0"/>
        <extend val="0"/>
        <outline val="0"/>
        <shadow val="0"/>
        <u val="none"/>
        <vertAlign val="baseline"/>
        <sz val="10"/>
        <color auto="1"/>
        <name val="Calibri"/>
        <family val="2"/>
        <scheme val="minor"/>
      </font>
      <numFmt numFmtId="164" formatCode="&quot;£&quot;#,##0.00"/>
      <fill>
        <patternFill patternType="solid">
          <fgColor indexed="64"/>
          <bgColor rgb="FFA6A6A6"/>
        </patternFill>
      </fill>
      <alignment horizontal="general" vertical="center" textRotation="0" wrapText="1" indent="0" justifyLastLine="0" shrinkToFit="0" readingOrder="0"/>
      <border diagonalUp="0" diagonalDown="0">
        <left/>
        <right/>
        <top/>
        <bottom style="medium">
          <color rgb="FFFFFFFF"/>
        </bottom>
      </border>
      <protection locked="1" hidden="0"/>
    </dxf>
    <dxf>
      <font>
        <b val="0"/>
        <i val="0"/>
        <strike val="0"/>
        <condense val="0"/>
        <extend val="0"/>
        <outline val="0"/>
        <shadow val="0"/>
        <u val="none"/>
        <vertAlign val="baseline"/>
        <sz val="10"/>
        <color auto="1"/>
        <name val="Calibri"/>
        <family val="2"/>
        <scheme val="minor"/>
      </font>
      <numFmt numFmtId="164" formatCode="&quot;£&quot;#,##0.00"/>
      <fill>
        <patternFill patternType="solid">
          <fgColor indexed="64"/>
          <bgColor theme="0" tint="-0.34998626667073579"/>
        </patternFill>
      </fill>
      <alignment horizontal="center" vertical="center" textRotation="0" wrapText="1" indent="0" justifyLastLine="0" shrinkToFit="0" readingOrder="0"/>
      <border diagonalUp="0" diagonalDown="0">
        <left/>
        <right/>
        <top/>
        <bottom style="medium">
          <color rgb="FFFFFFFF"/>
        </bottom>
      </border>
      <protection locked="1" hidden="0"/>
    </dxf>
    <dxf>
      <font>
        <b val="0"/>
        <i val="0"/>
        <strike val="0"/>
        <condense val="0"/>
        <extend val="0"/>
        <outline val="0"/>
        <shadow val="0"/>
        <u val="none"/>
        <vertAlign val="baseline"/>
        <sz val="10"/>
        <color auto="1"/>
        <name val="Calibri"/>
        <scheme val="minor"/>
      </font>
      <numFmt numFmtId="164" formatCode="&quot;£&quot;#,##0.00"/>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top style="medium">
          <color rgb="FFFFFFFF"/>
        </top>
        <bottom style="medium">
          <color rgb="FFFFFFFF"/>
        </bottom>
      </border>
      <protection locked="0" hidden="0"/>
    </dxf>
    <dxf>
      <font>
        <b val="0"/>
        <i/>
        <strike val="0"/>
        <condense val="0"/>
        <extend val="0"/>
        <outline val="0"/>
        <shadow val="0"/>
        <u val="none"/>
        <vertAlign val="baseline"/>
        <sz val="10"/>
        <color auto="1"/>
        <name val="Calibri"/>
        <family val="2"/>
        <scheme val="minor"/>
      </font>
      <fill>
        <patternFill patternType="solid">
          <fgColor indexed="64"/>
          <bgColor theme="0" tint="-0.34998626667073579"/>
        </patternFill>
      </fill>
      <alignment horizontal="center" vertical="center" textRotation="0" wrapText="1" indent="0" justifyLastLine="0" shrinkToFit="0" readingOrder="0"/>
      <border diagonalUp="0" diagonalDown="0">
        <left/>
        <right style="medium">
          <color rgb="FFFFFFFF"/>
        </right>
        <top/>
        <bottom style="medium">
          <color rgb="FFFFFFFF"/>
        </bottom>
        <vertical/>
        <horizontal/>
      </border>
      <protection locked="1" hidden="0"/>
    </dxf>
    <dxf>
      <font>
        <b val="0"/>
        <i/>
        <strike val="0"/>
        <condense val="0"/>
        <extend val="0"/>
        <outline val="0"/>
        <shadow val="0"/>
        <u val="none"/>
        <vertAlign val="baseline"/>
        <sz val="10"/>
        <color auto="1"/>
        <name val="Calibri"/>
        <family val="2"/>
        <scheme val="minor"/>
      </font>
      <fill>
        <patternFill patternType="solid">
          <fgColor indexed="64"/>
          <bgColor rgb="FFF2F2F2"/>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protection locked="1" hidden="0"/>
    </dxf>
    <dxf>
      <font>
        <b val="0"/>
        <i/>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left style="medium">
          <color rgb="FFFFFFFF"/>
        </left>
        <right/>
        <top/>
        <bottom style="medium">
          <color rgb="FFFFFFFF"/>
        </bottom>
      </border>
      <protection locked="1" hidden="0"/>
    </dxf>
    <dxf>
      <font>
        <b val="0"/>
        <i val="0"/>
        <strike val="0"/>
        <condense val="0"/>
        <extend val="0"/>
        <outline val="0"/>
        <shadow val="0"/>
        <u val="none"/>
        <vertAlign val="baseline"/>
        <sz val="10"/>
        <color auto="1"/>
        <name val="Calibri"/>
        <scheme val="minor"/>
      </font>
      <numFmt numFmtId="30" formatCode="@"/>
      <fill>
        <patternFill patternType="solid">
          <fgColor indexed="64"/>
          <bgColor rgb="FFF2F2F2"/>
        </patternFill>
      </fill>
      <alignment horizontal="center" vertical="center" textRotation="0" wrapText="1" indent="0" justifyLastLine="0" shrinkToFit="0" readingOrder="0"/>
      <border diagonalUp="0" diagonalDown="0">
        <left style="medium">
          <color rgb="FFFFFFFF"/>
        </left>
        <right style="medium">
          <color rgb="FFFFFFFF"/>
        </right>
        <top/>
        <bottom style="medium">
          <color rgb="FFFFFFFF"/>
        </bottom>
      </border>
      <protection locked="1" hidden="0"/>
    </dxf>
    <dxf>
      <font>
        <b val="0"/>
        <i val="0"/>
        <strike val="0"/>
        <condense val="0"/>
        <extend val="0"/>
        <outline val="0"/>
        <shadow val="0"/>
        <u val="none"/>
        <vertAlign val="baseline"/>
        <sz val="10"/>
        <color auto="1"/>
        <name val="Calibri"/>
        <scheme val="minor"/>
      </font>
      <numFmt numFmtId="30" formatCode="@"/>
      <fill>
        <patternFill patternType="solid">
          <fgColor indexed="64"/>
          <bgColor rgb="FFF2F2F2"/>
        </patternFill>
      </fill>
      <alignment horizontal="general" vertical="center" textRotation="0" wrapText="1" indent="0" justifyLastLine="0" shrinkToFit="0" readingOrder="0"/>
      <border diagonalUp="0" diagonalDown="0">
        <left/>
        <right style="medium">
          <color rgb="FFFFFFFF"/>
        </right>
        <top/>
        <bottom style="medium">
          <color rgb="FFFFFFFF"/>
        </bottom>
      </border>
      <protection locked="1" hidden="0"/>
    </dxf>
    <dxf>
      <border outline="0">
        <left style="medium">
          <color rgb="FFFFFFFF"/>
        </left>
        <right style="medium">
          <color rgb="FFFFFFFF"/>
        </right>
        <bottom style="medium">
          <color theme="1" tint="0.34998626667073579"/>
        </bottom>
      </border>
    </dxf>
    <dxf>
      <font>
        <strike val="0"/>
        <outline val="0"/>
        <shadow val="0"/>
        <u val="none"/>
        <sz val="10"/>
      </font>
      <protection locked="1" hidden="0"/>
    </dxf>
    <dxf>
      <font>
        <strike val="0"/>
        <outline val="0"/>
        <shadow val="0"/>
        <u val="none"/>
        <sz val="10"/>
      </font>
      <protection locked="1"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protection locked="1" hidden="0"/>
    </dxf>
    <dxf>
      <font>
        <strike val="0"/>
        <outline val="0"/>
        <shadow val="0"/>
        <u val="none"/>
        <vertAlign val="baseline"/>
        <sz val="10"/>
        <color auto="1"/>
        <name val="Calibri"/>
        <scheme val="minor"/>
      </font>
      <numFmt numFmtId="2" formatCode="0.00"/>
      <fill>
        <patternFill patternType="solid">
          <fgColor indexed="64"/>
          <bgColor theme="2" tint="-0.249977111117893"/>
        </patternFill>
      </fill>
      <border diagonalUp="0" diagonalDown="0">
        <left style="medium">
          <color theme="0"/>
        </left>
        <right style="medium">
          <color theme="0"/>
        </right>
        <top style="medium">
          <color theme="0"/>
        </top>
        <bottom style="medium">
          <color theme="0"/>
        </bottom>
      </border>
      <protection locked="1" hidden="0"/>
    </dxf>
    <dxf>
      <font>
        <strike val="0"/>
        <outline val="0"/>
        <shadow val="0"/>
        <u val="none"/>
        <vertAlign val="baseline"/>
        <sz val="10"/>
        <color auto="1"/>
        <name val="Calibri"/>
        <scheme val="minor"/>
      </font>
      <numFmt numFmtId="2" formatCode="0.00"/>
      <fill>
        <patternFill patternType="solid">
          <fgColor indexed="64"/>
          <bgColor theme="2" tint="-0.249977111117893"/>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theme="5" tint="0.59999389629810485"/>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bottom style="medium">
          <color rgb="FFFFFFFF"/>
        </bottom>
      </border>
      <protection locked="0" hidden="0"/>
    </dxf>
    <dxf>
      <font>
        <b val="0"/>
        <i val="0"/>
        <strike val="0"/>
        <condense val="0"/>
        <extend val="0"/>
        <outline val="0"/>
        <shadow val="0"/>
        <u val="none"/>
        <vertAlign val="baseline"/>
        <sz val="10"/>
        <color auto="1"/>
        <name val="Calibri"/>
        <family val="2"/>
        <scheme val="minor"/>
      </font>
      <numFmt numFmtId="2" formatCode="0.00"/>
      <fill>
        <patternFill patternType="solid">
          <fgColor indexed="64"/>
          <bgColor theme="5" tint="0.59999389629810485"/>
        </patternFill>
      </fill>
      <alignment horizontal="general" vertical="center" textRotation="0" wrapText="1" indent="0" justifyLastLine="0" shrinkToFit="0" readingOrder="0"/>
      <border diagonalUp="0" diagonalDown="0">
        <left/>
        <right/>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theme="0"/>
        </right>
        <top/>
        <bottom style="medium">
          <color rgb="FFFFFFFF"/>
        </bottom>
      </border>
      <protection locked="1" hidden="0"/>
    </dxf>
    <dxf>
      <font>
        <b val="0"/>
        <i val="0"/>
        <strike val="0"/>
        <condense val="0"/>
        <extend val="0"/>
        <outline val="0"/>
        <shadow val="0"/>
        <u val="none"/>
        <vertAlign val="baseline"/>
        <sz val="10"/>
        <color auto="1"/>
        <name val="Calibri"/>
        <family val="2"/>
        <scheme val="minor"/>
      </font>
      <fill>
        <patternFill patternType="solid">
          <fgColor indexed="64"/>
          <bgColor rgb="FF70DBFC"/>
        </patternFill>
      </fill>
      <alignment horizontal="general" vertical="center" textRotation="0" wrapText="1" indent="0" justifyLastLine="0" shrinkToFit="0" readingOrder="0"/>
      <border diagonalUp="0" diagonalDown="0">
        <left/>
        <right style="medium">
          <color rgb="FFFFFFFF"/>
        </right>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rgb="FF70DBFC"/>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top/>
        <bottom style="medium">
          <color rgb="FFFFFFFF"/>
        </bottom>
      </border>
      <protection locked="1" hidden="0"/>
    </dxf>
    <dxf>
      <font>
        <b val="0"/>
        <i val="0"/>
        <strike val="0"/>
        <condense val="0"/>
        <extend val="0"/>
        <outline val="0"/>
        <shadow val="0"/>
        <u val="none"/>
        <vertAlign val="baseline"/>
        <sz val="10"/>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0"/>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left style="medium">
          <color rgb="FFFFFFFF"/>
        </left>
      </border>
      <protection locked="0" hidden="0"/>
    </dxf>
    <dxf>
      <font>
        <b val="0"/>
        <i val="0"/>
        <strike val="0"/>
        <condense val="0"/>
        <extend val="0"/>
        <outline val="0"/>
        <shadow val="0"/>
        <u val="none"/>
        <vertAlign val="baseline"/>
        <sz val="10"/>
        <color auto="1"/>
        <name val="Calibri"/>
        <family val="2"/>
        <scheme val="minor"/>
      </font>
      <numFmt numFmtId="30" formatCode="@"/>
      <fill>
        <patternFill patternType="solid">
          <fgColor indexed="64"/>
          <bgColor rgb="FFA6A6A6"/>
        </patternFill>
      </fill>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numFmt numFmtId="1" formatCode="0"/>
      <fill>
        <patternFill patternType="solid">
          <fgColor indexed="64"/>
          <bgColor theme="0" tint="-0.34998626667073579"/>
        </patternFill>
      </fill>
      <alignment horizontal="center" vertical="center" textRotation="0" wrapText="1" indent="0" justifyLastLine="0" shrinkToFit="0" readingOrder="0"/>
      <border diagonalUp="0" diagonalDown="0">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1" formatCode="0"/>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border outline="0">
        <left style="thin">
          <color theme="0"/>
        </left>
        <right style="medium">
          <color rgb="FFFFFFFF"/>
        </right>
        <bottom style="medium">
          <color rgb="FFFFFFFF"/>
        </bottom>
      </border>
    </dxf>
    <dxf>
      <font>
        <strike val="0"/>
        <outline val="0"/>
        <shadow val="0"/>
        <u val="none"/>
        <vertAlign val="baseline"/>
        <sz val="10"/>
        <color auto="1"/>
        <name val="Calibri"/>
        <scheme val="minor"/>
      </font>
      <protection locked="1" hidden="0"/>
    </dxf>
    <dxf>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indent="3" justifyLastLine="0" shrinkToFit="0" readingOrder="0"/>
      <border diagonalUp="0" diagonalDown="0">
        <left style="medium">
          <color theme="0"/>
        </left>
        <right style="medium">
          <color theme="0"/>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indent="3"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indent="3"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relativeIndent="-1"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relativeIndent="-1"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relativeIndent="-1"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relativeIndent="-1"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left" vertical="center" textRotation="0" wrapText="1" relativeIndent="-1" justifyLastLine="0" shrinkToFit="0" readingOrder="0"/>
      <border diagonalUp="0" diagonalDown="0">
        <left style="medium">
          <color rgb="FFFFFFFF"/>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numFmt numFmtId="13" formatCode="0%"/>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bottom style="medium">
          <color rgb="FFFFFFFF"/>
        </bottom>
      </border>
    </dxf>
    <dxf>
      <font>
        <b val="0"/>
        <i val="0"/>
        <strike val="0"/>
        <condense val="0"/>
        <extend val="0"/>
        <outline val="0"/>
        <shadow val="0"/>
        <u val="none"/>
        <vertAlign val="baseline"/>
        <sz val="10"/>
        <color auto="1"/>
        <name val="Calibri"/>
        <scheme val="minor"/>
      </font>
      <fill>
        <patternFill patternType="solid">
          <fgColor indexed="64"/>
          <bgColor rgb="FF9FC3CD"/>
        </patternFill>
      </fill>
      <alignment horizontal="general" vertical="center" textRotation="0" wrapText="1" indent="0" justifyLastLine="0" shrinkToFit="0" readingOrder="0"/>
      <protection locked="1" hidden="0"/>
    </dxf>
    <dxf>
      <border outline="0">
        <bottom style="medium">
          <color rgb="FFFFFFFF"/>
        </bottom>
      </border>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theme="0"/>
        </left>
        <right style="medium">
          <color theme="0"/>
        </right>
        <top style="medium">
          <color rgb="FFFFFFFF"/>
        </top>
        <bottom style="thin">
          <color theme="0"/>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thin">
          <color theme="0"/>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thin">
          <color theme="0"/>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thin">
          <color theme="0"/>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thin">
          <color theme="0"/>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thin">
          <color theme="0"/>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thin">
          <color theme="0"/>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thin">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numFmt numFmtId="13" formatCode="0%"/>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top style="thin">
          <color theme="0"/>
        </top>
        <bottom style="medium">
          <color rgb="FFFFFFFF"/>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protection locked="1" hidden="0"/>
    </dxf>
    <dxf>
      <border outline="0">
        <bottom style="medium">
          <color rgb="FFFFFFFF"/>
        </bottom>
      </border>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165" formatCode="_-* #,##0_-;\-* #,##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theme="0"/>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bottom style="medium">
          <color rgb="FFFFFFFF"/>
        </bottom>
      </border>
    </dxf>
    <dxf>
      <font>
        <b val="0"/>
        <i val="0"/>
        <strike val="0"/>
        <condense val="0"/>
        <extend val="0"/>
        <outline val="0"/>
        <shadow val="0"/>
        <u val="none"/>
        <vertAlign val="baseline"/>
        <sz val="10"/>
        <color auto="1"/>
        <name val="Calibri"/>
        <scheme val="minor"/>
      </font>
      <fill>
        <patternFill patternType="solid">
          <fgColor indexed="64"/>
          <bgColor rgb="FF9FC3CD"/>
        </patternFill>
      </fill>
      <alignment horizontal="general" vertical="center" textRotation="0" wrapText="1" indent="0" justifyLastLine="0" shrinkToFit="0" readingOrder="0"/>
      <protection locked="1" hidden="0"/>
    </dxf>
    <dxf>
      <border outline="0">
        <bottom style="medium">
          <color rgb="FFFFFFFF"/>
        </bottom>
      </border>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theme="0"/>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167" formatCode="0.0"/>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rgb="FFFFFFFF"/>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rgb="FFFFFFFF"/>
        </left>
        <right style="medium">
          <color theme="0"/>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rgb="FF70DBFC"/>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rgb="FF70DBFC"/>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border>
      <protection locked="0" hidden="0"/>
    </dxf>
    <dxf>
      <border outline="0">
        <top style="medium">
          <color rgb="FFFFFFFF"/>
        </top>
      </border>
    </dxf>
    <dxf>
      <border outline="0">
        <left style="medium">
          <color rgb="FFFFFFFF"/>
        </left>
        <right style="medium">
          <color rgb="FFFFFFFF"/>
        </right>
        <bottom style="medium">
          <color rgb="FFFFFFFF"/>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protection locked="1" hidden="0"/>
    </dxf>
    <dxf>
      <border outline="0">
        <bottom style="medium">
          <color rgb="FFFFFFFF"/>
        </bottom>
      </border>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theme="0"/>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bottom style="medium">
          <color rgb="FFFFFFFF"/>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protection locked="1" hidden="0"/>
    </dxf>
    <dxf>
      <border outline="0">
        <bottom style="medium">
          <color rgb="FFFFFFFF"/>
        </bottom>
      </border>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theme="0"/>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numFmt numFmtId="35" formatCode="_-* #,##0.00_-;\-* #,##0.0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rgb="FFFFFFFF"/>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rgb="FFFFFFFF"/>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bottom style="medium">
          <color rgb="FFFFFFFF"/>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protection locked="1" hidden="0"/>
    </dxf>
    <dxf>
      <border outline="0">
        <bottom style="medium">
          <color rgb="FFFFFFFF"/>
        </bottom>
      </border>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theme="0"/>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6" formatCode="0.0000"/>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0"/>
        <color auto="1"/>
        <name val="Calibri"/>
        <family val="2"/>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theme="0"/>
        </right>
        <top style="medium">
          <color theme="0"/>
        </top>
        <bottom style="medium">
          <color theme="0"/>
        </bottom>
        <vertical/>
        <horizontal/>
      </border>
      <protection locked="0" hidden="0"/>
    </dxf>
    <dxf>
      <border outline="0">
        <left style="medium">
          <color rgb="FFFFFFFF"/>
        </left>
        <right style="medium">
          <color rgb="FFFFFFFF"/>
        </right>
        <bottom style="thin">
          <color rgb="FFFFFFFF"/>
        </bottom>
      </border>
    </dxf>
    <dxf>
      <font>
        <b val="0"/>
        <i val="0"/>
        <strike val="0"/>
        <condense val="0"/>
        <extend val="0"/>
        <outline val="0"/>
        <shadow val="0"/>
        <u val="none"/>
        <vertAlign val="baseline"/>
        <sz val="10"/>
        <color auto="1"/>
        <name val="Calibri"/>
        <scheme val="none"/>
      </font>
      <fill>
        <patternFill patternType="solid">
          <fgColor rgb="FF000000"/>
          <bgColor rgb="FFA6A6A6"/>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thin">
          <color indexed="64"/>
        </left>
        <right style="medium">
          <color rgb="FFFFFFFF"/>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6" formatCode="0.0000"/>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family val="2"/>
        <scheme val="minor"/>
      </font>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theme="0"/>
        </right>
        <top style="medium">
          <color theme="0"/>
        </top>
        <bottom style="medium">
          <color theme="0"/>
        </bottom>
        <vertical/>
        <horizontal/>
      </border>
      <protection locked="0" hidden="0"/>
    </dxf>
    <dxf>
      <border outline="0">
        <left style="medium">
          <color rgb="FFFFFFFF"/>
        </left>
        <right style="medium">
          <color rgb="FFFFFFFF"/>
        </right>
        <bottom style="thin">
          <color rgb="FFFFFFFF"/>
        </bottom>
      </border>
    </dxf>
    <dxf>
      <font>
        <b val="0"/>
        <i val="0"/>
        <strike val="0"/>
        <condense val="0"/>
        <extend val="0"/>
        <outline val="0"/>
        <shadow val="0"/>
        <u val="none"/>
        <vertAlign val="baseline"/>
        <sz val="10"/>
        <color auto="1"/>
        <name val="Calibri"/>
        <scheme val="none"/>
      </font>
      <fill>
        <patternFill patternType="solid">
          <fgColor rgb="FF000000"/>
          <bgColor rgb="FFA6A6A6"/>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75" formatCode="_-* #,##0.000_-;\-* #,##0.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35" formatCode="_-* #,##0.00_-;\-* #,##0.0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3" formatCode="0%"/>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0"/>
        <color auto="1"/>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rgb="FFA6A6A6"/>
        </patternFill>
      </fill>
      <border diagonalUp="0" diagonalDown="0">
        <left/>
        <right style="medium">
          <color theme="0"/>
        </right>
        <top style="medium">
          <color theme="0"/>
        </top>
        <bottom style="medium">
          <color theme="0"/>
        </bottom>
      </border>
      <protection locked="1" hidden="0"/>
    </dxf>
    <dxf>
      <border outline="0">
        <left style="medium">
          <color rgb="FFFFFFFF"/>
        </left>
        <right style="medium">
          <color rgb="FFFFFFFF"/>
        </right>
        <bottom style="thin">
          <color rgb="FFFFFFFF"/>
        </bottom>
      </border>
    </dxf>
    <dxf>
      <font>
        <b val="0"/>
        <i val="0"/>
        <strike val="0"/>
        <condense val="0"/>
        <extend val="0"/>
        <outline val="0"/>
        <shadow val="0"/>
        <u val="none"/>
        <vertAlign val="baseline"/>
        <sz val="10"/>
        <color auto="1"/>
        <name val="Calibri"/>
        <scheme val="none"/>
      </font>
      <fill>
        <patternFill patternType="solid">
          <fgColor rgb="FF000000"/>
          <bgColor rgb="FFA6A6A6"/>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theme="0"/>
        </left>
        <right style="medium">
          <color theme="0"/>
        </right>
        <top style="medium">
          <color rgb="FFFFFFFF"/>
        </top>
        <bottom style="medium">
          <color rgb="FFFFFFFF"/>
        </bottom>
        <vertical/>
        <horizontal style="medium">
          <color rgb="FFFFFFFF"/>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6" formatCode="0.0000"/>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0" formatCode="0.0%"/>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70" formatCode="0.0%"/>
      <fill>
        <patternFill patternType="solid">
          <fgColor indexed="64"/>
          <bgColor theme="0" tint="-0.34998626667073579"/>
        </patternFill>
      </fill>
      <alignment horizontal="left" vertical="bottom"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border>
      <protection locked="0" hidden="0"/>
    </dxf>
    <dxf>
      <border outline="0">
        <left style="medium">
          <color rgb="FFFFFFFF"/>
        </left>
        <right style="medium">
          <color rgb="FFFFFFFF"/>
        </right>
        <bottom style="thin">
          <color rgb="FFFFFFFF"/>
        </bottom>
      </border>
    </dxf>
    <dxf>
      <font>
        <b val="0"/>
        <i val="0"/>
        <strike val="0"/>
        <condense val="0"/>
        <extend val="0"/>
        <outline val="0"/>
        <shadow val="0"/>
        <u val="none"/>
        <vertAlign val="baseline"/>
        <sz val="10"/>
        <color auto="1"/>
        <name val="Calibri"/>
        <scheme val="none"/>
      </font>
      <fill>
        <patternFill patternType="solid">
          <fgColor rgb="FF000000"/>
          <bgColor rgb="FFA6A6A6"/>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35" formatCode="_-* #,##0.00_-;\-* #,##0.0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3" formatCode="0%"/>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0"/>
        <color auto="1"/>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rgb="FFA6A6A6"/>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0"/>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border>
      <protection locked="0" hidden="0"/>
    </dxf>
    <dxf>
      <border outline="0">
        <left style="medium">
          <color rgb="FFFFFFFF"/>
        </left>
        <right style="medium">
          <color rgb="FFFFFFFF"/>
        </right>
        <bottom style="thin">
          <color rgb="FFFFFFFF"/>
        </bottom>
      </border>
    </dxf>
    <dxf>
      <font>
        <b val="0"/>
        <i val="0"/>
        <strike val="0"/>
        <condense val="0"/>
        <extend val="0"/>
        <outline val="0"/>
        <shadow val="0"/>
        <u val="none"/>
        <vertAlign val="baseline"/>
        <sz val="10"/>
        <color auto="1"/>
        <name val="Calibri"/>
        <scheme val="none"/>
      </font>
      <fill>
        <patternFill patternType="solid">
          <fgColor rgb="FF000000"/>
          <bgColor rgb="FFA6A6A6"/>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theme="0"/>
        </left>
        <right style="medium">
          <color theme="0"/>
        </right>
        <top style="medium">
          <color rgb="FFFFFFFF"/>
        </top>
        <bottom style="medium">
          <color rgb="FFFFFFFF"/>
        </bottom>
        <vertical/>
        <horizontal style="medium">
          <color rgb="FFFFFFFF"/>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6" formatCode="0.0000"/>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0" formatCode="0.0%"/>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0" formatCode="0.0%"/>
      <fill>
        <patternFill patternType="solid">
          <fgColor indexed="64"/>
          <bgColor theme="0" tint="-0.34998626667073579"/>
        </patternFill>
      </fill>
      <alignment horizontal="left" vertical="bottom"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border>
      <protection locked="0" hidden="0"/>
    </dxf>
    <dxf>
      <border outline="0">
        <left style="medium">
          <color rgb="FFFFFFFF"/>
        </left>
        <right style="medium">
          <color rgb="FFFFFFFF"/>
        </right>
        <bottom style="thin">
          <color rgb="FFFFFFFF"/>
        </bottom>
      </border>
    </dxf>
    <dxf>
      <font>
        <b val="0"/>
        <i val="0"/>
        <strike val="0"/>
        <condense val="0"/>
        <extend val="0"/>
        <outline val="0"/>
        <shadow val="0"/>
        <u val="none"/>
        <vertAlign val="baseline"/>
        <sz val="10"/>
        <color auto="1"/>
        <name val="Calibri"/>
        <scheme val="none"/>
      </font>
      <fill>
        <patternFill patternType="solid">
          <fgColor rgb="FF000000"/>
          <bgColor rgb="FFA6A6A6"/>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theme="0"/>
        </left>
        <right style="medium">
          <color theme="0"/>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6" formatCode="0.0000"/>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0" tint="-0.34998626667073579"/>
        </patternFill>
      </fill>
      <alignment horizontal="center" vertical="center"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right style="medium">
          <color theme="0"/>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vertical/>
        <horizontal/>
      </border>
      <protection locked="1" hidden="0"/>
    </dxf>
    <dxf>
      <border outline="0">
        <left style="medium">
          <color theme="0"/>
        </left>
        <right style="medium">
          <color rgb="FFFFFFFF"/>
        </right>
        <bottom style="thin">
          <color theme="0"/>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style="medium">
          <color theme="0"/>
        </left>
        <right style="medium">
          <color theme="0"/>
        </right>
        <top style="medium">
          <color rgb="FFFFFFFF"/>
        </top>
        <bottom style="medium">
          <color rgb="FFFFFFFF"/>
        </bottom>
        <vertical/>
        <horizontal style="medium">
          <color rgb="FFFFFFFF"/>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vertical/>
        <horizontal/>
      </border>
      <protection locked="1" hidden="0"/>
    </dxf>
    <dxf>
      <font>
        <b val="0"/>
        <i/>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style="medium">
          <color rgb="FFFFFFFF"/>
        </right>
        <top style="medium">
          <color rgb="FFFFFFFF"/>
        </top>
        <bottom style="medium">
          <color rgb="FFFFFFFF"/>
        </bottom>
        <vertical/>
        <horizontal/>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0"/>
        <color auto="1"/>
        <name val="Calibri"/>
        <scheme val="minor"/>
      </font>
      <numFmt numFmtId="35" formatCode="_-* #,##0.00_-;\-* #,##0.00_-;_-* &quot;-&quot;??_-;_-@_-"/>
      <fill>
        <patternFill patternType="solid">
          <fgColor indexed="64"/>
          <bgColor theme="0" tint="-0.34998626667073579"/>
        </patternFill>
      </fill>
      <alignment horizontal="general" vertical="center" textRotation="0" wrapText="1" indent="0" justifyLastLine="0" shrinkToFit="0" readingOrder="0"/>
      <border diagonalUp="0" diagonalDown="0">
        <left/>
        <right/>
        <top style="medium">
          <color rgb="FFFFFFFF"/>
        </top>
        <bottom style="medium">
          <color rgb="FFFFFFFF"/>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top style="medium">
          <color theme="0"/>
        </top>
        <bottom style="medium">
          <color theme="0"/>
        </bottom>
      </border>
      <protection locked="0" hidden="0"/>
    </dxf>
    <dxf>
      <font>
        <b val="0"/>
        <i val="0"/>
        <strike val="0"/>
        <condense val="0"/>
        <extend val="0"/>
        <outline val="0"/>
        <shadow val="0"/>
        <u val="none"/>
        <vertAlign val="baseline"/>
        <sz val="10"/>
        <color rgb="FF636363"/>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4" formatCode="_-* #,##0.00_-;\-* #,##0.0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66" formatCode="0.0000"/>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vertical/>
        <horizontal/>
      </border>
      <protection locked="1" hidden="0"/>
    </dxf>
    <dxf>
      <font>
        <b val="0"/>
        <i val="0"/>
        <strike val="0"/>
        <condense val="0"/>
        <extend val="0"/>
        <outline val="0"/>
        <shadow val="0"/>
        <u val="none"/>
        <vertAlign val="baseline"/>
        <sz val="11"/>
        <color theme="1"/>
        <name val="Calibri"/>
        <scheme val="minor"/>
      </font>
      <numFmt numFmtId="165" formatCode="_-* #,##0_-;\-* #,##0_-;_-* &quot;-&quot;??_-;_-@_-"/>
      <fill>
        <patternFill patternType="solid">
          <fgColor indexed="64"/>
          <bgColor theme="0" tint="-0.34998626667073579"/>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rgb="FFA6A6A6"/>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auto="1"/>
        <name val="Calibri"/>
        <scheme val="minor"/>
      </font>
      <numFmt numFmtId="165"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170" formatCode="0.0%"/>
      <fill>
        <patternFill patternType="solid">
          <fgColor indexed="64"/>
          <bgColor theme="0" tint="-0.34998626667073579"/>
        </patternFill>
      </fill>
      <alignment horizontal="center" vertical="bottom"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59999389629810485"/>
        </patternFill>
      </fill>
      <border diagonalUp="0" diagonalDown="0">
        <left style="medium">
          <color theme="0"/>
        </left>
        <right style="medium">
          <color theme="0"/>
        </right>
        <top style="medium">
          <color theme="0"/>
        </top>
        <bottom style="medium">
          <color theme="0"/>
        </bottom>
      </border>
      <protection locked="0"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rgb="FFA6A6A6"/>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rgb="FFA6A6A6"/>
        </patternFill>
      </fill>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theme="1"/>
        <name val="Calibri"/>
        <scheme val="minor"/>
      </font>
      <numFmt numFmtId="170" formatCode="0.0%"/>
      <fill>
        <patternFill patternType="solid">
          <fgColor indexed="64"/>
          <bgColor theme="0" tint="-0.34998626667073579"/>
        </patternFill>
      </fill>
      <alignment horizontal="left" vertical="bottom" textRotation="0" wrapText="0" indent="0" justifyLastLine="0" shrinkToFit="0" readingOrder="0"/>
      <border diagonalUp="0" diagonalDown="0">
        <left style="medium">
          <color theme="0"/>
        </left>
        <right style="medium">
          <color theme="0"/>
        </right>
        <top style="medium">
          <color theme="0"/>
        </top>
        <bottom style="medium">
          <color theme="0"/>
        </bottom>
      </border>
      <protection locked="1" hidden="0"/>
    </dxf>
    <dxf>
      <font>
        <b val="0"/>
        <i val="0"/>
        <strike val="0"/>
        <condense val="0"/>
        <extend val="0"/>
        <outline val="0"/>
        <shadow val="0"/>
        <u val="none"/>
        <vertAlign val="baseline"/>
        <sz val="11"/>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border>
      <protection locked="0" hidden="0"/>
    </dxf>
    <dxf>
      <border outline="0">
        <left style="medium">
          <color theme="0"/>
        </left>
        <right style="medium">
          <color rgb="FFFFFFFF"/>
        </right>
        <bottom style="thin">
          <color theme="0"/>
        </bottom>
      </border>
    </dxf>
    <dxf>
      <font>
        <b val="0"/>
        <i val="0"/>
        <strike val="0"/>
        <condense val="0"/>
        <extend val="0"/>
        <outline val="0"/>
        <shadow val="0"/>
        <u val="none"/>
        <vertAlign val="baseline"/>
        <sz val="10"/>
        <color auto="1"/>
        <name val="Calibri"/>
        <scheme val="minor"/>
      </font>
      <fill>
        <patternFill patternType="solid">
          <fgColor indexed="64"/>
          <bgColor theme="0" tint="-0.34998626667073579"/>
        </patternFill>
      </fill>
      <alignment horizontal="general" vertical="center" textRotation="0" wrapText="1" indent="0" justifyLastLine="0" shrinkToFit="0" readingOrder="0"/>
      <protection locked="1" hidden="0"/>
    </dxf>
    <dxf>
      <font>
        <b/>
        <i val="0"/>
        <strike val="0"/>
        <condense val="0"/>
        <extend val="0"/>
        <outline val="0"/>
        <shadow val="0"/>
        <u val="none"/>
        <vertAlign val="baseline"/>
        <sz val="10"/>
        <color rgb="FFFFFFFF"/>
        <name val="Calibri"/>
        <scheme val="minor"/>
      </font>
      <fill>
        <patternFill patternType="solid">
          <fgColor indexed="64"/>
          <bgColor rgb="FF0599C7"/>
        </patternFill>
      </fill>
      <alignment horizontal="center" vertical="center" textRotation="0" wrapText="1" indent="0" justifyLastLine="0" shrinkToFit="0" readingOrder="0"/>
      <protection locked="1" hidden="0"/>
    </dxf>
    <dxf>
      <font>
        <strike val="0"/>
        <outline val="0"/>
        <shadow val="0"/>
        <u val="none"/>
        <vertAlign val="baseline"/>
        <sz val="11"/>
        <color theme="1"/>
        <name val="Calibri"/>
        <family val="2"/>
        <scheme val="minor"/>
      </font>
      <fill>
        <patternFill patternType="solid">
          <fgColor indexed="64"/>
          <bgColor rgb="FF70DBFC"/>
        </patternFill>
      </fill>
      <border diagonalUp="0" diagonalDown="0">
        <left/>
        <right/>
        <top style="medium">
          <color theme="0"/>
        </top>
        <bottom style="medium">
          <color theme="0"/>
        </bottom>
      </border>
      <protection locked="0" hidden="0"/>
    </dxf>
    <dxf>
      <fill>
        <patternFill patternType="solid">
          <fgColor indexed="64"/>
          <bgColor theme="5" tint="0.59999389629810485"/>
        </patternFill>
      </fill>
      <border diagonalUp="0" diagonalDown="0">
        <left/>
        <right/>
        <top style="medium">
          <color theme="0"/>
        </top>
        <bottom style="medium">
          <color theme="0"/>
        </bottom>
      </border>
      <protection locked="0" hidden="0"/>
    </dxf>
    <dxf>
      <fill>
        <patternFill patternType="solid">
          <fgColor indexed="64"/>
          <bgColor theme="5" tint="0.59999389629810485"/>
        </patternFill>
      </fill>
      <border diagonalUp="0" diagonalDown="0">
        <left/>
        <right style="medium">
          <color theme="0"/>
        </right>
        <top style="medium">
          <color theme="0"/>
        </top>
        <bottom style="medium">
          <color theme="0"/>
        </bottom>
        <vertical/>
        <horizontal/>
      </border>
      <protection locked="0" hidden="0"/>
    </dxf>
    <dxf>
      <fill>
        <patternFill patternType="solid">
          <fgColor indexed="64"/>
          <bgColor theme="5" tint="0.59999389629810485"/>
        </patternFill>
      </fill>
      <border diagonalUp="0" diagonalDown="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vertical/>
        <horizontal/>
      </border>
      <protection locked="0" hidden="0"/>
    </dxf>
    <dxf>
      <border outline="0">
        <left style="medium">
          <color theme="0"/>
        </left>
        <right style="medium">
          <color theme="0"/>
        </right>
        <top style="medium">
          <color theme="0"/>
        </top>
        <bottom style="medium">
          <color theme="0"/>
        </bottom>
      </border>
    </dxf>
    <dxf>
      <fill>
        <patternFill patternType="solid">
          <fgColor indexed="64"/>
          <bgColor theme="5" tint="0.59999389629810485"/>
        </patternFill>
      </fill>
      <protection locked="0" hidden="0"/>
    </dxf>
    <dxf>
      <border outline="0">
        <bottom style="medium">
          <color theme="0"/>
        </bottom>
      </border>
    </dxf>
    <dxf>
      <font>
        <b/>
        <i val="0"/>
        <strike val="0"/>
        <condense val="0"/>
        <extend val="0"/>
        <outline val="0"/>
        <shadow val="0"/>
        <u val="none"/>
        <vertAlign val="baseline"/>
        <sz val="11"/>
        <color rgb="FFFFFFFF"/>
        <name val="Calibri"/>
        <family val="2"/>
        <scheme val="minor"/>
      </font>
      <fill>
        <patternFill patternType="solid">
          <fgColor indexed="64"/>
          <bgColor rgb="FF0599C7"/>
        </patternFill>
      </fill>
      <alignment horizontal="center" vertical="center" textRotation="0" wrapText="1" indent="0" justifyLastLine="0" shrinkToFit="0" readingOrder="0"/>
      <protection locked="1" hidden="0"/>
    </dxf>
  </dxfs>
  <tableStyles count="0" defaultTableStyle="TableStyleMedium2" defaultPivotStyle="PivotStyleLight16"/>
  <colors>
    <mruColors>
      <color rgb="FF70DBFC"/>
      <color rgb="FF27CCF9"/>
      <color rgb="FFA6A6A6"/>
      <color rgb="FF9FC3CD"/>
      <color rgb="FFF2F2F2"/>
      <color rgb="FF0599C7"/>
      <color rgb="FFFFCCCC"/>
      <color rgb="FFFFC7CE"/>
      <color rgb="FF636363"/>
      <color rgb="FFCBCBC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1.xml"/><Relationship Id="rId30" Type="http://schemas.openxmlformats.org/officeDocument/2006/relationships/customXml" Target="../customXml/item4.xml"/></Relationships>
</file>

<file path=xl/drawings/drawing1.xml><?xml version="1.0" encoding="utf-8"?>
<xdr:wsDr xmlns:xdr="http://schemas.openxmlformats.org/drawingml/2006/spreadsheetDrawing" xmlns:a="http://schemas.openxmlformats.org/drawingml/2006/main">
  <xdr:twoCellAnchor>
    <xdr:from>
      <xdr:col>10</xdr:col>
      <xdr:colOff>19050</xdr:colOff>
      <xdr:row>3</xdr:row>
      <xdr:rowOff>91440</xdr:rowOff>
    </xdr:from>
    <xdr:to>
      <xdr:col>12</xdr:col>
      <xdr:colOff>1045844</xdr:colOff>
      <xdr:row>3</xdr:row>
      <xdr:rowOff>1483995</xdr:rowOff>
    </xdr:to>
    <xdr:sp macro="" textlink="">
      <xdr:nvSpPr>
        <xdr:cNvPr id="2" name="Rectangle 1">
          <a:extLst>
            <a:ext uri="{FF2B5EF4-FFF2-40B4-BE49-F238E27FC236}">
              <a16:creationId xmlns:a16="http://schemas.microsoft.com/office/drawing/2014/main" id="{03F5C68A-1420-3E9B-FEDD-B72B2613F5B2}"/>
            </a:ext>
          </a:extLst>
        </xdr:cNvPr>
        <xdr:cNvSpPr/>
      </xdr:nvSpPr>
      <xdr:spPr>
        <a:xfrm>
          <a:off x="11325225" y="1110615"/>
          <a:ext cx="3893819" cy="1392555"/>
        </a:xfrm>
        <a:prstGeom prst="rect">
          <a:avLst/>
        </a:prstGeom>
        <a:noFill/>
        <a:ln w="19050">
          <a:solidFill>
            <a:schemeClr val="bg1">
              <a:lumMod val="6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100" b="1">
              <a:solidFill>
                <a:schemeClr val="tx1">
                  <a:lumMod val="50000"/>
                  <a:lumOff val="50000"/>
                </a:schemeClr>
              </a:solidFill>
            </a:rPr>
            <a:t>Note for fossil</a:t>
          </a:r>
          <a:r>
            <a:rPr lang="en-GB" sz="1100" b="1" baseline="0">
              <a:solidFill>
                <a:schemeClr val="tx1">
                  <a:lumMod val="50000"/>
                  <a:lumOff val="50000"/>
                </a:schemeClr>
              </a:solidFill>
            </a:rPr>
            <a:t> fuel vehicles:</a:t>
          </a:r>
        </a:p>
        <a:p>
          <a:r>
            <a:rPr lang="en-GB" sz="1100">
              <a:solidFill>
                <a:schemeClr val="tx1">
                  <a:lumMod val="50000"/>
                  <a:lumOff val="50000"/>
                </a:schemeClr>
              </a:solidFill>
              <a:effectLst/>
              <a:latin typeface="+mn-lt"/>
              <a:ea typeface="+mn-ea"/>
              <a:cs typeface="+mn-cs"/>
            </a:rPr>
            <a:t>- Small Car = up to 1.4 litre for Petrol and up to 1.7 litre for Diesel</a:t>
          </a:r>
        </a:p>
        <a:p>
          <a:r>
            <a:rPr lang="en-GB" sz="1100">
              <a:solidFill>
                <a:schemeClr val="tx1">
                  <a:lumMod val="50000"/>
                  <a:lumOff val="50000"/>
                </a:schemeClr>
              </a:solidFill>
              <a:effectLst/>
              <a:latin typeface="+mn-lt"/>
              <a:ea typeface="+mn-ea"/>
              <a:cs typeface="+mn-cs"/>
            </a:rPr>
            <a:t>-</a:t>
          </a:r>
          <a:r>
            <a:rPr lang="en-GB" sz="1100" baseline="0">
              <a:solidFill>
                <a:schemeClr val="tx1">
                  <a:lumMod val="50000"/>
                  <a:lumOff val="50000"/>
                </a:schemeClr>
              </a:solidFill>
              <a:effectLst/>
              <a:latin typeface="+mn-lt"/>
              <a:ea typeface="+mn-ea"/>
              <a:cs typeface="+mn-cs"/>
            </a:rPr>
            <a:t> </a:t>
          </a:r>
          <a:r>
            <a:rPr lang="en-GB" sz="1100">
              <a:solidFill>
                <a:schemeClr val="tx1">
                  <a:lumMod val="50000"/>
                  <a:lumOff val="50000"/>
                </a:schemeClr>
              </a:solidFill>
              <a:effectLst/>
              <a:latin typeface="+mn-lt"/>
              <a:ea typeface="+mn-ea"/>
              <a:cs typeface="+mn-cs"/>
            </a:rPr>
            <a:t>Medium Car = 1.4-2.0 litre for Petrol and 1.7-2.0 litre for Diesel    (if its 1.4 petrol or 1.7 Diesel use “Medium”) </a:t>
          </a:r>
        </a:p>
        <a:p>
          <a:r>
            <a:rPr lang="en-GB" sz="1100">
              <a:solidFill>
                <a:schemeClr val="tx1">
                  <a:lumMod val="50000"/>
                  <a:lumOff val="50000"/>
                </a:schemeClr>
              </a:solidFill>
              <a:effectLst/>
              <a:latin typeface="+mn-lt"/>
              <a:ea typeface="+mn-ea"/>
              <a:cs typeface="+mn-cs"/>
            </a:rPr>
            <a:t>- Large Car = above 2.0 litre for both Petrol and Diesel </a:t>
          </a:r>
        </a:p>
        <a:p>
          <a:r>
            <a:rPr lang="en-GB" sz="1100">
              <a:solidFill>
                <a:schemeClr val="tx1">
                  <a:lumMod val="50000"/>
                  <a:lumOff val="50000"/>
                </a:schemeClr>
              </a:solidFill>
              <a:effectLst/>
              <a:latin typeface="+mn-lt"/>
              <a:ea typeface="+mn-ea"/>
              <a:cs typeface="+mn-cs"/>
            </a:rPr>
            <a:t>- Average = size unknown </a:t>
          </a:r>
        </a:p>
        <a:p>
          <a:pPr algn="l"/>
          <a:endParaRPr lang="en-GB" sz="1100">
            <a:solidFill>
              <a:schemeClr val="tx1">
                <a:lumMod val="50000"/>
                <a:lumOff val="50000"/>
              </a:schemeClr>
            </a:solidFill>
          </a:endParaRP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F973EE4D-70FB-487C-8A8D-D19BE843EB50}" name="BuildingInformationTable" displayName="BuildingInformationTable" ref="B6:F1000" totalsRowShown="0" headerRowDxfId="706" dataDxfId="704" headerRowBorderDxfId="705" tableBorderDxfId="703">
  <autoFilter ref="B6:F1000" xr:uid="{F973EE4D-70FB-487C-8A8D-D19BE843EB50}"/>
  <tableColumns count="5">
    <tableColumn id="1" xr3:uid="{CACAF8F9-B83B-456B-B3F0-A64974225304}" name="Site name" dataDxfId="702" dataCellStyle="Comma"/>
    <tableColumn id="2" xr3:uid="{D22CF403-2E00-4684-8EEA-41441AAF21B8}" name="Site type" dataDxfId="701"/>
    <tableColumn id="3" xr3:uid="{B2BE1EF9-8A62-4695-B373-62B08B1FE333}" name="Building Category" dataDxfId="700"/>
    <tableColumn id="4" xr3:uid="{3C738424-082F-4078-9159-FD5477CD28AD}" name="Building type" dataDxfId="699"/>
    <tableColumn id="5" xr3:uid="{98985BEA-C619-4A6A-BA2D-9E4821DD78BA}" name="Occupied floor area (m2)" dataDxfId="698"/>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BuildingsElectricityTable" displayName="BuildingsElectricityTable" ref="B6:X500" totalsRowShown="0" headerRowDxfId="697" dataDxfId="696" tableBorderDxfId="695" dataCellStyle="Comma">
  <autoFilter ref="B6:X500" xr:uid="{00000000-0009-0000-0100-000001000000}"/>
  <tableColumns count="23">
    <tableColumn id="22" xr3:uid="{231DDCAB-AC82-455D-BB18-7ABD96E059F3}" name="Site name" dataDxfId="694" dataCellStyle="Comma"/>
    <tableColumn id="24" xr3:uid="{8CE5A839-DF38-4466-8568-4CCB94F35BC4}" name="Unique Reference Number (e.g. MPAN)" dataDxfId="693" dataCellStyle="Comma"/>
    <tableColumn id="1" xr3:uid="{00000000-0010-0000-0000-000001000000}" name="Ownership structure" dataDxfId="692">
      <calculatedColumnFormula>IFERROR(INDEX(BuildingInformationTable[Site type],MATCH(BuildingsElectricityTable[[#This Row],[Site name]],BuildingInformationTable[Site name],0)),"")</calculatedColumnFormula>
    </tableColumn>
    <tableColumn id="2" xr3:uid="{00000000-0010-0000-0000-000002000000}" name="Fuel/emission source" dataDxfId="691">
      <calculatedColumnFormula>IF(B7="", "", "Grid electricity")</calculatedColumnFormula>
    </tableColumn>
    <tableColumn id="3" xr3:uid="{00000000-0010-0000-0000-000003000000}" name="Category 1" dataDxfId="690">
      <calculatedColumnFormula>IF(E7="Grid electricity", "Consumption based", "")</calculatedColumnFormula>
    </tableColumn>
    <tableColumn id="4" xr3:uid="{00000000-0010-0000-0000-000004000000}" name="Methodology" dataDxfId="689"/>
    <tableColumn id="5" xr3:uid="{00000000-0010-0000-0000-000005000000}" name="RSD" dataDxfId="688">
      <calculatedColumnFormula>IF(G7="","",INDEX(Lists!$BA$4:$BC$31,MATCH(E7,Lists!$AZ$4:$AZ$31,0),MATCH(G7,Lists!$BA$3:$BC$3,0)))</calculatedColumnFormula>
    </tableColumn>
    <tableColumn id="6" xr3:uid="{00000000-0010-0000-0000-000006000000}" name="Data" dataDxfId="687" dataCellStyle="Comma"/>
    <tableColumn id="7" xr3:uid="{00000000-0010-0000-0000-000007000000}" name="Units" dataDxfId="686">
      <calculatedColumnFormula>IF(I7="", "", "kWh")</calculatedColumnFormula>
    </tableColumn>
    <tableColumn id="8" xr3:uid="{00000000-0010-0000-0000-000008000000}" name="Converted data" dataDxfId="685" dataCellStyle="Comma">
      <calculatedColumnFormula array="1">IF(OR($E7="",$D7="",$I7="",$J7=""),"",IF(J7=L7,I7,(INDEX('Emission factors'!$K$3:$V$201,MATCH(E7&amp;F7,'Emission factors'!$J$3:$J$201&amp;'Emission factors'!$K$3:$K$201,0),MATCH(K$6,'Emission factors'!$K$2:$V$2,0)))*I7))</calculatedColumnFormula>
    </tableColumn>
    <tableColumn id="9" xr3:uid="{00000000-0010-0000-0000-000009000000}" name="Standard units" dataDxfId="684">
      <calculatedColumnFormula>IF(OR($E7="",$D7="",$I7="",$J7=""),"",INDEX('Emission factors'!$K$3:$V$201,MATCH('Buildings - Grid Electricity'!$E7,'Emission factors'!$J$3:$J$201,0),MATCH($L$6,'Emission factors'!$K$2:$V$2,0)))</calculatedColumnFormula>
    </tableColumn>
    <tableColumn id="10" xr3:uid="{00000000-0010-0000-0000-00000A000000}" name="Total EF (kgCO2e/unit)" dataDxfId="683">
      <calculatedColumnFormula array="1">IF(OR(E7="",I7="",BuildingsElectricityTable[[#This Row],[Units]]=""),"",INDEX('Emission factors'!$K$3:$V$201,MATCH('Buildings - Grid Electricity'!$E7&amp;F7,'Emission factors'!$J$3:$J$201&amp;'Emission factors'!$K$3:$K$201,0),MATCH('Buildings - Grid Electricity'!$M$6,'Emission factors'!$K$2:$V$2,0)))</calculatedColumnFormula>
    </tableColumn>
    <tableColumn id="11" xr3:uid="{00000000-0010-0000-0000-00000B000000}" name="Total emissions (kgCO2e)" dataDxfId="682" dataCellStyle="Comma">
      <calculatedColumnFormula>IF(OR(K7="",M7=""),"",SUM(BuildingsElectricityTable[[#This Row],[Direct]:[Indirect WTT]]))</calculatedColumnFormula>
    </tableColumn>
    <tableColumn id="12" xr3:uid="{00000000-0010-0000-0000-00000C000000}" name="Notes" dataDxfId="681"/>
    <tableColumn id="13" xr3:uid="{00000000-0010-0000-0000-00000D000000}" name="Ease of collection" dataDxfId="680"/>
    <tableColumn id="14" xr3:uid="{00000000-0010-0000-0000-00000E000000}" name="Direct" dataDxfId="679" dataCellStyle="Comma">
      <calculatedColumnFormula array="1">IF(OR($E7="",$I7=""),"",(INDEX('Emission factors'!$K$3:$V$201,MATCH('Buildings - Grid Electricity'!$E7&amp;$F7,'Emission factors'!$J$3:$J$201&amp;'Emission factors'!$K$3:$K$201,0),MATCH('Buildings - Grid Electricity'!Q$6,'Emission factors'!$K$2:$V$2,0)))*$K7)</calculatedColumnFormula>
    </tableColumn>
    <tableColumn id="15" xr3:uid="{00000000-0010-0000-0000-00000F000000}" name="Indirect generation" dataDxfId="678" dataCellStyle="Comma">
      <calculatedColumnFormula array="1">IF(OR($E7="",$I7=""),"",(INDEX('Emission factors'!$K$3:$V$201,MATCH('Buildings - Grid Electricity'!$E7&amp;$F7,'Emission factors'!$J$3:$J$201&amp;'Emission factors'!$K$3:$K$201,0),MATCH('Buildings - Grid Electricity'!R$6,'Emission factors'!$K$2:$V$2,0)))*$K7)</calculatedColumnFormula>
    </tableColumn>
    <tableColumn id="16" xr3:uid="{00000000-0010-0000-0000-000010000000}" name="Indirect service" dataDxfId="677" dataCellStyle="Comma">
      <calculatedColumnFormula array="1">IF(OR($E7="",$I7=""),"",(INDEX('Emission factors'!$K$3:$V$201,MATCH('Buildings - Grid Electricity'!$E7&amp;$F7,'Emission factors'!$J$3:$J$201&amp;'Emission factors'!$K$3:$K$201,0),MATCH('Buildings - Grid Electricity'!S$6,'Emission factors'!$K$2:$V$2,0)))*$K7)</calculatedColumnFormula>
    </tableColumn>
    <tableColumn id="17" xr3:uid="{00000000-0010-0000-0000-000011000000}" name="Indirect T&amp;D" dataDxfId="676" dataCellStyle="Comma">
      <calculatedColumnFormula array="1">IF(OR($E7="",$I7=""),"",(INDEX('Emission factors'!$K$3:$V$201,MATCH('Buildings - Grid Electricity'!$E7&amp;$F7,'Emission factors'!$J$3:$J$201&amp;'Emission factors'!$K$3:$K$201,0),MATCH('Buildings - Grid Electricity'!T$6,'Emission factors'!$K$2:$V$2,0)))*$K7)</calculatedColumnFormula>
    </tableColumn>
    <tableColumn id="18" xr3:uid="{00000000-0010-0000-0000-000012000000}" name="Indirect WTT" dataDxfId="675" dataCellStyle="Comma">
      <calculatedColumnFormula array="1">IF(OR($E7="",$I7=""),"",(INDEX('Emission factors'!$K$3:$V$201,MATCH('Buildings - Grid Electricity'!$E7&amp;$F7,'Emission factors'!$J$3:$J$201&amp;'Emission factors'!$K$3:$K$201,0),MATCH('Buildings - Grid Electricity'!U$6,'Emission factors'!$K$2:$V$2,0)))*$K7)</calculatedColumnFormula>
    </tableColumn>
    <tableColumn id="19" xr3:uid="{00000000-0010-0000-0000-000013000000}" name="High" dataDxfId="674" dataCellStyle="Comma">
      <calculatedColumnFormula>IF(OR($N7="",BuildingsElectricityTable[[#This Row],[RSD]]=""),"",BuildingsElectricityTable[[#This Row],[Total emissions (kgCO2e)]]*(1+BuildingsElectricityTable[[#This Row],[RSD]]))</calculatedColumnFormula>
    </tableColumn>
    <tableColumn id="20" xr3:uid="{00000000-0010-0000-0000-000014000000}" name="Low" dataDxfId="673" dataCellStyle="Comma">
      <calculatedColumnFormula>IF(OR($N7="",BuildingsElectricityTable[[#This Row],[RSD]]=""),"",BuildingsElectricityTable[[#This Row],[Total emissions (kgCO2e)]]*(1-BuildingsElectricityTable[[#This Row],[RSD]]))</calculatedColumnFormula>
    </tableColumn>
    <tableColumn id="21" xr3:uid="{00000000-0010-0000-0000-000015000000}" name="Outside of scopes" dataDxfId="672" dataCellStyle="Comma">
      <calculatedColumnFormula array="1">IF(OR($E7="",$I7=""),"",(INDEX('Emission factors'!$K$3:$V$201,MATCH('Buildings - Grid Electricity'!$E7&amp;$F7,'Emission factors'!$J$3:$J$201&amp;'Emission factors'!$K$3:$K$201,0),MATCH('Buildings - Grid Electricity'!X$6,'Emission factors'!$K$2:$V$2,0)))*$K7)</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StreetlightingTable" displayName="StreetlightingTable" ref="B504:W510" totalsRowShown="0" headerRowDxfId="671" dataDxfId="670" tableBorderDxfId="669" dataCellStyle="Comma">
  <autoFilter ref="B504:W510" xr:uid="{00000000-0009-0000-0100-000002000000}"/>
  <tableColumns count="22">
    <tableColumn id="22" xr3:uid="{4B00F5F9-4B42-4645-9563-9B6AAFA8775F}" name="Blank" dataDxfId="668" dataCellStyle="Comma"/>
    <tableColumn id="1" xr3:uid="{00000000-0010-0000-0100-000001000000}" name="Type of lighting" dataDxfId="667"/>
    <tableColumn id="2" xr3:uid="{00000000-0010-0000-0100-000002000000}" name="Fuel/emission source" dataDxfId="666">
      <calculatedColumnFormula>IF(C505="", "", "Grid electricity")</calculatedColumnFormula>
    </tableColumn>
    <tableColumn id="3" xr3:uid="{00000000-0010-0000-0100-000003000000}" name="Category 1" dataDxfId="665">
      <calculatedColumnFormula>IF(C505="", "", "Consumption based")</calculatedColumnFormula>
    </tableColumn>
    <tableColumn id="4" xr3:uid="{00000000-0010-0000-0100-000004000000}" name="Methodology" dataDxfId="664"/>
    <tableColumn id="5" xr3:uid="{00000000-0010-0000-0100-000005000000}" name="RSD" dataDxfId="663">
      <calculatedColumnFormula>IF(F505="","",INDEX(Lists!$BA$4:$BC$31,MATCH(D505,Lists!$AZ$4:$AZ$31,0),MATCH(F505,Lists!$BA$3:$BC$3,0)))</calculatedColumnFormula>
    </tableColumn>
    <tableColumn id="6" xr3:uid="{00000000-0010-0000-0100-000006000000}" name="Data" dataDxfId="662" dataCellStyle="Comma"/>
    <tableColumn id="7" xr3:uid="{00000000-0010-0000-0100-000007000000}" name="Units" dataDxfId="661">
      <calculatedColumnFormula>IF(C505="", "", "kWh")</calculatedColumnFormula>
    </tableColumn>
    <tableColumn id="8" xr3:uid="{00000000-0010-0000-0100-000008000000}" name="Converted data" dataDxfId="660" dataCellStyle="Comma">
      <calculatedColumnFormula array="1">IF(OR($D505="",$C505="",$H505="",$I505=""),"",IF(I505=K505,H505,(INDEX('Emission factors'!$K$3:$V$201,MATCH(D505&amp;E505,'Emission factors'!$J$3:$J$201&amp;'Emission factors'!$K$3:$K$201,0),MATCH(J$504,'Emission factors'!$K$2:$V$2,0)))*H505))</calculatedColumnFormula>
    </tableColumn>
    <tableColumn id="9" xr3:uid="{00000000-0010-0000-0100-000009000000}" name="Standard units" dataDxfId="659">
      <calculatedColumnFormula>IF(OR($D505="",$C505="",$H505="",$I505=""),"",INDEX('Emission factors'!$K$3:$V$201,MATCH('Buildings - Grid Electricity'!$D505,'Emission factors'!$J$3:$J$201,0),MATCH($K$504,'Emission factors'!$K$2:$V$2,0)))</calculatedColumnFormula>
    </tableColumn>
    <tableColumn id="10" xr3:uid="{00000000-0010-0000-0100-00000A000000}" name="Total EF (kgCO2e/unit)" dataDxfId="658">
      <calculatedColumnFormula array="1">IF(OR(D505="",H505="",StreetlightingTable[[#This Row],[Units]]=""),"",INDEX('Emission factors'!$K$3:$V$201,MATCH('Buildings - Grid Electricity'!$D505&amp;E505,'Emission factors'!$J$3:$J$201&amp;'Emission factors'!$K$3:$K$201,0),MATCH('Buildings - Grid Electricity'!$L$504,'Emission factors'!$K$2:$V$2,0)))</calculatedColumnFormula>
    </tableColumn>
    <tableColumn id="11" xr3:uid="{00000000-0010-0000-0100-00000B000000}" name="Total emissions (kgCO2e)" dataDxfId="657" dataCellStyle="Comma">
      <calculatedColumnFormula>IF(OR(J505="",L505=""),"",SUM(StreetlightingTable[[#This Row],[Direct]:[Indirect WTT]]))</calculatedColumnFormula>
    </tableColumn>
    <tableColumn id="12" xr3:uid="{00000000-0010-0000-0100-00000C000000}" name="Notes" dataDxfId="656"/>
    <tableColumn id="13" xr3:uid="{00000000-0010-0000-0100-00000D000000}" name="Ease of collection" dataDxfId="655"/>
    <tableColumn id="14" xr3:uid="{00000000-0010-0000-0100-00000E000000}" name="Direct" dataDxfId="654" dataCellStyle="Comma">
      <calculatedColumnFormula array="1">IF(OR($D505="",$H505=""),"",(INDEX('Emission factors'!$K$3:$V$201,MATCH('Buildings - Grid Electricity'!$D505&amp;$E505,'Emission factors'!$J$3:$J$201&amp;'Emission factors'!$K$3:$K$201,0),MATCH('Buildings - Grid Electricity'!Q$6,'Emission factors'!$K$2:$V$2,0)))*$J505)</calculatedColumnFormula>
    </tableColumn>
    <tableColumn id="15" xr3:uid="{00000000-0010-0000-0100-00000F000000}" name="Indirect generation" dataDxfId="653" dataCellStyle="Comma">
      <calculatedColumnFormula array="1">IF(OR($D505="",$H505=""),"",(INDEX('Emission factors'!$K$3:$V$201,MATCH('Buildings - Grid Electricity'!$D505&amp;$E505,'Emission factors'!$J$3:$J$201&amp;'Emission factors'!$K$3:$K$201,0),MATCH('Buildings - Grid Electricity'!R$6,'Emission factors'!$K$2:$V$2,0)))*$J505)</calculatedColumnFormula>
    </tableColumn>
    <tableColumn id="16" xr3:uid="{00000000-0010-0000-0100-000010000000}" name="Indirect service" dataDxfId="652" dataCellStyle="Comma">
      <calculatedColumnFormula array="1">IF(OR($D505="",$H505=""),"",(INDEX('Emission factors'!$K$3:$V$201,MATCH('Buildings - Grid Electricity'!$D505&amp;$E505,'Emission factors'!$J$3:$J$201&amp;'Emission factors'!$K$3:$K$201,0),MATCH('Buildings - Grid Electricity'!S$6,'Emission factors'!$K$2:$V$2,0)))*$J505)</calculatedColumnFormula>
    </tableColumn>
    <tableColumn id="17" xr3:uid="{00000000-0010-0000-0100-000011000000}" name="Indirect T&amp;D" dataDxfId="651" dataCellStyle="Comma">
      <calculatedColumnFormula array="1">IF(OR($D505="",$H505=""),"",(INDEX('Emission factors'!$K$3:$V$201,MATCH('Buildings - Grid Electricity'!$D505&amp;$E505,'Emission factors'!$J$3:$J$201&amp;'Emission factors'!$K$3:$K$201,0),MATCH('Buildings - Grid Electricity'!T$6,'Emission factors'!$K$2:$V$2,0)))*$J505)</calculatedColumnFormula>
    </tableColumn>
    <tableColumn id="18" xr3:uid="{00000000-0010-0000-0100-000012000000}" name="Indirect WTT" dataDxfId="650" dataCellStyle="Comma">
      <calculatedColumnFormula array="1">IF(OR($D505="",$H505=""),"",(INDEX('Emission factors'!$K$3:$V$201,MATCH('Buildings - Grid Electricity'!$D505&amp;$E505,'Emission factors'!$J$3:$J$201&amp;'Emission factors'!$K$3:$K$201,0),MATCH('Buildings - Grid Electricity'!U$6,'Emission factors'!$K$2:$V$2,0)))*$J505)</calculatedColumnFormula>
    </tableColumn>
    <tableColumn id="19" xr3:uid="{00000000-0010-0000-0100-000013000000}" name="High" dataDxfId="649" dataCellStyle="Comma">
      <calculatedColumnFormula>IF(OR($M505="",StreetlightingTable[[#This Row],[RSD]]=""),"",StreetlightingTable[[#This Row],[Total emissions (kgCO2e)]]*(1+StreetlightingTable[[#This Row],[RSD]]))</calculatedColumnFormula>
    </tableColumn>
    <tableColumn id="20" xr3:uid="{00000000-0010-0000-0100-000014000000}" name="Low" dataDxfId="648" dataCellStyle="Comma">
      <calculatedColumnFormula>IF(OR($M505="",StreetlightingTable[[#This Row],[RSD]]=""),"",StreetlightingTable[[#This Row],[Total emissions (kgCO2e)]]*(1-StreetlightingTable[[#This Row],[RSD]]))</calculatedColumnFormula>
    </tableColumn>
    <tableColumn id="21" xr3:uid="{00000000-0010-0000-0100-000015000000}" name="Outside of scopes" dataDxfId="647" dataCellStyle="Comma">
      <calculatedColumnFormula array="1">IF(OR($D505="",$H505=""),"",(INDEX('Emission factors'!$K$3:$V$201,MATCH('Buildings - Grid Electricity'!$D505&amp;$E505,'Emission factors'!$J$3:$J$201&amp;'Emission factors'!$K$3:$K$201,0),MATCH('Buildings - Grid Electricity'!W$504,'Emission factors'!$K$2:$V$2,0)))*$J505)</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D4B8EAF0-3F1E-4AA3-869C-88069CCB5198}" name="BuildingsHeatFuelsTable" displayName="BuildingsHeatFuelsTable" ref="B6:X300" totalsRowShown="0" headerRowDxfId="646" dataDxfId="645" tableBorderDxfId="644" dataCellStyle="Comma">
  <autoFilter ref="B6:X300" xr:uid="{00000000-0009-0000-0100-000001000000}"/>
  <tableColumns count="23">
    <tableColumn id="22" xr3:uid="{49BF72C6-30F3-4FB5-8938-420730AD05FA}" name="Site name" dataDxfId="643" dataCellStyle="Comma"/>
    <tableColumn id="23" xr3:uid="{3A661547-9030-4BEC-A673-AF06A69613E2}" name="Unique Reference (e.g. MPRN) " dataDxfId="642" dataCellStyle="Comma"/>
    <tableColumn id="1" xr3:uid="{F611CC74-6F29-4905-BAD8-486C9E1FC71E}" name="Ownership structure" dataDxfId="641">
      <calculatedColumnFormula>IFERROR(INDEX(BuildingInformationTable[Site type],MATCH(BuildingsHeatFuelsTable[[#This Row],[Site name]],BuildingInformationTable[Site name],0)),"")</calculatedColumnFormula>
    </tableColumn>
    <tableColumn id="2" xr3:uid="{80226743-8CC5-4AAD-B9AE-A69BDB190189}" name="Fuel/emission source" dataDxfId="640"/>
    <tableColumn id="3" xr3:uid="{E446AFD2-4B38-4AB2-956D-16ACE184F7C1}" name="Category 1" dataDxfId="639"/>
    <tableColumn id="4" xr3:uid="{D3D93B94-F064-46FF-AE4B-9BAB2C99A4C5}" name="Methodology" dataDxfId="638"/>
    <tableColumn id="5" xr3:uid="{9DD2579D-E68F-4CBB-AABB-71E934E226E2}" name="RSD" dataDxfId="637">
      <calculatedColumnFormula>IF(G7="","",INDEX(Lists!$BA$4:$BC$31,MATCH(E7,Lists!$AZ$4:$AZ$31,0),MATCH(G7,Lists!$BA$3:$BC$3,0)))</calculatedColumnFormula>
    </tableColumn>
    <tableColumn id="6" xr3:uid="{CC88AC3B-4646-47BF-B690-05CE539717B7}" name="Data" dataDxfId="636" dataCellStyle="Comma"/>
    <tableColumn id="7" xr3:uid="{9651EC50-5F6B-41D9-A606-E3E19B8FE5E7}" name="Units" dataDxfId="635"/>
    <tableColumn id="8" xr3:uid="{0260F0DA-523B-4A63-8694-B2CB35EB8E96}" name="Converted data" dataDxfId="634" dataCellStyle="Comma">
      <calculatedColumnFormula array="1">IF(OR($E7="",$D7="",$I7="",$J7=""),"",IF(J7=L7,I7,(INDEX('Emission factors'!$K$3:$V$201,MATCH(E7&amp;F7,'Emission factors'!$J$3:$J$201&amp;'Emission factors'!$K$3:$K$201,0),MATCH(K$6,'Emission factors'!$K$2:$V$2,0)))*I7))</calculatedColumnFormula>
    </tableColumn>
    <tableColumn id="9" xr3:uid="{1BD11FD4-1149-48AC-9945-BE4EEBFF20AA}" name="Standard units" dataDxfId="633">
      <calculatedColumnFormula>IF(OR($E7="",$D7="",$I7="",$J7=""),"",INDEX('Emission factors'!$K$3:$V$201,MATCH('Buildings - Heat &amp; Fuels'!$E7,'Emission factors'!$J$3:$J$201,0),MATCH($L$6,'Emission factors'!$K$2:$V$2,0)))</calculatedColumnFormula>
    </tableColumn>
    <tableColumn id="10" xr3:uid="{C0555B55-2AA8-49F6-9F10-F760094C1247}" name="Total EF (kgCO2e/unit)" dataDxfId="632">
      <calculatedColumnFormula array="1">IF(OR(E7="",I7="",BuildingsHeatFuelsTable[[#This Row],[Units]]=""),"",INDEX('Emission factors'!$K$3:$V$201,MATCH('Buildings - Heat &amp; Fuels'!$E7&amp;F7,'Emission factors'!$J$3:$J$201&amp;'Emission factors'!$K$3:$K$201,0),MATCH('Buildings - Heat &amp; Fuels'!$M$6,'Emission factors'!$K$2:$V$2,0)))</calculatedColumnFormula>
    </tableColumn>
    <tableColumn id="11" xr3:uid="{628A6443-15AD-435A-8394-E73BEF2CC10C}" name="Total emissions (kgCO2e)" dataDxfId="631" dataCellStyle="Comma">
      <calculatedColumnFormula>IF(OR(K7="",M7=""),"",SUM(BuildingsHeatFuelsTable[[#This Row],[Direct]:[Indirect WTT]]))</calculatedColumnFormula>
    </tableColumn>
    <tableColumn id="12" xr3:uid="{5B606ECB-63CE-4AA5-9E5C-8FD12EC1BC54}" name="Notes" dataDxfId="630"/>
    <tableColumn id="13" xr3:uid="{00B696A0-A907-4794-A275-2E5C5F8E4739}" name="Ease of collection" dataDxfId="629"/>
    <tableColumn id="14" xr3:uid="{1FEBC463-E053-4F88-BCCC-C7553A46CD95}" name="Direct" dataDxfId="628" dataCellStyle="Comma">
      <calculatedColumnFormula array="1">IF(OR($E7="",$I7=""),"",(INDEX('Emission factors'!$K$3:$V$201,MATCH('Buildings - Heat &amp; Fuels'!$E7&amp;$F7,'Emission factors'!$J$3:$J$201&amp;'Emission factors'!$K$3:$K$201,0),MATCH('Buildings - Heat &amp; Fuels'!Q$6,'Emission factors'!$K$2:$V$2,0)))*$K7)</calculatedColumnFormula>
    </tableColumn>
    <tableColumn id="15" xr3:uid="{9E3C1876-492C-4FEC-891F-576BAD34DFA7}" name="Indirect generation" dataDxfId="627" dataCellStyle="Comma">
      <calculatedColumnFormula array="1">IF(OR($E7="",$I7=""),"",(INDEX('Emission factors'!$K$3:$V$201,MATCH('Buildings - Heat &amp; Fuels'!$E7&amp;$F7,'Emission factors'!$J$3:$J$201&amp;'Emission factors'!$K$3:$K$201,0),MATCH('Buildings - Heat &amp; Fuels'!R$6,'Emission factors'!$K$2:$V$2,0)))*$K7)</calculatedColumnFormula>
    </tableColumn>
    <tableColumn id="16" xr3:uid="{6ECA13BD-086F-4F14-AC6E-8FACE0C76743}" name="Indirect service" dataDxfId="626" dataCellStyle="Comma">
      <calculatedColumnFormula array="1">IF(OR($E7="",$I7=""),"",(INDEX('Emission factors'!$K$3:$V$201,MATCH('Buildings - Heat &amp; Fuels'!$E7&amp;$F7,'Emission factors'!$J$3:$J$201&amp;'Emission factors'!$K$3:$K$201,0),MATCH('Buildings - Heat &amp; Fuels'!S$6,'Emission factors'!$K$2:$V$2,0)))*$K7)</calculatedColumnFormula>
    </tableColumn>
    <tableColumn id="17" xr3:uid="{B5B103DB-5904-45B0-A4E4-3F75C1E8BDF3}" name="Indirect T&amp;D" dataDxfId="625" dataCellStyle="Comma">
      <calculatedColumnFormula array="1">IF(OR($E7="",$I7=""),"",(INDEX('Emission factors'!$K$3:$V$201,MATCH('Buildings - Heat &amp; Fuels'!$E7&amp;$F7,'Emission factors'!$J$3:$J$201&amp;'Emission factors'!$K$3:$K$201,0),MATCH('Buildings - Heat &amp; Fuels'!T$6,'Emission factors'!$K$2:$V$2,0)))*$K7)</calculatedColumnFormula>
    </tableColumn>
    <tableColumn id="18" xr3:uid="{B324153C-FFD8-472D-9060-BC6D8D56B6E7}" name="Indirect WTT" dataDxfId="624" dataCellStyle="Comma">
      <calculatedColumnFormula array="1">IF(OR($E7="",$I7=""),"",(INDEX('Emission factors'!$K$3:$V$201,MATCH('Buildings - Heat &amp; Fuels'!$E7&amp;$F7,'Emission factors'!$J$3:$J$201&amp;'Emission factors'!$K$3:$K$201,0),MATCH('Buildings - Heat &amp; Fuels'!U$6,'Emission factors'!$K$2:$V$2,0)))*$K7)</calculatedColumnFormula>
    </tableColumn>
    <tableColumn id="19" xr3:uid="{74454355-2DBF-451B-A72A-CB814F9384DA}" name="High" dataDxfId="623" dataCellStyle="Comma">
      <calculatedColumnFormula>IF(OR($N7="",BuildingsHeatFuelsTable[[#This Row],[RSD]]=""),"",BuildingsHeatFuelsTable[[#This Row],[Total emissions (kgCO2e)]]*(1+BuildingsHeatFuelsTable[[#This Row],[RSD]]))</calculatedColumnFormula>
    </tableColumn>
    <tableColumn id="20" xr3:uid="{8EA301D5-B25D-4F3D-A387-54ABC72A8A7C}" name="Low" dataDxfId="622" dataCellStyle="Comma">
      <calculatedColumnFormula>IF(OR($N7="",BuildingsHeatFuelsTable[[#This Row],[RSD]]=""),"",BuildingsHeatFuelsTable[[#This Row],[Total emissions (kgCO2e)]]*(1-BuildingsHeatFuelsTable[[#This Row],[RSD]]))</calculatedColumnFormula>
    </tableColumn>
    <tableColumn id="21" xr3:uid="{E2E3591F-F5DC-49F4-99D4-B1B3EAD97FEA}" name="Outside of scopes" dataDxfId="621" dataCellStyle="Comma">
      <calculatedColumnFormula array="1">IF(OR($E7="",$I7=""),"",(INDEX('Emission factors'!$K$3:$V$201,MATCH('Buildings - Heat &amp; Fuels'!$E7&amp;$F7,'Emission factors'!$J$3:$J$201&amp;'Emission factors'!$K$3:$K$201,0),MATCH('Buildings - Heat &amp; Fuels'!X$6,'Emission factors'!$K$2:$V$2,0)))*$K7)</calculatedColumnFormula>
    </tableColumn>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6DEA50A2-5F58-46C8-BD1F-AD4FCC0BD57D}" name="OthergasesTable" displayName="OthergasesTable" ref="B304:W321" totalsRowShown="0" headerRowDxfId="620" dataDxfId="619" tableBorderDxfId="618" dataCellStyle="Comma">
  <autoFilter ref="B304:W321" xr:uid="{7D66E7E2-77B5-4AB2-9674-9E123E95F014}"/>
  <tableColumns count="22">
    <tableColumn id="22" xr3:uid="{7B6C7E93-C2B8-40F3-AC6B-31AAF7AC9FB9}" name="Site name" dataDxfId="617" dataCellStyle="Comma"/>
    <tableColumn id="1" xr3:uid="{A8527B0B-D242-4E14-A54A-4E5958192D57}" name="Type" dataDxfId="616"/>
    <tableColumn id="2" xr3:uid="{D18C4DEC-27C9-4400-A547-EE3C5AC1AE62}" name="Gas" dataDxfId="615"/>
    <tableColumn id="3" xr3:uid="{2AFFE14E-3080-4231-8BA8-7B8B7DBB3B97}" name="Not used" dataDxfId="614"/>
    <tableColumn id="4" xr3:uid="{2E24E341-35F0-4D18-88FA-C15ABC80F4D7}" name="Methodology" dataDxfId="613"/>
    <tableColumn id="5" xr3:uid="{CED8F398-6586-4E0A-A713-A4FA1FB5E862}" name="RSD" dataDxfId="612">
      <calculatedColumnFormula>IF(F305="","",INDEX(Lists!$BA$4:$BC$39,MATCH($C305,Lists!$AZ$4:$AZ$39,0),MATCH(F305,Lists!$BA$3:$BC$3,0)))</calculatedColumnFormula>
    </tableColumn>
    <tableColumn id="6" xr3:uid="{21DE4830-0C5A-4456-BB3F-02859C2DD463}" name="Data" dataDxfId="611" dataCellStyle="Comma"/>
    <tableColumn id="7" xr3:uid="{D7D6301A-49F5-4EED-9D3D-416221BC4D37}" name="Units" dataDxfId="610"/>
    <tableColumn id="8" xr3:uid="{B002632F-6086-4A99-A4F7-80C866F799F2}" name="Converted data" dataDxfId="609" dataCellStyle="Comma">
      <calculatedColumnFormula array="1">IF(OR($D305="",$C305="",$H305="",$I305=""),"",IF(I305=K305,H305,(INDEX('Emission factors'!$K$3:$V$381,MATCH(C305&amp;D305,'Emission factors'!$J$3:$J$381&amp;'Emission factors'!$K$3:$K$381,0),MATCH(OthergasesTable[[#Headers],[Converted data]],'Emission factors'!$K$2:$V$2,0)))*H305))</calculatedColumnFormula>
    </tableColumn>
    <tableColumn id="9" xr3:uid="{9ABA53FC-03BF-4E28-AD2D-21146334D702}" name="Standard units" dataDxfId="608">
      <calculatedColumnFormula>IF(C305="","",INDEX('Emission factors'!$J$3:$V$381,MATCH('Buildings - Heat &amp; Fuels'!$C305,'Emission factors'!$J$3:$J$381,0),MATCH(OthergasesTable[[#Headers],[Standard units]],'Emission factors'!$J$2:$V$2,0)))</calculatedColumnFormula>
    </tableColumn>
    <tableColumn id="10" xr3:uid="{A066BA7B-8EEA-46A6-BA6A-2794468D2020}" name="Total EF (kgCO2e/unit)" dataDxfId="607" dataCellStyle="Comma">
      <calculatedColumnFormula array="1">IF(OR(D305="",H305=""),"",INDEX('Emission factors'!$K$3:$V$381,MATCH('Buildings - Heat &amp; Fuels'!$C305&amp;$D305,'Emission factors'!$J$3:$J$381&amp;'Emission factors'!$K$3:$K$381,0),MATCH(OthergasesTable[[#Headers],[Total EF (kgCO2e/unit)]],'Emission factors'!$K$2:$V$2,0)))</calculatedColumnFormula>
    </tableColumn>
    <tableColumn id="11" xr3:uid="{C53BC9DE-B645-4C76-82B6-5EC073420D6B}" name="Total emissions (kgCO2e)" dataDxfId="606" dataCellStyle="Comma">
      <calculatedColumnFormula>IF(OR(J305="",L305=""),"",SUM(OthergasesTable[[#This Row],[Direct]:[Indirect WTT]]))</calculatedColumnFormula>
    </tableColumn>
    <tableColumn id="12" xr3:uid="{C8042580-9764-438E-B77C-2843996C9A5C}" name="Notes" dataDxfId="605"/>
    <tableColumn id="13" xr3:uid="{570458F5-6EFD-4CD0-AA01-7DFD8F00119E}" name="Ease of collection" dataDxfId="604"/>
    <tableColumn id="14" xr3:uid="{8D92AC7B-7F28-4529-8D00-83DCE6357DE8}" name="Direct" dataDxfId="603" dataCellStyle="Comma">
      <calculatedColumnFormula array="1">IF(OR($C305="",$H305=""),"",(INDEX('Emission factors'!$K$3:$V$381,MATCH('Buildings - Heat &amp; Fuels'!$C305&amp;$D305,'Emission factors'!$J$3:$J$381&amp;'Emission factors'!$K$3:$K$381,0),MATCH(OthergasesTable[[#Headers],[Direct]],'Emission factors'!$K$2:$V$2,0)))*$J305)</calculatedColumnFormula>
    </tableColumn>
    <tableColumn id="15" xr3:uid="{E8EF123D-8C44-4821-946B-6BD912A60468}" name="Indirect generation" dataDxfId="602" dataCellStyle="Comma">
      <calculatedColumnFormula array="1">IF(OR($C305="",$H305=""),"",(INDEX('Emission factors'!$K$3:$V$381,MATCH('Buildings - Grid Electricity'!#REF!&amp;$D305,'Emission factors'!$J$3:$J$381&amp;'Emission factors'!$K$3:$K$381,0),MATCH(OthergasesTable[[#Headers],[Indirect generation]],'Emission factors'!$K$2:$V$2,0)))*$J305)</calculatedColumnFormula>
    </tableColumn>
    <tableColumn id="16" xr3:uid="{D31D232C-6383-4ECC-BFB4-37016EAC1B87}" name="Indirect service" dataDxfId="601" dataCellStyle="Comma">
      <calculatedColumnFormula array="1">IF(OR($C305="",$H305=""),"",(INDEX('Emission factors'!$K$3:$V$381,MATCH('Buildings - Grid Electricity'!#REF!&amp;$D305,'Emission factors'!$J$3:$J$381&amp;'Emission factors'!$K$3:$K$381,0),MATCH(OthergasesTable[[#Headers],[Indirect service]],'Emission factors'!$K$2:$V$2,0)))*$J305)</calculatedColumnFormula>
    </tableColumn>
    <tableColumn id="17" xr3:uid="{2484E531-10B8-4A35-958A-B5AA8B39CDA4}" name="Indirect T&amp;D" dataDxfId="600" dataCellStyle="Comma">
      <calculatedColumnFormula array="1">IF(OR($C305="",$H305=""),"",(INDEX('Emission factors'!$K$3:$V$381,MATCH('Buildings - Grid Electricity'!#REF!&amp;$D305,'Emission factors'!$J$3:$J$381&amp;'Emission factors'!$K$3:$K$381,0),MATCH(OthergasesTable[[#Headers],[Indirect T&amp;D]],'Emission factors'!$K$2:$V$2,0)))*$J305)</calculatedColumnFormula>
    </tableColumn>
    <tableColumn id="18" xr3:uid="{4EC1FC0B-3BA7-4199-9693-C55C791AD751}" name="Indirect WTT" dataDxfId="599" dataCellStyle="Comma">
      <calculatedColumnFormula array="1">IF(OR($C305="",$H305=""),"",(INDEX('Emission factors'!$K$3:$V$381,MATCH('Buildings - Grid Electricity'!#REF!&amp;$D305,'Emission factors'!$J$3:$J$381&amp;'Emission factors'!$K$3:$K$381,0),MATCH(OthergasesTable[[#Headers],[Indirect WTT]],'Emission factors'!$K$2:$V$2,0)))*$J305)</calculatedColumnFormula>
    </tableColumn>
    <tableColumn id="19" xr3:uid="{CF2D7AF8-41DF-494F-933C-CCEE0268EC27}" name="High" dataDxfId="598" dataCellStyle="Comma">
      <calculatedColumnFormula>IF(OR($M305="",$G305=""),"",$M305*(1+$G305))</calculatedColumnFormula>
    </tableColumn>
    <tableColumn id="20" xr3:uid="{93B2F4A7-529C-44AA-A84C-1D27F1E9A9D1}" name="Low" dataDxfId="597" dataCellStyle="Comma">
      <calculatedColumnFormula>IF(OR($M305="",$G305=""),"",$M305*(1-$G305))</calculatedColumnFormula>
    </tableColumn>
    <tableColumn id="21" xr3:uid="{6928D088-A5E7-49C3-A51C-FC2FE55E23CA}" name="Outside of scopes" dataDxfId="596" dataCellStyle="Comma">
      <calculatedColumnFormula array="1">IF(OR($C305="",$H305=""),"",(INDEX('Emission factors'!$K$3:$V$381,MATCH('Buildings - Grid Electricity'!#REF!&amp;$D305,'Emission factors'!$J$3:$J$381&amp;'Emission factors'!$K$3:$K$381,0),MATCH(OthergasesTable[[#Headers],[Outside of scopes]],'Emission factors'!$K$2:$V$2,0)))*$J305)</calculatedColumnFormula>
    </tableColumn>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E7FE96D3-9103-47EA-B20F-6742D3B40A97}" name="BuildingsWaterTable" displayName="BuildingsWaterTable" ref="B6:X118" totalsRowShown="0" headerRowDxfId="595" dataDxfId="594" tableBorderDxfId="593" dataCellStyle="Comma">
  <autoFilter ref="B6:X118" xr:uid="{00000000-0009-0000-0100-000001000000}"/>
  <tableColumns count="23">
    <tableColumn id="22" xr3:uid="{1AD19A54-177F-45B3-913A-57842A90A6FE}" name="Site name" dataDxfId="592" dataCellStyle="Comma"/>
    <tableColumn id="23" xr3:uid="{2A07CE6C-4A09-4B2B-949E-0C6AE470E4E0}" name="Unique Reference Number" dataDxfId="591" dataCellStyle="Comma"/>
    <tableColumn id="1" xr3:uid="{E831D98C-EEA8-4986-8B31-1E6F751A29A9}" name="Ownership structure" dataDxfId="590">
      <calculatedColumnFormula>IFERROR(INDEX(BuildingInformationTable[Site type],MATCH(BuildingsWaterTable[[#This Row],[Site name]],BuildingInformationTable[Site name],0)),"")</calculatedColumnFormula>
    </tableColumn>
    <tableColumn id="2" xr3:uid="{5DD5D7B5-6EC1-45E8-AE04-8C74C78884BD}" name="Fuel/emission source" dataDxfId="589">
      <calculatedColumnFormula>IF(B7="", "", "Water")</calculatedColumnFormula>
    </tableColumn>
    <tableColumn id="3" xr3:uid="{4A736809-480A-4D52-A6F5-E83F497E11E1}" name="Category 1" dataDxfId="588"/>
    <tableColumn id="4" xr3:uid="{40B2D432-7A4C-4457-A643-287DFD4C5880}" name="Methodology" dataDxfId="587"/>
    <tableColumn id="5" xr3:uid="{57041118-FC0F-4271-A10C-D5432E8FB471}" name="RSD" dataDxfId="586">
      <calculatedColumnFormula>IF(G7="","",INDEX(Lists!$BA$4:$BC$31,MATCH(E7,Lists!$AZ$4:$AZ$31,0),MATCH(G7,Lists!$BA$3:$BC$3,0)))</calculatedColumnFormula>
    </tableColumn>
    <tableColumn id="6" xr3:uid="{C9812801-0B9C-4726-B48B-7E2EFEF24F17}" name="Data" dataDxfId="585" dataCellStyle="Comma"/>
    <tableColumn id="7" xr3:uid="{B3A07167-640C-4174-85E8-2786DDA316D4}" name="Units" dataDxfId="584"/>
    <tableColumn id="8" xr3:uid="{38F35196-45C9-4190-8845-E3699304E780}" name="Converted data" dataDxfId="583" dataCellStyle="Comma">
      <calculatedColumnFormula array="1">IF(OR($E7="",$D7="",$I7="",$J7=""),"",IF(J7=L7,I7,(INDEX('Emission factors'!$K$3:$V$201,MATCH(E7&amp;F7,'Emission factors'!$J$3:$J$201&amp;'Emission factors'!$K$3:$K$201,0),MATCH(K$6,'Emission factors'!$K$2:$V$2,0)))*I7))</calculatedColumnFormula>
    </tableColumn>
    <tableColumn id="9" xr3:uid="{D7AF9CA5-E3C3-4655-A8B9-4D5FDB397DCA}" name="Standard units" dataDxfId="582">
      <calculatedColumnFormula>IF(OR($E7="",$D7="",$I7="",$J7=""),"",INDEX('Emission factors'!$K$3:$V$201,MATCH('Buildings - Water'!$E7,'Emission factors'!$J$3:$J$201,0),MATCH($L$6,'Emission factors'!$K$2:$V$2,0)))</calculatedColumnFormula>
    </tableColumn>
    <tableColumn id="10" xr3:uid="{79A37C9C-2D97-42DF-9173-874773F32894}" name="Total EF (kgCO2e/unit)" dataDxfId="581">
      <calculatedColumnFormula array="1">IF(OR(E7="",I7="",BuildingsWaterTable[[#This Row],[Units]]=""),"",INDEX('Emission factors'!$K$3:$V$201,MATCH('Buildings - Water'!$E7&amp;F7,'Emission factors'!$J$3:$J$201&amp;'Emission factors'!$K$3:$K$201,0),MATCH('Buildings - Water'!$M$6,'Emission factors'!$K$2:$V$2,0)))</calculatedColumnFormula>
    </tableColumn>
    <tableColumn id="11" xr3:uid="{72774484-C5C0-4FFC-A229-13F637A747E7}" name="Total emissions (kgCO2e)" dataDxfId="580" dataCellStyle="Comma">
      <calculatedColumnFormula>IF(OR(K7="",M7=""),"",SUM(BuildingsWaterTable[[#This Row],[Direct]:[Indirect WTT]]))</calculatedColumnFormula>
    </tableColumn>
    <tableColumn id="12" xr3:uid="{AFFD3741-6251-470E-82D7-0A899214E067}" name="Notes" dataDxfId="579"/>
    <tableColumn id="13" xr3:uid="{4E6B1606-61B2-4CFF-8CFF-8B2EB33A6464}" name="Ease of collection" dataDxfId="578"/>
    <tableColumn id="14" xr3:uid="{24448792-A760-4E97-9826-6A2557E2AA52}" name="Direct" dataDxfId="577" dataCellStyle="Comma">
      <calculatedColumnFormula array="1">IF(OR($E7="",$I7=""),"",(INDEX('Emission factors'!$K$3:$V$201,MATCH('Buildings - Water'!$E7&amp;$F7,'Emission factors'!$J$3:$J$201&amp;'Emission factors'!$K$3:$K$201,0),MATCH('Buildings - Water'!Q$6,'Emission factors'!$K$2:$V$2,0)))*$K7)</calculatedColumnFormula>
    </tableColumn>
    <tableColumn id="15" xr3:uid="{1F4D847B-5829-4AF1-AA93-5F39841A70CF}" name="Indirect generation" dataDxfId="576" dataCellStyle="Comma">
      <calculatedColumnFormula array="1">IF(OR($E7="",$I7=""),"",(INDEX('Emission factors'!$K$3:$V$201,MATCH('Buildings - Water'!$E7&amp;$F7,'Emission factors'!$J$3:$J$201&amp;'Emission factors'!$K$3:$K$201,0),MATCH('Buildings - Water'!R$6,'Emission factors'!$K$2:$V$2,0)))*$K7)</calculatedColumnFormula>
    </tableColumn>
    <tableColumn id="16" xr3:uid="{CEB08AAD-369E-4BEC-8B67-753CA125BD49}" name="Indirect service" dataDxfId="575" dataCellStyle="Comma">
      <calculatedColumnFormula array="1">IF(OR($E7="",$I7=""),"",(INDEX('Emission factors'!$K$3:$V$201,MATCH('Buildings - Water'!$E7&amp;$F7,'Emission factors'!$J$3:$J$201&amp;'Emission factors'!$K$3:$K$201,0),MATCH('Buildings - Water'!S$6,'Emission factors'!$K$2:$V$2,0)))*$K7)</calculatedColumnFormula>
    </tableColumn>
    <tableColumn id="17" xr3:uid="{5B813595-8D06-4D10-A739-A137F0C4724F}" name="Indirect T&amp;D" dataDxfId="574" dataCellStyle="Comma">
      <calculatedColumnFormula array="1">IF(OR($E7="",$I7=""),"",(INDEX('Emission factors'!$K$3:$V$201,MATCH('Buildings - Water'!$E7&amp;$F7,'Emission factors'!$J$3:$J$201&amp;'Emission factors'!$K$3:$K$201,0),MATCH('Buildings - Water'!T$6,'Emission factors'!$K$2:$V$2,0)))*$K7)</calculatedColumnFormula>
    </tableColumn>
    <tableColumn id="18" xr3:uid="{422C1805-9CC8-4D23-B98B-F3FBBF7D7CFE}" name="Indirect WTT" dataDxfId="573" dataCellStyle="Comma">
      <calculatedColumnFormula array="1">IF(OR($E7="",$I7=""),"",(INDEX('Emission factors'!$K$3:$V$201,MATCH('Buildings - Water'!$E7&amp;$F7,'Emission factors'!$J$3:$J$201&amp;'Emission factors'!$K$3:$K$201,0),MATCH('Buildings - Water'!U$6,'Emission factors'!$K$2:$V$2,0)))*$K7)</calculatedColumnFormula>
    </tableColumn>
    <tableColumn id="19" xr3:uid="{F5C1FDBB-0A05-4228-B473-4F7F09EE4345}" name="High" dataDxfId="572" dataCellStyle="Comma">
      <calculatedColumnFormula>IF(OR($N7="",BuildingsWaterTable[[#This Row],[RSD]]=""),"",BuildingsWaterTable[[#This Row],[Total emissions (kgCO2e)]]*(1+BuildingsWaterTable[[#This Row],[RSD]]))</calculatedColumnFormula>
    </tableColumn>
    <tableColumn id="20" xr3:uid="{8EA493B5-FFA2-452E-B2BD-C1DEA7787AE4}" name="Low" dataDxfId="571" dataCellStyle="Comma">
      <calculatedColumnFormula>IF(OR($N7="",BuildingsWaterTable[[#This Row],[RSD]]=""),"",BuildingsWaterTable[[#This Row],[Total emissions (kgCO2e)]]*(1-BuildingsWaterTable[[#This Row],[RSD]]))</calculatedColumnFormula>
    </tableColumn>
    <tableColumn id="21" xr3:uid="{5C58FBB6-5E80-43FE-8DDA-FA85B2BD4D82}" name="Outside of scopes" dataDxfId="570" dataCellStyle="Comma">
      <calculatedColumnFormula array="1">IF(OR($E7="",$I7=""),"",(INDEX('Emission factors'!$K$3:$V$201,MATCH('Buildings - Water'!$E7&amp;$F7,'Emission factors'!$J$3:$J$201&amp;'Emission factors'!$K$3:$K$201,0),MATCH('Buildings - Water'!X$6,'Emission factors'!$K$2:$V$2,0)))*$K7)</calculatedColumnFormula>
    </tableColumn>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58841A63-13F5-49C5-8E74-035F6C803257}" name="Medicalgases" displayName="Medicalgases" ref="B6:V23" totalsRowShown="0" headerRowDxfId="569" dataDxfId="568" tableBorderDxfId="567" dataCellStyle="Comma">
  <autoFilter ref="B6:V23" xr:uid="{7D66E7E2-77B5-4AB2-9674-9E123E95F014}"/>
  <tableColumns count="21">
    <tableColumn id="1" xr3:uid="{C58D6CC0-F3E1-4616-8D13-0C50BC5B1777}" name="Type" dataDxfId="566"/>
    <tableColumn id="2" xr3:uid="{559DF748-999B-4BC1-83E2-C263ACE40CFE}" name="Gas" dataDxfId="565"/>
    <tableColumn id="3" xr3:uid="{83227E46-B714-4853-854F-6E6009476657}" name="Not used" dataDxfId="564"/>
    <tableColumn id="4" xr3:uid="{E3EC2555-49D0-4963-9676-A965F19C1937}" name="Methodology" dataDxfId="563"/>
    <tableColumn id="5" xr3:uid="{4B55D695-5D2D-4A53-884A-44CA63AFCE96}" name="RSD" dataDxfId="562">
      <calculatedColumnFormula>IF(E7="","",INDEX(Lists!$BA$4:$BC$39,MATCH($B7,Lists!$AZ$4:$AZ$39,0),MATCH(E7,Lists!$BA$3:$BC$3,0)))</calculatedColumnFormula>
    </tableColumn>
    <tableColumn id="6" xr3:uid="{F372062A-1A7F-4139-9187-8E85D679B488}" name="Data" dataDxfId="561" dataCellStyle="Comma"/>
    <tableColumn id="7" xr3:uid="{7DC60E8F-E6A1-45B1-BB62-0B5C7F3E461A}" name="Units" dataDxfId="560"/>
    <tableColumn id="8" xr3:uid="{66555E08-544D-4A4D-BDB7-A9DD508D713E}" name="Converted data" dataDxfId="559" dataCellStyle="Comma">
      <calculatedColumnFormula array="1">IF(OR($C7="",$B7="",$G7="",$H7=""),"",IF(H7=J7,G7,(INDEX('Emission factors'!$K$3:$V$381,MATCH(B7&amp;C7,'Emission factors'!$J$3:$J$381&amp;'Emission factors'!$K$3:$K$381,0),MATCH(Medicalgases[[#Headers],[Converted data]],'Emission factors'!$K$2:$V$2,0)))*G7))</calculatedColumnFormula>
    </tableColumn>
    <tableColumn id="9" xr3:uid="{D149EEB0-E88B-4FCD-B8DC-1E426390B3E8}" name="Standard units" dataDxfId="558">
      <calculatedColumnFormula>IF(B7="","",INDEX('Emission factors'!$J$3:$V$381,MATCH(Medicalgases[[#This Row],[Type]],'Emission factors'!$J$3:$J$381,0),MATCH(Medicalgases[[#Headers],[Standard units]],'Emission factors'!$J$2:$V$2,0)))</calculatedColumnFormula>
    </tableColumn>
    <tableColumn id="10" xr3:uid="{CA247153-E90C-41D1-845D-79103ED8A80C}" name="Total EF (kgCO2e/unit)" dataDxfId="557" dataCellStyle="Comma">
      <calculatedColumnFormula array="1">IF(OR(C7="",G7=""),"",INDEX('Emission factors'!$K$3:$V$381,MATCH(Medicalgases[[#This Row],[Type]]&amp;$C7,'Emission factors'!$J$3:$J$381&amp;'Emission factors'!$K$3:$K$381,0),MATCH(Medicalgases[[#Headers],[Total EF (kgCO2e/unit)]],'Emission factors'!$K$2:$V$2,0)))</calculatedColumnFormula>
    </tableColumn>
    <tableColumn id="11" xr3:uid="{2D0418BE-B1BF-40DD-9321-AFABC4F1616F}" name="Total emissions (kgCO2e)" dataDxfId="556" dataCellStyle="Comma">
      <calculatedColumnFormula>IF(OR(I7="",K7=""),"",SUM(Medicalgases[[#This Row],[Direct]:[Indirect WTT]]))</calculatedColumnFormula>
    </tableColumn>
    <tableColumn id="12" xr3:uid="{F5830494-B2F6-4418-A2D4-5A268F84C881}" name="Notes" dataDxfId="555"/>
    <tableColumn id="13" xr3:uid="{E57E3A8D-BFD9-4F13-BC6D-64E3FB446703}" name="Ease of collection" dataDxfId="554"/>
    <tableColumn id="14" xr3:uid="{8B0D53E1-59AA-4AC9-999A-C0849B9B6898}" name="Direct" dataDxfId="553" dataCellStyle="Comma">
      <calculatedColumnFormula array="1">IF(OR($B7="",$G7=""),"",(INDEX('Emission factors'!$K$3:$V$381,MATCH(Medicalgases[[#This Row],[Type]]&amp;$C7,'Emission factors'!$J$3:$J$381&amp;'Emission factors'!$K$3:$K$381,0),MATCH(Medicalgases[[#Headers],[Direct]],'Emission factors'!$K$2:$V$2,0)))*$I7)</calculatedColumnFormula>
    </tableColumn>
    <tableColumn id="15" xr3:uid="{92C57287-1B26-4A00-8A07-1BB904679C41}" name="Indirect generation" dataDxfId="552" dataCellStyle="Comma">
      <calculatedColumnFormula array="1">IF(OR($B7="",$G7=""),"",(INDEX('Emission factors'!$K$3:$V$381,MATCH('Buildings - Grid Electricity'!#REF!&amp;$C7,'Emission factors'!$J$3:$J$381&amp;'Emission factors'!$K$3:$K$381,0),MATCH(Medicalgases[[#Headers],[Indirect generation]],'Emission factors'!$K$2:$V$2,0)))*$I7)</calculatedColumnFormula>
    </tableColumn>
    <tableColumn id="16" xr3:uid="{6FF9ACC7-2A37-47A3-B510-AE2DF6487833}" name="Indirect service" dataDxfId="551" dataCellStyle="Comma">
      <calculatedColumnFormula array="1">IF(OR($B7="",$G7=""),"",(INDEX('Emission factors'!$K$3:$V$381,MATCH('Buildings - Grid Electricity'!#REF!&amp;$C7,'Emission factors'!$J$3:$J$381&amp;'Emission factors'!$K$3:$K$381,0),MATCH(Medicalgases[[#Headers],[Indirect service]],'Emission factors'!$K$2:$V$2,0)))*$I7)</calculatedColumnFormula>
    </tableColumn>
    <tableColumn id="17" xr3:uid="{6FC36EB3-FB0A-4E7A-ADA3-AE79E390D4BC}" name="Indirect T&amp;D" dataDxfId="550" dataCellStyle="Comma">
      <calculatedColumnFormula array="1">IF(OR($B7="",$G7=""),"",(INDEX('Emission factors'!$K$3:$V$381,MATCH('Buildings - Grid Electricity'!#REF!&amp;$C7,'Emission factors'!$J$3:$J$381&amp;'Emission factors'!$K$3:$K$381,0),MATCH(Medicalgases[[#Headers],[Indirect T&amp;D]],'Emission factors'!$K$2:$V$2,0)))*$I7)</calculatedColumnFormula>
    </tableColumn>
    <tableColumn id="18" xr3:uid="{D097A5C7-0733-4603-BB49-BC87935ED600}" name="Indirect WTT" dataDxfId="549" dataCellStyle="Comma">
      <calculatedColumnFormula array="1">IF(OR($B7="",$G7=""),"",(INDEX('Emission factors'!$K$3:$V$381,MATCH('Buildings - Grid Electricity'!#REF!&amp;$C7,'Emission factors'!$J$3:$J$381&amp;'Emission factors'!$K$3:$K$381,0),MATCH(Medicalgases[[#Headers],[Indirect WTT]],'Emission factors'!$K$2:$V$2,0)))*$I7)</calculatedColumnFormula>
    </tableColumn>
    <tableColumn id="19" xr3:uid="{82F06988-0FFB-48A5-B9ED-6CCE076C8D91}" name="High" dataDxfId="548" dataCellStyle="Comma">
      <calculatedColumnFormula>IF(OR($L7="",$F7=""),"",$L7*(1+$F7))</calculatedColumnFormula>
    </tableColumn>
    <tableColumn id="20" xr3:uid="{3DDDE848-5DAF-493F-8F87-9D71456C802B}" name="Low" dataDxfId="547" dataCellStyle="Comma">
      <calculatedColumnFormula>IF(OR($L7="",$F7=""),"",$L7*(1-$F7))</calculatedColumnFormula>
    </tableColumn>
    <tableColumn id="21" xr3:uid="{C4F81905-51B9-40EF-8EFE-F3E7E97612BF}" name="Outside of scopes" dataDxfId="546" dataCellStyle="Comma">
      <calculatedColumnFormula array="1">IF(OR($B7="",$G7=""),"",(INDEX('Emission factors'!$K$3:$V$381,MATCH('Buildings - Grid Electricity'!#REF!&amp;$C7,'Emission factors'!$J$3:$J$381&amp;'Emission factors'!$K$3:$K$381,0),MATCH(Medicalgases[[#Headers],[Outside of scopes]],'Emission factors'!$K$2:$V$2,0)))*$I7)</calculatedColumnFormula>
    </tableColumn>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EFD33F37-FD26-4DEE-A8AB-54C1005ADC26}" name="FleetTableFuel" displayName="FleetTableFuel" ref="B7:X27" totalsRowShown="0" headerRowDxfId="545" dataDxfId="544" tableBorderDxfId="543" dataCellStyle="Comma">
  <autoFilter ref="B7:X27" xr:uid="{00000000-0009-0000-0100-000003000000}"/>
  <tableColumns count="23">
    <tableColumn id="1" xr3:uid="{1166A384-2DF6-4683-B1B0-70F3F3E01182}" name="Type" dataDxfId="542"/>
    <tableColumn id="2" xr3:uid="{3BD937DC-F810-4F99-BBE9-41B26440639E}" name="Fuel" dataDxfId="541"/>
    <tableColumn id="3" xr3:uid="{E79CC2E0-0528-45A0-A1FB-9CE396EBBC03}" name="Category 1" dataDxfId="540"/>
    <tableColumn id="22" xr3:uid="{4B3233F0-41BD-40AB-B065-520F881D108B}" name="Number of vehicles" dataDxfId="539"/>
    <tableColumn id="4" xr3:uid="{F945397C-C666-4056-9EEA-2D157FF61214}" name="Methodology" dataDxfId="538"/>
    <tableColumn id="5" xr3:uid="{D31D1E55-0E84-431D-A5AA-EE142F2EA35F}" name="RSD" dataDxfId="537">
      <calculatedColumnFormula>IF(F8="","",INDEX(Lists!$BA$4:$BC$31,MATCH(C8,Lists!$AZ$4:$AZ$31,0),MATCH(F8,Lists!$BA$3:$BC$3,0)))</calculatedColumnFormula>
    </tableColumn>
    <tableColumn id="23" xr3:uid="{D6A99743-F11E-43BB-8E10-11ED4DC24819}" name="Not used" dataDxfId="536"/>
    <tableColumn id="6" xr3:uid="{3C09708D-6E02-4AD7-A3F6-C3E1F3107E23}" name="Data" dataDxfId="535" dataCellStyle="Comma"/>
    <tableColumn id="7" xr3:uid="{D270B063-A1C3-45CD-924B-15E1B5F85F44}" name="Units" dataDxfId="534"/>
    <tableColumn id="8" xr3:uid="{6FFA735B-0A6C-4BA1-BEA8-8877832ED2D1}" name="Converted data" dataDxfId="533" dataCellStyle="Comma">
      <calculatedColumnFormula array="1">IF(OR($C8="",$B8="",$I8="",$J8=""),"",IF(J8=L8,I8,(INDEX('Emission factors'!$K$3:$V$201,MATCH(C8&amp;D8,'Emission factors'!$J$3:$J$201&amp;'Emission factors'!$K$3:$K$201,0),MATCH(K$7,'Emission factors'!$K$2:$V$2,0)))*I8))</calculatedColumnFormula>
    </tableColumn>
    <tableColumn id="9" xr3:uid="{7C3BE66D-A8D7-4D64-880F-BCDCA0149153}" name="Standard units" dataDxfId="532">
      <calculatedColumnFormula>IF(OR($C8="",$B8="",$I8="",$J8=""),"",INDEX('Emission factors'!$K$3:$V$201,MATCH('Fleet &amp; stationary assets'!$C8,'Emission factors'!$J$3:$J$201,0),MATCH($L$7,'Emission factors'!$K$2:$V$2,0)))</calculatedColumnFormula>
    </tableColumn>
    <tableColumn id="10" xr3:uid="{6BC8930C-E710-4207-B407-472A4A4ABF8B}" name="Total EF (kgCO2e/unit)" dataDxfId="531">
      <calculatedColumnFormula array="1">IF(OR(C8="",I8="",FleetTableFuel[[#This Row],[Units]]=""),"",INDEX('Emission factors'!$K$3:$V$201,MATCH(FleetTableFuel[[#This Row],[Fuel]]&amp;D8,'Emission factors'!$J$3:$J$201&amp;'Emission factors'!$K$3:$K$201,0),MATCH(FleetTableFuel[[#Headers],[Total EF (kgCO2e/unit)]],'Emission factors'!$K$2:$V$2,0)))</calculatedColumnFormula>
    </tableColumn>
    <tableColumn id="11" xr3:uid="{37506959-981D-49B3-8620-19FEB5B5855E}" name="Total emissions (kgCO2e)" dataDxfId="530" dataCellStyle="Comma">
      <calculatedColumnFormula>IF(OR(K8="",M8=""),"",SUM(FleetTableFuel[[#This Row],[Direct]:[Indirect WTT]]))</calculatedColumnFormula>
    </tableColumn>
    <tableColumn id="12" xr3:uid="{92FAD6B0-073B-4FB5-894E-E144EEB037E3}" name="Notes" dataDxfId="529"/>
    <tableColumn id="13" xr3:uid="{778A8FF3-80C4-4921-8D8E-904170D7E591}" name="Ease of collection" dataDxfId="528"/>
    <tableColumn id="14" xr3:uid="{DF38F2BC-B498-4429-9243-190FA5A5F59A}" name="Direct" dataDxfId="527" dataCellStyle="Comma">
      <calculatedColumnFormula array="1">IF(OR($C8="",$I8=""),"",(INDEX('Emission factors'!$K$3:$V$201,MATCH('Fleet &amp; stationary assets'!$C8&amp;$D8,'Emission factors'!$J$3:$J$201&amp;'Emission factors'!$K$3:$K$201,0),MATCH(FleetTableFuel[[#Headers],[Direct]],'Emission factors'!$K$2:$V$2,0)))*$K8)</calculatedColumnFormula>
    </tableColumn>
    <tableColumn id="15" xr3:uid="{09D0370B-3F28-4B1E-945E-B817E2F9AF1C}" name="Indirect generation" dataDxfId="526" dataCellStyle="Comma">
      <calculatedColumnFormula array="1">IF(OR($C8="",$I8=""),"",(INDEX('Emission factors'!$K$3:$V$201,MATCH('Fleet &amp; stationary assets'!$C8&amp;$D8,'Emission factors'!$J$3:$J$201&amp;'Emission factors'!$K$3:$K$201,0),MATCH(FleetTableFuel[[#Headers],[Indirect generation]],'Emission factors'!$K$2:$V$2,0)))*$K8)</calculatedColumnFormula>
    </tableColumn>
    <tableColumn id="16" xr3:uid="{E3D1889C-265E-418E-ABDC-249A47B299FD}" name="Indirect service" dataDxfId="525" dataCellStyle="Comma">
      <calculatedColumnFormula array="1">IF(OR($C8="",$I8=""),"",(INDEX('Emission factors'!$K$3:$V$201,MATCH('Fleet &amp; stationary assets'!$C8&amp;$D8,'Emission factors'!$J$3:$J$201&amp;'Emission factors'!$K$3:$K$201,0),MATCH(FleetTableFuel[[#Headers],[Indirect service]],'Emission factors'!$K$2:$V$2,0)))*$K8)</calculatedColumnFormula>
    </tableColumn>
    <tableColumn id="17" xr3:uid="{042C6441-D688-4A9B-8F89-312EDF11853C}" name="Indirect T&amp;D" dataDxfId="524" dataCellStyle="Comma">
      <calculatedColumnFormula array="1">IF(OR($C8="",$I8=""),"",(INDEX('Emission factors'!$K$3:$V$201,MATCH('Fleet &amp; stationary assets'!$C8&amp;$D8,'Emission factors'!$J$3:$J$201&amp;'Emission factors'!$K$3:$K$201,0),MATCH(FleetTableFuel[[#Headers],[Indirect T&amp;D]],'Emission factors'!$K$2:$V$2,0)))*$K8)</calculatedColumnFormula>
    </tableColumn>
    <tableColumn id="18" xr3:uid="{39178B20-62E3-4E94-82BD-5E750B53761E}" name="Indirect WTT" dataDxfId="523" dataCellStyle="Comma">
      <calculatedColumnFormula array="1">IF(OR($C8="",$I8=""),"",(INDEX('Emission factors'!$K$3:$V$201,MATCH('Fleet &amp; stationary assets'!$C8&amp;$D8,'Emission factors'!$J$3:$J$201&amp;'Emission factors'!$K$3:$K$201,0),MATCH(FleetTableFuel[[#Headers],[Indirect WTT]],'Emission factors'!$K$2:$V$2,0)))*$K8)</calculatedColumnFormula>
    </tableColumn>
    <tableColumn id="19" xr3:uid="{3FF3ADF6-D3D4-47A2-8C4C-A8F73C9039EA}" name="High" dataDxfId="522" dataCellStyle="Comma"/>
    <tableColumn id="20" xr3:uid="{B91600C7-7D8B-463A-870D-B4980490AF0C}" name="Low" dataDxfId="521" dataCellStyle="Comma"/>
    <tableColumn id="21" xr3:uid="{2901F0EF-BA9D-4ACB-B053-7C857EDB7C27}" name="Outside of scopes" dataDxfId="520" dataCellStyle="Comma">
      <calculatedColumnFormula array="1">IF(OR($C8="",$I8=""),"",(INDEX('Emission factors'!$K$3:$V$201,MATCH('Fleet &amp; stationary assets'!$C8&amp;$D8,'Emission factors'!$J$3:$J$201&amp;'Emission factors'!$K$3:$K$201,0),MATCH(FleetTableFuel[[#Headers],[Outside of scopes]],'Emission factors'!$K$2:$V$2,0)))*$K8)</calculatedColumnFormula>
    </tableColumn>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24E01FFA-FF5C-476B-B9B6-BDF6F35A9DF9}" name="FleetTableDistance" displayName="FleetTableDistance" ref="B30:X50" totalsRowShown="0" headerRowDxfId="519" dataDxfId="518" tableBorderDxfId="517" dataCellStyle="Comma">
  <autoFilter ref="B30:X50" xr:uid="{00000000-0009-0000-0100-000011000000}"/>
  <tableColumns count="23">
    <tableColumn id="1" xr3:uid="{D515AD8A-6F86-4A59-B130-9C14CAA8AA6A}" name="Type" dataDxfId="516"/>
    <tableColumn id="2" xr3:uid="{73553FDC-603D-4553-B3BB-AFA6BCB019B2}" name="Fuel" dataDxfId="515"/>
    <tableColumn id="3" xr3:uid="{B5B49968-231F-46BF-80E5-D413844008A2}" name="Size" dataDxfId="514"/>
    <tableColumn id="22" xr3:uid="{05549BD3-B1E4-47B2-93CD-E81AE213851F}" name="Number of vehicles" dataDxfId="513"/>
    <tableColumn id="4" xr3:uid="{D2DE4EF4-638C-4E3E-A485-371C2285529F}" name="Methodology" dataDxfId="512"/>
    <tableColumn id="5" xr3:uid="{32F76377-7B84-41CA-AD8D-7563B37DB7E4}" name="RSD" dataDxfId="511">
      <calculatedColumnFormula>IF(F31="","",INDEX(Lists!$BA$4:$BC$31,MATCH(B31,Lists!$AZ$4:$AZ$31,0),MATCH(F31,Lists!$BA$3:$BC$3,0)))</calculatedColumnFormula>
    </tableColumn>
    <tableColumn id="23" xr3:uid="{1582DCCC-8148-4438-B0F1-F9B2991AB602}" name="Not used" dataDxfId="510"/>
    <tableColumn id="6" xr3:uid="{4A26A075-22D8-43D9-8A58-013267DA945A}" name="Data" dataDxfId="509" dataCellStyle="Comma"/>
    <tableColumn id="7" xr3:uid="{64CEDA49-54FB-4FA3-9ACE-5F363AFB2735}" name="Units" dataDxfId="508"/>
    <tableColumn id="8" xr3:uid="{0302D7A0-71AD-45EA-914E-6CD371E32D53}" name="Converted data" dataDxfId="507" dataCellStyle="Comma">
      <calculatedColumnFormula array="1">IF(OR($C31="",$B31="",$I31="",$J31=""),"",IF(J31=L31,I31,(INDEX('Emission factors'!$K$3:$V$201,MATCH(B31&amp;D31,'Emission factors'!$J$3:$J$201&amp;'Emission factors'!$K$3:$K$201,0),MATCH(K$7,'Emission factors'!$K$2:$V$2,0)))*I31))</calculatedColumnFormula>
    </tableColumn>
    <tableColumn id="9" xr3:uid="{20C8080C-7798-4D01-9FF1-D0A62A8A1424}" name="Standard units" dataDxfId="506">
      <calculatedColumnFormula>IF(OR($C31="",$B31="",$I31="",$J31=""),"",INDEX('Emission factors'!$K$3:$V$212,MATCH('Fleet &amp; stationary assets'!$B31,'Emission factors'!$J$3:$J$212,0),MATCH($L$30,'Emission factors'!$K$2:$V$2,0)))</calculatedColumnFormula>
    </tableColumn>
    <tableColumn id="10" xr3:uid="{2C5D3AB0-A657-4597-A872-AEE8CFF244BE}" name="Total EF (kgCO2e/unit)" dataDxfId="505">
      <calculatedColumnFormula array="1">IF(OR(FleetTableDistance[[#This Row],[Type]]="",C31="",I31=""),"",INDEX('Emission factors'!$K$3:$V$212,MATCH(FleetTableDistance[[#This Row],[Type]]&amp;C31&amp;FleetTableDistance[[#This Row],[Size]],'Emission factors'!$J$3:$J$212&amp;'Emission factors'!$L$3:$L$212&amp;'Emission factors'!$K$3:$K$212,0),MATCH(FleetTableDistance[[#Headers],[Total EF (kgCO2e/unit)]],'Emission factors'!$K$2:$V$2,0)))</calculatedColumnFormula>
    </tableColumn>
    <tableColumn id="11" xr3:uid="{EA1B076E-A7F3-4690-9973-401123C7ED88}" name="Total emissions (kgCO2e)" dataDxfId="504" dataCellStyle="Comma">
      <calculatedColumnFormula>IF(OR(K31="",M31=""),"",SUM(FleetTableDistance[[#This Row],[Direct]:[Indirect WTT]]))</calculatedColumnFormula>
    </tableColumn>
    <tableColumn id="12" xr3:uid="{60D09911-5B9B-4F33-BF6A-86871462F4A0}" name="Notes" dataDxfId="503"/>
    <tableColumn id="13" xr3:uid="{DADF32F7-E033-4896-B3C1-1A0B54A2F0EC}" name="Ease of collection" dataDxfId="502"/>
    <tableColumn id="14" xr3:uid="{4517829E-9FAE-4A13-85F9-F8767E657756}" name="Direct" dataDxfId="501" dataCellStyle="Comma">
      <calculatedColumnFormula array="1">IF(OR($C31="",$I31=""),"",(INDEX('Emission factors'!$K$3:$V$381,MATCH(FleetTableDistance[[#This Row],[Type]]&amp;$C31&amp;$D31,'Emission factors'!$J$3:$J$381&amp;'Emission factors'!$L$3:$L$381&amp;'Emission factors'!$K$3:$K$381,0),MATCH(FleetTableDistance[[#Headers],[Direct]],'Emission factors'!$K$2:$V$2,0)))*$K31)</calculatedColumnFormula>
    </tableColumn>
    <tableColumn id="15" xr3:uid="{8EA42AE3-F47D-4CFD-ABDD-656777C40D5C}" name="Indirect generation" dataDxfId="500" dataCellStyle="Comma">
      <calculatedColumnFormula array="1">IF(OR($C31="",$I31=""),"",(INDEX('Emission factors'!$K$3:$V$212,MATCH(FleetTableDistance[[#This Row],[Type]]&amp;$C31&amp;$D31,'Emission factors'!$J$3:$J$212&amp;'Emission factors'!$L$3:$L$212&amp;'Emission factors'!$K$3:$K$212,0),MATCH(FleetTableDistance[[#Headers],[Indirect generation]],'Emission factors'!$K$2:$V$2,0)))*$K31)</calculatedColumnFormula>
    </tableColumn>
    <tableColumn id="16" xr3:uid="{35D087DD-9379-44C0-BB80-4BC01C88C9FA}" name="Indirect service" dataDxfId="499" dataCellStyle="Comma">
      <calculatedColumnFormula array="1">IF(OR($C31="",$I31=""),"",(INDEX('Emission factors'!$K$3:$V$212,MATCH(FleetTableDistance[[#This Row],[Type]]&amp;$C31&amp;$D31,'Emission factors'!$J$3:$J$212&amp;'Emission factors'!$L$3:$L$212&amp;'Emission factors'!$K$3:$K$212,0),MATCH(FleetTableDistance[[#Headers],[Indirect service]],'Emission factors'!$K$2:$V$2,0)))*$K31)</calculatedColumnFormula>
    </tableColumn>
    <tableColumn id="17" xr3:uid="{91D1E05B-771E-46EE-9AB0-72A2B2861470}" name="Indirect T&amp;D" dataDxfId="498" dataCellStyle="Comma">
      <calculatedColumnFormula array="1">IF(OR($C31="",$I31=""),"",(INDEX('Emission factors'!$K$3:$V$212,MATCH(FleetTableDistance[[#This Row],[Type]]&amp;$C31&amp;$D31,'Emission factors'!$J$3:$J$212&amp;'Emission factors'!$L$3:$L$212&amp;'Emission factors'!$K$3:$K$212,0),MATCH(FleetTableDistance[[#Headers],[Indirect T&amp;D]],'Emission factors'!$K$2:$V$2,0)))*$K31)</calculatedColumnFormula>
    </tableColumn>
    <tableColumn id="18" xr3:uid="{F83185EE-F592-4361-8127-F3569AF93FC7}" name="Indirect WTT" dataDxfId="497" dataCellStyle="Comma">
      <calculatedColumnFormula array="1">IF(OR($C31="",$I31=""),"",(INDEX('Emission factors'!$K$3:$V$212,MATCH(FleetTableDistance[[#This Row],[Type]]&amp;$C31&amp;$D31,'Emission factors'!$J$3:$J$212&amp;'Emission factors'!$L$3:$L$212&amp;'Emission factors'!$K$3:$K$212,0),MATCH(FleetTableDistance[[#Headers],[Indirect WTT]],'Emission factors'!$K$2:$V$2,0)))*$K31)</calculatedColumnFormula>
    </tableColumn>
    <tableColumn id="19" xr3:uid="{A1D9EF59-F6F8-43A6-92DF-ACCE6FA61218}" name="High" dataDxfId="496" dataCellStyle="Comma">
      <calculatedColumnFormula>IF(OR($N31="",FleetTableDistance[[#This Row],[RSD]]=""),"",FleetTableDistance[[#This Row],[Total emissions (kgCO2e)]]*(1+FleetTableDistance[[#This Row],[RSD]]))</calculatedColumnFormula>
    </tableColumn>
    <tableColumn id="20" xr3:uid="{4968837D-FBCA-4F52-9D03-7C19D3E0BC7C}" name="Low" dataDxfId="495" dataCellStyle="Comma">
      <calculatedColumnFormula>IF(OR($N31="",FleetTableDistance[[#This Row],[RSD]]=""),"",FleetTableDistance[[#This Row],[Total emissions (kgCO2e)]]*(1-FleetTableDistance[[#This Row],[RSD]]))</calculatedColumnFormula>
    </tableColumn>
    <tableColumn id="21" xr3:uid="{D3F65FD7-508F-4B3D-A423-9017A48CD88F}" name="Outside of scopes" dataDxfId="494" dataCellStyle="Comma">
      <calculatedColumnFormula array="1">IF(OR($C31="",$I31=""),"",(INDEX('Emission factors'!$K$3:$V$212,MATCH(FleetTableDistance[[#This Row],[Type]]&amp;$C31&amp;$D31,'Emission factors'!$J$3:$J$212&amp;'Emission factors'!$L$3:$L$212&amp;'Emission factors'!$K$3:$K$212,0),MATCH(FleetTableDistance[[#Headers],[Outside of scopes]],'Emission factors'!$K$2:$V$2,0)))*$K31)</calculatedColumnFormula>
    </tableColumn>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5000000}" name="BusinessTable" displayName="BusinessTable" ref="B7:V34" totalsRowShown="0" headerRowDxfId="493" dataDxfId="491" headerRowBorderDxfId="492" tableBorderDxfId="490" totalsRowBorderDxfId="489" dataCellStyle="Comma">
  <autoFilter ref="B7:V34" xr:uid="{00000000-0009-0000-0100-000004000000}"/>
  <tableColumns count="21">
    <tableColumn id="1" xr3:uid="{00000000-0010-0000-0500-000001000000}" name="Emission source" dataDxfId="488"/>
    <tableColumn id="2" xr3:uid="{00000000-0010-0000-0500-000002000000}" name="Category 1" dataDxfId="487"/>
    <tableColumn id="3" xr3:uid="{00000000-0010-0000-0500-000003000000}" name="Category 2" dataDxfId="486"/>
    <tableColumn id="4" xr3:uid="{00000000-0010-0000-0500-000004000000}" name="Methodology used" dataDxfId="485"/>
    <tableColumn id="5" xr3:uid="{00000000-0010-0000-0500-000005000000}" name="RSD" dataDxfId="484">
      <calculatedColumnFormula>IF(E8="","",INDEX(Lists!$BA$4:$BC$31,MATCH('Business travel, commute, home'!$B8,Lists!$AZ$4:$AZ$31,0),MATCH('Business travel, commute, home'!E8,Lists!$BA$3:$BC$3,0)))</calculatedColumnFormula>
    </tableColumn>
    <tableColumn id="6" xr3:uid="{00000000-0010-0000-0500-000006000000}" name="Data" dataDxfId="483" dataCellStyle="Comma"/>
    <tableColumn id="7" xr3:uid="{00000000-0010-0000-0500-000007000000}" name="Units" dataDxfId="482"/>
    <tableColumn id="8" xr3:uid="{00000000-0010-0000-0500-000008000000}" name="Converted data" dataDxfId="481" dataCellStyle="Comma">
      <calculatedColumnFormula array="1">IF(OR($B8="",$C8="",$D8="",H8=""),"",IF(H8=J8,G8,(INDEX('Emission factors'!$K$3:$V$276,MATCH($B8&amp;$C8&amp;$D8,'Emission factors'!$J$3:$J$276&amp;'Emission factors'!$K$3:$K$276&amp;'Emission factors'!$L$3:$L$276,0),MATCH('Business travel, commute, home'!I$7,'Emission factors'!$K$2:$V$2,0)))*G8))</calculatedColumnFormula>
    </tableColumn>
    <tableColumn id="9" xr3:uid="{00000000-0010-0000-0500-000009000000}" name="Standard units" dataDxfId="480">
      <calculatedColumnFormula array="1">IF(OR($B8="",$C8="",$G8=""),"",INDEX('Emission factors'!$K$3:$V$276,MATCH($B8&amp;$C8&amp;$D8,'Emission factors'!$J$3:$J$276&amp;'Emission factors'!$K$3:$K$276&amp;'Emission factors'!$L$3:$L$276,0),MATCH('Business travel, commute, home'!J$7,'Emission factors'!$K$2:$V$2,0)))</calculatedColumnFormula>
    </tableColumn>
    <tableColumn id="10" xr3:uid="{00000000-0010-0000-0500-00000A000000}" name="Total EF (kgCO2e/unit)" dataDxfId="479">
      <calculatedColumnFormula array="1">IF(OR(B8="",C8="",D8=""),"",INDEX('Emission factors'!$K$3:$V$276,MATCH($B8&amp;$C8&amp;$D8,'Emission factors'!$J$3:$J$276&amp;'Emission factors'!$K$3:$K$276&amp;'Emission factors'!$L$3:$L$276,0),MATCH('Business travel, commute, home'!K$7,'Emission factors'!$K$2:$V$2,0)))</calculatedColumnFormula>
    </tableColumn>
    <tableColumn id="11" xr3:uid="{00000000-0010-0000-0500-00000B000000}" name="Total emissions" dataDxfId="478" dataCellStyle="Comma">
      <calculatedColumnFormula>IF(OR(I8="",K8=""),"",SUM(BusinessTable[[#This Row],[Direct]:[Indirect WTT]]))</calculatedColumnFormula>
    </tableColumn>
    <tableColumn id="12" xr3:uid="{00000000-0010-0000-0500-00000C000000}" name="Notes" dataDxfId="477"/>
    <tableColumn id="13" xr3:uid="{00000000-0010-0000-0500-00000D000000}" name="Ease of collection" dataDxfId="476"/>
    <tableColumn id="14" xr3:uid="{00000000-0010-0000-0500-00000E000000}" name="Direct" dataDxfId="475" dataCellStyle="Comma">
      <calculatedColumnFormula array="1">IF(OR($C8="",$G8=""),"",(INDEX('Emission factors'!$K$3:$V$201,MATCH($B8&amp;$C8&amp;$D8,'Emission factors'!$J$3:$J$201&amp;'Emission factors'!$K$3:$K$201&amp;'Emission factors'!$L$3:$L$201,0),MATCH(O$7,'Emission factors'!$K$2:$V$2,0)))*$I8)</calculatedColumnFormula>
    </tableColumn>
    <tableColumn id="15" xr3:uid="{00000000-0010-0000-0500-00000F000000}" name="Indirect generation" dataDxfId="474" dataCellStyle="Comma">
      <calculatedColumnFormula array="1">IF(OR($C8="",$G8=""),"",(INDEX('Emission factors'!$K$3:$V$201,MATCH($B8&amp;$C8&amp;$D8,'Emission factors'!$J$3:$J$201&amp;'Emission factors'!$K$3:$K$201&amp;'Emission factors'!$L$3:$L$201,0),MATCH(P$7,'Emission factors'!$K$2:$V$2,0)))*$I8)</calculatedColumnFormula>
    </tableColumn>
    <tableColumn id="16" xr3:uid="{00000000-0010-0000-0500-000010000000}" name="Indirect service" dataDxfId="473" dataCellStyle="Comma">
      <calculatedColumnFormula array="1">IF(OR($C8="",$G8=""),"",(INDEX('Emission factors'!$K$3:$V$201,MATCH($B8&amp;$C8&amp;$D8,'Emission factors'!$J$3:$J$201&amp;'Emission factors'!$K$3:$K$201&amp;'Emission factors'!$L$3:$L$201,0),MATCH(Q$7,'Emission factors'!$K$2:$V$2,0)))*$I8)</calculatedColumnFormula>
    </tableColumn>
    <tableColumn id="17" xr3:uid="{00000000-0010-0000-0500-000011000000}" name="Indirect T&amp;D" dataDxfId="472" dataCellStyle="Comma">
      <calculatedColumnFormula array="1">IF(OR($C8="",$G8=""),"",(INDEX('Emission factors'!$K$3:$V$201,MATCH($B8&amp;$C8&amp;$D8,'Emission factors'!$J$3:$J$201&amp;'Emission factors'!$K$3:$K$201&amp;'Emission factors'!$L$3:$L$201,0),MATCH(R$7,'Emission factors'!$K$2:$V$2,0)))*$I8)</calculatedColumnFormula>
    </tableColumn>
    <tableColumn id="18" xr3:uid="{00000000-0010-0000-0500-000012000000}" name="Indirect WTT" dataDxfId="471" dataCellStyle="Comma">
      <calculatedColumnFormula array="1">IF(OR($C8="",$G8=""),"",(INDEX('Emission factors'!$K$3:$V$201,MATCH($B8&amp;$C8&amp;$D8,'Emission factors'!$J$3:$J$201&amp;'Emission factors'!$K$3:$K$201&amp;'Emission factors'!$L$3:$L$201,0),MATCH(S$7,'Emission factors'!$K$2:$V$2,0)))*$I8)</calculatedColumnFormula>
    </tableColumn>
    <tableColumn id="19" xr3:uid="{00000000-0010-0000-0500-000013000000}" name="High" dataDxfId="470" dataCellStyle="Comma">
      <calculatedColumnFormula>IF(OR($L8="",$F8=""),"",$L8*(1+$F8))</calculatedColumnFormula>
    </tableColumn>
    <tableColumn id="20" xr3:uid="{00000000-0010-0000-0500-000014000000}" name="Low" dataDxfId="469" dataCellStyle="Comma">
      <calculatedColumnFormula>IF(OR($L8="",$F8=""),"",$L8*(1-$F8))</calculatedColumnFormula>
    </tableColumn>
    <tableColumn id="21" xr3:uid="{00000000-0010-0000-0500-000015000000}" name="Outside of scopes" dataDxfId="468" dataCellStyle="Comma">
      <calculatedColumnFormula array="1">IF(OR($C8="",$G8=""),"",(INDEX('Emission factors'!$K$3:$V$201,MATCH($B8&amp;$C8&amp;$D8,'Emission factors'!$J$3:$J$201&amp;'Emission factors'!$K$3:$K$201&amp;'Emission factors'!$L$3:$L$201,0),MATCH(V$7,'Emission factors'!$K$2:$V$2,0)))*$I8)</calculatedColumnFormula>
    </tableColumn>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6000000}" name="CommutingTable" displayName="CommutingTable" ref="B37:V61" totalsRowShown="0" headerRowDxfId="467" dataDxfId="465" headerRowBorderDxfId="466" tableBorderDxfId="464" totalsRowBorderDxfId="463" dataCellStyle="Comma">
  <autoFilter ref="B37:V61" xr:uid="{00000000-0009-0000-0100-000005000000}"/>
  <tableColumns count="21">
    <tableColumn id="1" xr3:uid="{00000000-0010-0000-0600-000001000000}" name="Emission source" dataDxfId="462"/>
    <tableColumn id="2" xr3:uid="{00000000-0010-0000-0600-000002000000}" name="Category 1" dataDxfId="461"/>
    <tableColumn id="3" xr3:uid="{00000000-0010-0000-0600-000003000000}" name="Category 2" dataDxfId="460"/>
    <tableColumn id="4" xr3:uid="{00000000-0010-0000-0600-000004000000}" name="Methodology used" dataDxfId="459"/>
    <tableColumn id="5" xr3:uid="{00000000-0010-0000-0600-000005000000}" name="RSD" dataDxfId="458">
      <calculatedColumnFormula>IF(E38="","",INDEX(Lists!$BA$4:$BC$31,MATCH('Business travel, commute, home'!$B38,Lists!$AZ$4:$AZ$31,0),MATCH('Business travel, commute, home'!E38,Lists!$BA$3:$BC$3,0)))</calculatedColumnFormula>
    </tableColumn>
    <tableColumn id="6" xr3:uid="{00000000-0010-0000-0600-000006000000}" name="Data" dataDxfId="457" dataCellStyle="Comma"/>
    <tableColumn id="7" xr3:uid="{00000000-0010-0000-0600-000007000000}" name="Units" dataDxfId="456"/>
    <tableColumn id="8" xr3:uid="{00000000-0010-0000-0600-000008000000}" name="Converted data" dataDxfId="455" dataCellStyle="Comma">
      <calculatedColumnFormula array="1">IF(OR($B38="",$C38="",$D38="",H38=""),"",IF(H38=J38,G38,(INDEX('Emission factors'!$K$3:$V$276,MATCH($B38&amp;$C38&amp;$D38,'Emission factors'!$J$3:$J$276&amp;'Emission factors'!$K$3:$K$276&amp;'Emission factors'!$L$3:$L$276,0),MATCH('Business travel, commute, home'!I$7,'Emission factors'!$K$2:$V$2,0)))*G38))</calculatedColumnFormula>
    </tableColumn>
    <tableColumn id="9" xr3:uid="{00000000-0010-0000-0600-000009000000}" name="Standard units" dataDxfId="454">
      <calculatedColumnFormula array="1">IF(OR($B38="",$C38="",$G38=""),"",INDEX('Emission factors'!$K$3:$V$276,MATCH($B38&amp;$C38&amp;$D38,'Emission factors'!$J$3:$J$276&amp;'Emission factors'!$K$3:$K$276&amp;'Emission factors'!$L$3:$L$276,0),MATCH('Business travel, commute, home'!J$7,'Emission factors'!$K$2:$V$2,0)))</calculatedColumnFormula>
    </tableColumn>
    <tableColumn id="10" xr3:uid="{00000000-0010-0000-0600-00000A000000}" name="Total EF (kgCO2e/unit)" dataDxfId="453">
      <calculatedColumnFormula array="1">IF(OR(B38="",C38="",D38=""),"",INDEX('Emission factors'!$K$3:$V$276,MATCH($B38&amp;$C38&amp;$D38,'Emission factors'!$J$3:$J$276&amp;'Emission factors'!$K$3:$K$276&amp;'Emission factors'!$L$3:$L$276,0),MATCH('Business travel, commute, home'!K$7,'Emission factors'!$K$2:$V$2,0)))</calculatedColumnFormula>
    </tableColumn>
    <tableColumn id="11" xr3:uid="{00000000-0010-0000-0600-00000B000000}" name="Total emissions" dataDxfId="452" dataCellStyle="Comma">
      <calculatedColumnFormula>IF(OR(I38="",K38=""),"",SUM(CommutingTable[[#This Row],[Direct]:[Indirect WTT]]))</calculatedColumnFormula>
    </tableColumn>
    <tableColumn id="12" xr3:uid="{00000000-0010-0000-0600-00000C000000}" name="Notes" dataDxfId="451"/>
    <tableColumn id="13" xr3:uid="{00000000-0010-0000-0600-00000D000000}" name="Ease of collection" dataDxfId="450"/>
    <tableColumn id="14" xr3:uid="{00000000-0010-0000-0600-00000E000000}" name="Direct" dataDxfId="449" dataCellStyle="Comma">
      <calculatedColumnFormula array="1">IF(OR($C38="",$G38="",CommutingTable[[#This Row],[Converted data]]=""),"",(INDEX('Emission factors'!$K$3:$V$201,MATCH($B38&amp;$C38&amp;$D38,'Emission factors'!$J$3:$J$201&amp;'Emission factors'!$K$3:$K$201&amp;'Emission factors'!$L$3:$L$201,0),MATCH(O$37,'Emission factors'!$K$2:$V$2,0)))*$I38)</calculatedColumnFormula>
    </tableColumn>
    <tableColumn id="15" xr3:uid="{00000000-0010-0000-0600-00000F000000}" name="Indirect generation" dataDxfId="448" dataCellStyle="Comma">
      <calculatedColumnFormula array="1">IF(OR($C38="",$G38="",CommutingTable[[#This Row],[Converted data]]=""),"",(INDEX('Emission factors'!$K$3:$V$201,MATCH($B38&amp;$C38&amp;$D38,'Emission factors'!$J$3:$J$201&amp;'Emission factors'!$K$3:$K$201&amp;'Emission factors'!$L$3:$L$201,0),MATCH(P$37,'Emission factors'!$K$2:$V$2,0)))*$I38)</calculatedColumnFormula>
    </tableColumn>
    <tableColumn id="16" xr3:uid="{00000000-0010-0000-0600-000010000000}" name="Indirect service" dataDxfId="447" dataCellStyle="Comma">
      <calculatedColumnFormula array="1">IF(OR($C38="",$G38="",CommutingTable[[#This Row],[Converted data]]=""),"",(INDEX('Emission factors'!$K$3:$V$201,MATCH($B38&amp;$C38&amp;$D38,'Emission factors'!$J$3:$J$201&amp;'Emission factors'!$K$3:$K$201&amp;'Emission factors'!$L$3:$L$201,0),MATCH(Q$37,'Emission factors'!$K$2:$V$2,0)))*$I38)</calculatedColumnFormula>
    </tableColumn>
    <tableColumn id="17" xr3:uid="{00000000-0010-0000-0600-000011000000}" name="Indirect T&amp;D" dataDxfId="446" dataCellStyle="Comma">
      <calculatedColumnFormula array="1">IF(OR($C38="",$G38="",CommutingTable[[#This Row],[Converted data]]=""),"",(INDEX('Emission factors'!$K$3:$V$201,MATCH($B38&amp;$C38&amp;$D38,'Emission factors'!$J$3:$J$201&amp;'Emission factors'!$K$3:$K$201&amp;'Emission factors'!$L$3:$L$201,0),MATCH(R$37,'Emission factors'!$K$2:$V$2,0)))*$I38)</calculatedColumnFormula>
    </tableColumn>
    <tableColumn id="18" xr3:uid="{00000000-0010-0000-0600-000012000000}" name="Indirect WTT" dataDxfId="445" dataCellStyle="Comma">
      <calculatedColumnFormula array="1">IF(OR($C38="",$G38="",CommutingTable[[#This Row],[Converted data]]=""),"",(INDEX('Emission factors'!$K$3:$V$201,MATCH($B38&amp;$C38&amp;$D38,'Emission factors'!$J$3:$J$201&amp;'Emission factors'!$K$3:$K$201&amp;'Emission factors'!$L$3:$L$201,0),MATCH(S$37,'Emission factors'!$K$2:$V$2,0)))*$I38)</calculatedColumnFormula>
    </tableColumn>
    <tableColumn id="19" xr3:uid="{00000000-0010-0000-0600-000013000000}" name="High" dataDxfId="444" dataCellStyle="Comma">
      <calculatedColumnFormula>IF(OR($L38="",$F38=""),"",$L38*(1+$F38))</calculatedColumnFormula>
    </tableColumn>
    <tableColumn id="20" xr3:uid="{00000000-0010-0000-0600-000014000000}" name="Low" dataDxfId="443" dataCellStyle="Comma">
      <calculatedColumnFormula>IF(OR($L38="",$F38=""),"",$L38*(1-$F38))</calculatedColumnFormula>
    </tableColumn>
    <tableColumn id="21" xr3:uid="{00000000-0010-0000-0600-000015000000}" name="Outside of scopes" dataDxfId="442" dataCellStyle="Comma">
      <calculatedColumnFormula array="1">IF(OR($C38="",$G38="",CommutingTable[[#This Row],[Converted data]]=""),"",(INDEX('Emission factors'!$K$3:$V$201,MATCH($B38&amp;$C38&amp;$D38,'Emission factors'!$J$3:$J$201&amp;'Emission factors'!$K$3:$K$201&amp;'Emission factors'!$L$3:$L$201,0),MATCH(V$37,'Emission factors'!$K$2:$V$2,0)))*$I38)</calculatedColumnFormula>
    </tableColumn>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7000000}" name="HomeworkingTable" displayName="HomeworkingTable" ref="B64:V74" totalsRowShown="0" headerRowDxfId="441" dataDxfId="439" headerRowBorderDxfId="440" tableBorderDxfId="438" totalsRowBorderDxfId="437" dataCellStyle="Comma">
  <autoFilter ref="B64:V74" xr:uid="{00000000-0009-0000-0100-000006000000}"/>
  <tableColumns count="21">
    <tableColumn id="1" xr3:uid="{00000000-0010-0000-0700-000001000000}" name="Emission source" dataDxfId="436"/>
    <tableColumn id="2" xr3:uid="{00000000-0010-0000-0700-000002000000}" name="Number of FTE" dataDxfId="435"/>
    <tableColumn id="3" xr3:uid="{00000000-0010-0000-0700-000003000000}" name="% working hours at home" dataDxfId="434"/>
    <tableColumn id="4" xr3:uid="{00000000-0010-0000-0700-000004000000}" name="Methodology used" dataDxfId="433"/>
    <tableColumn id="5" xr3:uid="{00000000-0010-0000-0700-000005000000}" name="RSD" dataDxfId="432">
      <calculatedColumnFormula>IF(E65="","",INDEX(Lists!$BA$4:$BC$31,MATCH('Business travel, commute, home'!$B65,Lists!$AZ$4:$AZ$31,0),MATCH('Business travel, commute, home'!E65,Lists!$BA$3:$BC$3,0)))</calculatedColumnFormula>
    </tableColumn>
    <tableColumn id="6" xr3:uid="{00000000-0010-0000-0700-000006000000}" name="Data" dataDxfId="431" dataCellStyle="Comma">
      <calculatedColumnFormula>HomeworkingTable[[#This Row],[Number of FTE]]*HomeworkingTable[[#This Row],[% working hours at home]]</calculatedColumnFormula>
    </tableColumn>
    <tableColumn id="7" xr3:uid="{00000000-0010-0000-0700-000007000000}" name="Units" dataDxfId="430">
      <calculatedColumnFormula>IF(OR(HomeworkingTable[[#This Row],[Emission source]]="",HomeworkingTable[[#This Row],[Number of FTE]]="",HomeworkingTable[[#This Row],[% working hours at home]]=""),"","FTE years")</calculatedColumnFormula>
    </tableColumn>
    <tableColumn id="8" xr3:uid="{00000000-0010-0000-0700-000008000000}" name="Converted data" dataDxfId="429" dataCellStyle="Comma">
      <calculatedColumnFormula>IF(OR($B65="",$C65="",$D65="",H65=""),"",IF(H65=J65,G65,(INDEX('Emission factors'!$K$3:$V$276,MATCH($B65&amp;$C65&amp;$D65,'Emission factors'!$J$3:$J$276&amp;'Emission factors'!$K$3:$K$276&amp;'Emission factors'!$L$3:$L$276,0),MATCH('Business travel, commute, home'!I$7,'Emission factors'!$K$2:$V$2,0)))*G65))</calculatedColumnFormula>
    </tableColumn>
    <tableColumn id="9" xr3:uid="{00000000-0010-0000-0700-000009000000}" name="Standard units" dataDxfId="428">
      <calculatedColumnFormula>HomeworkingTable[[#This Row],[Units]]</calculatedColumnFormula>
    </tableColumn>
    <tableColumn id="10" xr3:uid="{00000000-0010-0000-0700-00000A000000}" name="Total EF (kgCO2e/unit)" dataDxfId="427">
      <calculatedColumnFormula>IF(OR(B65="",C65="",D65=""),"",INDEX('Emission factors'!$K$3:$V$276,MATCH($B65,'Emission factors'!$J$3:$J$276,0),MATCH('Business travel, commute, home'!K$7,'Emission factors'!$K$2:$V$2,0)))</calculatedColumnFormula>
    </tableColumn>
    <tableColumn id="11" xr3:uid="{00000000-0010-0000-0700-00000B000000}" name="Total emissions" dataDxfId="426" dataCellStyle="Comma">
      <calculatedColumnFormula>IF(OR(I65="",K65=""),"",SUM(HomeworkingTable[[#This Row],[Direct]:[Indirect WTT]]))</calculatedColumnFormula>
    </tableColumn>
    <tableColumn id="12" xr3:uid="{00000000-0010-0000-0700-00000C000000}" name="Notes" dataDxfId="425"/>
    <tableColumn id="13" xr3:uid="{00000000-0010-0000-0700-00000D000000}" name="Ease of collection" dataDxfId="424"/>
    <tableColumn id="14" xr3:uid="{00000000-0010-0000-0700-00000E000000}" name="Direct" dataDxfId="423" dataCellStyle="Comma">
      <calculatedColumnFormula>IF(OR($C65="",$G65=""),"",(INDEX('Emission factors'!$K$3:$V$201,MATCH($B65,'Emission factors'!$J$3:$J$201,0),MATCH(O$64,'Emission factors'!$K$2:$V$2,0)))*$I65)</calculatedColumnFormula>
    </tableColumn>
    <tableColumn id="15" xr3:uid="{00000000-0010-0000-0700-00000F000000}" name="Indirect generation" dataDxfId="422" dataCellStyle="Comma">
      <calculatedColumnFormula>IF(OR($C65="",$G65=""),"",(INDEX('Emission factors'!$K$3:$V$201,MATCH($B65,'Emission factors'!$J$3:$J$201,0),MATCH(P$64,'Emission factors'!$K$2:$V$2,0)))*$I65)</calculatedColumnFormula>
    </tableColumn>
    <tableColumn id="16" xr3:uid="{00000000-0010-0000-0700-000010000000}" name="Indirect service" dataDxfId="421" dataCellStyle="Comma">
      <calculatedColumnFormula>IF(OR($C65="",$G65=""),"",(INDEX('Emission factors'!$K$3:$V$201,MATCH($B65,'Emission factors'!$J$3:$J$201,0),MATCH(Q$64,'Emission factors'!$K$2:$V$2,0)))*$I65)</calculatedColumnFormula>
    </tableColumn>
    <tableColumn id="17" xr3:uid="{00000000-0010-0000-0700-000011000000}" name="Indirect T&amp;D" dataDxfId="420" dataCellStyle="Comma">
      <calculatedColumnFormula>IF(OR($C65="",$G65=""),"",(INDEX('Emission factors'!$K$3:$V$201,MATCH($B65,'Emission factors'!$J$3:$J$201,0),MATCH(R$64,'Emission factors'!$K$2:$V$2,0)))*$I65)</calculatedColumnFormula>
    </tableColumn>
    <tableColumn id="18" xr3:uid="{00000000-0010-0000-0700-000012000000}" name="Indirect WTT" dataDxfId="419" dataCellStyle="Comma">
      <calculatedColumnFormula>IF(OR($C65="",$G65=""),"",(INDEX('Emission factors'!$K$3:$V$201,MATCH($B65,'Emission factors'!$J$3:$J$201,0),MATCH(S$64,'Emission factors'!$K$2:$V$2,0)))*$I65)</calculatedColumnFormula>
    </tableColumn>
    <tableColumn id="19" xr3:uid="{00000000-0010-0000-0700-000013000000}" name="High" dataDxfId="418" dataCellStyle="Comma">
      <calculatedColumnFormula>IF(OR($L65="",$F65=""),"",$L65*(1+$F65))</calculatedColumnFormula>
    </tableColumn>
    <tableColumn id="20" xr3:uid="{00000000-0010-0000-0700-000014000000}" name="Low" dataDxfId="417" dataCellStyle="Comma">
      <calculatedColumnFormula>IF(OR($L65="",$F65=""),"",$L65*(1-$F65))</calculatedColumnFormula>
    </tableColumn>
    <tableColumn id="21" xr3:uid="{00000000-0010-0000-0700-000015000000}" name="Outside of scopes" dataDxfId="416" dataCellStyle="Comma">
      <calculatedColumnFormula>IF(OR($C65="",$G65=""),"",(INDEX('Emission factors'!$K$3:$V$201,MATCH($B65,'Emission factors'!$J$3:$J$201,0),MATCH(V$64,'Emission factors'!$K$2:$V$2,0)))*$I65)</calculatedColumnFormula>
    </tableColumn>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MunicipalWasteTable" displayName="MunicipalWasteTable" ref="B52:V80" totalsRowShown="0" headerRowDxfId="415" dataDxfId="413" headerRowBorderDxfId="414" tableBorderDxfId="412" totalsRowBorderDxfId="411" dataCellStyle="Comma">
  <autoFilter ref="B52:V80" xr:uid="{00000000-0009-0000-0100-000009000000}"/>
  <tableColumns count="21">
    <tableColumn id="1" xr3:uid="{00000000-0010-0000-0800-000001000000}" name="Waste type" dataDxfId="410"/>
    <tableColumn id="2" xr3:uid="{00000000-0010-0000-0800-000002000000}" name="Disposal" dataDxfId="409"/>
    <tableColumn id="21" xr3:uid="{72237363-A07F-4700-BF7F-4DE1904BB8D4}" name="Blank" dataDxfId="408"/>
    <tableColumn id="3" xr3:uid="{00000000-0010-0000-0800-000003000000}" name="Methodology used" dataDxfId="407"/>
    <tableColumn id="4" xr3:uid="{00000000-0010-0000-0800-000004000000}" name="RSD" dataDxfId="406">
      <calculatedColumnFormula>IF(E53="","",INDEX(Methodologytier,MATCH(B$50,Lists!$AZ$4:$AZ$32,0),MATCH(E53,Lists!$BA$3:$BC$3,0)))</calculatedColumnFormula>
    </tableColumn>
    <tableColumn id="5" xr3:uid="{00000000-0010-0000-0800-000005000000}" name="Data" dataDxfId="405" dataCellStyle="Comma"/>
    <tableColumn id="6" xr3:uid="{00000000-0010-0000-0800-000006000000}" name="Units" dataDxfId="404"/>
    <tableColumn id="7" xr3:uid="{00000000-0010-0000-0800-000007000000}" name="Converted data" dataDxfId="403" dataCellStyle="Comma">
      <calculatedColumnFormula array="1">IF(OR($B53="",$C53="",H53=""),"",IF(H53=J53,G53,(INDEX('Emission factors'!$K$3:$V$381,MATCH($B53&amp;$C53,'Emission factors'!$K$3:$K$381&amp;'Emission factors'!$L$3:$L$381,0),MATCH($I$52,'Emission factors'!$K$2:$V$2,0)))*G53))</calculatedColumnFormula>
    </tableColumn>
    <tableColumn id="8" xr3:uid="{00000000-0010-0000-0800-000008000000}" name="Standard units" dataDxfId="402">
      <calculatedColumnFormula array="1">IF(OR($B53="",$G53="",MunicipalWasteTable[[#This Row],[Units]]=""),"",INDEX('Emission factors'!$K$3:$V$381,MATCH($B53&amp;$C53,'Emission factors'!$K$3:$K$381&amp;'Emission factors'!$L$3:$L$381,0),MATCH($J$52,'Emission factors'!$K$2:$V$2,0)))</calculatedColumnFormula>
    </tableColumn>
    <tableColumn id="9" xr3:uid="{00000000-0010-0000-0800-000009000000}" name="Total EF (kgCO2e/unit)" dataDxfId="401">
      <calculatedColumnFormula array="1">IF(OR(B53="",C53="",MunicipalWasteTable[[#This Row],[Data]]=""),"",INDEX('Emission factors'!$K$3:$V$381,MATCH($J$51&amp;$B53&amp;$C53,'Emission factors'!$J$3:$J$381&amp;'Emission factors'!$K$3:$K$381&amp;'Emission factors'!$L$3:$L$381,0),MATCH($K$52,'Emission factors'!$K$2:$V$2,0)))</calculatedColumnFormula>
    </tableColumn>
    <tableColumn id="10" xr3:uid="{00000000-0010-0000-0800-00000A000000}" name="Total emissions" dataDxfId="400" dataCellStyle="Comma">
      <calculatedColumnFormula>SUM(MunicipalWasteTable[[#This Row],[Direct]:[Indirect WTT]])</calculatedColumnFormula>
    </tableColumn>
    <tableColumn id="11" xr3:uid="{00000000-0010-0000-0800-00000B000000}" name="Notes" dataDxfId="399"/>
    <tableColumn id="12" xr3:uid="{00000000-0010-0000-0800-00000C000000}" name="Ease of collection" dataDxfId="398"/>
    <tableColumn id="13" xr3:uid="{00000000-0010-0000-0800-00000D000000}" name="Direct" dataDxfId="397" dataCellStyle="Comma">
      <calculatedColumnFormula array="1">IF(OR($B53="",$G53="",$I53=""),"",(INDEX('Emission factors'!$K$3:$V$381,MATCH($J$51&amp;$B53&amp;$C53,'Emission factors'!$J$3:$J$381&amp;'Emission factors'!$K$3:$K$381&amp;'Emission factors'!$L$3:$L$381,0),MATCH(O$52,'Emission factors'!$K$2:$V$2,0)))*$I53)</calculatedColumnFormula>
    </tableColumn>
    <tableColumn id="14" xr3:uid="{00000000-0010-0000-0800-00000E000000}" name="Indirect generation" dataDxfId="396" dataCellStyle="Comma">
      <calculatedColumnFormula array="1">IF(OR($B53="",$G53="",$I53=""),"",(INDEX('Emission factors'!$K$3:$V$381,MATCH($J$51&amp;$B53&amp;$C53,'Emission factors'!$J$3:$J$381&amp;'Emission factors'!$K$3:$K$381&amp;'Emission factors'!$L$3:$L$381,0),MATCH(P$52,'Emission factors'!$K$2:$V$2,0)))*$I53)</calculatedColumnFormula>
    </tableColumn>
    <tableColumn id="15" xr3:uid="{00000000-0010-0000-0800-00000F000000}" name="Indirect service" dataDxfId="395" dataCellStyle="Comma">
      <calculatedColumnFormula array="1">IF(OR($B53="",$G53="",$I53=""),"",(INDEX('Emission factors'!$K$3:$V$381,MATCH($J$51&amp;$B53&amp;$C53,'Emission factors'!$J$3:$J$381&amp;'Emission factors'!$K$3:$K$381&amp;'Emission factors'!$L$3:$L$381,0),MATCH(Q$52,'Emission factors'!$K$2:$V$2,0)))*$I53)</calculatedColumnFormula>
    </tableColumn>
    <tableColumn id="16" xr3:uid="{00000000-0010-0000-0800-000010000000}" name="Indirect T&amp;D" dataDxfId="394" dataCellStyle="Comma">
      <calculatedColumnFormula array="1">IF(OR($B53="",$G53="",$I53=""),"",(INDEX('Emission factors'!$K$3:$V$381,MATCH($J$51&amp;$B53&amp;$C53,'Emission factors'!$J$3:$J$381&amp;'Emission factors'!$K$3:$K$381&amp;'Emission factors'!$L$3:$L$381,0),MATCH(R$52,'Emission factors'!$K$2:$V$2,0)))*$I53)</calculatedColumnFormula>
    </tableColumn>
    <tableColumn id="17" xr3:uid="{00000000-0010-0000-0800-000011000000}" name="Indirect WTT" dataDxfId="393" dataCellStyle="Comma">
      <calculatedColumnFormula array="1">IF(OR($B53="",$G53="",$I53=""),"",(INDEX('Emission factors'!$K$3:$V$381,MATCH($J$51&amp;$B53&amp;$C53,'Emission factors'!$J$3:$J$381&amp;'Emission factors'!$K$3:$K$381&amp;'Emission factors'!$L$3:$L$381,0),MATCH(S$52,'Emission factors'!$K$2:$V$2,0)))*$I53)</calculatedColumnFormula>
    </tableColumn>
    <tableColumn id="18" xr3:uid="{00000000-0010-0000-0800-000012000000}" name="High" dataDxfId="392" dataCellStyle="Comma">
      <calculatedColumnFormula>IF(OR(MunicipalWasteTable[[#This Row],[RSD]]="", MunicipalWasteTable[[#This Row],[Total emissions]]=""),"",MunicipalWasteTable[[#This Row],[Total emissions]]*(1+MunicipalWasteTable[[#This Row],[RSD]]))</calculatedColumnFormula>
    </tableColumn>
    <tableColumn id="19" xr3:uid="{00000000-0010-0000-0800-000013000000}" name="Low" dataDxfId="391" dataCellStyle="Comma">
      <calculatedColumnFormula>IF(OR(MunicipalWasteTable[[#This Row],[RSD]]="",MunicipalWasteTable[[#This Row],[Total emissions]]=""),"",MunicipalWasteTable[[#This Row],[Total emissions]]*(1-MunicipalWasteTable[[#This Row],[RSD]]))</calculatedColumnFormula>
    </tableColumn>
    <tableColumn id="20" xr3:uid="{00000000-0010-0000-0800-000014000000}" name="Outside of scopes" dataDxfId="390" dataCellStyle="Comma">
      <calculatedColumnFormula array="1">IF(OR($B53="",$G53="",$I53=""),"",(INDEX('Emission factors'!$K$3:$V$381,MATCH($J$51&amp;$B53&amp;$C53,'Emission factors'!$J$3:$J$381&amp;'Emission factors'!$K$3:$K$381&amp;'Emission factors'!$L$3:$L$381,0),MATCH(V$52,'Emission factors'!$K$2:$V$2,0)))*$I53)</calculatedColumnFormula>
    </tableColumn>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9000000}" name="OrganisationalWasteTable" displayName="OrganisationalWasteTable" ref="B7:V48" totalsRowShown="0" headerRowDxfId="389" dataDxfId="387" headerRowBorderDxfId="388" tableBorderDxfId="386" totalsRowBorderDxfId="385" dataCellStyle="Comma">
  <autoFilter ref="B7:V48" xr:uid="{00000000-0009-0000-0100-000008000000}"/>
  <tableColumns count="21">
    <tableColumn id="1" xr3:uid="{00000000-0010-0000-0900-000001000000}" name="Waste type" dataDxfId="384"/>
    <tableColumn id="2" xr3:uid="{00000000-0010-0000-0900-000002000000}" name="Disposal" dataDxfId="383"/>
    <tableColumn id="21" xr3:uid="{DAA1A045-77B2-408D-BBC8-AC8AD635CFEB}" name="Not used" dataDxfId="382"/>
    <tableColumn id="3" xr3:uid="{00000000-0010-0000-0900-000003000000}" name="Methodology used" dataDxfId="381"/>
    <tableColumn id="4" xr3:uid="{00000000-0010-0000-0900-000004000000}" name="RSD" dataDxfId="380">
      <calculatedColumnFormula>IF(E8="","",INDEX(Methodologytier,MATCH(B$50,Lists!$AZ$4:$AZ$32,0),MATCH(E8,Lists!$BA$3:$BC$3,0)))</calculatedColumnFormula>
    </tableColumn>
    <tableColumn id="5" xr3:uid="{00000000-0010-0000-0900-000005000000}" name="Data" dataDxfId="379" dataCellStyle="Comma"/>
    <tableColumn id="6" xr3:uid="{00000000-0010-0000-0900-000006000000}" name="Units" dataDxfId="378"/>
    <tableColumn id="7" xr3:uid="{00000000-0010-0000-0900-000007000000}" name="Converted data" dataDxfId="377" dataCellStyle="Comma">
      <calculatedColumnFormula array="1">IF(OR($B8="",$C8="",H8=""),"",IF(H8=J8,G8,(INDEX('Emission factors'!$K$3:$V$381,MATCH($B8&amp;$C8,'Emission factors'!$K$3:$K$381&amp;'Emission factors'!$L$3:$L$381,0),MATCH($I$7,'Emission factors'!$K$2:$V$2,0)))*G8))</calculatedColumnFormula>
    </tableColumn>
    <tableColumn id="8" xr3:uid="{00000000-0010-0000-0900-000008000000}" name="Standard units" dataDxfId="376">
      <calculatedColumnFormula array="1">IF(OR($B8="",$G8="",OrganisationalWasteTable[[#This Row],[Units]]=""),"",INDEX('Emission factors'!$K$3:$V$381,MATCH($B8&amp;$C8,'Emission factors'!$K$3:$K$381&amp;'Emission factors'!$L$3:$L$381,0),MATCH($J$7,'Emission factors'!$K$2:$V$2,0)))</calculatedColumnFormula>
    </tableColumn>
    <tableColumn id="9" xr3:uid="{00000000-0010-0000-0900-000009000000}" name="Total EF (kgCO2e/unit)" dataDxfId="375">
      <calculatedColumnFormula array="1">IF(OR(B8="",C8="",OrganisationalWasteTable[[#This Row],[Data]]=""),"",INDEX('Emission factors'!$K$3:$V$381,MATCH($B8&amp;$C8,'Emission factors'!$K$3:$K$381&amp;'Emission factors'!$L$3:$L$381,0),MATCH($K$7,'Emission factors'!$K$2:$V$2,0)))</calculatedColumnFormula>
    </tableColumn>
    <tableColumn id="10" xr3:uid="{00000000-0010-0000-0900-00000A000000}" name="Total emissions" dataDxfId="374" dataCellStyle="Comma">
      <calculatedColumnFormula>IF(OR(OrganisationalWasteTable[[#This Row],[Waste type]]="",OrganisationalWasteTable[[#This Row],[Converted data]]=""),"",SUM(OrganisationalWasteTable[[#This Row],[Direct]:[Indirect WTT]]))</calculatedColumnFormula>
    </tableColumn>
    <tableColumn id="11" xr3:uid="{00000000-0010-0000-0900-00000B000000}" name="Notes" dataDxfId="373"/>
    <tableColumn id="12" xr3:uid="{00000000-0010-0000-0900-00000C000000}" name="Ease of collection" dataDxfId="372"/>
    <tableColumn id="13" xr3:uid="{00000000-0010-0000-0900-00000D000000}" name="Direct" dataDxfId="371" dataCellStyle="Comma">
      <calculatedColumnFormula array="1">IF(OR($B8="",$G8="",$I8=""),"",(INDEX('Emission factors'!$K$3:$V$381,MATCH($B8&amp;$C8,'Emission factors'!$K$3:$K$381&amp;'Emission factors'!$L$3:$L$381,0),MATCH(O$7,'Emission factors'!$K$2:$V$2,0)))*$I8)</calculatedColumnFormula>
    </tableColumn>
    <tableColumn id="14" xr3:uid="{00000000-0010-0000-0900-00000E000000}" name="Indirect generation" dataDxfId="370" dataCellStyle="Comma">
      <calculatedColumnFormula array="1">IF(OR($B8="",$G8="",$I8=""),"",(INDEX('Emission factors'!$K$3:$V$381,MATCH($B8&amp;$C8,'Emission factors'!$K$3:$K$381&amp;'Emission factors'!$L$3:$L$381,0),MATCH(P$7,'Emission factors'!$K$2:$V$2,0)))*$I8)</calculatedColumnFormula>
    </tableColumn>
    <tableColumn id="15" xr3:uid="{00000000-0010-0000-0900-00000F000000}" name="Indirect service" dataDxfId="369" dataCellStyle="Comma">
      <calculatedColumnFormula array="1">IF(OR($B8="",$G8="",$I8=""),"",(INDEX('Emission factors'!$K$3:$V$381,MATCH($B8&amp;$C8,'Emission factors'!$K$3:$K$381&amp;'Emission factors'!$L$3:$L$381,0),MATCH(Q$7,'Emission factors'!$K$2:$V$2,0)))*$I8)</calculatedColumnFormula>
    </tableColumn>
    <tableColumn id="16" xr3:uid="{00000000-0010-0000-0900-000010000000}" name="Indirect T&amp;D" dataDxfId="368" dataCellStyle="Comma">
      <calculatedColumnFormula array="1">IF(OR($B8="",$G8="",$I8=""),"",(INDEX('Emission factors'!$K$3:$V$381,MATCH($B8&amp;$C8,'Emission factors'!$K$3:$K$381&amp;'Emission factors'!$L$3:$L$381,0),MATCH(R$7,'Emission factors'!$K$2:$V$2,0)))*$I8)</calculatedColumnFormula>
    </tableColumn>
    <tableColumn id="17" xr3:uid="{00000000-0010-0000-0900-000011000000}" name="Indirect WTT" dataDxfId="367" dataCellStyle="Comma">
      <calculatedColumnFormula array="1">IF(OR($B8="",$G8="",$I8=""),"",(INDEX('Emission factors'!$K$3:$V$381,MATCH($B8&amp;$C8,'Emission factors'!$K$3:$K$381&amp;'Emission factors'!$L$3:$L$381,0),MATCH(S$7,'Emission factors'!$K$2:$V$2,0)))*$I8)</calculatedColumnFormula>
    </tableColumn>
    <tableColumn id="18" xr3:uid="{00000000-0010-0000-0900-000012000000}" name="High" dataDxfId="366" dataCellStyle="Comma">
      <calculatedColumnFormula>IF(OR(F8="", L8=""), "", L8*(1+F8))</calculatedColumnFormula>
    </tableColumn>
    <tableColumn id="19" xr3:uid="{00000000-0010-0000-0900-000013000000}" name="Low" dataDxfId="365" dataCellStyle="Comma">
      <calculatedColumnFormula>IF(OR(OrganisationalWasteTable[[#This Row],[RSD]]="", OrganisationalWasteTable[[#This Row],[Total emissions]]=""), "", OrganisationalWasteTable[[#This Row],[Total emissions]]*(1-OrganisationalWasteTable[[#This Row],[RSD]]))</calculatedColumnFormula>
    </tableColumn>
    <tableColumn id="20" xr3:uid="{00000000-0010-0000-0900-000014000000}" name="Outside of scopes" dataDxfId="364" dataCellStyle="Comma">
      <calculatedColumnFormula array="1">IF(OR($B8="",$G8="",$I8=""),"",(INDEX('Emission factors'!$K$3:$V$381,MATCH($B8&amp;$C8,'Emission factors'!$K$3:$K$381&amp;'Emission factors'!$L$3:$L$381,0),MATCH(V$7,'Emission factors'!$K$2:$V$2,0)))*$I8)</calculatedColumnFormula>
    </tableColumn>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A000000}" name="ProjectWasteTable" displayName="ProjectWasteTable" ref="B83:V105" totalsRowShown="0" headerRowDxfId="363" dataDxfId="361" headerRowBorderDxfId="362" tableBorderDxfId="360" totalsRowBorderDxfId="359" dataCellStyle="Comma">
  <autoFilter ref="B83:V105" xr:uid="{00000000-0009-0000-0100-00000F000000}"/>
  <tableColumns count="21">
    <tableColumn id="1" xr3:uid="{00000000-0010-0000-0A00-000001000000}" name="Waste type" dataDxfId="358"/>
    <tableColumn id="2" xr3:uid="{00000000-0010-0000-0A00-000002000000}" name="Disposal" dataDxfId="357"/>
    <tableColumn id="21" xr3:uid="{B6DC8683-FA33-44EE-B68E-8F092108883A}" name="Blank" dataDxfId="356"/>
    <tableColumn id="3" xr3:uid="{00000000-0010-0000-0A00-000003000000}" name="Methodology used" dataDxfId="355"/>
    <tableColumn id="4" xr3:uid="{00000000-0010-0000-0A00-000004000000}" name="RSD" dataDxfId="354">
      <calculatedColumnFormula>IF(E84="","",INDEX(Methodologytier,MATCH(B$82,Lists!$AZ$4:$AZ$32,0),MATCH(E84,Lists!$BA$3:$BC$3,0)))</calculatedColumnFormula>
    </tableColumn>
    <tableColumn id="5" xr3:uid="{00000000-0010-0000-0A00-000005000000}" name="Data" dataDxfId="353" dataCellStyle="Comma"/>
    <tableColumn id="6" xr3:uid="{00000000-0010-0000-0A00-000006000000}" name="Units" dataDxfId="352"/>
    <tableColumn id="7" xr3:uid="{00000000-0010-0000-0A00-000007000000}" name="Converted data" dataDxfId="351" dataCellStyle="Comma">
      <calculatedColumnFormula array="1">IF(OR($B84="",$C84="",H84=""),"",IF(H84=J84,G84,(INDEX('Emission factors'!$K$3:$V$381,MATCH($B84&amp;$C84,'Emission factors'!$K$3:$K$381&amp;'Emission factors'!$L$3:$L$381,0),MATCH($I$52,'Emission factors'!$K$2:$V$2,0)))*G84))</calculatedColumnFormula>
    </tableColumn>
    <tableColumn id="8" xr3:uid="{00000000-0010-0000-0A00-000008000000}" name="Standard units" dataDxfId="350">
      <calculatedColumnFormula array="1">IF(OR($B84="",$C84="",ProjectWasteTable[[#Headers],[Units]]=""),"",INDEX('Emission factors'!$K$3:$V$381,MATCH($B84&amp;$C84,'Emission factors'!$K$3:$K$381&amp;'Emission factors'!$L$3:$L$381,0),MATCH($J$83,'Emission factors'!$K$2:$V$2,0)))</calculatedColumnFormula>
    </tableColumn>
    <tableColumn id="9" xr3:uid="{00000000-0010-0000-0A00-000009000000}" name="Total EF (kgCO2e/unit)" dataDxfId="349">
      <calculatedColumnFormula array="1">IF(OR(B84="",C84="",ProjectWasteTable[[#This Row],[Data]]=""),"",INDEX('Emission factors'!$K$3:$V$381,MATCH($B84&amp;$C84,'Emission factors'!$K$3:$K$381&amp;'Emission factors'!$L$3:$L$381,0),MATCH($K$52,'Emission factors'!$K$2:$V$2,0)))</calculatedColumnFormula>
    </tableColumn>
    <tableColumn id="10" xr3:uid="{00000000-0010-0000-0A00-00000A000000}" name="Total emissions" dataDxfId="348" dataCellStyle="Comma">
      <calculatedColumnFormula>SUM(ProjectWasteTable[[#This Row],[Direct]:[Indirect WTT]])</calculatedColumnFormula>
    </tableColumn>
    <tableColumn id="11" xr3:uid="{00000000-0010-0000-0A00-00000B000000}" name="Notes" dataDxfId="347"/>
    <tableColumn id="12" xr3:uid="{00000000-0010-0000-0A00-00000C000000}" name="Ease of collection" dataDxfId="346"/>
    <tableColumn id="13" xr3:uid="{00000000-0010-0000-0A00-00000D000000}" name="Direct" dataDxfId="345" dataCellStyle="Comma">
      <calculatedColumnFormula array="1">IF(OR($B84="",$G84="",ProjectWasteTable[Converted data]=""),"",(INDEX('Emission factors'!$K$3:$V$381,MATCH($B84&amp;$C84,'Emission factors'!$K$3:$K$381&amp;'Emission factors'!$L$3:$L$381,0),MATCH(O$52,'Emission factors'!$K$2:$V$2,0)))*$I84)</calculatedColumnFormula>
    </tableColumn>
    <tableColumn id="14" xr3:uid="{00000000-0010-0000-0A00-00000E000000}" name="Indirect generation" dataDxfId="344" dataCellStyle="Comma">
      <calculatedColumnFormula array="1">IF(OR($B84="",$G84="",ProjectWasteTable[[#This Row],[Converted data]]=""),"",(INDEX('Emission factors'!$K$3:$V$381,MATCH($B84&amp;$C84,'Emission factors'!$K$3:$K$381&amp;'Emission factors'!$L$3:$L$381,0),MATCH(P$52,'Emission factors'!$K$2:$V$2,0)))*$I84)</calculatedColumnFormula>
    </tableColumn>
    <tableColumn id="15" xr3:uid="{00000000-0010-0000-0A00-00000F000000}" name="Indirect service" dataDxfId="343" dataCellStyle="Comma">
      <calculatedColumnFormula array="1">IF(OR($B84="",$G84="",ProjectWasteTable[[#This Row],[Converted data]]=""),"",(INDEX('Emission factors'!$K$3:$V$381,MATCH($B84&amp;$C84,'Emission factors'!$K$3:$K$381&amp;'Emission factors'!$L$3:$L$381,0),MATCH(Q$52,'Emission factors'!$K$2:$V$2,0)))*$I84)</calculatedColumnFormula>
    </tableColumn>
    <tableColumn id="16" xr3:uid="{00000000-0010-0000-0A00-000010000000}" name="Indirect T&amp;D" dataDxfId="342" dataCellStyle="Comma">
      <calculatedColumnFormula array="1">IF(OR($B84="",$G84="",ProjectWasteTable[[#This Row],[Converted data]]=""),"",(INDEX('Emission factors'!$K$3:$V$381,MATCH($B84&amp;$C84,'Emission factors'!$K$3:$K$381&amp;'Emission factors'!$L$3:$L$381,0),MATCH(R$52,'Emission factors'!$K$2:$V$2,0)))*$I84)</calculatedColumnFormula>
    </tableColumn>
    <tableColumn id="17" xr3:uid="{00000000-0010-0000-0A00-000011000000}" name="Indirect WTT" dataDxfId="341" dataCellStyle="Comma">
      <calculatedColumnFormula array="1">IF(OR($B84="",$G84="",ProjectWasteTable[[#This Row],[Converted data]]=""),"",(INDEX('Emission factors'!$K$3:$V$381,MATCH($B84&amp;$C84,'Emission factors'!$K$3:$K$381&amp;'Emission factors'!$L$3:$L$381,0),MATCH(S$52,'Emission factors'!$K$2:$V$2,0)))*$I84)</calculatedColumnFormula>
    </tableColumn>
    <tableColumn id="18" xr3:uid="{00000000-0010-0000-0A00-000012000000}" name="High" dataDxfId="340" dataCellStyle="Comma">
      <calculatedColumnFormula>IF(OR(ProjectWasteTable[[#This Row],[RSD]]="",ProjectWasteTable[[#This Row],[Total emissions]]=""),"",ProjectWasteTable[[#This Row],[Total emissions]]*(1+ProjectWasteTable[[#This Row],[RSD]]))</calculatedColumnFormula>
    </tableColumn>
    <tableColumn id="19" xr3:uid="{00000000-0010-0000-0A00-000013000000}" name="Low" dataDxfId="339" dataCellStyle="Comma">
      <calculatedColumnFormula>IF(OR(ProjectWasteTable[[#This Row],[RSD]]="",ProjectWasteTable[[#This Row],[Total emissions]]=""), "",ProjectWasteTable[[#This Row],[Total emissions]]*(1-ProjectWasteTable[[#This Row],[RSD]]))</calculatedColumnFormula>
    </tableColumn>
    <tableColumn id="20" xr3:uid="{00000000-0010-0000-0A00-000014000000}" name="Outside of scopes" dataDxfId="338" dataCellStyle="Comma">
      <calculatedColumnFormula array="1">IF(OR($B84="",$G84="",ProjectWasteTable[[#This Row],[Converted data]]=""),"",(INDEX('Emission factors'!$K$3:$V$381,MATCH($B84&amp;$C84,'Emission factors'!$K$3:$K$381&amp;'Emission factors'!$L$3:$L$381,0),MATCH(V$52,'Emission factors'!$K$2:$V$2,0)))*$I84)</calculatedColumnFormula>
    </tableColumn>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D000000}" name="SupplychainTier2" displayName="SupplychainTier2" ref="B123:V329" totalsRowShown="0" headerRowDxfId="337" dataDxfId="336" tableBorderDxfId="335">
  <autoFilter ref="B123:V329" xr:uid="{00000000-0009-0000-0100-00000A000000}"/>
  <tableColumns count="21">
    <tableColumn id="1" xr3:uid="{00000000-0010-0000-0D00-000001000000}" name="Supply chain group" dataDxfId="334"/>
    <tableColumn id="2" xr3:uid="{00000000-0010-0000-0D00-000002000000}" name="SIC code (SIC 2007)" dataDxfId="333"/>
    <tableColumn id="3" xr3:uid="{00000000-0010-0000-0D00-000003000000}" name="Product category" dataDxfId="332"/>
    <tableColumn id="11" xr3:uid="{3B65719D-4BB7-4D34-AC02-4226E41155E7}" name="Methodology" dataDxfId="331"/>
    <tableColumn id="12" xr3:uid="{91C6AE07-3F0B-4A9C-ABD1-4D4AB3048233}" name="RSD" dataDxfId="330"/>
    <tableColumn id="4" xr3:uid="{00000000-0010-0000-0D00-000004000000}" name="Spend for which Tier 2 method accounts" dataDxfId="329" dataCellStyle="Comma"/>
    <tableColumn id="5" xr3:uid="{00000000-0010-0000-0D00-000005000000}" name="Unit" dataDxfId="328"/>
    <tableColumn id="6" xr3:uid="{00000000-0010-0000-0D00-000006000000}" name="Converted data" dataDxfId="327" dataCellStyle="Comma">
      <calculatedColumnFormula>SupplychainTier2[[#This Row],[Spend for which Tier 2 method accounts]]</calculatedColumnFormula>
    </tableColumn>
    <tableColumn id="13" xr3:uid="{82E8E146-F728-486A-A83C-9573450EF053}" name="Standard units" dataDxfId="326" dataCellStyle="Comma"/>
    <tableColumn id="7" xr3:uid="{00000000-0010-0000-0D00-000007000000}" name="Total EF (kgCO2e/unit)" dataDxfId="325">
      <calculatedColumnFormula>IFERROR(SupplychainTier2[[#This Row],[Calculated emissions (kgCO2e) for this spend]]/SupplychainTier2[[#This Row],[Spend for which Tier 2 method accounts]],"")</calculatedColumnFormula>
    </tableColumn>
    <tableColumn id="14" xr3:uid="{3EA298DF-EF96-4A21-8D7E-8CBBFF5ADDD6}" name="Calculated emissions (kgCO2e) for this spend" dataDxfId="324"/>
    <tableColumn id="8" xr3:uid="{00000000-0010-0000-0D00-000008000000}" name="Notes on data source and methods" dataDxfId="323"/>
    <tableColumn id="15" xr3:uid="{C1E52126-60C4-4E63-9156-3F3D2B427B08}" name="Ease of collection" dataDxfId="322"/>
    <tableColumn id="16" xr3:uid="{C61CEF5C-6A91-475D-9622-8B129BAE8F0F}" name="Direct" dataDxfId="321"/>
    <tableColumn id="17" xr3:uid="{6692F9CC-5BAE-4BBF-A21E-9AA2E83B7F1D}" name="Indirect generation" dataDxfId="320"/>
    <tableColumn id="18" xr3:uid="{85F8F382-23B3-4A71-BCE9-E6452B8D74B5}" name="Indirect service" dataDxfId="319">
      <calculatedColumnFormula>SupplychainTier2[[#This Row],[Calculated emissions (kgCO2e) for this spend]]</calculatedColumnFormula>
    </tableColumn>
    <tableColumn id="19" xr3:uid="{7F71F65E-04A3-4CF9-B1CE-5140F93C368A}" name="Indirect T&amp;D" dataDxfId="318"/>
    <tableColumn id="20" xr3:uid="{A27676EE-48FE-4C7D-86DB-C5070CEFE9B5}" name="Indirect WTT" dataDxfId="317"/>
    <tableColumn id="9" xr3:uid="{E7EA0D9F-E5F0-4390-B8E0-0F47E8269F65}" name="High" dataDxfId="316">
      <calculatedColumnFormula>IF(SupplychainTier2[[#This Row],[Calculated emissions (kgCO2e) for this spend]]="","",(SupplychainTier2[[#This Row],[Calculated emissions (kgCO2e) for this spend]]*(1+SupplychainTier2[[#This Row],[RSD]])))</calculatedColumnFormula>
    </tableColumn>
    <tableColumn id="10" xr3:uid="{65A23ABC-30AE-4DEE-B505-F1ADB2267162}" name="Low" dataDxfId="315">
      <calculatedColumnFormula>IF(SupplychainTier2[[#This Row],[Calculated emissions (kgCO2e) for this spend]]="","",(SupplychainTier2[[#This Row],[Calculated emissions (kgCO2e) for this spend]]*(1-SupplychainTier2[[#This Row],[RSD]])))</calculatedColumnFormula>
    </tableColumn>
    <tableColumn id="21" xr3:uid="{6ABD1227-6C0A-4B99-B4B2-1200F2C74B0E}" name="Outside of scopes" dataDxfId="314"/>
  </tableColumns>
  <tableStyleInfo name="TableStyleMedium2"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E000000}" name="SupplyChainTier1" displayName="SupplyChainTier1" ref="B7:V117" totalsRowShown="0" headerRowDxfId="313" dataDxfId="312" tableBorderDxfId="311">
  <autoFilter ref="B7:V117" xr:uid="{00000000-0009-0000-0100-00000B000000}"/>
  <tableColumns count="21">
    <tableColumn id="1" xr3:uid="{00000000-0010-0000-0E00-000001000000}" name="Supply chain group" dataDxfId="310"/>
    <tableColumn id="2" xr3:uid="{00000000-0010-0000-0E00-000002000000}" name="SIC code (SIC 2007)" dataDxfId="309"/>
    <tableColumn id="3" xr3:uid="{00000000-0010-0000-0E00-000003000000}" name="Product category" dataDxfId="308"/>
    <tableColumn id="12" xr3:uid="{6CC8B958-8E40-46A2-9973-908006BB95B3}" name="Methodology" dataDxfId="307"/>
    <tableColumn id="13" xr3:uid="{1B2D0CE2-300F-4562-A964-3405F5A0312F}" name="RSD" dataDxfId="306"/>
    <tableColumn id="4" xr3:uid="{00000000-0010-0000-0E00-000004000000}" name="Amount spent by product category (£)" dataDxfId="305"/>
    <tableColumn id="16" xr3:uid="{E1B3C4AC-1A1D-44EA-BA38-EDAAFA4AA4A7}" name="Units" dataDxfId="304"/>
    <tableColumn id="15" xr3:uid="{C769DC4C-C54B-4E87-8945-594E546F1758}" name="Converted Data (£)" dataDxfId="303">
      <calculatedColumnFormula>SupplyChainTier1[[#This Row],[Amount spent by product category (£)]]</calculatedColumnFormula>
    </tableColumn>
    <tableColumn id="14" xr3:uid="{D5EB907C-A5DA-4094-8356-0511C1F326F3}" name="Standard Units" dataDxfId="302"/>
    <tableColumn id="5" xr3:uid="{00000000-0010-0000-0E00-000005000000}" name="Emission factor (kgCO2e per £ spent)" dataDxfId="301"/>
    <tableColumn id="6" xr3:uid="{00000000-0010-0000-0E00-000006000000}" name="Total kg CO2e" dataDxfId="300" dataCellStyle="Comma">
      <calculatedColumnFormula>IF(ISBLANK(G8),"",G8*K8)</calculatedColumnFormula>
    </tableColumn>
    <tableColumn id="8" xr3:uid="{00000000-0010-0000-0E00-000008000000}" name="Notes on data source and exclusions" dataDxfId="299"/>
    <tableColumn id="17" xr3:uid="{A00968CD-AD80-46D4-94F5-41299A8AF3DB}" name="Ease of collection" dataDxfId="298"/>
    <tableColumn id="19" xr3:uid="{17B95218-1FB4-45B3-BBAA-E6E237DDA7D8}" name="Direct" dataDxfId="297"/>
    <tableColumn id="20" xr3:uid="{134C172B-B399-4857-A967-B4B0BE654D9A}" name="Indirect generation" dataDxfId="296"/>
    <tableColumn id="11" xr3:uid="{DC2A7C2E-9D1F-41DF-BA5A-5E65FDF08032}" name="Indirect service" dataDxfId="295">
      <calculatedColumnFormula>((SupplyChainTier1[[#This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calculatedColumnFormula>
    </tableColumn>
    <tableColumn id="22" xr3:uid="{92FE4B4F-B127-41A0-BCA1-5505A07A3ECD}" name="Indirect T&amp;D" dataDxfId="294"/>
    <tableColumn id="21" xr3:uid="{CB0445E3-536F-4EC9-86D7-DD6843471914}" name="Indirect WTT" dataDxfId="293"/>
    <tableColumn id="9" xr3:uid="{39F25AE2-3B62-47C4-A5EA-0905A53AD4F7}" name="High" dataDxfId="292">
      <calculatedColumnFormula>(SupplyChainTier1[[#This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calculatedColumnFormula>
    </tableColumn>
    <tableColumn id="10" xr3:uid="{E85DA3C2-02C9-4DE9-B5AC-59FE2359C47E}" name="Low" dataDxfId="291">
      <calculatedColumnFormula>(SupplyChainTier1[[#This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calculatedColumnFormula>
    </tableColumn>
    <tableColumn id="23" xr3:uid="{595308A6-6B84-4D1D-ACC9-E610C9CCE1BA}" name="Outside of scopes" dataDxfId="290"/>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B000000}" name="LandTier1Table" displayName="LandTier1Table" ref="B15:V99" totalsRowShown="0" headerRowDxfId="289" dataDxfId="288" tableBorderDxfId="287">
  <autoFilter ref="B15:V99" xr:uid="{00000000-0009-0000-0100-00000E000000}"/>
  <tableColumns count="21">
    <tableColumn id="1" xr3:uid="{00000000-0010-0000-0B00-000001000000}" name="Current land use type" dataDxfId="286"/>
    <tableColumn id="2" xr3:uid="{00000000-0010-0000-0B00-000002000000}" name="Soil type" dataDxfId="285"/>
    <tableColumn id="3" xr3:uid="{00000000-0010-0000-0B00-000003000000}" name="Previous land use type (select the same type as current if &gt;20 years under same use)" dataDxfId="284"/>
    <tableColumn id="11" xr3:uid="{425825CD-76CA-4411-986A-F1C69791B49D}" name="Methodology" dataDxfId="283"/>
    <tableColumn id="12" xr3:uid="{F2AB16EA-4B17-46D9-B85D-C38EE0802206}" name="RSD estimate (+/-%)" dataDxfId="282">
      <calculatedColumnFormula>IF(LandTier1Table[[#This Row],[Total  kg CO2e]]="", " ", 0.25)</calculatedColumnFormula>
    </tableColumn>
    <tableColumn id="4" xr3:uid="{00000000-0010-0000-0B00-000004000000}" name="Land area in hectares (ha)" dataDxfId="281" dataCellStyle="Comma"/>
    <tableColumn id="13" xr3:uid="{5F6B4F28-8288-48D9-9666-478A042E213E}" name="Unit" dataDxfId="280" dataCellStyle="Comma"/>
    <tableColumn id="14" xr3:uid="{EAC2AF74-3075-40CA-88E7-3E8F17EE43F7}" name="Converted data" dataDxfId="279" dataCellStyle="Comma">
      <calculatedColumnFormula>LandTier1Table[[#This Row],[Land area in hectares (ha)]]</calculatedColumnFormula>
    </tableColumn>
    <tableColumn id="15" xr3:uid="{093C0A29-99BE-44C8-BF48-25698F283BB0}" name="Standard units" dataDxfId="278" dataCellStyle="Comma"/>
    <tableColumn id="5" xr3:uid="{00000000-0010-0000-0B00-000005000000}" name="Emission factor (tCO2/ha/year)" dataDxfId="277">
      <calculatedColumnFormula array="1">IF(OR(B16="",C16="",D16="",G16=""),"",INDEX('Land Emission Factors'!$E$9:$J$20,MATCH(B16&amp;C16,'Land Emission Factors'!$C$9:$C$20&amp;'Land Emission Factors'!$D$9:$D$20,0),MATCH('Land use &amp; agriculture'!D16,'Land Emission Factors'!$E$8:$J$8,0)))</calculatedColumnFormula>
    </tableColumn>
    <tableColumn id="6" xr3:uid="{00000000-0010-0000-0B00-000006000000}" name="Total  kg CO2e" dataDxfId="276" dataCellStyle="Comma">
      <calculatedColumnFormula>IF(OR(B16="",C16="",D16="",G16="",K16="No emission factor available"),"",G16*K16*1000)</calculatedColumnFormula>
    </tableColumn>
    <tableColumn id="7" xr3:uid="{00000000-0010-0000-0B00-000007000000}" name="Source of data (e.g. estates team digital maps or estimates)" dataDxfId="275"/>
    <tableColumn id="8" xr3:uid="{00000000-0010-0000-0B00-000008000000}" name="Ease of collection" dataDxfId="274"/>
    <tableColumn id="20" xr3:uid="{9A94638D-DCC3-4107-87B6-0BE9324497D6}" name="Direct" dataDxfId="273"/>
    <tableColumn id="19" xr3:uid="{9E1493B3-81EE-4178-A6FA-404AEC4A6A35}" name="Indirect generation" dataDxfId="272"/>
    <tableColumn id="18" xr3:uid="{47C9C687-4807-462B-BED3-2158BA9F3762}" name="Indirect service" dataDxfId="271"/>
    <tableColumn id="17" xr3:uid="{6E32610D-A997-44D1-9D17-6918ADE05650}" name="Indirect T&amp;D" dataDxfId="270"/>
    <tableColumn id="16" xr3:uid="{8F5A49EE-205B-4559-8D10-E64B4EAFAEB0}" name="Indirect WTT" dataDxfId="269"/>
    <tableColumn id="9" xr3:uid="{512D0B73-C529-4F5D-9809-BAF2F9C5FC62}" name="High" dataDxfId="268">
      <calculatedColumnFormula>IF(LandTier1Table[[#This Row],[Total  kg CO2e]]="", "",(LandTier1Table[[#This Row],[Total  kg CO2e]]*(1+LandTier1Table[[#This Row],[RSD estimate (+/-%)]])))</calculatedColumnFormula>
    </tableColumn>
    <tableColumn id="10" xr3:uid="{B1AF86DE-3C88-4476-96FA-029C7E257CED}" name="Low" dataDxfId="267">
      <calculatedColumnFormula>IF(LandTier1Table[[#This Row],[Total  kg CO2e]]="", "",(LandTier1Table[[#This Row],[Total  kg CO2e]]*(1-LandTier1Table[[#This Row],[RSD estimate (+/-%)]])))</calculatedColumnFormula>
    </tableColumn>
    <tableColumn id="21" xr3:uid="{332D6817-0C5E-4C64-8721-D290CF1E2168}" name="Outside of scopes" dataDxfId="266">
      <calculatedColumnFormula>LandTier1Table[[#This Row],[Total  kg CO2e]]</calculatedColumnFormula>
    </tableColumn>
  </tableColumns>
  <tableStyleInfo name="TableStyleMedium2"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C000000}" name="LandTier2Table" displayName="LandTier2Table" ref="B103:V126" totalsRowShown="0" headerRowDxfId="265" dataDxfId="264" tableBorderDxfId="263">
  <autoFilter ref="B103:V126" xr:uid="{00000000-0009-0000-0100-000010000000}"/>
  <tableColumns count="21">
    <tableColumn id="1" xr3:uid="{00000000-0010-0000-0C00-000001000000}" name="Land use type" dataDxfId="262"/>
    <tableColumn id="2" xr3:uid="{00000000-0010-0000-0C00-000002000000}" name="Soil type" dataDxfId="261"/>
    <tableColumn id="3" xr3:uid="{00000000-0010-0000-0C00-000003000000}" name="Not used" dataDxfId="260"/>
    <tableColumn id="9" xr3:uid="{2A0CC188-6743-4D2F-B70A-83A070E93F1F}" name="Methodology used (IPCC equivalent Tier)" dataDxfId="259"/>
    <tableColumn id="10" xr3:uid="{64F0716A-A60F-4AEE-98CE-695129F56584}" name="RSD estimate (+/-%)" dataDxfId="258">
      <calculatedColumnFormula array="1">IFERROR(_xlfn.SWITCH(LandTier2Table[[#This Row],[Methodology used (IPCC equivalent Tier)]],"Tier 3",0.1,"Tier 2",0.15,"Tier 1",0.2,"",""),"")</calculatedColumnFormula>
    </tableColumn>
    <tableColumn id="4" xr3:uid="{00000000-0010-0000-0C00-000004000000}" name="Land area in hectares (ha)" dataDxfId="257" dataCellStyle="Comma"/>
    <tableColumn id="5" xr3:uid="{00000000-0010-0000-0C00-000005000000}" name="Unit" dataDxfId="256"/>
    <tableColumn id="12" xr3:uid="{E8544369-9067-43FB-8FE3-1E002531E7EB}" name="Converted data" dataDxfId="255">
      <calculatedColumnFormula>LandTier2Table[[#This Row],[Land area in hectares (ha)]]</calculatedColumnFormula>
    </tableColumn>
    <tableColumn id="13" xr3:uid="{081A4A8A-EBFB-4C99-AC13-33AF99C5CD76}" name="Standard units" dataDxfId="254"/>
    <tableColumn id="11" xr3:uid="{A3D6A7CD-143F-4AA0-A84D-983B7C179602}" name="Emission factor (tCO2/ha/year)" dataDxfId="253">
      <calculatedColumnFormula>IFERROR(LandTier2Table[[#This Row],[Emission kg CO2e]]/LandTier2Table[[#This Row],[Land area in hectares (ha)]],"")</calculatedColumnFormula>
    </tableColumn>
    <tableColumn id="6" xr3:uid="{00000000-0010-0000-0C00-000006000000}" name="Emission kg CO2e" dataDxfId="252" dataCellStyle="Comma"/>
    <tableColumn id="7" xr3:uid="{00000000-0010-0000-0C00-000007000000}" name="Notes on data sources " dataDxfId="251"/>
    <tableColumn id="14" xr3:uid="{31B9503D-0314-465A-ACC8-BB82D2F012CD}" name="Ease of collection" dataDxfId="250"/>
    <tableColumn id="8" xr3:uid="{00000000-0010-0000-0C00-000008000000}" name="Direct" dataDxfId="249"/>
    <tableColumn id="15" xr3:uid="{7A0010FA-6AB1-4B69-8F9D-6EDB922C1A8F}" name="Indirect generation" dataDxfId="248"/>
    <tableColumn id="16" xr3:uid="{D4039E4A-45F0-4FC5-904C-886CF4F9A67A}" name="Indirect service" dataDxfId="247"/>
    <tableColumn id="17" xr3:uid="{C8A01AFF-2A29-43F1-A840-C73679EA7B18}" name="Indirect T&amp;D" dataDxfId="246"/>
    <tableColumn id="18" xr3:uid="{93238AC9-2B19-4E2C-A848-E209927CECD7}" name="Indirect WTT" dataDxfId="245"/>
    <tableColumn id="19" xr3:uid="{7A7CCD5C-1F8B-4541-AF6D-D6F420B0BE23}" name="High" dataDxfId="244">
      <calculatedColumnFormula>IF(LandTier2Table[[#This Row],[Emission kg CO2e]]="", "",(LandTier2Table[[#This Row],[Emission kg CO2e]]*(1+LandTier2Table[[#This Row],[RSD estimate (+/-%)]])))</calculatedColumnFormula>
    </tableColumn>
    <tableColumn id="20" xr3:uid="{593DFA34-0345-4311-944A-84C1B8731E16}" name="Low" dataDxfId="243">
      <calculatedColumnFormula>IF(LandTier2Table[[#This Row],[Emission kg CO2e]]="", "",(LandTier2Table[[#This Row],[Emission kg CO2e]]*(1-LandTier2Table[[#This Row],[RSD estimate (+/-%)]])))</calculatedColumnFormula>
    </tableColumn>
    <tableColumn id="21" xr3:uid="{6AFDEC61-EB59-4877-8016-0725874EFE7E}" name="Outside of scopes" dataDxfId="242">
      <calculatedColumnFormula>LandTier2Table[[#This Row],[Emission kg CO2e]]</calculatedColumnFormula>
    </tableColumn>
  </tableColumns>
  <tableStyleInfo name="TableStyleMedium2"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95459E53-1555-454A-B074-61F7E972BD4B}" name="AgricultureTable" displayName="AgricultureTable" ref="B129:V145" totalsRowShown="0" headerRowDxfId="241" dataDxfId="240" tableBorderDxfId="239" dataCellStyle="Comma">
  <autoFilter ref="B129:V145" xr:uid="{95459E53-1555-454A-B074-61F7E972BD4B}"/>
  <tableColumns count="21">
    <tableColumn id="1" xr3:uid="{E009B087-FF94-4CC4-A68A-4800FEE4C194}" name="Agriculture emission source" dataDxfId="238"/>
    <tableColumn id="2" xr3:uid="{EDD61EEB-7EB0-4543-B8D0-191B8428CFE1}" name="Category  1" dataDxfId="237"/>
    <tableColumn id="3" xr3:uid="{F5161481-601A-489C-8AD7-A5FE861C52AA}" name="Not used" dataDxfId="236"/>
    <tableColumn id="4" xr3:uid="{A6064294-40DB-4C5E-B8C5-AB0694F8A9EC}" name="Methodology" dataDxfId="235"/>
    <tableColumn id="5" xr3:uid="{FE344A72-AF78-42D8-9E9A-BAD55FA046E4}" name="RSD" dataDxfId="234">
      <calculatedColumnFormula>IF(E130="","",INDEX(Lists!$BA$4:$BC$31,MATCH(B130,Lists!$AZ$4:$AZ$31,0),MATCH(E130,Lists!$BA$3:$BC$3,0)))</calculatedColumnFormula>
    </tableColumn>
    <tableColumn id="6" xr3:uid="{C6BD0D27-BFF9-44DE-8BA5-D02F58B45A20}" name="Data" dataDxfId="233" dataCellStyle="Comma"/>
    <tableColumn id="7" xr3:uid="{3E77A178-512D-4250-AF78-A4262D1F190D}" name="Units" dataDxfId="232"/>
    <tableColumn id="8" xr3:uid="{20B8240D-7B59-4B27-8F36-5984AB44EE14}" name="Converted data" dataDxfId="231" dataCellStyle="Comma">
      <calculatedColumnFormula array="1">IF(OR($C130="",$B130="",$G130="",$H130=""),"",IF(H130=J130,G130,(INDEX('Emission factors'!$K$3:$V$201,MATCH(B130&amp;C130,'Emission factors'!$J$3:$J$201&amp;'Emission factors'!$K$3:$K$201,0),MATCH(AgricultureTable[[#Headers],[Converted data]],'Emission factors'!$K$2:$V$2,0)))*G130))</calculatedColumnFormula>
    </tableColumn>
    <tableColumn id="9" xr3:uid="{2FF47EEE-4F3E-4357-993A-3C305C63CD9E}" name="Standard units" dataDxfId="230">
      <calculatedColumnFormula>IF(B130="","",INDEX('Emission factors'!$J$3:$V$201,MATCH('Land use &amp; agriculture'!$B130,'Emission factors'!$J$3:$J$201,0),MATCH($J$129,'Emission factors'!$J$2:$V$2,0)))</calculatedColumnFormula>
    </tableColumn>
    <tableColumn id="10" xr3:uid="{8A58F492-3A74-4E01-8701-A6D64B597DC7}" name="Total EF (kgCO2e/unit)" dataDxfId="229" dataCellStyle="Comma">
      <calculatedColumnFormula array="1">IF(OR(C130="",G130=""),"",INDEX('Emission factors'!$K$3:$V$201,MATCH('Land use &amp; agriculture'!$B130&amp;$C130,'Emission factors'!$J$3:$J$201&amp;'Emission factors'!$K$3:$K$201,0),MATCH(AgricultureTable[[#Headers],[Total EF (kgCO2e/unit)]],'Emission factors'!$K$2:$V$2,0)))</calculatedColumnFormula>
    </tableColumn>
    <tableColumn id="11" xr3:uid="{821C8A18-FF28-4BB7-BD84-110F6C0F07FF}" name="Total emissions (kgCO2e)" dataDxfId="228" dataCellStyle="Comma">
      <calculatedColumnFormula>IF(OR(I130="",K130=""),"",SUM(AgricultureTable[[#This Row],[Direct]:[Indirect WTT]]))</calculatedColumnFormula>
    </tableColumn>
    <tableColumn id="12" xr3:uid="{62EF7453-625E-4B65-9853-DA81330B7183}" name="Notes" dataDxfId="227"/>
    <tableColumn id="13" xr3:uid="{0F0520B1-6B7B-40A4-B635-6B29F7828CD6}" name="Ease of collection" dataDxfId="226"/>
    <tableColumn id="14" xr3:uid="{CDD2DE00-33A8-4FED-B696-2CECEE41DA3B}" name="Direct" dataDxfId="225" dataCellStyle="Comma">
      <calculatedColumnFormula>IF(OR($B130="",$G130=""),"",AgricultureTable[[#This Row],[Total EF (kgCO2e/unit)]]*$I130)</calculatedColumnFormula>
    </tableColumn>
    <tableColumn id="15" xr3:uid="{8D3A8C99-08D3-41C4-9C1E-C814C2ACC8DC}" name="Indirect generation" dataDxfId="224" dataCellStyle="Comma">
      <calculatedColumnFormula array="1">IF(OR($B130="",$G130=""),"",(INDEX('Emission factors'!$K$3:$V$201,MATCH('Land use &amp; agriculture'!$B130&amp;$C130,'Emission factors'!$J$3:$J$201&amp;'Emission factors'!$K$3:$K$201,0),MATCH(AgricultureTable[[#Headers],[Indirect generation]],'Emission factors'!$K$2:$V$2,0)))*$I130)</calculatedColumnFormula>
    </tableColumn>
    <tableColumn id="16" xr3:uid="{3B4F536F-5A71-461E-88B0-B38C3EF1A393}" name="Indirect service" dataDxfId="223" dataCellStyle="Comma">
      <calculatedColumnFormula array="1">IF(OR($B130="",$G130=""),"",(INDEX('Emission factors'!$K$3:$V$201,MATCH('Land use &amp; agriculture'!$B130&amp;$C130,'Emission factors'!$J$3:$J$201&amp;'Emission factors'!$K$3:$K$201,0),MATCH(AgricultureTable[[#Headers],[Indirect service]],'Emission factors'!$K$2:$V$2,0)))*$I130)</calculatedColumnFormula>
    </tableColumn>
    <tableColumn id="17" xr3:uid="{EA3C410A-2E73-49DB-B1C2-02016CA01B5F}" name="Indirect T&amp;D" dataDxfId="222" dataCellStyle="Comma">
      <calculatedColumnFormula array="1">IF(OR($B130="",$G130=""),"",(INDEX('Emission factors'!$K$3:$V$201,MATCH('Land use &amp; agriculture'!$B130&amp;$C130,'Emission factors'!$J$3:$J$201&amp;'Emission factors'!$K$3:$K$201,0),MATCH(AgricultureTable[[#Headers],[Indirect T&amp;D]],'Emission factors'!$K$2:$V$2,0)))*$I130)</calculatedColumnFormula>
    </tableColumn>
    <tableColumn id="18" xr3:uid="{42E7FB0E-5110-45F6-8113-8167EF68995B}" name="Indirect WTT" dataDxfId="221" dataCellStyle="Comma">
      <calculatedColumnFormula array="1">IF(OR($B130="",$G130=""),"",(INDEX('Emission factors'!$K$3:$V$201,MATCH('Land use &amp; agriculture'!$B130&amp;$C130,'Emission factors'!$J$3:$J$201&amp;'Emission factors'!$K$3:$K$201,0),MATCH(AgricultureTable[[#Headers],[Indirect WTT]],'Emission factors'!$K$2:$V$2,0)))*$I130)</calculatedColumnFormula>
    </tableColumn>
    <tableColumn id="19" xr3:uid="{5C975ABA-E138-4250-A6C0-95599DC80AF3}" name="High" dataDxfId="220" dataCellStyle="Comma">
      <calculatedColumnFormula>IF(OR($L130="",$F130=""),"",$L130*(1+$F130))</calculatedColumnFormula>
    </tableColumn>
    <tableColumn id="20" xr3:uid="{45A22334-33B2-47A4-A8A2-5A861B8B27C0}" name="Low" dataDxfId="219" dataCellStyle="Comma">
      <calculatedColumnFormula>IF(OR($L130="",$F130=""),"",$L130*(1-$F130))</calculatedColumnFormula>
    </tableColumn>
    <tableColumn id="21" xr3:uid="{E54ABB4D-08BB-4F23-BFE7-29FBEC93295B}" name="Outside of scopes" dataDxfId="218" dataCellStyle="Comma">
      <calculatedColumnFormula array="1">IF(OR($B130="",$G130=""),"",(INDEX('Emission factors'!$K$3:$V$201,MATCH('Land use &amp; agriculture'!$B130&amp;$C130,'Emission factors'!$J$3:$J$201&amp;'Emission factors'!$K$3:$K$201,0),MATCH($V$129,'Emission factors'!$K$2:$V$2,0)))*$I130)</calculatedColumnFormula>
    </tableColumn>
  </tableColumns>
  <tableStyleInfo name="TableStyleMedium2"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F000000}" name="OnsiteHeatTable" displayName="OnsiteHeatTable" ref="B36:R60" totalsRowShown="0" headerRowDxfId="217" dataDxfId="215" headerRowBorderDxfId="216" tableBorderDxfId="214" totalsRowBorderDxfId="213" dataCellStyle="Comma">
  <autoFilter ref="B36:R60" xr:uid="{00000000-0009-0000-0100-00000C000000}"/>
  <tableColumns count="17">
    <tableColumn id="14" xr3:uid="{3C17BAE0-FB93-4192-AF72-04B9CD0FCAEC}" name="Generating site name" dataDxfId="212" dataCellStyle="Comma"/>
    <tableColumn id="15" xr3:uid="{2B82AFB9-5017-4BFF-B8C0-CBEC9A6BFBBA}" name="Location" dataDxfId="211"/>
    <tableColumn id="1" xr3:uid="{00000000-0010-0000-0F00-000001000000}" name="Renewable Type" dataDxfId="210"/>
    <tableColumn id="2" xr3:uid="{00000000-0010-0000-0F00-000002000000}" name="Technology" dataDxfId="209"/>
    <tableColumn id="3" xr3:uid="{00000000-0010-0000-0F00-000003000000}" name="Methodology used" dataDxfId="208"/>
    <tableColumn id="10" xr3:uid="{2C3DD388-D73E-4BF0-B601-EE2AD575A0EC}" name="Type of ownership" dataDxfId="207"/>
    <tableColumn id="16" xr3:uid="{B50FBE4A-C047-4588-AC56-2030EDC88DC8}" name="Age (years)" dataDxfId="206"/>
    <tableColumn id="4" xr3:uid="{00000000-0010-0000-0F00-000004000000}" name="RSD" dataDxfId="205">
      <calculatedColumnFormula>IF(F37="","",INDEX(Lists!$BA$4:$BC$37,MATCH(OnsiteHeatTable[[#This Row],[Renewable Type]],Lists!$AZ$4:$AZ$37,0),MATCH(OnsiteHeatTable[[#This Row],[Methodology used]],Lists!$BA$3:$BC$3,0)))</calculatedColumnFormula>
    </tableColumn>
    <tableColumn id="12" xr3:uid="{EFCAD6AB-B3A7-4660-A3E1-0F0D52A6D23A}" name="Total MW capacity (thermal)" dataDxfId="204" dataCellStyle="Comma"/>
    <tableColumn id="17" xr3:uid="{E068251D-6B96-4C2C-80FB-3BA0EDC92A80}" name="Not used" dataDxfId="203" dataCellStyle="Comma"/>
    <tableColumn id="5" xr3:uid="{00000000-0010-0000-0F00-000005000000}" name="Total kWh generated" dataDxfId="202" dataCellStyle="Comma">
      <calculatedColumnFormula>SUM(OnsiteHeatTable[[#This Row],[kWh consumed by reporting organisation]:[kWh exported to other PSB]])</calculatedColumnFormula>
    </tableColumn>
    <tableColumn id="6" xr3:uid="{00000000-0010-0000-0F00-000006000000}" name="kWh consumed by reporting organisation" dataDxfId="201" dataCellStyle="Comma"/>
    <tableColumn id="11" xr3:uid="{CF2CDA7D-1CD5-4D10-9DE3-722D7E285EED}" name="kWh exported to a heat network" dataDxfId="200" dataCellStyle="Comma"/>
    <tableColumn id="7" xr3:uid="{00000000-0010-0000-0F00-000007000000}" name="kWh exported to other PSB" dataDxfId="199" dataCellStyle="Comma"/>
    <tableColumn id="13" xr3:uid="{2275ED76-3F23-4F9C-A4DE-8471E6B8F491}" name="Name of other Public Sector Body" dataDxfId="198" dataCellStyle="Comma"/>
    <tableColumn id="8" xr3:uid="{00000000-0010-0000-0F00-000008000000}" name="Notes" dataDxfId="197"/>
    <tableColumn id="9" xr3:uid="{00000000-0010-0000-0F00-000009000000}" name="Ease of collection" dataDxfId="196"/>
  </tableColumns>
  <tableStyleInfo name="TableStyleMedium2"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10000000}" name="PurchasedRenewablesTable" displayName="PurchasedRenewablesTable" ref="B91:J105" totalsRowShown="0" headerRowDxfId="195" dataDxfId="193" headerRowBorderDxfId="194" tableBorderDxfId="192" totalsRowBorderDxfId="191" dataCellStyle="Comma">
  <autoFilter ref="B91:J105" xr:uid="{00000000-0009-0000-0100-00000D000000}"/>
  <tableColumns count="9">
    <tableColumn id="1" xr3:uid="{00000000-0010-0000-1000-000001000000}" name="Renewable Type" dataDxfId="190"/>
    <tableColumn id="2" xr3:uid="{00000000-0010-0000-1000-000002000000}" name="Agreement" dataDxfId="189"/>
    <tableColumn id="3" xr3:uid="{00000000-0010-0000-1000-000003000000}" name="Methodology used" dataDxfId="188"/>
    <tableColumn id="4" xr3:uid="{00000000-0010-0000-1000-000004000000}" name="RSD" dataDxfId="187">
      <calculatedColumnFormula>IF(D92="","",INDEX(Lists!$BA$4:$BC$37,MATCH(PurchasedRenewablesTable[[#This Row],[Renewable Type]],Lists!$AZ$4:$AZ$37,0),MATCH(PurchasedRenewablesTable[[#This Row],[Methodology used]],Lists!$BA$3:$BC$3,0)))</calculatedColumnFormula>
    </tableColumn>
    <tableColumn id="5" xr3:uid="{00000000-0010-0000-1000-000005000000}" name="Total kWh purchased" dataDxfId="186" dataCellStyle="Comma"/>
    <tableColumn id="6" xr3:uid="{00000000-0010-0000-1000-000006000000}" name="Not used" dataDxfId="185" dataCellStyle="Comma"/>
    <tableColumn id="7" xr3:uid="{00000000-0010-0000-1000-000007000000}" name="Not used2" dataDxfId="184" dataCellStyle="Comma">
      <calculatedColumnFormula>IF(OR(PurchasedRenewablesTable[[#This Row],[Total kWh purchased]]="",PurchasedRenewablesTable[[#This Row],[Not used]]=""),"",PurchasedRenewablesTable[[#This Row],[Total kWh purchased]]*PurchasedRenewablesTable[[#This Row],[Not used]])</calculatedColumnFormula>
    </tableColumn>
    <tableColumn id="8" xr3:uid="{00000000-0010-0000-1000-000008000000}" name="Notes" dataDxfId="183"/>
    <tableColumn id="9" xr3:uid="{00000000-0010-0000-1000-000009000000}" name="Ease of collection" dataDxfId="182"/>
  </tableColumns>
  <tableStyleInfo name="TableStyleMedium2"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764E0F3E-84BF-4830-B82A-EC64C2A41178}" name="OffsiteHeatTable" displayName="OffsiteHeatTable" ref="B64:R88" totalsRowShown="0" headerRowDxfId="181" dataDxfId="179" headerRowBorderDxfId="180" tableBorderDxfId="178" totalsRowBorderDxfId="177" dataCellStyle="Comma">
  <autoFilter ref="B64:R88" xr:uid="{764E0F3E-84BF-4830-B82A-EC64C2A41178}"/>
  <tableColumns count="17">
    <tableColumn id="14" xr3:uid="{BA9D6C2B-7966-4998-8D20-5C024C2A489F}" name="Generating site name" dataDxfId="176" dataCellStyle="Comma"/>
    <tableColumn id="15" xr3:uid="{ED166569-E5B2-441B-AD6C-EC5F772FFDBA}" name="Location" dataDxfId="175"/>
    <tableColumn id="1" xr3:uid="{C29407F2-0A62-4354-80BA-5056A09BEAA7}" name="Renewable Type" dataDxfId="174"/>
    <tableColumn id="2" xr3:uid="{2F6529AC-D446-4E9C-B97F-BB362CEC8592}" name="Technology" dataDxfId="173"/>
    <tableColumn id="3" xr3:uid="{D2C1B3C3-A324-48BE-8EE5-19050610D6B3}" name="Methodology used" dataDxfId="172"/>
    <tableColumn id="10" xr3:uid="{84752AFB-8F6C-4143-8031-1FDCE9C99CF9}" name="Type of ownership" dataDxfId="171"/>
    <tableColumn id="16" xr3:uid="{62F527E3-2E9D-40F7-9D0C-850EABA126C1}" name="Age (years)" dataDxfId="170"/>
    <tableColumn id="4" xr3:uid="{3972D508-6324-4C0E-A8FA-12ED40B84DFF}" name="RSD" dataDxfId="169">
      <calculatedColumnFormula>IF(F65="","",INDEX(Lists!$BA$4:$BC$37,MATCH(OffsiteHeatTable[[#This Row],[Renewable Type]],Lists!$AZ$4:$AZ$37,0),MATCH(OffsiteHeatTable[[#This Row],[Methodology used]],Lists!$BA$3:$BC$3,0)))</calculatedColumnFormula>
    </tableColumn>
    <tableColumn id="12" xr3:uid="{21479890-534E-44C4-B1AE-667B412F4C15}" name="Total MW capacity (thermal)" dataDxfId="168" dataCellStyle="Comma"/>
    <tableColumn id="17" xr3:uid="{C111B898-CA98-4B6B-9F46-FCE2B297FC24}" name="Not used" dataDxfId="167" dataCellStyle="Comma"/>
    <tableColumn id="5" xr3:uid="{48164FB4-C0ED-4251-9CCB-6A72D5D2C264}" name="Total kWh generated" dataDxfId="166" dataCellStyle="Comma">
      <calculatedColumnFormula>SUM(OffsiteHeatTable[[#This Row],[kWh consumed by reporting organisation]:[kWh exported to other PSB]])</calculatedColumnFormula>
    </tableColumn>
    <tableColumn id="6" xr3:uid="{B3C2304F-3D6E-4777-8023-98FEA7C2E295}" name="kWh consumed by reporting organisation" dataDxfId="165" dataCellStyle="Comma"/>
    <tableColumn id="11" xr3:uid="{DBC180D4-51B2-41D1-85E9-A1EA53009B5F}" name="kWh exported to grid" dataDxfId="164" dataCellStyle="Comma"/>
    <tableColumn id="7" xr3:uid="{7AA5FCB4-4D6F-4E94-B295-5A73A0CF308C}" name="kWh exported to other PSB" dataDxfId="163" dataCellStyle="Comma"/>
    <tableColumn id="13" xr3:uid="{1A5FF9C2-586C-42E2-961C-48A9CE04E694}" name="Name of other Public Sector Body" dataDxfId="162" dataCellStyle="Comma"/>
    <tableColumn id="8" xr3:uid="{128EA696-1363-4BF0-A0C2-F6CE278938AF}" name="Notes" dataDxfId="161"/>
    <tableColumn id="9" xr3:uid="{0C2B2E26-2181-4B1E-BB45-52500F6372BE}" name="Ease of collection" dataDxfId="160"/>
  </tableColumns>
  <tableStyleInfo name="TableStyleMedium2"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DA364FF0-977E-4124-AC65-D4A8296BDDDD}" name="RenewableElectricityTable" displayName="RenewableElectricityTable" ref="B7:R32" totalsRowShown="0" headerRowDxfId="159" dataDxfId="157" headerRowBorderDxfId="158" tableBorderDxfId="156" totalsRowBorderDxfId="155" dataCellStyle="Comma">
  <autoFilter ref="B7:R32" xr:uid="{DA364FF0-977E-4124-AC65-D4A8296BDDDD}"/>
  <tableColumns count="17">
    <tableColumn id="14" xr3:uid="{091825E7-91B1-41C6-9747-3D032F371318}" name="Generating site name" dataDxfId="154" dataCellStyle="Comma"/>
    <tableColumn id="15" xr3:uid="{FDBA1996-C7A6-4E8F-93CC-67E2D3E80833}" name="Location" dataDxfId="153"/>
    <tableColumn id="1" xr3:uid="{17013B9A-444C-4040-BCA3-3D6C6CAADDDC}" name="Renewable Type" dataDxfId="152"/>
    <tableColumn id="2" xr3:uid="{D3158FD1-8DB0-4ED3-9A5E-9E44BFA93D1F}" name="Technology" dataDxfId="151"/>
    <tableColumn id="3" xr3:uid="{D66D5451-0AFB-4412-A191-72CFB58D5F30}" name="Methodology used" dataDxfId="150"/>
    <tableColumn id="10" xr3:uid="{59381296-4B35-4C0B-B092-994E26E1B12F}" name="Type of ownership" dataDxfId="149"/>
    <tableColumn id="16" xr3:uid="{C48158E3-94DC-459C-8505-9C12B5438E79}" name="Age (years)" dataDxfId="148"/>
    <tableColumn id="4" xr3:uid="{9A3D44FD-39CD-41B0-9064-B93B6954156B}" name="RSD" dataDxfId="147">
      <calculatedColumnFormula>IF(F8="","",INDEX(Lists!$BA$4:$BC$37,MATCH(RenewableElectricityTable[[#This Row],[Renewable Type]],Lists!$AZ$4:$AZ$37,0),MATCH(RenewableElectricityTable[[#This Row],[Methodology used]],Lists!$BA$3:$BC$3,0)))</calculatedColumnFormula>
    </tableColumn>
    <tableColumn id="12" xr3:uid="{4C182F35-7B3F-4FD2-AFC0-38BFADD57C85}" name="Total kW capacity" dataDxfId="146" dataCellStyle="Comma"/>
    <tableColumn id="5" xr3:uid="{E4AB552F-E265-4415-A10F-FEC8D2716D1B}" name="Availability" dataDxfId="145" dataCellStyle="Comma"/>
    <tableColumn id="17" xr3:uid="{51756C68-432C-438F-8E9F-B55957BE0BE8}" name="Total kWh generated" dataDxfId="144" dataCellStyle="Comma">
      <calculatedColumnFormula>SUM(RenewableElectricityTable[[#This Row],[kWh consumed by reporting organisation]:[kWh exported to other PSB]])</calculatedColumnFormula>
    </tableColumn>
    <tableColumn id="6" xr3:uid="{C636AA47-8581-4759-B0F6-704555F8A251}" name="kWh consumed by reporting organisation" dataDxfId="143" dataCellStyle="Comma"/>
    <tableColumn id="11" xr3:uid="{5E83BA18-A4F8-43D0-842C-75B7CDC4B1C4}" name="kWh exported to grid" dataDxfId="142" dataCellStyle="Comma"/>
    <tableColumn id="7" xr3:uid="{05D83C50-D0AE-45F0-BDC5-3E467D22B07B}" name="kWh exported to other PSB" dataDxfId="141" dataCellStyle="Comma"/>
    <tableColumn id="13" xr3:uid="{8C973951-A453-4B7C-8807-9213F87D5AFD}" name="Name of other Public Sector Body" dataDxfId="140" dataCellStyle="Comma"/>
    <tableColumn id="8" xr3:uid="{DEF53444-9329-4C96-9DAA-8AECE36A123A}" name="Notes" dataDxfId="139"/>
    <tableColumn id="9" xr3:uid="{F8328B95-DE43-43D7-A153-BC4D53716181}" name="Ease of collection" dataDxfId="138"/>
  </tableColumns>
  <tableStyleInfo name="TableStyleMedium2"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D859C88-95AF-4565-AC49-754D612016AF}" name="TableTotals" displayName="TableTotals" ref="B2:AG1729" totalsRowShown="0" headerRowDxfId="137" tableBorderDxfId="136">
  <autoFilter ref="B2:AG1729" xr:uid="{DD859C88-95AF-4565-AC49-754D612016AF}"/>
  <tableColumns count="32">
    <tableColumn id="1" xr3:uid="{B35DABE7-5E9C-4A35-BEF8-EC7ED9814577}" name="ID" dataDxfId="135">
      <calculatedColumnFormula>"2024"&amp;MATCH(Totals!D3,OrgType,0)&amp;"_"&amp;MATCH(Totals!E3,Organisations,0)&amp;"_"&amp;LEFT(Totals!F3,1)&amp;"_"&amp;LEFT(G3,1)&amp;"_"&amp;COUNTIF($G$3:G3,G3)</calculatedColumnFormula>
    </tableColumn>
    <tableColumn id="2" xr3:uid="{EAFA7CD4-1756-4628-9D5C-175CB6C904A8}" name="Year" dataDxfId="134"/>
    <tableColumn id="3" xr3:uid="{0CBBBBFF-002F-4463-AB19-C29F49094BF8}" name="Orgainsation Type" dataDxfId="133">
      <calculatedColumnFormula>Introduction!$D$7</calculatedColumnFormula>
    </tableColumn>
    <tableColumn id="4" xr3:uid="{B0466310-7BF4-4397-8CFD-DF95D426D95F}" name="Organisation Name" dataDxfId="132">
      <calculatedColumnFormula>Introduction!$D$8</calculatedColumnFormula>
    </tableColumn>
    <tableColumn id="5" xr3:uid="{FFFFAE13-1F12-4472-9B6F-AA08F59EFD15}" name="Category" dataDxfId="131"/>
    <tableColumn id="6" xr3:uid="{52F6E133-8E53-4E6C-A6AA-D5310C34FA09}" name="Sub-Category" dataDxfId="130"/>
    <tableColumn id="7" xr3:uid="{AB3835EF-3B93-4E53-BFA6-75559FB9AA6A}" name="Descriptor 1" dataDxfId="129"/>
    <tableColumn id="32" xr3:uid="{B6996F54-5812-44D3-9AFF-F8AF9E5052A8}" name="UNR" dataDxfId="128"/>
    <tableColumn id="8" xr3:uid="{5CE00D10-D8F8-450D-AC8E-A110B1371235}" name="Descriptor 2" dataDxfId="127"/>
    <tableColumn id="29" xr3:uid="{BB0344FA-ED70-4331-9BDC-FA68FD97BF7A}" name="Building Category" dataDxfId="126">
      <calculatedColumnFormula>'Site Information'!D7</calculatedColumnFormula>
    </tableColumn>
    <tableColumn id="30" xr3:uid="{8DF890DA-F157-43A3-8CC5-F64AB69600F7}" name="Building Type" dataDxfId="125">
      <calculatedColumnFormula>'Site Information'!E7</calculatedColumnFormula>
    </tableColumn>
    <tableColumn id="9" xr3:uid="{7BAF3923-D36B-4A21-BF2F-3C7C9E9C51FD}" name="Descriptor 3" dataDxfId="124"/>
    <tableColumn id="10" xr3:uid="{4DD554A0-84EA-4FD8-AB6F-A97D5A18632C}" name="Descriptor 4" dataDxfId="123"/>
    <tableColumn id="31" xr3:uid="{4349F475-9A48-4361-830C-D9181E066879}" name="Number of vehicles" dataDxfId="122"/>
    <tableColumn id="11" xr3:uid="{AF0233EF-8A60-4159-991A-DE297392CCC0}" name="Methodology" dataDxfId="121"/>
    <tableColumn id="12" xr3:uid="{7855F39C-54D7-4D6D-B6F1-1CCBE6C398ED}" name="RSD" dataDxfId="120"/>
    <tableColumn id="13" xr3:uid="{B1E1EDED-4667-43E3-8CD0-32141C96D5FA}" name="Data" dataDxfId="119"/>
    <tableColumn id="14" xr3:uid="{6E456586-CF0C-4DCF-B1AF-A4223AFC7882}" name="Units" dataDxfId="118"/>
    <tableColumn id="15" xr3:uid="{8A9DF263-40F9-40E6-962D-F5DA2361E0C0}" name="Converted data" dataDxfId="117"/>
    <tableColumn id="16" xr3:uid="{3612FC6D-E0B0-4B2E-8546-504A76B3796E}" name="Standard units" dataDxfId="116"/>
    <tableColumn id="17" xr3:uid="{DD361A74-3756-4593-9794-B3A1A3248AB8}" name="Total EF (kgCO2e/unit)" dataDxfId="115"/>
    <tableColumn id="18" xr3:uid="{9588F5B7-11B7-4AA5-9304-5A7A8FB0F54B}" name="Total emissions (kgCO2e)" dataDxfId="114"/>
    <tableColumn id="19" xr3:uid="{7CC6C071-B5CA-4115-A00A-5CF73EDFABBD}" name="Notes" dataDxfId="113"/>
    <tableColumn id="20" xr3:uid="{4CBDD06D-8399-405D-A2D3-5D2FDBD77F09}" name="Ease of collection" dataDxfId="112"/>
    <tableColumn id="21" xr3:uid="{3C67B136-13B8-4F93-8ADA-0D23DE30E30A}" name="Direct" dataDxfId="111"/>
    <tableColumn id="22" xr3:uid="{AF7A9653-BB82-40D2-AE38-B1F4E911E66B}" name="Indirect generation" dataDxfId="110"/>
    <tableColumn id="23" xr3:uid="{A2781356-9D45-4911-BE88-2F4F06E9F5C0}" name="Indirect service" dataDxfId="109"/>
    <tableColumn id="24" xr3:uid="{E5A962E5-4F48-44F3-845F-8E2FF96779CA}" name="Indirect T&amp;D" dataDxfId="108"/>
    <tableColumn id="25" xr3:uid="{A8F2FD80-2421-4FE5-A687-BF7CD8F869FD}" name="Indirect WTT" dataDxfId="107"/>
    <tableColumn id="26" xr3:uid="{97ACF5CA-D176-4214-9532-AE0E6664F9F9}" name="High" dataDxfId="106"/>
    <tableColumn id="27" xr3:uid="{3F6762E2-AABE-407C-B212-FE129DD191FC}" name="Low" dataDxfId="105"/>
    <tableColumn id="28" xr3:uid="{7776FA7B-DC9B-4AFE-A7AE-E42C31983D81}" name="Outside of scopes" dataDxfId="104"/>
  </tableColumns>
  <tableStyleInfo name="TableStyleMedium2"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961EECAA-6AC6-4AB4-9710-F6714171388D}" name="Table23" displayName="Table23" ref="B2:X89" totalsRowShown="0" headerRowDxfId="103">
  <autoFilter ref="B2:X89" xr:uid="{961EECAA-6AC6-4AB4-9710-F6714171388D}"/>
  <tableColumns count="23">
    <tableColumn id="1" xr3:uid="{122B555C-A155-4825-8FD6-48D6AA2F2133}" name="ID" dataDxfId="102">
      <calculatedColumnFormula>"2025"&amp;MATCH(Totals!D3,OrgType,0)&amp;"_"&amp;MATCH(Totals!E3,Organisations,0)&amp;"_"&amp;LEFT(Totals!F3,1)&amp;"_"&amp;LEFT(G3,1)&amp;"_"&amp;COUNTIF($G$3:G3,G3)</calculatedColumnFormula>
    </tableColumn>
    <tableColumn id="2" xr3:uid="{7AE44924-C73D-4E20-9B5F-005F70B9B792}" name="Year" dataDxfId="101"/>
    <tableColumn id="3" xr3:uid="{8005B6A1-13CF-4524-BC82-84D737989913}" name="Orgainsation Type" dataDxfId="100">
      <calculatedColumnFormula>Introduction!$D$7</calculatedColumnFormula>
    </tableColumn>
    <tableColumn id="4" xr3:uid="{F0937232-D74B-49BB-96A5-98DD77877920}" name="Organisation Name" dataDxfId="99">
      <calculatedColumnFormula>Introduction!$D$8</calculatedColumnFormula>
    </tableColumn>
    <tableColumn id="5" xr3:uid="{90EFEF10-600A-4173-B25D-F28C44C4CC29}" name="Category"/>
    <tableColumn id="6" xr3:uid="{A5E5213D-8B38-483B-991B-E48C75316A3D}" name="Sub-Category"/>
    <tableColumn id="7" xr3:uid="{35D4D321-398C-48F2-99CA-D3344EEEFBC0}" name="Generating site name"/>
    <tableColumn id="23" xr3:uid="{E8C8B4C1-AC35-44AA-AD46-D640E75BDF47}" name="Location" dataDxfId="98"/>
    <tableColumn id="8" xr3:uid="{ED3AD306-12C1-4F5A-8B5C-69E34E1364B6}" name="Renewable Type" dataDxfId="97"/>
    <tableColumn id="11" xr3:uid="{98871A92-5F65-4D12-93AB-9E194F238E8B}" name="Technology" dataDxfId="96"/>
    <tableColumn id="12" xr3:uid="{5364D259-04AE-47ED-8481-84E534C43BE2}" name="Methodology used" dataDxfId="95"/>
    <tableColumn id="13" xr3:uid="{BC1A2E56-2D6E-44C3-83FC-1AFE92387CF9}" name="Type of ownership" dataDxfId="94"/>
    <tableColumn id="14" xr3:uid="{D65EC8CC-5C7D-43ED-A7E2-2EC00264CC1C}" name="Age (years)" dataDxfId="93"/>
    <tableColumn id="15" xr3:uid="{B783E181-7614-4751-90E5-827714423DE9}" name="RSD" dataDxfId="92"/>
    <tableColumn id="16" xr3:uid="{4E1B50B3-FC83-40E2-9274-A4A4E144E4E9}" name="Total kWh capacity" dataDxfId="91"/>
    <tableColumn id="17" xr3:uid="{04F05BD2-C5AF-4864-8622-5908CA0DB64B}" name="Availability" dataDxfId="90"/>
    <tableColumn id="18" xr3:uid="{56B6D47F-567E-48FB-A43E-8B6EEC90BF1C}" name="Total kWh generated" dataDxfId="89"/>
    <tableColumn id="19" xr3:uid="{01377352-B06D-4BD1-B90C-5E57F9960D2C}" name="kWh consumed by reporting organisation" dataDxfId="88"/>
    <tableColumn id="20" xr3:uid="{913BA40C-E455-4C9A-9DDE-DE01C2952B75}" name="kWh exported to grid" dataDxfId="87"/>
    <tableColumn id="21" xr3:uid="{5A076101-E442-4800-8B40-77673D500F63}" name="kWh exported to other PSB" dataDxfId="86"/>
    <tableColumn id="22" xr3:uid="{9099EDDE-E695-4DD5-9B12-586FC115ECDC}" name="Name of other Public Sector Body" dataDxfId="85"/>
    <tableColumn id="9" xr3:uid="{0C66A0ED-514F-4862-81F2-2B3459617098}" name="Notes" dataDxfId="84"/>
    <tableColumn id="10" xr3:uid="{2D032ABA-AD98-402C-B7EB-B431B0C94AEF}" name="Ease of collection" dataDxfId="83"/>
  </tableColumns>
  <tableStyleInfo name="TableStyleMedium2"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4126DF57-2319-40D5-A8E1-372B5FCD0EBB}" name="TableErrors" displayName="TableErrors" ref="B3:E33" totalsRowShown="0" headerRowDxfId="82" headerRowBorderDxfId="81" tableBorderDxfId="80">
  <autoFilter ref="B3:E33" xr:uid="{4126DF57-2319-40D5-A8E1-372B5FCD0EBB}"/>
  <tableColumns count="4">
    <tableColumn id="1" xr3:uid="{109FE07E-3B34-4FB7-A8A3-54300BCD8945}" name="Organisation Name" dataDxfId="79">
      <calculatedColumnFormula>Introduction!$D$8</calculatedColumnFormula>
    </tableColumn>
    <tableColumn id="2" xr3:uid="{C6F95D2A-AEA4-4011-B2DB-70C85372E91F}" name="Table" dataDxfId="78"/>
    <tableColumn id="3" xr3:uid="{9F392F9D-5EF4-4F5F-8DF8-91924A7AE17E}" name="Note" dataDxfId="77"/>
    <tableColumn id="4" xr3:uid="{352A94FB-C9B2-4B23-813C-1A8CD9EC52F3}" name="Error?" dataDxfId="76"/>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table" Target="../tables/table8.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drawing" Target="../drawings/drawing1.xml"/><Relationship Id="rId1" Type="http://schemas.openxmlformats.org/officeDocument/2006/relationships/printerSettings" Target="../printerSettings/printerSettings8.bin"/><Relationship Id="rId5" Type="http://schemas.openxmlformats.org/officeDocument/2006/relationships/table" Target="../tables/table12.xml"/><Relationship Id="rId4" Type="http://schemas.openxmlformats.org/officeDocument/2006/relationships/table" Target="../tables/table11.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4.xml"/><Relationship Id="rId2" Type="http://schemas.openxmlformats.org/officeDocument/2006/relationships/table" Target="../tables/table13.xml"/><Relationship Id="rId1" Type="http://schemas.openxmlformats.org/officeDocument/2006/relationships/printerSettings" Target="../printerSettings/printerSettings9.bin"/><Relationship Id="rId4" Type="http://schemas.openxmlformats.org/officeDocument/2006/relationships/table" Target="../tables/table15.xml"/></Relationships>
</file>

<file path=xl/worksheets/_rels/sheet12.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table" Target="../tables/table16.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19.xml"/><Relationship Id="rId2" Type="http://schemas.openxmlformats.org/officeDocument/2006/relationships/table" Target="../tables/table18.xml"/><Relationship Id="rId1" Type="http://schemas.openxmlformats.org/officeDocument/2006/relationships/printerSettings" Target="../printerSettings/printerSettings11.bin"/><Relationship Id="rId4" Type="http://schemas.openxmlformats.org/officeDocument/2006/relationships/table" Target="../tables/table20.xml"/></Relationships>
</file>

<file path=xl/worksheets/_rels/sheet14.xml.rels><?xml version="1.0" encoding="UTF-8" standalone="yes"?>
<Relationships xmlns="http://schemas.openxmlformats.org/package/2006/relationships"><Relationship Id="rId3" Type="http://schemas.openxmlformats.org/officeDocument/2006/relationships/table" Target="../tables/table22.xml"/><Relationship Id="rId2" Type="http://schemas.openxmlformats.org/officeDocument/2006/relationships/table" Target="../tables/table21.xml"/><Relationship Id="rId1" Type="http://schemas.openxmlformats.org/officeDocument/2006/relationships/printerSettings" Target="../printerSettings/printerSettings12.bin"/><Relationship Id="rId5" Type="http://schemas.openxmlformats.org/officeDocument/2006/relationships/table" Target="../tables/table24.xml"/><Relationship Id="rId4" Type="http://schemas.openxmlformats.org/officeDocument/2006/relationships/table" Target="../tables/table23.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25.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26.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cibse.org/Knowledge/Benchmarking" TargetMode="External"/><Relationship Id="rId2" Type="http://schemas.openxmlformats.org/officeDocument/2006/relationships/hyperlink" Target="https://www.racfoundation.org/assets/rac_foundation/content/downloadables/car-and-the-commute-web-version.pdf" TargetMode="External"/><Relationship Id="rId1" Type="http://schemas.openxmlformats.org/officeDocument/2006/relationships/hyperlink" Target="http://www.webflyer.com/travel/mileage_calculator/" TargetMode="External"/><Relationship Id="rId6" Type="http://schemas.openxmlformats.org/officeDocument/2006/relationships/printerSettings" Target="../printerSettings/printerSettings16.bin"/><Relationship Id="rId5" Type="http://schemas.openxmlformats.org/officeDocument/2006/relationships/hyperlink" Target="https://www.walesonline.co.uk/news/wales-news/dragon-taxis-cardiff-cost-fares-17767633" TargetMode="External"/><Relationship Id="rId4" Type="http://schemas.openxmlformats.org/officeDocument/2006/relationships/hyperlink" Target="https://www.gov.uk/government/statistical-data-sets/bus-statistics-data-tables%20-%20Number%20of%20journeys%20(BUS01a)" TargetMode="External"/></Relationships>
</file>

<file path=xl/worksheets/_rels/sheet21.xml.rels><?xml version="1.0" encoding="UTF-8" standalone="yes"?>
<Relationships xmlns="http://schemas.openxmlformats.org/package/2006/relationships"><Relationship Id="rId1" Type="http://schemas.openxmlformats.org/officeDocument/2006/relationships/table" Target="../tables/table2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rgb="FF27CCF9"/>
  </sheetPr>
  <dimension ref="A1:Q54"/>
  <sheetViews>
    <sheetView showGridLines="0" tabSelected="1" workbookViewId="0">
      <selection activeCell="D8" sqref="D8"/>
    </sheetView>
  </sheetViews>
  <sheetFormatPr defaultColWidth="8.54296875" defaultRowHeight="14.5" x14ac:dyDescent="0.35"/>
  <cols>
    <col min="1" max="1" width="3.6328125" style="1" customWidth="1"/>
    <col min="2" max="2" width="25.453125" style="1" customWidth="1"/>
    <col min="3" max="3" width="81.54296875" style="1" customWidth="1"/>
    <col min="4" max="4" width="47.36328125" style="1" customWidth="1"/>
    <col min="5" max="8" width="8.54296875" style="1"/>
    <col min="9" max="9" width="43.6328125" style="1" customWidth="1"/>
    <col min="10" max="16384" width="8.54296875" style="1"/>
  </cols>
  <sheetData>
    <row r="1" spans="2:14" x14ac:dyDescent="0.35">
      <c r="E1" s="500">
        <v>45758</v>
      </c>
      <c r="F1" s="500" t="s">
        <v>0</v>
      </c>
    </row>
    <row r="2" spans="2:14" ht="18.5" x14ac:dyDescent="0.35">
      <c r="B2" s="528" t="s">
        <v>1</v>
      </c>
      <c r="C2" s="529"/>
      <c r="D2" s="529"/>
      <c r="E2" s="529"/>
      <c r="F2" s="529"/>
      <c r="G2" s="529"/>
      <c r="H2" s="529"/>
      <c r="I2" s="529"/>
    </row>
    <row r="3" spans="2:14" ht="130.25" customHeight="1" x14ac:dyDescent="0.35">
      <c r="B3" s="526" t="s">
        <v>2</v>
      </c>
      <c r="C3" s="527"/>
      <c r="D3" s="527"/>
      <c r="E3" s="527"/>
      <c r="F3" s="527"/>
      <c r="G3" s="527"/>
      <c r="H3" s="527"/>
      <c r="I3" s="527"/>
      <c r="J3" s="501"/>
    </row>
    <row r="4" spans="2:14" ht="24" customHeight="1" x14ac:dyDescent="0.35">
      <c r="B4" s="530" t="s">
        <v>3</v>
      </c>
      <c r="C4" s="531"/>
      <c r="D4" s="502"/>
      <c r="E4" s="503"/>
      <c r="F4" s="503"/>
      <c r="G4" s="503"/>
      <c r="H4" s="503"/>
      <c r="I4" s="499"/>
      <c r="J4" s="501"/>
    </row>
    <row r="5" spans="2:14" x14ac:dyDescent="0.35">
      <c r="D5" s="11"/>
      <c r="J5" s="501"/>
    </row>
    <row r="6" spans="2:14" ht="19" thickBot="1" x14ac:dyDescent="0.4">
      <c r="B6" s="20" t="s">
        <v>4</v>
      </c>
      <c r="D6" s="504"/>
      <c r="J6" s="501"/>
    </row>
    <row r="7" spans="2:14" ht="15" thickBot="1" x14ac:dyDescent="0.4">
      <c r="B7" s="505" t="s">
        <v>4</v>
      </c>
      <c r="C7" s="4" t="s">
        <v>5</v>
      </c>
      <c r="D7" s="121"/>
      <c r="E7" s="11"/>
      <c r="H7" s="506" t="s">
        <v>6</v>
      </c>
      <c r="I7" s="506"/>
      <c r="J7" s="501"/>
    </row>
    <row r="8" spans="2:14" ht="15" thickBot="1" x14ac:dyDescent="0.4">
      <c r="B8" s="505" t="s">
        <v>4</v>
      </c>
      <c r="C8" s="4" t="s">
        <v>7</v>
      </c>
      <c r="D8" s="121"/>
      <c r="E8" s="11"/>
      <c r="J8" s="501"/>
    </row>
    <row r="9" spans="2:14" ht="15" thickBot="1" x14ac:dyDescent="0.4">
      <c r="B9" s="505" t="s">
        <v>4</v>
      </c>
      <c r="C9" s="4" t="s">
        <v>8</v>
      </c>
      <c r="D9" s="121"/>
      <c r="E9" s="11"/>
      <c r="H9" s="4"/>
      <c r="I9" s="9" t="s">
        <v>9</v>
      </c>
      <c r="J9" s="501"/>
    </row>
    <row r="10" spans="2:14" ht="15" thickBot="1" x14ac:dyDescent="0.4">
      <c r="B10" s="505" t="s">
        <v>4</v>
      </c>
      <c r="C10" s="4" t="s">
        <v>10</v>
      </c>
      <c r="D10" s="121"/>
      <c r="H10" s="507"/>
      <c r="I10" s="9" t="s">
        <v>11</v>
      </c>
      <c r="J10" s="501"/>
    </row>
    <row r="11" spans="2:14" ht="15" thickBot="1" x14ac:dyDescent="0.4">
      <c r="B11" s="505" t="s">
        <v>4</v>
      </c>
      <c r="C11" s="4" t="s">
        <v>12</v>
      </c>
      <c r="D11" s="122"/>
      <c r="H11" s="508"/>
      <c r="I11" s="9" t="s">
        <v>13</v>
      </c>
      <c r="J11" s="501"/>
    </row>
    <row r="12" spans="2:14" ht="15" thickBot="1" x14ac:dyDescent="0.4">
      <c r="B12" s="505" t="s">
        <v>4</v>
      </c>
      <c r="C12" s="4" t="s">
        <v>14</v>
      </c>
      <c r="D12" s="122"/>
      <c r="H12" s="509"/>
      <c r="I12" s="9" t="s">
        <v>15</v>
      </c>
      <c r="J12" s="501"/>
    </row>
    <row r="13" spans="2:14" ht="15" thickBot="1" x14ac:dyDescent="0.4">
      <c r="B13" s="505" t="s">
        <v>4</v>
      </c>
      <c r="C13" s="4" t="s">
        <v>16</v>
      </c>
      <c r="D13" s="148"/>
      <c r="E13" s="11"/>
      <c r="H13" s="510"/>
      <c r="I13" s="9" t="s">
        <v>17</v>
      </c>
      <c r="J13" s="501"/>
    </row>
    <row r="14" spans="2:14" ht="15" thickBot="1" x14ac:dyDescent="0.4">
      <c r="B14" s="505" t="s">
        <v>4</v>
      </c>
      <c r="C14" s="4" t="s">
        <v>18</v>
      </c>
      <c r="D14" s="70"/>
      <c r="H14" s="6"/>
      <c r="I14" s="9" t="s">
        <v>19</v>
      </c>
      <c r="J14" s="501"/>
      <c r="N14" s="11"/>
    </row>
    <row r="15" spans="2:14" ht="15" thickBot="1" x14ac:dyDescent="0.4">
      <c r="B15" s="505" t="s">
        <v>4</v>
      </c>
      <c r="C15" s="511" t="s">
        <v>20</v>
      </c>
      <c r="D15" s="70"/>
      <c r="H15"/>
      <c r="I15" s="9"/>
      <c r="J15" s="501"/>
      <c r="N15" s="11"/>
    </row>
    <row r="16" spans="2:14" ht="15" thickBot="1" x14ac:dyDescent="0.4">
      <c r="B16" s="505" t="s">
        <v>4</v>
      </c>
      <c r="C16" s="4" t="s">
        <v>21</v>
      </c>
      <c r="D16" s="122"/>
      <c r="E16" s="11"/>
      <c r="H16" s="512"/>
      <c r="I16" s="9"/>
      <c r="J16" s="501"/>
    </row>
    <row r="18" spans="2:17" ht="19" thickBot="1" x14ac:dyDescent="0.4">
      <c r="B18" s="20" t="s">
        <v>22</v>
      </c>
      <c r="C18" s="11"/>
      <c r="E18" s="7"/>
      <c r="F18" s="7"/>
      <c r="G18" s="7"/>
      <c r="H18" s="7"/>
      <c r="I18" s="7"/>
      <c r="J18" s="7"/>
      <c r="K18" s="7"/>
      <c r="L18" s="7"/>
      <c r="M18" s="7"/>
      <c r="N18" s="7"/>
      <c r="O18" s="7"/>
      <c r="P18" s="7"/>
    </row>
    <row r="19" spans="2:17" ht="15" thickBot="1" x14ac:dyDescent="0.4">
      <c r="B19" s="505" t="s">
        <v>23</v>
      </c>
      <c r="C19" s="513" t="s">
        <v>24</v>
      </c>
      <c r="D19" s="123"/>
      <c r="E19" s="514" t="str">
        <f>IF(D19="Y", "Please complete the table in the 'Site Information' tab and, as applicable, tables in the 'Buildings - Grid Electricity', 'Buildings - Heat &amp; Fuels' and 'Buildings - Water' tabs. See section 7.2 of the guidance for further information.", "")</f>
        <v/>
      </c>
      <c r="F19" s="501"/>
      <c r="G19" s="501"/>
      <c r="H19" s="501"/>
      <c r="I19" s="501"/>
      <c r="J19" s="501"/>
      <c r="K19" s="501"/>
      <c r="L19" s="501"/>
      <c r="M19" s="501"/>
      <c r="N19" s="501"/>
      <c r="O19" s="501"/>
      <c r="P19" s="501"/>
      <c r="Q19" s="30"/>
    </row>
    <row r="20" spans="2:17" ht="15" thickBot="1" x14ac:dyDescent="0.4">
      <c r="B20" s="505" t="s">
        <v>23</v>
      </c>
      <c r="C20" s="513" t="s">
        <v>25</v>
      </c>
      <c r="D20" s="123"/>
      <c r="E20" s="514" t="str">
        <f>IF(D20="Y", "Please complete the table in the 'Site Information' tab and, as applicable, tables in the 'Buildings - Grid Electricity', 'Buildings - Heat &amp; Fuels' and 'Buildings - Water' tabs. See section 7.2 of the guidance for further information.", "")</f>
        <v/>
      </c>
      <c r="F20" s="501"/>
      <c r="G20" s="501"/>
      <c r="H20" s="501"/>
      <c r="I20" s="501"/>
      <c r="J20" s="501"/>
      <c r="K20" s="501"/>
      <c r="L20" s="501"/>
      <c r="M20" s="501"/>
      <c r="N20" s="501"/>
      <c r="O20" s="501"/>
      <c r="P20" s="501"/>
      <c r="Q20" s="30"/>
    </row>
    <row r="21" spans="2:17" ht="15" thickBot="1" x14ac:dyDescent="0.4">
      <c r="B21" s="505" t="s">
        <v>23</v>
      </c>
      <c r="C21" s="513" t="s">
        <v>26</v>
      </c>
      <c r="D21" s="123"/>
      <c r="E21" s="514" t="str">
        <f>IF(D21="Y", "Please complete the table in the 'Site Information' tab and, as applicable, tables in the 'Buildings - Grid Electricity', 'Buildings - Heat &amp; Fuels' and 'Buildings - Water' tabs. See section 7.2 of the guidance for further information.", "")</f>
        <v/>
      </c>
      <c r="F21" s="501"/>
      <c r="G21" s="501"/>
      <c r="H21" s="501"/>
      <c r="I21" s="501"/>
      <c r="J21" s="501"/>
      <c r="K21" s="501"/>
      <c r="L21" s="501"/>
      <c r="M21" s="501"/>
      <c r="N21" s="501"/>
      <c r="O21" s="501"/>
      <c r="P21" s="501"/>
      <c r="Q21" s="30"/>
    </row>
    <row r="22" spans="2:17" ht="15" thickBot="1" x14ac:dyDescent="0.4">
      <c r="B22" s="505" t="s">
        <v>23</v>
      </c>
      <c r="C22" s="513" t="s">
        <v>27</v>
      </c>
      <c r="D22" s="123"/>
      <c r="E22" s="514" t="str">
        <f>IF(D22="Y", "If that public body is also reporting, these emissions are out of scope for your organisation. See section 7.2 of the guidance", "")</f>
        <v/>
      </c>
      <c r="F22" s="514"/>
      <c r="G22" s="501"/>
      <c r="H22" s="501"/>
      <c r="I22" s="501"/>
      <c r="J22" s="501"/>
      <c r="K22" s="501"/>
      <c r="L22" s="501"/>
      <c r="M22" s="501"/>
      <c r="N22" s="501"/>
      <c r="O22" s="501"/>
      <c r="P22" s="501"/>
      <c r="Q22" s="30"/>
    </row>
    <row r="23" spans="2:17" ht="15" thickBot="1" x14ac:dyDescent="0.4">
      <c r="B23" s="505" t="s">
        <v>23</v>
      </c>
      <c r="C23" s="513" t="s">
        <v>28</v>
      </c>
      <c r="D23" s="123"/>
      <c r="E23" s="38" t="str">
        <f>IF(D23="Y", "The majority of these emissions are out of scope. See section 7.2 of the guidance.", "")</f>
        <v/>
      </c>
      <c r="F23" s="514"/>
      <c r="G23" s="501"/>
      <c r="H23" s="501"/>
      <c r="I23" s="501"/>
      <c r="J23" s="501"/>
      <c r="K23" s="501"/>
      <c r="L23" s="501"/>
      <c r="M23" s="501"/>
      <c r="N23" s="501"/>
      <c r="O23" s="501"/>
      <c r="P23" s="501"/>
      <c r="Q23" s="30"/>
    </row>
    <row r="24" spans="2:17" ht="15" thickBot="1" x14ac:dyDescent="0.4">
      <c r="B24" s="505" t="s">
        <v>29</v>
      </c>
      <c r="C24" s="513" t="s">
        <v>30</v>
      </c>
      <c r="D24" s="123"/>
      <c r="E24" s="514" t="str">
        <f>IF(D24="Y", "Please complete the 'Streetlighting' table in the 'Buildings - Grid Electricity' tab. See section 7.3 of the guidance for further help.", "")</f>
        <v/>
      </c>
      <c r="F24" s="501"/>
      <c r="G24" s="501"/>
      <c r="H24" s="501"/>
      <c r="I24" s="501"/>
      <c r="J24" s="501"/>
      <c r="K24" s="501"/>
      <c r="L24" s="501"/>
      <c r="M24" s="501"/>
      <c r="N24" s="501"/>
      <c r="O24" s="501"/>
      <c r="P24" s="501"/>
      <c r="Q24" s="30"/>
    </row>
    <row r="25" spans="2:17" ht="15" thickBot="1" x14ac:dyDescent="0.4">
      <c r="B25" s="505" t="s">
        <v>31</v>
      </c>
      <c r="C25" s="513" t="s">
        <v>32</v>
      </c>
      <c r="D25" s="123"/>
      <c r="E25" s="514" t="str">
        <f>IF(D25="Y", "Please complete the 'Fleet and stationary assets' tab.  See section 7.4 of the guidance for further help", "")</f>
        <v/>
      </c>
      <c r="F25" s="501"/>
      <c r="G25" s="501"/>
      <c r="H25" s="501"/>
      <c r="I25" s="501"/>
      <c r="J25" s="501"/>
      <c r="K25" s="501"/>
      <c r="L25" s="501"/>
      <c r="M25" s="501"/>
      <c r="N25" s="501"/>
      <c r="O25" s="501"/>
      <c r="P25" s="501"/>
      <c r="Q25" s="30"/>
    </row>
    <row r="26" spans="2:17" ht="15" thickBot="1" x14ac:dyDescent="0.4">
      <c r="B26" s="505" t="s">
        <v>33</v>
      </c>
      <c r="C26" s="513" t="s">
        <v>34</v>
      </c>
      <c r="D26" s="123"/>
      <c r="E26" s="514" t="str">
        <f>IF(D26="Y", "Please complete the Agriculture table in the 'Land use &amp; agriculture' tab. See section 7.5 of the guidance for further help", "")</f>
        <v/>
      </c>
      <c r="F26" s="501"/>
      <c r="G26" s="501"/>
      <c r="H26" s="501"/>
      <c r="I26" s="501"/>
      <c r="J26" s="501"/>
      <c r="K26" s="501"/>
      <c r="L26" s="501"/>
      <c r="M26" s="501"/>
      <c r="N26" s="501"/>
      <c r="O26" s="501"/>
      <c r="P26" s="501"/>
      <c r="Q26" s="30"/>
    </row>
    <row r="27" spans="2:17" ht="26.5" thickBot="1" x14ac:dyDescent="0.4">
      <c r="B27" s="505" t="s">
        <v>35</v>
      </c>
      <c r="C27" s="515" t="s">
        <v>36</v>
      </c>
      <c r="D27" s="123"/>
      <c r="E27" s="516" t="str">
        <f>IF(D27="Y", "Please complete the Other gases table in the 'Buildings - Grid Electricity' tab. See section 7.5 of the guidance for further help", "")</f>
        <v/>
      </c>
      <c r="F27" s="501"/>
      <c r="G27" s="501"/>
      <c r="H27" s="501"/>
      <c r="I27" s="501"/>
      <c r="J27" s="501"/>
      <c r="K27" s="501"/>
      <c r="L27" s="501"/>
      <c r="M27" s="501"/>
      <c r="N27" s="501"/>
      <c r="O27" s="501"/>
      <c r="P27" s="501"/>
      <c r="Q27" s="30"/>
    </row>
    <row r="28" spans="2:17" ht="15" thickBot="1" x14ac:dyDescent="0.4">
      <c r="B28" s="505" t="s">
        <v>37</v>
      </c>
      <c r="C28" s="513" t="s">
        <v>38</v>
      </c>
      <c r="D28" s="123"/>
      <c r="E28" s="514" t="str">
        <f>IF(D28="Y", "Please complete the Business travel table in 'Business travel, commute, home' tab.  See section 8.2 of the guidance for further help", "")</f>
        <v/>
      </c>
      <c r="F28" s="501"/>
      <c r="G28" s="501"/>
      <c r="H28" s="501"/>
      <c r="I28" s="501"/>
      <c r="J28" s="501"/>
      <c r="K28" s="501"/>
      <c r="L28" s="501"/>
      <c r="M28" s="501"/>
      <c r="N28" s="501"/>
      <c r="O28" s="501"/>
      <c r="P28" s="501"/>
      <c r="Q28" s="30"/>
    </row>
    <row r="29" spans="2:17" ht="15" thickBot="1" x14ac:dyDescent="0.4">
      <c r="B29" s="505" t="s">
        <v>39</v>
      </c>
      <c r="C29" s="513" t="s">
        <v>40</v>
      </c>
      <c r="D29" s="123"/>
      <c r="E29" s="514" t="str">
        <f>IF(D29="Y", "Please complete the Commuting table in 'Business travel, commute, home' tab.  See section 8.3 of the guidance for further help.", "")</f>
        <v/>
      </c>
      <c r="F29" s="501"/>
      <c r="G29" s="501"/>
      <c r="H29" s="501"/>
      <c r="I29" s="501"/>
      <c r="J29" s="501"/>
      <c r="K29" s="501"/>
      <c r="L29" s="501"/>
      <c r="M29" s="501"/>
      <c r="N29" s="501"/>
      <c r="O29" s="501"/>
      <c r="P29" s="501"/>
      <c r="Q29" s="30"/>
    </row>
    <row r="30" spans="2:17" ht="15" thickBot="1" x14ac:dyDescent="0.4">
      <c r="B30" s="505" t="s">
        <v>41</v>
      </c>
      <c r="C30" s="513" t="s">
        <v>42</v>
      </c>
      <c r="D30" s="123"/>
      <c r="E30" s="514" t="str">
        <f>IF(D30="Y", "Please complete the Homeworking table in the 'Business travel, commute, home' tab.  See section 8.4 of the guidance for further help", "")</f>
        <v/>
      </c>
      <c r="F30" s="501"/>
      <c r="G30" s="501"/>
      <c r="H30" s="501"/>
      <c r="I30" s="501"/>
      <c r="J30" s="501"/>
      <c r="K30" s="501"/>
      <c r="L30" s="501"/>
      <c r="M30" s="501"/>
      <c r="N30" s="501"/>
      <c r="O30" s="501"/>
      <c r="P30" s="501"/>
      <c r="Q30" s="30"/>
    </row>
    <row r="31" spans="2:17" ht="15" thickBot="1" x14ac:dyDescent="0.4">
      <c r="B31" s="505" t="s">
        <v>43</v>
      </c>
      <c r="C31" s="513" t="s">
        <v>44</v>
      </c>
      <c r="D31" s="123"/>
      <c r="E31" s="514" t="str">
        <f>IF(D31="Y", "Please complete the 'Supply chain' tab.  See section 10 of the guidance for further help.", "")</f>
        <v/>
      </c>
      <c r="F31" s="501"/>
      <c r="G31" s="501"/>
      <c r="H31" s="501"/>
      <c r="I31" s="501"/>
      <c r="J31" s="501"/>
      <c r="K31" s="501"/>
      <c r="L31" s="501"/>
      <c r="M31" s="501"/>
      <c r="N31" s="501"/>
      <c r="O31" s="501"/>
      <c r="P31" s="501"/>
      <c r="Q31" s="30"/>
    </row>
    <row r="32" spans="2:17" ht="15" thickBot="1" x14ac:dyDescent="0.4">
      <c r="B32" s="505" t="s">
        <v>45</v>
      </c>
      <c r="C32" s="513" t="s">
        <v>46</v>
      </c>
      <c r="D32" s="123"/>
      <c r="E32" s="514" t="str">
        <f>IF(D32="Y", "Please complete a Land-based emission table in the 'Lab use &amp; agriculture' tab. See section 12 of the guidance for further information.", "")</f>
        <v/>
      </c>
      <c r="F32" s="501"/>
      <c r="G32" s="501"/>
      <c r="H32" s="501"/>
      <c r="I32" s="501"/>
      <c r="J32" s="501"/>
      <c r="K32" s="501"/>
      <c r="L32" s="501"/>
      <c r="M32" s="501"/>
      <c r="N32" s="501"/>
      <c r="O32" s="501"/>
      <c r="P32" s="501"/>
      <c r="Q32" s="30"/>
    </row>
    <row r="33" spans="1:17" ht="26.5" thickBot="1" x14ac:dyDescent="0.4">
      <c r="B33" s="535" t="s">
        <v>47</v>
      </c>
      <c r="C33" s="517" t="s">
        <v>48</v>
      </c>
      <c r="D33" s="123"/>
      <c r="E33" s="514" t="str">
        <f>IF(D33="Y", "Please complete the Operational Waste table in the 'Waste' tab. See section 9.2 of the guidance for further information.", "")</f>
        <v/>
      </c>
      <c r="F33" s="501"/>
      <c r="G33" s="501"/>
      <c r="H33" s="501"/>
      <c r="I33" s="501"/>
      <c r="J33" s="501"/>
      <c r="K33" s="501"/>
      <c r="L33" s="501"/>
      <c r="M33" s="501"/>
      <c r="N33" s="501"/>
      <c r="O33" s="501"/>
      <c r="P33" s="501"/>
      <c r="Q33" s="30"/>
    </row>
    <row r="34" spans="1:17" ht="26.5" thickBot="1" x14ac:dyDescent="0.4">
      <c r="B34" s="536"/>
      <c r="C34" s="517" t="s">
        <v>49</v>
      </c>
      <c r="D34" s="123"/>
      <c r="E34" s="514" t="str">
        <f>IF(D34="Y", "Please complete the Operational Wast' table in the 'Waste' sheet. See section 9.2 of the guidance for further information.", "")</f>
        <v/>
      </c>
      <c r="F34" s="501"/>
      <c r="G34" s="501"/>
      <c r="H34" s="501"/>
      <c r="I34" s="501"/>
      <c r="J34" s="501"/>
      <c r="K34" s="501"/>
      <c r="L34" s="501"/>
      <c r="M34" s="501"/>
      <c r="N34" s="501"/>
      <c r="O34" s="501"/>
      <c r="P34" s="501"/>
      <c r="Q34" s="30"/>
    </row>
    <row r="35" spans="1:17" ht="15" thickBot="1" x14ac:dyDescent="0.4">
      <c r="B35" s="536"/>
      <c r="C35" s="518" t="s">
        <v>50</v>
      </c>
      <c r="D35" s="123"/>
      <c r="E35" s="514" t="str">
        <f>IF(D35="Y", "Please complete the Municipal waste table in the 'Wast'e sheet. See section 9.3 of the guidance for further information.", "")</f>
        <v/>
      </c>
      <c r="F35" s="501"/>
      <c r="G35" s="501"/>
      <c r="H35" s="501"/>
      <c r="I35" s="501"/>
      <c r="J35" s="501"/>
      <c r="K35" s="501"/>
      <c r="L35" s="501"/>
      <c r="M35" s="501"/>
      <c r="N35" s="501"/>
      <c r="O35" s="501"/>
      <c r="P35" s="501"/>
      <c r="Q35" s="30"/>
    </row>
    <row r="36" spans="1:17" ht="15" thickBot="1" x14ac:dyDescent="0.4">
      <c r="B36" s="537"/>
      <c r="C36" s="518" t="s">
        <v>51</v>
      </c>
      <c r="D36" s="123"/>
      <c r="E36" s="514" t="str">
        <f>IF(D36="Y", "Please either complete the Municipal waste table in the 'Waste' sheet OR record your annual spend for this service in the supply chain sheet. See section 9.3 of the guidance for further information.", "")</f>
        <v/>
      </c>
      <c r="F36" s="519"/>
      <c r="G36" s="519"/>
      <c r="H36" s="519"/>
      <c r="I36" s="519"/>
      <c r="J36" s="519"/>
      <c r="K36" s="519"/>
      <c r="L36" s="519"/>
      <c r="M36" s="519"/>
      <c r="N36" s="519"/>
      <c r="O36" s="519"/>
      <c r="P36" s="519"/>
      <c r="Q36" s="30"/>
    </row>
    <row r="37" spans="1:17" x14ac:dyDescent="0.35">
      <c r="E37" s="19"/>
      <c r="F37" s="19"/>
      <c r="G37" s="19"/>
      <c r="H37" s="19"/>
      <c r="I37" s="19"/>
      <c r="J37" s="19"/>
      <c r="K37" s="19"/>
      <c r="L37" s="19"/>
      <c r="M37" s="19"/>
      <c r="N37" s="19"/>
      <c r="O37" s="19"/>
      <c r="P37" s="19"/>
    </row>
    <row r="38" spans="1:17" ht="19" thickBot="1" x14ac:dyDescent="0.4">
      <c r="B38" s="20" t="s">
        <v>52</v>
      </c>
    </row>
    <row r="39" spans="1:17" ht="65.5" thickBot="1" x14ac:dyDescent="0.4">
      <c r="B39" s="520" t="s">
        <v>52</v>
      </c>
      <c r="C39" s="515" t="s">
        <v>53</v>
      </c>
      <c r="D39" s="525"/>
      <c r="E39" s="525"/>
      <c r="F39" s="525"/>
      <c r="G39" s="525"/>
      <c r="H39" s="525"/>
      <c r="I39" s="525"/>
      <c r="J39" s="525"/>
      <c r="K39" s="525"/>
      <c r="L39" s="521"/>
    </row>
    <row r="40" spans="1:17" ht="29.75" customHeight="1" x14ac:dyDescent="0.35"/>
    <row r="41" spans="1:17" ht="19" thickBot="1" x14ac:dyDescent="0.4">
      <c r="B41" s="20" t="s">
        <v>54</v>
      </c>
    </row>
    <row r="42" spans="1:17" ht="15" thickBot="1" x14ac:dyDescent="0.4">
      <c r="A42"/>
      <c r="B42" s="532" t="s">
        <v>55</v>
      </c>
      <c r="C42" s="515" t="s">
        <v>56</v>
      </c>
      <c r="D42" s="133"/>
      <c r="E42" s="78"/>
      <c r="F42" s="78"/>
      <c r="G42" s="78"/>
      <c r="H42" s="78"/>
      <c r="I42" s="78"/>
      <c r="J42" s="78"/>
      <c r="K42" s="78"/>
    </row>
    <row r="43" spans="1:17" ht="15" thickBot="1" x14ac:dyDescent="0.4">
      <c r="B43" s="533"/>
      <c r="C43" s="515" t="s">
        <v>57</v>
      </c>
      <c r="D43" s="134"/>
      <c r="E43" s="78"/>
      <c r="F43" s="78"/>
      <c r="G43" s="78"/>
      <c r="H43" s="78"/>
      <c r="I43" s="78"/>
      <c r="J43" s="78"/>
      <c r="K43" s="78"/>
    </row>
    <row r="44" spans="1:17" ht="15" thickBot="1" x14ac:dyDescent="0.4">
      <c r="B44" s="533"/>
      <c r="C44" s="515" t="s">
        <v>58</v>
      </c>
      <c r="D44" s="133"/>
      <c r="E44" s="78"/>
      <c r="F44" s="78"/>
      <c r="G44" s="78"/>
      <c r="H44" s="78"/>
      <c r="I44" s="78"/>
      <c r="J44" s="78"/>
      <c r="K44" s="78"/>
    </row>
    <row r="45" spans="1:17" ht="50.75" customHeight="1" thickBot="1" x14ac:dyDescent="0.4">
      <c r="B45" s="534"/>
      <c r="C45" s="515" t="s">
        <v>59</v>
      </c>
      <c r="D45" s="522"/>
      <c r="E45" s="523"/>
      <c r="F45" s="523"/>
      <c r="G45" s="523"/>
      <c r="H45" s="523"/>
      <c r="I45" s="523"/>
      <c r="J45" s="523"/>
      <c r="K45" s="524"/>
    </row>
    <row r="48" spans="1:17" customFormat="1" x14ac:dyDescent="0.35"/>
    <row r="49" customFormat="1" x14ac:dyDescent="0.35"/>
    <row r="50" customFormat="1" x14ac:dyDescent="0.35"/>
    <row r="51" customFormat="1" x14ac:dyDescent="0.35"/>
    <row r="52" customFormat="1" x14ac:dyDescent="0.35"/>
    <row r="53" customFormat="1" x14ac:dyDescent="0.35"/>
    <row r="54" customFormat="1" x14ac:dyDescent="0.35"/>
  </sheetData>
  <sheetProtection algorithmName="SHA-512" hashValue="yE2cn3N3BEfmxFIShJksMdNenwcl6jG/l6DsiKJokwQ+TNM/M4JVAfupJXx3Hls8XnXMe/Yo8mGPX+V4By8wnw==" saltValue="Z8tD7h13Q9vuWL+729vQTg==" spinCount="100000" sheet="1" objects="1" scenarios="1"/>
  <mergeCells count="7">
    <mergeCell ref="D45:K45"/>
    <mergeCell ref="D39:K39"/>
    <mergeCell ref="B3:I3"/>
    <mergeCell ref="B2:I2"/>
    <mergeCell ref="B4:C4"/>
    <mergeCell ref="B42:B45"/>
    <mergeCell ref="B33:B36"/>
  </mergeCells>
  <dataValidations count="5">
    <dataValidation type="list" allowBlank="1" showInputMessage="1" showErrorMessage="1" sqref="D9" xr:uid="{00000000-0002-0000-0000-000000000000}">
      <formula1>Reportingyear</formula1>
    </dataValidation>
    <dataValidation type="list" allowBlank="1" showInputMessage="1" showErrorMessage="1" sqref="D19:D36" xr:uid="{00000000-0002-0000-0000-000001000000}">
      <formula1>Yesno</formula1>
    </dataValidation>
    <dataValidation type="decimal" operator="greaterThan" allowBlank="1" showInputMessage="1" showErrorMessage="1" sqref="D13:D14 D15" xr:uid="{00000000-0002-0000-0000-000002000000}">
      <formula1>0</formula1>
    </dataValidation>
    <dataValidation type="list" allowBlank="1" showInputMessage="1" showErrorMessage="1" sqref="D16" xr:uid="{00000000-0002-0000-0000-000003000000}">
      <formula1>Regions</formula1>
    </dataValidation>
    <dataValidation type="list" allowBlank="1" showInputMessage="1" showErrorMessage="1" sqref="D7" xr:uid="{00000000-0002-0000-0000-000005000000}">
      <formula1>OrgType</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4000000}">
          <x14:formula1>
            <xm:f>OFFSET(Lists!$H$22,MATCH($D$7,TypeOrganisation,0)-1,,COUNTIF(TypeOrganisation,$D$7))</xm:f>
          </x14:formula1>
          <xm:sqref>D8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FAA17-4D5C-4955-B0BD-DDD13272574F}">
  <dimension ref="B3:E28"/>
  <sheetViews>
    <sheetView showGridLines="0" topLeftCell="E1" workbookViewId="0">
      <selection activeCell="E14" sqref="E14"/>
    </sheetView>
  </sheetViews>
  <sheetFormatPr defaultRowHeight="14.5" x14ac:dyDescent="0.35"/>
  <cols>
    <col min="3" max="3" width="15.453125" customWidth="1"/>
    <col min="4" max="4" width="14.36328125" customWidth="1"/>
    <col min="5" max="5" width="164.36328125" customWidth="1"/>
  </cols>
  <sheetData>
    <row r="3" spans="2:5" x14ac:dyDescent="0.35">
      <c r="B3" s="213" t="s">
        <v>60</v>
      </c>
      <c r="C3" s="213" t="s">
        <v>61</v>
      </c>
      <c r="D3" s="213" t="s">
        <v>62</v>
      </c>
      <c r="E3" s="213" t="s">
        <v>63</v>
      </c>
    </row>
    <row r="4" spans="2:5" x14ac:dyDescent="0.35">
      <c r="B4" s="193" t="s">
        <v>64</v>
      </c>
      <c r="C4" s="214">
        <v>45404</v>
      </c>
      <c r="D4" s="193" t="s">
        <v>65</v>
      </c>
      <c r="E4" s="221" t="s">
        <v>66</v>
      </c>
    </row>
    <row r="5" spans="2:5" x14ac:dyDescent="0.35">
      <c r="B5" s="193" t="s">
        <v>67</v>
      </c>
      <c r="C5" s="214">
        <v>45413</v>
      </c>
      <c r="D5" s="193" t="s">
        <v>65</v>
      </c>
      <c r="E5" s="221" t="s">
        <v>68</v>
      </c>
    </row>
    <row r="6" spans="2:5" x14ac:dyDescent="0.35">
      <c r="B6" s="193" t="s">
        <v>69</v>
      </c>
      <c r="C6" s="214">
        <v>45415</v>
      </c>
      <c r="D6" s="193" t="s">
        <v>65</v>
      </c>
      <c r="E6" s="221" t="s">
        <v>70</v>
      </c>
    </row>
    <row r="7" spans="2:5" ht="29" x14ac:dyDescent="0.35">
      <c r="B7" s="193" t="s">
        <v>71</v>
      </c>
      <c r="C7" s="214">
        <v>45422</v>
      </c>
      <c r="D7" s="193" t="s">
        <v>65</v>
      </c>
      <c r="E7" s="221" t="s">
        <v>72</v>
      </c>
    </row>
    <row r="8" spans="2:5" x14ac:dyDescent="0.35">
      <c r="B8" s="193" t="s">
        <v>73</v>
      </c>
      <c r="C8" s="214">
        <v>45433</v>
      </c>
      <c r="D8" s="193" t="s">
        <v>65</v>
      </c>
      <c r="E8" s="221" t="s">
        <v>74</v>
      </c>
    </row>
    <row r="9" spans="2:5" x14ac:dyDescent="0.35">
      <c r="B9" s="193" t="s">
        <v>75</v>
      </c>
      <c r="C9" s="214">
        <v>45447</v>
      </c>
      <c r="D9" s="193" t="s">
        <v>65</v>
      </c>
      <c r="E9" s="221" t="s">
        <v>76</v>
      </c>
    </row>
    <row r="10" spans="2:5" x14ac:dyDescent="0.35">
      <c r="B10" s="193" t="s">
        <v>77</v>
      </c>
      <c r="C10" s="214">
        <v>45457</v>
      </c>
      <c r="D10" s="193" t="s">
        <v>65</v>
      </c>
      <c r="E10" s="221" t="s">
        <v>78</v>
      </c>
    </row>
    <row r="11" spans="2:5" x14ac:dyDescent="0.35">
      <c r="B11" s="193" t="s">
        <v>79</v>
      </c>
      <c r="C11" s="214">
        <v>45461</v>
      </c>
      <c r="D11" s="193" t="s">
        <v>65</v>
      </c>
      <c r="E11" s="221" t="s">
        <v>80</v>
      </c>
    </row>
    <row r="12" spans="2:5" x14ac:dyDescent="0.35">
      <c r="B12" s="193" t="s">
        <v>81</v>
      </c>
      <c r="C12" s="214">
        <v>45468</v>
      </c>
      <c r="D12" s="193" t="s">
        <v>82</v>
      </c>
      <c r="E12" s="221" t="s">
        <v>83</v>
      </c>
    </row>
    <row r="13" spans="2:5" x14ac:dyDescent="0.35">
      <c r="B13" s="193" t="s">
        <v>84</v>
      </c>
      <c r="C13" s="214">
        <v>45482</v>
      </c>
      <c r="D13" s="193" t="s">
        <v>65</v>
      </c>
      <c r="E13" s="221" t="s">
        <v>85</v>
      </c>
    </row>
    <row r="14" spans="2:5" ht="58" x14ac:dyDescent="0.35">
      <c r="B14" s="193" t="s">
        <v>86</v>
      </c>
      <c r="C14" s="214">
        <v>45761</v>
      </c>
      <c r="D14" s="193" t="s">
        <v>87</v>
      </c>
      <c r="E14" s="221" t="s">
        <v>1391</v>
      </c>
    </row>
    <row r="15" spans="2:5" x14ac:dyDescent="0.35">
      <c r="B15" s="193"/>
      <c r="C15" s="193"/>
      <c r="D15" s="193"/>
      <c r="E15" s="221"/>
    </row>
    <row r="16" spans="2:5" x14ac:dyDescent="0.35">
      <c r="B16" s="193"/>
      <c r="C16" s="193"/>
      <c r="D16" s="193"/>
      <c r="E16" s="221"/>
    </row>
    <row r="17" spans="2:5" x14ac:dyDescent="0.35">
      <c r="B17" s="193"/>
      <c r="C17" s="193"/>
      <c r="D17" s="193"/>
      <c r="E17" s="221"/>
    </row>
    <row r="18" spans="2:5" x14ac:dyDescent="0.35">
      <c r="B18" s="193"/>
      <c r="C18" s="193"/>
      <c r="D18" s="193"/>
      <c r="E18" s="221"/>
    </row>
    <row r="19" spans="2:5" x14ac:dyDescent="0.35">
      <c r="B19" s="193"/>
      <c r="C19" s="193"/>
      <c r="D19" s="193"/>
      <c r="E19" s="221"/>
    </row>
    <row r="20" spans="2:5" x14ac:dyDescent="0.35">
      <c r="B20" s="193"/>
      <c r="C20" s="193"/>
      <c r="D20" s="193"/>
      <c r="E20" s="221"/>
    </row>
    <row r="21" spans="2:5" x14ac:dyDescent="0.35">
      <c r="B21" s="193"/>
      <c r="C21" s="193"/>
      <c r="D21" s="193"/>
      <c r="E21" s="221"/>
    </row>
    <row r="22" spans="2:5" x14ac:dyDescent="0.35">
      <c r="B22" s="193"/>
      <c r="C22" s="193"/>
      <c r="D22" s="193"/>
      <c r="E22" s="221"/>
    </row>
    <row r="23" spans="2:5" x14ac:dyDescent="0.35">
      <c r="B23" s="193"/>
      <c r="C23" s="193"/>
      <c r="D23" s="193"/>
      <c r="E23" s="221"/>
    </row>
    <row r="24" spans="2:5" x14ac:dyDescent="0.35">
      <c r="B24" s="193"/>
      <c r="C24" s="193"/>
      <c r="D24" s="193"/>
      <c r="E24" s="221"/>
    </row>
    <row r="25" spans="2:5" x14ac:dyDescent="0.35">
      <c r="B25" s="193"/>
      <c r="C25" s="193"/>
      <c r="D25" s="193"/>
      <c r="E25" s="221"/>
    </row>
    <row r="26" spans="2:5" x14ac:dyDescent="0.35">
      <c r="B26" s="193"/>
      <c r="C26" s="193"/>
      <c r="D26" s="193"/>
      <c r="E26" s="221"/>
    </row>
    <row r="27" spans="2:5" x14ac:dyDescent="0.35">
      <c r="B27" s="193"/>
      <c r="C27" s="193"/>
      <c r="D27" s="193"/>
      <c r="E27" s="221"/>
    </row>
    <row r="28" spans="2:5" x14ac:dyDescent="0.35">
      <c r="B28" s="193"/>
      <c r="C28" s="193"/>
      <c r="D28" s="193"/>
      <c r="E28" s="22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theme="5" tint="-0.249977111117893"/>
  </sheetPr>
  <dimension ref="A2:N115"/>
  <sheetViews>
    <sheetView zoomScale="85" zoomScaleNormal="85" workbookViewId="0">
      <selection activeCell="K10" sqref="K10"/>
    </sheetView>
  </sheetViews>
  <sheetFormatPr defaultColWidth="8.54296875" defaultRowHeight="14.5" x14ac:dyDescent="0.35"/>
  <cols>
    <col min="1" max="1" width="2.6328125" style="1" customWidth="1"/>
    <col min="2" max="2" width="55.36328125" style="1" customWidth="1"/>
    <col min="3" max="9" width="14.6328125" style="1" customWidth="1"/>
    <col min="10" max="10" width="27.36328125" style="1" customWidth="1"/>
    <col min="11" max="11" width="8.54296875" style="1"/>
    <col min="12" max="12" width="35.6328125" style="1" customWidth="1"/>
    <col min="13" max="13" width="26.54296875" style="1" customWidth="1"/>
    <col min="14" max="16384" width="8.54296875" style="1"/>
  </cols>
  <sheetData>
    <row r="2" spans="1:11" ht="19" thickBot="1" x14ac:dyDescent="0.5">
      <c r="B2" s="432" t="s">
        <v>88</v>
      </c>
      <c r="F2" s="11"/>
    </row>
    <row r="3" spans="1:11" ht="16.25" customHeight="1" x14ac:dyDescent="0.35">
      <c r="B3" s="543" t="str">
        <f>"This section provides a summary of the reported emissions for " &amp;Introduction!D8 &amp; " for " &amp;Introduction!D9</f>
        <v xml:space="preserve">This section provides a summary of the reported emissions for  for </v>
      </c>
      <c r="C3" s="544"/>
      <c r="D3" s="544"/>
      <c r="E3" s="544"/>
      <c r="F3" s="544"/>
      <c r="G3" s="544"/>
      <c r="H3" s="544"/>
      <c r="I3" s="545"/>
    </row>
    <row r="4" spans="1:11" x14ac:dyDescent="0.35">
      <c r="B4" s="433" t="s">
        <v>89</v>
      </c>
      <c r="C4" s="7"/>
      <c r="D4" s="7"/>
      <c r="E4" s="29"/>
      <c r="F4" s="7"/>
      <c r="G4" s="7"/>
      <c r="H4" s="7"/>
      <c r="I4" s="7"/>
    </row>
    <row r="5" spans="1:11" x14ac:dyDescent="0.35">
      <c r="A5" s="30"/>
      <c r="B5" s="434"/>
      <c r="C5" s="30"/>
      <c r="D5" s="30"/>
      <c r="E5" s="30"/>
      <c r="F5" s="30"/>
      <c r="G5" s="30"/>
      <c r="H5" s="30"/>
      <c r="I5" s="30"/>
      <c r="J5" s="30"/>
    </row>
    <row r="6" spans="1:11" ht="15" thickBot="1" x14ac:dyDescent="0.4">
      <c r="A6" s="149"/>
      <c r="B6" s="31"/>
      <c r="C6" s="546" t="s">
        <v>90</v>
      </c>
      <c r="D6" s="547"/>
      <c r="E6" s="547"/>
      <c r="F6" s="547"/>
      <c r="G6" s="547"/>
      <c r="H6" s="547"/>
      <c r="I6" s="548"/>
      <c r="J6" s="30"/>
    </row>
    <row r="7" spans="1:11" ht="19" thickBot="1" x14ac:dyDescent="0.4">
      <c r="B7" s="20" t="s">
        <v>91</v>
      </c>
      <c r="C7" s="12" t="s">
        <v>92</v>
      </c>
      <c r="D7" s="12" t="s">
        <v>93</v>
      </c>
      <c r="E7" s="12" t="s">
        <v>93</v>
      </c>
      <c r="F7" s="12" t="s">
        <v>94</v>
      </c>
      <c r="G7" s="12" t="s">
        <v>95</v>
      </c>
      <c r="H7" s="12" t="s">
        <v>95</v>
      </c>
      <c r="I7" s="12" t="s">
        <v>96</v>
      </c>
      <c r="J7" s="30"/>
    </row>
    <row r="8" spans="1:11" ht="15" thickBot="1" x14ac:dyDescent="0.4">
      <c r="A8" s="150"/>
      <c r="B8" s="31"/>
      <c r="C8" s="12" t="s">
        <v>97</v>
      </c>
      <c r="D8" s="12" t="s">
        <v>98</v>
      </c>
      <c r="E8" s="12" t="s">
        <v>99</v>
      </c>
      <c r="F8" s="12"/>
      <c r="G8" s="12" t="s">
        <v>100</v>
      </c>
      <c r="H8" s="12" t="s">
        <v>101</v>
      </c>
      <c r="I8" s="12"/>
      <c r="J8" s="30"/>
    </row>
    <row r="9" spans="1:11" ht="15" thickBot="1" x14ac:dyDescent="0.4">
      <c r="A9" s="18"/>
      <c r="B9" s="435" t="s">
        <v>91</v>
      </c>
      <c r="C9" s="436">
        <f>C21+C30+C38+C64+C73</f>
        <v>0</v>
      </c>
      <c r="D9" s="436">
        <f t="shared" ref="D9:H9" si="0">D21+D30+D38+D64+D73</f>
        <v>0</v>
      </c>
      <c r="E9" s="436">
        <f t="shared" si="0"/>
        <v>0</v>
      </c>
      <c r="F9" s="436">
        <f t="shared" si="0"/>
        <v>0</v>
      </c>
      <c r="G9" s="436">
        <f t="shared" si="0"/>
        <v>0</v>
      </c>
      <c r="H9" s="436">
        <f t="shared" si="0"/>
        <v>0</v>
      </c>
      <c r="I9" s="436">
        <f>I21+I30+I38+I64+I73</f>
        <v>0</v>
      </c>
      <c r="J9" s="30"/>
    </row>
    <row r="10" spans="1:11" x14ac:dyDescent="0.35">
      <c r="A10" s="18"/>
      <c r="B10" s="31"/>
      <c r="C10" s="31"/>
      <c r="D10" s="31"/>
      <c r="E10" s="31"/>
      <c r="F10" s="31"/>
      <c r="G10" s="31"/>
      <c r="H10" s="31"/>
      <c r="I10" s="31"/>
      <c r="J10" s="31"/>
    </row>
    <row r="11" spans="1:11" x14ac:dyDescent="0.35">
      <c r="A11" s="18"/>
      <c r="B11" s="31"/>
      <c r="C11" s="31"/>
      <c r="D11" s="31"/>
      <c r="E11" s="38"/>
      <c r="F11" s="31"/>
      <c r="G11" s="31"/>
      <c r="H11" s="31"/>
      <c r="I11" s="31"/>
      <c r="J11" s="30"/>
    </row>
    <row r="12" spans="1:11" ht="19.25" customHeight="1" thickBot="1" x14ac:dyDescent="0.4">
      <c r="B12" s="20" t="s">
        <v>102</v>
      </c>
      <c r="C12" s="546" t="s">
        <v>90</v>
      </c>
      <c r="D12" s="547"/>
      <c r="E12" s="547"/>
      <c r="F12" s="547"/>
      <c r="G12" s="547"/>
      <c r="H12" s="547"/>
      <c r="I12" s="548"/>
    </row>
    <row r="13" spans="1:11" ht="29.75" customHeight="1" thickBot="1" x14ac:dyDescent="0.4">
      <c r="B13" s="3" t="s">
        <v>103</v>
      </c>
      <c r="C13" s="12" t="s">
        <v>92</v>
      </c>
      <c r="D13" s="12" t="s">
        <v>93</v>
      </c>
      <c r="E13" s="12" t="s">
        <v>93</v>
      </c>
      <c r="F13" s="12" t="s">
        <v>94</v>
      </c>
      <c r="G13" s="12" t="s">
        <v>95</v>
      </c>
      <c r="H13" s="12" t="s">
        <v>95</v>
      </c>
      <c r="I13" s="12" t="s">
        <v>96</v>
      </c>
    </row>
    <row r="14" spans="1:11" ht="15" thickBot="1" x14ac:dyDescent="0.4">
      <c r="B14" s="3"/>
      <c r="C14" s="12" t="s">
        <v>97</v>
      </c>
      <c r="D14" s="12" t="s">
        <v>98</v>
      </c>
      <c r="E14" s="12" t="s">
        <v>99</v>
      </c>
      <c r="F14" s="12"/>
      <c r="G14" s="12" t="s">
        <v>100</v>
      </c>
      <c r="H14" s="12" t="s">
        <v>101</v>
      </c>
      <c r="I14" s="12"/>
    </row>
    <row r="15" spans="1:11" ht="15" thickBot="1" x14ac:dyDescent="0.4">
      <c r="B15" s="437" t="str">
        <f>'Buildings - Grid Electricity'!B5</f>
        <v>Buildings - Grid Electricity</v>
      </c>
      <c r="C15" s="438">
        <f>SUM(BuildingsElectricityTable[Direct])</f>
        <v>0</v>
      </c>
      <c r="D15" s="438">
        <f>SUM(BuildingsElectricityTable[Indirect generation])</f>
        <v>0</v>
      </c>
      <c r="E15" s="438">
        <f>SUM(BuildingsElectricityTable[[Indirect service]:[Indirect WTT]])</f>
        <v>0</v>
      </c>
      <c r="F15" s="439">
        <f>SUM(C15:E15)</f>
        <v>0</v>
      </c>
      <c r="G15" s="440">
        <f>SUM(BuildingsElectricityTable[High])</f>
        <v>0</v>
      </c>
      <c r="H15" s="440">
        <f>SUM(BuildingsElectricityTable[Low])</f>
        <v>0</v>
      </c>
      <c r="I15" s="441">
        <f>SUM(BuildingsElectricityTable[Outside of scopes])</f>
        <v>0</v>
      </c>
      <c r="K15" s="11"/>
    </row>
    <row r="16" spans="1:11" ht="15" thickBot="1" x14ac:dyDescent="0.4">
      <c r="B16" s="437" t="str">
        <f>'Buildings - Heat &amp; Fuels'!B5</f>
        <v>Buildings - Heat &amp; Fuels</v>
      </c>
      <c r="C16" s="438">
        <f>SUM(BuildingsHeatFuelsTable[Direct])</f>
        <v>0</v>
      </c>
      <c r="D16" s="438">
        <f>SUM(BuildingsHeatFuelsTable[Indirect generation])</f>
        <v>0</v>
      </c>
      <c r="E16" s="438">
        <f>SUM(BuildingsHeatFuelsTable[[Indirect service]:[Indirect WTT]])</f>
        <v>0</v>
      </c>
      <c r="F16" s="439">
        <f t="shared" ref="F16:F17" si="1">SUM(C16:E16)</f>
        <v>0</v>
      </c>
      <c r="G16" s="440"/>
      <c r="H16" s="440"/>
      <c r="I16" s="442"/>
      <c r="K16" s="11"/>
    </row>
    <row r="17" spans="1:11" ht="15" thickBot="1" x14ac:dyDescent="0.4">
      <c r="B17" s="437" t="str">
        <f>'Buildings - Water'!B5</f>
        <v>Buildings - Water</v>
      </c>
      <c r="C17" s="438">
        <f>SUM(BuildingsWaterTable[Direct])</f>
        <v>0</v>
      </c>
      <c r="D17" s="438">
        <f>SUM(BuildingsWaterTable[Indirect generation])</f>
        <v>0</v>
      </c>
      <c r="E17" s="438">
        <f>SUM(BuildingsWaterTable[[Indirect service]:[Indirect WTT]])</f>
        <v>0</v>
      </c>
      <c r="F17" s="439">
        <f t="shared" si="1"/>
        <v>0</v>
      </c>
      <c r="G17" s="440"/>
      <c r="H17" s="440"/>
      <c r="I17" s="442"/>
      <c r="K17" s="11"/>
    </row>
    <row r="18" spans="1:11" ht="15" thickBot="1" x14ac:dyDescent="0.4">
      <c r="B18" s="437" t="str">
        <f>'Buildings - Grid Electricity'!B503</f>
        <v>Streetlighting</v>
      </c>
      <c r="C18" s="438">
        <f>SUM(StreetlightingTable[Direct])</f>
        <v>0</v>
      </c>
      <c r="D18" s="438">
        <f>SUM(StreetlightingTable[Indirect generation])</f>
        <v>0</v>
      </c>
      <c r="E18" s="438">
        <f>SUM(StreetlightingTable[[Indirect service]:[Indirect WTT]])</f>
        <v>0</v>
      </c>
      <c r="F18" s="439">
        <f>SUM(C18:E18)</f>
        <v>0</v>
      </c>
      <c r="G18" s="440">
        <f>SUM(StreetlightingTable[High])</f>
        <v>0</v>
      </c>
      <c r="H18" s="440">
        <f>SUM(StreetlightingTable[Low])</f>
        <v>0</v>
      </c>
      <c r="I18" s="443">
        <f>SUM(StreetlightingTable[Outside of scopes])</f>
        <v>0</v>
      </c>
    </row>
    <row r="19" spans="1:11" ht="14.75" customHeight="1" thickBot="1" x14ac:dyDescent="0.4">
      <c r="B19" s="124" t="s">
        <v>104</v>
      </c>
      <c r="C19" s="444">
        <f>SUM(OthergasesTable[Direct])</f>
        <v>0</v>
      </c>
      <c r="D19" s="444">
        <f>SUM(OthergasesTable[Indirect generation])</f>
        <v>0</v>
      </c>
      <c r="E19" s="444">
        <f>SUM(OthergasesTable[[Indirect service]:[Indirect WTT]])</f>
        <v>0</v>
      </c>
      <c r="F19" s="445">
        <f>SUM(OthergasesTable[Total emissions (kgCO2e)])</f>
        <v>0</v>
      </c>
      <c r="G19" s="444">
        <f>SUM(OthergasesTable[High])</f>
        <v>0</v>
      </c>
      <c r="H19" s="440">
        <f>SUM(OthergasesTable[Low])</f>
        <v>0</v>
      </c>
      <c r="I19" s="443">
        <f>SUM(OthergasesTable[Outside of scopes])</f>
        <v>0</v>
      </c>
      <c r="J19" s="147"/>
    </row>
    <row r="20" spans="1:11" ht="14.75" customHeight="1" thickBot="1" x14ac:dyDescent="0.4">
      <c r="A20" s="18"/>
      <c r="B20" s="446" t="s">
        <v>105</v>
      </c>
      <c r="C20" s="447">
        <f>SUM(Medicalgases[Direct])</f>
        <v>0</v>
      </c>
      <c r="D20" s="447">
        <f>SUM(Medicalgases[Indirect generation])</f>
        <v>0</v>
      </c>
      <c r="E20" s="447">
        <f>SUM(Medicalgases[[Indirect service]:[Indirect WTT]])</f>
        <v>0</v>
      </c>
      <c r="F20" s="448">
        <f>SUM(Medicalgases[Total emissions (kgCO2e)])</f>
        <v>0</v>
      </c>
      <c r="G20" s="447">
        <f>SUM(Medicalgases[High])</f>
        <v>0</v>
      </c>
      <c r="H20" s="447">
        <f>SUM(Medicalgases[Low])</f>
        <v>0</v>
      </c>
      <c r="I20" s="447">
        <f>SUM(Medicalgases[Outside of scopes])</f>
        <v>0</v>
      </c>
      <c r="J20" s="30"/>
    </row>
    <row r="21" spans="1:11" x14ac:dyDescent="0.35">
      <c r="B21" s="449" t="s">
        <v>106</v>
      </c>
      <c r="C21" s="450">
        <f t="shared" ref="C21:I21" si="2">SUM(C15:C20)</f>
        <v>0</v>
      </c>
      <c r="D21" s="450">
        <f t="shared" si="2"/>
        <v>0</v>
      </c>
      <c r="E21" s="450">
        <f t="shared" si="2"/>
        <v>0</v>
      </c>
      <c r="F21" s="450">
        <f t="shared" si="2"/>
        <v>0</v>
      </c>
      <c r="G21" s="450">
        <f t="shared" si="2"/>
        <v>0</v>
      </c>
      <c r="H21" s="450">
        <f t="shared" si="2"/>
        <v>0</v>
      </c>
      <c r="I21" s="450">
        <f t="shared" si="2"/>
        <v>0</v>
      </c>
    </row>
    <row r="23" spans="1:11" ht="19" thickBot="1" x14ac:dyDescent="0.4">
      <c r="B23" s="20" t="s">
        <v>107</v>
      </c>
      <c r="C23" s="540" t="s">
        <v>90</v>
      </c>
      <c r="D23" s="541"/>
      <c r="E23" s="541"/>
      <c r="F23" s="541"/>
      <c r="G23" s="541"/>
      <c r="H23" s="541"/>
      <c r="I23" s="542"/>
    </row>
    <row r="24" spans="1:11" ht="29.75" customHeight="1" thickBot="1" x14ac:dyDescent="0.4">
      <c r="B24" s="3" t="s">
        <v>103</v>
      </c>
      <c r="C24" s="12" t="s">
        <v>92</v>
      </c>
      <c r="D24" s="12" t="s">
        <v>93</v>
      </c>
      <c r="E24" s="12" t="s">
        <v>93</v>
      </c>
      <c r="F24" s="12" t="s">
        <v>94</v>
      </c>
      <c r="G24" s="12" t="s">
        <v>95</v>
      </c>
      <c r="H24" s="12" t="s">
        <v>95</v>
      </c>
      <c r="I24" s="12" t="s">
        <v>96</v>
      </c>
    </row>
    <row r="25" spans="1:11" ht="15" thickBot="1" x14ac:dyDescent="0.4">
      <c r="B25" s="3"/>
      <c r="C25" s="12" t="s">
        <v>97</v>
      </c>
      <c r="D25" s="12" t="s">
        <v>98</v>
      </c>
      <c r="E25" s="12" t="s">
        <v>99</v>
      </c>
      <c r="F25" s="12"/>
      <c r="G25" s="12" t="s">
        <v>100</v>
      </c>
      <c r="H25" s="12" t="s">
        <v>101</v>
      </c>
      <c r="I25" s="12"/>
    </row>
    <row r="26" spans="1:11" ht="15" thickBot="1" x14ac:dyDescent="0.4">
      <c r="B26" s="437" t="s">
        <v>108</v>
      </c>
      <c r="C26" s="438">
        <f>SUM(FleetTableDistance[Direct],FleetTableFuel[Direct])</f>
        <v>0</v>
      </c>
      <c r="D26" s="438">
        <f>SUM(FleetTableDistance[Indirect generation],FleetTableFuel[Indirect generation])</f>
        <v>0</v>
      </c>
      <c r="E26" s="438">
        <f>SUM(FleetTableDistance[[Indirect service]:[Indirect WTT]],FleetTableFuel[[Indirect service]:[Indirect WTT]])</f>
        <v>0</v>
      </c>
      <c r="F26" s="439">
        <f>SUM(C26:E26)</f>
        <v>0</v>
      </c>
      <c r="G26" s="440">
        <f>SUM(FleetTableDistance[High],FleetTableFuel[High])</f>
        <v>0</v>
      </c>
      <c r="H26" s="451">
        <f>SUM(FleetTableDistance[Low],FleetTableFuel[Low])</f>
        <v>0</v>
      </c>
      <c r="I26" s="438">
        <f>SUM(FleetTableDistance[Outside of scopes],FleetTableFuel[Outside of scopes])</f>
        <v>0</v>
      </c>
      <c r="J26" s="30"/>
    </row>
    <row r="27" spans="1:11" ht="15" thickBot="1" x14ac:dyDescent="0.4">
      <c r="B27" s="437" t="s">
        <v>109</v>
      </c>
      <c r="C27" s="438">
        <f>SUM(BusinessTable[Direct])</f>
        <v>0</v>
      </c>
      <c r="D27" s="438">
        <f>SUM(BusinessTable[Indirect generation])</f>
        <v>0</v>
      </c>
      <c r="E27" s="438">
        <f>SUM(BusinessTable[[Indirect service]:[Indirect WTT]])</f>
        <v>0</v>
      </c>
      <c r="F27" s="439">
        <f>SUM(C27:E27)</f>
        <v>0</v>
      </c>
      <c r="G27" s="440">
        <f>SUM(BusinessTable[High])</f>
        <v>0</v>
      </c>
      <c r="H27" s="440">
        <f>SUM(BusinessTable[Low])</f>
        <v>0</v>
      </c>
      <c r="I27" s="443">
        <f>SUM(BusinessTable[Outside of scopes])</f>
        <v>0</v>
      </c>
      <c r="J27" s="30"/>
    </row>
    <row r="28" spans="1:11" ht="15" thickBot="1" x14ac:dyDescent="0.4">
      <c r="B28" s="437" t="s">
        <v>110</v>
      </c>
      <c r="C28" s="438">
        <f>SUM(CommutingTable[Direct])</f>
        <v>0</v>
      </c>
      <c r="D28" s="438">
        <f>SUM(CommutingTable[Indirect generation])</f>
        <v>0</v>
      </c>
      <c r="E28" s="438">
        <f>SUM(CommutingTable[[Indirect service]:[Indirect WTT]])</f>
        <v>0</v>
      </c>
      <c r="F28" s="439">
        <f>SUM(C28:E28)</f>
        <v>0</v>
      </c>
      <c r="G28" s="440">
        <f>SUM(CommutingTable[High])</f>
        <v>0</v>
      </c>
      <c r="H28" s="451">
        <f>SUM(CommutingTable[Low])</f>
        <v>0</v>
      </c>
      <c r="I28" s="438">
        <f>SUM(CommutingTable[Outside of scopes])</f>
        <v>0</v>
      </c>
      <c r="J28" s="30"/>
    </row>
    <row r="29" spans="1:11" ht="15" thickBot="1" x14ac:dyDescent="0.4">
      <c r="B29" s="437" t="s">
        <v>111</v>
      </c>
      <c r="C29" s="438">
        <f>SUM(HomeworkingTable[Direct])</f>
        <v>0</v>
      </c>
      <c r="D29" s="438">
        <f>SUM(HomeworkingTable[Indirect generation])</f>
        <v>0</v>
      </c>
      <c r="E29" s="438">
        <f>SUM(HomeworkingTable[[Indirect service]:[Indirect WTT]])</f>
        <v>0</v>
      </c>
      <c r="F29" s="452">
        <f>SUM(C29:E29)</f>
        <v>0</v>
      </c>
      <c r="G29" s="440">
        <f>SUM(HomeworkingTable[High])</f>
        <v>0</v>
      </c>
      <c r="H29" s="440">
        <f>SUM(HomeworkingTable[Low])</f>
        <v>0</v>
      </c>
      <c r="I29" s="453">
        <f>SUM(HomeworkingTable[Outside of scopes])</f>
        <v>0</v>
      </c>
      <c r="J29" s="30"/>
    </row>
    <row r="30" spans="1:11" x14ac:dyDescent="0.35">
      <c r="B30" s="449" t="s">
        <v>112</v>
      </c>
      <c r="C30" s="454">
        <f>SUM(C26:C29)</f>
        <v>0</v>
      </c>
      <c r="D30" s="454">
        <f t="shared" ref="D30:I30" si="3">SUM(D26:D29)</f>
        <v>0</v>
      </c>
      <c r="E30" s="454">
        <f t="shared" si="3"/>
        <v>0</v>
      </c>
      <c r="F30" s="454">
        <f t="shared" si="3"/>
        <v>0</v>
      </c>
      <c r="G30" s="454">
        <f t="shared" si="3"/>
        <v>0</v>
      </c>
      <c r="H30" s="454">
        <f t="shared" si="3"/>
        <v>0</v>
      </c>
      <c r="I30" s="454">
        <f t="shared" si="3"/>
        <v>0</v>
      </c>
    </row>
    <row r="32" spans="1:11" ht="18" customHeight="1" thickBot="1" x14ac:dyDescent="0.4">
      <c r="B32" s="20" t="s">
        <v>113</v>
      </c>
      <c r="C32" s="540" t="s">
        <v>90</v>
      </c>
      <c r="D32" s="541"/>
      <c r="E32" s="541"/>
      <c r="F32" s="541"/>
      <c r="G32" s="541"/>
      <c r="H32" s="541"/>
      <c r="I32" s="542"/>
    </row>
    <row r="33" spans="2:13" ht="29.75" customHeight="1" thickBot="1" x14ac:dyDescent="0.4">
      <c r="B33" s="3" t="s">
        <v>103</v>
      </c>
      <c r="C33" s="12" t="s">
        <v>92</v>
      </c>
      <c r="D33" s="12" t="s">
        <v>93</v>
      </c>
      <c r="E33" s="12" t="s">
        <v>93</v>
      </c>
      <c r="F33" s="12" t="s">
        <v>94</v>
      </c>
      <c r="G33" s="12" t="s">
        <v>95</v>
      </c>
      <c r="H33" s="12" t="s">
        <v>95</v>
      </c>
      <c r="I33" s="12" t="s">
        <v>96</v>
      </c>
    </row>
    <row r="34" spans="2:13" ht="15" thickBot="1" x14ac:dyDescent="0.4">
      <c r="B34" s="3"/>
      <c r="C34" s="12" t="s">
        <v>97</v>
      </c>
      <c r="D34" s="12" t="s">
        <v>98</v>
      </c>
      <c r="E34" s="12" t="s">
        <v>99</v>
      </c>
      <c r="F34" s="12"/>
      <c r="G34" s="12" t="s">
        <v>100</v>
      </c>
      <c r="H34" s="12" t="s">
        <v>101</v>
      </c>
      <c r="I34" s="12"/>
    </row>
    <row r="35" spans="2:13" ht="15" thickBot="1" x14ac:dyDescent="0.4">
      <c r="B35" s="437" t="s">
        <v>114</v>
      </c>
      <c r="C35" s="438">
        <f>SUM(OrganisationalWasteTable[Direct])</f>
        <v>0</v>
      </c>
      <c r="D35" s="438">
        <f>-SUM(OrganisationalWasteTable[Indirect generation])</f>
        <v>0</v>
      </c>
      <c r="E35" s="438">
        <f>SUM(OrganisationalWasteTable[[Indirect service]:[Indirect WTT]])</f>
        <v>0</v>
      </c>
      <c r="F35" s="439">
        <f>SUM(C35:E35)</f>
        <v>0</v>
      </c>
      <c r="G35" s="440">
        <f>SUM(OrganisationalWasteTable[High])</f>
        <v>0</v>
      </c>
      <c r="H35" s="440">
        <f>SUM(OrganisationalWasteTable[Low])</f>
        <v>0</v>
      </c>
      <c r="I35" s="441">
        <f>SUM(OrganisationalWasteTable[Outside of scopes])</f>
        <v>0</v>
      </c>
    </row>
    <row r="36" spans="2:13" ht="15" thickBot="1" x14ac:dyDescent="0.4">
      <c r="B36" s="437" t="s">
        <v>115</v>
      </c>
      <c r="C36" s="438">
        <f>SUM(MunicipalWasteTable[Direct])</f>
        <v>0</v>
      </c>
      <c r="D36" s="438">
        <f>SUM(MunicipalWasteTable[Indirect generation])</f>
        <v>0</v>
      </c>
      <c r="E36" s="438">
        <f>SUM(MunicipalWasteTable[[Indirect service]:[Indirect WTT]])</f>
        <v>0</v>
      </c>
      <c r="F36" s="439">
        <f>SUM(C36:E36)</f>
        <v>0</v>
      </c>
      <c r="G36" s="440">
        <f>SUM(MunicipalWasteTable[High])</f>
        <v>0</v>
      </c>
      <c r="H36" s="440">
        <f>SUM(MunicipalWasteTable[Low])</f>
        <v>0</v>
      </c>
      <c r="I36" s="441">
        <f>SUM(MunicipalWasteTable[Outside of scopes])</f>
        <v>0</v>
      </c>
    </row>
    <row r="37" spans="2:13" ht="15" thickBot="1" x14ac:dyDescent="0.4">
      <c r="B37" s="437" t="s">
        <v>116</v>
      </c>
      <c r="C37" s="438">
        <f>SUM(ProjectWasteTable[Direct])</f>
        <v>0</v>
      </c>
      <c r="D37" s="438">
        <f>SUM(ProjectWasteTable[Indirect generation])</f>
        <v>0</v>
      </c>
      <c r="E37" s="438">
        <f>SUM(ProjectWasteTable[[Indirect service]:[Indirect WTT]])</f>
        <v>0</v>
      </c>
      <c r="F37" s="455">
        <f>SUM(C37:E37)</f>
        <v>0</v>
      </c>
      <c r="G37" s="440">
        <f>SUM(ProjectWasteTable[High])</f>
        <v>0</v>
      </c>
      <c r="H37" s="440">
        <f>SUM(ProjectWasteTable[Low])</f>
        <v>0</v>
      </c>
      <c r="I37" s="441">
        <f>SUM(MunicipalWasteTable[Outside of scopes])</f>
        <v>0</v>
      </c>
    </row>
    <row r="38" spans="2:13" ht="15" thickBot="1" x14ac:dyDescent="0.4">
      <c r="B38" s="449" t="str">
        <f>B32</f>
        <v>Waste</v>
      </c>
      <c r="C38" s="454">
        <f>SUM(C35:C37)</f>
        <v>0</v>
      </c>
      <c r="D38" s="454">
        <f t="shared" ref="D38:E38" si="4">SUM(D35:D37)</f>
        <v>0</v>
      </c>
      <c r="E38" s="454">
        <f t="shared" si="4"/>
        <v>0</v>
      </c>
      <c r="F38" s="456">
        <f>SUM(F35:F37)</f>
        <v>0</v>
      </c>
      <c r="G38" s="457">
        <f>SUM(G35:G37)</f>
        <v>0</v>
      </c>
      <c r="H38" s="457">
        <f>SUM(H35:H37)</f>
        <v>0</v>
      </c>
      <c r="I38" s="454">
        <f>SUM(I35:I37)</f>
        <v>0</v>
      </c>
    </row>
    <row r="41" spans="2:13" ht="19" thickBot="1" x14ac:dyDescent="0.4">
      <c r="B41" s="20" t="s">
        <v>117</v>
      </c>
      <c r="C41" s="540" t="s">
        <v>90</v>
      </c>
      <c r="D41" s="541"/>
      <c r="E41" s="541"/>
      <c r="F41" s="541"/>
      <c r="G41" s="541"/>
      <c r="H41" s="541"/>
      <c r="I41" s="541"/>
      <c r="J41" s="458"/>
    </row>
    <row r="42" spans="2:13" ht="35.75" customHeight="1" thickBot="1" x14ac:dyDescent="0.4">
      <c r="B42" s="3" t="s">
        <v>103</v>
      </c>
      <c r="C42" s="12" t="s">
        <v>92</v>
      </c>
      <c r="D42" s="12" t="s">
        <v>93</v>
      </c>
      <c r="E42" s="12" t="s">
        <v>93</v>
      </c>
      <c r="F42" s="12" t="s">
        <v>94</v>
      </c>
      <c r="G42" s="12" t="s">
        <v>95</v>
      </c>
      <c r="H42" s="12" t="s">
        <v>95</v>
      </c>
      <c r="I42" s="12" t="s">
        <v>96</v>
      </c>
      <c r="J42" s="459"/>
    </row>
    <row r="43" spans="2:13" ht="15" thickBot="1" x14ac:dyDescent="0.4">
      <c r="B43" s="3"/>
      <c r="C43" s="12" t="s">
        <v>97</v>
      </c>
      <c r="D43" s="12" t="s">
        <v>98</v>
      </c>
      <c r="E43" s="12" t="s">
        <v>99</v>
      </c>
      <c r="F43" s="12"/>
      <c r="G43" s="12" t="s">
        <v>100</v>
      </c>
      <c r="H43" s="12" t="s">
        <v>101</v>
      </c>
      <c r="I43" s="12"/>
      <c r="J43" s="459"/>
    </row>
    <row r="44" spans="2:13" ht="15" thickBot="1" x14ac:dyDescent="0.4">
      <c r="B44" s="437" t="s">
        <v>118</v>
      </c>
      <c r="C44" s="6"/>
      <c r="D44" s="6"/>
      <c r="E44" s="460">
        <f>SUMIF(SupplyChainTier1[Supply chain group], B44, SupplyChainTier1[Indirect service])</f>
        <v>0</v>
      </c>
      <c r="F44" s="460">
        <f>SUM(E44)</f>
        <v>0</v>
      </c>
      <c r="G44" s="460">
        <f>SUMIF(SupplyChainTier1[Supply chain group], B44, SupplyChainTier1[High])</f>
        <v>0</v>
      </c>
      <c r="H44" s="460">
        <f>SUMIF(SupplyChainTier1[Supply chain group], B44, SupplyChainTier1[Low])</f>
        <v>0</v>
      </c>
      <c r="I44" s="6"/>
      <c r="J44" s="461"/>
    </row>
    <row r="45" spans="2:13" ht="15" thickBot="1" x14ac:dyDescent="0.4">
      <c r="B45" s="437" t="s">
        <v>119</v>
      </c>
      <c r="C45" s="6"/>
      <c r="D45" s="6"/>
      <c r="E45" s="460">
        <f>SUMIF(SupplyChainTier1[Supply chain group], B45, SupplyChainTier1[Indirect service])</f>
        <v>0</v>
      </c>
      <c r="F45" s="460">
        <f t="shared" ref="F45:F62" si="5">SUM(E45)</f>
        <v>0</v>
      </c>
      <c r="G45" s="460">
        <f>SUMIF(SupplyChainTier1[Supply chain group], B45, SupplyChainTier1[High])</f>
        <v>0</v>
      </c>
      <c r="H45" s="460">
        <f>SUMIF(SupplyChainTier1[Supply chain group], B45, SupplyChainTier1[Low])</f>
        <v>0</v>
      </c>
      <c r="I45" s="6"/>
      <c r="J45" s="26"/>
      <c r="L45" s="462"/>
      <c r="M45" s="461"/>
    </row>
    <row r="46" spans="2:13" ht="15" thickBot="1" x14ac:dyDescent="0.4">
      <c r="B46" s="437" t="s">
        <v>120</v>
      </c>
      <c r="C46" s="6"/>
      <c r="D46" s="6"/>
      <c r="E46" s="460">
        <f>SUMIF(SupplyChainTier1[Supply chain group], B46, SupplyChainTier1[Indirect service])</f>
        <v>0</v>
      </c>
      <c r="F46" s="460">
        <f t="shared" si="5"/>
        <v>0</v>
      </c>
      <c r="G46" s="460">
        <f>SUMIF(SupplyChainTier1[Supply chain group], B46, SupplyChainTier1[High])</f>
        <v>0</v>
      </c>
      <c r="H46" s="460">
        <f>SUMIF(SupplyChainTier1[Supply chain group], B46, SupplyChainTier1[Low])</f>
        <v>0</v>
      </c>
      <c r="I46" s="6"/>
      <c r="L46" s="462"/>
      <c r="M46" s="461"/>
    </row>
    <row r="47" spans="2:13" ht="15" thickBot="1" x14ac:dyDescent="0.4">
      <c r="B47" s="437" t="s">
        <v>121</v>
      </c>
      <c r="C47" s="6"/>
      <c r="D47" s="6"/>
      <c r="E47" s="460">
        <f>SUMIF(SupplyChainTier1[Supply chain group], B47, SupplyChainTier1[Indirect service])</f>
        <v>0</v>
      </c>
      <c r="F47" s="460">
        <f t="shared" si="5"/>
        <v>0</v>
      </c>
      <c r="G47" s="460">
        <f>SUMIF(SupplyChainTier1[Supply chain group], B47, SupplyChainTier1[High])</f>
        <v>0</v>
      </c>
      <c r="H47" s="460">
        <f>SUMIF(SupplyChainTier1[Supply chain group], B47, SupplyChainTier1[Low])</f>
        <v>0</v>
      </c>
      <c r="I47" s="6"/>
      <c r="L47" s="462"/>
      <c r="M47" s="461"/>
    </row>
    <row r="48" spans="2:13" ht="23" customHeight="1" thickBot="1" x14ac:dyDescent="0.4">
      <c r="B48" s="437" t="s">
        <v>122</v>
      </c>
      <c r="C48" s="6"/>
      <c r="D48" s="6"/>
      <c r="E48" s="460">
        <f>SUMIF(SupplyChainTier1[Supply chain group], B48, SupplyChainTier1[Indirect service])</f>
        <v>0</v>
      </c>
      <c r="F48" s="460">
        <f t="shared" si="5"/>
        <v>0</v>
      </c>
      <c r="G48" s="460">
        <f>SUMIF(SupplyChainTier1[Supply chain group], B48, SupplyChainTier1[High])</f>
        <v>0</v>
      </c>
      <c r="H48" s="460">
        <f>SUMIF(SupplyChainTier1[Supply chain group], B48, SupplyChainTier1[Low])</f>
        <v>0</v>
      </c>
      <c r="I48" s="6"/>
      <c r="L48" s="462"/>
      <c r="M48" s="461"/>
    </row>
    <row r="49" spans="2:14" ht="15" thickBot="1" x14ac:dyDescent="0.4">
      <c r="B49" s="437" t="s">
        <v>123</v>
      </c>
      <c r="C49" s="6"/>
      <c r="D49" s="6"/>
      <c r="E49" s="460">
        <f>SUMIF(SupplyChainTier1[Supply chain group], B49, SupplyChainTier1[Indirect service])</f>
        <v>0</v>
      </c>
      <c r="F49" s="460">
        <f t="shared" si="5"/>
        <v>0</v>
      </c>
      <c r="G49" s="460">
        <f>SUMIF(SupplyChainTier1[Supply chain group], B49, SupplyChainTier1[High])</f>
        <v>0</v>
      </c>
      <c r="H49" s="460">
        <f>SUMIF(SupplyChainTier1[Supply chain group], B49, SupplyChainTier1[Low])</f>
        <v>0</v>
      </c>
      <c r="I49" s="6"/>
      <c r="L49" s="462"/>
      <c r="M49" s="461"/>
    </row>
    <row r="50" spans="2:14" ht="15" thickBot="1" x14ac:dyDescent="0.4">
      <c r="B50" s="437" t="s">
        <v>124</v>
      </c>
      <c r="C50" s="6"/>
      <c r="D50" s="6"/>
      <c r="E50" s="460">
        <f>SUMIF(SupplyChainTier1[Supply chain group], B50, SupplyChainTier1[Indirect service])</f>
        <v>0</v>
      </c>
      <c r="F50" s="460">
        <f t="shared" si="5"/>
        <v>0</v>
      </c>
      <c r="G50" s="460">
        <f>SUMIF(SupplyChainTier1[Supply chain group], B50, SupplyChainTier1[High])</f>
        <v>0</v>
      </c>
      <c r="H50" s="460">
        <f>SUMIF(SupplyChainTier1[Supply chain group], B50, SupplyChainTier1[Low])</f>
        <v>0</v>
      </c>
      <c r="I50" s="6"/>
      <c r="L50" s="462"/>
      <c r="M50" s="461"/>
    </row>
    <row r="51" spans="2:14" ht="15" thickBot="1" x14ac:dyDescent="0.4">
      <c r="B51" s="437" t="s">
        <v>125</v>
      </c>
      <c r="C51" s="6"/>
      <c r="D51" s="6"/>
      <c r="E51" s="460">
        <f>SUMIF(SupplyChainTier1[Supply chain group], B51, SupplyChainTier1[Indirect service])</f>
        <v>0</v>
      </c>
      <c r="F51" s="460">
        <f t="shared" si="5"/>
        <v>0</v>
      </c>
      <c r="G51" s="460">
        <f>SUMIF(SupplyChainTier1[Supply chain group], B51, SupplyChainTier1[High])</f>
        <v>0</v>
      </c>
      <c r="H51" s="460">
        <f>SUMIF(SupplyChainTier1[Supply chain group], B51, SupplyChainTier1[Low])</f>
        <v>0</v>
      </c>
      <c r="I51" s="6"/>
      <c r="L51" s="462"/>
      <c r="M51" s="461"/>
    </row>
    <row r="52" spans="2:14" ht="15" thickBot="1" x14ac:dyDescent="0.4">
      <c r="B52" s="437" t="s">
        <v>126</v>
      </c>
      <c r="C52" s="6"/>
      <c r="D52" s="6"/>
      <c r="E52" s="460">
        <f>SUMIF(SupplyChainTier1[Supply chain group], B52, SupplyChainTier1[Indirect service])</f>
        <v>0</v>
      </c>
      <c r="F52" s="460">
        <f t="shared" si="5"/>
        <v>0</v>
      </c>
      <c r="G52" s="460">
        <f>SUMIF(SupplyChainTier1[Supply chain group], B52, SupplyChainTier1[High])</f>
        <v>0</v>
      </c>
      <c r="H52" s="460">
        <f>SUMIF(SupplyChainTier1[Supply chain group], B52, SupplyChainTier1[Low])</f>
        <v>0</v>
      </c>
      <c r="I52" s="6"/>
      <c r="L52" s="462"/>
      <c r="M52" s="461"/>
    </row>
    <row r="53" spans="2:14" ht="15" thickBot="1" x14ac:dyDescent="0.4">
      <c r="B53" s="437" t="s">
        <v>127</v>
      </c>
      <c r="C53" s="6"/>
      <c r="D53" s="6"/>
      <c r="E53" s="460">
        <f>SUMIF(SupplyChainTier1[Supply chain group], B53, SupplyChainTier1[Indirect service])</f>
        <v>0</v>
      </c>
      <c r="F53" s="460">
        <f t="shared" si="5"/>
        <v>0</v>
      </c>
      <c r="G53" s="460">
        <f>SUMIF(SupplyChainTier1[Supply chain group], B53, SupplyChainTier1[High])</f>
        <v>0</v>
      </c>
      <c r="H53" s="460">
        <f>SUMIF(SupplyChainTier1[Supply chain group], B53, SupplyChainTier1[Low])</f>
        <v>0</v>
      </c>
      <c r="I53" s="6"/>
      <c r="L53" s="462"/>
      <c r="M53" s="461"/>
    </row>
    <row r="54" spans="2:14" ht="15" thickBot="1" x14ac:dyDescent="0.4">
      <c r="B54" s="437" t="s">
        <v>128</v>
      </c>
      <c r="C54" s="6"/>
      <c r="D54" s="6"/>
      <c r="E54" s="460">
        <f>SUMIF(SupplyChainTier1[Supply chain group], B54, SupplyChainTier1[Indirect service])</f>
        <v>0</v>
      </c>
      <c r="F54" s="460">
        <f t="shared" si="5"/>
        <v>0</v>
      </c>
      <c r="G54" s="460">
        <f>SUMIF(SupplyChainTier1[Supply chain group], B54, SupplyChainTier1[High])</f>
        <v>0</v>
      </c>
      <c r="H54" s="460">
        <f>SUMIF(SupplyChainTier1[Supply chain group], B54, SupplyChainTier1[Low])</f>
        <v>0</v>
      </c>
      <c r="I54" s="6"/>
      <c r="K54" s="463"/>
      <c r="L54" s="462"/>
      <c r="M54" s="461"/>
    </row>
    <row r="55" spans="2:14" ht="15" thickBot="1" x14ac:dyDescent="0.4">
      <c r="B55" s="437" t="s">
        <v>129</v>
      </c>
      <c r="C55" s="6"/>
      <c r="D55" s="6"/>
      <c r="E55" s="460">
        <f>SUMIF(SupplyChainTier1[Supply chain group], B55, SupplyChainTier1[Indirect service])</f>
        <v>0</v>
      </c>
      <c r="F55" s="460">
        <f t="shared" si="5"/>
        <v>0</v>
      </c>
      <c r="G55" s="460">
        <f>SUMIF(SupplyChainTier1[Supply chain group], B55, SupplyChainTier1[High])</f>
        <v>0</v>
      </c>
      <c r="H55" s="460">
        <f>SUMIF(SupplyChainTier1[Supply chain group], B55, SupplyChainTier1[Low])</f>
        <v>0</v>
      </c>
      <c r="I55" s="6"/>
      <c r="L55" s="462"/>
      <c r="M55" s="461"/>
    </row>
    <row r="56" spans="2:14" ht="15" thickBot="1" x14ac:dyDescent="0.4">
      <c r="B56" s="437" t="s">
        <v>130</v>
      </c>
      <c r="C56" s="6"/>
      <c r="D56" s="6"/>
      <c r="E56" s="460">
        <f>SUMIF(SupplyChainTier1[Supply chain group], B56, SupplyChainTier1[Indirect service])</f>
        <v>0</v>
      </c>
      <c r="F56" s="460">
        <f t="shared" si="5"/>
        <v>0</v>
      </c>
      <c r="G56" s="460">
        <f>SUMIF(SupplyChainTier1[Supply chain group], B56, SupplyChainTier1[High])</f>
        <v>0</v>
      </c>
      <c r="H56" s="460">
        <f>SUMIF(SupplyChainTier1[Supply chain group], B56, SupplyChainTier1[Low])</f>
        <v>0</v>
      </c>
      <c r="I56" s="6"/>
      <c r="L56" s="462"/>
      <c r="M56" s="461"/>
    </row>
    <row r="57" spans="2:14" ht="15" thickBot="1" x14ac:dyDescent="0.4">
      <c r="B57" s="437" t="s">
        <v>131</v>
      </c>
      <c r="C57" s="6"/>
      <c r="D57" s="6"/>
      <c r="E57" s="460">
        <f>SUMIF(SupplyChainTier1[Supply chain group], B57, SupplyChainTier1[Indirect service])</f>
        <v>0</v>
      </c>
      <c r="F57" s="460">
        <f t="shared" si="5"/>
        <v>0</v>
      </c>
      <c r="G57" s="460">
        <f>SUMIF(SupplyChainTier1[Supply chain group], B57, SupplyChainTier1[High])</f>
        <v>0</v>
      </c>
      <c r="H57" s="460">
        <f>SUMIF(SupplyChainTier1[Supply chain group], B57, SupplyChainTier1[Low])</f>
        <v>0</v>
      </c>
      <c r="I57" s="6"/>
      <c r="L57" s="462"/>
      <c r="M57" s="461"/>
    </row>
    <row r="58" spans="2:14" ht="15" thickBot="1" x14ac:dyDescent="0.4">
      <c r="B58" s="437" t="s">
        <v>132</v>
      </c>
      <c r="C58" s="6"/>
      <c r="D58" s="6"/>
      <c r="E58" s="460">
        <f>SUMIF(SupplyChainTier1[Supply chain group], B58, SupplyChainTier1[Indirect service])</f>
        <v>0</v>
      </c>
      <c r="F58" s="460">
        <f t="shared" si="5"/>
        <v>0</v>
      </c>
      <c r="G58" s="460">
        <f>SUMIF(SupplyChainTier1[Supply chain group], B58, SupplyChainTier1[High])</f>
        <v>0</v>
      </c>
      <c r="H58" s="460">
        <f>SUMIF(SupplyChainTier1[Supply chain group], B58, SupplyChainTier1[Low])</f>
        <v>0</v>
      </c>
      <c r="I58" s="6"/>
      <c r="L58" s="462"/>
      <c r="M58" s="461"/>
    </row>
    <row r="59" spans="2:14" ht="15" thickBot="1" x14ac:dyDescent="0.4">
      <c r="B59" s="437" t="s">
        <v>133</v>
      </c>
      <c r="C59" s="6"/>
      <c r="D59" s="6"/>
      <c r="E59" s="460">
        <f>SUMIF(SupplyChainTier1[Supply chain group], B59, SupplyChainTier1[Indirect service])</f>
        <v>0</v>
      </c>
      <c r="F59" s="460">
        <f t="shared" si="5"/>
        <v>0</v>
      </c>
      <c r="G59" s="460">
        <f>SUMIF(SupplyChainTier1[Supply chain group], B59, SupplyChainTier1[High])</f>
        <v>0</v>
      </c>
      <c r="H59" s="460">
        <f>SUMIF(SupplyChainTier1[Supply chain group], B59, SupplyChainTier1[Low])</f>
        <v>0</v>
      </c>
      <c r="I59" s="6"/>
      <c r="L59" s="462"/>
      <c r="M59" s="461"/>
    </row>
    <row r="60" spans="2:14" ht="15" thickBot="1" x14ac:dyDescent="0.4">
      <c r="B60" s="437" t="s">
        <v>134</v>
      </c>
      <c r="C60" s="6"/>
      <c r="D60" s="6"/>
      <c r="E60" s="460">
        <f>SUMIF(SupplyChainTier1[Supply chain group], B60, SupplyChainTier1[Indirect service])</f>
        <v>0</v>
      </c>
      <c r="F60" s="460">
        <f t="shared" si="5"/>
        <v>0</v>
      </c>
      <c r="G60" s="460">
        <f>SUMIF(SupplyChainTier1[Supply chain group], B60, SupplyChainTier1[High])</f>
        <v>0</v>
      </c>
      <c r="H60" s="460">
        <f>SUMIF(SupplyChainTier1[Supply chain group], B60, SupplyChainTier1[Low])</f>
        <v>0</v>
      </c>
      <c r="I60" s="6"/>
      <c r="L60" s="462"/>
      <c r="M60" s="461"/>
    </row>
    <row r="61" spans="2:14" ht="15" thickBot="1" x14ac:dyDescent="0.4">
      <c r="B61" s="437" t="s">
        <v>135</v>
      </c>
      <c r="C61" s="6"/>
      <c r="D61" s="6"/>
      <c r="E61" s="460">
        <f>SUMIF(SupplyChainTier1[Supply chain group], B61, SupplyChainTier1[Indirect service])</f>
        <v>0</v>
      </c>
      <c r="F61" s="460">
        <f t="shared" si="5"/>
        <v>0</v>
      </c>
      <c r="G61" s="460">
        <f>SUMIF(SupplyChainTier1[Supply chain group], B61, SupplyChainTier1[High])</f>
        <v>0</v>
      </c>
      <c r="H61" s="460">
        <f>SUMIF(SupplyChainTier1[Supply chain group], B61, SupplyChainTier1[Low])</f>
        <v>0</v>
      </c>
      <c r="I61" s="6"/>
      <c r="L61" s="462"/>
      <c r="M61" s="461"/>
    </row>
    <row r="62" spans="2:14" ht="15" thickBot="1" x14ac:dyDescent="0.4">
      <c r="B62" s="437" t="s">
        <v>136</v>
      </c>
      <c r="C62" s="6"/>
      <c r="D62" s="6"/>
      <c r="E62" s="460">
        <f>SUMIF(SupplyChainTier1[Supply chain group], B62, SupplyChainTier1[Indirect service])</f>
        <v>0</v>
      </c>
      <c r="F62" s="460">
        <f t="shared" si="5"/>
        <v>0</v>
      </c>
      <c r="G62" s="460">
        <f>SUMIF(SupplyChainTier1[Supply chain group], B62, SupplyChainTier1[High])</f>
        <v>0</v>
      </c>
      <c r="H62" s="460">
        <f>SUMIF(SupplyChainTier1[Supply chain group], B62, SupplyChainTier1[Low])</f>
        <v>0</v>
      </c>
      <c r="I62" s="6"/>
      <c r="J62" s="7"/>
      <c r="L62" s="464"/>
      <c r="M62" s="465"/>
    </row>
    <row r="63" spans="2:14" ht="26.5" thickBot="1" x14ac:dyDescent="0.4">
      <c r="B63" s="437" t="s">
        <v>137</v>
      </c>
      <c r="C63" s="466"/>
      <c r="D63" s="466"/>
      <c r="E63" s="460">
        <f>SUMIF(SupplyChainTier1[Supply chain group], B63, SupplyChainTier1[Indirect service])</f>
        <v>0</v>
      </c>
      <c r="F63" s="460">
        <f>SUM(E63)</f>
        <v>0</v>
      </c>
      <c r="G63" s="460">
        <f>SUMIF(SupplyChainTier1[Supply chain group], B63, SupplyChainTier1[High])</f>
        <v>0</v>
      </c>
      <c r="H63" s="460">
        <f>SUMIF(SupplyChainTier1[Supply chain group], B63, SupplyChainTier1[Low])</f>
        <v>0</v>
      </c>
      <c r="I63" s="467"/>
      <c r="J63" s="31"/>
      <c r="K63" s="33"/>
      <c r="L63" s="468"/>
      <c r="M63" s="469"/>
      <c r="N63" s="30"/>
    </row>
    <row r="64" spans="2:14" ht="15" thickBot="1" x14ac:dyDescent="0.4">
      <c r="B64" s="449" t="str">
        <f>B41</f>
        <v>Supply chain - Tier 1 and Tier 2 combined</v>
      </c>
      <c r="C64" s="6"/>
      <c r="D64" s="6"/>
      <c r="E64" s="454">
        <f>SUM(E44:E63)</f>
        <v>0</v>
      </c>
      <c r="F64" s="454">
        <f>SUM(F44:F63)</f>
        <v>0</v>
      </c>
      <c r="G64" s="454">
        <f>SUM(G44:G63)</f>
        <v>0</v>
      </c>
      <c r="H64" s="454">
        <f>SUM(H44:H63)</f>
        <v>0</v>
      </c>
      <c r="I64" s="470"/>
      <c r="J64" s="31"/>
      <c r="K64" s="33"/>
      <c r="L64" s="471"/>
      <c r="M64" s="472"/>
      <c r="N64" s="30"/>
    </row>
    <row r="66" spans="2:9" ht="15" customHeight="1" x14ac:dyDescent="0.35"/>
    <row r="67" spans="2:9" ht="18.649999999999999" customHeight="1" thickBot="1" x14ac:dyDescent="0.4">
      <c r="B67" s="20" t="s">
        <v>138</v>
      </c>
      <c r="C67" s="540" t="s">
        <v>90</v>
      </c>
      <c r="D67" s="541"/>
      <c r="E67" s="541"/>
      <c r="F67" s="541"/>
      <c r="G67" s="541"/>
      <c r="H67" s="541"/>
      <c r="I67" s="541"/>
    </row>
    <row r="68" spans="2:9" ht="15" thickBot="1" x14ac:dyDescent="0.4">
      <c r="B68" s="3" t="s">
        <v>103</v>
      </c>
      <c r="C68" s="12" t="s">
        <v>92</v>
      </c>
      <c r="D68" s="12" t="s">
        <v>93</v>
      </c>
      <c r="E68" s="12" t="s">
        <v>93</v>
      </c>
      <c r="F68" s="12" t="s">
        <v>94</v>
      </c>
      <c r="G68" s="12" t="s">
        <v>95</v>
      </c>
      <c r="H68" s="12" t="s">
        <v>95</v>
      </c>
      <c r="I68" s="12" t="s">
        <v>96</v>
      </c>
    </row>
    <row r="69" spans="2:9" ht="15" thickBot="1" x14ac:dyDescent="0.4">
      <c r="B69" s="3"/>
      <c r="C69" s="12" t="s">
        <v>97</v>
      </c>
      <c r="D69" s="12" t="s">
        <v>98</v>
      </c>
      <c r="E69" s="12" t="s">
        <v>99</v>
      </c>
      <c r="F69" s="12"/>
      <c r="G69" s="12" t="s">
        <v>100</v>
      </c>
      <c r="H69" s="12" t="s">
        <v>101</v>
      </c>
      <c r="I69" s="12"/>
    </row>
    <row r="70" spans="2:9" ht="15" thickBot="1" x14ac:dyDescent="0.4">
      <c r="B70" s="437" t="s">
        <v>139</v>
      </c>
      <c r="C70" s="438">
        <f>SUM(SUMIF(LandTier1Table[Direct],"&gt;0"),SUMIF(LandTier2Table[Direct], "&gt;0"))</f>
        <v>0</v>
      </c>
      <c r="D70" s="438">
        <f>SUM(SUMIF(LandTier1Table[Indirect generation],"&gt;0"),SUMIF(LandTier2Table[Indirect generation], "&gt;0"))</f>
        <v>0</v>
      </c>
      <c r="E70" s="438">
        <f>SUM(SUMIF(LandTier1Table[[Indirect service]:[Indirect WTT]],"&gt;0"),SUMIF(LandTier2Table[[Indirect service]:[Indirect WTT]], "&gt;0"))</f>
        <v>0</v>
      </c>
      <c r="F70" s="439">
        <f>SUM(C70:E70)</f>
        <v>0</v>
      </c>
      <c r="G70" s="451">
        <f>SUM(SUMIF(LandTier1Table[High],"&gt;0"),SUMIF(LandTier2Table[High], "&gt;0"))</f>
        <v>0</v>
      </c>
      <c r="H70" s="438">
        <f>SUM(SUMIF(LandTier1Table[Low],"&gt;0"),SUMIF(LandTier2Table[Low], "&gt;0"))</f>
        <v>0</v>
      </c>
      <c r="I70" s="439">
        <f>SUM(SUMIF(LandTier1Table[Outside of scopes],"&gt;0"),SUMIF(LandTier2Table[Outside of scopes], "&gt;0"))</f>
        <v>0</v>
      </c>
    </row>
    <row r="71" spans="2:9" ht="15" thickBot="1" x14ac:dyDescent="0.4">
      <c r="B71" s="437" t="s">
        <v>140</v>
      </c>
      <c r="C71" s="438">
        <f>SUM(SUMIF(LandTier1Table[Direct],"&lt;0"),SUMIF(LandTier2Table[Direct], "&lt;0"))</f>
        <v>0</v>
      </c>
      <c r="D71" s="438">
        <f>SUM(SUMIF(LandTier1Table[Indirect generation],"&lt;0"),SUMIF(LandTier2Table[Indirect generation], "&lt;0"))</f>
        <v>0</v>
      </c>
      <c r="E71" s="438">
        <f>SUM(SUMIF(LandTier1Table[[Indirect service]:[Indirect WTT]],"&lt;0"),SUMIF(LandTier2Table[[Indirect service]:[Indirect WTT]], "&lt;0"))</f>
        <v>0</v>
      </c>
      <c r="F71" s="439">
        <f t="shared" ref="F71:F72" si="6">SUM(C71:E71)</f>
        <v>0</v>
      </c>
      <c r="G71" s="440">
        <f>SUM(SUMIF(LandTier1Table[High],"&lt;0"),SUMIF(LandTier2Table[High], "&lt;0"))</f>
        <v>0</v>
      </c>
      <c r="H71" s="440">
        <f>SUM(SUMIF(LandTier1Table[Low],"&lt;0"),SUMIF(LandTier2Table[Low], "&lt;0"))</f>
        <v>0</v>
      </c>
      <c r="I71" s="443">
        <f>SUM(SUMIF(LandTier1Table[Outside of scopes],"&lt;0"),SUMIF(LandTier2Table[Outside of scopes], "&lt;0"))</f>
        <v>0</v>
      </c>
    </row>
    <row r="72" spans="2:9" ht="15" thickBot="1" x14ac:dyDescent="0.4">
      <c r="B72" s="124" t="s">
        <v>141</v>
      </c>
      <c r="C72" s="447">
        <f>SUM(AgricultureTable[Direct])</f>
        <v>0</v>
      </c>
      <c r="D72" s="447">
        <f>SUM(AgricultureTable[Indirect generation])</f>
        <v>0</v>
      </c>
      <c r="E72" s="447">
        <f>SUM(AgricultureTable[[Indirect service]:[Indirect WTT]])</f>
        <v>0</v>
      </c>
      <c r="F72" s="448">
        <f t="shared" si="6"/>
        <v>0</v>
      </c>
      <c r="G72" s="447">
        <f>SUM(AgricultureTable[High])</f>
        <v>0</v>
      </c>
      <c r="H72" s="447">
        <f>SUM(AgricultureTable[Low])</f>
        <v>0</v>
      </c>
      <c r="I72" s="447">
        <f>SUM(AgricultureTable[Outside of scopes])</f>
        <v>0</v>
      </c>
    </row>
    <row r="73" spans="2:9" ht="15" thickBot="1" x14ac:dyDescent="0.4">
      <c r="B73" s="449" t="s">
        <v>142</v>
      </c>
      <c r="C73" s="454">
        <f>SUM(C70:C72)</f>
        <v>0</v>
      </c>
      <c r="D73" s="454">
        <f t="shared" ref="D73:E73" si="7">SUM(D70:D72)</f>
        <v>0</v>
      </c>
      <c r="E73" s="454">
        <f t="shared" si="7"/>
        <v>0</v>
      </c>
      <c r="F73" s="456">
        <f>SUM(F70:F72)</f>
        <v>0</v>
      </c>
      <c r="G73" s="457">
        <f>SUM(G70:G72)</f>
        <v>0</v>
      </c>
      <c r="H73" s="457">
        <f>SUM(H70:H72)</f>
        <v>0</v>
      </c>
      <c r="I73" s="454">
        <f>SUM(I70:I72)</f>
        <v>0</v>
      </c>
    </row>
    <row r="75" spans="2:9" ht="15" thickBot="1" x14ac:dyDescent="0.4"/>
    <row r="76" spans="2:9" ht="26.75" customHeight="1" thickBot="1" x14ac:dyDescent="0.4">
      <c r="B76" s="20" t="s">
        <v>143</v>
      </c>
      <c r="C76" s="538" t="s">
        <v>144</v>
      </c>
      <c r="D76" s="539"/>
      <c r="E76" s="459"/>
      <c r="F76" s="459"/>
      <c r="G76" s="459"/>
      <c r="H76" s="459"/>
      <c r="I76" s="459"/>
    </row>
    <row r="77" spans="2:9" ht="37.5" customHeight="1" thickBot="1" x14ac:dyDescent="0.4">
      <c r="B77" s="3" t="s">
        <v>103</v>
      </c>
      <c r="C77" s="12" t="s">
        <v>145</v>
      </c>
      <c r="D77" s="12" t="s">
        <v>146</v>
      </c>
      <c r="E77" s="459"/>
      <c r="F77" s="459"/>
      <c r="G77" s="459"/>
      <c r="H77" s="459"/>
      <c r="I77" s="459"/>
    </row>
    <row r="78" spans="2:9" ht="15" thickBot="1" x14ac:dyDescent="0.4">
      <c r="B78" s="3"/>
      <c r="C78" s="12" t="s">
        <v>97</v>
      </c>
      <c r="D78" s="12" t="s">
        <v>98</v>
      </c>
      <c r="E78" s="459"/>
      <c r="F78" s="459"/>
      <c r="G78" s="459"/>
      <c r="H78" s="459"/>
      <c r="I78" s="459"/>
    </row>
    <row r="79" spans="2:9" ht="15" thickBot="1" x14ac:dyDescent="0.4">
      <c r="B79" s="437" t="s">
        <v>147</v>
      </c>
      <c r="C79" s="438">
        <f>SUMIFS(RenewableElectricityTable[Total kWh generated],RenewableElectricityTable[Renewable Type], "Renewable electricity",RenewableElectricityTable[Location],"Onsite")</f>
        <v>0</v>
      </c>
      <c r="D79" s="438">
        <f>SUMIFS(RenewableElectricityTable[kWh exported to other PSB], RenewableElectricityTable[Renewable Type], "Renewable electricity", RenewableElectricityTable[Location],"Onsite")+SUMIFS(RenewableElectricityTable[kWh exported to grid], RenewableElectricityTable[Renewable Type], "Renewable electricity", RenewableElectricityTable[Location],"Onsite")</f>
        <v>0</v>
      </c>
      <c r="E79" s="459"/>
      <c r="F79" s="473"/>
      <c r="G79" s="473"/>
      <c r="H79" s="473"/>
      <c r="I79" s="473"/>
    </row>
    <row r="80" spans="2:9" ht="15" thickBot="1" x14ac:dyDescent="0.4">
      <c r="B80" s="437" t="s">
        <v>148</v>
      </c>
      <c r="C80" s="438">
        <f>SUMIFS(RenewableElectricityTable[Total kWh generated],RenewableElectricityTable[Renewable Type], "Renewable electricity",RenewableElectricityTable[Location],"Offsite")</f>
        <v>0</v>
      </c>
      <c r="D80" s="438">
        <f>SUMIFS(RenewableElectricityTable[kWh exported to other PSB], RenewableElectricityTable[Renewable Type], "Renewable electricity", RenewableElectricityTable[Location],"Offsite")+SUMIFS(RenewableElectricityTable[kWh exported to grid], RenewableElectricityTable[Renewable Type], "Renewable electricity", RenewableElectricityTable[Location],"Offsite")</f>
        <v>0</v>
      </c>
      <c r="E80" s="459"/>
      <c r="F80" s="473"/>
      <c r="G80" s="473"/>
      <c r="H80" s="473"/>
      <c r="I80" s="473"/>
    </row>
    <row r="81" spans="2:11" ht="15" thickBot="1" x14ac:dyDescent="0.4">
      <c r="B81" s="437" t="s">
        <v>149</v>
      </c>
      <c r="C81" s="438">
        <f>SUMIFS(OnsiteHeatTable[Total kWh generated],OnsiteHeatTable[Renewable Type], "Renewable heat",OnsiteHeatTable[Location],"Onsite")</f>
        <v>0</v>
      </c>
      <c r="D81" s="438">
        <f>SUMIFS(OnsiteHeatTable[kWh exported to other PSB], OnsiteHeatTable[Renewable Type], "Renewable heat", OnsiteHeatTable[Location],"Onsite")+SUMIFS(OnsiteHeatTable[kWh exported to a heat network], OnsiteHeatTable[Renewable Type], "Renewable heat", OnsiteHeatTable[Location],"Onsite")</f>
        <v>0</v>
      </c>
      <c r="E81" s="474"/>
      <c r="F81" s="475"/>
      <c r="G81" s="476"/>
      <c r="H81" s="477"/>
      <c r="I81" s="477"/>
    </row>
    <row r="82" spans="2:11" ht="15" thickBot="1" x14ac:dyDescent="0.4">
      <c r="B82" s="437" t="s">
        <v>150</v>
      </c>
      <c r="C82" s="438">
        <f>SUMIFS(OffsiteHeatTable[Total kWh generated],OffsiteHeatTable[Renewable Type], "Renewable heat",OffsiteHeatTable[Location],"Offsite")</f>
        <v>0</v>
      </c>
      <c r="D82" s="438">
        <f>SUMIFS(OffsiteHeatTable[kWh exported to other PSB], OffsiteHeatTable[Renewable Type], "Renewable heat", OffsiteHeatTable[Location],"Offsite")+SUMIFS(OffsiteHeatTable[kWh exported to grid], OffsiteHeatTable[Renewable Type], "Renewable heat", OffsiteHeatTable[Location],"Offsite")</f>
        <v>0</v>
      </c>
      <c r="E82" s="474"/>
      <c r="F82" s="475"/>
      <c r="G82" s="476"/>
      <c r="H82" s="477"/>
      <c r="I82" s="477"/>
    </row>
    <row r="83" spans="2:11" ht="15" thickBot="1" x14ac:dyDescent="0.4">
      <c r="B83" s="437" t="s">
        <v>151</v>
      </c>
      <c r="C83" s="438">
        <f>SUMIF(OnsiteHeatTable[Renewable Type], "Renewable CHP", OnsiteHeatTable[Total kWh generated])</f>
        <v>0</v>
      </c>
      <c r="D83" s="438">
        <f>SUMIF(OnsiteHeatTable[Renewable Type], "Renewable CHP", OnsiteHeatTable[kWh exported to other PSB])+SUMIF(OnsiteHeatTable[Renewable Type], "Renewable CHP", OnsiteHeatTable[kWh exported to a heat network])</f>
        <v>0</v>
      </c>
      <c r="E83" s="465"/>
      <c r="F83" s="478"/>
      <c r="G83" s="479"/>
      <c r="H83" s="480"/>
      <c r="I83" s="480"/>
      <c r="J83" s="481"/>
    </row>
    <row r="84" spans="2:11" ht="15" thickBot="1" x14ac:dyDescent="0.4">
      <c r="B84" s="437" t="s">
        <v>152</v>
      </c>
      <c r="C84" s="438">
        <f>SUMIF(OffsiteHeatTable[Renewable Type], "Renewable CHP", OffsiteHeatTable[Total kWh generated])</f>
        <v>0</v>
      </c>
      <c r="D84" s="438">
        <f>SUMIF(OffsiteHeatTable[Renewable Type], "Renewable CHP", OffsiteHeatTable[kWh exported to other PSB])+SUMIF(OffsiteHeatTable[Renewable Type], "Renewable CHP", OffsiteHeatTable[kWh exported to grid])</f>
        <v>0</v>
      </c>
      <c r="E84" s="469"/>
      <c r="F84" s="469"/>
      <c r="G84" s="472"/>
      <c r="H84" s="482"/>
      <c r="I84" s="482"/>
      <c r="J84" s="31"/>
      <c r="K84" s="30"/>
    </row>
    <row r="85" spans="2:11" ht="15" thickBot="1" x14ac:dyDescent="0.4">
      <c r="B85" s="437" t="s">
        <v>153</v>
      </c>
      <c r="C85" s="438">
        <f>SUMIF(PurchasedRenewablesTable[Renewable Type], "Purchased renewable heat", PurchasedRenewablesTable[Total kWh purchased])</f>
        <v>0</v>
      </c>
      <c r="D85" s="483"/>
      <c r="E85" s="469"/>
      <c r="F85" s="469"/>
      <c r="G85" s="472"/>
      <c r="H85" s="482"/>
      <c r="I85" s="482"/>
      <c r="J85" s="31"/>
      <c r="K85" s="30"/>
    </row>
    <row r="86" spans="2:11" ht="15" thickBot="1" x14ac:dyDescent="0.4">
      <c r="B86" s="437" t="s">
        <v>154</v>
      </c>
      <c r="C86" s="438">
        <f>SUMIF(PurchasedRenewablesTable[Renewable Type], "Purchased renewable electricity", PurchasedRenewablesTable[Total kWh purchased])</f>
        <v>0</v>
      </c>
      <c r="D86" s="483"/>
      <c r="E86" s="469"/>
      <c r="F86" s="469"/>
      <c r="G86" s="472"/>
      <c r="H86" s="482"/>
      <c r="I86" s="482"/>
      <c r="J86" s="31"/>
      <c r="K86" s="30"/>
    </row>
    <row r="87" spans="2:11" x14ac:dyDescent="0.35">
      <c r="B87" s="449" t="str">
        <f>B76</f>
        <v>Renewables</v>
      </c>
      <c r="C87" s="454">
        <f>SUM(C81:C86)</f>
        <v>0</v>
      </c>
      <c r="D87" s="484">
        <f>SUM(D81:D86)</f>
        <v>0</v>
      </c>
      <c r="E87" s="19"/>
      <c r="F87" s="19"/>
      <c r="G87" s="19"/>
      <c r="H87" s="19"/>
      <c r="I87" s="28"/>
      <c r="J87" s="28"/>
    </row>
    <row r="88" spans="2:11" x14ac:dyDescent="0.35">
      <c r="I88" s="26"/>
      <c r="J88" s="26"/>
    </row>
    <row r="89" spans="2:11" x14ac:dyDescent="0.35">
      <c r="I89" s="26"/>
      <c r="J89" s="26"/>
    </row>
    <row r="90" spans="2:11" ht="18.5" x14ac:dyDescent="0.35">
      <c r="B90" s="20"/>
    </row>
    <row r="114" spans="6:13" x14ac:dyDescent="0.35">
      <c r="F114" s="18"/>
      <c r="G114" s="31"/>
      <c r="H114" s="31"/>
      <c r="I114" s="31"/>
      <c r="J114" s="31"/>
      <c r="K114" s="30"/>
      <c r="L114" s="19"/>
      <c r="M114" s="19"/>
    </row>
    <row r="115" spans="6:13" x14ac:dyDescent="0.35">
      <c r="G115" s="19"/>
      <c r="H115" s="19"/>
      <c r="I115" s="19"/>
      <c r="J115" s="19"/>
    </row>
  </sheetData>
  <sheetProtection algorithmName="SHA-512" hashValue="Ysq0texJoS1ocxhKwKEtnvkB5C3nblUziLxTVM7XjMcY34vr2n/KyEFWveyFM0c2uO9GgcSzwRVndkWAUmTuvg==" saltValue="dR19P6oHUdegkQWM3+NZ8A==" spinCount="100000" sheet="1" objects="1" scenarios="1"/>
  <mergeCells count="8">
    <mergeCell ref="C76:D76"/>
    <mergeCell ref="C32:I32"/>
    <mergeCell ref="B3:I3"/>
    <mergeCell ref="C12:I12"/>
    <mergeCell ref="C23:I23"/>
    <mergeCell ref="C41:I41"/>
    <mergeCell ref="C6:I6"/>
    <mergeCell ref="C67:I67"/>
  </mergeCells>
  <dataValidations disablePrompts="1" count="1">
    <dataValidation type="list" allowBlank="1" showInputMessage="1" showErrorMessage="1" sqref="B35:B37 B44:B63 B15:B20 B26:B29 B79 B81:B86" xr:uid="{00000000-0002-0000-0100-000000000000}">
      <formula1>Type</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D4DFA-E98B-4799-BF45-77BB9006B31F}">
  <sheetPr>
    <tabColor rgb="FF27CCF9"/>
  </sheetPr>
  <dimension ref="B1:R1000"/>
  <sheetViews>
    <sheetView zoomScale="88" zoomScaleNormal="88" workbookViewId="0">
      <selection activeCell="B8" sqref="B8"/>
    </sheetView>
  </sheetViews>
  <sheetFormatPr defaultColWidth="8.6328125" defaultRowHeight="14.5" x14ac:dyDescent="0.35"/>
  <cols>
    <col min="1" max="1" width="8.6328125" style="31"/>
    <col min="2" max="4" width="32.6328125" style="31" customWidth="1"/>
    <col min="5" max="5" width="41.6328125" style="31" customWidth="1"/>
    <col min="6" max="6" width="28.36328125" style="31" customWidth="1"/>
    <col min="7" max="7" width="23.6328125" style="31" customWidth="1"/>
    <col min="8" max="8" width="20.36328125" style="31" hidden="1" customWidth="1"/>
    <col min="9" max="9" width="0" style="31" hidden="1" customWidth="1"/>
    <col min="10" max="11" width="8.6328125" style="31" customWidth="1"/>
    <col min="12" max="12" width="8.6328125" style="31"/>
    <col min="13" max="13" width="18.6328125" style="31" customWidth="1"/>
    <col min="14" max="14" width="8.6328125" style="31"/>
    <col min="15" max="15" width="31.6328125" style="31" customWidth="1"/>
    <col min="16" max="16" width="8.6328125" style="31"/>
    <col min="17" max="17" width="18.36328125" style="31" customWidth="1"/>
    <col min="18" max="16384" width="8.6328125" style="31"/>
  </cols>
  <sheetData>
    <row r="1" spans="2:18" ht="15" thickBot="1" x14ac:dyDescent="0.4">
      <c r="M1" s="304" t="s">
        <v>155</v>
      </c>
      <c r="N1" s="554" t="s">
        <v>9</v>
      </c>
      <c r="O1" s="555"/>
      <c r="P1" s="556" t="s">
        <v>13</v>
      </c>
      <c r="Q1" s="557"/>
    </row>
    <row r="2" spans="2:18" ht="19" thickBot="1" x14ac:dyDescent="0.4">
      <c r="B2" s="562" t="s">
        <v>156</v>
      </c>
      <c r="C2" s="563"/>
      <c r="D2" s="563"/>
      <c r="E2" s="563"/>
      <c r="F2" s="563"/>
      <c r="G2" s="563"/>
      <c r="H2" s="563"/>
      <c r="M2" s="18"/>
      <c r="N2" s="558" t="s">
        <v>11</v>
      </c>
      <c r="O2" s="559"/>
      <c r="P2" s="560" t="s">
        <v>15</v>
      </c>
      <c r="Q2" s="561"/>
    </row>
    <row r="3" spans="2:18" ht="53" customHeight="1" thickBot="1" x14ac:dyDescent="0.4">
      <c r="B3" s="550" t="s">
        <v>157</v>
      </c>
      <c r="C3" s="551"/>
      <c r="D3" s="551"/>
      <c r="E3" s="551"/>
      <c r="F3" s="551"/>
      <c r="G3" s="551"/>
      <c r="H3" s="551"/>
    </row>
    <row r="4" spans="2:18" ht="117" customHeight="1" x14ac:dyDescent="0.35">
      <c r="B4" s="552" t="s">
        <v>158</v>
      </c>
      <c r="C4" s="553"/>
      <c r="D4" s="553"/>
      <c r="E4" s="553"/>
      <c r="F4" s="553"/>
      <c r="G4" s="553"/>
      <c r="H4" s="553"/>
    </row>
    <row r="5" spans="2:18" ht="17.75" customHeight="1" x14ac:dyDescent="0.35">
      <c r="B5" s="549" t="s">
        <v>159</v>
      </c>
      <c r="C5" s="549"/>
      <c r="D5" s="549"/>
      <c r="E5" s="549"/>
      <c r="F5" s="305" t="str">
        <f>IF($I$6=0,"No data entered",IF($H$6=0," ","Floor area missing"))</f>
        <v>No data entered</v>
      </c>
      <c r="G5" s="306"/>
      <c r="H5" s="307" t="s">
        <v>160</v>
      </c>
      <c r="I5" s="9" t="s">
        <v>161</v>
      </c>
      <c r="M5" s="306"/>
      <c r="N5" s="306"/>
      <c r="O5" s="308"/>
      <c r="P5" s="308"/>
      <c r="Q5" s="308"/>
      <c r="R5" s="308"/>
    </row>
    <row r="6" spans="2:18" ht="21" customHeight="1" thickBot="1" x14ac:dyDescent="0.4">
      <c r="B6" s="309" t="s">
        <v>162</v>
      </c>
      <c r="C6" s="309" t="s">
        <v>163</v>
      </c>
      <c r="D6" s="309" t="s">
        <v>164</v>
      </c>
      <c r="E6" s="309" t="s">
        <v>165</v>
      </c>
      <c r="F6" s="310" t="s">
        <v>166</v>
      </c>
      <c r="H6" s="9">
        <f>SUM(H7:H33)</f>
        <v>0</v>
      </c>
      <c r="I6" s="9">
        <f>SUM(I7:I33)</f>
        <v>0</v>
      </c>
    </row>
    <row r="7" spans="2:18" ht="15" thickBot="1" x14ac:dyDescent="0.4">
      <c r="B7" s="265"/>
      <c r="C7" s="76"/>
      <c r="D7" s="76"/>
      <c r="E7" s="76"/>
      <c r="F7" s="302"/>
      <c r="H7" s="1" cm="1">
        <f t="array" ref="H7">IF(AND(ISBLANK(F7), NOT(ISBLANK(B7:E7))), 1,0)</f>
        <v>0</v>
      </c>
      <c r="I7" s="31">
        <f>IF(AND(B7 = "", C7="", D7="",F7=""), 0,1)</f>
        <v>0</v>
      </c>
    </row>
    <row r="8" spans="2:18" ht="15" thickBot="1" x14ac:dyDescent="0.4">
      <c r="B8" s="265"/>
      <c r="C8" s="76"/>
      <c r="D8" s="76"/>
      <c r="E8" s="76"/>
      <c r="F8" s="302"/>
      <c r="H8" s="1" cm="1">
        <f t="array" ref="H8">IF(AND(ISBLANK(F8), NOT(ISBLANK(B8:E8))), 1,0)</f>
        <v>0</v>
      </c>
      <c r="I8" s="31">
        <f t="shared" ref="I8:I32" si="0">IF(AND(B8 = "", C8="", D8="",F8=""), 0,1)</f>
        <v>0</v>
      </c>
    </row>
    <row r="9" spans="2:18" ht="15" thickBot="1" x14ac:dyDescent="0.4">
      <c r="B9" s="265"/>
      <c r="C9" s="76"/>
      <c r="D9" s="76"/>
      <c r="E9" s="76"/>
      <c r="F9" s="302"/>
      <c r="H9" s="1" cm="1">
        <f t="array" ref="H9">IF(AND(ISBLANK(F9), NOT(ISBLANK(B9:E9))), 1,0)</f>
        <v>0</v>
      </c>
      <c r="I9" s="31">
        <f t="shared" si="0"/>
        <v>0</v>
      </c>
    </row>
    <row r="10" spans="2:18" ht="15" thickBot="1" x14ac:dyDescent="0.4">
      <c r="B10" s="265"/>
      <c r="C10" s="76"/>
      <c r="D10" s="76"/>
      <c r="E10" s="76"/>
      <c r="F10" s="302"/>
      <c r="H10" s="1" cm="1">
        <f t="array" ref="H10">IF(AND(ISBLANK(F10), NOT(ISBLANK(B10:E10))), 1,0)</f>
        <v>0</v>
      </c>
      <c r="I10" s="31">
        <f t="shared" si="0"/>
        <v>0</v>
      </c>
    </row>
    <row r="11" spans="2:18" ht="15" thickBot="1" x14ac:dyDescent="0.4">
      <c r="B11" s="265"/>
      <c r="C11" s="76"/>
      <c r="D11" s="76"/>
      <c r="E11" s="76"/>
      <c r="F11" s="302"/>
      <c r="H11" s="1" cm="1">
        <f t="array" ref="H11">IF(AND(ISBLANK(F11), NOT(ISBLANK(B11:E11))), 1,0)</f>
        <v>0</v>
      </c>
      <c r="I11" s="31">
        <f t="shared" si="0"/>
        <v>0</v>
      </c>
    </row>
    <row r="12" spans="2:18" ht="15" thickBot="1" x14ac:dyDescent="0.4">
      <c r="B12" s="265"/>
      <c r="C12" s="76"/>
      <c r="D12" s="76"/>
      <c r="E12" s="76"/>
      <c r="F12" s="302"/>
      <c r="H12" s="1" cm="1">
        <f t="array" ref="H12">IF(AND(ISBLANK(F12), NOT(ISBLANK(B12:E12))), 1,0)</f>
        <v>0</v>
      </c>
      <c r="I12" s="31">
        <f t="shared" si="0"/>
        <v>0</v>
      </c>
    </row>
    <row r="13" spans="2:18" ht="15" thickBot="1" x14ac:dyDescent="0.4">
      <c r="B13" s="265"/>
      <c r="C13" s="76"/>
      <c r="D13" s="76"/>
      <c r="E13" s="76"/>
      <c r="F13" s="302"/>
      <c r="H13" s="1" cm="1">
        <f t="array" ref="H13">IF(AND(ISBLANK(F13), NOT(ISBLANK(B13:E13))), 1,0)</f>
        <v>0</v>
      </c>
      <c r="I13" s="31">
        <f t="shared" si="0"/>
        <v>0</v>
      </c>
    </row>
    <row r="14" spans="2:18" ht="15" thickBot="1" x14ac:dyDescent="0.4">
      <c r="B14" s="265"/>
      <c r="C14" s="76"/>
      <c r="D14" s="76"/>
      <c r="E14" s="76"/>
      <c r="F14" s="302"/>
      <c r="H14" s="1" cm="1">
        <f t="array" ref="H14">IF(AND(ISBLANK(F14), NOT(ISBLANK(B14:E14))), 1,0)</f>
        <v>0</v>
      </c>
      <c r="I14" s="31">
        <f t="shared" si="0"/>
        <v>0</v>
      </c>
    </row>
    <row r="15" spans="2:18" ht="15" thickBot="1" x14ac:dyDescent="0.4">
      <c r="B15" s="216"/>
      <c r="C15" s="76"/>
      <c r="D15" s="76"/>
      <c r="E15" s="76"/>
      <c r="F15" s="302"/>
      <c r="H15" s="1" cm="1">
        <f t="array" ref="H15">IF(AND(ISBLANK(F15), NOT(ISBLANK(B15:E15))), 1,0)</f>
        <v>0</v>
      </c>
      <c r="I15" s="31">
        <f t="shared" si="0"/>
        <v>0</v>
      </c>
    </row>
    <row r="16" spans="2:18" ht="15" thickBot="1" x14ac:dyDescent="0.4">
      <c r="B16" s="216"/>
      <c r="C16" s="76"/>
      <c r="D16" s="76"/>
      <c r="E16" s="76"/>
      <c r="F16" s="302"/>
      <c r="H16" s="1" cm="1">
        <f t="array" ref="H16">IF(AND(ISBLANK(F16), NOT(ISBLANK(B16:E16))), 1,0)</f>
        <v>0</v>
      </c>
      <c r="I16" s="31">
        <f t="shared" si="0"/>
        <v>0</v>
      </c>
    </row>
    <row r="17" spans="2:9" ht="15" thickBot="1" x14ac:dyDescent="0.4">
      <c r="B17" s="216"/>
      <c r="C17" s="76"/>
      <c r="D17" s="76"/>
      <c r="E17" s="76"/>
      <c r="F17" s="302"/>
      <c r="H17" s="1" cm="1">
        <f t="array" ref="H17">IF(AND(ISBLANK(F17), NOT(ISBLANK(B17:E17))), 1,0)</f>
        <v>0</v>
      </c>
      <c r="I17" s="31">
        <f t="shared" si="0"/>
        <v>0</v>
      </c>
    </row>
    <row r="18" spans="2:9" ht="15" thickBot="1" x14ac:dyDescent="0.4">
      <c r="B18" s="216"/>
      <c r="C18" s="76"/>
      <c r="D18" s="76"/>
      <c r="E18" s="76"/>
      <c r="F18" s="302"/>
      <c r="H18" s="1" cm="1">
        <f t="array" ref="H18">IF(AND(ISBLANK(F18), NOT(ISBLANK(B18:E18))), 1,0)</f>
        <v>0</v>
      </c>
      <c r="I18" s="31">
        <f t="shared" si="0"/>
        <v>0</v>
      </c>
    </row>
    <row r="19" spans="2:9" ht="15" thickBot="1" x14ac:dyDescent="0.4">
      <c r="B19" s="216"/>
      <c r="C19" s="76"/>
      <c r="D19" s="76"/>
      <c r="E19" s="76"/>
      <c r="F19" s="302"/>
      <c r="H19" s="1" cm="1">
        <f t="array" ref="H19">IF(AND(ISBLANK(F19), NOT(ISBLANK(B19:E19))), 1,0)</f>
        <v>0</v>
      </c>
      <c r="I19" s="31">
        <f t="shared" si="0"/>
        <v>0</v>
      </c>
    </row>
    <row r="20" spans="2:9" ht="15" thickBot="1" x14ac:dyDescent="0.4">
      <c r="B20" s="216"/>
      <c r="C20" s="76"/>
      <c r="D20" s="76"/>
      <c r="E20" s="76"/>
      <c r="F20" s="302"/>
      <c r="H20" s="1" cm="1">
        <f t="array" ref="H20">IF(AND(ISBLANK(F20), NOT(ISBLANK(B20:E20))), 1,0)</f>
        <v>0</v>
      </c>
      <c r="I20" s="31">
        <f t="shared" si="0"/>
        <v>0</v>
      </c>
    </row>
    <row r="21" spans="2:9" ht="15" thickBot="1" x14ac:dyDescent="0.4">
      <c r="B21" s="216"/>
      <c r="C21" s="76"/>
      <c r="D21" s="76"/>
      <c r="E21" s="76"/>
      <c r="F21" s="302"/>
      <c r="H21" s="1" cm="1">
        <f t="array" ref="H21">IF(AND(ISBLANK(F21), NOT(ISBLANK(B21:E21))), 1,0)</f>
        <v>0</v>
      </c>
      <c r="I21" s="31">
        <f t="shared" si="0"/>
        <v>0</v>
      </c>
    </row>
    <row r="22" spans="2:9" ht="15" thickBot="1" x14ac:dyDescent="0.4">
      <c r="B22" s="216"/>
      <c r="C22" s="76"/>
      <c r="D22" s="76"/>
      <c r="E22" s="76"/>
      <c r="F22" s="302"/>
      <c r="H22" s="1" cm="1">
        <f t="array" ref="H22">IF(AND(ISBLANK(F22), NOT(ISBLANK(B22:E22))), 1,0)</f>
        <v>0</v>
      </c>
      <c r="I22" s="31">
        <f t="shared" si="0"/>
        <v>0</v>
      </c>
    </row>
    <row r="23" spans="2:9" ht="15" thickBot="1" x14ac:dyDescent="0.4">
      <c r="B23" s="216"/>
      <c r="C23" s="76"/>
      <c r="D23" s="76"/>
      <c r="E23" s="76"/>
      <c r="F23" s="302"/>
      <c r="H23" s="1" cm="1">
        <f t="array" ref="H23">IF(AND(ISBLANK(F23), NOT(ISBLANK(B23:E23))), 1,0)</f>
        <v>0</v>
      </c>
      <c r="I23" s="31">
        <f t="shared" si="0"/>
        <v>0</v>
      </c>
    </row>
    <row r="24" spans="2:9" ht="15" thickBot="1" x14ac:dyDescent="0.4">
      <c r="B24" s="216"/>
      <c r="C24" s="76"/>
      <c r="D24" s="76"/>
      <c r="E24" s="76"/>
      <c r="F24" s="302"/>
      <c r="H24" s="1" cm="1">
        <f t="array" ref="H24">IF(AND(ISBLANK(F24), NOT(ISBLANK(B24:E24))), 1,0)</f>
        <v>0</v>
      </c>
      <c r="I24" s="31">
        <f t="shared" si="0"/>
        <v>0</v>
      </c>
    </row>
    <row r="25" spans="2:9" ht="15" thickBot="1" x14ac:dyDescent="0.4">
      <c r="B25" s="216"/>
      <c r="C25" s="76"/>
      <c r="D25" s="76"/>
      <c r="E25" s="76"/>
      <c r="F25" s="302"/>
      <c r="H25" s="1" cm="1">
        <f t="array" ref="H25">IF(AND(ISBLANK(F25), NOT(ISBLANK(B25:E25))), 1,0)</f>
        <v>0</v>
      </c>
      <c r="I25" s="31">
        <f t="shared" si="0"/>
        <v>0</v>
      </c>
    </row>
    <row r="26" spans="2:9" ht="15" thickBot="1" x14ac:dyDescent="0.4">
      <c r="B26" s="216"/>
      <c r="C26" s="76"/>
      <c r="D26" s="76"/>
      <c r="E26" s="76"/>
      <c r="F26" s="302"/>
      <c r="H26" s="1" cm="1">
        <f t="array" ref="H26">IF(AND(ISBLANK(F26), NOT(ISBLANK(B26:E26))), 1,0)</f>
        <v>0</v>
      </c>
      <c r="I26" s="31">
        <f t="shared" si="0"/>
        <v>0</v>
      </c>
    </row>
    <row r="27" spans="2:9" ht="15" thickBot="1" x14ac:dyDescent="0.4">
      <c r="B27" s="216"/>
      <c r="C27" s="76"/>
      <c r="D27" s="76"/>
      <c r="E27" s="76"/>
      <c r="F27" s="302"/>
      <c r="H27" s="1" cm="1">
        <f t="array" ref="H27">IF(AND(ISBLANK(F27), NOT(ISBLANK(B27:E27))), 1,0)</f>
        <v>0</v>
      </c>
      <c r="I27" s="31">
        <f t="shared" si="0"/>
        <v>0</v>
      </c>
    </row>
    <row r="28" spans="2:9" ht="15" thickBot="1" x14ac:dyDescent="0.4">
      <c r="B28" s="216"/>
      <c r="C28" s="76"/>
      <c r="D28" s="76"/>
      <c r="E28" s="76"/>
      <c r="F28" s="302"/>
      <c r="H28" s="1" cm="1">
        <f t="array" ref="H28">IF(AND(ISBLANK(F28), NOT(ISBLANK(B28:E28))), 1,0)</f>
        <v>0</v>
      </c>
      <c r="I28" s="31">
        <f t="shared" si="0"/>
        <v>0</v>
      </c>
    </row>
    <row r="29" spans="2:9" ht="15" thickBot="1" x14ac:dyDescent="0.4">
      <c r="B29" s="216"/>
      <c r="C29" s="76"/>
      <c r="D29" s="76"/>
      <c r="E29" s="76"/>
      <c r="F29" s="302"/>
      <c r="H29" s="1" cm="1">
        <f t="array" ref="H29">IF(AND(ISBLANK(F29), NOT(ISBLANK(B29:E29))), 1,0)</f>
        <v>0</v>
      </c>
      <c r="I29" s="31">
        <f t="shared" si="0"/>
        <v>0</v>
      </c>
    </row>
    <row r="30" spans="2:9" ht="15" thickBot="1" x14ac:dyDescent="0.4">
      <c r="B30" s="216"/>
      <c r="C30" s="76"/>
      <c r="D30" s="76"/>
      <c r="E30" s="76"/>
      <c r="F30" s="302"/>
      <c r="H30" s="1" cm="1">
        <f t="array" ref="H30">IF(AND(ISBLANK(F30), NOT(ISBLANK(B30:E30))), 1,0)</f>
        <v>0</v>
      </c>
      <c r="I30" s="31">
        <f t="shared" si="0"/>
        <v>0</v>
      </c>
    </row>
    <row r="31" spans="2:9" ht="15" thickBot="1" x14ac:dyDescent="0.4">
      <c r="B31" s="216"/>
      <c r="C31" s="76"/>
      <c r="D31" s="76"/>
      <c r="E31" s="76"/>
      <c r="F31" s="302"/>
      <c r="H31" s="1" cm="1">
        <f t="array" ref="H31">IF(AND(ISBLANK(F31), NOT(ISBLANK(B31:E31))), 1,0)</f>
        <v>0</v>
      </c>
      <c r="I31" s="31">
        <f t="shared" si="0"/>
        <v>0</v>
      </c>
    </row>
    <row r="32" spans="2:9" ht="15" thickBot="1" x14ac:dyDescent="0.4">
      <c r="B32" s="216"/>
      <c r="C32" s="76"/>
      <c r="D32" s="76"/>
      <c r="E32" s="76"/>
      <c r="F32" s="302"/>
      <c r="H32" s="1">
        <f>IF(AND(COUNTA(B32:E32)=1, ISBLANK(B32) +ISBLANK(F26)=1),1,0)</f>
        <v>0</v>
      </c>
      <c r="I32" s="31">
        <f t="shared" si="0"/>
        <v>0</v>
      </c>
    </row>
    <row r="33" spans="2:6" ht="15" thickBot="1" x14ac:dyDescent="0.4">
      <c r="B33" s="216"/>
      <c r="C33" s="76"/>
      <c r="D33" s="76"/>
      <c r="E33" s="76"/>
      <c r="F33" s="302"/>
    </row>
    <row r="34" spans="2:6" ht="15" thickBot="1" x14ac:dyDescent="0.4">
      <c r="B34" s="216"/>
      <c r="C34" s="76"/>
      <c r="D34" s="76"/>
      <c r="E34" s="76"/>
      <c r="F34" s="302"/>
    </row>
    <row r="35" spans="2:6" ht="15" thickBot="1" x14ac:dyDescent="0.4">
      <c r="B35" s="216"/>
      <c r="C35" s="76"/>
      <c r="D35" s="76"/>
      <c r="E35" s="76"/>
      <c r="F35" s="302"/>
    </row>
    <row r="36" spans="2:6" ht="15" thickBot="1" x14ac:dyDescent="0.4">
      <c r="B36" s="216"/>
      <c r="C36" s="76"/>
      <c r="D36" s="76"/>
      <c r="E36" s="76"/>
      <c r="F36" s="302"/>
    </row>
    <row r="37" spans="2:6" ht="15" thickBot="1" x14ac:dyDescent="0.4">
      <c r="B37" s="216"/>
      <c r="C37" s="76"/>
      <c r="D37" s="76"/>
      <c r="E37" s="76"/>
      <c r="F37" s="302"/>
    </row>
    <row r="38" spans="2:6" ht="15" thickBot="1" x14ac:dyDescent="0.4">
      <c r="B38" s="216"/>
      <c r="C38" s="76"/>
      <c r="D38" s="76"/>
      <c r="E38" s="76"/>
      <c r="F38" s="302"/>
    </row>
    <row r="39" spans="2:6" ht="15" thickBot="1" x14ac:dyDescent="0.4">
      <c r="B39" s="216"/>
      <c r="C39" s="76"/>
      <c r="D39" s="76"/>
      <c r="E39" s="76"/>
      <c r="F39" s="302"/>
    </row>
    <row r="40" spans="2:6" ht="15" thickBot="1" x14ac:dyDescent="0.4">
      <c r="B40" s="216"/>
      <c r="C40" s="76"/>
      <c r="D40" s="76"/>
      <c r="E40" s="76"/>
      <c r="F40" s="302"/>
    </row>
    <row r="41" spans="2:6" ht="15" thickBot="1" x14ac:dyDescent="0.4">
      <c r="B41" s="216"/>
      <c r="C41" s="76"/>
      <c r="D41" s="76"/>
      <c r="E41" s="76"/>
      <c r="F41" s="302"/>
    </row>
    <row r="42" spans="2:6" ht="15" thickBot="1" x14ac:dyDescent="0.4">
      <c r="B42" s="216"/>
      <c r="C42" s="76"/>
      <c r="D42" s="76"/>
      <c r="E42" s="76"/>
      <c r="F42" s="302"/>
    </row>
    <row r="43" spans="2:6" ht="15" thickBot="1" x14ac:dyDescent="0.4">
      <c r="B43" s="216"/>
      <c r="C43" s="76"/>
      <c r="D43" s="76"/>
      <c r="E43" s="76"/>
      <c r="F43" s="302"/>
    </row>
    <row r="44" spans="2:6" ht="15" thickBot="1" x14ac:dyDescent="0.4">
      <c r="B44" s="216"/>
      <c r="C44" s="76"/>
      <c r="D44" s="76"/>
      <c r="E44" s="76"/>
      <c r="F44" s="302"/>
    </row>
    <row r="45" spans="2:6" ht="15" thickBot="1" x14ac:dyDescent="0.4">
      <c r="B45" s="216"/>
      <c r="C45" s="76"/>
      <c r="D45" s="76"/>
      <c r="E45" s="76"/>
      <c r="F45" s="302"/>
    </row>
    <row r="46" spans="2:6" ht="15" thickBot="1" x14ac:dyDescent="0.4">
      <c r="B46" s="216"/>
      <c r="C46" s="76"/>
      <c r="D46" s="76"/>
      <c r="E46" s="76"/>
      <c r="F46" s="302"/>
    </row>
    <row r="47" spans="2:6" ht="15" thickBot="1" x14ac:dyDescent="0.4">
      <c r="B47" s="216"/>
      <c r="C47" s="76"/>
      <c r="D47" s="76"/>
      <c r="E47" s="76"/>
      <c r="F47" s="302"/>
    </row>
    <row r="48" spans="2:6" ht="15" thickBot="1" x14ac:dyDescent="0.4">
      <c r="B48" s="216"/>
      <c r="C48" s="76"/>
      <c r="D48" s="76"/>
      <c r="E48" s="76"/>
      <c r="F48" s="302"/>
    </row>
    <row r="49" spans="2:6" ht="15" thickBot="1" x14ac:dyDescent="0.4">
      <c r="B49" s="216"/>
      <c r="C49" s="76"/>
      <c r="D49" s="76"/>
      <c r="E49" s="76"/>
      <c r="F49" s="302"/>
    </row>
    <row r="50" spans="2:6" ht="15" thickBot="1" x14ac:dyDescent="0.4">
      <c r="B50" s="216"/>
      <c r="C50" s="76"/>
      <c r="D50" s="76"/>
      <c r="E50" s="76"/>
      <c r="F50" s="302"/>
    </row>
    <row r="51" spans="2:6" ht="15" thickBot="1" x14ac:dyDescent="0.4">
      <c r="B51" s="216"/>
      <c r="C51" s="76"/>
      <c r="D51" s="76"/>
      <c r="E51" s="76"/>
      <c r="F51" s="302"/>
    </row>
    <row r="52" spans="2:6" ht="15" thickBot="1" x14ac:dyDescent="0.4">
      <c r="B52" s="216"/>
      <c r="C52" s="76"/>
      <c r="D52" s="76"/>
      <c r="E52" s="76"/>
      <c r="F52" s="302"/>
    </row>
    <row r="53" spans="2:6" ht="15" thickBot="1" x14ac:dyDescent="0.4">
      <c r="B53" s="216"/>
      <c r="C53" s="76"/>
      <c r="D53" s="76"/>
      <c r="E53" s="76"/>
      <c r="F53" s="302"/>
    </row>
    <row r="54" spans="2:6" ht="15" thickBot="1" x14ac:dyDescent="0.4">
      <c r="B54" s="216"/>
      <c r="C54" s="76"/>
      <c r="D54" s="76"/>
      <c r="E54" s="76"/>
      <c r="F54" s="302"/>
    </row>
    <row r="55" spans="2:6" ht="15" thickBot="1" x14ac:dyDescent="0.4">
      <c r="B55" s="216"/>
      <c r="C55" s="76"/>
      <c r="D55" s="76"/>
      <c r="E55" s="76"/>
      <c r="F55" s="302"/>
    </row>
    <row r="56" spans="2:6" ht="15" thickBot="1" x14ac:dyDescent="0.4">
      <c r="B56" s="216"/>
      <c r="C56" s="76"/>
      <c r="D56" s="76"/>
      <c r="E56" s="76"/>
      <c r="F56" s="302"/>
    </row>
    <row r="57" spans="2:6" ht="15" thickBot="1" x14ac:dyDescent="0.4">
      <c r="B57" s="216"/>
      <c r="C57" s="76"/>
      <c r="D57" s="76"/>
      <c r="E57" s="76"/>
      <c r="F57" s="302"/>
    </row>
    <row r="58" spans="2:6" ht="15" thickBot="1" x14ac:dyDescent="0.4">
      <c r="B58" s="216"/>
      <c r="C58" s="76"/>
      <c r="D58" s="76"/>
      <c r="E58" s="76"/>
      <c r="F58" s="302"/>
    </row>
    <row r="59" spans="2:6" ht="15" thickBot="1" x14ac:dyDescent="0.4">
      <c r="B59" s="216"/>
      <c r="C59" s="76"/>
      <c r="D59" s="76"/>
      <c r="E59" s="76"/>
      <c r="F59" s="302"/>
    </row>
    <row r="60" spans="2:6" ht="15" thickBot="1" x14ac:dyDescent="0.4">
      <c r="B60" s="216"/>
      <c r="C60" s="76"/>
      <c r="D60" s="76"/>
      <c r="E60" s="76"/>
      <c r="F60" s="302"/>
    </row>
    <row r="61" spans="2:6" ht="15" thickBot="1" x14ac:dyDescent="0.4">
      <c r="B61" s="216"/>
      <c r="C61" s="76"/>
      <c r="D61" s="76"/>
      <c r="E61" s="76"/>
      <c r="F61" s="302"/>
    </row>
    <row r="62" spans="2:6" ht="15" thickBot="1" x14ac:dyDescent="0.4">
      <c r="B62" s="216"/>
      <c r="C62" s="76"/>
      <c r="D62" s="76"/>
      <c r="E62" s="76"/>
      <c r="F62" s="302"/>
    </row>
    <row r="63" spans="2:6" ht="15" thickBot="1" x14ac:dyDescent="0.4">
      <c r="B63" s="216"/>
      <c r="C63" s="76"/>
      <c r="D63" s="76"/>
      <c r="E63" s="76"/>
      <c r="F63" s="302"/>
    </row>
    <row r="64" spans="2:6" ht="15" thickBot="1" x14ac:dyDescent="0.4">
      <c r="B64" s="216"/>
      <c r="C64" s="76"/>
      <c r="D64" s="76"/>
      <c r="E64" s="76"/>
      <c r="F64" s="302"/>
    </row>
    <row r="65" spans="2:6" ht="15" thickBot="1" x14ac:dyDescent="0.4">
      <c r="B65" s="216"/>
      <c r="C65" s="76"/>
      <c r="D65" s="76"/>
      <c r="E65" s="76"/>
      <c r="F65" s="302"/>
    </row>
    <row r="66" spans="2:6" ht="15" thickBot="1" x14ac:dyDescent="0.4">
      <c r="B66" s="216"/>
      <c r="C66" s="76"/>
      <c r="D66" s="76"/>
      <c r="E66" s="76"/>
      <c r="F66" s="302"/>
    </row>
    <row r="67" spans="2:6" ht="15" thickBot="1" x14ac:dyDescent="0.4">
      <c r="B67" s="216"/>
      <c r="C67" s="76"/>
      <c r="D67" s="76"/>
      <c r="E67" s="76"/>
      <c r="F67" s="302"/>
    </row>
    <row r="68" spans="2:6" ht="15" thickBot="1" x14ac:dyDescent="0.4">
      <c r="B68" s="216"/>
      <c r="C68" s="76"/>
      <c r="D68" s="76"/>
      <c r="E68" s="76"/>
      <c r="F68" s="302"/>
    </row>
    <row r="69" spans="2:6" ht="15" thickBot="1" x14ac:dyDescent="0.4">
      <c r="B69" s="216"/>
      <c r="C69" s="76"/>
      <c r="D69" s="76"/>
      <c r="E69" s="76"/>
      <c r="F69" s="302"/>
    </row>
    <row r="70" spans="2:6" ht="15" thickBot="1" x14ac:dyDescent="0.4">
      <c r="B70" s="216"/>
      <c r="C70" s="76"/>
      <c r="D70" s="76"/>
      <c r="E70" s="76"/>
      <c r="F70" s="302"/>
    </row>
    <row r="71" spans="2:6" ht="15" thickBot="1" x14ac:dyDescent="0.4">
      <c r="B71" s="216"/>
      <c r="C71" s="76"/>
      <c r="D71" s="76"/>
      <c r="E71" s="76"/>
      <c r="F71" s="302"/>
    </row>
    <row r="72" spans="2:6" ht="15" thickBot="1" x14ac:dyDescent="0.4">
      <c r="B72" s="216"/>
      <c r="C72" s="76"/>
      <c r="D72" s="76"/>
      <c r="E72" s="76"/>
      <c r="F72" s="302"/>
    </row>
    <row r="73" spans="2:6" ht="15" thickBot="1" x14ac:dyDescent="0.4">
      <c r="B73" s="216"/>
      <c r="C73" s="76"/>
      <c r="D73" s="76"/>
      <c r="E73" s="76"/>
      <c r="F73" s="302"/>
    </row>
    <row r="74" spans="2:6" ht="15" thickBot="1" x14ac:dyDescent="0.4">
      <c r="B74" s="216"/>
      <c r="C74" s="76"/>
      <c r="D74" s="76"/>
      <c r="E74" s="76"/>
      <c r="F74" s="302"/>
    </row>
    <row r="75" spans="2:6" ht="15" thickBot="1" x14ac:dyDescent="0.4">
      <c r="B75" s="216"/>
      <c r="C75" s="76"/>
      <c r="D75" s="76"/>
      <c r="E75" s="76"/>
      <c r="F75" s="302"/>
    </row>
    <row r="76" spans="2:6" ht="15" thickBot="1" x14ac:dyDescent="0.4">
      <c r="B76" s="216"/>
      <c r="C76" s="76"/>
      <c r="D76" s="76"/>
      <c r="E76" s="76"/>
      <c r="F76" s="302"/>
    </row>
    <row r="77" spans="2:6" ht="15" thickBot="1" x14ac:dyDescent="0.4">
      <c r="B77" s="216"/>
      <c r="C77" s="76"/>
      <c r="D77" s="76"/>
      <c r="E77" s="76"/>
      <c r="F77" s="302"/>
    </row>
    <row r="78" spans="2:6" ht="15" thickBot="1" x14ac:dyDescent="0.4">
      <c r="B78" s="216"/>
      <c r="C78" s="76"/>
      <c r="D78" s="76"/>
      <c r="E78" s="76"/>
      <c r="F78" s="302"/>
    </row>
    <row r="79" spans="2:6" ht="15" thickBot="1" x14ac:dyDescent="0.4">
      <c r="B79" s="216"/>
      <c r="C79" s="76"/>
      <c r="D79" s="76"/>
      <c r="E79" s="76"/>
      <c r="F79" s="302"/>
    </row>
    <row r="80" spans="2:6" ht="15" thickBot="1" x14ac:dyDescent="0.4">
      <c r="B80" s="216"/>
      <c r="C80" s="76"/>
      <c r="D80" s="76"/>
      <c r="E80" s="76"/>
      <c r="F80" s="302"/>
    </row>
    <row r="81" spans="2:6" ht="15" thickBot="1" x14ac:dyDescent="0.4">
      <c r="B81" s="216"/>
      <c r="C81" s="76"/>
      <c r="D81" s="76"/>
      <c r="E81" s="76"/>
      <c r="F81" s="302"/>
    </row>
    <row r="82" spans="2:6" ht="15" thickBot="1" x14ac:dyDescent="0.4">
      <c r="B82" s="216"/>
      <c r="C82" s="76"/>
      <c r="D82" s="76"/>
      <c r="E82" s="76"/>
      <c r="F82" s="302"/>
    </row>
    <row r="83" spans="2:6" ht="15" thickBot="1" x14ac:dyDescent="0.4">
      <c r="B83" s="216"/>
      <c r="C83" s="76"/>
      <c r="D83" s="76"/>
      <c r="E83" s="76"/>
      <c r="F83" s="302"/>
    </row>
    <row r="84" spans="2:6" ht="15" thickBot="1" x14ac:dyDescent="0.4">
      <c r="B84" s="216"/>
      <c r="C84" s="76"/>
      <c r="D84" s="76"/>
      <c r="E84" s="76"/>
      <c r="F84" s="302"/>
    </row>
    <row r="85" spans="2:6" ht="15" thickBot="1" x14ac:dyDescent="0.4">
      <c r="B85" s="216"/>
      <c r="C85" s="76"/>
      <c r="D85" s="76"/>
      <c r="E85" s="76"/>
      <c r="F85" s="302"/>
    </row>
    <row r="86" spans="2:6" ht="15" thickBot="1" x14ac:dyDescent="0.4">
      <c r="B86" s="216"/>
      <c r="C86" s="76"/>
      <c r="D86" s="76"/>
      <c r="E86" s="76"/>
      <c r="F86" s="302"/>
    </row>
    <row r="87" spans="2:6" ht="15" thickBot="1" x14ac:dyDescent="0.4">
      <c r="B87" s="216"/>
      <c r="C87" s="76"/>
      <c r="D87" s="76"/>
      <c r="E87" s="76"/>
      <c r="F87" s="302"/>
    </row>
    <row r="88" spans="2:6" ht="15" thickBot="1" x14ac:dyDescent="0.4">
      <c r="B88" s="216"/>
      <c r="C88" s="76"/>
      <c r="D88" s="76"/>
      <c r="E88" s="76"/>
      <c r="F88" s="302"/>
    </row>
    <row r="89" spans="2:6" ht="15" thickBot="1" x14ac:dyDescent="0.4">
      <c r="B89" s="216"/>
      <c r="C89" s="76"/>
      <c r="D89" s="76"/>
      <c r="E89" s="76"/>
      <c r="F89" s="302"/>
    </row>
    <row r="90" spans="2:6" ht="15" thickBot="1" x14ac:dyDescent="0.4">
      <c r="B90" s="216"/>
      <c r="C90" s="76"/>
      <c r="D90" s="76"/>
      <c r="E90" s="76"/>
      <c r="F90" s="302"/>
    </row>
    <row r="91" spans="2:6" ht="15" thickBot="1" x14ac:dyDescent="0.4">
      <c r="B91" s="216"/>
      <c r="C91" s="76"/>
      <c r="D91" s="76"/>
      <c r="E91" s="76"/>
      <c r="F91" s="302"/>
    </row>
    <row r="92" spans="2:6" ht="15" thickBot="1" x14ac:dyDescent="0.4">
      <c r="B92" s="216"/>
      <c r="C92" s="76"/>
      <c r="D92" s="76"/>
      <c r="E92" s="76"/>
      <c r="F92" s="302"/>
    </row>
    <row r="93" spans="2:6" ht="15" thickBot="1" x14ac:dyDescent="0.4">
      <c r="B93" s="216"/>
      <c r="C93" s="76"/>
      <c r="D93" s="76"/>
      <c r="E93" s="76"/>
      <c r="F93" s="302"/>
    </row>
    <row r="94" spans="2:6" ht="15" thickBot="1" x14ac:dyDescent="0.4">
      <c r="B94" s="216"/>
      <c r="C94" s="76"/>
      <c r="D94" s="76"/>
      <c r="E94" s="76"/>
      <c r="F94" s="302"/>
    </row>
    <row r="95" spans="2:6" ht="15" thickBot="1" x14ac:dyDescent="0.4">
      <c r="B95" s="216"/>
      <c r="C95" s="76"/>
      <c r="D95" s="76"/>
      <c r="E95" s="76"/>
      <c r="F95" s="302"/>
    </row>
    <row r="96" spans="2:6" ht="15" thickBot="1" x14ac:dyDescent="0.4">
      <c r="B96" s="216"/>
      <c r="C96" s="76"/>
      <c r="D96" s="76"/>
      <c r="E96" s="76"/>
      <c r="F96" s="302"/>
    </row>
    <row r="97" spans="2:6" ht="15" thickBot="1" x14ac:dyDescent="0.4">
      <c r="B97" s="216"/>
      <c r="C97" s="76"/>
      <c r="D97" s="76"/>
      <c r="E97" s="76"/>
      <c r="F97" s="302"/>
    </row>
    <row r="98" spans="2:6" ht="15" thickBot="1" x14ac:dyDescent="0.4">
      <c r="B98" s="216"/>
      <c r="C98" s="76"/>
      <c r="D98" s="76"/>
      <c r="E98" s="76"/>
      <c r="F98" s="302"/>
    </row>
    <row r="99" spans="2:6" ht="15" thickBot="1" x14ac:dyDescent="0.4">
      <c r="B99" s="216"/>
      <c r="C99" s="76"/>
      <c r="D99" s="76"/>
      <c r="E99" s="76"/>
      <c r="F99" s="302"/>
    </row>
    <row r="100" spans="2:6" ht="15" thickBot="1" x14ac:dyDescent="0.4">
      <c r="B100" s="217"/>
      <c r="C100" s="303"/>
      <c r="D100" s="76"/>
      <c r="E100" s="76"/>
      <c r="F100" s="302"/>
    </row>
    <row r="101" spans="2:6" ht="15" thickBot="1" x14ac:dyDescent="0.4">
      <c r="B101" s="217"/>
      <c r="C101" s="76"/>
      <c r="D101" s="76"/>
      <c r="E101" s="76"/>
      <c r="F101" s="302"/>
    </row>
    <row r="102" spans="2:6" ht="15" thickBot="1" x14ac:dyDescent="0.4">
      <c r="B102" s="217"/>
      <c r="C102" s="76"/>
      <c r="D102" s="76"/>
      <c r="E102" s="76"/>
      <c r="F102" s="302"/>
    </row>
    <row r="103" spans="2:6" ht="15" thickBot="1" x14ac:dyDescent="0.4">
      <c r="B103" s="217"/>
      <c r="C103" s="76"/>
      <c r="D103" s="76"/>
      <c r="E103" s="76"/>
      <c r="F103" s="302"/>
    </row>
    <row r="104" spans="2:6" ht="15" thickBot="1" x14ac:dyDescent="0.4">
      <c r="B104" s="217"/>
      <c r="C104" s="76"/>
      <c r="D104" s="76"/>
      <c r="E104" s="76"/>
      <c r="F104" s="302"/>
    </row>
    <row r="105" spans="2:6" ht="15" thickBot="1" x14ac:dyDescent="0.4">
      <c r="B105" s="217"/>
      <c r="C105" s="76"/>
      <c r="D105" s="76"/>
      <c r="E105" s="76"/>
      <c r="F105" s="302"/>
    </row>
    <row r="106" spans="2:6" ht="15" thickBot="1" x14ac:dyDescent="0.4">
      <c r="B106" s="217"/>
      <c r="C106" s="76"/>
      <c r="D106" s="76"/>
      <c r="E106" s="76"/>
      <c r="F106" s="302"/>
    </row>
    <row r="107" spans="2:6" ht="15" thickBot="1" x14ac:dyDescent="0.4">
      <c r="B107" s="217"/>
      <c r="C107" s="76"/>
      <c r="D107" s="76"/>
      <c r="E107" s="76"/>
      <c r="F107" s="302"/>
    </row>
    <row r="108" spans="2:6" ht="15" thickBot="1" x14ac:dyDescent="0.4">
      <c r="B108" s="217"/>
      <c r="C108" s="76"/>
      <c r="D108" s="76"/>
      <c r="E108" s="76"/>
      <c r="F108" s="302"/>
    </row>
    <row r="109" spans="2:6" ht="15" thickBot="1" x14ac:dyDescent="0.4">
      <c r="B109" s="217"/>
      <c r="C109" s="76"/>
      <c r="D109" s="76"/>
      <c r="E109" s="76"/>
      <c r="F109" s="302"/>
    </row>
    <row r="110" spans="2:6" ht="15" thickBot="1" x14ac:dyDescent="0.4">
      <c r="B110" s="217"/>
      <c r="C110" s="76"/>
      <c r="D110" s="76"/>
      <c r="E110" s="76"/>
      <c r="F110" s="302"/>
    </row>
    <row r="111" spans="2:6" ht="15" thickBot="1" x14ac:dyDescent="0.4">
      <c r="B111" s="217"/>
      <c r="C111" s="76"/>
      <c r="D111" s="76"/>
      <c r="E111" s="76"/>
      <c r="F111" s="302"/>
    </row>
    <row r="112" spans="2:6" ht="15" thickBot="1" x14ac:dyDescent="0.4">
      <c r="B112" s="217"/>
      <c r="C112" s="76"/>
      <c r="D112" s="76"/>
      <c r="E112" s="76"/>
      <c r="F112" s="302"/>
    </row>
    <row r="113" spans="2:6" ht="15" thickBot="1" x14ac:dyDescent="0.4">
      <c r="B113" s="217"/>
      <c r="C113" s="76"/>
      <c r="D113" s="76"/>
      <c r="E113" s="76"/>
      <c r="F113" s="302"/>
    </row>
    <row r="114" spans="2:6" ht="15" thickBot="1" x14ac:dyDescent="0.4">
      <c r="B114" s="217"/>
      <c r="C114" s="76"/>
      <c r="D114" s="76"/>
      <c r="E114" s="76"/>
      <c r="F114" s="302"/>
    </row>
    <row r="115" spans="2:6" ht="15" thickBot="1" x14ac:dyDescent="0.4">
      <c r="B115" s="217"/>
      <c r="C115" s="76"/>
      <c r="D115" s="76"/>
      <c r="E115" s="76"/>
      <c r="F115" s="302"/>
    </row>
    <row r="116" spans="2:6" ht="15" thickBot="1" x14ac:dyDescent="0.4">
      <c r="B116" s="217"/>
      <c r="C116" s="76"/>
      <c r="D116" s="76"/>
      <c r="E116" s="76"/>
      <c r="F116" s="302"/>
    </row>
    <row r="117" spans="2:6" ht="15" thickBot="1" x14ac:dyDescent="0.4">
      <c r="B117" s="217"/>
      <c r="C117" s="76"/>
      <c r="D117" s="76"/>
      <c r="E117" s="76"/>
      <c r="F117" s="302"/>
    </row>
    <row r="118" spans="2:6" ht="15" thickBot="1" x14ac:dyDescent="0.4">
      <c r="B118" s="217"/>
      <c r="C118" s="76"/>
      <c r="D118" s="76"/>
      <c r="E118" s="76"/>
      <c r="F118" s="302"/>
    </row>
    <row r="119" spans="2:6" ht="15" thickBot="1" x14ac:dyDescent="0.4">
      <c r="B119" s="217"/>
      <c r="C119" s="76"/>
      <c r="D119" s="76"/>
      <c r="E119" s="76"/>
      <c r="F119" s="302"/>
    </row>
    <row r="120" spans="2:6" ht="15" thickBot="1" x14ac:dyDescent="0.4">
      <c r="B120" s="217"/>
      <c r="C120" s="76"/>
      <c r="D120" s="76"/>
      <c r="E120" s="76"/>
      <c r="F120" s="302"/>
    </row>
    <row r="121" spans="2:6" ht="15" thickBot="1" x14ac:dyDescent="0.4">
      <c r="B121" s="217"/>
      <c r="C121" s="76"/>
      <c r="D121" s="76"/>
      <c r="E121" s="76"/>
      <c r="F121" s="302"/>
    </row>
    <row r="122" spans="2:6" ht="15" thickBot="1" x14ac:dyDescent="0.4">
      <c r="B122" s="217"/>
      <c r="C122" s="76"/>
      <c r="D122" s="76"/>
      <c r="E122" s="76"/>
      <c r="F122" s="302"/>
    </row>
    <row r="123" spans="2:6" ht="15" thickBot="1" x14ac:dyDescent="0.4">
      <c r="B123" s="217"/>
      <c r="C123" s="76"/>
      <c r="D123" s="76"/>
      <c r="E123" s="76"/>
      <c r="F123" s="302"/>
    </row>
    <row r="124" spans="2:6" ht="15" thickBot="1" x14ac:dyDescent="0.4">
      <c r="B124" s="217"/>
      <c r="C124" s="76"/>
      <c r="D124" s="76"/>
      <c r="E124" s="76"/>
      <c r="F124" s="302"/>
    </row>
    <row r="125" spans="2:6" ht="15" thickBot="1" x14ac:dyDescent="0.4">
      <c r="B125" s="217"/>
      <c r="C125" s="76"/>
      <c r="D125" s="76"/>
      <c r="E125" s="76"/>
      <c r="F125" s="302"/>
    </row>
    <row r="126" spans="2:6" ht="15" thickBot="1" x14ac:dyDescent="0.4">
      <c r="B126" s="217"/>
      <c r="C126" s="76"/>
      <c r="D126" s="76"/>
      <c r="E126" s="76"/>
      <c r="F126" s="302"/>
    </row>
    <row r="127" spans="2:6" ht="15" thickBot="1" x14ac:dyDescent="0.4">
      <c r="B127" s="217"/>
      <c r="C127" s="76"/>
      <c r="D127" s="76"/>
      <c r="E127" s="76"/>
      <c r="F127" s="302"/>
    </row>
    <row r="128" spans="2:6" ht="15" thickBot="1" x14ac:dyDescent="0.4">
      <c r="B128" s="217"/>
      <c r="C128" s="76"/>
      <c r="D128" s="76"/>
      <c r="E128" s="76"/>
      <c r="F128" s="302"/>
    </row>
    <row r="129" spans="2:6" ht="15" thickBot="1" x14ac:dyDescent="0.4">
      <c r="B129" s="217"/>
      <c r="C129" s="76"/>
      <c r="D129" s="76"/>
      <c r="E129" s="76"/>
      <c r="F129" s="302"/>
    </row>
    <row r="130" spans="2:6" ht="15" thickBot="1" x14ac:dyDescent="0.4">
      <c r="B130" s="217"/>
      <c r="C130" s="76"/>
      <c r="D130" s="76"/>
      <c r="E130" s="76"/>
      <c r="F130" s="302"/>
    </row>
    <row r="131" spans="2:6" ht="15" thickBot="1" x14ac:dyDescent="0.4">
      <c r="B131" s="217"/>
      <c r="C131" s="76"/>
      <c r="D131" s="76"/>
      <c r="E131" s="76"/>
      <c r="F131" s="302"/>
    </row>
    <row r="132" spans="2:6" ht="15" thickBot="1" x14ac:dyDescent="0.4">
      <c r="B132" s="217"/>
      <c r="C132" s="76"/>
      <c r="D132" s="76"/>
      <c r="E132" s="76"/>
      <c r="F132" s="302"/>
    </row>
    <row r="133" spans="2:6" ht="15" thickBot="1" x14ac:dyDescent="0.4">
      <c r="B133" s="217"/>
      <c r="C133" s="76"/>
      <c r="D133" s="76"/>
      <c r="E133" s="76"/>
      <c r="F133" s="302"/>
    </row>
    <row r="134" spans="2:6" ht="15" thickBot="1" x14ac:dyDescent="0.4">
      <c r="B134" s="217"/>
      <c r="C134" s="76"/>
      <c r="D134" s="76"/>
      <c r="E134" s="76"/>
      <c r="F134" s="302"/>
    </row>
    <row r="135" spans="2:6" ht="15" thickBot="1" x14ac:dyDescent="0.4">
      <c r="B135" s="217"/>
      <c r="C135" s="76"/>
      <c r="D135" s="76"/>
      <c r="E135" s="76"/>
      <c r="F135" s="302"/>
    </row>
    <row r="136" spans="2:6" ht="15" thickBot="1" x14ac:dyDescent="0.4">
      <c r="B136" s="217"/>
      <c r="C136" s="76"/>
      <c r="D136" s="76"/>
      <c r="E136" s="76"/>
      <c r="F136" s="302"/>
    </row>
    <row r="137" spans="2:6" ht="15" thickBot="1" x14ac:dyDescent="0.4">
      <c r="B137" s="217"/>
      <c r="C137" s="76"/>
      <c r="D137" s="76"/>
      <c r="E137" s="76"/>
      <c r="F137" s="302"/>
    </row>
    <row r="138" spans="2:6" ht="15" thickBot="1" x14ac:dyDescent="0.4">
      <c r="B138" s="217"/>
      <c r="C138" s="76"/>
      <c r="D138" s="76"/>
      <c r="E138" s="76"/>
      <c r="F138" s="302"/>
    </row>
    <row r="139" spans="2:6" ht="15" thickBot="1" x14ac:dyDescent="0.4">
      <c r="B139" s="217"/>
      <c r="C139" s="76"/>
      <c r="D139" s="76"/>
      <c r="E139" s="76"/>
      <c r="F139" s="302"/>
    </row>
    <row r="140" spans="2:6" ht="15" thickBot="1" x14ac:dyDescent="0.4">
      <c r="B140" s="217"/>
      <c r="C140" s="76"/>
      <c r="D140" s="76"/>
      <c r="E140" s="76"/>
      <c r="F140" s="302"/>
    </row>
    <row r="141" spans="2:6" ht="15" thickBot="1" x14ac:dyDescent="0.4">
      <c r="B141" s="217"/>
      <c r="C141" s="76"/>
      <c r="D141" s="76"/>
      <c r="E141" s="76"/>
      <c r="F141" s="302"/>
    </row>
    <row r="142" spans="2:6" ht="15" thickBot="1" x14ac:dyDescent="0.4">
      <c r="B142" s="217"/>
      <c r="C142" s="76"/>
      <c r="D142" s="76"/>
      <c r="E142" s="76"/>
      <c r="F142" s="302"/>
    </row>
    <row r="143" spans="2:6" ht="15" thickBot="1" x14ac:dyDescent="0.4">
      <c r="B143" s="217"/>
      <c r="C143" s="76"/>
      <c r="D143" s="76"/>
      <c r="E143" s="76"/>
      <c r="F143" s="302"/>
    </row>
    <row r="144" spans="2:6" ht="15" thickBot="1" x14ac:dyDescent="0.4">
      <c r="B144" s="217"/>
      <c r="C144" s="76"/>
      <c r="D144" s="76"/>
      <c r="E144" s="76"/>
      <c r="F144" s="302"/>
    </row>
    <row r="145" spans="2:6" ht="15" thickBot="1" x14ac:dyDescent="0.4">
      <c r="B145" s="217"/>
      <c r="C145" s="76"/>
      <c r="D145" s="76"/>
      <c r="E145" s="76"/>
      <c r="F145" s="302"/>
    </row>
    <row r="146" spans="2:6" ht="15" thickBot="1" x14ac:dyDescent="0.4">
      <c r="B146" s="217"/>
      <c r="C146" s="76"/>
      <c r="D146" s="76"/>
      <c r="E146" s="76"/>
      <c r="F146" s="302"/>
    </row>
    <row r="147" spans="2:6" ht="15" thickBot="1" x14ac:dyDescent="0.4">
      <c r="B147" s="217"/>
      <c r="C147" s="76"/>
      <c r="D147" s="76"/>
      <c r="E147" s="76"/>
      <c r="F147" s="302"/>
    </row>
    <row r="148" spans="2:6" ht="15" thickBot="1" x14ac:dyDescent="0.4">
      <c r="B148" s="217"/>
      <c r="C148" s="76"/>
      <c r="D148" s="76"/>
      <c r="E148" s="76"/>
      <c r="F148" s="302"/>
    </row>
    <row r="149" spans="2:6" ht="15" thickBot="1" x14ac:dyDescent="0.4">
      <c r="B149" s="217"/>
      <c r="C149" s="76"/>
      <c r="D149" s="76"/>
      <c r="E149" s="76"/>
      <c r="F149" s="302"/>
    </row>
    <row r="150" spans="2:6" ht="15" thickBot="1" x14ac:dyDescent="0.4">
      <c r="B150" s="217"/>
      <c r="C150" s="76"/>
      <c r="D150" s="76"/>
      <c r="E150" s="76"/>
      <c r="F150" s="302"/>
    </row>
    <row r="151" spans="2:6" ht="15" thickBot="1" x14ac:dyDescent="0.4">
      <c r="B151" s="217"/>
      <c r="C151" s="76"/>
      <c r="D151" s="76"/>
      <c r="E151" s="76"/>
      <c r="F151" s="302"/>
    </row>
    <row r="152" spans="2:6" ht="15" thickBot="1" x14ac:dyDescent="0.4">
      <c r="B152" s="217"/>
      <c r="C152" s="76"/>
      <c r="D152" s="76"/>
      <c r="E152" s="76"/>
      <c r="F152" s="302"/>
    </row>
    <row r="153" spans="2:6" ht="15" thickBot="1" x14ac:dyDescent="0.4">
      <c r="B153" s="217"/>
      <c r="C153" s="76"/>
      <c r="D153" s="76"/>
      <c r="E153" s="76"/>
      <c r="F153" s="302"/>
    </row>
    <row r="154" spans="2:6" ht="15" thickBot="1" x14ac:dyDescent="0.4">
      <c r="B154" s="217"/>
      <c r="C154" s="76"/>
      <c r="D154" s="76"/>
      <c r="E154" s="76"/>
      <c r="F154" s="302"/>
    </row>
    <row r="155" spans="2:6" ht="15" thickBot="1" x14ac:dyDescent="0.4">
      <c r="B155" s="217"/>
      <c r="C155" s="76"/>
      <c r="D155" s="76"/>
      <c r="E155" s="76"/>
      <c r="F155" s="302"/>
    </row>
    <row r="156" spans="2:6" ht="15" thickBot="1" x14ac:dyDescent="0.4">
      <c r="B156" s="217"/>
      <c r="C156" s="76"/>
      <c r="D156" s="76"/>
      <c r="E156" s="76"/>
      <c r="F156" s="302"/>
    </row>
    <row r="157" spans="2:6" ht="15" thickBot="1" x14ac:dyDescent="0.4">
      <c r="B157" s="217"/>
      <c r="C157" s="76"/>
      <c r="D157" s="76"/>
      <c r="E157" s="76"/>
      <c r="F157" s="302"/>
    </row>
    <row r="158" spans="2:6" ht="15" thickBot="1" x14ac:dyDescent="0.4">
      <c r="B158" s="217"/>
      <c r="C158" s="76"/>
      <c r="D158" s="76"/>
      <c r="E158" s="76"/>
      <c r="F158" s="302"/>
    </row>
    <row r="159" spans="2:6" ht="15" thickBot="1" x14ac:dyDescent="0.4">
      <c r="B159" s="217"/>
      <c r="C159" s="76"/>
      <c r="D159" s="76"/>
      <c r="E159" s="76"/>
      <c r="F159" s="302"/>
    </row>
    <row r="160" spans="2:6" ht="15" thickBot="1" x14ac:dyDescent="0.4">
      <c r="B160" s="217"/>
      <c r="C160" s="76"/>
      <c r="D160" s="76"/>
      <c r="E160" s="76"/>
      <c r="F160" s="302"/>
    </row>
    <row r="161" spans="2:6" ht="15" thickBot="1" x14ac:dyDescent="0.4">
      <c r="B161" s="217"/>
      <c r="C161" s="76"/>
      <c r="D161" s="76"/>
      <c r="E161" s="76"/>
      <c r="F161" s="302"/>
    </row>
    <row r="162" spans="2:6" ht="15" thickBot="1" x14ac:dyDescent="0.4">
      <c r="B162" s="217"/>
      <c r="C162" s="76"/>
      <c r="D162" s="76"/>
      <c r="E162" s="76"/>
      <c r="F162" s="302"/>
    </row>
    <row r="163" spans="2:6" ht="15" thickBot="1" x14ac:dyDescent="0.4">
      <c r="B163" s="217"/>
      <c r="C163" s="76"/>
      <c r="D163" s="76"/>
      <c r="E163" s="76"/>
      <c r="F163" s="302"/>
    </row>
    <row r="164" spans="2:6" ht="15" thickBot="1" x14ac:dyDescent="0.4">
      <c r="B164" s="217"/>
      <c r="C164" s="76"/>
      <c r="D164" s="76"/>
      <c r="E164" s="76"/>
      <c r="F164" s="302"/>
    </row>
    <row r="165" spans="2:6" ht="15" thickBot="1" x14ac:dyDescent="0.4">
      <c r="B165" s="217"/>
      <c r="C165" s="76"/>
      <c r="D165" s="76"/>
      <c r="E165" s="76"/>
      <c r="F165" s="302"/>
    </row>
    <row r="166" spans="2:6" ht="15" thickBot="1" x14ac:dyDescent="0.4">
      <c r="B166" s="217"/>
      <c r="C166" s="76"/>
      <c r="D166" s="76"/>
      <c r="E166" s="76"/>
      <c r="F166" s="302"/>
    </row>
    <row r="167" spans="2:6" ht="15" thickBot="1" x14ac:dyDescent="0.4">
      <c r="B167" s="217"/>
      <c r="C167" s="76"/>
      <c r="D167" s="76"/>
      <c r="E167" s="76"/>
      <c r="F167" s="302"/>
    </row>
    <row r="168" spans="2:6" ht="15" thickBot="1" x14ac:dyDescent="0.4">
      <c r="B168" s="217"/>
      <c r="C168" s="76"/>
      <c r="D168" s="76"/>
      <c r="E168" s="76"/>
      <c r="F168" s="302"/>
    </row>
    <row r="169" spans="2:6" ht="15" thickBot="1" x14ac:dyDescent="0.4">
      <c r="B169" s="217"/>
      <c r="C169" s="76"/>
      <c r="D169" s="76"/>
      <c r="E169" s="76"/>
      <c r="F169" s="302"/>
    </row>
    <row r="170" spans="2:6" ht="15" thickBot="1" x14ac:dyDescent="0.4">
      <c r="B170" s="217"/>
      <c r="C170" s="76"/>
      <c r="D170" s="76"/>
      <c r="E170" s="76"/>
      <c r="F170" s="302"/>
    </row>
    <row r="171" spans="2:6" ht="15" thickBot="1" x14ac:dyDescent="0.4">
      <c r="B171" s="217"/>
      <c r="C171" s="76"/>
      <c r="D171" s="76"/>
      <c r="E171" s="76"/>
      <c r="F171" s="302"/>
    </row>
    <row r="172" spans="2:6" ht="15" thickBot="1" x14ac:dyDescent="0.4">
      <c r="B172" s="217"/>
      <c r="C172" s="76"/>
      <c r="D172" s="76"/>
      <c r="E172" s="76"/>
      <c r="F172" s="302"/>
    </row>
    <row r="173" spans="2:6" ht="15" thickBot="1" x14ac:dyDescent="0.4">
      <c r="B173" s="217"/>
      <c r="C173" s="76"/>
      <c r="D173" s="76"/>
      <c r="E173" s="76"/>
      <c r="F173" s="302"/>
    </row>
    <row r="174" spans="2:6" ht="15" thickBot="1" x14ac:dyDescent="0.4">
      <c r="B174" s="217"/>
      <c r="C174" s="76"/>
      <c r="D174" s="76"/>
      <c r="E174" s="76"/>
      <c r="F174" s="302"/>
    </row>
    <row r="175" spans="2:6" ht="15" thickBot="1" x14ac:dyDescent="0.4">
      <c r="B175" s="217"/>
      <c r="C175" s="76"/>
      <c r="D175" s="76"/>
      <c r="E175" s="76"/>
      <c r="F175" s="302"/>
    </row>
    <row r="176" spans="2:6" ht="15" thickBot="1" x14ac:dyDescent="0.4">
      <c r="B176" s="217"/>
      <c r="C176" s="76"/>
      <c r="D176" s="76"/>
      <c r="E176" s="76"/>
      <c r="F176" s="302"/>
    </row>
    <row r="177" spans="2:6" ht="15" thickBot="1" x14ac:dyDescent="0.4">
      <c r="B177" s="217"/>
      <c r="C177" s="76"/>
      <c r="D177" s="76"/>
      <c r="E177" s="76"/>
      <c r="F177" s="302"/>
    </row>
    <row r="178" spans="2:6" ht="15" thickBot="1" x14ac:dyDescent="0.4">
      <c r="B178" s="217"/>
      <c r="C178" s="76"/>
      <c r="D178" s="76"/>
      <c r="E178" s="76"/>
      <c r="F178" s="302"/>
    </row>
    <row r="179" spans="2:6" ht="15" thickBot="1" x14ac:dyDescent="0.4">
      <c r="B179" s="217"/>
      <c r="C179" s="76"/>
      <c r="D179" s="76"/>
      <c r="E179" s="76"/>
      <c r="F179" s="302"/>
    </row>
    <row r="180" spans="2:6" ht="15" thickBot="1" x14ac:dyDescent="0.4">
      <c r="B180" s="217"/>
      <c r="C180" s="76"/>
      <c r="D180" s="76"/>
      <c r="E180" s="76"/>
      <c r="F180" s="302"/>
    </row>
    <row r="181" spans="2:6" ht="15" thickBot="1" x14ac:dyDescent="0.4">
      <c r="B181" s="217"/>
      <c r="C181" s="76"/>
      <c r="D181" s="76"/>
      <c r="E181" s="76"/>
      <c r="F181" s="302"/>
    </row>
    <row r="182" spans="2:6" ht="15" thickBot="1" x14ac:dyDescent="0.4">
      <c r="B182" s="217"/>
      <c r="C182" s="76"/>
      <c r="D182" s="76"/>
      <c r="E182" s="76"/>
      <c r="F182" s="302"/>
    </row>
    <row r="183" spans="2:6" ht="15" thickBot="1" x14ac:dyDescent="0.4">
      <c r="B183" s="217"/>
      <c r="C183" s="76"/>
      <c r="D183" s="76"/>
      <c r="E183" s="76"/>
      <c r="F183" s="302"/>
    </row>
    <row r="184" spans="2:6" ht="15" thickBot="1" x14ac:dyDescent="0.4">
      <c r="B184" s="217"/>
      <c r="C184" s="76"/>
      <c r="D184" s="76"/>
      <c r="E184" s="76"/>
      <c r="F184" s="302"/>
    </row>
    <row r="185" spans="2:6" ht="15" thickBot="1" x14ac:dyDescent="0.4">
      <c r="B185" s="217"/>
      <c r="C185" s="76"/>
      <c r="D185" s="76"/>
      <c r="E185" s="76"/>
      <c r="F185" s="302"/>
    </row>
    <row r="186" spans="2:6" ht="15" thickBot="1" x14ac:dyDescent="0.4">
      <c r="B186" s="217"/>
      <c r="C186" s="76"/>
      <c r="D186" s="76"/>
      <c r="E186" s="76"/>
      <c r="F186" s="302"/>
    </row>
    <row r="187" spans="2:6" ht="15" thickBot="1" x14ac:dyDescent="0.4">
      <c r="B187" s="217"/>
      <c r="C187" s="76"/>
      <c r="D187" s="76"/>
      <c r="E187" s="76"/>
      <c r="F187" s="302"/>
    </row>
    <row r="188" spans="2:6" ht="15" thickBot="1" x14ac:dyDescent="0.4">
      <c r="B188" s="217"/>
      <c r="C188" s="76"/>
      <c r="D188" s="76"/>
      <c r="E188" s="76"/>
      <c r="F188" s="302"/>
    </row>
    <row r="189" spans="2:6" ht="15" thickBot="1" x14ac:dyDescent="0.4">
      <c r="B189" s="217"/>
      <c r="C189" s="76"/>
      <c r="D189" s="76"/>
      <c r="E189" s="76"/>
      <c r="F189" s="302"/>
    </row>
    <row r="190" spans="2:6" ht="15" thickBot="1" x14ac:dyDescent="0.4">
      <c r="B190" s="217"/>
      <c r="C190" s="76"/>
      <c r="D190" s="76"/>
      <c r="E190" s="76"/>
      <c r="F190" s="302"/>
    </row>
    <row r="191" spans="2:6" ht="15" thickBot="1" x14ac:dyDescent="0.4">
      <c r="B191" s="217"/>
      <c r="C191" s="76"/>
      <c r="D191" s="76"/>
      <c r="E191" s="76"/>
      <c r="F191" s="302"/>
    </row>
    <row r="192" spans="2:6" ht="15" thickBot="1" x14ac:dyDescent="0.4">
      <c r="B192" s="217"/>
      <c r="C192" s="76"/>
      <c r="D192" s="76"/>
      <c r="E192" s="76"/>
      <c r="F192" s="302"/>
    </row>
    <row r="193" spans="2:6" ht="15" thickBot="1" x14ac:dyDescent="0.4">
      <c r="B193" s="217"/>
      <c r="C193" s="76"/>
      <c r="D193" s="76"/>
      <c r="E193" s="76"/>
      <c r="F193" s="302"/>
    </row>
    <row r="194" spans="2:6" ht="15" thickBot="1" x14ac:dyDescent="0.4">
      <c r="B194" s="217"/>
      <c r="C194" s="76"/>
      <c r="D194" s="76"/>
      <c r="E194" s="76"/>
      <c r="F194" s="302"/>
    </row>
    <row r="195" spans="2:6" ht="15" thickBot="1" x14ac:dyDescent="0.4">
      <c r="B195" s="217"/>
      <c r="C195" s="76"/>
      <c r="D195" s="76"/>
      <c r="E195" s="76"/>
      <c r="F195" s="302"/>
    </row>
    <row r="196" spans="2:6" ht="15" thickBot="1" x14ac:dyDescent="0.4">
      <c r="B196" s="217"/>
      <c r="C196" s="76"/>
      <c r="D196" s="76"/>
      <c r="E196" s="76"/>
      <c r="F196" s="302"/>
    </row>
    <row r="197" spans="2:6" ht="15" thickBot="1" x14ac:dyDescent="0.4">
      <c r="B197" s="217"/>
      <c r="C197" s="76"/>
      <c r="D197" s="76"/>
      <c r="E197" s="76"/>
      <c r="F197" s="302"/>
    </row>
    <row r="198" spans="2:6" ht="15" thickBot="1" x14ac:dyDescent="0.4">
      <c r="B198" s="217"/>
      <c r="C198" s="76"/>
      <c r="D198" s="76"/>
      <c r="E198" s="76"/>
      <c r="F198" s="302"/>
    </row>
    <row r="199" spans="2:6" ht="15" thickBot="1" x14ac:dyDescent="0.4">
      <c r="B199" s="217"/>
      <c r="C199" s="76"/>
      <c r="D199" s="76"/>
      <c r="E199" s="76"/>
      <c r="F199" s="302"/>
    </row>
    <row r="200" spans="2:6" ht="15" thickBot="1" x14ac:dyDescent="0.4">
      <c r="B200" s="217"/>
      <c r="C200" s="76"/>
      <c r="D200" s="76"/>
      <c r="E200" s="76"/>
      <c r="F200" s="302"/>
    </row>
    <row r="201" spans="2:6" ht="15" thickBot="1" x14ac:dyDescent="0.4">
      <c r="B201" s="217"/>
      <c r="C201" s="76"/>
      <c r="D201" s="76"/>
      <c r="E201" s="76"/>
      <c r="F201" s="302"/>
    </row>
    <row r="202" spans="2:6" ht="15" thickBot="1" x14ac:dyDescent="0.4">
      <c r="B202" s="217"/>
      <c r="C202" s="76"/>
      <c r="D202" s="76"/>
      <c r="E202" s="76"/>
      <c r="F202" s="302"/>
    </row>
    <row r="203" spans="2:6" ht="15" thickBot="1" x14ac:dyDescent="0.4">
      <c r="B203" s="217"/>
      <c r="C203" s="76"/>
      <c r="D203" s="76"/>
      <c r="E203" s="76"/>
      <c r="F203" s="302"/>
    </row>
    <row r="204" spans="2:6" ht="15" thickBot="1" x14ac:dyDescent="0.4">
      <c r="B204" s="217"/>
      <c r="C204" s="76"/>
      <c r="D204" s="76"/>
      <c r="E204" s="76"/>
      <c r="F204" s="302"/>
    </row>
    <row r="205" spans="2:6" ht="15" thickBot="1" x14ac:dyDescent="0.4">
      <c r="B205" s="217"/>
      <c r="C205" s="76"/>
      <c r="D205" s="76"/>
      <c r="E205" s="76"/>
      <c r="F205" s="302"/>
    </row>
    <row r="206" spans="2:6" ht="15" thickBot="1" x14ac:dyDescent="0.4">
      <c r="B206" s="217"/>
      <c r="C206" s="76"/>
      <c r="D206" s="76"/>
      <c r="E206" s="76"/>
      <c r="F206" s="302"/>
    </row>
    <row r="207" spans="2:6" ht="15" thickBot="1" x14ac:dyDescent="0.4">
      <c r="B207" s="217"/>
      <c r="C207" s="76"/>
      <c r="D207" s="76"/>
      <c r="E207" s="76"/>
      <c r="F207" s="302"/>
    </row>
    <row r="208" spans="2:6" ht="15" thickBot="1" x14ac:dyDescent="0.4">
      <c r="B208" s="217"/>
      <c r="C208" s="76"/>
      <c r="D208" s="76"/>
      <c r="E208" s="76"/>
      <c r="F208" s="302"/>
    </row>
    <row r="209" spans="2:6" ht="15" thickBot="1" x14ac:dyDescent="0.4">
      <c r="B209" s="217"/>
      <c r="C209" s="76"/>
      <c r="D209" s="76"/>
      <c r="E209" s="76"/>
      <c r="F209" s="302"/>
    </row>
    <row r="210" spans="2:6" ht="15" thickBot="1" x14ac:dyDescent="0.4">
      <c r="B210" s="217"/>
      <c r="C210" s="76"/>
      <c r="D210" s="76"/>
      <c r="E210" s="76"/>
      <c r="F210" s="302"/>
    </row>
    <row r="211" spans="2:6" ht="15" thickBot="1" x14ac:dyDescent="0.4">
      <c r="B211" s="217"/>
      <c r="C211" s="76"/>
      <c r="D211" s="76"/>
      <c r="E211" s="76"/>
      <c r="F211" s="302"/>
    </row>
    <row r="212" spans="2:6" ht="15" thickBot="1" x14ac:dyDescent="0.4">
      <c r="B212" s="217"/>
      <c r="C212" s="76"/>
      <c r="D212" s="76"/>
      <c r="E212" s="76"/>
      <c r="F212" s="302"/>
    </row>
    <row r="213" spans="2:6" ht="15" thickBot="1" x14ac:dyDescent="0.4">
      <c r="B213" s="217"/>
      <c r="C213" s="76"/>
      <c r="D213" s="76"/>
      <c r="E213" s="76"/>
      <c r="F213" s="302"/>
    </row>
    <row r="214" spans="2:6" ht="15" thickBot="1" x14ac:dyDescent="0.4">
      <c r="B214" s="217"/>
      <c r="C214" s="76"/>
      <c r="D214" s="76"/>
      <c r="E214" s="76"/>
      <c r="F214" s="302"/>
    </row>
    <row r="215" spans="2:6" ht="15" thickBot="1" x14ac:dyDescent="0.4">
      <c r="B215" s="217"/>
      <c r="C215" s="76"/>
      <c r="D215" s="76"/>
      <c r="E215" s="76"/>
      <c r="F215" s="302"/>
    </row>
    <row r="216" spans="2:6" ht="15" thickBot="1" x14ac:dyDescent="0.4">
      <c r="B216" s="217"/>
      <c r="C216" s="76"/>
      <c r="D216" s="76"/>
      <c r="E216" s="76"/>
      <c r="F216" s="302"/>
    </row>
    <row r="217" spans="2:6" ht="15" thickBot="1" x14ac:dyDescent="0.4">
      <c r="B217" s="217"/>
      <c r="C217" s="76"/>
      <c r="D217" s="76"/>
      <c r="E217" s="76"/>
      <c r="F217" s="302"/>
    </row>
    <row r="218" spans="2:6" ht="15" thickBot="1" x14ac:dyDescent="0.4">
      <c r="B218" s="217"/>
      <c r="C218" s="76"/>
      <c r="D218" s="76"/>
      <c r="E218" s="76"/>
      <c r="F218" s="302"/>
    </row>
    <row r="219" spans="2:6" ht="15" thickBot="1" x14ac:dyDescent="0.4">
      <c r="B219" s="217"/>
      <c r="C219" s="76"/>
      <c r="D219" s="76"/>
      <c r="E219" s="76"/>
      <c r="F219" s="302"/>
    </row>
    <row r="220" spans="2:6" ht="15" thickBot="1" x14ac:dyDescent="0.4">
      <c r="B220" s="217"/>
      <c r="C220" s="76"/>
      <c r="D220" s="76"/>
      <c r="E220" s="76"/>
      <c r="F220" s="302"/>
    </row>
    <row r="221" spans="2:6" ht="15" thickBot="1" x14ac:dyDescent="0.4">
      <c r="B221" s="217"/>
      <c r="C221" s="76"/>
      <c r="D221" s="76"/>
      <c r="E221" s="76"/>
      <c r="F221" s="302"/>
    </row>
    <row r="222" spans="2:6" ht="15" thickBot="1" x14ac:dyDescent="0.4">
      <c r="B222" s="217"/>
      <c r="C222" s="76"/>
      <c r="D222" s="76"/>
      <c r="E222" s="76"/>
      <c r="F222" s="302"/>
    </row>
    <row r="223" spans="2:6" ht="15" thickBot="1" x14ac:dyDescent="0.4">
      <c r="B223" s="217"/>
      <c r="C223" s="76"/>
      <c r="D223" s="76"/>
      <c r="E223" s="76"/>
      <c r="F223" s="302"/>
    </row>
    <row r="224" spans="2:6" ht="15" thickBot="1" x14ac:dyDescent="0.4">
      <c r="B224" s="217"/>
      <c r="C224" s="76"/>
      <c r="D224" s="76"/>
      <c r="E224" s="76"/>
      <c r="F224" s="302"/>
    </row>
    <row r="225" spans="2:6" ht="15" thickBot="1" x14ac:dyDescent="0.4">
      <c r="B225" s="217"/>
      <c r="C225" s="76"/>
      <c r="D225" s="76"/>
      <c r="E225" s="76"/>
      <c r="F225" s="302"/>
    </row>
    <row r="226" spans="2:6" ht="15" thickBot="1" x14ac:dyDescent="0.4">
      <c r="B226" s="217"/>
      <c r="C226" s="76"/>
      <c r="D226" s="76"/>
      <c r="E226" s="76"/>
      <c r="F226" s="302"/>
    </row>
    <row r="227" spans="2:6" ht="15" thickBot="1" x14ac:dyDescent="0.4">
      <c r="B227" s="217"/>
      <c r="C227" s="76"/>
      <c r="D227" s="76"/>
      <c r="E227" s="76"/>
      <c r="F227" s="302"/>
    </row>
    <row r="228" spans="2:6" ht="15" thickBot="1" x14ac:dyDescent="0.4">
      <c r="B228" s="217"/>
      <c r="C228" s="76"/>
      <c r="D228" s="76"/>
      <c r="E228" s="76"/>
      <c r="F228" s="302"/>
    </row>
    <row r="229" spans="2:6" ht="15" thickBot="1" x14ac:dyDescent="0.4">
      <c r="B229" s="217"/>
      <c r="C229" s="76"/>
      <c r="D229" s="76"/>
      <c r="E229" s="76"/>
      <c r="F229" s="302"/>
    </row>
    <row r="230" spans="2:6" ht="15" thickBot="1" x14ac:dyDescent="0.4">
      <c r="B230" s="217"/>
      <c r="C230" s="76"/>
      <c r="D230" s="76"/>
      <c r="E230" s="76"/>
      <c r="F230" s="302"/>
    </row>
    <row r="231" spans="2:6" ht="15" thickBot="1" x14ac:dyDescent="0.4">
      <c r="B231" s="217"/>
      <c r="C231" s="76"/>
      <c r="D231" s="76"/>
      <c r="E231" s="76"/>
      <c r="F231" s="302"/>
    </row>
    <row r="232" spans="2:6" ht="15" thickBot="1" x14ac:dyDescent="0.4">
      <c r="B232" s="217"/>
      <c r="C232" s="76"/>
      <c r="D232" s="76"/>
      <c r="E232" s="76"/>
      <c r="F232" s="302"/>
    </row>
    <row r="233" spans="2:6" ht="15" thickBot="1" x14ac:dyDescent="0.4">
      <c r="B233" s="217"/>
      <c r="C233" s="76"/>
      <c r="D233" s="76"/>
      <c r="E233" s="76"/>
      <c r="F233" s="302"/>
    </row>
    <row r="234" spans="2:6" ht="15" thickBot="1" x14ac:dyDescent="0.4">
      <c r="B234" s="217"/>
      <c r="C234" s="76"/>
      <c r="D234" s="76"/>
      <c r="E234" s="76"/>
      <c r="F234" s="302"/>
    </row>
    <row r="235" spans="2:6" ht="15" thickBot="1" x14ac:dyDescent="0.4">
      <c r="B235" s="217"/>
      <c r="C235" s="76"/>
      <c r="D235" s="76"/>
      <c r="E235" s="76"/>
      <c r="F235" s="302"/>
    </row>
    <row r="236" spans="2:6" ht="15" thickBot="1" x14ac:dyDescent="0.4">
      <c r="B236" s="217"/>
      <c r="C236" s="76"/>
      <c r="D236" s="76"/>
      <c r="E236" s="76"/>
      <c r="F236" s="302"/>
    </row>
    <row r="237" spans="2:6" ht="15" thickBot="1" x14ac:dyDescent="0.4">
      <c r="B237" s="217"/>
      <c r="C237" s="76"/>
      <c r="D237" s="76"/>
      <c r="E237" s="76"/>
      <c r="F237" s="302"/>
    </row>
    <row r="238" spans="2:6" ht="15" thickBot="1" x14ac:dyDescent="0.4">
      <c r="B238" s="217"/>
      <c r="C238" s="76"/>
      <c r="D238" s="76"/>
      <c r="E238" s="76"/>
      <c r="F238" s="302"/>
    </row>
    <row r="239" spans="2:6" ht="15" thickBot="1" x14ac:dyDescent="0.4">
      <c r="B239" s="217"/>
      <c r="C239" s="76"/>
      <c r="D239" s="76"/>
      <c r="E239" s="76"/>
      <c r="F239" s="302"/>
    </row>
    <row r="240" spans="2:6" ht="15" thickBot="1" x14ac:dyDescent="0.4">
      <c r="B240" s="217"/>
      <c r="C240" s="76"/>
      <c r="D240" s="76"/>
      <c r="E240" s="76"/>
      <c r="F240" s="302"/>
    </row>
    <row r="241" spans="2:6" ht="15" thickBot="1" x14ac:dyDescent="0.4">
      <c r="B241" s="217"/>
      <c r="C241" s="76"/>
      <c r="D241" s="76"/>
      <c r="E241" s="76"/>
      <c r="F241" s="302"/>
    </row>
    <row r="242" spans="2:6" ht="15" thickBot="1" x14ac:dyDescent="0.4">
      <c r="B242" s="217"/>
      <c r="C242" s="76"/>
      <c r="D242" s="76"/>
      <c r="E242" s="76"/>
      <c r="F242" s="302"/>
    </row>
    <row r="243" spans="2:6" ht="15" thickBot="1" x14ac:dyDescent="0.4">
      <c r="B243" s="217"/>
      <c r="C243" s="76"/>
      <c r="D243" s="76"/>
      <c r="E243" s="76"/>
      <c r="F243" s="302"/>
    </row>
    <row r="244" spans="2:6" ht="15" thickBot="1" x14ac:dyDescent="0.4">
      <c r="B244" s="217"/>
      <c r="C244" s="76"/>
      <c r="D244" s="76"/>
      <c r="E244" s="76"/>
      <c r="F244" s="302"/>
    </row>
    <row r="245" spans="2:6" ht="15" thickBot="1" x14ac:dyDescent="0.4">
      <c r="B245" s="217"/>
      <c r="C245" s="76"/>
      <c r="D245" s="76"/>
      <c r="E245" s="76"/>
      <c r="F245" s="302"/>
    </row>
    <row r="246" spans="2:6" ht="15" thickBot="1" x14ac:dyDescent="0.4">
      <c r="B246" s="217"/>
      <c r="C246" s="76"/>
      <c r="D246" s="76"/>
      <c r="E246" s="76"/>
      <c r="F246" s="302"/>
    </row>
    <row r="247" spans="2:6" ht="15" thickBot="1" x14ac:dyDescent="0.4">
      <c r="B247" s="217"/>
      <c r="C247" s="76"/>
      <c r="D247" s="76"/>
      <c r="E247" s="76"/>
      <c r="F247" s="302"/>
    </row>
    <row r="248" spans="2:6" ht="15" thickBot="1" x14ac:dyDescent="0.4">
      <c r="B248" s="217"/>
      <c r="C248" s="76"/>
      <c r="D248" s="76"/>
      <c r="E248" s="76"/>
      <c r="F248" s="302"/>
    </row>
    <row r="249" spans="2:6" ht="15" thickBot="1" x14ac:dyDescent="0.4">
      <c r="B249" s="217"/>
      <c r="C249" s="76"/>
      <c r="D249" s="76"/>
      <c r="E249" s="76"/>
      <c r="F249" s="302"/>
    </row>
    <row r="250" spans="2:6" ht="15" thickBot="1" x14ac:dyDescent="0.4">
      <c r="B250" s="217"/>
      <c r="C250" s="76"/>
      <c r="D250" s="76"/>
      <c r="E250" s="76"/>
      <c r="F250" s="302"/>
    </row>
    <row r="251" spans="2:6" ht="15" thickBot="1" x14ac:dyDescent="0.4">
      <c r="B251" s="217"/>
      <c r="C251" s="76"/>
      <c r="D251" s="76"/>
      <c r="E251" s="76"/>
      <c r="F251" s="302"/>
    </row>
    <row r="252" spans="2:6" ht="15" thickBot="1" x14ac:dyDescent="0.4">
      <c r="B252" s="217"/>
      <c r="C252" s="76"/>
      <c r="D252" s="76"/>
      <c r="E252" s="76"/>
      <c r="F252" s="302"/>
    </row>
    <row r="253" spans="2:6" ht="15" thickBot="1" x14ac:dyDescent="0.4">
      <c r="B253" s="217"/>
      <c r="C253" s="76"/>
      <c r="D253" s="76"/>
      <c r="E253" s="76"/>
      <c r="F253" s="302"/>
    </row>
    <row r="254" spans="2:6" ht="15" thickBot="1" x14ac:dyDescent="0.4">
      <c r="B254" s="217"/>
      <c r="C254" s="76"/>
      <c r="D254" s="76"/>
      <c r="E254" s="76"/>
      <c r="F254" s="302"/>
    </row>
    <row r="255" spans="2:6" ht="15" thickBot="1" x14ac:dyDescent="0.4">
      <c r="B255" s="217"/>
      <c r="C255" s="76"/>
      <c r="D255" s="76"/>
      <c r="E255" s="76"/>
      <c r="F255" s="302"/>
    </row>
    <row r="256" spans="2:6" ht="15" thickBot="1" x14ac:dyDescent="0.4">
      <c r="B256" s="217"/>
      <c r="C256" s="76"/>
      <c r="D256" s="76"/>
      <c r="E256" s="76"/>
      <c r="F256" s="302"/>
    </row>
    <row r="257" spans="2:6" ht="15" thickBot="1" x14ac:dyDescent="0.4">
      <c r="B257" s="217"/>
      <c r="C257" s="76"/>
      <c r="D257" s="76"/>
      <c r="E257" s="76"/>
      <c r="F257" s="302"/>
    </row>
    <row r="258" spans="2:6" ht="15" thickBot="1" x14ac:dyDescent="0.4">
      <c r="B258" s="217"/>
      <c r="C258" s="76"/>
      <c r="D258" s="76"/>
      <c r="E258" s="76"/>
      <c r="F258" s="302"/>
    </row>
    <row r="259" spans="2:6" ht="15" thickBot="1" x14ac:dyDescent="0.4">
      <c r="B259" s="217"/>
      <c r="C259" s="76"/>
      <c r="D259" s="76"/>
      <c r="E259" s="76"/>
      <c r="F259" s="302"/>
    </row>
    <row r="260" spans="2:6" ht="15" thickBot="1" x14ac:dyDescent="0.4">
      <c r="B260" s="217"/>
      <c r="C260" s="76"/>
      <c r="D260" s="76"/>
      <c r="E260" s="76"/>
      <c r="F260" s="302"/>
    </row>
    <row r="261" spans="2:6" ht="15" thickBot="1" x14ac:dyDescent="0.4">
      <c r="B261" s="217"/>
      <c r="C261" s="76"/>
      <c r="D261" s="76"/>
      <c r="E261" s="76"/>
      <c r="F261" s="302"/>
    </row>
    <row r="262" spans="2:6" ht="15" thickBot="1" x14ac:dyDescent="0.4">
      <c r="B262" s="217"/>
      <c r="C262" s="76"/>
      <c r="D262" s="76"/>
      <c r="E262" s="76"/>
      <c r="F262" s="302"/>
    </row>
    <row r="263" spans="2:6" ht="15" thickBot="1" x14ac:dyDescent="0.4">
      <c r="B263" s="217"/>
      <c r="C263" s="76"/>
      <c r="D263" s="76"/>
      <c r="E263" s="76"/>
      <c r="F263" s="302"/>
    </row>
    <row r="264" spans="2:6" ht="15" thickBot="1" x14ac:dyDescent="0.4">
      <c r="B264" s="217"/>
      <c r="C264" s="76"/>
      <c r="D264" s="76"/>
      <c r="E264" s="76"/>
      <c r="F264" s="302"/>
    </row>
    <row r="265" spans="2:6" ht="15" thickBot="1" x14ac:dyDescent="0.4">
      <c r="B265" s="217"/>
      <c r="C265" s="76"/>
      <c r="D265" s="76"/>
      <c r="E265" s="76"/>
      <c r="F265" s="302"/>
    </row>
    <row r="266" spans="2:6" ht="15" thickBot="1" x14ac:dyDescent="0.4">
      <c r="B266" s="217"/>
      <c r="C266" s="76"/>
      <c r="D266" s="76"/>
      <c r="E266" s="76"/>
      <c r="F266" s="302"/>
    </row>
    <row r="267" spans="2:6" ht="15" thickBot="1" x14ac:dyDescent="0.4">
      <c r="B267" s="217"/>
      <c r="C267" s="76"/>
      <c r="D267" s="76"/>
      <c r="E267" s="76"/>
      <c r="F267" s="302"/>
    </row>
    <row r="268" spans="2:6" ht="15" thickBot="1" x14ac:dyDescent="0.4">
      <c r="B268" s="217"/>
      <c r="C268" s="76"/>
      <c r="D268" s="76"/>
      <c r="E268" s="76"/>
      <c r="F268" s="302"/>
    </row>
    <row r="269" spans="2:6" ht="15" thickBot="1" x14ac:dyDescent="0.4">
      <c r="B269" s="217"/>
      <c r="C269" s="76"/>
      <c r="D269" s="76"/>
      <c r="E269" s="76"/>
      <c r="F269" s="302"/>
    </row>
    <row r="270" spans="2:6" ht="15" thickBot="1" x14ac:dyDescent="0.4">
      <c r="B270" s="217"/>
      <c r="C270" s="76"/>
      <c r="D270" s="76"/>
      <c r="E270" s="76"/>
      <c r="F270" s="302"/>
    </row>
    <row r="271" spans="2:6" ht="15" thickBot="1" x14ac:dyDescent="0.4">
      <c r="B271" s="217"/>
      <c r="C271" s="76"/>
      <c r="D271" s="76"/>
      <c r="E271" s="76"/>
      <c r="F271" s="302"/>
    </row>
    <row r="272" spans="2:6" ht="15" thickBot="1" x14ac:dyDescent="0.4">
      <c r="B272" s="217"/>
      <c r="C272" s="76"/>
      <c r="D272" s="76"/>
      <c r="E272" s="76"/>
      <c r="F272" s="302"/>
    </row>
    <row r="273" spans="2:6" ht="15" thickBot="1" x14ac:dyDescent="0.4">
      <c r="B273" s="217"/>
      <c r="C273" s="76"/>
      <c r="D273" s="76"/>
      <c r="E273" s="76"/>
      <c r="F273" s="302"/>
    </row>
    <row r="274" spans="2:6" ht="15" thickBot="1" x14ac:dyDescent="0.4">
      <c r="B274" s="217"/>
      <c r="C274" s="76"/>
      <c r="D274" s="76"/>
      <c r="E274" s="76"/>
      <c r="F274" s="302"/>
    </row>
    <row r="275" spans="2:6" ht="15" thickBot="1" x14ac:dyDescent="0.4">
      <c r="B275" s="217"/>
      <c r="C275" s="76"/>
      <c r="D275" s="76"/>
      <c r="E275" s="76"/>
      <c r="F275" s="302"/>
    </row>
    <row r="276" spans="2:6" ht="15" thickBot="1" x14ac:dyDescent="0.4">
      <c r="B276" s="217"/>
      <c r="C276" s="76"/>
      <c r="D276" s="76"/>
      <c r="E276" s="76"/>
      <c r="F276" s="302"/>
    </row>
    <row r="277" spans="2:6" ht="15" thickBot="1" x14ac:dyDescent="0.4">
      <c r="B277" s="217"/>
      <c r="C277" s="76"/>
      <c r="D277" s="76"/>
      <c r="E277" s="76"/>
      <c r="F277" s="302"/>
    </row>
    <row r="278" spans="2:6" ht="15" thickBot="1" x14ac:dyDescent="0.4">
      <c r="B278" s="217"/>
      <c r="C278" s="76"/>
      <c r="D278" s="76"/>
      <c r="E278" s="76"/>
      <c r="F278" s="302"/>
    </row>
    <row r="279" spans="2:6" ht="15" thickBot="1" x14ac:dyDescent="0.4">
      <c r="B279" s="217"/>
      <c r="C279" s="76"/>
      <c r="D279" s="76"/>
      <c r="E279" s="76"/>
      <c r="F279" s="302"/>
    </row>
    <row r="280" spans="2:6" ht="15" thickBot="1" x14ac:dyDescent="0.4">
      <c r="B280" s="217"/>
      <c r="C280" s="76"/>
      <c r="D280" s="76"/>
      <c r="E280" s="76"/>
      <c r="F280" s="302"/>
    </row>
    <row r="281" spans="2:6" ht="15" thickBot="1" x14ac:dyDescent="0.4">
      <c r="B281" s="217"/>
      <c r="C281" s="76"/>
      <c r="D281" s="76"/>
      <c r="E281" s="76"/>
      <c r="F281" s="302"/>
    </row>
    <row r="282" spans="2:6" ht="15" thickBot="1" x14ac:dyDescent="0.4">
      <c r="B282" s="217"/>
      <c r="C282" s="76"/>
      <c r="D282" s="76"/>
      <c r="E282" s="76"/>
      <c r="F282" s="302"/>
    </row>
    <row r="283" spans="2:6" ht="15" thickBot="1" x14ac:dyDescent="0.4">
      <c r="B283" s="217"/>
      <c r="C283" s="76"/>
      <c r="D283" s="76"/>
      <c r="E283" s="76"/>
      <c r="F283" s="302"/>
    </row>
    <row r="284" spans="2:6" ht="15" thickBot="1" x14ac:dyDescent="0.4">
      <c r="B284" s="217"/>
      <c r="C284" s="76"/>
      <c r="D284" s="76"/>
      <c r="E284" s="76"/>
      <c r="F284" s="302"/>
    </row>
    <row r="285" spans="2:6" ht="15" thickBot="1" x14ac:dyDescent="0.4">
      <c r="B285" s="217"/>
      <c r="C285" s="76"/>
      <c r="D285" s="76"/>
      <c r="E285" s="76"/>
      <c r="F285" s="302"/>
    </row>
    <row r="286" spans="2:6" ht="15" thickBot="1" x14ac:dyDescent="0.4">
      <c r="B286" s="217"/>
      <c r="C286" s="76"/>
      <c r="D286" s="76"/>
      <c r="E286" s="76"/>
      <c r="F286" s="302"/>
    </row>
    <row r="287" spans="2:6" ht="15" thickBot="1" x14ac:dyDescent="0.4">
      <c r="B287" s="217"/>
      <c r="C287" s="76"/>
      <c r="D287" s="76"/>
      <c r="E287" s="76"/>
      <c r="F287" s="302"/>
    </row>
    <row r="288" spans="2:6" ht="15" thickBot="1" x14ac:dyDescent="0.4">
      <c r="B288" s="217"/>
      <c r="C288" s="76"/>
      <c r="D288" s="76"/>
      <c r="E288" s="76"/>
      <c r="F288" s="302"/>
    </row>
    <row r="289" spans="2:6" ht="15" thickBot="1" x14ac:dyDescent="0.4">
      <c r="B289" s="217"/>
      <c r="C289" s="76"/>
      <c r="D289" s="76"/>
      <c r="E289" s="76"/>
      <c r="F289" s="302"/>
    </row>
    <row r="290" spans="2:6" ht="15" thickBot="1" x14ac:dyDescent="0.4">
      <c r="B290" s="217"/>
      <c r="C290" s="76"/>
      <c r="D290" s="76"/>
      <c r="E290" s="76"/>
      <c r="F290" s="302"/>
    </row>
    <row r="291" spans="2:6" ht="15" thickBot="1" x14ac:dyDescent="0.4">
      <c r="B291" s="217"/>
      <c r="C291" s="76"/>
      <c r="D291" s="76"/>
      <c r="E291" s="76"/>
      <c r="F291" s="302"/>
    </row>
    <row r="292" spans="2:6" ht="15" thickBot="1" x14ac:dyDescent="0.4">
      <c r="B292" s="217"/>
      <c r="C292" s="76"/>
      <c r="D292" s="76"/>
      <c r="E292" s="76"/>
      <c r="F292" s="302"/>
    </row>
    <row r="293" spans="2:6" ht="15" thickBot="1" x14ac:dyDescent="0.4">
      <c r="B293" s="217"/>
      <c r="C293" s="76"/>
      <c r="D293" s="76"/>
      <c r="E293" s="76"/>
      <c r="F293" s="302"/>
    </row>
    <row r="294" spans="2:6" ht="15" thickBot="1" x14ac:dyDescent="0.4">
      <c r="B294" s="217"/>
      <c r="C294" s="76"/>
      <c r="D294" s="76"/>
      <c r="E294" s="76"/>
      <c r="F294" s="302"/>
    </row>
    <row r="295" spans="2:6" ht="15" thickBot="1" x14ac:dyDescent="0.4">
      <c r="B295" s="217"/>
      <c r="C295" s="76"/>
      <c r="D295" s="76"/>
      <c r="E295" s="76"/>
      <c r="F295" s="302"/>
    </row>
    <row r="296" spans="2:6" ht="15" thickBot="1" x14ac:dyDescent="0.4">
      <c r="B296" s="217"/>
      <c r="C296" s="76"/>
      <c r="D296" s="76"/>
      <c r="E296" s="76"/>
      <c r="F296" s="302"/>
    </row>
    <row r="297" spans="2:6" ht="15" thickBot="1" x14ac:dyDescent="0.4">
      <c r="B297" s="217"/>
      <c r="C297" s="76"/>
      <c r="D297" s="76"/>
      <c r="E297" s="76"/>
      <c r="F297" s="302"/>
    </row>
    <row r="298" spans="2:6" ht="15" thickBot="1" x14ac:dyDescent="0.4">
      <c r="B298" s="217"/>
      <c r="C298" s="76"/>
      <c r="D298" s="76"/>
      <c r="E298" s="76"/>
      <c r="F298" s="302"/>
    </row>
    <row r="299" spans="2:6" ht="15" thickBot="1" x14ac:dyDescent="0.4">
      <c r="B299" s="217"/>
      <c r="C299" s="76"/>
      <c r="D299" s="76"/>
      <c r="E299" s="76"/>
      <c r="F299" s="302"/>
    </row>
    <row r="300" spans="2:6" ht="15" thickBot="1" x14ac:dyDescent="0.4">
      <c r="B300" s="217"/>
      <c r="C300" s="76"/>
      <c r="D300" s="76"/>
      <c r="E300" s="76"/>
      <c r="F300" s="302"/>
    </row>
    <row r="301" spans="2:6" ht="15" thickBot="1" x14ac:dyDescent="0.4">
      <c r="B301" s="217"/>
      <c r="C301" s="76"/>
      <c r="D301" s="76"/>
      <c r="E301" s="76"/>
      <c r="F301" s="302"/>
    </row>
    <row r="302" spans="2:6" ht="15" thickBot="1" x14ac:dyDescent="0.4">
      <c r="B302" s="217"/>
      <c r="C302" s="76"/>
      <c r="D302" s="76"/>
      <c r="E302" s="76"/>
      <c r="F302" s="302"/>
    </row>
    <row r="303" spans="2:6" ht="15" thickBot="1" x14ac:dyDescent="0.4">
      <c r="B303" s="217"/>
      <c r="C303" s="76"/>
      <c r="D303" s="76"/>
      <c r="E303" s="76"/>
      <c r="F303" s="302"/>
    </row>
    <row r="304" spans="2:6" ht="15" thickBot="1" x14ac:dyDescent="0.4">
      <c r="B304" s="217"/>
      <c r="C304" s="76"/>
      <c r="D304" s="76"/>
      <c r="E304" s="76"/>
      <c r="F304" s="302"/>
    </row>
    <row r="305" spans="2:6" ht="15" thickBot="1" x14ac:dyDescent="0.4">
      <c r="B305" s="217"/>
      <c r="C305" s="76"/>
      <c r="D305" s="76"/>
      <c r="E305" s="76"/>
      <c r="F305" s="302"/>
    </row>
    <row r="306" spans="2:6" ht="15" thickBot="1" x14ac:dyDescent="0.4">
      <c r="B306" s="217"/>
      <c r="C306" s="76"/>
      <c r="D306" s="76"/>
      <c r="E306" s="76"/>
      <c r="F306" s="302"/>
    </row>
    <row r="307" spans="2:6" ht="15" thickBot="1" x14ac:dyDescent="0.4">
      <c r="B307" s="217"/>
      <c r="C307" s="76"/>
      <c r="D307" s="76"/>
      <c r="E307" s="76"/>
      <c r="F307" s="302"/>
    </row>
    <row r="308" spans="2:6" ht="15" thickBot="1" x14ac:dyDescent="0.4">
      <c r="B308" s="217"/>
      <c r="C308" s="76"/>
      <c r="D308" s="76"/>
      <c r="E308" s="76"/>
      <c r="F308" s="302"/>
    </row>
    <row r="309" spans="2:6" ht="15" thickBot="1" x14ac:dyDescent="0.4">
      <c r="B309" s="217"/>
      <c r="C309" s="76"/>
      <c r="D309" s="76"/>
      <c r="E309" s="76"/>
      <c r="F309" s="302"/>
    </row>
    <row r="310" spans="2:6" ht="15" thickBot="1" x14ac:dyDescent="0.4">
      <c r="B310" s="217"/>
      <c r="C310" s="76"/>
      <c r="D310" s="76"/>
      <c r="E310" s="76"/>
      <c r="F310" s="302"/>
    </row>
    <row r="311" spans="2:6" ht="15" thickBot="1" x14ac:dyDescent="0.4">
      <c r="B311" s="217"/>
      <c r="C311" s="76"/>
      <c r="D311" s="76"/>
      <c r="E311" s="76"/>
      <c r="F311" s="302"/>
    </row>
    <row r="312" spans="2:6" ht="15" thickBot="1" x14ac:dyDescent="0.4">
      <c r="B312" s="217"/>
      <c r="C312" s="76"/>
      <c r="D312" s="76"/>
      <c r="E312" s="76"/>
      <c r="F312" s="302"/>
    </row>
    <row r="313" spans="2:6" ht="15" thickBot="1" x14ac:dyDescent="0.4">
      <c r="B313" s="217"/>
      <c r="C313" s="76"/>
      <c r="D313" s="76"/>
      <c r="E313" s="76"/>
      <c r="F313" s="302"/>
    </row>
    <row r="314" spans="2:6" ht="15" thickBot="1" x14ac:dyDescent="0.4">
      <c r="B314" s="217"/>
      <c r="C314" s="76"/>
      <c r="D314" s="76"/>
      <c r="E314" s="76"/>
      <c r="F314" s="302"/>
    </row>
    <row r="315" spans="2:6" ht="15" thickBot="1" x14ac:dyDescent="0.4">
      <c r="B315" s="217"/>
      <c r="C315" s="76"/>
      <c r="D315" s="76"/>
      <c r="E315" s="76"/>
      <c r="F315" s="302"/>
    </row>
    <row r="316" spans="2:6" ht="15" thickBot="1" x14ac:dyDescent="0.4">
      <c r="B316" s="217"/>
      <c r="C316" s="76"/>
      <c r="D316" s="76"/>
      <c r="E316" s="76"/>
      <c r="F316" s="302"/>
    </row>
    <row r="317" spans="2:6" ht="15" thickBot="1" x14ac:dyDescent="0.4">
      <c r="B317" s="217"/>
      <c r="C317" s="76"/>
      <c r="D317" s="76"/>
      <c r="E317" s="76"/>
      <c r="F317" s="302"/>
    </row>
    <row r="318" spans="2:6" ht="15" thickBot="1" x14ac:dyDescent="0.4">
      <c r="B318" s="217"/>
      <c r="C318" s="76"/>
      <c r="D318" s="76"/>
      <c r="E318" s="76"/>
      <c r="F318" s="302"/>
    </row>
    <row r="319" spans="2:6" ht="15" thickBot="1" x14ac:dyDescent="0.4">
      <c r="B319" s="217"/>
      <c r="C319" s="76"/>
      <c r="D319" s="76"/>
      <c r="E319" s="76"/>
      <c r="F319" s="302"/>
    </row>
    <row r="320" spans="2:6" ht="15" thickBot="1" x14ac:dyDescent="0.4">
      <c r="B320" s="217"/>
      <c r="C320" s="76"/>
      <c r="D320" s="76"/>
      <c r="E320" s="76"/>
      <c r="F320" s="302"/>
    </row>
    <row r="321" spans="2:6" ht="15" thickBot="1" x14ac:dyDescent="0.4">
      <c r="B321" s="217"/>
      <c r="C321" s="76"/>
      <c r="D321" s="76"/>
      <c r="E321" s="76"/>
      <c r="F321" s="302"/>
    </row>
    <row r="322" spans="2:6" ht="15" thickBot="1" x14ac:dyDescent="0.4">
      <c r="B322" s="217"/>
      <c r="C322" s="76"/>
      <c r="D322" s="76"/>
      <c r="E322" s="76"/>
      <c r="F322" s="302"/>
    </row>
    <row r="323" spans="2:6" ht="15" thickBot="1" x14ac:dyDescent="0.4">
      <c r="B323" s="217"/>
      <c r="C323" s="76"/>
      <c r="D323" s="76"/>
      <c r="E323" s="76"/>
      <c r="F323" s="302"/>
    </row>
    <row r="324" spans="2:6" ht="15" thickBot="1" x14ac:dyDescent="0.4">
      <c r="B324" s="217"/>
      <c r="C324" s="76"/>
      <c r="D324" s="76"/>
      <c r="E324" s="76"/>
      <c r="F324" s="302"/>
    </row>
    <row r="325" spans="2:6" ht="15" thickBot="1" x14ac:dyDescent="0.4">
      <c r="B325" s="217"/>
      <c r="C325" s="76"/>
      <c r="D325" s="76"/>
      <c r="E325" s="76"/>
      <c r="F325" s="302"/>
    </row>
    <row r="326" spans="2:6" ht="15" thickBot="1" x14ac:dyDescent="0.4">
      <c r="B326" s="217"/>
      <c r="C326" s="76"/>
      <c r="D326" s="76"/>
      <c r="E326" s="76"/>
      <c r="F326" s="302"/>
    </row>
    <row r="327" spans="2:6" ht="15" thickBot="1" x14ac:dyDescent="0.4">
      <c r="B327" s="217"/>
      <c r="C327" s="76"/>
      <c r="D327" s="76"/>
      <c r="E327" s="76"/>
      <c r="F327" s="302"/>
    </row>
    <row r="328" spans="2:6" ht="15" thickBot="1" x14ac:dyDescent="0.4">
      <c r="B328" s="217"/>
      <c r="C328" s="76"/>
      <c r="D328" s="76"/>
      <c r="E328" s="76"/>
      <c r="F328" s="302"/>
    </row>
    <row r="329" spans="2:6" ht="15" thickBot="1" x14ac:dyDescent="0.4">
      <c r="B329" s="217"/>
      <c r="C329" s="76"/>
      <c r="D329" s="76"/>
      <c r="E329" s="76"/>
      <c r="F329" s="302"/>
    </row>
    <row r="330" spans="2:6" ht="15" thickBot="1" x14ac:dyDescent="0.4">
      <c r="B330" s="217"/>
      <c r="C330" s="76"/>
      <c r="D330" s="76"/>
      <c r="E330" s="76"/>
      <c r="F330" s="302"/>
    </row>
    <row r="331" spans="2:6" ht="15" thickBot="1" x14ac:dyDescent="0.4">
      <c r="B331" s="217"/>
      <c r="C331" s="76"/>
      <c r="D331" s="76"/>
      <c r="E331" s="76"/>
      <c r="F331" s="302"/>
    </row>
    <row r="332" spans="2:6" ht="15" thickBot="1" x14ac:dyDescent="0.4">
      <c r="B332" s="217"/>
      <c r="C332" s="76"/>
      <c r="D332" s="76"/>
      <c r="E332" s="76"/>
      <c r="F332" s="302"/>
    </row>
    <row r="333" spans="2:6" ht="15" thickBot="1" x14ac:dyDescent="0.4">
      <c r="B333" s="217"/>
      <c r="C333" s="76"/>
      <c r="D333" s="76"/>
      <c r="E333" s="76"/>
      <c r="F333" s="302"/>
    </row>
    <row r="334" spans="2:6" ht="15" thickBot="1" x14ac:dyDescent="0.4">
      <c r="B334" s="217"/>
      <c r="C334" s="76"/>
      <c r="D334" s="76"/>
      <c r="E334" s="76"/>
      <c r="F334" s="302"/>
    </row>
    <row r="335" spans="2:6" ht="15" thickBot="1" x14ac:dyDescent="0.4">
      <c r="B335" s="217"/>
      <c r="C335" s="76"/>
      <c r="D335" s="76"/>
      <c r="E335" s="76"/>
      <c r="F335" s="302"/>
    </row>
    <row r="336" spans="2:6" ht="15" thickBot="1" x14ac:dyDescent="0.4">
      <c r="B336" s="217"/>
      <c r="C336" s="76"/>
      <c r="D336" s="76"/>
      <c r="E336" s="76"/>
      <c r="F336" s="302"/>
    </row>
    <row r="337" spans="2:6" ht="15" thickBot="1" x14ac:dyDescent="0.4">
      <c r="B337" s="217"/>
      <c r="C337" s="76"/>
      <c r="D337" s="76"/>
      <c r="E337" s="76"/>
      <c r="F337" s="302"/>
    </row>
    <row r="338" spans="2:6" ht="15" thickBot="1" x14ac:dyDescent="0.4">
      <c r="B338" s="217"/>
      <c r="C338" s="76"/>
      <c r="D338" s="76"/>
      <c r="E338" s="76"/>
      <c r="F338" s="302"/>
    </row>
    <row r="339" spans="2:6" ht="15" thickBot="1" x14ac:dyDescent="0.4">
      <c r="B339" s="217"/>
      <c r="C339" s="76"/>
      <c r="D339" s="76"/>
      <c r="E339" s="76"/>
      <c r="F339" s="302"/>
    </row>
    <row r="340" spans="2:6" ht="15" thickBot="1" x14ac:dyDescent="0.4">
      <c r="B340" s="217"/>
      <c r="C340" s="76"/>
      <c r="D340" s="76"/>
      <c r="E340" s="76"/>
      <c r="F340" s="302"/>
    </row>
    <row r="341" spans="2:6" ht="15" thickBot="1" x14ac:dyDescent="0.4">
      <c r="B341" s="217"/>
      <c r="C341" s="76"/>
      <c r="D341" s="76"/>
      <c r="E341" s="76"/>
      <c r="F341" s="302"/>
    </row>
    <row r="342" spans="2:6" ht="15" thickBot="1" x14ac:dyDescent="0.4">
      <c r="B342" s="217"/>
      <c r="C342" s="76"/>
      <c r="D342" s="76"/>
      <c r="E342" s="76"/>
      <c r="F342" s="302"/>
    </row>
    <row r="343" spans="2:6" ht="15" thickBot="1" x14ac:dyDescent="0.4">
      <c r="B343" s="217"/>
      <c r="C343" s="76"/>
      <c r="D343" s="76"/>
      <c r="E343" s="76"/>
      <c r="F343" s="302"/>
    </row>
    <row r="344" spans="2:6" ht="15" thickBot="1" x14ac:dyDescent="0.4">
      <c r="B344" s="217"/>
      <c r="C344" s="76"/>
      <c r="D344" s="76"/>
      <c r="E344" s="76"/>
      <c r="F344" s="302"/>
    </row>
    <row r="345" spans="2:6" ht="15" thickBot="1" x14ac:dyDescent="0.4">
      <c r="B345" s="217"/>
      <c r="C345" s="76"/>
      <c r="D345" s="76"/>
      <c r="E345" s="76"/>
      <c r="F345" s="302"/>
    </row>
    <row r="346" spans="2:6" ht="15" thickBot="1" x14ac:dyDescent="0.4">
      <c r="B346" s="217"/>
      <c r="C346" s="76"/>
      <c r="D346" s="76"/>
      <c r="E346" s="76"/>
      <c r="F346" s="302"/>
    </row>
    <row r="347" spans="2:6" ht="15" thickBot="1" x14ac:dyDescent="0.4">
      <c r="B347" s="217"/>
      <c r="C347" s="76"/>
      <c r="D347" s="76"/>
      <c r="E347" s="76"/>
      <c r="F347" s="302"/>
    </row>
    <row r="348" spans="2:6" ht="15" thickBot="1" x14ac:dyDescent="0.4">
      <c r="B348" s="217"/>
      <c r="C348" s="76"/>
      <c r="D348" s="76"/>
      <c r="E348" s="76"/>
      <c r="F348" s="302"/>
    </row>
    <row r="349" spans="2:6" ht="15" thickBot="1" x14ac:dyDescent="0.4">
      <c r="B349" s="217"/>
      <c r="C349" s="76"/>
      <c r="D349" s="76"/>
      <c r="E349" s="76"/>
      <c r="F349" s="302"/>
    </row>
    <row r="350" spans="2:6" ht="15" thickBot="1" x14ac:dyDescent="0.4">
      <c r="B350" s="217"/>
      <c r="C350" s="76"/>
      <c r="D350" s="76"/>
      <c r="E350" s="76"/>
      <c r="F350" s="302"/>
    </row>
    <row r="351" spans="2:6" ht="15" thickBot="1" x14ac:dyDescent="0.4">
      <c r="B351" s="217"/>
      <c r="C351" s="76"/>
      <c r="D351" s="76"/>
      <c r="E351" s="76"/>
      <c r="F351" s="302"/>
    </row>
    <row r="352" spans="2:6" ht="15" thickBot="1" x14ac:dyDescent="0.4">
      <c r="B352" s="217"/>
      <c r="C352" s="76"/>
      <c r="D352" s="76"/>
      <c r="E352" s="76"/>
      <c r="F352" s="302"/>
    </row>
    <row r="353" spans="2:6" ht="15" thickBot="1" x14ac:dyDescent="0.4">
      <c r="B353" s="217"/>
      <c r="C353" s="76"/>
      <c r="D353" s="76"/>
      <c r="E353" s="76"/>
      <c r="F353" s="302"/>
    </row>
    <row r="354" spans="2:6" ht="15" thickBot="1" x14ac:dyDescent="0.4">
      <c r="B354" s="217"/>
      <c r="C354" s="76"/>
      <c r="D354" s="76"/>
      <c r="E354" s="76"/>
      <c r="F354" s="302"/>
    </row>
    <row r="355" spans="2:6" ht="15" thickBot="1" x14ac:dyDescent="0.4">
      <c r="B355" s="217"/>
      <c r="C355" s="76"/>
      <c r="D355" s="76"/>
      <c r="E355" s="76"/>
      <c r="F355" s="302"/>
    </row>
    <row r="356" spans="2:6" ht="15" thickBot="1" x14ac:dyDescent="0.4">
      <c r="B356" s="217"/>
      <c r="C356" s="76"/>
      <c r="D356" s="76"/>
      <c r="E356" s="76"/>
      <c r="F356" s="302"/>
    </row>
    <row r="357" spans="2:6" ht="15" thickBot="1" x14ac:dyDescent="0.4">
      <c r="B357" s="217"/>
      <c r="C357" s="76"/>
      <c r="D357" s="76"/>
      <c r="E357" s="76"/>
      <c r="F357" s="302"/>
    </row>
    <row r="358" spans="2:6" ht="15" thickBot="1" x14ac:dyDescent="0.4">
      <c r="B358" s="217"/>
      <c r="C358" s="76"/>
      <c r="D358" s="76"/>
      <c r="E358" s="76"/>
      <c r="F358" s="302"/>
    </row>
    <row r="359" spans="2:6" ht="15" thickBot="1" x14ac:dyDescent="0.4">
      <c r="B359" s="217"/>
      <c r="C359" s="76"/>
      <c r="D359" s="76"/>
      <c r="E359" s="76"/>
      <c r="F359" s="302"/>
    </row>
    <row r="360" spans="2:6" ht="15" thickBot="1" x14ac:dyDescent="0.4">
      <c r="B360" s="217"/>
      <c r="C360" s="76"/>
      <c r="D360" s="76"/>
      <c r="E360" s="76"/>
      <c r="F360" s="302"/>
    </row>
    <row r="361" spans="2:6" ht="15" thickBot="1" x14ac:dyDescent="0.4">
      <c r="B361" s="217"/>
      <c r="C361" s="76"/>
      <c r="D361" s="76"/>
      <c r="E361" s="76"/>
      <c r="F361" s="302"/>
    </row>
    <row r="362" spans="2:6" ht="15" thickBot="1" x14ac:dyDescent="0.4">
      <c r="B362" s="217"/>
      <c r="C362" s="76"/>
      <c r="D362" s="76"/>
      <c r="E362" s="76"/>
      <c r="F362" s="302"/>
    </row>
    <row r="363" spans="2:6" ht="15" thickBot="1" x14ac:dyDescent="0.4">
      <c r="B363" s="217"/>
      <c r="C363" s="76"/>
      <c r="D363" s="76"/>
      <c r="E363" s="76"/>
      <c r="F363" s="302"/>
    </row>
    <row r="364" spans="2:6" ht="15" thickBot="1" x14ac:dyDescent="0.4">
      <c r="B364" s="217"/>
      <c r="C364" s="76"/>
      <c r="D364" s="76"/>
      <c r="E364" s="76"/>
      <c r="F364" s="302"/>
    </row>
    <row r="365" spans="2:6" ht="15" thickBot="1" x14ac:dyDescent="0.4">
      <c r="B365" s="217"/>
      <c r="C365" s="76"/>
      <c r="D365" s="76"/>
      <c r="E365" s="76"/>
      <c r="F365" s="302"/>
    </row>
    <row r="366" spans="2:6" ht="15" thickBot="1" x14ac:dyDescent="0.4">
      <c r="B366" s="217"/>
      <c r="C366" s="76"/>
      <c r="D366" s="76"/>
      <c r="E366" s="76"/>
      <c r="F366" s="302"/>
    </row>
    <row r="367" spans="2:6" ht="15" thickBot="1" x14ac:dyDescent="0.4">
      <c r="B367" s="217"/>
      <c r="C367" s="76"/>
      <c r="D367" s="76"/>
      <c r="E367" s="76"/>
      <c r="F367" s="302"/>
    </row>
    <row r="368" spans="2:6" ht="15" thickBot="1" x14ac:dyDescent="0.4">
      <c r="B368" s="217"/>
      <c r="C368" s="76"/>
      <c r="D368" s="76"/>
      <c r="E368" s="76"/>
      <c r="F368" s="302"/>
    </row>
    <row r="369" spans="2:6" ht="15" thickBot="1" x14ac:dyDescent="0.4">
      <c r="B369" s="217"/>
      <c r="C369" s="76"/>
      <c r="D369" s="76"/>
      <c r="E369" s="76"/>
      <c r="F369" s="302"/>
    </row>
    <row r="370" spans="2:6" ht="15" thickBot="1" x14ac:dyDescent="0.4">
      <c r="B370" s="217"/>
      <c r="C370" s="76"/>
      <c r="D370" s="76"/>
      <c r="E370" s="76"/>
      <c r="F370" s="302"/>
    </row>
    <row r="371" spans="2:6" ht="15" thickBot="1" x14ac:dyDescent="0.4">
      <c r="B371" s="217"/>
      <c r="C371" s="76"/>
      <c r="D371" s="76"/>
      <c r="E371" s="76"/>
      <c r="F371" s="302"/>
    </row>
    <row r="372" spans="2:6" ht="15" thickBot="1" x14ac:dyDescent="0.4">
      <c r="B372" s="217"/>
      <c r="C372" s="76"/>
      <c r="D372" s="76"/>
      <c r="E372" s="76"/>
      <c r="F372" s="302"/>
    </row>
    <row r="373" spans="2:6" ht="15" thickBot="1" x14ac:dyDescent="0.4">
      <c r="B373" s="217"/>
      <c r="C373" s="76"/>
      <c r="D373" s="76"/>
      <c r="E373" s="76"/>
      <c r="F373" s="302"/>
    </row>
    <row r="374" spans="2:6" ht="15" thickBot="1" x14ac:dyDescent="0.4">
      <c r="B374" s="217"/>
      <c r="C374" s="76"/>
      <c r="D374" s="76"/>
      <c r="E374" s="76"/>
      <c r="F374" s="302"/>
    </row>
    <row r="375" spans="2:6" ht="15" thickBot="1" x14ac:dyDescent="0.4">
      <c r="B375" s="217"/>
      <c r="C375" s="76"/>
      <c r="D375" s="76"/>
      <c r="E375" s="76"/>
      <c r="F375" s="302"/>
    </row>
    <row r="376" spans="2:6" ht="15" thickBot="1" x14ac:dyDescent="0.4">
      <c r="B376" s="217"/>
      <c r="C376" s="76"/>
      <c r="D376" s="76"/>
      <c r="E376" s="76"/>
      <c r="F376" s="302"/>
    </row>
    <row r="377" spans="2:6" ht="15" thickBot="1" x14ac:dyDescent="0.4">
      <c r="B377" s="217"/>
      <c r="C377" s="76"/>
      <c r="D377" s="76"/>
      <c r="E377" s="76"/>
      <c r="F377" s="302"/>
    </row>
    <row r="378" spans="2:6" ht="15" thickBot="1" x14ac:dyDescent="0.4">
      <c r="B378" s="217"/>
      <c r="C378" s="76"/>
      <c r="D378" s="76"/>
      <c r="E378" s="76"/>
      <c r="F378" s="302"/>
    </row>
    <row r="379" spans="2:6" ht="15" thickBot="1" x14ac:dyDescent="0.4">
      <c r="B379" s="217"/>
      <c r="C379" s="76"/>
      <c r="D379" s="76"/>
      <c r="E379" s="76"/>
      <c r="F379" s="302"/>
    </row>
    <row r="380" spans="2:6" ht="15" thickBot="1" x14ac:dyDescent="0.4">
      <c r="B380" s="217"/>
      <c r="C380" s="76"/>
      <c r="D380" s="76"/>
      <c r="E380" s="76"/>
      <c r="F380" s="302"/>
    </row>
    <row r="381" spans="2:6" ht="15" thickBot="1" x14ac:dyDescent="0.4">
      <c r="B381" s="217"/>
      <c r="C381" s="76"/>
      <c r="D381" s="76"/>
      <c r="E381" s="76"/>
      <c r="F381" s="302"/>
    </row>
    <row r="382" spans="2:6" ht="15" thickBot="1" x14ac:dyDescent="0.4">
      <c r="B382" s="217"/>
      <c r="C382" s="76"/>
      <c r="D382" s="76"/>
      <c r="E382" s="76"/>
      <c r="F382" s="302"/>
    </row>
    <row r="383" spans="2:6" ht="15" thickBot="1" x14ac:dyDescent="0.4">
      <c r="B383" s="217"/>
      <c r="C383" s="76"/>
      <c r="D383" s="76"/>
      <c r="E383" s="76"/>
      <c r="F383" s="302"/>
    </row>
    <row r="384" spans="2:6" ht="15" thickBot="1" x14ac:dyDescent="0.4">
      <c r="B384" s="217"/>
      <c r="C384" s="76"/>
      <c r="D384" s="76"/>
      <c r="E384" s="76"/>
      <c r="F384" s="302"/>
    </row>
    <row r="385" spans="2:6" ht="15" thickBot="1" x14ac:dyDescent="0.4">
      <c r="B385" s="217"/>
      <c r="C385" s="76"/>
      <c r="D385" s="76"/>
      <c r="E385" s="76"/>
      <c r="F385" s="302"/>
    </row>
    <row r="386" spans="2:6" ht="15" thickBot="1" x14ac:dyDescent="0.4">
      <c r="B386" s="217"/>
      <c r="C386" s="76"/>
      <c r="D386" s="76"/>
      <c r="E386" s="76"/>
      <c r="F386" s="302"/>
    </row>
    <row r="387" spans="2:6" ht="15" thickBot="1" x14ac:dyDescent="0.4">
      <c r="B387" s="217"/>
      <c r="C387" s="76"/>
      <c r="D387" s="76"/>
      <c r="E387" s="76"/>
      <c r="F387" s="302"/>
    </row>
    <row r="388" spans="2:6" ht="15" thickBot="1" x14ac:dyDescent="0.4">
      <c r="B388" s="217"/>
      <c r="C388" s="76"/>
      <c r="D388" s="76"/>
      <c r="E388" s="76"/>
      <c r="F388" s="302"/>
    </row>
    <row r="389" spans="2:6" ht="15" thickBot="1" x14ac:dyDescent="0.4">
      <c r="B389" s="217"/>
      <c r="C389" s="76"/>
      <c r="D389" s="76"/>
      <c r="E389" s="76"/>
      <c r="F389" s="302"/>
    </row>
    <row r="390" spans="2:6" ht="15" thickBot="1" x14ac:dyDescent="0.4">
      <c r="B390" s="217"/>
      <c r="C390" s="76"/>
      <c r="D390" s="76"/>
      <c r="E390" s="76"/>
      <c r="F390" s="302"/>
    </row>
    <row r="391" spans="2:6" ht="15" thickBot="1" x14ac:dyDescent="0.4">
      <c r="B391" s="217"/>
      <c r="C391" s="76"/>
      <c r="D391" s="76"/>
      <c r="E391" s="76"/>
      <c r="F391" s="302"/>
    </row>
    <row r="392" spans="2:6" ht="15" thickBot="1" x14ac:dyDescent="0.4">
      <c r="B392" s="217"/>
      <c r="C392" s="76"/>
      <c r="D392" s="76"/>
      <c r="E392" s="76"/>
      <c r="F392" s="302"/>
    </row>
    <row r="393" spans="2:6" ht="15" thickBot="1" x14ac:dyDescent="0.4">
      <c r="B393" s="217"/>
      <c r="C393" s="76"/>
      <c r="D393" s="76"/>
      <c r="E393" s="76"/>
      <c r="F393" s="302"/>
    </row>
    <row r="394" spans="2:6" ht="15" thickBot="1" x14ac:dyDescent="0.4">
      <c r="B394" s="217"/>
      <c r="C394" s="76"/>
      <c r="D394" s="76"/>
      <c r="E394" s="76"/>
      <c r="F394" s="302"/>
    </row>
    <row r="395" spans="2:6" ht="15" thickBot="1" x14ac:dyDescent="0.4">
      <c r="B395" s="217"/>
      <c r="C395" s="76"/>
      <c r="D395" s="76"/>
      <c r="E395" s="76"/>
      <c r="F395" s="302"/>
    </row>
    <row r="396" spans="2:6" ht="15" thickBot="1" x14ac:dyDescent="0.4">
      <c r="B396" s="217"/>
      <c r="C396" s="76"/>
      <c r="D396" s="76"/>
      <c r="E396" s="76"/>
      <c r="F396" s="302"/>
    </row>
    <row r="397" spans="2:6" ht="15" thickBot="1" x14ac:dyDescent="0.4">
      <c r="B397" s="217"/>
      <c r="C397" s="76"/>
      <c r="D397" s="76"/>
      <c r="E397" s="76"/>
      <c r="F397" s="302"/>
    </row>
    <row r="398" spans="2:6" ht="15" thickBot="1" x14ac:dyDescent="0.4">
      <c r="B398" s="217"/>
      <c r="C398" s="76"/>
      <c r="D398" s="76"/>
      <c r="E398" s="76"/>
      <c r="F398" s="302"/>
    </row>
    <row r="399" spans="2:6" ht="15" thickBot="1" x14ac:dyDescent="0.4">
      <c r="B399" s="217"/>
      <c r="C399" s="76"/>
      <c r="D399" s="76"/>
      <c r="E399" s="76"/>
      <c r="F399" s="302"/>
    </row>
    <row r="400" spans="2:6" ht="15" thickBot="1" x14ac:dyDescent="0.4">
      <c r="B400" s="217"/>
      <c r="C400" s="76"/>
      <c r="D400" s="76"/>
      <c r="E400" s="76"/>
      <c r="F400" s="302"/>
    </row>
    <row r="401" spans="2:6" ht="15" thickBot="1" x14ac:dyDescent="0.4">
      <c r="B401" s="217"/>
      <c r="C401" s="76"/>
      <c r="D401" s="76"/>
      <c r="E401" s="76"/>
      <c r="F401" s="302"/>
    </row>
    <row r="402" spans="2:6" ht="15" thickBot="1" x14ac:dyDescent="0.4">
      <c r="B402" s="217"/>
      <c r="C402" s="76"/>
      <c r="D402" s="76"/>
      <c r="E402" s="76"/>
      <c r="F402" s="302"/>
    </row>
    <row r="403" spans="2:6" ht="15" thickBot="1" x14ac:dyDescent="0.4">
      <c r="B403" s="217"/>
      <c r="C403" s="76"/>
      <c r="D403" s="76"/>
      <c r="E403" s="76"/>
      <c r="F403" s="302"/>
    </row>
    <row r="404" spans="2:6" ht="15" thickBot="1" x14ac:dyDescent="0.4">
      <c r="B404" s="217"/>
      <c r="C404" s="76"/>
      <c r="D404" s="76"/>
      <c r="E404" s="76"/>
      <c r="F404" s="302"/>
    </row>
    <row r="405" spans="2:6" ht="15" thickBot="1" x14ac:dyDescent="0.4">
      <c r="B405" s="217"/>
      <c r="C405" s="76"/>
      <c r="D405" s="76"/>
      <c r="E405" s="76"/>
      <c r="F405" s="302"/>
    </row>
    <row r="406" spans="2:6" ht="15" thickBot="1" x14ac:dyDescent="0.4">
      <c r="B406" s="217"/>
      <c r="C406" s="76"/>
      <c r="D406" s="76"/>
      <c r="E406" s="76"/>
      <c r="F406" s="302"/>
    </row>
    <row r="407" spans="2:6" ht="15" thickBot="1" x14ac:dyDescent="0.4">
      <c r="B407" s="217"/>
      <c r="C407" s="76"/>
      <c r="D407" s="76"/>
      <c r="E407" s="76"/>
      <c r="F407" s="302"/>
    </row>
    <row r="408" spans="2:6" ht="15" thickBot="1" x14ac:dyDescent="0.4">
      <c r="B408" s="217"/>
      <c r="C408" s="76"/>
      <c r="D408" s="76"/>
      <c r="E408" s="76"/>
      <c r="F408" s="302"/>
    </row>
    <row r="409" spans="2:6" ht="15" thickBot="1" x14ac:dyDescent="0.4">
      <c r="B409" s="217"/>
      <c r="C409" s="76"/>
      <c r="D409" s="76"/>
      <c r="E409" s="76"/>
      <c r="F409" s="302"/>
    </row>
    <row r="410" spans="2:6" ht="15" thickBot="1" x14ac:dyDescent="0.4">
      <c r="B410" s="217"/>
      <c r="C410" s="76"/>
      <c r="D410" s="76"/>
      <c r="E410" s="76"/>
      <c r="F410" s="302"/>
    </row>
    <row r="411" spans="2:6" ht="15" thickBot="1" x14ac:dyDescent="0.4">
      <c r="B411" s="217"/>
      <c r="C411" s="76"/>
      <c r="D411" s="76"/>
      <c r="E411" s="76"/>
      <c r="F411" s="302"/>
    </row>
    <row r="412" spans="2:6" ht="15" thickBot="1" x14ac:dyDescent="0.4">
      <c r="B412" s="217"/>
      <c r="C412" s="76"/>
      <c r="D412" s="76"/>
      <c r="E412" s="76"/>
      <c r="F412" s="302"/>
    </row>
    <row r="413" spans="2:6" ht="15" thickBot="1" x14ac:dyDescent="0.4">
      <c r="B413" s="217"/>
      <c r="C413" s="76"/>
      <c r="D413" s="76"/>
      <c r="E413" s="76"/>
      <c r="F413" s="302"/>
    </row>
    <row r="414" spans="2:6" ht="15" thickBot="1" x14ac:dyDescent="0.4">
      <c r="B414" s="217"/>
      <c r="C414" s="76"/>
      <c r="D414" s="76"/>
      <c r="E414" s="76"/>
      <c r="F414" s="302"/>
    </row>
    <row r="415" spans="2:6" ht="15" thickBot="1" x14ac:dyDescent="0.4">
      <c r="B415" s="217"/>
      <c r="C415" s="76"/>
      <c r="D415" s="76"/>
      <c r="E415" s="76"/>
      <c r="F415" s="302"/>
    </row>
    <row r="416" spans="2:6" ht="15" thickBot="1" x14ac:dyDescent="0.4">
      <c r="B416" s="217"/>
      <c r="C416" s="76"/>
      <c r="D416" s="76"/>
      <c r="E416" s="76"/>
      <c r="F416" s="302"/>
    </row>
    <row r="417" spans="2:6" ht="15" thickBot="1" x14ac:dyDescent="0.4">
      <c r="B417" s="217"/>
      <c r="C417" s="76"/>
      <c r="D417" s="76"/>
      <c r="E417" s="76"/>
      <c r="F417" s="302"/>
    </row>
    <row r="418" spans="2:6" ht="15" thickBot="1" x14ac:dyDescent="0.4">
      <c r="B418" s="217"/>
      <c r="C418" s="76"/>
      <c r="D418" s="76"/>
      <c r="E418" s="76"/>
      <c r="F418" s="302"/>
    </row>
    <row r="419" spans="2:6" ht="15" thickBot="1" x14ac:dyDescent="0.4">
      <c r="B419" s="217"/>
      <c r="C419" s="76"/>
      <c r="D419" s="76"/>
      <c r="E419" s="76"/>
      <c r="F419" s="302"/>
    </row>
    <row r="420" spans="2:6" ht="15" thickBot="1" x14ac:dyDescent="0.4">
      <c r="B420" s="217"/>
      <c r="C420" s="76"/>
      <c r="D420" s="76"/>
      <c r="E420" s="76"/>
      <c r="F420" s="302"/>
    </row>
    <row r="421" spans="2:6" ht="15" thickBot="1" x14ac:dyDescent="0.4">
      <c r="B421" s="217"/>
      <c r="C421" s="76"/>
      <c r="D421" s="76"/>
      <c r="E421" s="76"/>
      <c r="F421" s="302"/>
    </row>
    <row r="422" spans="2:6" ht="15" thickBot="1" x14ac:dyDescent="0.4">
      <c r="B422" s="217"/>
      <c r="C422" s="76"/>
      <c r="D422" s="76"/>
      <c r="E422" s="76"/>
      <c r="F422" s="302"/>
    </row>
    <row r="423" spans="2:6" ht="15" thickBot="1" x14ac:dyDescent="0.4">
      <c r="B423" s="217"/>
      <c r="C423" s="76"/>
      <c r="D423" s="76"/>
      <c r="E423" s="76"/>
      <c r="F423" s="302"/>
    </row>
    <row r="424" spans="2:6" ht="15" thickBot="1" x14ac:dyDescent="0.4">
      <c r="B424" s="217"/>
      <c r="C424" s="76"/>
      <c r="D424" s="76"/>
      <c r="E424" s="76"/>
      <c r="F424" s="302"/>
    </row>
    <row r="425" spans="2:6" ht="15" thickBot="1" x14ac:dyDescent="0.4">
      <c r="B425" s="217"/>
      <c r="C425" s="76"/>
      <c r="D425" s="76"/>
      <c r="E425" s="76"/>
      <c r="F425" s="302"/>
    </row>
    <row r="426" spans="2:6" ht="15" thickBot="1" x14ac:dyDescent="0.4">
      <c r="B426" s="217"/>
      <c r="C426" s="76"/>
      <c r="D426" s="76"/>
      <c r="E426" s="76"/>
      <c r="F426" s="302"/>
    </row>
    <row r="427" spans="2:6" ht="15" thickBot="1" x14ac:dyDescent="0.4">
      <c r="B427" s="217"/>
      <c r="C427" s="76"/>
      <c r="D427" s="76"/>
      <c r="E427" s="76"/>
      <c r="F427" s="302"/>
    </row>
    <row r="428" spans="2:6" ht="15" thickBot="1" x14ac:dyDescent="0.4">
      <c r="B428" s="217"/>
      <c r="C428" s="76"/>
      <c r="D428" s="76"/>
      <c r="E428" s="76"/>
      <c r="F428" s="302"/>
    </row>
    <row r="429" spans="2:6" ht="15" thickBot="1" x14ac:dyDescent="0.4">
      <c r="B429" s="217"/>
      <c r="C429" s="76"/>
      <c r="D429" s="76"/>
      <c r="E429" s="76"/>
      <c r="F429" s="302"/>
    </row>
    <row r="430" spans="2:6" ht="15" thickBot="1" x14ac:dyDescent="0.4">
      <c r="B430" s="217"/>
      <c r="C430" s="76"/>
      <c r="D430" s="76"/>
      <c r="E430" s="76"/>
      <c r="F430" s="302"/>
    </row>
    <row r="431" spans="2:6" ht="15" thickBot="1" x14ac:dyDescent="0.4">
      <c r="B431" s="217"/>
      <c r="C431" s="76"/>
      <c r="D431" s="76"/>
      <c r="E431" s="76"/>
      <c r="F431" s="302"/>
    </row>
    <row r="432" spans="2:6" ht="15" thickBot="1" x14ac:dyDescent="0.4">
      <c r="B432" s="217"/>
      <c r="C432" s="76"/>
      <c r="D432" s="76"/>
      <c r="E432" s="76"/>
      <c r="F432" s="302"/>
    </row>
    <row r="433" spans="2:6" ht="15" thickBot="1" x14ac:dyDescent="0.4">
      <c r="B433" s="217"/>
      <c r="C433" s="76"/>
      <c r="D433" s="76"/>
      <c r="E433" s="76"/>
      <c r="F433" s="302"/>
    </row>
    <row r="434" spans="2:6" ht="15" thickBot="1" x14ac:dyDescent="0.4">
      <c r="B434" s="217"/>
      <c r="C434" s="76"/>
      <c r="D434" s="76"/>
      <c r="E434" s="76"/>
      <c r="F434" s="302"/>
    </row>
    <row r="435" spans="2:6" ht="15" thickBot="1" x14ac:dyDescent="0.4">
      <c r="B435" s="217"/>
      <c r="C435" s="76"/>
      <c r="D435" s="76"/>
      <c r="E435" s="76"/>
      <c r="F435" s="302"/>
    </row>
    <row r="436" spans="2:6" ht="15" thickBot="1" x14ac:dyDescent="0.4">
      <c r="B436" s="217"/>
      <c r="C436" s="76"/>
      <c r="D436" s="76"/>
      <c r="E436" s="76"/>
      <c r="F436" s="302"/>
    </row>
    <row r="437" spans="2:6" ht="15" thickBot="1" x14ac:dyDescent="0.4">
      <c r="B437" s="217"/>
      <c r="C437" s="76"/>
      <c r="D437" s="76"/>
      <c r="E437" s="76"/>
      <c r="F437" s="302"/>
    </row>
    <row r="438" spans="2:6" ht="15" thickBot="1" x14ac:dyDescent="0.4">
      <c r="B438" s="217"/>
      <c r="C438" s="76"/>
      <c r="D438" s="76"/>
      <c r="E438" s="76"/>
      <c r="F438" s="302"/>
    </row>
    <row r="439" spans="2:6" ht="15" thickBot="1" x14ac:dyDescent="0.4">
      <c r="B439" s="217"/>
      <c r="C439" s="76"/>
      <c r="D439" s="76"/>
      <c r="E439" s="76"/>
      <c r="F439" s="302"/>
    </row>
    <row r="440" spans="2:6" ht="15" thickBot="1" x14ac:dyDescent="0.4">
      <c r="B440" s="217"/>
      <c r="C440" s="76"/>
      <c r="D440" s="76"/>
      <c r="E440" s="76"/>
      <c r="F440" s="302"/>
    </row>
    <row r="441" spans="2:6" ht="15" thickBot="1" x14ac:dyDescent="0.4">
      <c r="B441" s="217"/>
      <c r="C441" s="76"/>
      <c r="D441" s="76"/>
      <c r="E441" s="76"/>
      <c r="F441" s="302"/>
    </row>
    <row r="442" spans="2:6" ht="15" thickBot="1" x14ac:dyDescent="0.4">
      <c r="B442" s="217"/>
      <c r="C442" s="76"/>
      <c r="D442" s="76"/>
      <c r="E442" s="76"/>
      <c r="F442" s="302"/>
    </row>
    <row r="443" spans="2:6" ht="15" thickBot="1" x14ac:dyDescent="0.4">
      <c r="B443" s="217"/>
      <c r="C443" s="76"/>
      <c r="D443" s="76"/>
      <c r="E443" s="76"/>
      <c r="F443" s="302"/>
    </row>
    <row r="444" spans="2:6" ht="15" thickBot="1" x14ac:dyDescent="0.4">
      <c r="B444" s="217"/>
      <c r="C444" s="76"/>
      <c r="D444" s="76"/>
      <c r="E444" s="76"/>
      <c r="F444" s="302"/>
    </row>
    <row r="445" spans="2:6" ht="15" thickBot="1" x14ac:dyDescent="0.4">
      <c r="B445" s="217"/>
      <c r="C445" s="76"/>
      <c r="D445" s="76"/>
      <c r="E445" s="76"/>
      <c r="F445" s="302"/>
    </row>
    <row r="446" spans="2:6" ht="15" thickBot="1" x14ac:dyDescent="0.4">
      <c r="B446" s="217"/>
      <c r="C446" s="76"/>
      <c r="D446" s="76"/>
      <c r="E446" s="76"/>
      <c r="F446" s="302"/>
    </row>
    <row r="447" spans="2:6" ht="15" thickBot="1" x14ac:dyDescent="0.4">
      <c r="B447" s="217"/>
      <c r="C447" s="76"/>
      <c r="D447" s="76"/>
      <c r="E447" s="76"/>
      <c r="F447" s="302"/>
    </row>
    <row r="448" spans="2:6" ht="15" thickBot="1" x14ac:dyDescent="0.4">
      <c r="B448" s="217"/>
      <c r="C448" s="76"/>
      <c r="D448" s="76"/>
      <c r="E448" s="76"/>
      <c r="F448" s="302"/>
    </row>
    <row r="449" spans="2:6" ht="15" thickBot="1" x14ac:dyDescent="0.4">
      <c r="B449" s="217"/>
      <c r="C449" s="76"/>
      <c r="D449" s="76"/>
      <c r="E449" s="76"/>
      <c r="F449" s="302"/>
    </row>
    <row r="450" spans="2:6" ht="15" thickBot="1" x14ac:dyDescent="0.4">
      <c r="B450" s="217"/>
      <c r="C450" s="76"/>
      <c r="D450" s="76"/>
      <c r="E450" s="76"/>
      <c r="F450" s="302"/>
    </row>
    <row r="451" spans="2:6" ht="15" thickBot="1" x14ac:dyDescent="0.4">
      <c r="B451" s="217"/>
      <c r="C451" s="76"/>
      <c r="D451" s="76"/>
      <c r="E451" s="76"/>
      <c r="F451" s="302"/>
    </row>
    <row r="452" spans="2:6" ht="15" thickBot="1" x14ac:dyDescent="0.4">
      <c r="B452" s="217"/>
      <c r="C452" s="76"/>
      <c r="D452" s="76"/>
      <c r="E452" s="76"/>
      <c r="F452" s="302"/>
    </row>
    <row r="453" spans="2:6" ht="15" thickBot="1" x14ac:dyDescent="0.4">
      <c r="B453" s="217"/>
      <c r="C453" s="76"/>
      <c r="D453" s="76"/>
      <c r="E453" s="76"/>
      <c r="F453" s="302"/>
    </row>
    <row r="454" spans="2:6" ht="15" thickBot="1" x14ac:dyDescent="0.4">
      <c r="B454" s="217"/>
      <c r="C454" s="76"/>
      <c r="D454" s="76"/>
      <c r="E454" s="76"/>
      <c r="F454" s="302"/>
    </row>
    <row r="455" spans="2:6" ht="15" thickBot="1" x14ac:dyDescent="0.4">
      <c r="B455" s="217"/>
      <c r="C455" s="76"/>
      <c r="D455" s="76"/>
      <c r="E455" s="76"/>
      <c r="F455" s="302"/>
    </row>
    <row r="456" spans="2:6" ht="15" thickBot="1" x14ac:dyDescent="0.4">
      <c r="B456" s="217"/>
      <c r="C456" s="76"/>
      <c r="D456" s="76"/>
      <c r="E456" s="76"/>
      <c r="F456" s="302"/>
    </row>
    <row r="457" spans="2:6" ht="15" thickBot="1" x14ac:dyDescent="0.4">
      <c r="B457" s="217"/>
      <c r="C457" s="76"/>
      <c r="D457" s="76"/>
      <c r="E457" s="76"/>
      <c r="F457" s="302"/>
    </row>
    <row r="458" spans="2:6" ht="15" thickBot="1" x14ac:dyDescent="0.4">
      <c r="B458" s="217"/>
      <c r="C458" s="76"/>
      <c r="D458" s="76"/>
      <c r="E458" s="76"/>
      <c r="F458" s="302"/>
    </row>
    <row r="459" spans="2:6" ht="15" thickBot="1" x14ac:dyDescent="0.4">
      <c r="B459" s="217"/>
      <c r="C459" s="76"/>
      <c r="D459" s="76"/>
      <c r="E459" s="76"/>
      <c r="F459" s="302"/>
    </row>
    <row r="460" spans="2:6" ht="15" thickBot="1" x14ac:dyDescent="0.4">
      <c r="B460" s="217"/>
      <c r="C460" s="76"/>
      <c r="D460" s="76"/>
      <c r="E460" s="76"/>
      <c r="F460" s="302"/>
    </row>
    <row r="461" spans="2:6" ht="15" thickBot="1" x14ac:dyDescent="0.4">
      <c r="B461" s="217"/>
      <c r="C461" s="76"/>
      <c r="D461" s="76"/>
      <c r="E461" s="76"/>
      <c r="F461" s="302"/>
    </row>
    <row r="462" spans="2:6" ht="15" thickBot="1" x14ac:dyDescent="0.4">
      <c r="B462" s="217"/>
      <c r="C462" s="76"/>
      <c r="D462" s="76"/>
      <c r="E462" s="76"/>
      <c r="F462" s="302"/>
    </row>
    <row r="463" spans="2:6" ht="15" thickBot="1" x14ac:dyDescent="0.4">
      <c r="B463" s="217"/>
      <c r="C463" s="76"/>
      <c r="D463" s="76"/>
      <c r="E463" s="76"/>
      <c r="F463" s="302"/>
    </row>
    <row r="464" spans="2:6" ht="15" thickBot="1" x14ac:dyDescent="0.4">
      <c r="B464" s="217"/>
      <c r="C464" s="76"/>
      <c r="D464" s="76"/>
      <c r="E464" s="76"/>
      <c r="F464" s="302"/>
    </row>
    <row r="465" spans="2:6" ht="15" thickBot="1" x14ac:dyDescent="0.4">
      <c r="B465" s="217"/>
      <c r="C465" s="76"/>
      <c r="D465" s="76"/>
      <c r="E465" s="76"/>
      <c r="F465" s="302"/>
    </row>
    <row r="466" spans="2:6" ht="15" thickBot="1" x14ac:dyDescent="0.4">
      <c r="B466" s="217"/>
      <c r="C466" s="76"/>
      <c r="D466" s="76"/>
      <c r="E466" s="76"/>
      <c r="F466" s="302"/>
    </row>
    <row r="467" spans="2:6" ht="15" thickBot="1" x14ac:dyDescent="0.4">
      <c r="B467" s="217"/>
      <c r="C467" s="76"/>
      <c r="D467" s="76"/>
      <c r="E467" s="76"/>
      <c r="F467" s="302"/>
    </row>
    <row r="468" spans="2:6" ht="15" thickBot="1" x14ac:dyDescent="0.4">
      <c r="B468" s="217"/>
      <c r="C468" s="76"/>
      <c r="D468" s="76"/>
      <c r="E468" s="76"/>
      <c r="F468" s="302"/>
    </row>
    <row r="469" spans="2:6" ht="15" thickBot="1" x14ac:dyDescent="0.4">
      <c r="B469" s="217"/>
      <c r="C469" s="76"/>
      <c r="D469" s="76"/>
      <c r="E469" s="76"/>
      <c r="F469" s="302"/>
    </row>
    <row r="470" spans="2:6" ht="15" thickBot="1" x14ac:dyDescent="0.4">
      <c r="B470" s="217"/>
      <c r="C470" s="76"/>
      <c r="D470" s="76"/>
      <c r="E470" s="76"/>
      <c r="F470" s="302"/>
    </row>
    <row r="471" spans="2:6" ht="15" thickBot="1" x14ac:dyDescent="0.4">
      <c r="B471" s="217"/>
      <c r="C471" s="76"/>
      <c r="D471" s="76"/>
      <c r="E471" s="76"/>
      <c r="F471" s="302"/>
    </row>
    <row r="472" spans="2:6" ht="15" thickBot="1" x14ac:dyDescent="0.4">
      <c r="B472" s="217"/>
      <c r="C472" s="76"/>
      <c r="D472" s="76"/>
      <c r="E472" s="76"/>
      <c r="F472" s="302"/>
    </row>
    <row r="473" spans="2:6" ht="15" thickBot="1" x14ac:dyDescent="0.4">
      <c r="B473" s="217"/>
      <c r="C473" s="76"/>
      <c r="D473" s="76"/>
      <c r="E473" s="76"/>
      <c r="F473" s="302"/>
    </row>
    <row r="474" spans="2:6" ht="15" thickBot="1" x14ac:dyDescent="0.4">
      <c r="B474" s="217"/>
      <c r="C474" s="76"/>
      <c r="D474" s="76"/>
      <c r="E474" s="76"/>
      <c r="F474" s="302"/>
    </row>
    <row r="475" spans="2:6" ht="15" thickBot="1" x14ac:dyDescent="0.4">
      <c r="B475" s="217"/>
      <c r="C475" s="76"/>
      <c r="D475" s="76"/>
      <c r="E475" s="76"/>
      <c r="F475" s="302"/>
    </row>
    <row r="476" spans="2:6" ht="15" thickBot="1" x14ac:dyDescent="0.4">
      <c r="B476" s="217"/>
      <c r="C476" s="76"/>
      <c r="D476" s="76"/>
      <c r="E476" s="76"/>
      <c r="F476" s="302"/>
    </row>
    <row r="477" spans="2:6" ht="15" thickBot="1" x14ac:dyDescent="0.4">
      <c r="B477" s="217"/>
      <c r="C477" s="76"/>
      <c r="D477" s="76"/>
      <c r="E477" s="76"/>
      <c r="F477" s="302"/>
    </row>
    <row r="478" spans="2:6" ht="15" thickBot="1" x14ac:dyDescent="0.4">
      <c r="B478" s="217"/>
      <c r="C478" s="76"/>
      <c r="D478" s="76"/>
      <c r="E478" s="76"/>
      <c r="F478" s="302"/>
    </row>
    <row r="479" spans="2:6" ht="15" thickBot="1" x14ac:dyDescent="0.4">
      <c r="B479" s="217"/>
      <c r="C479" s="76"/>
      <c r="D479" s="76"/>
      <c r="E479" s="76"/>
      <c r="F479" s="302"/>
    </row>
    <row r="480" spans="2:6" ht="15" thickBot="1" x14ac:dyDescent="0.4">
      <c r="B480" s="217"/>
      <c r="C480" s="76"/>
      <c r="D480" s="76"/>
      <c r="E480" s="76"/>
      <c r="F480" s="302"/>
    </row>
    <row r="481" spans="2:6" ht="15" thickBot="1" x14ac:dyDescent="0.4">
      <c r="B481" s="217"/>
      <c r="C481" s="76"/>
      <c r="D481" s="76"/>
      <c r="E481" s="76"/>
      <c r="F481" s="302"/>
    </row>
    <row r="482" spans="2:6" ht="15" thickBot="1" x14ac:dyDescent="0.4">
      <c r="B482" s="217"/>
      <c r="C482" s="76"/>
      <c r="D482" s="76"/>
      <c r="E482" s="76"/>
      <c r="F482" s="302"/>
    </row>
    <row r="483" spans="2:6" ht="15" thickBot="1" x14ac:dyDescent="0.4">
      <c r="B483" s="217"/>
      <c r="C483" s="76"/>
      <c r="D483" s="76"/>
      <c r="E483" s="76"/>
      <c r="F483" s="302"/>
    </row>
    <row r="484" spans="2:6" ht="15" thickBot="1" x14ac:dyDescent="0.4">
      <c r="B484" s="217"/>
      <c r="C484" s="76"/>
      <c r="D484" s="76"/>
      <c r="E484" s="76"/>
      <c r="F484" s="302"/>
    </row>
    <row r="485" spans="2:6" ht="15" thickBot="1" x14ac:dyDescent="0.4">
      <c r="B485" s="217"/>
      <c r="C485" s="76"/>
      <c r="D485" s="76"/>
      <c r="E485" s="76"/>
      <c r="F485" s="302"/>
    </row>
    <row r="486" spans="2:6" ht="15" thickBot="1" x14ac:dyDescent="0.4">
      <c r="B486" s="217"/>
      <c r="C486" s="76"/>
      <c r="D486" s="76"/>
      <c r="E486" s="76"/>
      <c r="F486" s="302"/>
    </row>
    <row r="487" spans="2:6" ht="15" thickBot="1" x14ac:dyDescent="0.4">
      <c r="B487" s="217"/>
      <c r="C487" s="76"/>
      <c r="D487" s="76"/>
      <c r="E487" s="76"/>
      <c r="F487" s="302"/>
    </row>
    <row r="488" spans="2:6" ht="15" thickBot="1" x14ac:dyDescent="0.4">
      <c r="B488" s="217"/>
      <c r="C488" s="76"/>
      <c r="D488" s="76"/>
      <c r="E488" s="76"/>
      <c r="F488" s="302"/>
    </row>
    <row r="489" spans="2:6" ht="15" thickBot="1" x14ac:dyDescent="0.4">
      <c r="B489" s="217"/>
      <c r="C489" s="76"/>
      <c r="D489" s="76"/>
      <c r="E489" s="76"/>
      <c r="F489" s="302"/>
    </row>
    <row r="490" spans="2:6" ht="15" thickBot="1" x14ac:dyDescent="0.4">
      <c r="B490" s="217"/>
      <c r="C490" s="76"/>
      <c r="D490" s="76"/>
      <c r="E490" s="76"/>
      <c r="F490" s="302"/>
    </row>
    <row r="491" spans="2:6" ht="15" thickBot="1" x14ac:dyDescent="0.4">
      <c r="B491" s="217"/>
      <c r="C491" s="76"/>
      <c r="D491" s="76"/>
      <c r="E491" s="76"/>
      <c r="F491" s="302"/>
    </row>
    <row r="492" spans="2:6" ht="15" thickBot="1" x14ac:dyDescent="0.4">
      <c r="B492" s="217"/>
      <c r="C492" s="76"/>
      <c r="D492" s="76"/>
      <c r="E492" s="76"/>
      <c r="F492" s="302"/>
    </row>
    <row r="493" spans="2:6" ht="15" thickBot="1" x14ac:dyDescent="0.4">
      <c r="B493" s="217"/>
      <c r="C493" s="76"/>
      <c r="D493" s="76"/>
      <c r="E493" s="76"/>
      <c r="F493" s="302"/>
    </row>
    <row r="494" spans="2:6" ht="15" thickBot="1" x14ac:dyDescent="0.4">
      <c r="B494" s="217"/>
      <c r="C494" s="76"/>
      <c r="D494" s="76"/>
      <c r="E494" s="76"/>
      <c r="F494" s="302"/>
    </row>
    <row r="495" spans="2:6" ht="15" thickBot="1" x14ac:dyDescent="0.4">
      <c r="B495" s="217"/>
      <c r="C495" s="76"/>
      <c r="D495" s="76"/>
      <c r="E495" s="76"/>
      <c r="F495" s="302"/>
    </row>
    <row r="496" spans="2:6" ht="15" thickBot="1" x14ac:dyDescent="0.4">
      <c r="B496" s="217"/>
      <c r="C496" s="76"/>
      <c r="D496" s="76"/>
      <c r="E496" s="76"/>
      <c r="F496" s="302"/>
    </row>
    <row r="497" spans="2:6" ht="15" thickBot="1" x14ac:dyDescent="0.4">
      <c r="B497" s="217"/>
      <c r="C497" s="76"/>
      <c r="D497" s="76"/>
      <c r="E497" s="76"/>
      <c r="F497" s="302"/>
    </row>
    <row r="498" spans="2:6" ht="15" thickBot="1" x14ac:dyDescent="0.4">
      <c r="B498" s="217"/>
      <c r="C498" s="76"/>
      <c r="D498" s="76"/>
      <c r="E498" s="76"/>
      <c r="F498" s="302"/>
    </row>
    <row r="499" spans="2:6" ht="15" thickBot="1" x14ac:dyDescent="0.4">
      <c r="B499" s="217"/>
      <c r="C499" s="76"/>
      <c r="D499" s="76"/>
      <c r="E499" s="76"/>
      <c r="F499" s="302"/>
    </row>
    <row r="500" spans="2:6" ht="15" thickBot="1" x14ac:dyDescent="0.4">
      <c r="B500" s="217"/>
      <c r="C500" s="76"/>
      <c r="D500" s="76"/>
      <c r="E500" s="76"/>
      <c r="F500" s="302"/>
    </row>
    <row r="501" spans="2:6" ht="15" thickBot="1" x14ac:dyDescent="0.4">
      <c r="B501" s="217"/>
      <c r="C501" s="76"/>
      <c r="D501" s="76"/>
      <c r="E501" s="76"/>
      <c r="F501" s="302"/>
    </row>
    <row r="502" spans="2:6" ht="15" thickBot="1" x14ac:dyDescent="0.4">
      <c r="B502" s="217"/>
      <c r="C502" s="76"/>
      <c r="D502" s="76"/>
      <c r="E502" s="76"/>
      <c r="F502" s="302"/>
    </row>
    <row r="503" spans="2:6" ht="15" thickBot="1" x14ac:dyDescent="0.4">
      <c r="B503" s="217"/>
      <c r="C503" s="76"/>
      <c r="D503" s="76"/>
      <c r="E503" s="76"/>
      <c r="F503" s="302"/>
    </row>
    <row r="504" spans="2:6" ht="15" thickBot="1" x14ac:dyDescent="0.4">
      <c r="B504" s="217"/>
      <c r="C504" s="76"/>
      <c r="D504" s="76"/>
      <c r="E504" s="76"/>
      <c r="F504" s="302"/>
    </row>
    <row r="505" spans="2:6" ht="15" thickBot="1" x14ac:dyDescent="0.4">
      <c r="B505" s="217"/>
      <c r="C505" s="76"/>
      <c r="D505" s="76"/>
      <c r="E505" s="76"/>
      <c r="F505" s="302"/>
    </row>
    <row r="506" spans="2:6" ht="15" thickBot="1" x14ac:dyDescent="0.4">
      <c r="B506" s="217"/>
      <c r="C506" s="76"/>
      <c r="D506" s="76"/>
      <c r="E506" s="76"/>
      <c r="F506" s="302"/>
    </row>
    <row r="507" spans="2:6" ht="15" thickBot="1" x14ac:dyDescent="0.4">
      <c r="B507" s="217"/>
      <c r="C507" s="76"/>
      <c r="D507" s="76"/>
      <c r="E507" s="76"/>
      <c r="F507" s="302"/>
    </row>
    <row r="508" spans="2:6" ht="15" thickBot="1" x14ac:dyDescent="0.4">
      <c r="B508" s="217"/>
      <c r="C508" s="76"/>
      <c r="D508" s="76"/>
      <c r="E508" s="76"/>
      <c r="F508" s="302"/>
    </row>
    <row r="509" spans="2:6" ht="15" thickBot="1" x14ac:dyDescent="0.4">
      <c r="B509" s="217"/>
      <c r="C509" s="76"/>
      <c r="D509" s="76"/>
      <c r="E509" s="76"/>
      <c r="F509" s="302"/>
    </row>
    <row r="510" spans="2:6" ht="15" thickBot="1" x14ac:dyDescent="0.4">
      <c r="B510" s="217"/>
      <c r="C510" s="76"/>
      <c r="D510" s="76"/>
      <c r="E510" s="76"/>
      <c r="F510" s="302"/>
    </row>
    <row r="511" spans="2:6" ht="15" thickBot="1" x14ac:dyDescent="0.4">
      <c r="B511" s="217"/>
      <c r="C511" s="76"/>
      <c r="D511" s="76"/>
      <c r="E511" s="76"/>
      <c r="F511" s="302"/>
    </row>
    <row r="512" spans="2:6" ht="15" thickBot="1" x14ac:dyDescent="0.4">
      <c r="B512" s="217"/>
      <c r="C512" s="76"/>
      <c r="D512" s="76"/>
      <c r="E512" s="76"/>
      <c r="F512" s="302"/>
    </row>
    <row r="513" spans="2:6" ht="15" thickBot="1" x14ac:dyDescent="0.4">
      <c r="B513" s="217"/>
      <c r="C513" s="76"/>
      <c r="D513" s="76"/>
      <c r="E513" s="76"/>
      <c r="F513" s="302"/>
    </row>
    <row r="514" spans="2:6" ht="15" thickBot="1" x14ac:dyDescent="0.4">
      <c r="B514" s="217"/>
      <c r="C514" s="76"/>
      <c r="D514" s="76"/>
      <c r="E514" s="76"/>
      <c r="F514" s="302"/>
    </row>
    <row r="515" spans="2:6" ht="15" thickBot="1" x14ac:dyDescent="0.4">
      <c r="B515" s="217"/>
      <c r="C515" s="76"/>
      <c r="D515" s="76"/>
      <c r="E515" s="76"/>
      <c r="F515" s="302"/>
    </row>
    <row r="516" spans="2:6" ht="15" thickBot="1" x14ac:dyDescent="0.4">
      <c r="B516" s="217"/>
      <c r="C516" s="76"/>
      <c r="D516" s="76"/>
      <c r="E516" s="76"/>
      <c r="F516" s="302"/>
    </row>
    <row r="517" spans="2:6" ht="15" thickBot="1" x14ac:dyDescent="0.4">
      <c r="B517" s="217"/>
      <c r="C517" s="76"/>
      <c r="D517" s="76"/>
      <c r="E517" s="76"/>
      <c r="F517" s="302"/>
    </row>
    <row r="518" spans="2:6" ht="15" thickBot="1" x14ac:dyDescent="0.4">
      <c r="B518" s="217"/>
      <c r="C518" s="76"/>
      <c r="D518" s="76"/>
      <c r="E518" s="76"/>
      <c r="F518" s="302"/>
    </row>
    <row r="519" spans="2:6" ht="15" thickBot="1" x14ac:dyDescent="0.4">
      <c r="B519" s="217"/>
      <c r="C519" s="76"/>
      <c r="D519" s="76"/>
      <c r="E519" s="76"/>
      <c r="F519" s="302"/>
    </row>
    <row r="520" spans="2:6" ht="15" thickBot="1" x14ac:dyDescent="0.4">
      <c r="B520" s="217"/>
      <c r="C520" s="76"/>
      <c r="D520" s="76"/>
      <c r="E520" s="76"/>
      <c r="F520" s="302"/>
    </row>
    <row r="521" spans="2:6" ht="15" thickBot="1" x14ac:dyDescent="0.4">
      <c r="B521" s="217"/>
      <c r="C521" s="76"/>
      <c r="D521" s="76"/>
      <c r="E521" s="76"/>
      <c r="F521" s="302"/>
    </row>
    <row r="522" spans="2:6" ht="15" thickBot="1" x14ac:dyDescent="0.4">
      <c r="B522" s="217"/>
      <c r="C522" s="76"/>
      <c r="D522" s="76"/>
      <c r="E522" s="76"/>
      <c r="F522" s="302"/>
    </row>
    <row r="523" spans="2:6" ht="15" thickBot="1" x14ac:dyDescent="0.4">
      <c r="B523" s="217"/>
      <c r="C523" s="76"/>
      <c r="D523" s="76"/>
      <c r="E523" s="76"/>
      <c r="F523" s="302"/>
    </row>
    <row r="524" spans="2:6" ht="15" thickBot="1" x14ac:dyDescent="0.4">
      <c r="B524" s="217"/>
      <c r="C524" s="76"/>
      <c r="D524" s="76"/>
      <c r="E524" s="76"/>
      <c r="F524" s="302"/>
    </row>
    <row r="525" spans="2:6" ht="15" thickBot="1" x14ac:dyDescent="0.4">
      <c r="B525" s="217"/>
      <c r="C525" s="76"/>
      <c r="D525" s="76"/>
      <c r="E525" s="76"/>
      <c r="F525" s="302"/>
    </row>
    <row r="526" spans="2:6" ht="15" thickBot="1" x14ac:dyDescent="0.4">
      <c r="B526" s="217"/>
      <c r="C526" s="76"/>
      <c r="D526" s="76"/>
      <c r="E526" s="76"/>
      <c r="F526" s="302"/>
    </row>
    <row r="527" spans="2:6" ht="15" thickBot="1" x14ac:dyDescent="0.4">
      <c r="B527" s="217"/>
      <c r="C527" s="76"/>
      <c r="D527" s="76"/>
      <c r="E527" s="76"/>
      <c r="F527" s="302"/>
    </row>
    <row r="528" spans="2:6" ht="15" thickBot="1" x14ac:dyDescent="0.4">
      <c r="B528" s="217"/>
      <c r="C528" s="76"/>
      <c r="D528" s="76"/>
      <c r="E528" s="76"/>
      <c r="F528" s="302"/>
    </row>
    <row r="529" spans="2:6" ht="15" thickBot="1" x14ac:dyDescent="0.4">
      <c r="B529" s="217"/>
      <c r="C529" s="76"/>
      <c r="D529" s="76"/>
      <c r="E529" s="76"/>
      <c r="F529" s="302"/>
    </row>
    <row r="530" spans="2:6" ht="15" thickBot="1" x14ac:dyDescent="0.4">
      <c r="B530" s="217"/>
      <c r="C530" s="76"/>
      <c r="D530" s="76"/>
      <c r="E530" s="76"/>
      <c r="F530" s="302"/>
    </row>
    <row r="531" spans="2:6" ht="15" thickBot="1" x14ac:dyDescent="0.4">
      <c r="B531" s="217"/>
      <c r="C531" s="76"/>
      <c r="D531" s="76"/>
      <c r="E531" s="76"/>
      <c r="F531" s="302"/>
    </row>
    <row r="532" spans="2:6" ht="15" thickBot="1" x14ac:dyDescent="0.4">
      <c r="B532" s="217"/>
      <c r="C532" s="76"/>
      <c r="D532" s="76"/>
      <c r="E532" s="76"/>
      <c r="F532" s="302"/>
    </row>
    <row r="533" spans="2:6" ht="15" thickBot="1" x14ac:dyDescent="0.4">
      <c r="B533" s="217"/>
      <c r="C533" s="76"/>
      <c r="D533" s="76"/>
      <c r="E533" s="76"/>
      <c r="F533" s="302"/>
    </row>
    <row r="534" spans="2:6" ht="15" thickBot="1" x14ac:dyDescent="0.4">
      <c r="B534" s="217"/>
      <c r="C534" s="76"/>
      <c r="D534" s="76"/>
      <c r="E534" s="76"/>
      <c r="F534" s="302"/>
    </row>
    <row r="535" spans="2:6" ht="15" thickBot="1" x14ac:dyDescent="0.4">
      <c r="B535" s="217"/>
      <c r="C535" s="76"/>
      <c r="D535" s="76"/>
      <c r="E535" s="76"/>
      <c r="F535" s="302"/>
    </row>
    <row r="536" spans="2:6" ht="15" thickBot="1" x14ac:dyDescent="0.4">
      <c r="B536" s="217"/>
      <c r="C536" s="76"/>
      <c r="D536" s="76"/>
      <c r="E536" s="76"/>
      <c r="F536" s="302"/>
    </row>
    <row r="537" spans="2:6" ht="15" thickBot="1" x14ac:dyDescent="0.4">
      <c r="B537" s="217"/>
      <c r="C537" s="76"/>
      <c r="D537" s="76"/>
      <c r="E537" s="76"/>
      <c r="F537" s="302"/>
    </row>
    <row r="538" spans="2:6" ht="15" thickBot="1" x14ac:dyDescent="0.4">
      <c r="B538" s="217"/>
      <c r="C538" s="76"/>
      <c r="D538" s="76"/>
      <c r="E538" s="76"/>
      <c r="F538" s="302"/>
    </row>
    <row r="539" spans="2:6" ht="15" thickBot="1" x14ac:dyDescent="0.4">
      <c r="B539" s="217"/>
      <c r="C539" s="76"/>
      <c r="D539" s="76"/>
      <c r="E539" s="76"/>
      <c r="F539" s="302"/>
    </row>
    <row r="540" spans="2:6" ht="15" thickBot="1" x14ac:dyDescent="0.4">
      <c r="B540" s="217"/>
      <c r="C540" s="76"/>
      <c r="D540" s="76"/>
      <c r="E540" s="76"/>
      <c r="F540" s="302"/>
    </row>
    <row r="541" spans="2:6" ht="15" thickBot="1" x14ac:dyDescent="0.4">
      <c r="B541" s="217"/>
      <c r="C541" s="76"/>
      <c r="D541" s="76"/>
      <c r="E541" s="76"/>
      <c r="F541" s="302"/>
    </row>
    <row r="542" spans="2:6" ht="15" thickBot="1" x14ac:dyDescent="0.4">
      <c r="B542" s="217"/>
      <c r="C542" s="76"/>
      <c r="D542" s="76"/>
      <c r="E542" s="76"/>
      <c r="F542" s="302"/>
    </row>
    <row r="543" spans="2:6" ht="15" thickBot="1" x14ac:dyDescent="0.4">
      <c r="B543" s="217"/>
      <c r="C543" s="76"/>
      <c r="D543" s="76"/>
      <c r="E543" s="76"/>
      <c r="F543" s="302"/>
    </row>
    <row r="544" spans="2:6" ht="15" thickBot="1" x14ac:dyDescent="0.4">
      <c r="B544" s="217"/>
      <c r="C544" s="76"/>
      <c r="D544" s="76"/>
      <c r="E544" s="76"/>
      <c r="F544" s="302"/>
    </row>
    <row r="545" spans="2:6" ht="15" thickBot="1" x14ac:dyDescent="0.4">
      <c r="B545" s="217"/>
      <c r="C545" s="76"/>
      <c r="D545" s="76"/>
      <c r="E545" s="76"/>
      <c r="F545" s="302"/>
    </row>
    <row r="546" spans="2:6" ht="15" thickBot="1" x14ac:dyDescent="0.4">
      <c r="B546" s="217"/>
      <c r="C546" s="76"/>
      <c r="D546" s="76"/>
      <c r="E546" s="76"/>
      <c r="F546" s="302"/>
    </row>
    <row r="547" spans="2:6" ht="15" thickBot="1" x14ac:dyDescent="0.4">
      <c r="B547" s="217"/>
      <c r="C547" s="76"/>
      <c r="D547" s="76"/>
      <c r="E547" s="76"/>
      <c r="F547" s="302"/>
    </row>
    <row r="548" spans="2:6" ht="15" thickBot="1" x14ac:dyDescent="0.4">
      <c r="B548" s="217"/>
      <c r="C548" s="76"/>
      <c r="D548" s="76"/>
      <c r="E548" s="76"/>
      <c r="F548" s="302"/>
    </row>
    <row r="549" spans="2:6" ht="15" thickBot="1" x14ac:dyDescent="0.4">
      <c r="B549" s="217"/>
      <c r="C549" s="76"/>
      <c r="D549" s="76"/>
      <c r="E549" s="76"/>
      <c r="F549" s="302"/>
    </row>
    <row r="550" spans="2:6" ht="15" thickBot="1" x14ac:dyDescent="0.4">
      <c r="B550" s="217"/>
      <c r="C550" s="76"/>
      <c r="D550" s="76"/>
      <c r="E550" s="76"/>
      <c r="F550" s="302"/>
    </row>
    <row r="551" spans="2:6" ht="15" thickBot="1" x14ac:dyDescent="0.4">
      <c r="B551" s="217"/>
      <c r="C551" s="76"/>
      <c r="D551" s="76"/>
      <c r="E551" s="76"/>
      <c r="F551" s="302"/>
    </row>
    <row r="552" spans="2:6" ht="15" thickBot="1" x14ac:dyDescent="0.4">
      <c r="B552" s="217"/>
      <c r="C552" s="76"/>
      <c r="D552" s="76"/>
      <c r="E552" s="76"/>
      <c r="F552" s="302"/>
    </row>
    <row r="553" spans="2:6" ht="15" thickBot="1" x14ac:dyDescent="0.4">
      <c r="B553" s="217"/>
      <c r="C553" s="76"/>
      <c r="D553" s="76"/>
      <c r="E553" s="76"/>
      <c r="F553" s="302"/>
    </row>
    <row r="554" spans="2:6" ht="15" thickBot="1" x14ac:dyDescent="0.4">
      <c r="B554" s="217"/>
      <c r="C554" s="76"/>
      <c r="D554" s="76"/>
      <c r="E554" s="76"/>
      <c r="F554" s="302"/>
    </row>
    <row r="555" spans="2:6" ht="15" thickBot="1" x14ac:dyDescent="0.4">
      <c r="B555" s="217"/>
      <c r="C555" s="76"/>
      <c r="D555" s="76"/>
      <c r="E555" s="76"/>
      <c r="F555" s="302"/>
    </row>
    <row r="556" spans="2:6" ht="15" thickBot="1" x14ac:dyDescent="0.4">
      <c r="B556" s="217"/>
      <c r="C556" s="76"/>
      <c r="D556" s="76"/>
      <c r="E556" s="76"/>
      <c r="F556" s="302"/>
    </row>
    <row r="557" spans="2:6" ht="15" thickBot="1" x14ac:dyDescent="0.4">
      <c r="B557" s="217"/>
      <c r="C557" s="76"/>
      <c r="D557" s="76"/>
      <c r="E557" s="76"/>
      <c r="F557" s="302"/>
    </row>
    <row r="558" spans="2:6" ht="15" thickBot="1" x14ac:dyDescent="0.4">
      <c r="B558" s="217"/>
      <c r="C558" s="76"/>
      <c r="D558" s="76"/>
      <c r="E558" s="76"/>
      <c r="F558" s="302"/>
    </row>
    <row r="559" spans="2:6" ht="15" thickBot="1" x14ac:dyDescent="0.4">
      <c r="B559" s="217"/>
      <c r="C559" s="76"/>
      <c r="D559" s="76"/>
      <c r="E559" s="76"/>
      <c r="F559" s="302"/>
    </row>
    <row r="560" spans="2:6" ht="15" thickBot="1" x14ac:dyDescent="0.4">
      <c r="B560" s="217"/>
      <c r="C560" s="76"/>
      <c r="D560" s="76"/>
      <c r="E560" s="76"/>
      <c r="F560" s="302"/>
    </row>
    <row r="561" spans="2:6" ht="15" thickBot="1" x14ac:dyDescent="0.4">
      <c r="B561" s="217"/>
      <c r="C561" s="76"/>
      <c r="D561" s="76"/>
      <c r="E561" s="76"/>
      <c r="F561" s="302"/>
    </row>
    <row r="562" spans="2:6" ht="15" thickBot="1" x14ac:dyDescent="0.4">
      <c r="B562" s="217"/>
      <c r="C562" s="76"/>
      <c r="D562" s="76"/>
      <c r="E562" s="76"/>
      <c r="F562" s="302"/>
    </row>
    <row r="563" spans="2:6" ht="15" thickBot="1" x14ac:dyDescent="0.4">
      <c r="B563" s="217"/>
      <c r="C563" s="76"/>
      <c r="D563" s="76"/>
      <c r="E563" s="76"/>
      <c r="F563" s="302"/>
    </row>
    <row r="564" spans="2:6" ht="15" thickBot="1" x14ac:dyDescent="0.4">
      <c r="B564" s="217"/>
      <c r="C564" s="76"/>
      <c r="D564" s="76"/>
      <c r="E564" s="76"/>
      <c r="F564" s="302"/>
    </row>
    <row r="565" spans="2:6" ht="15" thickBot="1" x14ac:dyDescent="0.4">
      <c r="B565" s="217"/>
      <c r="C565" s="76"/>
      <c r="D565" s="76"/>
      <c r="E565" s="76"/>
      <c r="F565" s="302"/>
    </row>
    <row r="566" spans="2:6" ht="15" thickBot="1" x14ac:dyDescent="0.4">
      <c r="B566" s="217"/>
      <c r="C566" s="76"/>
      <c r="D566" s="76"/>
      <c r="E566" s="76"/>
      <c r="F566" s="302"/>
    </row>
    <row r="567" spans="2:6" ht="15" thickBot="1" x14ac:dyDescent="0.4">
      <c r="B567" s="217"/>
      <c r="C567" s="76"/>
      <c r="D567" s="76"/>
      <c r="E567" s="76"/>
      <c r="F567" s="302"/>
    </row>
    <row r="568" spans="2:6" ht="15" thickBot="1" x14ac:dyDescent="0.4">
      <c r="B568" s="217"/>
      <c r="C568" s="76"/>
      <c r="D568" s="76"/>
      <c r="E568" s="76"/>
      <c r="F568" s="302"/>
    </row>
    <row r="569" spans="2:6" ht="15" thickBot="1" x14ac:dyDescent="0.4">
      <c r="B569" s="217"/>
      <c r="C569" s="76"/>
      <c r="D569" s="76"/>
      <c r="E569" s="76"/>
      <c r="F569" s="302"/>
    </row>
    <row r="570" spans="2:6" ht="15" thickBot="1" x14ac:dyDescent="0.4">
      <c r="B570" s="217"/>
      <c r="C570" s="76"/>
      <c r="D570" s="76"/>
      <c r="E570" s="76"/>
      <c r="F570" s="302"/>
    </row>
    <row r="571" spans="2:6" ht="15" thickBot="1" x14ac:dyDescent="0.4">
      <c r="B571" s="217"/>
      <c r="C571" s="76"/>
      <c r="D571" s="76"/>
      <c r="E571" s="76"/>
      <c r="F571" s="302"/>
    </row>
    <row r="572" spans="2:6" ht="15" thickBot="1" x14ac:dyDescent="0.4">
      <c r="B572" s="217"/>
      <c r="C572" s="76"/>
      <c r="D572" s="76"/>
      <c r="E572" s="76"/>
      <c r="F572" s="302"/>
    </row>
    <row r="573" spans="2:6" ht="15" thickBot="1" x14ac:dyDescent="0.4">
      <c r="B573" s="217"/>
      <c r="C573" s="76"/>
      <c r="D573" s="76"/>
      <c r="E573" s="76"/>
      <c r="F573" s="302"/>
    </row>
    <row r="574" spans="2:6" ht="15" thickBot="1" x14ac:dyDescent="0.4">
      <c r="B574" s="217"/>
      <c r="C574" s="76"/>
      <c r="D574" s="76"/>
      <c r="E574" s="76"/>
      <c r="F574" s="302"/>
    </row>
    <row r="575" spans="2:6" ht="15" thickBot="1" x14ac:dyDescent="0.4">
      <c r="B575" s="217"/>
      <c r="C575" s="76"/>
      <c r="D575" s="76"/>
      <c r="E575" s="76"/>
      <c r="F575" s="302"/>
    </row>
    <row r="576" spans="2:6" ht="15" thickBot="1" x14ac:dyDescent="0.4">
      <c r="B576" s="217"/>
      <c r="C576" s="76"/>
      <c r="D576" s="76"/>
      <c r="E576" s="76"/>
      <c r="F576" s="302"/>
    </row>
    <row r="577" spans="2:6" ht="15" thickBot="1" x14ac:dyDescent="0.4">
      <c r="B577" s="217"/>
      <c r="C577" s="76"/>
      <c r="D577" s="76"/>
      <c r="E577" s="76"/>
      <c r="F577" s="302"/>
    </row>
    <row r="578" spans="2:6" ht="15" thickBot="1" x14ac:dyDescent="0.4">
      <c r="B578" s="217"/>
      <c r="C578" s="76"/>
      <c r="D578" s="76"/>
      <c r="E578" s="76"/>
      <c r="F578" s="302"/>
    </row>
    <row r="579" spans="2:6" ht="15" thickBot="1" x14ac:dyDescent="0.4">
      <c r="B579" s="217"/>
      <c r="C579" s="76"/>
      <c r="D579" s="76"/>
      <c r="E579" s="76"/>
      <c r="F579" s="302"/>
    </row>
    <row r="580" spans="2:6" ht="15" thickBot="1" x14ac:dyDescent="0.4">
      <c r="B580" s="217"/>
      <c r="C580" s="76"/>
      <c r="D580" s="76"/>
      <c r="E580" s="76"/>
      <c r="F580" s="302"/>
    </row>
    <row r="581" spans="2:6" ht="15" thickBot="1" x14ac:dyDescent="0.4">
      <c r="B581" s="217"/>
      <c r="C581" s="76"/>
      <c r="D581" s="76"/>
      <c r="E581" s="76"/>
      <c r="F581" s="302"/>
    </row>
    <row r="582" spans="2:6" ht="15" thickBot="1" x14ac:dyDescent="0.4">
      <c r="B582" s="217"/>
      <c r="C582" s="76"/>
      <c r="D582" s="76"/>
      <c r="E582" s="76"/>
      <c r="F582" s="302"/>
    </row>
    <row r="583" spans="2:6" ht="15" thickBot="1" x14ac:dyDescent="0.4">
      <c r="B583" s="217"/>
      <c r="C583" s="76"/>
      <c r="D583" s="76"/>
      <c r="E583" s="76"/>
      <c r="F583" s="302"/>
    </row>
    <row r="584" spans="2:6" ht="15" thickBot="1" x14ac:dyDescent="0.4">
      <c r="B584" s="217"/>
      <c r="C584" s="76"/>
      <c r="D584" s="76"/>
      <c r="E584" s="76"/>
      <c r="F584" s="302"/>
    </row>
    <row r="585" spans="2:6" ht="15" thickBot="1" x14ac:dyDescent="0.4">
      <c r="B585" s="217"/>
      <c r="C585" s="76"/>
      <c r="D585" s="76"/>
      <c r="E585" s="76"/>
      <c r="F585" s="302"/>
    </row>
    <row r="586" spans="2:6" ht="15" thickBot="1" x14ac:dyDescent="0.4">
      <c r="B586" s="217"/>
      <c r="C586" s="76"/>
      <c r="D586" s="76"/>
      <c r="E586" s="76"/>
      <c r="F586" s="302"/>
    </row>
    <row r="587" spans="2:6" ht="15" thickBot="1" x14ac:dyDescent="0.4">
      <c r="B587" s="217"/>
      <c r="C587" s="76"/>
      <c r="D587" s="76"/>
      <c r="E587" s="76"/>
      <c r="F587" s="302"/>
    </row>
    <row r="588" spans="2:6" ht="15" thickBot="1" x14ac:dyDescent="0.4">
      <c r="B588" s="217"/>
      <c r="C588" s="76"/>
      <c r="D588" s="76"/>
      <c r="E588" s="76"/>
      <c r="F588" s="302"/>
    </row>
    <row r="589" spans="2:6" ht="15" thickBot="1" x14ac:dyDescent="0.4">
      <c r="B589" s="217"/>
      <c r="C589" s="76"/>
      <c r="D589" s="76"/>
      <c r="E589" s="76"/>
      <c r="F589" s="302"/>
    </row>
    <row r="590" spans="2:6" ht="15" thickBot="1" x14ac:dyDescent="0.4">
      <c r="B590" s="217"/>
      <c r="C590" s="76"/>
      <c r="D590" s="76"/>
      <c r="E590" s="76"/>
      <c r="F590" s="302"/>
    </row>
    <row r="591" spans="2:6" ht="15" thickBot="1" x14ac:dyDescent="0.4">
      <c r="B591" s="217"/>
      <c r="C591" s="76"/>
      <c r="D591" s="76"/>
      <c r="E591" s="76"/>
      <c r="F591" s="302"/>
    </row>
    <row r="592" spans="2:6" ht="15" thickBot="1" x14ac:dyDescent="0.4">
      <c r="B592" s="217"/>
      <c r="C592" s="76"/>
      <c r="D592" s="76"/>
      <c r="E592" s="76"/>
      <c r="F592" s="302"/>
    </row>
    <row r="593" spans="2:6" ht="15" thickBot="1" x14ac:dyDescent="0.4">
      <c r="B593" s="217"/>
      <c r="C593" s="76"/>
      <c r="D593" s="76"/>
      <c r="E593" s="76"/>
      <c r="F593" s="302"/>
    </row>
    <row r="594" spans="2:6" ht="15" thickBot="1" x14ac:dyDescent="0.4">
      <c r="B594" s="217"/>
      <c r="C594" s="76"/>
      <c r="D594" s="76"/>
      <c r="E594" s="76"/>
      <c r="F594" s="302"/>
    </row>
    <row r="595" spans="2:6" ht="15" thickBot="1" x14ac:dyDescent="0.4">
      <c r="B595" s="217"/>
      <c r="C595" s="76"/>
      <c r="D595" s="76"/>
      <c r="E595" s="76"/>
      <c r="F595" s="302"/>
    </row>
    <row r="596" spans="2:6" ht="15" thickBot="1" x14ac:dyDescent="0.4">
      <c r="B596" s="217"/>
      <c r="C596" s="76"/>
      <c r="D596" s="76"/>
      <c r="E596" s="76"/>
      <c r="F596" s="302"/>
    </row>
    <row r="597" spans="2:6" ht="15" thickBot="1" x14ac:dyDescent="0.4">
      <c r="B597" s="217"/>
      <c r="C597" s="76"/>
      <c r="D597" s="76"/>
      <c r="E597" s="76"/>
      <c r="F597" s="302"/>
    </row>
    <row r="598" spans="2:6" ht="15" thickBot="1" x14ac:dyDescent="0.4">
      <c r="B598" s="217"/>
      <c r="C598" s="76"/>
      <c r="D598" s="76"/>
      <c r="E598" s="76"/>
      <c r="F598" s="302"/>
    </row>
    <row r="599" spans="2:6" ht="15" thickBot="1" x14ac:dyDescent="0.4">
      <c r="B599" s="217"/>
      <c r="C599" s="76"/>
      <c r="D599" s="76"/>
      <c r="E599" s="76"/>
      <c r="F599" s="302"/>
    </row>
    <row r="600" spans="2:6" ht="15" thickBot="1" x14ac:dyDescent="0.4">
      <c r="B600" s="217"/>
      <c r="C600" s="76"/>
      <c r="D600" s="76"/>
      <c r="E600" s="76"/>
      <c r="F600" s="302"/>
    </row>
    <row r="601" spans="2:6" ht="15" thickBot="1" x14ac:dyDescent="0.4">
      <c r="B601" s="217"/>
      <c r="C601" s="76"/>
      <c r="D601" s="76"/>
      <c r="E601" s="76"/>
      <c r="F601" s="302"/>
    </row>
    <row r="602" spans="2:6" ht="15" thickBot="1" x14ac:dyDescent="0.4">
      <c r="B602" s="217"/>
      <c r="C602" s="76"/>
      <c r="D602" s="76"/>
      <c r="E602" s="76"/>
      <c r="F602" s="302"/>
    </row>
    <row r="603" spans="2:6" ht="15" thickBot="1" x14ac:dyDescent="0.4">
      <c r="B603" s="217"/>
      <c r="C603" s="76"/>
      <c r="D603" s="76"/>
      <c r="E603" s="76"/>
      <c r="F603" s="302"/>
    </row>
    <row r="604" spans="2:6" ht="15" thickBot="1" x14ac:dyDescent="0.4">
      <c r="B604" s="217"/>
      <c r="C604" s="76"/>
      <c r="D604" s="76"/>
      <c r="E604" s="76"/>
      <c r="F604" s="302"/>
    </row>
    <row r="605" spans="2:6" ht="15" thickBot="1" x14ac:dyDescent="0.4">
      <c r="B605" s="217"/>
      <c r="C605" s="76"/>
      <c r="D605" s="76"/>
      <c r="E605" s="76"/>
      <c r="F605" s="302"/>
    </row>
    <row r="606" spans="2:6" ht="15" thickBot="1" x14ac:dyDescent="0.4">
      <c r="B606" s="217"/>
      <c r="C606" s="76"/>
      <c r="D606" s="76"/>
      <c r="E606" s="76"/>
      <c r="F606" s="302"/>
    </row>
    <row r="607" spans="2:6" ht="15" thickBot="1" x14ac:dyDescent="0.4">
      <c r="B607" s="217"/>
      <c r="C607" s="76"/>
      <c r="D607" s="76"/>
      <c r="E607" s="76"/>
      <c r="F607" s="302"/>
    </row>
    <row r="608" spans="2:6" ht="15" thickBot="1" x14ac:dyDescent="0.4">
      <c r="B608" s="217"/>
      <c r="C608" s="76"/>
      <c r="D608" s="76"/>
      <c r="E608" s="76"/>
      <c r="F608" s="302"/>
    </row>
    <row r="609" spans="2:6" ht="15" thickBot="1" x14ac:dyDescent="0.4">
      <c r="B609" s="217"/>
      <c r="C609" s="76"/>
      <c r="D609" s="76"/>
      <c r="E609" s="76"/>
      <c r="F609" s="302"/>
    </row>
    <row r="610" spans="2:6" ht="15" thickBot="1" x14ac:dyDescent="0.4">
      <c r="B610" s="217"/>
      <c r="C610" s="76"/>
      <c r="D610" s="76"/>
      <c r="E610" s="76"/>
      <c r="F610" s="302"/>
    </row>
    <row r="611" spans="2:6" ht="15" thickBot="1" x14ac:dyDescent="0.4">
      <c r="B611" s="217"/>
      <c r="C611" s="76"/>
      <c r="D611" s="76"/>
      <c r="E611" s="76"/>
      <c r="F611" s="302"/>
    </row>
    <row r="612" spans="2:6" ht="15" thickBot="1" x14ac:dyDescent="0.4">
      <c r="B612" s="217"/>
      <c r="C612" s="76"/>
      <c r="D612" s="76"/>
      <c r="E612" s="76"/>
      <c r="F612" s="302"/>
    </row>
    <row r="613" spans="2:6" ht="15" thickBot="1" x14ac:dyDescent="0.4">
      <c r="B613" s="217"/>
      <c r="C613" s="76"/>
      <c r="D613" s="76"/>
      <c r="E613" s="76"/>
      <c r="F613" s="302"/>
    </row>
    <row r="614" spans="2:6" ht="15" thickBot="1" x14ac:dyDescent="0.4">
      <c r="B614" s="217"/>
      <c r="C614" s="76"/>
      <c r="D614" s="76"/>
      <c r="E614" s="76"/>
      <c r="F614" s="302"/>
    </row>
    <row r="615" spans="2:6" ht="15" thickBot="1" x14ac:dyDescent="0.4">
      <c r="B615" s="217"/>
      <c r="C615" s="76"/>
      <c r="D615" s="76"/>
      <c r="E615" s="76"/>
      <c r="F615" s="302"/>
    </row>
    <row r="616" spans="2:6" ht="15" thickBot="1" x14ac:dyDescent="0.4">
      <c r="B616" s="217"/>
      <c r="C616" s="76"/>
      <c r="D616" s="76"/>
      <c r="E616" s="76"/>
      <c r="F616" s="302"/>
    </row>
    <row r="617" spans="2:6" ht="15" thickBot="1" x14ac:dyDescent="0.4">
      <c r="B617" s="217"/>
      <c r="C617" s="76"/>
      <c r="D617" s="76"/>
      <c r="E617" s="76"/>
      <c r="F617" s="302"/>
    </row>
    <row r="618" spans="2:6" ht="15" thickBot="1" x14ac:dyDescent="0.4">
      <c r="B618" s="217"/>
      <c r="C618" s="76"/>
      <c r="D618" s="76"/>
      <c r="E618" s="76"/>
      <c r="F618" s="302"/>
    </row>
    <row r="619" spans="2:6" ht="15" thickBot="1" x14ac:dyDescent="0.4">
      <c r="B619" s="217"/>
      <c r="C619" s="76"/>
      <c r="D619" s="76"/>
      <c r="E619" s="76"/>
      <c r="F619" s="302"/>
    </row>
    <row r="620" spans="2:6" ht="15" thickBot="1" x14ac:dyDescent="0.4">
      <c r="B620" s="217"/>
      <c r="C620" s="76"/>
      <c r="D620" s="76"/>
      <c r="E620" s="76"/>
      <c r="F620" s="302"/>
    </row>
    <row r="621" spans="2:6" ht="15" thickBot="1" x14ac:dyDescent="0.4">
      <c r="B621" s="217"/>
      <c r="C621" s="76"/>
      <c r="D621" s="76"/>
      <c r="E621" s="76"/>
      <c r="F621" s="302"/>
    </row>
    <row r="622" spans="2:6" ht="15" thickBot="1" x14ac:dyDescent="0.4">
      <c r="B622" s="217"/>
      <c r="C622" s="76"/>
      <c r="D622" s="76"/>
      <c r="E622" s="76"/>
      <c r="F622" s="302"/>
    </row>
    <row r="623" spans="2:6" ht="15" thickBot="1" x14ac:dyDescent="0.4">
      <c r="B623" s="217"/>
      <c r="C623" s="76"/>
      <c r="D623" s="76"/>
      <c r="E623" s="76"/>
      <c r="F623" s="302"/>
    </row>
    <row r="624" spans="2:6" ht="15" thickBot="1" x14ac:dyDescent="0.4">
      <c r="B624" s="217"/>
      <c r="C624" s="76"/>
      <c r="D624" s="76"/>
      <c r="E624" s="76"/>
      <c r="F624" s="302"/>
    </row>
    <row r="625" spans="2:6" ht="15" thickBot="1" x14ac:dyDescent="0.4">
      <c r="B625" s="217"/>
      <c r="C625" s="76"/>
      <c r="D625" s="76"/>
      <c r="E625" s="76"/>
      <c r="F625" s="302"/>
    </row>
    <row r="626" spans="2:6" ht="15" thickBot="1" x14ac:dyDescent="0.4">
      <c r="B626" s="217"/>
      <c r="C626" s="76"/>
      <c r="D626" s="76"/>
      <c r="E626" s="76"/>
      <c r="F626" s="302"/>
    </row>
    <row r="627" spans="2:6" ht="15" thickBot="1" x14ac:dyDescent="0.4">
      <c r="B627" s="217"/>
      <c r="C627" s="76"/>
      <c r="D627" s="76"/>
      <c r="E627" s="76"/>
      <c r="F627" s="302"/>
    </row>
    <row r="628" spans="2:6" ht="15" thickBot="1" x14ac:dyDescent="0.4">
      <c r="B628" s="217"/>
      <c r="C628" s="76"/>
      <c r="D628" s="76"/>
      <c r="E628" s="76"/>
      <c r="F628" s="302"/>
    </row>
    <row r="629" spans="2:6" ht="15" thickBot="1" x14ac:dyDescent="0.4">
      <c r="B629" s="217"/>
      <c r="C629" s="76"/>
      <c r="D629" s="76"/>
      <c r="E629" s="76"/>
      <c r="F629" s="302"/>
    </row>
    <row r="630" spans="2:6" ht="15" thickBot="1" x14ac:dyDescent="0.4">
      <c r="B630" s="217"/>
      <c r="C630" s="76"/>
      <c r="D630" s="76"/>
      <c r="E630" s="76"/>
      <c r="F630" s="302"/>
    </row>
    <row r="631" spans="2:6" ht="15" thickBot="1" x14ac:dyDescent="0.4">
      <c r="B631" s="217"/>
      <c r="C631" s="76"/>
      <c r="D631" s="76"/>
      <c r="E631" s="76"/>
      <c r="F631" s="302"/>
    </row>
    <row r="632" spans="2:6" ht="15" thickBot="1" x14ac:dyDescent="0.4">
      <c r="B632" s="217"/>
      <c r="C632" s="76"/>
      <c r="D632" s="76"/>
      <c r="E632" s="76"/>
      <c r="F632" s="302"/>
    </row>
    <row r="633" spans="2:6" ht="15" thickBot="1" x14ac:dyDescent="0.4">
      <c r="B633" s="217"/>
      <c r="C633" s="76"/>
      <c r="D633" s="76"/>
      <c r="E633" s="76"/>
      <c r="F633" s="302"/>
    </row>
    <row r="634" spans="2:6" ht="15" thickBot="1" x14ac:dyDescent="0.4">
      <c r="B634" s="217"/>
      <c r="C634" s="76"/>
      <c r="D634" s="76"/>
      <c r="E634" s="76"/>
      <c r="F634" s="302"/>
    </row>
    <row r="635" spans="2:6" ht="15" thickBot="1" x14ac:dyDescent="0.4">
      <c r="B635" s="217"/>
      <c r="C635" s="76"/>
      <c r="D635" s="76"/>
      <c r="E635" s="76"/>
      <c r="F635" s="302"/>
    </row>
    <row r="636" spans="2:6" ht="15" thickBot="1" x14ac:dyDescent="0.4">
      <c r="B636" s="217"/>
      <c r="C636" s="76"/>
      <c r="D636" s="76"/>
      <c r="E636" s="76"/>
      <c r="F636" s="302"/>
    </row>
    <row r="637" spans="2:6" ht="15" thickBot="1" x14ac:dyDescent="0.4">
      <c r="B637" s="217"/>
      <c r="C637" s="76"/>
      <c r="D637" s="76"/>
      <c r="E637" s="76"/>
      <c r="F637" s="302"/>
    </row>
    <row r="638" spans="2:6" ht="15" thickBot="1" x14ac:dyDescent="0.4">
      <c r="B638" s="217"/>
      <c r="C638" s="76"/>
      <c r="D638" s="76"/>
      <c r="E638" s="76"/>
      <c r="F638" s="302"/>
    </row>
    <row r="639" spans="2:6" ht="15" thickBot="1" x14ac:dyDescent="0.4">
      <c r="B639" s="217"/>
      <c r="C639" s="76"/>
      <c r="D639" s="76"/>
      <c r="E639" s="76"/>
      <c r="F639" s="302"/>
    </row>
    <row r="640" spans="2:6" ht="15" thickBot="1" x14ac:dyDescent="0.4">
      <c r="B640" s="217"/>
      <c r="C640" s="76"/>
      <c r="D640" s="76"/>
      <c r="E640" s="76"/>
      <c r="F640" s="302"/>
    </row>
    <row r="641" spans="2:6" ht="15" thickBot="1" x14ac:dyDescent="0.4">
      <c r="B641" s="217"/>
      <c r="C641" s="76"/>
      <c r="D641" s="76"/>
      <c r="E641" s="76"/>
      <c r="F641" s="302"/>
    </row>
    <row r="642" spans="2:6" ht="15" thickBot="1" x14ac:dyDescent="0.4">
      <c r="B642" s="217"/>
      <c r="C642" s="76"/>
      <c r="D642" s="76"/>
      <c r="E642" s="76"/>
      <c r="F642" s="302"/>
    </row>
    <row r="643" spans="2:6" ht="15" thickBot="1" x14ac:dyDescent="0.4">
      <c r="B643" s="217"/>
      <c r="C643" s="76"/>
      <c r="D643" s="76"/>
      <c r="E643" s="76"/>
      <c r="F643" s="302"/>
    </row>
    <row r="644" spans="2:6" ht="15" thickBot="1" x14ac:dyDescent="0.4">
      <c r="B644" s="217"/>
      <c r="C644" s="76"/>
      <c r="D644" s="76"/>
      <c r="E644" s="76"/>
      <c r="F644" s="302"/>
    </row>
    <row r="645" spans="2:6" ht="15" thickBot="1" x14ac:dyDescent="0.4">
      <c r="B645" s="217"/>
      <c r="C645" s="76"/>
      <c r="D645" s="76"/>
      <c r="E645" s="76"/>
      <c r="F645" s="302"/>
    </row>
    <row r="646" spans="2:6" ht="15" thickBot="1" x14ac:dyDescent="0.4">
      <c r="B646" s="217"/>
      <c r="C646" s="76"/>
      <c r="D646" s="76"/>
      <c r="E646" s="76"/>
      <c r="F646" s="302"/>
    </row>
    <row r="647" spans="2:6" ht="15" thickBot="1" x14ac:dyDescent="0.4">
      <c r="B647" s="217"/>
      <c r="C647" s="76"/>
      <c r="D647" s="76"/>
      <c r="E647" s="76"/>
      <c r="F647" s="302"/>
    </row>
    <row r="648" spans="2:6" ht="15" thickBot="1" x14ac:dyDescent="0.4">
      <c r="B648" s="217"/>
      <c r="C648" s="76"/>
      <c r="D648" s="76"/>
      <c r="E648" s="76"/>
      <c r="F648" s="302"/>
    </row>
    <row r="649" spans="2:6" ht="15" thickBot="1" x14ac:dyDescent="0.4">
      <c r="B649" s="217"/>
      <c r="C649" s="76"/>
      <c r="D649" s="76"/>
      <c r="E649" s="76"/>
      <c r="F649" s="302"/>
    </row>
    <row r="650" spans="2:6" ht="15" thickBot="1" x14ac:dyDescent="0.4">
      <c r="B650" s="217"/>
      <c r="C650" s="76"/>
      <c r="D650" s="76"/>
      <c r="E650" s="76"/>
      <c r="F650" s="302"/>
    </row>
    <row r="651" spans="2:6" ht="15" thickBot="1" x14ac:dyDescent="0.4">
      <c r="B651" s="217"/>
      <c r="C651" s="76"/>
      <c r="D651" s="76"/>
      <c r="E651" s="76"/>
      <c r="F651" s="302"/>
    </row>
    <row r="652" spans="2:6" ht="15" thickBot="1" x14ac:dyDescent="0.4">
      <c r="B652" s="217"/>
      <c r="C652" s="76"/>
      <c r="D652" s="76"/>
      <c r="E652" s="76"/>
      <c r="F652" s="302"/>
    </row>
    <row r="653" spans="2:6" ht="15" thickBot="1" x14ac:dyDescent="0.4">
      <c r="B653" s="217"/>
      <c r="C653" s="76"/>
      <c r="D653" s="76"/>
      <c r="E653" s="76"/>
      <c r="F653" s="302"/>
    </row>
    <row r="654" spans="2:6" ht="15" thickBot="1" x14ac:dyDescent="0.4">
      <c r="B654" s="217"/>
      <c r="C654" s="76"/>
      <c r="D654" s="76"/>
      <c r="E654" s="76"/>
      <c r="F654" s="302"/>
    </row>
    <row r="655" spans="2:6" ht="15" thickBot="1" x14ac:dyDescent="0.4">
      <c r="B655" s="217"/>
      <c r="C655" s="76"/>
      <c r="D655" s="76"/>
      <c r="E655" s="76"/>
      <c r="F655" s="302"/>
    </row>
    <row r="656" spans="2:6" ht="15" thickBot="1" x14ac:dyDescent="0.4">
      <c r="B656" s="217"/>
      <c r="C656" s="76"/>
      <c r="D656" s="76"/>
      <c r="E656" s="76"/>
      <c r="F656" s="302"/>
    </row>
    <row r="657" spans="2:6" ht="15" thickBot="1" x14ac:dyDescent="0.4">
      <c r="B657" s="217"/>
      <c r="C657" s="76"/>
      <c r="D657" s="76"/>
      <c r="E657" s="76"/>
      <c r="F657" s="302"/>
    </row>
    <row r="658" spans="2:6" ht="15" thickBot="1" x14ac:dyDescent="0.4">
      <c r="B658" s="217"/>
      <c r="C658" s="76"/>
      <c r="D658" s="76"/>
      <c r="E658" s="76"/>
      <c r="F658" s="302"/>
    </row>
    <row r="659" spans="2:6" ht="15" thickBot="1" x14ac:dyDescent="0.4">
      <c r="B659" s="217"/>
      <c r="C659" s="76"/>
      <c r="D659" s="76"/>
      <c r="E659" s="76"/>
      <c r="F659" s="302"/>
    </row>
    <row r="660" spans="2:6" ht="15" thickBot="1" x14ac:dyDescent="0.4">
      <c r="B660" s="217"/>
      <c r="C660" s="76"/>
      <c r="D660" s="76"/>
      <c r="E660" s="76"/>
      <c r="F660" s="302"/>
    </row>
    <row r="661" spans="2:6" ht="15" thickBot="1" x14ac:dyDescent="0.4">
      <c r="B661" s="217"/>
      <c r="C661" s="76"/>
      <c r="D661" s="76"/>
      <c r="E661" s="76"/>
      <c r="F661" s="302"/>
    </row>
    <row r="662" spans="2:6" ht="15" thickBot="1" x14ac:dyDescent="0.4">
      <c r="B662" s="217"/>
      <c r="C662" s="76"/>
      <c r="D662" s="76"/>
      <c r="E662" s="76"/>
      <c r="F662" s="302"/>
    </row>
    <row r="663" spans="2:6" ht="15" thickBot="1" x14ac:dyDescent="0.4">
      <c r="B663" s="217"/>
      <c r="C663" s="76"/>
      <c r="D663" s="76"/>
      <c r="E663" s="76"/>
      <c r="F663" s="302"/>
    </row>
    <row r="664" spans="2:6" ht="15" thickBot="1" x14ac:dyDescent="0.4">
      <c r="B664" s="217"/>
      <c r="C664" s="76"/>
      <c r="D664" s="76"/>
      <c r="E664" s="76"/>
      <c r="F664" s="302"/>
    </row>
    <row r="665" spans="2:6" ht="15" thickBot="1" x14ac:dyDescent="0.4">
      <c r="B665" s="217"/>
      <c r="C665" s="76"/>
      <c r="D665" s="76"/>
      <c r="E665" s="76"/>
      <c r="F665" s="302"/>
    </row>
    <row r="666" spans="2:6" ht="15" thickBot="1" x14ac:dyDescent="0.4">
      <c r="B666" s="217"/>
      <c r="C666" s="76"/>
      <c r="D666" s="76"/>
      <c r="E666" s="76"/>
      <c r="F666" s="302"/>
    </row>
    <row r="667" spans="2:6" ht="15" thickBot="1" x14ac:dyDescent="0.4">
      <c r="B667" s="217"/>
      <c r="C667" s="76"/>
      <c r="D667" s="76"/>
      <c r="E667" s="76"/>
      <c r="F667" s="302"/>
    </row>
    <row r="668" spans="2:6" ht="15" thickBot="1" x14ac:dyDescent="0.4">
      <c r="B668" s="217"/>
      <c r="C668" s="76"/>
      <c r="D668" s="76"/>
      <c r="E668" s="76"/>
      <c r="F668" s="302"/>
    </row>
    <row r="669" spans="2:6" ht="15" thickBot="1" x14ac:dyDescent="0.4">
      <c r="B669" s="217"/>
      <c r="C669" s="76"/>
      <c r="D669" s="76"/>
      <c r="E669" s="76"/>
      <c r="F669" s="302"/>
    </row>
    <row r="670" spans="2:6" ht="15" thickBot="1" x14ac:dyDescent="0.4">
      <c r="B670" s="217"/>
      <c r="C670" s="76"/>
      <c r="D670" s="76"/>
      <c r="E670" s="76"/>
      <c r="F670" s="302"/>
    </row>
    <row r="671" spans="2:6" ht="15" thickBot="1" x14ac:dyDescent="0.4">
      <c r="B671" s="217"/>
      <c r="C671" s="76"/>
      <c r="D671" s="76"/>
      <c r="E671" s="76"/>
      <c r="F671" s="302"/>
    </row>
    <row r="672" spans="2:6" ht="15" thickBot="1" x14ac:dyDescent="0.4">
      <c r="B672" s="217"/>
      <c r="C672" s="76"/>
      <c r="D672" s="76"/>
      <c r="E672" s="76"/>
      <c r="F672" s="302"/>
    </row>
    <row r="673" spans="2:6" ht="15" thickBot="1" x14ac:dyDescent="0.4">
      <c r="B673" s="217"/>
      <c r="C673" s="76"/>
      <c r="D673" s="76"/>
      <c r="E673" s="76"/>
      <c r="F673" s="302"/>
    </row>
    <row r="674" spans="2:6" ht="15" thickBot="1" x14ac:dyDescent="0.4">
      <c r="B674" s="217"/>
      <c r="C674" s="76"/>
      <c r="D674" s="76"/>
      <c r="E674" s="76"/>
      <c r="F674" s="302"/>
    </row>
    <row r="675" spans="2:6" ht="15" thickBot="1" x14ac:dyDescent="0.4">
      <c r="B675" s="217"/>
      <c r="C675" s="76"/>
      <c r="D675" s="76"/>
      <c r="E675" s="76"/>
      <c r="F675" s="302"/>
    </row>
    <row r="676" spans="2:6" ht="15" thickBot="1" x14ac:dyDescent="0.4">
      <c r="B676" s="217"/>
      <c r="C676" s="76"/>
      <c r="D676" s="76"/>
      <c r="E676" s="76"/>
      <c r="F676" s="302"/>
    </row>
    <row r="677" spans="2:6" ht="15" thickBot="1" x14ac:dyDescent="0.4">
      <c r="B677" s="217"/>
      <c r="C677" s="76"/>
      <c r="D677" s="76"/>
      <c r="E677" s="76"/>
      <c r="F677" s="302"/>
    </row>
    <row r="678" spans="2:6" ht="15" thickBot="1" x14ac:dyDescent="0.4">
      <c r="B678" s="217"/>
      <c r="C678" s="76"/>
      <c r="D678" s="76"/>
      <c r="E678" s="76"/>
      <c r="F678" s="302"/>
    </row>
    <row r="679" spans="2:6" ht="15" thickBot="1" x14ac:dyDescent="0.4">
      <c r="B679" s="217"/>
      <c r="C679" s="76"/>
      <c r="D679" s="76"/>
      <c r="E679" s="76"/>
      <c r="F679" s="302"/>
    </row>
    <row r="680" spans="2:6" ht="15" thickBot="1" x14ac:dyDescent="0.4">
      <c r="B680" s="217"/>
      <c r="C680" s="76"/>
      <c r="D680" s="76"/>
      <c r="E680" s="76"/>
      <c r="F680" s="302"/>
    </row>
    <row r="681" spans="2:6" ht="15" thickBot="1" x14ac:dyDescent="0.4">
      <c r="B681" s="217"/>
      <c r="C681" s="76"/>
      <c r="D681" s="76"/>
      <c r="E681" s="76"/>
      <c r="F681" s="302"/>
    </row>
    <row r="682" spans="2:6" ht="15" thickBot="1" x14ac:dyDescent="0.4">
      <c r="B682" s="217"/>
      <c r="C682" s="76"/>
      <c r="D682" s="76"/>
      <c r="E682" s="76"/>
      <c r="F682" s="302"/>
    </row>
    <row r="683" spans="2:6" ht="15" thickBot="1" x14ac:dyDescent="0.4">
      <c r="B683" s="217"/>
      <c r="C683" s="76"/>
      <c r="D683" s="76"/>
      <c r="E683" s="76"/>
      <c r="F683" s="302"/>
    </row>
    <row r="684" spans="2:6" ht="15" thickBot="1" x14ac:dyDescent="0.4">
      <c r="B684" s="217"/>
      <c r="C684" s="76"/>
      <c r="D684" s="76"/>
      <c r="E684" s="76"/>
      <c r="F684" s="302"/>
    </row>
    <row r="685" spans="2:6" ht="15" thickBot="1" x14ac:dyDescent="0.4">
      <c r="B685" s="217"/>
      <c r="C685" s="76"/>
      <c r="D685" s="76"/>
      <c r="E685" s="76"/>
      <c r="F685" s="302"/>
    </row>
    <row r="686" spans="2:6" ht="15" thickBot="1" x14ac:dyDescent="0.4">
      <c r="B686" s="217"/>
      <c r="C686" s="76"/>
      <c r="D686" s="76"/>
      <c r="E686" s="76"/>
      <c r="F686" s="302"/>
    </row>
    <row r="687" spans="2:6" ht="15" thickBot="1" x14ac:dyDescent="0.4">
      <c r="B687" s="217"/>
      <c r="C687" s="76"/>
      <c r="D687" s="76"/>
      <c r="E687" s="76"/>
      <c r="F687" s="302"/>
    </row>
    <row r="688" spans="2:6" ht="15" thickBot="1" x14ac:dyDescent="0.4">
      <c r="B688" s="217"/>
      <c r="C688" s="76"/>
      <c r="D688" s="76"/>
      <c r="E688" s="76"/>
      <c r="F688" s="302"/>
    </row>
    <row r="689" spans="2:6" ht="15" thickBot="1" x14ac:dyDescent="0.4">
      <c r="B689" s="217"/>
      <c r="C689" s="76"/>
      <c r="D689" s="76"/>
      <c r="E689" s="76"/>
      <c r="F689" s="302"/>
    </row>
    <row r="690" spans="2:6" ht="15" thickBot="1" x14ac:dyDescent="0.4">
      <c r="B690" s="217"/>
      <c r="C690" s="76"/>
      <c r="D690" s="76"/>
      <c r="E690" s="76"/>
      <c r="F690" s="302"/>
    </row>
    <row r="691" spans="2:6" ht="15" thickBot="1" x14ac:dyDescent="0.4">
      <c r="B691" s="217"/>
      <c r="C691" s="76"/>
      <c r="D691" s="76"/>
      <c r="E691" s="76"/>
      <c r="F691" s="302"/>
    </row>
    <row r="692" spans="2:6" ht="15" thickBot="1" x14ac:dyDescent="0.4">
      <c r="B692" s="217"/>
      <c r="C692" s="76"/>
      <c r="D692" s="76"/>
      <c r="E692" s="76"/>
      <c r="F692" s="302"/>
    </row>
    <row r="693" spans="2:6" ht="15" thickBot="1" x14ac:dyDescent="0.4">
      <c r="B693" s="217"/>
      <c r="C693" s="76"/>
      <c r="D693" s="76"/>
      <c r="E693" s="76"/>
      <c r="F693" s="302"/>
    </row>
    <row r="694" spans="2:6" ht="15" thickBot="1" x14ac:dyDescent="0.4">
      <c r="B694" s="217"/>
      <c r="C694" s="76"/>
      <c r="D694" s="76"/>
      <c r="E694" s="76"/>
      <c r="F694" s="302"/>
    </row>
    <row r="695" spans="2:6" ht="15" thickBot="1" x14ac:dyDescent="0.4">
      <c r="B695" s="217"/>
      <c r="C695" s="76"/>
      <c r="D695" s="76"/>
      <c r="E695" s="76"/>
      <c r="F695" s="302"/>
    </row>
    <row r="696" spans="2:6" ht="15" thickBot="1" x14ac:dyDescent="0.4">
      <c r="B696" s="217"/>
      <c r="C696" s="76"/>
      <c r="D696" s="76"/>
      <c r="E696" s="76"/>
      <c r="F696" s="302"/>
    </row>
    <row r="697" spans="2:6" ht="15" thickBot="1" x14ac:dyDescent="0.4">
      <c r="B697" s="217"/>
      <c r="C697" s="76"/>
      <c r="D697" s="76"/>
      <c r="E697" s="76"/>
      <c r="F697" s="302"/>
    </row>
    <row r="698" spans="2:6" ht="15" thickBot="1" x14ac:dyDescent="0.4">
      <c r="B698" s="217"/>
      <c r="C698" s="76"/>
      <c r="D698" s="76"/>
      <c r="E698" s="76"/>
      <c r="F698" s="302"/>
    </row>
    <row r="699" spans="2:6" ht="15" thickBot="1" x14ac:dyDescent="0.4">
      <c r="B699" s="217"/>
      <c r="C699" s="76"/>
      <c r="D699" s="76"/>
      <c r="E699" s="76"/>
      <c r="F699" s="302"/>
    </row>
    <row r="700" spans="2:6" ht="15" thickBot="1" x14ac:dyDescent="0.4">
      <c r="B700" s="217"/>
      <c r="C700" s="76"/>
      <c r="D700" s="76"/>
      <c r="E700" s="76"/>
      <c r="F700" s="302"/>
    </row>
    <row r="701" spans="2:6" ht="15" thickBot="1" x14ac:dyDescent="0.4">
      <c r="B701" s="217"/>
      <c r="C701" s="76"/>
      <c r="D701" s="76"/>
      <c r="E701" s="76"/>
      <c r="F701" s="302"/>
    </row>
    <row r="702" spans="2:6" ht="15" thickBot="1" x14ac:dyDescent="0.4">
      <c r="B702" s="217"/>
      <c r="C702" s="76"/>
      <c r="D702" s="76"/>
      <c r="E702" s="76"/>
      <c r="F702" s="302"/>
    </row>
    <row r="703" spans="2:6" ht="15" thickBot="1" x14ac:dyDescent="0.4">
      <c r="B703" s="217"/>
      <c r="C703" s="76"/>
      <c r="D703" s="76"/>
      <c r="E703" s="76"/>
      <c r="F703" s="302"/>
    </row>
    <row r="704" spans="2:6" ht="15" thickBot="1" x14ac:dyDescent="0.4">
      <c r="B704" s="217"/>
      <c r="C704" s="76"/>
      <c r="D704" s="76"/>
      <c r="E704" s="76"/>
      <c r="F704" s="302"/>
    </row>
    <row r="705" spans="2:6" ht="15" thickBot="1" x14ac:dyDescent="0.4">
      <c r="B705" s="217"/>
      <c r="C705" s="76"/>
      <c r="D705" s="76"/>
      <c r="E705" s="76"/>
      <c r="F705" s="302"/>
    </row>
    <row r="706" spans="2:6" ht="15" thickBot="1" x14ac:dyDescent="0.4">
      <c r="B706" s="217"/>
      <c r="C706" s="76"/>
      <c r="D706" s="76"/>
      <c r="E706" s="76"/>
      <c r="F706" s="302"/>
    </row>
    <row r="707" spans="2:6" ht="15" thickBot="1" x14ac:dyDescent="0.4">
      <c r="B707" s="217"/>
      <c r="C707" s="76"/>
      <c r="D707" s="76"/>
      <c r="E707" s="76"/>
      <c r="F707" s="302"/>
    </row>
    <row r="708" spans="2:6" ht="15" thickBot="1" x14ac:dyDescent="0.4">
      <c r="B708" s="217"/>
      <c r="C708" s="76"/>
      <c r="D708" s="76"/>
      <c r="E708" s="76"/>
      <c r="F708" s="302"/>
    </row>
    <row r="709" spans="2:6" ht="15" thickBot="1" x14ac:dyDescent="0.4">
      <c r="B709" s="217"/>
      <c r="C709" s="76"/>
      <c r="D709" s="76"/>
      <c r="E709" s="76"/>
      <c r="F709" s="302"/>
    </row>
    <row r="710" spans="2:6" ht="15" thickBot="1" x14ac:dyDescent="0.4">
      <c r="B710" s="217"/>
      <c r="C710" s="76"/>
      <c r="D710" s="76"/>
      <c r="E710" s="76"/>
      <c r="F710" s="302"/>
    </row>
    <row r="711" spans="2:6" ht="15" thickBot="1" x14ac:dyDescent="0.4">
      <c r="B711" s="217"/>
      <c r="C711" s="76"/>
      <c r="D711" s="76"/>
      <c r="E711" s="76"/>
      <c r="F711" s="302"/>
    </row>
    <row r="712" spans="2:6" ht="15" thickBot="1" x14ac:dyDescent="0.4">
      <c r="B712" s="217"/>
      <c r="C712" s="76"/>
      <c r="D712" s="76"/>
      <c r="E712" s="76"/>
      <c r="F712" s="302"/>
    </row>
    <row r="713" spans="2:6" ht="15" thickBot="1" x14ac:dyDescent="0.4">
      <c r="B713" s="217"/>
      <c r="C713" s="76"/>
      <c r="D713" s="76"/>
      <c r="E713" s="76"/>
      <c r="F713" s="302"/>
    </row>
    <row r="714" spans="2:6" ht="15" thickBot="1" x14ac:dyDescent="0.4">
      <c r="B714" s="217"/>
      <c r="C714" s="76"/>
      <c r="D714" s="76"/>
      <c r="E714" s="76"/>
      <c r="F714" s="302"/>
    </row>
    <row r="715" spans="2:6" ht="15" thickBot="1" x14ac:dyDescent="0.4">
      <c r="B715" s="217"/>
      <c r="C715" s="76"/>
      <c r="D715" s="76"/>
      <c r="E715" s="76"/>
      <c r="F715" s="302"/>
    </row>
    <row r="716" spans="2:6" ht="15" thickBot="1" x14ac:dyDescent="0.4">
      <c r="B716" s="217"/>
      <c r="C716" s="76"/>
      <c r="D716" s="76"/>
      <c r="E716" s="76"/>
      <c r="F716" s="302"/>
    </row>
    <row r="717" spans="2:6" ht="15" thickBot="1" x14ac:dyDescent="0.4">
      <c r="B717" s="217"/>
      <c r="C717" s="76"/>
      <c r="D717" s="76"/>
      <c r="E717" s="76"/>
      <c r="F717" s="302"/>
    </row>
    <row r="718" spans="2:6" ht="15" thickBot="1" x14ac:dyDescent="0.4">
      <c r="B718" s="217"/>
      <c r="C718" s="76"/>
      <c r="D718" s="76"/>
      <c r="E718" s="76"/>
      <c r="F718" s="302"/>
    </row>
    <row r="719" spans="2:6" ht="15" thickBot="1" x14ac:dyDescent="0.4">
      <c r="B719" s="217"/>
      <c r="C719" s="76"/>
      <c r="D719" s="76"/>
      <c r="E719" s="76"/>
      <c r="F719" s="302"/>
    </row>
    <row r="720" spans="2:6" ht="15" thickBot="1" x14ac:dyDescent="0.4">
      <c r="B720" s="217"/>
      <c r="C720" s="76"/>
      <c r="D720" s="76"/>
      <c r="E720" s="76"/>
      <c r="F720" s="302"/>
    </row>
    <row r="721" spans="2:6" ht="15" thickBot="1" x14ac:dyDescent="0.4">
      <c r="B721" s="217"/>
      <c r="C721" s="76"/>
      <c r="D721" s="76"/>
      <c r="E721" s="76"/>
      <c r="F721" s="302"/>
    </row>
    <row r="722" spans="2:6" ht="15" thickBot="1" x14ac:dyDescent="0.4">
      <c r="B722" s="217"/>
      <c r="C722" s="76"/>
      <c r="D722" s="76"/>
      <c r="E722" s="76"/>
      <c r="F722" s="302"/>
    </row>
    <row r="723" spans="2:6" ht="15" thickBot="1" x14ac:dyDescent="0.4">
      <c r="B723" s="217"/>
      <c r="C723" s="76"/>
      <c r="D723" s="76"/>
      <c r="E723" s="76"/>
      <c r="F723" s="302"/>
    </row>
    <row r="724" spans="2:6" ht="15" thickBot="1" x14ac:dyDescent="0.4">
      <c r="B724" s="217"/>
      <c r="C724" s="76"/>
      <c r="D724" s="76"/>
      <c r="E724" s="76"/>
      <c r="F724" s="302"/>
    </row>
    <row r="725" spans="2:6" ht="15" thickBot="1" x14ac:dyDescent="0.4">
      <c r="B725" s="217"/>
      <c r="C725" s="76"/>
      <c r="D725" s="76"/>
      <c r="E725" s="76"/>
      <c r="F725" s="302"/>
    </row>
    <row r="726" spans="2:6" ht="15" thickBot="1" x14ac:dyDescent="0.4">
      <c r="B726" s="217"/>
      <c r="C726" s="76"/>
      <c r="D726" s="76"/>
      <c r="E726" s="76"/>
      <c r="F726" s="302"/>
    </row>
    <row r="727" spans="2:6" ht="15" thickBot="1" x14ac:dyDescent="0.4">
      <c r="B727" s="217"/>
      <c r="C727" s="76"/>
      <c r="D727" s="76"/>
      <c r="E727" s="76"/>
      <c r="F727" s="302"/>
    </row>
    <row r="728" spans="2:6" ht="15" thickBot="1" x14ac:dyDescent="0.4">
      <c r="B728" s="217"/>
      <c r="C728" s="76"/>
      <c r="D728" s="76"/>
      <c r="E728" s="76"/>
      <c r="F728" s="302"/>
    </row>
    <row r="729" spans="2:6" ht="15" thickBot="1" x14ac:dyDescent="0.4">
      <c r="B729" s="217"/>
      <c r="C729" s="76"/>
      <c r="D729" s="76"/>
      <c r="E729" s="76"/>
      <c r="F729" s="302"/>
    </row>
    <row r="730" spans="2:6" ht="15" thickBot="1" x14ac:dyDescent="0.4">
      <c r="B730" s="217"/>
      <c r="C730" s="76"/>
      <c r="D730" s="76"/>
      <c r="E730" s="76"/>
      <c r="F730" s="302"/>
    </row>
    <row r="731" spans="2:6" ht="15" thickBot="1" x14ac:dyDescent="0.4">
      <c r="B731" s="217"/>
      <c r="C731" s="76"/>
      <c r="D731" s="76"/>
      <c r="E731" s="76"/>
      <c r="F731" s="302"/>
    </row>
    <row r="732" spans="2:6" ht="15" thickBot="1" x14ac:dyDescent="0.4">
      <c r="B732" s="217"/>
      <c r="C732" s="76"/>
      <c r="D732" s="76"/>
      <c r="E732" s="76"/>
      <c r="F732" s="302"/>
    </row>
    <row r="733" spans="2:6" ht="15" thickBot="1" x14ac:dyDescent="0.4">
      <c r="B733" s="217"/>
      <c r="C733" s="76"/>
      <c r="D733" s="76"/>
      <c r="E733" s="76"/>
      <c r="F733" s="302"/>
    </row>
    <row r="734" spans="2:6" ht="15" thickBot="1" x14ac:dyDescent="0.4">
      <c r="B734" s="217"/>
      <c r="C734" s="76"/>
      <c r="D734" s="76"/>
      <c r="E734" s="76"/>
      <c r="F734" s="302"/>
    </row>
    <row r="735" spans="2:6" ht="15" thickBot="1" x14ac:dyDescent="0.4">
      <c r="B735" s="217"/>
      <c r="C735" s="76"/>
      <c r="D735" s="76"/>
      <c r="E735" s="76"/>
      <c r="F735" s="302"/>
    </row>
    <row r="736" spans="2:6" ht="15" thickBot="1" x14ac:dyDescent="0.4">
      <c r="B736" s="217"/>
      <c r="C736" s="76"/>
      <c r="D736" s="76"/>
      <c r="E736" s="76"/>
      <c r="F736" s="302"/>
    </row>
    <row r="737" spans="2:6" ht="15" thickBot="1" x14ac:dyDescent="0.4">
      <c r="B737" s="217"/>
      <c r="C737" s="76"/>
      <c r="D737" s="76"/>
      <c r="E737" s="76"/>
      <c r="F737" s="302"/>
    </row>
    <row r="738" spans="2:6" ht="15" thickBot="1" x14ac:dyDescent="0.4">
      <c r="B738" s="217"/>
      <c r="C738" s="76"/>
      <c r="D738" s="76"/>
      <c r="E738" s="76"/>
      <c r="F738" s="302"/>
    </row>
    <row r="739" spans="2:6" ht="15" thickBot="1" x14ac:dyDescent="0.4">
      <c r="B739" s="217"/>
      <c r="C739" s="76"/>
      <c r="D739" s="76"/>
      <c r="E739" s="76"/>
      <c r="F739" s="302"/>
    </row>
    <row r="740" spans="2:6" ht="15" thickBot="1" x14ac:dyDescent="0.4">
      <c r="B740" s="217"/>
      <c r="C740" s="76"/>
      <c r="D740" s="76"/>
      <c r="E740" s="76"/>
      <c r="F740" s="302"/>
    </row>
    <row r="741" spans="2:6" ht="15" thickBot="1" x14ac:dyDescent="0.4">
      <c r="B741" s="217"/>
      <c r="C741" s="76"/>
      <c r="D741" s="76"/>
      <c r="E741" s="76"/>
      <c r="F741" s="302"/>
    </row>
    <row r="742" spans="2:6" ht="15" thickBot="1" x14ac:dyDescent="0.4">
      <c r="B742" s="217"/>
      <c r="C742" s="76"/>
      <c r="D742" s="76"/>
      <c r="E742" s="76"/>
      <c r="F742" s="302"/>
    </row>
    <row r="743" spans="2:6" ht="15" thickBot="1" x14ac:dyDescent="0.4">
      <c r="B743" s="217"/>
      <c r="C743" s="76"/>
      <c r="D743" s="76"/>
      <c r="E743" s="76"/>
      <c r="F743" s="302"/>
    </row>
    <row r="744" spans="2:6" ht="15" thickBot="1" x14ac:dyDescent="0.4">
      <c r="B744" s="217"/>
      <c r="C744" s="76"/>
      <c r="D744" s="76"/>
      <c r="E744" s="76"/>
      <c r="F744" s="302"/>
    </row>
    <row r="745" spans="2:6" ht="15" thickBot="1" x14ac:dyDescent="0.4">
      <c r="B745" s="217"/>
      <c r="C745" s="76"/>
      <c r="D745" s="76"/>
      <c r="E745" s="76"/>
      <c r="F745" s="302"/>
    </row>
    <row r="746" spans="2:6" ht="15" thickBot="1" x14ac:dyDescent="0.4">
      <c r="B746" s="217"/>
      <c r="C746" s="76"/>
      <c r="D746" s="76"/>
      <c r="E746" s="76"/>
      <c r="F746" s="302"/>
    </row>
    <row r="747" spans="2:6" ht="15" thickBot="1" x14ac:dyDescent="0.4">
      <c r="B747" s="217"/>
      <c r="C747" s="76"/>
      <c r="D747" s="76"/>
      <c r="E747" s="76"/>
      <c r="F747" s="302"/>
    </row>
    <row r="748" spans="2:6" ht="15" thickBot="1" x14ac:dyDescent="0.4">
      <c r="B748" s="217"/>
      <c r="C748" s="76"/>
      <c r="D748" s="76"/>
      <c r="E748" s="76"/>
      <c r="F748" s="302"/>
    </row>
    <row r="749" spans="2:6" ht="15" thickBot="1" x14ac:dyDescent="0.4">
      <c r="B749" s="217"/>
      <c r="C749" s="76"/>
      <c r="D749" s="76"/>
      <c r="E749" s="76"/>
      <c r="F749" s="302"/>
    </row>
    <row r="750" spans="2:6" ht="15" thickBot="1" x14ac:dyDescent="0.4">
      <c r="B750" s="217"/>
      <c r="C750" s="76"/>
      <c r="D750" s="76"/>
      <c r="E750" s="76"/>
      <c r="F750" s="302"/>
    </row>
    <row r="751" spans="2:6" ht="15" thickBot="1" x14ac:dyDescent="0.4">
      <c r="B751" s="217"/>
      <c r="C751" s="76"/>
      <c r="D751" s="76"/>
      <c r="E751" s="76"/>
      <c r="F751" s="302"/>
    </row>
    <row r="752" spans="2:6" ht="15" thickBot="1" x14ac:dyDescent="0.4">
      <c r="B752" s="217"/>
      <c r="C752" s="76"/>
      <c r="D752" s="76"/>
      <c r="E752" s="76"/>
      <c r="F752" s="302"/>
    </row>
    <row r="753" spans="2:6" ht="15" thickBot="1" x14ac:dyDescent="0.4">
      <c r="B753" s="217"/>
      <c r="C753" s="76"/>
      <c r="D753" s="76"/>
      <c r="E753" s="76"/>
      <c r="F753" s="302"/>
    </row>
    <row r="754" spans="2:6" ht="15" thickBot="1" x14ac:dyDescent="0.4">
      <c r="B754" s="217"/>
      <c r="C754" s="76"/>
      <c r="D754" s="76"/>
      <c r="E754" s="76"/>
      <c r="F754" s="302"/>
    </row>
    <row r="755" spans="2:6" ht="15" thickBot="1" x14ac:dyDescent="0.4">
      <c r="B755" s="217"/>
      <c r="C755" s="76"/>
      <c r="D755" s="76"/>
      <c r="E755" s="76"/>
      <c r="F755" s="302"/>
    </row>
    <row r="756" spans="2:6" ht="15" thickBot="1" x14ac:dyDescent="0.4">
      <c r="B756" s="217"/>
      <c r="C756" s="76"/>
      <c r="D756" s="76"/>
      <c r="E756" s="76"/>
      <c r="F756" s="302"/>
    </row>
    <row r="757" spans="2:6" ht="15" thickBot="1" x14ac:dyDescent="0.4">
      <c r="B757" s="217"/>
      <c r="C757" s="76"/>
      <c r="D757" s="76"/>
      <c r="E757" s="76"/>
      <c r="F757" s="302"/>
    </row>
    <row r="758" spans="2:6" ht="15" thickBot="1" x14ac:dyDescent="0.4">
      <c r="B758" s="217"/>
      <c r="C758" s="76"/>
      <c r="D758" s="76"/>
      <c r="E758" s="76"/>
      <c r="F758" s="302"/>
    </row>
    <row r="759" spans="2:6" ht="15" thickBot="1" x14ac:dyDescent="0.4">
      <c r="B759" s="217"/>
      <c r="C759" s="76"/>
      <c r="D759" s="76"/>
      <c r="E759" s="76"/>
      <c r="F759" s="302"/>
    </row>
    <row r="760" spans="2:6" ht="15" thickBot="1" x14ac:dyDescent="0.4">
      <c r="B760" s="217"/>
      <c r="C760" s="76"/>
      <c r="D760" s="76"/>
      <c r="E760" s="76"/>
      <c r="F760" s="302"/>
    </row>
    <row r="761" spans="2:6" ht="15" thickBot="1" x14ac:dyDescent="0.4">
      <c r="B761" s="217"/>
      <c r="C761" s="76"/>
      <c r="D761" s="76"/>
      <c r="E761" s="76"/>
      <c r="F761" s="302"/>
    </row>
    <row r="762" spans="2:6" ht="15" thickBot="1" x14ac:dyDescent="0.4">
      <c r="B762" s="217"/>
      <c r="C762" s="76"/>
      <c r="D762" s="76"/>
      <c r="E762" s="76"/>
      <c r="F762" s="302"/>
    </row>
    <row r="763" spans="2:6" ht="15" thickBot="1" x14ac:dyDescent="0.4">
      <c r="B763" s="217"/>
      <c r="C763" s="76"/>
      <c r="D763" s="76"/>
      <c r="E763" s="76"/>
      <c r="F763" s="302"/>
    </row>
    <row r="764" spans="2:6" ht="15" thickBot="1" x14ac:dyDescent="0.4">
      <c r="B764" s="217"/>
      <c r="C764" s="76"/>
      <c r="D764" s="76"/>
      <c r="E764" s="76"/>
      <c r="F764" s="302"/>
    </row>
    <row r="765" spans="2:6" ht="15" thickBot="1" x14ac:dyDescent="0.4">
      <c r="B765" s="217"/>
      <c r="C765" s="76"/>
      <c r="D765" s="76"/>
      <c r="E765" s="76"/>
      <c r="F765" s="302"/>
    </row>
    <row r="766" spans="2:6" ht="15" thickBot="1" x14ac:dyDescent="0.4">
      <c r="B766" s="217"/>
      <c r="C766" s="76"/>
      <c r="D766" s="76"/>
      <c r="E766" s="76"/>
      <c r="F766" s="302"/>
    </row>
    <row r="767" spans="2:6" ht="15" thickBot="1" x14ac:dyDescent="0.4">
      <c r="B767" s="217"/>
      <c r="C767" s="76"/>
      <c r="D767" s="76"/>
      <c r="E767" s="76"/>
      <c r="F767" s="302"/>
    </row>
    <row r="768" spans="2:6" ht="15" thickBot="1" x14ac:dyDescent="0.4">
      <c r="B768" s="217"/>
      <c r="C768" s="76"/>
      <c r="D768" s="76"/>
      <c r="E768" s="76"/>
      <c r="F768" s="302"/>
    </row>
    <row r="769" spans="2:6" ht="15" thickBot="1" x14ac:dyDescent="0.4">
      <c r="B769" s="217"/>
      <c r="C769" s="76"/>
      <c r="D769" s="76"/>
      <c r="E769" s="76"/>
      <c r="F769" s="302"/>
    </row>
    <row r="770" spans="2:6" ht="15" thickBot="1" x14ac:dyDescent="0.4">
      <c r="B770" s="217"/>
      <c r="C770" s="76"/>
      <c r="D770" s="76"/>
      <c r="E770" s="76"/>
      <c r="F770" s="302"/>
    </row>
    <row r="771" spans="2:6" ht="15" thickBot="1" x14ac:dyDescent="0.4">
      <c r="B771" s="217"/>
      <c r="C771" s="76"/>
      <c r="D771" s="76"/>
      <c r="E771" s="76"/>
      <c r="F771" s="302"/>
    </row>
    <row r="772" spans="2:6" ht="15" thickBot="1" x14ac:dyDescent="0.4">
      <c r="B772" s="217"/>
      <c r="C772" s="76"/>
      <c r="D772" s="76"/>
      <c r="E772" s="76"/>
      <c r="F772" s="302"/>
    </row>
    <row r="773" spans="2:6" ht="15" thickBot="1" x14ac:dyDescent="0.4">
      <c r="B773" s="217"/>
      <c r="C773" s="76"/>
      <c r="D773" s="76"/>
      <c r="E773" s="76"/>
      <c r="F773" s="302"/>
    </row>
    <row r="774" spans="2:6" ht="15" thickBot="1" x14ac:dyDescent="0.4">
      <c r="B774" s="217"/>
      <c r="C774" s="76"/>
      <c r="D774" s="76"/>
      <c r="E774" s="76"/>
      <c r="F774" s="302"/>
    </row>
    <row r="775" spans="2:6" ht="15" thickBot="1" x14ac:dyDescent="0.4">
      <c r="B775" s="217"/>
      <c r="C775" s="76"/>
      <c r="D775" s="76"/>
      <c r="E775" s="76"/>
      <c r="F775" s="302"/>
    </row>
    <row r="776" spans="2:6" ht="15" thickBot="1" x14ac:dyDescent="0.4">
      <c r="B776" s="217"/>
      <c r="C776" s="76"/>
      <c r="D776" s="76"/>
      <c r="E776" s="76"/>
      <c r="F776" s="302"/>
    </row>
    <row r="777" spans="2:6" ht="15" thickBot="1" x14ac:dyDescent="0.4">
      <c r="B777" s="217"/>
      <c r="C777" s="76"/>
      <c r="D777" s="76"/>
      <c r="E777" s="76"/>
      <c r="F777" s="302"/>
    </row>
    <row r="778" spans="2:6" ht="15" thickBot="1" x14ac:dyDescent="0.4">
      <c r="B778" s="217"/>
      <c r="C778" s="76"/>
      <c r="D778" s="76"/>
      <c r="E778" s="76"/>
      <c r="F778" s="302"/>
    </row>
    <row r="779" spans="2:6" ht="15" thickBot="1" x14ac:dyDescent="0.4">
      <c r="B779" s="217"/>
      <c r="C779" s="76"/>
      <c r="D779" s="76"/>
      <c r="E779" s="76"/>
      <c r="F779" s="302"/>
    </row>
    <row r="780" spans="2:6" ht="15" thickBot="1" x14ac:dyDescent="0.4">
      <c r="B780" s="217"/>
      <c r="C780" s="76"/>
      <c r="D780" s="76"/>
      <c r="E780" s="76"/>
      <c r="F780" s="302"/>
    </row>
    <row r="781" spans="2:6" ht="15" thickBot="1" x14ac:dyDescent="0.4">
      <c r="B781" s="217"/>
      <c r="C781" s="76"/>
      <c r="D781" s="76"/>
      <c r="E781" s="76"/>
      <c r="F781" s="302"/>
    </row>
    <row r="782" spans="2:6" ht="15" thickBot="1" x14ac:dyDescent="0.4">
      <c r="B782" s="217"/>
      <c r="C782" s="76"/>
      <c r="D782" s="76"/>
      <c r="E782" s="76"/>
      <c r="F782" s="302"/>
    </row>
    <row r="783" spans="2:6" ht="15" thickBot="1" x14ac:dyDescent="0.4">
      <c r="B783" s="217"/>
      <c r="C783" s="76"/>
      <c r="D783" s="76"/>
      <c r="E783" s="76"/>
      <c r="F783" s="302"/>
    </row>
    <row r="784" spans="2:6" ht="15" thickBot="1" x14ac:dyDescent="0.4">
      <c r="B784" s="217"/>
      <c r="C784" s="76"/>
      <c r="D784" s="76"/>
      <c r="E784" s="76"/>
      <c r="F784" s="302"/>
    </row>
    <row r="785" spans="2:6" ht="15" thickBot="1" x14ac:dyDescent="0.4">
      <c r="B785" s="217"/>
      <c r="C785" s="76"/>
      <c r="D785" s="76"/>
      <c r="E785" s="76"/>
      <c r="F785" s="302"/>
    </row>
    <row r="786" spans="2:6" ht="15" thickBot="1" x14ac:dyDescent="0.4">
      <c r="B786" s="217"/>
      <c r="C786" s="76"/>
      <c r="D786" s="76"/>
      <c r="E786" s="76"/>
      <c r="F786" s="302"/>
    </row>
    <row r="787" spans="2:6" ht="15" thickBot="1" x14ac:dyDescent="0.4">
      <c r="B787" s="217"/>
      <c r="C787" s="76"/>
      <c r="D787" s="76"/>
      <c r="E787" s="76"/>
      <c r="F787" s="302"/>
    </row>
    <row r="788" spans="2:6" ht="15" thickBot="1" x14ac:dyDescent="0.4">
      <c r="B788" s="217"/>
      <c r="C788" s="76"/>
      <c r="D788" s="76"/>
      <c r="E788" s="76"/>
      <c r="F788" s="302"/>
    </row>
    <row r="789" spans="2:6" ht="15" thickBot="1" x14ac:dyDescent="0.4">
      <c r="B789" s="217"/>
      <c r="C789" s="76"/>
      <c r="D789" s="76"/>
      <c r="E789" s="76"/>
      <c r="F789" s="302"/>
    </row>
    <row r="790" spans="2:6" ht="15" thickBot="1" x14ac:dyDescent="0.4">
      <c r="B790" s="217"/>
      <c r="C790" s="76"/>
      <c r="D790" s="76"/>
      <c r="E790" s="76"/>
      <c r="F790" s="302"/>
    </row>
    <row r="791" spans="2:6" ht="15" thickBot="1" x14ac:dyDescent="0.4">
      <c r="B791" s="217"/>
      <c r="C791" s="76"/>
      <c r="D791" s="76"/>
      <c r="E791" s="76"/>
      <c r="F791" s="302"/>
    </row>
    <row r="792" spans="2:6" ht="15" thickBot="1" x14ac:dyDescent="0.4">
      <c r="B792" s="217"/>
      <c r="C792" s="76"/>
      <c r="D792" s="76"/>
      <c r="E792" s="76"/>
      <c r="F792" s="302"/>
    </row>
    <row r="793" spans="2:6" ht="15" thickBot="1" x14ac:dyDescent="0.4">
      <c r="B793" s="217"/>
      <c r="C793" s="76"/>
      <c r="D793" s="76"/>
      <c r="E793" s="76"/>
      <c r="F793" s="302"/>
    </row>
    <row r="794" spans="2:6" ht="15" thickBot="1" x14ac:dyDescent="0.4">
      <c r="B794" s="217"/>
      <c r="C794" s="76"/>
      <c r="D794" s="76"/>
      <c r="E794" s="76"/>
      <c r="F794" s="302"/>
    </row>
    <row r="795" spans="2:6" ht="15" thickBot="1" x14ac:dyDescent="0.4">
      <c r="B795" s="217"/>
      <c r="C795" s="76"/>
      <c r="D795" s="76"/>
      <c r="E795" s="76"/>
      <c r="F795" s="302"/>
    </row>
    <row r="796" spans="2:6" ht="15" thickBot="1" x14ac:dyDescent="0.4">
      <c r="B796" s="217"/>
      <c r="C796" s="76"/>
      <c r="D796" s="76"/>
      <c r="E796" s="76"/>
      <c r="F796" s="302"/>
    </row>
    <row r="797" spans="2:6" ht="15" thickBot="1" x14ac:dyDescent="0.4">
      <c r="B797" s="217"/>
      <c r="C797" s="76"/>
      <c r="D797" s="76"/>
      <c r="E797" s="76"/>
      <c r="F797" s="302"/>
    </row>
    <row r="798" spans="2:6" ht="15" thickBot="1" x14ac:dyDescent="0.4">
      <c r="B798" s="217"/>
      <c r="C798" s="76"/>
      <c r="D798" s="76"/>
      <c r="E798" s="76"/>
      <c r="F798" s="302"/>
    </row>
    <row r="799" spans="2:6" ht="15" thickBot="1" x14ac:dyDescent="0.4">
      <c r="B799" s="217"/>
      <c r="C799" s="76"/>
      <c r="D799" s="76"/>
      <c r="E799" s="76"/>
      <c r="F799" s="302"/>
    </row>
    <row r="800" spans="2:6" ht="15" thickBot="1" x14ac:dyDescent="0.4">
      <c r="B800" s="217"/>
      <c r="C800" s="76"/>
      <c r="D800" s="76"/>
      <c r="E800" s="76"/>
      <c r="F800" s="302"/>
    </row>
    <row r="801" spans="2:6" ht="15" thickBot="1" x14ac:dyDescent="0.4">
      <c r="B801" s="217"/>
      <c r="C801" s="76"/>
      <c r="D801" s="76"/>
      <c r="E801" s="76"/>
      <c r="F801" s="302"/>
    </row>
    <row r="802" spans="2:6" ht="15" thickBot="1" x14ac:dyDescent="0.4">
      <c r="B802" s="217"/>
      <c r="C802" s="76"/>
      <c r="D802" s="76"/>
      <c r="E802" s="76"/>
      <c r="F802" s="302"/>
    </row>
    <row r="803" spans="2:6" ht="15" thickBot="1" x14ac:dyDescent="0.4">
      <c r="B803" s="217"/>
      <c r="C803" s="76"/>
      <c r="D803" s="76"/>
      <c r="E803" s="76"/>
      <c r="F803" s="302"/>
    </row>
    <row r="804" spans="2:6" ht="15" thickBot="1" x14ac:dyDescent="0.4">
      <c r="B804" s="217"/>
      <c r="C804" s="76"/>
      <c r="D804" s="76"/>
      <c r="E804" s="76"/>
      <c r="F804" s="302"/>
    </row>
    <row r="805" spans="2:6" ht="15" thickBot="1" x14ac:dyDescent="0.4">
      <c r="B805" s="217"/>
      <c r="C805" s="76"/>
      <c r="D805" s="76"/>
      <c r="E805" s="76"/>
      <c r="F805" s="302"/>
    </row>
    <row r="806" spans="2:6" ht="15" thickBot="1" x14ac:dyDescent="0.4">
      <c r="B806" s="217"/>
      <c r="C806" s="76"/>
      <c r="D806" s="76"/>
      <c r="E806" s="76"/>
      <c r="F806" s="302"/>
    </row>
    <row r="807" spans="2:6" ht="15" thickBot="1" x14ac:dyDescent="0.4">
      <c r="B807" s="217"/>
      <c r="C807" s="76"/>
      <c r="D807" s="76"/>
      <c r="E807" s="76"/>
      <c r="F807" s="302"/>
    </row>
    <row r="808" spans="2:6" ht="15" thickBot="1" x14ac:dyDescent="0.4">
      <c r="B808" s="217"/>
      <c r="C808" s="76"/>
      <c r="D808" s="76"/>
      <c r="E808" s="76"/>
      <c r="F808" s="302"/>
    </row>
    <row r="809" spans="2:6" ht="15" thickBot="1" x14ac:dyDescent="0.4">
      <c r="B809" s="217"/>
      <c r="C809" s="76"/>
      <c r="D809" s="76"/>
      <c r="E809" s="76"/>
      <c r="F809" s="302"/>
    </row>
    <row r="810" spans="2:6" ht="15" thickBot="1" x14ac:dyDescent="0.4">
      <c r="B810" s="217"/>
      <c r="C810" s="76"/>
      <c r="D810" s="76"/>
      <c r="E810" s="76"/>
      <c r="F810" s="302"/>
    </row>
    <row r="811" spans="2:6" ht="15" thickBot="1" x14ac:dyDescent="0.4">
      <c r="B811" s="217"/>
      <c r="C811" s="76"/>
      <c r="D811" s="76"/>
      <c r="E811" s="76"/>
      <c r="F811" s="302"/>
    </row>
    <row r="812" spans="2:6" ht="15" thickBot="1" x14ac:dyDescent="0.4">
      <c r="B812" s="217"/>
      <c r="C812" s="76"/>
      <c r="D812" s="76"/>
      <c r="E812" s="76"/>
      <c r="F812" s="302"/>
    </row>
    <row r="813" spans="2:6" ht="15" thickBot="1" x14ac:dyDescent="0.4">
      <c r="B813" s="217"/>
      <c r="C813" s="76"/>
      <c r="D813" s="76"/>
      <c r="E813" s="76"/>
      <c r="F813" s="302"/>
    </row>
    <row r="814" spans="2:6" ht="15" thickBot="1" x14ac:dyDescent="0.4">
      <c r="B814" s="217"/>
      <c r="C814" s="76"/>
      <c r="D814" s="76"/>
      <c r="E814" s="76"/>
      <c r="F814" s="302"/>
    </row>
    <row r="815" spans="2:6" ht="15" thickBot="1" x14ac:dyDescent="0.4">
      <c r="B815" s="217"/>
      <c r="C815" s="76"/>
      <c r="D815" s="76"/>
      <c r="E815" s="76"/>
      <c r="F815" s="302"/>
    </row>
    <row r="816" spans="2:6" ht="15" thickBot="1" x14ac:dyDescent="0.4">
      <c r="B816" s="217"/>
      <c r="C816" s="76"/>
      <c r="D816" s="76"/>
      <c r="E816" s="76"/>
      <c r="F816" s="302"/>
    </row>
    <row r="817" spans="2:6" ht="15" thickBot="1" x14ac:dyDescent="0.4">
      <c r="B817" s="217"/>
      <c r="C817" s="76"/>
      <c r="D817" s="76"/>
      <c r="E817" s="76"/>
      <c r="F817" s="302"/>
    </row>
    <row r="818" spans="2:6" ht="15" thickBot="1" x14ac:dyDescent="0.4">
      <c r="B818" s="217"/>
      <c r="C818" s="76"/>
      <c r="D818" s="76"/>
      <c r="E818" s="76"/>
      <c r="F818" s="302"/>
    </row>
    <row r="819" spans="2:6" ht="15" thickBot="1" x14ac:dyDescent="0.4">
      <c r="B819" s="217"/>
      <c r="C819" s="76"/>
      <c r="D819" s="76"/>
      <c r="E819" s="76"/>
      <c r="F819" s="302"/>
    </row>
    <row r="820" spans="2:6" ht="15" thickBot="1" x14ac:dyDescent="0.4">
      <c r="B820" s="217"/>
      <c r="C820" s="76"/>
      <c r="D820" s="76"/>
      <c r="E820" s="76"/>
      <c r="F820" s="302"/>
    </row>
    <row r="821" spans="2:6" ht="15" thickBot="1" x14ac:dyDescent="0.4">
      <c r="B821" s="217"/>
      <c r="C821" s="76"/>
      <c r="D821" s="76"/>
      <c r="E821" s="76"/>
      <c r="F821" s="302"/>
    </row>
    <row r="822" spans="2:6" ht="15" thickBot="1" x14ac:dyDescent="0.4">
      <c r="B822" s="217"/>
      <c r="C822" s="76"/>
      <c r="D822" s="76"/>
      <c r="E822" s="76"/>
      <c r="F822" s="302"/>
    </row>
    <row r="823" spans="2:6" ht="15" thickBot="1" x14ac:dyDescent="0.4">
      <c r="B823" s="217"/>
      <c r="C823" s="76"/>
      <c r="D823" s="76"/>
      <c r="E823" s="76"/>
      <c r="F823" s="302"/>
    </row>
    <row r="824" spans="2:6" ht="15" thickBot="1" x14ac:dyDescent="0.4">
      <c r="B824" s="217"/>
      <c r="C824" s="76"/>
      <c r="D824" s="76"/>
      <c r="E824" s="76"/>
      <c r="F824" s="302"/>
    </row>
    <row r="825" spans="2:6" ht="15" thickBot="1" x14ac:dyDescent="0.4">
      <c r="B825" s="217"/>
      <c r="C825" s="76"/>
      <c r="D825" s="76"/>
      <c r="E825" s="76"/>
      <c r="F825" s="302"/>
    </row>
    <row r="826" spans="2:6" ht="15" thickBot="1" x14ac:dyDescent="0.4">
      <c r="B826" s="217"/>
      <c r="C826" s="76"/>
      <c r="D826" s="76"/>
      <c r="E826" s="76"/>
      <c r="F826" s="302"/>
    </row>
    <row r="827" spans="2:6" ht="15" thickBot="1" x14ac:dyDescent="0.4">
      <c r="B827" s="217"/>
      <c r="C827" s="76"/>
      <c r="D827" s="76"/>
      <c r="E827" s="76"/>
      <c r="F827" s="302"/>
    </row>
    <row r="828" spans="2:6" ht="15" thickBot="1" x14ac:dyDescent="0.4">
      <c r="B828" s="217"/>
      <c r="C828" s="76"/>
      <c r="D828" s="76"/>
      <c r="E828" s="76"/>
      <c r="F828" s="302"/>
    </row>
    <row r="829" spans="2:6" ht="15" thickBot="1" x14ac:dyDescent="0.4">
      <c r="B829" s="217"/>
      <c r="C829" s="76"/>
      <c r="D829" s="76"/>
      <c r="E829" s="76"/>
      <c r="F829" s="302"/>
    </row>
    <row r="830" spans="2:6" ht="15" thickBot="1" x14ac:dyDescent="0.4">
      <c r="B830" s="217"/>
      <c r="C830" s="76"/>
      <c r="D830" s="76"/>
      <c r="E830" s="76"/>
      <c r="F830" s="302"/>
    </row>
    <row r="831" spans="2:6" ht="15" thickBot="1" x14ac:dyDescent="0.4">
      <c r="B831" s="217"/>
      <c r="C831" s="76"/>
      <c r="D831" s="76"/>
      <c r="E831" s="76"/>
      <c r="F831" s="302"/>
    </row>
    <row r="832" spans="2:6" ht="15" thickBot="1" x14ac:dyDescent="0.4">
      <c r="B832" s="217"/>
      <c r="C832" s="76"/>
      <c r="D832" s="76"/>
      <c r="E832" s="76"/>
      <c r="F832" s="302"/>
    </row>
    <row r="833" spans="2:6" ht="15" thickBot="1" x14ac:dyDescent="0.4">
      <c r="B833" s="217"/>
      <c r="C833" s="76"/>
      <c r="D833" s="76"/>
      <c r="E833" s="76"/>
      <c r="F833" s="302"/>
    </row>
    <row r="834" spans="2:6" ht="15" thickBot="1" x14ac:dyDescent="0.4">
      <c r="B834" s="217"/>
      <c r="C834" s="76"/>
      <c r="D834" s="76"/>
      <c r="E834" s="76"/>
      <c r="F834" s="302"/>
    </row>
    <row r="835" spans="2:6" ht="15" thickBot="1" x14ac:dyDescent="0.4">
      <c r="B835" s="217"/>
      <c r="C835" s="76"/>
      <c r="D835" s="76"/>
      <c r="E835" s="76"/>
      <c r="F835" s="302"/>
    </row>
    <row r="836" spans="2:6" ht="15" thickBot="1" x14ac:dyDescent="0.4">
      <c r="B836" s="217"/>
      <c r="C836" s="76"/>
      <c r="D836" s="76"/>
      <c r="E836" s="76"/>
      <c r="F836" s="302"/>
    </row>
    <row r="837" spans="2:6" ht="15" thickBot="1" x14ac:dyDescent="0.4">
      <c r="B837" s="217"/>
      <c r="C837" s="76"/>
      <c r="D837" s="76"/>
      <c r="E837" s="76"/>
      <c r="F837" s="302"/>
    </row>
    <row r="838" spans="2:6" ht="15" thickBot="1" x14ac:dyDescent="0.4">
      <c r="B838" s="217"/>
      <c r="C838" s="76"/>
      <c r="D838" s="76"/>
      <c r="E838" s="76"/>
      <c r="F838" s="302"/>
    </row>
    <row r="839" spans="2:6" ht="15" thickBot="1" x14ac:dyDescent="0.4">
      <c r="B839" s="217"/>
      <c r="C839" s="76"/>
      <c r="D839" s="76"/>
      <c r="E839" s="76"/>
      <c r="F839" s="302"/>
    </row>
    <row r="840" spans="2:6" ht="15" thickBot="1" x14ac:dyDescent="0.4">
      <c r="B840" s="217"/>
      <c r="C840" s="76"/>
      <c r="D840" s="76"/>
      <c r="E840" s="76"/>
      <c r="F840" s="302"/>
    </row>
    <row r="841" spans="2:6" ht="15" thickBot="1" x14ac:dyDescent="0.4">
      <c r="B841" s="217"/>
      <c r="C841" s="76"/>
      <c r="D841" s="76"/>
      <c r="E841" s="76"/>
      <c r="F841" s="302"/>
    </row>
    <row r="842" spans="2:6" ht="15" thickBot="1" x14ac:dyDescent="0.4">
      <c r="B842" s="217"/>
      <c r="C842" s="76"/>
      <c r="D842" s="76"/>
      <c r="E842" s="76"/>
      <c r="F842" s="302"/>
    </row>
    <row r="843" spans="2:6" ht="15" thickBot="1" x14ac:dyDescent="0.4">
      <c r="B843" s="217"/>
      <c r="C843" s="76"/>
      <c r="D843" s="76"/>
      <c r="E843" s="76"/>
      <c r="F843" s="302"/>
    </row>
    <row r="844" spans="2:6" ht="15" thickBot="1" x14ac:dyDescent="0.4">
      <c r="B844" s="217"/>
      <c r="C844" s="76"/>
      <c r="D844" s="76"/>
      <c r="E844" s="76"/>
      <c r="F844" s="302"/>
    </row>
    <row r="845" spans="2:6" ht="15" thickBot="1" x14ac:dyDescent="0.4">
      <c r="B845" s="217"/>
      <c r="C845" s="76"/>
      <c r="D845" s="76"/>
      <c r="E845" s="76"/>
      <c r="F845" s="302"/>
    </row>
    <row r="846" spans="2:6" ht="15" thickBot="1" x14ac:dyDescent="0.4">
      <c r="B846" s="217"/>
      <c r="C846" s="76"/>
      <c r="D846" s="76"/>
      <c r="E846" s="76"/>
      <c r="F846" s="302"/>
    </row>
    <row r="847" spans="2:6" ht="15" thickBot="1" x14ac:dyDescent="0.4">
      <c r="B847" s="217"/>
      <c r="C847" s="76"/>
      <c r="D847" s="76"/>
      <c r="E847" s="76"/>
      <c r="F847" s="302"/>
    </row>
    <row r="848" spans="2:6" ht="15" thickBot="1" x14ac:dyDescent="0.4">
      <c r="B848" s="217"/>
      <c r="C848" s="76"/>
      <c r="D848" s="76"/>
      <c r="E848" s="76"/>
      <c r="F848" s="302"/>
    </row>
    <row r="849" spans="2:6" ht="15" thickBot="1" x14ac:dyDescent="0.4">
      <c r="B849" s="217"/>
      <c r="C849" s="76"/>
      <c r="D849" s="76"/>
      <c r="E849" s="76"/>
      <c r="F849" s="302"/>
    </row>
    <row r="850" spans="2:6" ht="15" thickBot="1" x14ac:dyDescent="0.4">
      <c r="B850" s="217"/>
      <c r="C850" s="76"/>
      <c r="D850" s="76"/>
      <c r="E850" s="76"/>
      <c r="F850" s="302"/>
    </row>
    <row r="851" spans="2:6" ht="15" thickBot="1" x14ac:dyDescent="0.4">
      <c r="B851" s="217"/>
      <c r="C851" s="76"/>
      <c r="D851" s="76"/>
      <c r="E851" s="76"/>
      <c r="F851" s="302"/>
    </row>
    <row r="852" spans="2:6" ht="15" thickBot="1" x14ac:dyDescent="0.4">
      <c r="B852" s="217"/>
      <c r="C852" s="76"/>
      <c r="D852" s="76"/>
      <c r="E852" s="76"/>
      <c r="F852" s="302"/>
    </row>
    <row r="853" spans="2:6" ht="15" thickBot="1" x14ac:dyDescent="0.4">
      <c r="B853" s="217"/>
      <c r="C853" s="76"/>
      <c r="D853" s="76"/>
      <c r="E853" s="76"/>
      <c r="F853" s="302"/>
    </row>
    <row r="854" spans="2:6" ht="15" thickBot="1" x14ac:dyDescent="0.4">
      <c r="B854" s="217"/>
      <c r="C854" s="76"/>
      <c r="D854" s="76"/>
      <c r="E854" s="76"/>
      <c r="F854" s="302"/>
    </row>
    <row r="855" spans="2:6" ht="15" thickBot="1" x14ac:dyDescent="0.4">
      <c r="B855" s="217"/>
      <c r="C855" s="76"/>
      <c r="D855" s="76"/>
      <c r="E855" s="76"/>
      <c r="F855" s="302"/>
    </row>
    <row r="856" spans="2:6" ht="15" thickBot="1" x14ac:dyDescent="0.4">
      <c r="B856" s="217"/>
      <c r="C856" s="76"/>
      <c r="D856" s="76"/>
      <c r="E856" s="76"/>
      <c r="F856" s="302"/>
    </row>
    <row r="857" spans="2:6" ht="15" thickBot="1" x14ac:dyDescent="0.4">
      <c r="B857" s="217"/>
      <c r="C857" s="76"/>
      <c r="D857" s="76"/>
      <c r="E857" s="76"/>
      <c r="F857" s="302"/>
    </row>
    <row r="858" spans="2:6" ht="15" thickBot="1" x14ac:dyDescent="0.4">
      <c r="B858" s="217"/>
      <c r="C858" s="76"/>
      <c r="D858" s="76"/>
      <c r="E858" s="76"/>
      <c r="F858" s="302"/>
    </row>
    <row r="859" spans="2:6" ht="15" thickBot="1" x14ac:dyDescent="0.4">
      <c r="B859" s="217"/>
      <c r="C859" s="76"/>
      <c r="D859" s="76"/>
      <c r="E859" s="76"/>
      <c r="F859" s="302"/>
    </row>
    <row r="860" spans="2:6" ht="15" thickBot="1" x14ac:dyDescent="0.4">
      <c r="B860" s="217"/>
      <c r="C860" s="76"/>
      <c r="D860" s="76"/>
      <c r="E860" s="76"/>
      <c r="F860" s="302"/>
    </row>
    <row r="861" spans="2:6" ht="15" thickBot="1" x14ac:dyDescent="0.4">
      <c r="B861" s="217"/>
      <c r="C861" s="76"/>
      <c r="D861" s="76"/>
      <c r="E861" s="76"/>
      <c r="F861" s="302"/>
    </row>
    <row r="862" spans="2:6" ht="15" thickBot="1" x14ac:dyDescent="0.4">
      <c r="B862" s="217"/>
      <c r="C862" s="76"/>
      <c r="D862" s="76"/>
      <c r="E862" s="76"/>
      <c r="F862" s="302"/>
    </row>
    <row r="863" spans="2:6" ht="15" thickBot="1" x14ac:dyDescent="0.4">
      <c r="B863" s="217"/>
      <c r="C863" s="76"/>
      <c r="D863" s="76"/>
      <c r="E863" s="76"/>
      <c r="F863" s="302"/>
    </row>
    <row r="864" spans="2:6" ht="15" thickBot="1" x14ac:dyDescent="0.4">
      <c r="B864" s="217"/>
      <c r="C864" s="76"/>
      <c r="D864" s="76"/>
      <c r="E864" s="76"/>
      <c r="F864" s="302"/>
    </row>
    <row r="865" spans="2:6" ht="15" thickBot="1" x14ac:dyDescent="0.4">
      <c r="B865" s="217"/>
      <c r="C865" s="76"/>
      <c r="D865" s="76"/>
      <c r="E865" s="76"/>
      <c r="F865" s="302"/>
    </row>
    <row r="866" spans="2:6" ht="15" thickBot="1" x14ac:dyDescent="0.4">
      <c r="B866" s="217"/>
      <c r="C866" s="76"/>
      <c r="D866" s="76"/>
      <c r="E866" s="76"/>
      <c r="F866" s="302"/>
    </row>
    <row r="867" spans="2:6" ht="15" thickBot="1" x14ac:dyDescent="0.4">
      <c r="B867" s="217"/>
      <c r="C867" s="76"/>
      <c r="D867" s="76"/>
      <c r="E867" s="76"/>
      <c r="F867" s="302"/>
    </row>
    <row r="868" spans="2:6" ht="15" thickBot="1" x14ac:dyDescent="0.4">
      <c r="B868" s="217"/>
      <c r="C868" s="76"/>
      <c r="D868" s="76"/>
      <c r="E868" s="76"/>
      <c r="F868" s="302"/>
    </row>
    <row r="869" spans="2:6" ht="15" thickBot="1" x14ac:dyDescent="0.4">
      <c r="B869" s="217"/>
      <c r="C869" s="76"/>
      <c r="D869" s="76"/>
      <c r="E869" s="76"/>
      <c r="F869" s="302"/>
    </row>
    <row r="870" spans="2:6" ht="15" thickBot="1" x14ac:dyDescent="0.4">
      <c r="B870" s="217"/>
      <c r="C870" s="76"/>
      <c r="D870" s="76"/>
      <c r="E870" s="76"/>
      <c r="F870" s="302"/>
    </row>
    <row r="871" spans="2:6" ht="15" thickBot="1" x14ac:dyDescent="0.4">
      <c r="B871" s="217"/>
      <c r="C871" s="76"/>
      <c r="D871" s="76"/>
      <c r="E871" s="76"/>
      <c r="F871" s="302"/>
    </row>
    <row r="872" spans="2:6" ht="15" thickBot="1" x14ac:dyDescent="0.4">
      <c r="B872" s="217"/>
      <c r="C872" s="76"/>
      <c r="D872" s="76"/>
      <c r="E872" s="76"/>
      <c r="F872" s="302"/>
    </row>
    <row r="873" spans="2:6" ht="15" thickBot="1" x14ac:dyDescent="0.4">
      <c r="B873" s="217"/>
      <c r="C873" s="76"/>
      <c r="D873" s="76"/>
      <c r="E873" s="76"/>
      <c r="F873" s="302"/>
    </row>
    <row r="874" spans="2:6" ht="15" thickBot="1" x14ac:dyDescent="0.4">
      <c r="B874" s="217"/>
      <c r="C874" s="76"/>
      <c r="D874" s="76"/>
      <c r="E874" s="76"/>
      <c r="F874" s="302"/>
    </row>
    <row r="875" spans="2:6" ht="15" thickBot="1" x14ac:dyDescent="0.4">
      <c r="B875" s="217"/>
      <c r="C875" s="76"/>
      <c r="D875" s="76"/>
      <c r="E875" s="76"/>
      <c r="F875" s="302"/>
    </row>
    <row r="876" spans="2:6" ht="15" thickBot="1" x14ac:dyDescent="0.4">
      <c r="B876" s="217"/>
      <c r="C876" s="76"/>
      <c r="D876" s="76"/>
      <c r="E876" s="76"/>
      <c r="F876" s="302"/>
    </row>
    <row r="877" spans="2:6" ht="15" thickBot="1" x14ac:dyDescent="0.4">
      <c r="B877" s="217"/>
      <c r="C877" s="76"/>
      <c r="D877" s="76"/>
      <c r="E877" s="76"/>
      <c r="F877" s="302"/>
    </row>
    <row r="878" spans="2:6" ht="15" thickBot="1" x14ac:dyDescent="0.4">
      <c r="B878" s="217"/>
      <c r="C878" s="76"/>
      <c r="D878" s="76"/>
      <c r="E878" s="76"/>
      <c r="F878" s="302"/>
    </row>
    <row r="879" spans="2:6" ht="15" thickBot="1" x14ac:dyDescent="0.4">
      <c r="B879" s="217"/>
      <c r="C879" s="76"/>
      <c r="D879" s="76"/>
      <c r="E879" s="76"/>
      <c r="F879" s="302"/>
    </row>
    <row r="880" spans="2:6" ht="15" thickBot="1" x14ac:dyDescent="0.4">
      <c r="B880" s="217"/>
      <c r="C880" s="76"/>
      <c r="D880" s="76"/>
      <c r="E880" s="76"/>
      <c r="F880" s="302"/>
    </row>
    <row r="881" spans="2:6" ht="15" thickBot="1" x14ac:dyDescent="0.4">
      <c r="B881" s="217"/>
      <c r="C881" s="76"/>
      <c r="D881" s="76"/>
      <c r="E881" s="76"/>
      <c r="F881" s="302"/>
    </row>
    <row r="882" spans="2:6" ht="15" thickBot="1" x14ac:dyDescent="0.4">
      <c r="B882" s="217"/>
      <c r="C882" s="76"/>
      <c r="D882" s="76"/>
      <c r="E882" s="76"/>
      <c r="F882" s="302"/>
    </row>
    <row r="883" spans="2:6" ht="15" thickBot="1" x14ac:dyDescent="0.4">
      <c r="B883" s="217"/>
      <c r="C883" s="76"/>
      <c r="D883" s="76"/>
      <c r="E883" s="76"/>
      <c r="F883" s="302"/>
    </row>
    <row r="884" spans="2:6" ht="15" thickBot="1" x14ac:dyDescent="0.4">
      <c r="B884" s="217"/>
      <c r="C884" s="76"/>
      <c r="D884" s="76"/>
      <c r="E884" s="76"/>
      <c r="F884" s="302"/>
    </row>
    <row r="885" spans="2:6" ht="15" thickBot="1" x14ac:dyDescent="0.4">
      <c r="B885" s="217"/>
      <c r="C885" s="76"/>
      <c r="D885" s="76"/>
      <c r="E885" s="76"/>
      <c r="F885" s="302"/>
    </row>
    <row r="886" spans="2:6" ht="15" thickBot="1" x14ac:dyDescent="0.4">
      <c r="B886" s="217"/>
      <c r="C886" s="76"/>
      <c r="D886" s="76"/>
      <c r="E886" s="76"/>
      <c r="F886" s="302"/>
    </row>
    <row r="887" spans="2:6" ht="15" thickBot="1" x14ac:dyDescent="0.4">
      <c r="B887" s="217"/>
      <c r="C887" s="76"/>
      <c r="D887" s="76"/>
      <c r="E887" s="76"/>
      <c r="F887" s="302"/>
    </row>
    <row r="888" spans="2:6" ht="15" thickBot="1" x14ac:dyDescent="0.4">
      <c r="B888" s="217"/>
      <c r="C888" s="76"/>
      <c r="D888" s="76"/>
      <c r="E888" s="76"/>
      <c r="F888" s="302"/>
    </row>
    <row r="889" spans="2:6" ht="15" thickBot="1" x14ac:dyDescent="0.4">
      <c r="B889" s="217"/>
      <c r="C889" s="76"/>
      <c r="D889" s="76"/>
      <c r="E889" s="76"/>
      <c r="F889" s="302"/>
    </row>
    <row r="890" spans="2:6" ht="15" thickBot="1" x14ac:dyDescent="0.4">
      <c r="B890" s="217"/>
      <c r="C890" s="76"/>
      <c r="D890" s="76"/>
      <c r="E890" s="76"/>
      <c r="F890" s="302"/>
    </row>
    <row r="891" spans="2:6" ht="15" thickBot="1" x14ac:dyDescent="0.4">
      <c r="B891" s="217"/>
      <c r="C891" s="76"/>
      <c r="D891" s="76"/>
      <c r="E891" s="76"/>
      <c r="F891" s="302"/>
    </row>
    <row r="892" spans="2:6" ht="15" thickBot="1" x14ac:dyDescent="0.4">
      <c r="B892" s="217"/>
      <c r="C892" s="76"/>
      <c r="D892" s="76"/>
      <c r="E892" s="76"/>
      <c r="F892" s="302"/>
    </row>
    <row r="893" spans="2:6" ht="15" thickBot="1" x14ac:dyDescent="0.4">
      <c r="B893" s="217"/>
      <c r="C893" s="76"/>
      <c r="D893" s="76"/>
      <c r="E893" s="76"/>
      <c r="F893" s="302"/>
    </row>
    <row r="894" spans="2:6" ht="15" thickBot="1" x14ac:dyDescent="0.4">
      <c r="B894" s="217"/>
      <c r="C894" s="76"/>
      <c r="D894" s="76"/>
      <c r="E894" s="76"/>
      <c r="F894" s="302"/>
    </row>
    <row r="895" spans="2:6" ht="15" thickBot="1" x14ac:dyDescent="0.4">
      <c r="B895" s="217"/>
      <c r="C895" s="76"/>
      <c r="D895" s="76"/>
      <c r="E895" s="76"/>
      <c r="F895" s="302"/>
    </row>
    <row r="896" spans="2:6" ht="15" thickBot="1" x14ac:dyDescent="0.4">
      <c r="B896" s="217"/>
      <c r="C896" s="76"/>
      <c r="D896" s="76"/>
      <c r="E896" s="76"/>
      <c r="F896" s="302"/>
    </row>
    <row r="897" spans="2:6" ht="15" thickBot="1" x14ac:dyDescent="0.4">
      <c r="B897" s="217"/>
      <c r="C897" s="76"/>
      <c r="D897" s="76"/>
      <c r="E897" s="76"/>
      <c r="F897" s="302"/>
    </row>
    <row r="898" spans="2:6" ht="15" thickBot="1" x14ac:dyDescent="0.4">
      <c r="B898" s="217"/>
      <c r="C898" s="76"/>
      <c r="D898" s="76"/>
      <c r="E898" s="76"/>
      <c r="F898" s="302"/>
    </row>
    <row r="899" spans="2:6" ht="15" thickBot="1" x14ac:dyDescent="0.4">
      <c r="B899" s="217"/>
      <c r="C899" s="76"/>
      <c r="D899" s="76"/>
      <c r="E899" s="76"/>
      <c r="F899" s="302"/>
    </row>
    <row r="900" spans="2:6" ht="15" thickBot="1" x14ac:dyDescent="0.4">
      <c r="B900" s="217"/>
      <c r="C900" s="76"/>
      <c r="D900" s="76"/>
      <c r="E900" s="76"/>
      <c r="F900" s="302"/>
    </row>
    <row r="901" spans="2:6" ht="15" thickBot="1" x14ac:dyDescent="0.4">
      <c r="B901" s="217"/>
      <c r="C901" s="76"/>
      <c r="D901" s="76"/>
      <c r="E901" s="76"/>
      <c r="F901" s="302"/>
    </row>
    <row r="902" spans="2:6" ht="15" thickBot="1" x14ac:dyDescent="0.4">
      <c r="B902" s="217"/>
      <c r="C902" s="76"/>
      <c r="D902" s="76"/>
      <c r="E902" s="76"/>
      <c r="F902" s="302"/>
    </row>
    <row r="903" spans="2:6" ht="15" thickBot="1" x14ac:dyDescent="0.4">
      <c r="B903" s="217"/>
      <c r="C903" s="76"/>
      <c r="D903" s="76"/>
      <c r="E903" s="76"/>
      <c r="F903" s="302"/>
    </row>
    <row r="904" spans="2:6" ht="15" thickBot="1" x14ac:dyDescent="0.4">
      <c r="B904" s="217"/>
      <c r="C904" s="76"/>
      <c r="D904" s="76"/>
      <c r="E904" s="76"/>
      <c r="F904" s="302"/>
    </row>
    <row r="905" spans="2:6" ht="15" thickBot="1" x14ac:dyDescent="0.4">
      <c r="B905" s="217"/>
      <c r="C905" s="76"/>
      <c r="D905" s="76"/>
      <c r="E905" s="76"/>
      <c r="F905" s="302"/>
    </row>
    <row r="906" spans="2:6" ht="15" thickBot="1" x14ac:dyDescent="0.4">
      <c r="B906" s="217"/>
      <c r="C906" s="76"/>
      <c r="D906" s="76"/>
      <c r="E906" s="76"/>
      <c r="F906" s="302"/>
    </row>
    <row r="907" spans="2:6" ht="15" thickBot="1" x14ac:dyDescent="0.4">
      <c r="B907" s="217"/>
      <c r="C907" s="76"/>
      <c r="D907" s="76"/>
      <c r="E907" s="76"/>
      <c r="F907" s="302"/>
    </row>
    <row r="908" spans="2:6" ht="15" thickBot="1" x14ac:dyDescent="0.4">
      <c r="B908" s="217"/>
      <c r="C908" s="76"/>
      <c r="D908" s="76"/>
      <c r="E908" s="76"/>
      <c r="F908" s="302"/>
    </row>
    <row r="909" spans="2:6" ht="15" thickBot="1" x14ac:dyDescent="0.4">
      <c r="B909" s="217"/>
      <c r="C909" s="76"/>
      <c r="D909" s="76"/>
      <c r="E909" s="76"/>
      <c r="F909" s="302"/>
    </row>
    <row r="910" spans="2:6" ht="15" thickBot="1" x14ac:dyDescent="0.4">
      <c r="B910" s="217"/>
      <c r="C910" s="76"/>
      <c r="D910" s="76"/>
      <c r="E910" s="76"/>
      <c r="F910" s="302"/>
    </row>
    <row r="911" spans="2:6" ht="15" thickBot="1" x14ac:dyDescent="0.4">
      <c r="B911" s="217"/>
      <c r="C911" s="76"/>
      <c r="D911" s="76"/>
      <c r="E911" s="76"/>
      <c r="F911" s="302"/>
    </row>
    <row r="912" spans="2:6" ht="15" thickBot="1" x14ac:dyDescent="0.4">
      <c r="B912" s="217"/>
      <c r="C912" s="76"/>
      <c r="D912" s="76"/>
      <c r="E912" s="76"/>
      <c r="F912" s="302"/>
    </row>
    <row r="913" spans="2:6" ht="15" thickBot="1" x14ac:dyDescent="0.4">
      <c r="B913" s="217"/>
      <c r="C913" s="76"/>
      <c r="D913" s="76"/>
      <c r="E913" s="76"/>
      <c r="F913" s="302"/>
    </row>
    <row r="914" spans="2:6" ht="15" thickBot="1" x14ac:dyDescent="0.4">
      <c r="B914" s="217"/>
      <c r="C914" s="76"/>
      <c r="D914" s="76"/>
      <c r="E914" s="76"/>
      <c r="F914" s="302"/>
    </row>
    <row r="915" spans="2:6" ht="15" thickBot="1" x14ac:dyDescent="0.4">
      <c r="B915" s="217"/>
      <c r="C915" s="76"/>
      <c r="D915" s="76"/>
      <c r="E915" s="76"/>
      <c r="F915" s="302"/>
    </row>
    <row r="916" spans="2:6" ht="15" thickBot="1" x14ac:dyDescent="0.4">
      <c r="B916" s="217"/>
      <c r="C916" s="76"/>
      <c r="D916" s="76"/>
      <c r="E916" s="76"/>
      <c r="F916" s="302"/>
    </row>
    <row r="917" spans="2:6" ht="15" thickBot="1" x14ac:dyDescent="0.4">
      <c r="B917" s="217"/>
      <c r="C917" s="76"/>
      <c r="D917" s="76"/>
      <c r="E917" s="76"/>
      <c r="F917" s="302"/>
    </row>
    <row r="918" spans="2:6" ht="15" thickBot="1" x14ac:dyDescent="0.4">
      <c r="B918" s="217"/>
      <c r="C918" s="76"/>
      <c r="D918" s="76"/>
      <c r="E918" s="76"/>
      <c r="F918" s="302"/>
    </row>
    <row r="919" spans="2:6" ht="15" thickBot="1" x14ac:dyDescent="0.4">
      <c r="B919" s="217"/>
      <c r="C919" s="76"/>
      <c r="D919" s="76"/>
      <c r="E919" s="76"/>
      <c r="F919" s="302"/>
    </row>
    <row r="920" spans="2:6" ht="15" thickBot="1" x14ac:dyDescent="0.4">
      <c r="B920" s="217"/>
      <c r="C920" s="76"/>
      <c r="D920" s="76"/>
      <c r="E920" s="76"/>
      <c r="F920" s="302"/>
    </row>
    <row r="921" spans="2:6" ht="15" thickBot="1" x14ac:dyDescent="0.4">
      <c r="B921" s="217"/>
      <c r="C921" s="76"/>
      <c r="D921" s="76"/>
      <c r="E921" s="76"/>
      <c r="F921" s="302"/>
    </row>
    <row r="922" spans="2:6" ht="15" thickBot="1" x14ac:dyDescent="0.4">
      <c r="B922" s="217"/>
      <c r="C922" s="76"/>
      <c r="D922" s="76"/>
      <c r="E922" s="76"/>
      <c r="F922" s="302"/>
    </row>
    <row r="923" spans="2:6" ht="15" thickBot="1" x14ac:dyDescent="0.4">
      <c r="B923" s="217"/>
      <c r="C923" s="76"/>
      <c r="D923" s="76"/>
      <c r="E923" s="76"/>
      <c r="F923" s="302"/>
    </row>
    <row r="924" spans="2:6" ht="15" thickBot="1" x14ac:dyDescent="0.4">
      <c r="B924" s="217"/>
      <c r="C924" s="76"/>
      <c r="D924" s="76"/>
      <c r="E924" s="76"/>
      <c r="F924" s="302"/>
    </row>
    <row r="925" spans="2:6" ht="15" thickBot="1" x14ac:dyDescent="0.4">
      <c r="B925" s="217"/>
      <c r="C925" s="76"/>
      <c r="D925" s="76"/>
      <c r="E925" s="76"/>
      <c r="F925" s="302"/>
    </row>
    <row r="926" spans="2:6" ht="15" thickBot="1" x14ac:dyDescent="0.4">
      <c r="B926" s="217"/>
      <c r="C926" s="76"/>
      <c r="D926" s="76"/>
      <c r="E926" s="76"/>
      <c r="F926" s="302"/>
    </row>
    <row r="927" spans="2:6" ht="15" thickBot="1" x14ac:dyDescent="0.4">
      <c r="B927" s="217"/>
      <c r="C927" s="76"/>
      <c r="D927" s="76"/>
      <c r="E927" s="76"/>
      <c r="F927" s="302"/>
    </row>
    <row r="928" spans="2:6" ht="15" thickBot="1" x14ac:dyDescent="0.4">
      <c r="B928" s="217"/>
      <c r="C928" s="76"/>
      <c r="D928" s="76"/>
      <c r="E928" s="76"/>
      <c r="F928" s="302"/>
    </row>
    <row r="929" spans="2:6" ht="15" thickBot="1" x14ac:dyDescent="0.4">
      <c r="B929" s="217"/>
      <c r="C929" s="76"/>
      <c r="D929" s="76"/>
      <c r="E929" s="76"/>
      <c r="F929" s="302"/>
    </row>
    <row r="930" spans="2:6" ht="15" thickBot="1" x14ac:dyDescent="0.4">
      <c r="B930" s="217"/>
      <c r="C930" s="76"/>
      <c r="D930" s="76"/>
      <c r="E930" s="76"/>
      <c r="F930" s="302"/>
    </row>
    <row r="931" spans="2:6" ht="15" thickBot="1" x14ac:dyDescent="0.4">
      <c r="B931" s="217"/>
      <c r="C931" s="76"/>
      <c r="D931" s="76"/>
      <c r="E931" s="76"/>
      <c r="F931" s="302"/>
    </row>
    <row r="932" spans="2:6" ht="15" thickBot="1" x14ac:dyDescent="0.4">
      <c r="B932" s="217"/>
      <c r="C932" s="76"/>
      <c r="D932" s="76"/>
      <c r="E932" s="76"/>
      <c r="F932" s="302"/>
    </row>
    <row r="933" spans="2:6" ht="15" thickBot="1" x14ac:dyDescent="0.4">
      <c r="B933" s="217"/>
      <c r="C933" s="76"/>
      <c r="D933" s="76"/>
      <c r="E933" s="76"/>
      <c r="F933" s="302"/>
    </row>
    <row r="934" spans="2:6" ht="15" thickBot="1" x14ac:dyDescent="0.4">
      <c r="B934" s="217"/>
      <c r="C934" s="76"/>
      <c r="D934" s="76"/>
      <c r="E934" s="76"/>
      <c r="F934" s="302"/>
    </row>
    <row r="935" spans="2:6" ht="15" thickBot="1" x14ac:dyDescent="0.4">
      <c r="B935" s="217"/>
      <c r="C935" s="76"/>
      <c r="D935" s="76"/>
      <c r="E935" s="76"/>
      <c r="F935" s="302"/>
    </row>
    <row r="936" spans="2:6" ht="15" thickBot="1" x14ac:dyDescent="0.4">
      <c r="B936" s="217"/>
      <c r="C936" s="76"/>
      <c r="D936" s="76"/>
      <c r="E936" s="76"/>
      <c r="F936" s="302"/>
    </row>
    <row r="937" spans="2:6" ht="15" thickBot="1" x14ac:dyDescent="0.4">
      <c r="B937" s="217"/>
      <c r="C937" s="76"/>
      <c r="D937" s="76"/>
      <c r="E937" s="76"/>
      <c r="F937" s="302"/>
    </row>
    <row r="938" spans="2:6" ht="15" thickBot="1" x14ac:dyDescent="0.4">
      <c r="B938" s="217"/>
      <c r="C938" s="76"/>
      <c r="D938" s="76"/>
      <c r="E938" s="76"/>
      <c r="F938" s="302"/>
    </row>
    <row r="939" spans="2:6" ht="15" thickBot="1" x14ac:dyDescent="0.4">
      <c r="B939" s="217"/>
      <c r="C939" s="76"/>
      <c r="D939" s="76"/>
      <c r="E939" s="76"/>
      <c r="F939" s="302"/>
    </row>
    <row r="940" spans="2:6" ht="15" thickBot="1" x14ac:dyDescent="0.4">
      <c r="B940" s="217"/>
      <c r="C940" s="76"/>
      <c r="D940" s="76"/>
      <c r="E940" s="76"/>
      <c r="F940" s="302"/>
    </row>
    <row r="941" spans="2:6" ht="15" thickBot="1" x14ac:dyDescent="0.4">
      <c r="B941" s="217"/>
      <c r="C941" s="76"/>
      <c r="D941" s="76"/>
      <c r="E941" s="76"/>
      <c r="F941" s="302"/>
    </row>
    <row r="942" spans="2:6" ht="15" thickBot="1" x14ac:dyDescent="0.4">
      <c r="B942" s="217"/>
      <c r="C942" s="76"/>
      <c r="D942" s="76"/>
      <c r="E942" s="76"/>
      <c r="F942" s="302"/>
    </row>
    <row r="943" spans="2:6" ht="15" thickBot="1" x14ac:dyDescent="0.4">
      <c r="B943" s="217"/>
      <c r="C943" s="76"/>
      <c r="D943" s="76"/>
      <c r="E943" s="76"/>
      <c r="F943" s="302"/>
    </row>
    <row r="944" spans="2:6" ht="15" thickBot="1" x14ac:dyDescent="0.4">
      <c r="B944" s="217"/>
      <c r="C944" s="76"/>
      <c r="D944" s="76"/>
      <c r="E944" s="76"/>
      <c r="F944" s="302"/>
    </row>
    <row r="945" spans="2:6" ht="15" thickBot="1" x14ac:dyDescent="0.4">
      <c r="B945" s="217"/>
      <c r="C945" s="76"/>
      <c r="D945" s="76"/>
      <c r="E945" s="76"/>
      <c r="F945" s="302"/>
    </row>
    <row r="946" spans="2:6" ht="15" thickBot="1" x14ac:dyDescent="0.4">
      <c r="B946" s="217"/>
      <c r="C946" s="76"/>
      <c r="D946" s="76"/>
      <c r="E946" s="76"/>
      <c r="F946" s="302"/>
    </row>
    <row r="947" spans="2:6" ht="15" thickBot="1" x14ac:dyDescent="0.4">
      <c r="B947" s="217"/>
      <c r="C947" s="76"/>
      <c r="D947" s="76"/>
      <c r="E947" s="76"/>
      <c r="F947" s="302"/>
    </row>
    <row r="948" spans="2:6" ht="15" thickBot="1" x14ac:dyDescent="0.4">
      <c r="B948" s="217"/>
      <c r="C948" s="76"/>
      <c r="D948" s="76"/>
      <c r="E948" s="76"/>
      <c r="F948" s="302"/>
    </row>
    <row r="949" spans="2:6" ht="15" thickBot="1" x14ac:dyDescent="0.4">
      <c r="B949" s="217"/>
      <c r="C949" s="76"/>
      <c r="D949" s="76"/>
      <c r="E949" s="76"/>
      <c r="F949" s="302"/>
    </row>
    <row r="950" spans="2:6" ht="15" thickBot="1" x14ac:dyDescent="0.4">
      <c r="B950" s="217"/>
      <c r="C950" s="76"/>
      <c r="D950" s="76"/>
      <c r="E950" s="76"/>
      <c r="F950" s="302"/>
    </row>
    <row r="951" spans="2:6" ht="15" thickBot="1" x14ac:dyDescent="0.4">
      <c r="B951" s="217"/>
      <c r="C951" s="76"/>
      <c r="D951" s="76"/>
      <c r="E951" s="76"/>
      <c r="F951" s="302"/>
    </row>
    <row r="952" spans="2:6" ht="15" thickBot="1" x14ac:dyDescent="0.4">
      <c r="B952" s="217"/>
      <c r="C952" s="76"/>
      <c r="D952" s="76"/>
      <c r="E952" s="76"/>
      <c r="F952" s="302"/>
    </row>
    <row r="953" spans="2:6" ht="15" thickBot="1" x14ac:dyDescent="0.4">
      <c r="B953" s="217"/>
      <c r="C953" s="76"/>
      <c r="D953" s="76"/>
      <c r="E953" s="76"/>
      <c r="F953" s="302"/>
    </row>
    <row r="954" spans="2:6" ht="15" thickBot="1" x14ac:dyDescent="0.4">
      <c r="B954" s="217"/>
      <c r="C954" s="76"/>
      <c r="D954" s="76"/>
      <c r="E954" s="76"/>
      <c r="F954" s="302"/>
    </row>
    <row r="955" spans="2:6" ht="15" thickBot="1" x14ac:dyDescent="0.4">
      <c r="B955" s="217"/>
      <c r="C955" s="76"/>
      <c r="D955" s="76"/>
      <c r="E955" s="76"/>
      <c r="F955" s="302"/>
    </row>
    <row r="956" spans="2:6" ht="15" thickBot="1" x14ac:dyDescent="0.4">
      <c r="B956" s="217"/>
      <c r="C956" s="76"/>
      <c r="D956" s="76"/>
      <c r="E956" s="76"/>
      <c r="F956" s="302"/>
    </row>
    <row r="957" spans="2:6" ht="15" thickBot="1" x14ac:dyDescent="0.4">
      <c r="B957" s="217"/>
      <c r="C957" s="76"/>
      <c r="D957" s="76"/>
      <c r="E957" s="76"/>
      <c r="F957" s="302"/>
    </row>
    <row r="958" spans="2:6" ht="15" thickBot="1" x14ac:dyDescent="0.4">
      <c r="B958" s="217"/>
      <c r="C958" s="76"/>
      <c r="D958" s="76"/>
      <c r="E958" s="76"/>
      <c r="F958" s="302"/>
    </row>
    <row r="959" spans="2:6" ht="15" thickBot="1" x14ac:dyDescent="0.4">
      <c r="B959" s="217"/>
      <c r="C959" s="76"/>
      <c r="D959" s="76"/>
      <c r="E959" s="76"/>
      <c r="F959" s="302"/>
    </row>
    <row r="960" spans="2:6" ht="15" thickBot="1" x14ac:dyDescent="0.4">
      <c r="B960" s="217"/>
      <c r="C960" s="76"/>
      <c r="D960" s="76"/>
      <c r="E960" s="76"/>
      <c r="F960" s="302"/>
    </row>
    <row r="961" spans="2:6" ht="15" thickBot="1" x14ac:dyDescent="0.4">
      <c r="B961" s="217"/>
      <c r="C961" s="76"/>
      <c r="D961" s="76"/>
      <c r="E961" s="76"/>
      <c r="F961" s="302"/>
    </row>
    <row r="962" spans="2:6" ht="15" thickBot="1" x14ac:dyDescent="0.4">
      <c r="B962" s="217"/>
      <c r="C962" s="76"/>
      <c r="D962" s="76"/>
      <c r="E962" s="76"/>
      <c r="F962" s="302"/>
    </row>
    <row r="963" spans="2:6" ht="15" thickBot="1" x14ac:dyDescent="0.4">
      <c r="B963" s="217"/>
      <c r="C963" s="76"/>
      <c r="D963" s="76"/>
      <c r="E963" s="76"/>
      <c r="F963" s="302"/>
    </row>
    <row r="964" spans="2:6" ht="15" thickBot="1" x14ac:dyDescent="0.4">
      <c r="B964" s="217"/>
      <c r="C964" s="76"/>
      <c r="D964" s="76"/>
      <c r="E964" s="76"/>
      <c r="F964" s="302"/>
    </row>
    <row r="965" spans="2:6" ht="15" thickBot="1" x14ac:dyDescent="0.4">
      <c r="B965" s="217"/>
      <c r="C965" s="76"/>
      <c r="D965" s="76"/>
      <c r="E965" s="76"/>
      <c r="F965" s="302"/>
    </row>
    <row r="966" spans="2:6" ht="15" thickBot="1" x14ac:dyDescent="0.4">
      <c r="B966" s="217"/>
      <c r="C966" s="76"/>
      <c r="D966" s="76"/>
      <c r="E966" s="76"/>
      <c r="F966" s="302"/>
    </row>
    <row r="967" spans="2:6" ht="15" thickBot="1" x14ac:dyDescent="0.4">
      <c r="B967" s="217"/>
      <c r="C967" s="76"/>
      <c r="D967" s="76"/>
      <c r="E967" s="76"/>
      <c r="F967" s="302"/>
    </row>
    <row r="968" spans="2:6" ht="15" thickBot="1" x14ac:dyDescent="0.4">
      <c r="B968" s="217"/>
      <c r="C968" s="76"/>
      <c r="D968" s="76"/>
      <c r="E968" s="76"/>
      <c r="F968" s="302"/>
    </row>
    <row r="969" spans="2:6" ht="15" thickBot="1" x14ac:dyDescent="0.4">
      <c r="B969" s="217"/>
      <c r="C969" s="76"/>
      <c r="D969" s="76"/>
      <c r="E969" s="76"/>
      <c r="F969" s="302"/>
    </row>
    <row r="970" spans="2:6" ht="15" thickBot="1" x14ac:dyDescent="0.4">
      <c r="B970" s="217"/>
      <c r="C970" s="76"/>
      <c r="D970" s="76"/>
      <c r="E970" s="76"/>
      <c r="F970" s="302"/>
    </row>
    <row r="971" spans="2:6" ht="15" thickBot="1" x14ac:dyDescent="0.4">
      <c r="B971" s="217"/>
      <c r="C971" s="76"/>
      <c r="D971" s="76"/>
      <c r="E971" s="76"/>
      <c r="F971" s="302"/>
    </row>
    <row r="972" spans="2:6" ht="15" thickBot="1" x14ac:dyDescent="0.4">
      <c r="B972" s="217"/>
      <c r="C972" s="76"/>
      <c r="D972" s="76"/>
      <c r="E972" s="76"/>
      <c r="F972" s="302"/>
    </row>
    <row r="973" spans="2:6" ht="15" thickBot="1" x14ac:dyDescent="0.4">
      <c r="B973" s="217"/>
      <c r="C973" s="76"/>
      <c r="D973" s="76"/>
      <c r="E973" s="76"/>
      <c r="F973" s="302"/>
    </row>
    <row r="974" spans="2:6" ht="15" thickBot="1" x14ac:dyDescent="0.4">
      <c r="B974" s="217"/>
      <c r="C974" s="76"/>
      <c r="D974" s="76"/>
      <c r="E974" s="76"/>
      <c r="F974" s="302"/>
    </row>
    <row r="975" spans="2:6" ht="15" thickBot="1" x14ac:dyDescent="0.4">
      <c r="B975" s="217"/>
      <c r="C975" s="76"/>
      <c r="D975" s="76"/>
      <c r="E975" s="76"/>
      <c r="F975" s="302"/>
    </row>
    <row r="976" spans="2:6" ht="15" thickBot="1" x14ac:dyDescent="0.4">
      <c r="B976" s="217"/>
      <c r="C976" s="76"/>
      <c r="D976" s="76"/>
      <c r="E976" s="76"/>
      <c r="F976" s="302"/>
    </row>
    <row r="977" spans="2:6" ht="15" thickBot="1" x14ac:dyDescent="0.4">
      <c r="B977" s="217"/>
      <c r="C977" s="76"/>
      <c r="D977" s="76"/>
      <c r="E977" s="76"/>
      <c r="F977" s="302"/>
    </row>
    <row r="978" spans="2:6" ht="15" thickBot="1" x14ac:dyDescent="0.4">
      <c r="B978" s="217"/>
      <c r="C978" s="76"/>
      <c r="D978" s="76"/>
      <c r="E978" s="76"/>
      <c r="F978" s="302"/>
    </row>
    <row r="979" spans="2:6" ht="15" thickBot="1" x14ac:dyDescent="0.4">
      <c r="B979" s="217"/>
      <c r="C979" s="76"/>
      <c r="D979" s="76"/>
      <c r="E979" s="76"/>
      <c r="F979" s="302"/>
    </row>
    <row r="980" spans="2:6" ht="15" thickBot="1" x14ac:dyDescent="0.4">
      <c r="B980" s="217"/>
      <c r="C980" s="76"/>
      <c r="D980" s="76"/>
      <c r="E980" s="76"/>
      <c r="F980" s="302"/>
    </row>
    <row r="981" spans="2:6" ht="15" thickBot="1" x14ac:dyDescent="0.4">
      <c r="B981" s="217"/>
      <c r="C981" s="76"/>
      <c r="D981" s="76"/>
      <c r="E981" s="76"/>
      <c r="F981" s="302"/>
    </row>
    <row r="982" spans="2:6" ht="15" thickBot="1" x14ac:dyDescent="0.4">
      <c r="B982" s="217"/>
      <c r="C982" s="76"/>
      <c r="D982" s="76"/>
      <c r="E982" s="76"/>
      <c r="F982" s="302"/>
    </row>
    <row r="983" spans="2:6" ht="15" thickBot="1" x14ac:dyDescent="0.4">
      <c r="B983" s="217"/>
      <c r="C983" s="76"/>
      <c r="D983" s="76"/>
      <c r="E983" s="76"/>
      <c r="F983" s="302"/>
    </row>
    <row r="984" spans="2:6" ht="15" thickBot="1" x14ac:dyDescent="0.4">
      <c r="B984" s="217"/>
      <c r="C984" s="76"/>
      <c r="D984" s="76"/>
      <c r="E984" s="76"/>
      <c r="F984" s="302"/>
    </row>
    <row r="985" spans="2:6" ht="15" thickBot="1" x14ac:dyDescent="0.4">
      <c r="B985" s="217"/>
      <c r="C985" s="76"/>
      <c r="D985" s="76"/>
      <c r="E985" s="76"/>
      <c r="F985" s="302"/>
    </row>
    <row r="986" spans="2:6" ht="15" thickBot="1" x14ac:dyDescent="0.4">
      <c r="B986" s="217"/>
      <c r="C986" s="76"/>
      <c r="D986" s="76"/>
      <c r="E986" s="76"/>
      <c r="F986" s="302"/>
    </row>
    <row r="987" spans="2:6" ht="15" thickBot="1" x14ac:dyDescent="0.4">
      <c r="B987" s="217"/>
      <c r="C987" s="76"/>
      <c r="D987" s="76"/>
      <c r="E987" s="76"/>
      <c r="F987" s="302"/>
    </row>
    <row r="988" spans="2:6" ht="15" thickBot="1" x14ac:dyDescent="0.4">
      <c r="B988" s="217"/>
      <c r="C988" s="76"/>
      <c r="D988" s="76"/>
      <c r="E988" s="76"/>
      <c r="F988" s="302"/>
    </row>
    <row r="989" spans="2:6" ht="15" thickBot="1" x14ac:dyDescent="0.4">
      <c r="B989" s="217"/>
      <c r="C989" s="76"/>
      <c r="D989" s="76"/>
      <c r="E989" s="76"/>
      <c r="F989" s="302"/>
    </row>
    <row r="990" spans="2:6" ht="15" thickBot="1" x14ac:dyDescent="0.4">
      <c r="B990" s="217"/>
      <c r="C990" s="76"/>
      <c r="D990" s="76"/>
      <c r="E990" s="76"/>
      <c r="F990" s="302"/>
    </row>
    <row r="991" spans="2:6" ht="15" thickBot="1" x14ac:dyDescent="0.4">
      <c r="B991" s="217"/>
      <c r="C991" s="76"/>
      <c r="D991" s="76"/>
      <c r="E991" s="76"/>
      <c r="F991" s="302"/>
    </row>
    <row r="992" spans="2:6" ht="15" thickBot="1" x14ac:dyDescent="0.4">
      <c r="B992" s="217"/>
      <c r="C992" s="76"/>
      <c r="D992" s="76"/>
      <c r="E992" s="76"/>
      <c r="F992" s="302"/>
    </row>
    <row r="993" spans="2:6" ht="15" thickBot="1" x14ac:dyDescent="0.4">
      <c r="B993" s="217"/>
      <c r="C993" s="76"/>
      <c r="D993" s="76"/>
      <c r="E993" s="76"/>
      <c r="F993" s="302"/>
    </row>
    <row r="994" spans="2:6" ht="15" thickBot="1" x14ac:dyDescent="0.4">
      <c r="B994" s="217"/>
      <c r="C994" s="76"/>
      <c r="D994" s="76"/>
      <c r="E994" s="76"/>
      <c r="F994" s="302"/>
    </row>
    <row r="995" spans="2:6" ht="15" thickBot="1" x14ac:dyDescent="0.4">
      <c r="B995" s="217"/>
      <c r="C995" s="76"/>
      <c r="D995" s="76"/>
      <c r="E995" s="76"/>
      <c r="F995" s="302"/>
    </row>
    <row r="996" spans="2:6" ht="15" thickBot="1" x14ac:dyDescent="0.4">
      <c r="B996" s="217"/>
      <c r="C996" s="76"/>
      <c r="D996" s="76"/>
      <c r="E996" s="76"/>
      <c r="F996" s="302"/>
    </row>
    <row r="997" spans="2:6" ht="15" thickBot="1" x14ac:dyDescent="0.4">
      <c r="B997" s="217"/>
      <c r="C997" s="76"/>
      <c r="D997" s="76"/>
      <c r="E997" s="76"/>
      <c r="F997" s="302"/>
    </row>
    <row r="998" spans="2:6" ht="15" thickBot="1" x14ac:dyDescent="0.4">
      <c r="B998" s="217"/>
      <c r="C998" s="76"/>
      <c r="D998" s="76"/>
      <c r="E998" s="76"/>
      <c r="F998" s="302"/>
    </row>
    <row r="999" spans="2:6" ht="15" thickBot="1" x14ac:dyDescent="0.4">
      <c r="B999" s="217"/>
      <c r="C999" s="76"/>
      <c r="D999" s="76"/>
      <c r="E999" s="76"/>
      <c r="F999" s="302"/>
    </row>
    <row r="1000" spans="2:6" ht="15" thickBot="1" x14ac:dyDescent="0.4">
      <c r="B1000" s="217"/>
      <c r="C1000" s="76"/>
      <c r="D1000" s="76"/>
      <c r="E1000" s="76"/>
      <c r="F1000" s="302"/>
    </row>
  </sheetData>
  <sheetProtection algorithmName="SHA-512" hashValue="jW2DNBJ04G9cn72jJhSLrTOpk8GXcUGs3sURY5t/XWXFGWt1W8vD2zWvZ8AVyTEvQPvAoHoiE2SOQT9ucWcMJw==" saltValue="q3ZESlydwrFRXevuhKX1CA==" spinCount="100000" sheet="1" objects="1" scenarios="1"/>
  <mergeCells count="8">
    <mergeCell ref="B5:E5"/>
    <mergeCell ref="B3:H3"/>
    <mergeCell ref="B4:H4"/>
    <mergeCell ref="N1:O1"/>
    <mergeCell ref="P1:Q1"/>
    <mergeCell ref="N2:O2"/>
    <mergeCell ref="P2:Q2"/>
    <mergeCell ref="B2:H2"/>
  </mergeCells>
  <phoneticPr fontId="22" type="noConversion"/>
  <conditionalFormatting sqref="B7:D1000 F7:F1000">
    <cfRule type="expression" dxfId="75" priority="9">
      <formula>IF($AE7=1,1,0)</formula>
    </cfRule>
  </conditionalFormatting>
  <conditionalFormatting sqref="D7:F1000">
    <cfRule type="expression" dxfId="74" priority="1">
      <formula>SEARCH("Renewable electricity generation site", $C7)</formula>
    </cfRule>
  </conditionalFormatting>
  <conditionalFormatting sqref="E7:E999">
    <cfRule type="expression" dxfId="73" priority="56">
      <formula>IF($AE8=1,1,0)</formula>
    </cfRule>
  </conditionalFormatting>
  <conditionalFormatting sqref="E1000">
    <cfRule type="expression" dxfId="72" priority="61">
      <formula>IF(#REF!=1,1,0)</formula>
    </cfRule>
  </conditionalFormatting>
  <conditionalFormatting sqref="F5">
    <cfRule type="cellIs" dxfId="71" priority="6" operator="equal">
      <formula>"No data entered"</formula>
    </cfRule>
    <cfRule type="cellIs" dxfId="70" priority="7" operator="equal">
      <formula>"No data missing"</formula>
    </cfRule>
    <cfRule type="cellIs" dxfId="69" priority="8" operator="equal">
      <formula>"Floor area missing"</formula>
    </cfRule>
  </conditionalFormatting>
  <dataValidations xWindow="1335" yWindow="725" count="8">
    <dataValidation type="list" allowBlank="1" showInputMessage="1" showErrorMessage="1" sqref="D7:D1000" xr:uid="{29F1E5A0-F912-414B-83F9-084AAC850523}">
      <formula1>Buildingcategory</formula1>
    </dataValidation>
    <dataValidation type="list" allowBlank="1" showInputMessage="1" showErrorMessage="1" sqref="C7:C1000" xr:uid="{BB5F0B9D-59C8-4607-AF46-E3999513B38D}">
      <formula1>Buildingsownership</formula1>
    </dataValidation>
    <dataValidation allowBlank="1" showInputMessage="1" showErrorMessage="1" promptTitle="Info" prompt="Please enter ownership structure, this determines where emissions are allocated with regards to scope. See guidance - Table 6 for details" sqref="C6" xr:uid="{3257FCE4-3410-41FE-B323-89FDD85E632D}"/>
    <dataValidation allowBlank="1" showInputMessage="1" showErrorMessage="1" promptTitle="Info" prompt="Please add the building name here." sqref="B6" xr:uid="{1AAECF4D-F9F7-4B54-9519-5F1A0928B221}"/>
    <dataValidation allowBlank="1" showInputMessage="1" showErrorMessage="1" promptTitle="Info" prompt="Please enter building category. " sqref="D6" xr:uid="{227BBAC0-5A74-4776-B3F3-AE0856731ED4}"/>
    <dataValidation allowBlank="1" showInputMessage="1" showErrorMessage="1" promptTitle="Info" prompt="Please enter building type." sqref="E6" xr:uid="{ED418A72-BEED-4E70-B4A1-6897E00BD207}"/>
    <dataValidation allowBlank="1" showInputMessage="1" showErrorMessage="1" promptTitle="Info" prompt="Please enter the floor area (m2) of the building/site. _x000a__x000a_Not required for sites smaller than 500 m2, which can be presented as an aggregate input, for which a total floor area is not required." sqref="F6" xr:uid="{0DECDAA0-6979-4CBF-91B0-D9A25ECF5638}"/>
    <dataValidation type="whole" allowBlank="1" showInputMessage="1" showErrorMessage="1" sqref="F7:F1000" xr:uid="{B9471DD6-BCAC-4640-AF9F-6D7ACA4617EE}">
      <formula1>1</formula1>
      <formula2>1000000000</formula2>
    </dataValidation>
  </dataValidation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xWindow="1335" yWindow="725" count="1">
        <x14:dataValidation type="list" allowBlank="1" showInputMessage="1" showErrorMessage="1" xr:uid="{D0C82671-BC23-4F55-9170-12FE7544289F}">
          <x14:formula1>
            <xm:f>OFFSET(Lists!$Q$251,MATCH(D7,Buildingcategory_long,0)-1,,COUNTIF(Buildingcategory_long,D7))</xm:f>
          </x14:formula1>
          <xm:sqref>E7:E1000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tabColor rgb="FF27CCF9"/>
  </sheetPr>
  <dimension ref="A1:AG531"/>
  <sheetViews>
    <sheetView topLeftCell="K1" zoomScale="80" zoomScaleNormal="80" workbookViewId="0">
      <selection activeCell="Z1" sqref="Z1:AA1048576"/>
    </sheetView>
  </sheetViews>
  <sheetFormatPr defaultColWidth="8.54296875" defaultRowHeight="14.5" outlineLevelRow="1" x14ac:dyDescent="0.35"/>
  <cols>
    <col min="1" max="1" width="3.6328125" style="316" customWidth="1"/>
    <col min="2" max="2" width="27.6328125" style="1" customWidth="1"/>
    <col min="3" max="3" width="36.54296875" style="1" customWidth="1"/>
    <col min="4" max="4" width="20.36328125" style="1" hidden="1" customWidth="1"/>
    <col min="5" max="5" width="16.6328125" style="1" customWidth="1"/>
    <col min="6" max="6" width="13.36328125" style="1" customWidth="1"/>
    <col min="7" max="7" width="14.6328125" style="1" customWidth="1"/>
    <col min="8" max="8" width="11.453125" style="1" customWidth="1"/>
    <col min="9" max="9" width="22.6328125" style="1" customWidth="1"/>
    <col min="10" max="10" width="19" style="1" customWidth="1"/>
    <col min="11" max="11" width="19.453125" style="1" customWidth="1"/>
    <col min="12" max="12" width="18.6328125" style="1" customWidth="1"/>
    <col min="13" max="13" width="20.54296875" style="1" customWidth="1"/>
    <col min="14" max="14" width="22.453125" style="1" customWidth="1"/>
    <col min="15" max="15" width="12.36328125" style="1" customWidth="1"/>
    <col min="16" max="16" width="13.36328125" style="1" customWidth="1"/>
    <col min="17" max="17" width="12.36328125" style="1" customWidth="1"/>
    <col min="18" max="18" width="10.6328125" style="1" customWidth="1"/>
    <col min="19" max="19" width="11.54296875" style="1" customWidth="1"/>
    <col min="20" max="20" width="10.54296875" style="1" customWidth="1"/>
    <col min="21" max="23" width="12.6328125" style="1" bestFit="1" customWidth="1"/>
    <col min="24" max="24" width="14.08984375" style="1" customWidth="1"/>
    <col min="25" max="25" width="9.36328125" style="1" customWidth="1"/>
    <col min="26" max="26" width="9.6328125" style="1" hidden="1" customWidth="1"/>
    <col min="27" max="27" width="8.54296875" style="1" hidden="1" customWidth="1"/>
    <col min="28" max="28" width="14.453125" style="1" bestFit="1" customWidth="1"/>
    <col min="29" max="16384" width="8.54296875" style="1"/>
  </cols>
  <sheetData>
    <row r="1" spans="1:33" ht="15" thickBot="1" x14ac:dyDescent="0.4">
      <c r="D1" s="11"/>
      <c r="N1" s="304" t="s">
        <v>155</v>
      </c>
      <c r="O1" s="554" t="s">
        <v>9</v>
      </c>
      <c r="P1" s="555"/>
      <c r="Q1" s="556" t="s">
        <v>13</v>
      </c>
      <c r="R1" s="557"/>
      <c r="S1" s="30"/>
    </row>
    <row r="2" spans="1:33" ht="19" thickBot="1" x14ac:dyDescent="0.4">
      <c r="B2" s="562" t="s">
        <v>171</v>
      </c>
      <c r="C2" s="563"/>
      <c r="D2" s="563"/>
      <c r="E2" s="563"/>
      <c r="F2" s="563"/>
      <c r="G2" s="563"/>
      <c r="H2" s="563"/>
      <c r="I2" s="563"/>
      <c r="J2" s="563"/>
      <c r="K2" s="563"/>
      <c r="L2" s="563"/>
      <c r="M2" s="564"/>
      <c r="N2" s="18"/>
      <c r="O2" s="558" t="s">
        <v>11</v>
      </c>
      <c r="P2" s="559"/>
      <c r="Q2" s="560" t="s">
        <v>15</v>
      </c>
      <c r="R2" s="561"/>
      <c r="S2" s="30"/>
    </row>
    <row r="3" spans="1:33" ht="59" customHeight="1" thickBot="1" x14ac:dyDescent="0.4">
      <c r="B3" s="565" t="s">
        <v>172</v>
      </c>
      <c r="C3" s="566"/>
      <c r="D3" s="566"/>
      <c r="E3" s="566"/>
      <c r="F3" s="566"/>
      <c r="G3" s="566"/>
      <c r="H3" s="566"/>
      <c r="I3" s="566"/>
      <c r="J3" s="566"/>
      <c r="K3" s="566"/>
      <c r="L3" s="566"/>
      <c r="M3" s="567"/>
      <c r="O3" s="19"/>
      <c r="P3" s="19"/>
      <c r="Q3" s="19"/>
      <c r="R3" s="19"/>
    </row>
    <row r="4" spans="1:33" ht="140.75" customHeight="1" x14ac:dyDescent="0.35">
      <c r="B4" s="565" t="s">
        <v>173</v>
      </c>
      <c r="C4" s="566"/>
      <c r="D4" s="566"/>
      <c r="E4" s="566"/>
      <c r="F4" s="566"/>
      <c r="G4" s="566"/>
      <c r="H4" s="566"/>
      <c r="I4" s="566"/>
      <c r="J4" s="566"/>
      <c r="K4" s="566"/>
      <c r="L4" s="566"/>
      <c r="M4" s="566"/>
      <c r="O4" s="11"/>
    </row>
    <row r="5" spans="1:33" ht="19" thickBot="1" x14ac:dyDescent="0.5">
      <c r="B5" s="20" t="s">
        <v>171</v>
      </c>
      <c r="C5" s="29"/>
      <c r="D5" s="7"/>
      <c r="E5" s="7"/>
      <c r="F5" s="7"/>
      <c r="G5" s="7"/>
      <c r="H5" s="7"/>
      <c r="J5" s="317" t="str">
        <f>IF($AA$6=0,"No data entered",IF($Z$6=0,"No errors in this table","There are errors in this table see highlighted row(s)"))</f>
        <v>No data entered</v>
      </c>
      <c r="K5" s="7"/>
      <c r="L5"/>
      <c r="M5" s="7"/>
      <c r="N5" s="7"/>
      <c r="O5" s="318" t="s">
        <v>174</v>
      </c>
      <c r="T5" s="26"/>
      <c r="V5" s="7"/>
      <c r="Z5" s="9" t="s">
        <v>175</v>
      </c>
      <c r="AA5" s="9" t="s">
        <v>161</v>
      </c>
    </row>
    <row r="6" spans="1:33" ht="35.25" customHeight="1" outlineLevel="1" thickBot="1" x14ac:dyDescent="0.4">
      <c r="A6" s="319"/>
      <c r="B6" s="263" t="s">
        <v>162</v>
      </c>
      <c r="C6" s="264" t="s">
        <v>176</v>
      </c>
      <c r="D6" s="264" t="s">
        <v>177</v>
      </c>
      <c r="E6" s="263" t="s">
        <v>178</v>
      </c>
      <c r="F6" s="263" t="s">
        <v>179</v>
      </c>
      <c r="G6" s="263" t="s">
        <v>180</v>
      </c>
      <c r="H6" s="263" t="s">
        <v>181</v>
      </c>
      <c r="I6" s="263" t="s">
        <v>182</v>
      </c>
      <c r="J6" s="263" t="s">
        <v>183</v>
      </c>
      <c r="K6" s="263" t="s">
        <v>184</v>
      </c>
      <c r="L6" s="263" t="s">
        <v>185</v>
      </c>
      <c r="M6" s="263" t="s">
        <v>186</v>
      </c>
      <c r="N6" s="263" t="s">
        <v>187</v>
      </c>
      <c r="O6" s="263" t="s">
        <v>188</v>
      </c>
      <c r="P6" s="263" t="s">
        <v>189</v>
      </c>
      <c r="Q6" s="8" t="s">
        <v>92</v>
      </c>
      <c r="R6" s="8" t="s">
        <v>190</v>
      </c>
      <c r="S6" s="8" t="s">
        <v>191</v>
      </c>
      <c r="T6" s="8" t="s">
        <v>192</v>
      </c>
      <c r="U6" s="8" t="s">
        <v>193</v>
      </c>
      <c r="V6" s="8" t="s">
        <v>100</v>
      </c>
      <c r="W6" s="261" t="s">
        <v>101</v>
      </c>
      <c r="X6" s="266" t="s">
        <v>96</v>
      </c>
      <c r="Y6" s="30"/>
      <c r="Z6" s="9">
        <f>SUM(Z7:Z500)</f>
        <v>0</v>
      </c>
      <c r="AA6" s="9">
        <f>SUM(AA7:AA500)</f>
        <v>0</v>
      </c>
      <c r="AC6"/>
      <c r="AD6"/>
      <c r="AE6"/>
      <c r="AF6"/>
      <c r="AG6"/>
    </row>
    <row r="7" spans="1:33" ht="15" outlineLevel="1" thickBot="1" x14ac:dyDescent="0.4">
      <c r="B7" s="215"/>
      <c r="C7" s="215"/>
      <c r="D7" s="233" t="str">
        <f>IFERROR(INDEX(BuildingInformationTable[Site type],MATCH(BuildingsElectricityTable[[#This Row],[Site name]],BuildingInformationTable[Site name],0)),"")</f>
        <v/>
      </c>
      <c r="E7" s="311" t="str">
        <f>IF(B7="", "", "Grid electricity")</f>
        <v/>
      </c>
      <c r="F7" s="311" t="str">
        <f t="shared" ref="F7:F453" si="0">IF(E7="Grid electricity", "Consumption based", "")</f>
        <v/>
      </c>
      <c r="G7" s="72"/>
      <c r="H7" s="98" t="str">
        <f>IF(G7="","",INDEX(Lists!$BA$4:$BC$31,MATCH(E7,Lists!$AZ$4:$AZ$31,0),MATCH(G7,Lists!$BA$3:$BC$3,0)))</f>
        <v/>
      </c>
      <c r="I7" s="70"/>
      <c r="J7" s="311" t="str">
        <f t="shared" ref="J7:J371" si="1">IF(I7="", "", "kWh")</f>
        <v/>
      </c>
      <c r="K7" s="75" t="str" cm="1">
        <f t="array" ref="K7">IF(OR($E7="",$D7="",$I7="",$J7=""),"",IF(J7=L7,I7,(INDEX('Emission factors'!$K$3:$V$201,MATCH(E7&amp;F7,'Emission factors'!$J$3:$J$201&amp;'Emission factors'!$K$3:$K$201,0),MATCH(K$6,'Emission factors'!$K$2:$V$2,0)))*I7))</f>
        <v/>
      </c>
      <c r="L7" s="312" t="str">
        <f>IF(OR($E7="",$D7="",$I7="",$J7=""),"",INDEX('Emission factors'!$K$3:$V$201,MATCH('Buildings - Grid Electricity'!$E7,'Emission factors'!$J$3:$J$201,0),MATCH($L$6,'Emission factors'!$K$2:$V$2,0)))</f>
        <v/>
      </c>
      <c r="M7" s="313" t="str" cm="1">
        <f t="array" ref="M7">IF(OR(E7="",I7="",BuildingsElectricityTable[[#This Row],[Units]]=""),"",INDEX('Emission factors'!$K$3:$V$201,MATCH('Buildings - Grid Electricity'!$E7&amp;F7,'Emission factors'!$J$3:$J$201&amp;'Emission factors'!$K$3:$K$201,0),MATCH('Buildings - Grid Electricity'!$M$6,'Emission factors'!$K$2:$V$2,0)))</f>
        <v/>
      </c>
      <c r="N7" s="156" t="str">
        <f>IF(OR(K7="",M7=""),"",SUM(BuildingsElectricityTable[[#This Row],[Direct]:[Indirect WTT]]))</f>
        <v/>
      </c>
      <c r="O7" s="71"/>
      <c r="P7" s="72"/>
      <c r="Q7" s="157" t="str" cm="1">
        <f t="array" ref="Q7">IF(OR($E7="",$I7=""),"",(INDEX('Emission factors'!$K$3:$V$201,MATCH('Buildings - Grid Electricity'!$E7&amp;$F7,'Emission factors'!$J$3:$J$201&amp;'Emission factors'!$K$3:$K$201,0),MATCH('Buildings - Grid Electricity'!Q$6,'Emission factors'!$K$2:$V$2,0)))*$K7)</f>
        <v/>
      </c>
      <c r="R7" s="157" t="str" cm="1">
        <f t="array" ref="R7">IF(OR($E7="",$I7=""),"",(INDEX('Emission factors'!$K$3:$V$201,MATCH('Buildings - Grid Electricity'!$E7&amp;$F7,'Emission factors'!$J$3:$J$201&amp;'Emission factors'!$K$3:$K$201,0),MATCH('Buildings - Grid Electricity'!R$6,'Emission factors'!$K$2:$V$2,0)))*$K7)</f>
        <v/>
      </c>
      <c r="S7" s="157" t="str" cm="1">
        <f t="array" ref="S7">IF(OR($E7="",$I7=""),"",(INDEX('Emission factors'!$K$3:$V$201,MATCH('Buildings - Grid Electricity'!$E7&amp;$F7,'Emission factors'!$J$3:$J$201&amp;'Emission factors'!$K$3:$K$201,0),MATCH('Buildings - Grid Electricity'!S$6,'Emission factors'!$K$2:$V$2,0)))*$K7)</f>
        <v/>
      </c>
      <c r="T7" s="157" t="str" cm="1">
        <f t="array" ref="T7">IF(OR($E7="",$I7=""),"",(INDEX('Emission factors'!$K$3:$V$201,MATCH('Buildings - Grid Electricity'!$E7&amp;$F7,'Emission factors'!$J$3:$J$201&amp;'Emission factors'!$K$3:$K$201,0),MATCH('Buildings - Grid Electricity'!T$6,'Emission factors'!$K$2:$V$2,0)))*$K7)</f>
        <v/>
      </c>
      <c r="U7" s="157" t="str" cm="1">
        <f t="array" ref="U7">IF(OR($E7="",$I7=""),"",(INDEX('Emission factors'!$K$3:$V$201,MATCH('Buildings - Grid Electricity'!$E7&amp;$F7,'Emission factors'!$J$3:$J$201&amp;'Emission factors'!$K$3:$K$201,0),MATCH('Buildings - Grid Electricity'!U$6,'Emission factors'!$K$2:$V$2,0)))*$K7)</f>
        <v/>
      </c>
      <c r="V7" s="158" t="str">
        <f>IF(OR($N7="",BuildingsElectricityTable[[#This Row],[RSD]]=""),"",BuildingsElectricityTable[[#This Row],[Total emissions (kgCO2e)]]*(1+BuildingsElectricityTable[[#This Row],[RSD]]))</f>
        <v/>
      </c>
      <c r="W7" s="159" t="str">
        <f>IF(OR($N7="",BuildingsElectricityTable[[#This Row],[RSD]]=""),"",BuildingsElectricityTable[[#This Row],[Total emissions (kgCO2e)]]*(1-BuildingsElectricityTable[[#This Row],[RSD]]))</f>
        <v/>
      </c>
      <c r="X7" s="169" t="str" cm="1">
        <f t="array" ref="X7">IF(OR($E7="",$I7=""),"",(INDEX('Emission factors'!$K$3:$V$201,MATCH('Buildings - Grid Electricity'!$E7&amp;$F7,'Emission factors'!$J$3:$J$201&amp;'Emission factors'!$K$3:$K$201,0),MATCH('Buildings - Grid Electricity'!X$6,'Emission factors'!$K$2:$V$2,0)))*$K7)</f>
        <v/>
      </c>
      <c r="Y7" s="30"/>
      <c r="Z7" s="1" cm="1">
        <f t="array" ref="Z7">IF(OR(ISERROR(B7:X7)),1,0)</f>
        <v>0</v>
      </c>
      <c r="AA7" s="1">
        <f>IF(AND(B7="",E7="",I7="",J7=""),0,1)</f>
        <v>0</v>
      </c>
    </row>
    <row r="8" spans="1:33" ht="15" outlineLevel="1" thickBot="1" x14ac:dyDescent="0.4">
      <c r="A8" s="319"/>
      <c r="B8" s="216"/>
      <c r="C8" s="216"/>
      <c r="D8" s="489" t="str">
        <f>IFERROR(INDEX(BuildingInformationTable[Site type],MATCH(BuildingsElectricityTable[[#This Row],[Site name]],BuildingInformationTable[Site name],0)),"")</f>
        <v/>
      </c>
      <c r="E8" s="490" t="str">
        <f t="shared" ref="E8:E71" si="2">IF(B8="", "", "Grid electricity")</f>
        <v/>
      </c>
      <c r="F8" s="490" t="str">
        <f t="shared" ref="F8:F71" si="3">IF(E8="Grid electricity", "Consumption based", "")</f>
        <v/>
      </c>
      <c r="G8" s="491"/>
      <c r="H8" s="492" t="str">
        <f>IF(G8="","",INDEX(Lists!$BA$4:$BC$31,MATCH(E8,Lists!$AZ$4:$AZ$31,0),MATCH(G8,Lists!$BA$3:$BC$3,0)))</f>
        <v/>
      </c>
      <c r="I8" s="267"/>
      <c r="J8" s="490" t="str">
        <f t="shared" ref="J8:J71" si="4">IF(I8="", "", "kWh")</f>
        <v/>
      </c>
      <c r="K8" s="493" t="str" cm="1">
        <f t="array" ref="K8">IF(OR($E8="",$D8="",$I8="",$J8=""),"",IF(J8=L8,I8,(INDEX('Emission factors'!$K$3:$V$201,MATCH(E8&amp;F8,'Emission factors'!$J$3:$J$201&amp;'Emission factors'!$K$3:$K$201,0),MATCH(K$6,'Emission factors'!$K$2:$V$2,0)))*I8))</f>
        <v/>
      </c>
      <c r="L8" s="494" t="str">
        <f>IF(OR($E8="",$D8="",$I8="",$J8=""),"",INDEX('Emission factors'!$K$3:$V$201,MATCH('Buildings - Grid Electricity'!$E8,'Emission factors'!$J$3:$J$201,0),MATCH($L$6,'Emission factors'!$K$2:$V$2,0)))</f>
        <v/>
      </c>
      <c r="M8" s="495" t="str" cm="1">
        <f t="array" ref="M8">IF(OR(E8="",I8="",BuildingsElectricityTable[[#This Row],[Units]]=""),"",INDEX('Emission factors'!$K$3:$V$201,MATCH('Buildings - Grid Electricity'!$E8&amp;F8,'Emission factors'!$J$3:$J$201&amp;'Emission factors'!$K$3:$K$201,0),MATCH('Buildings - Grid Electricity'!$M$6,'Emission factors'!$K$2:$V$2,0)))</f>
        <v/>
      </c>
      <c r="N8" s="496" t="str">
        <f>IF(OR(K8="",M8=""),"",SUM(BuildingsElectricityTable[[#This Row],[Direct]:[Indirect WTT]]))</f>
        <v/>
      </c>
      <c r="O8" s="268"/>
      <c r="P8" s="497"/>
      <c r="Q8" s="157" t="str" cm="1">
        <f t="array" ref="Q8">IF(OR($E8="",$I8=""),"",(INDEX('Emission factors'!$K$3:$V$201,MATCH('Buildings - Grid Electricity'!$E8&amp;$F8,'Emission factors'!$J$3:$J$201&amp;'Emission factors'!$K$3:$K$201,0),MATCH('Buildings - Grid Electricity'!Q$6,'Emission factors'!$K$2:$V$2,0)))*$K8)</f>
        <v/>
      </c>
      <c r="R8" s="157" t="str" cm="1">
        <f t="array" ref="R8">IF(OR($E8="",$I8=""),"",(INDEX('Emission factors'!$K$3:$V$201,MATCH('Buildings - Grid Electricity'!$E8&amp;$F8,'Emission factors'!$J$3:$J$201&amp;'Emission factors'!$K$3:$K$201,0),MATCH('Buildings - Grid Electricity'!R$6,'Emission factors'!$K$2:$V$2,0)))*$K8)</f>
        <v/>
      </c>
      <c r="S8" s="157" t="str" cm="1">
        <f t="array" ref="S8">IF(OR($E8="",$I8=""),"",(INDEX('Emission factors'!$K$3:$V$201,MATCH('Buildings - Grid Electricity'!$E8&amp;$F8,'Emission factors'!$J$3:$J$201&amp;'Emission factors'!$K$3:$K$201,0),MATCH('Buildings - Grid Electricity'!S$6,'Emission factors'!$K$2:$V$2,0)))*$K8)</f>
        <v/>
      </c>
      <c r="T8" s="157" t="str" cm="1">
        <f t="array" ref="T8">IF(OR($E8="",$I8=""),"",(INDEX('Emission factors'!$K$3:$V$201,MATCH('Buildings - Grid Electricity'!$E8&amp;$F8,'Emission factors'!$J$3:$J$201&amp;'Emission factors'!$K$3:$K$201,0),MATCH('Buildings - Grid Electricity'!T$6,'Emission factors'!$K$2:$V$2,0)))*$K8)</f>
        <v/>
      </c>
      <c r="U8" s="157" t="str" cm="1">
        <f t="array" ref="U8">IF(OR($E8="",$I8=""),"",(INDEX('Emission factors'!$K$3:$V$201,MATCH('Buildings - Grid Electricity'!$E8&amp;$F8,'Emission factors'!$J$3:$J$201&amp;'Emission factors'!$K$3:$K$201,0),MATCH('Buildings - Grid Electricity'!U$6,'Emission factors'!$K$2:$V$2,0)))*$K8)</f>
        <v/>
      </c>
      <c r="V8" s="269" t="str">
        <f>IF(OR($N8="",BuildingsElectricityTable[[#This Row],[RSD]]=""),"",BuildingsElectricityTable[[#This Row],[Total emissions (kgCO2e)]]*(1+BuildingsElectricityTable[[#This Row],[RSD]]))</f>
        <v/>
      </c>
      <c r="W8" s="270" t="str">
        <f>IF(OR($N8="",BuildingsElectricityTable[[#This Row],[RSD]]=""),"",BuildingsElectricityTable[[#This Row],[Total emissions (kgCO2e)]]*(1-BuildingsElectricityTable[[#This Row],[RSD]]))</f>
        <v/>
      </c>
      <c r="X8" s="271" t="str" cm="1">
        <f t="array" ref="X8">IF(OR($E8="",$I8=""),"",(INDEX('Emission factors'!$K$3:$V$201,MATCH('Buildings - Grid Electricity'!$E8&amp;$F8,'Emission factors'!$J$3:$J$201&amp;'Emission factors'!$K$3:$K$201,0),MATCH('Buildings - Grid Electricity'!X$6,'Emission factors'!$K$2:$V$2,0)))*$K8)</f>
        <v/>
      </c>
      <c r="Y8" s="30"/>
      <c r="Z8" s="1" cm="1">
        <f t="array" ref="Z8">IF(OR(ISERROR(B8:X8)),1,0)</f>
        <v>0</v>
      </c>
      <c r="AA8" s="1">
        <f t="shared" ref="AA8:AA71" si="5">IF(AND(B8="",E8="",I8="",J8=""),0,1)</f>
        <v>0</v>
      </c>
    </row>
    <row r="9" spans="1:33" ht="15" outlineLevel="1" thickBot="1" x14ac:dyDescent="0.4">
      <c r="A9" s="319"/>
      <c r="B9" s="216"/>
      <c r="C9" s="216"/>
      <c r="D9" s="489" t="str">
        <f>IFERROR(INDEX(BuildingInformationTable[Site type],MATCH(BuildingsElectricityTable[[#This Row],[Site name]],BuildingInformationTable[Site name],0)),"")</f>
        <v/>
      </c>
      <c r="E9" s="490" t="str">
        <f t="shared" si="2"/>
        <v/>
      </c>
      <c r="F9" s="490" t="str">
        <f t="shared" si="3"/>
        <v/>
      </c>
      <c r="G9" s="491"/>
      <c r="H9" s="492" t="str">
        <f>IF(G9="","",INDEX(Lists!$BA$4:$BC$31,MATCH(E9,Lists!$AZ$4:$AZ$31,0),MATCH(G9,Lists!$BA$3:$BC$3,0)))</f>
        <v/>
      </c>
      <c r="I9" s="267"/>
      <c r="J9" s="490" t="str">
        <f t="shared" si="4"/>
        <v/>
      </c>
      <c r="K9" s="493" t="str" cm="1">
        <f t="array" ref="K9">IF(OR($E9="",$D9="",$I9="",$J9=""),"",IF(J9=L9,I9,(INDEX('Emission factors'!$K$3:$V$201,MATCH(E9&amp;F9,'Emission factors'!$J$3:$J$201&amp;'Emission factors'!$K$3:$K$201,0),MATCH(K$6,'Emission factors'!$K$2:$V$2,0)))*I9))</f>
        <v/>
      </c>
      <c r="L9" s="494" t="str">
        <f>IF(OR($E9="",$D9="",$I9="",$J9=""),"",INDEX('Emission factors'!$K$3:$V$201,MATCH('Buildings - Grid Electricity'!$E9,'Emission factors'!$J$3:$J$201,0),MATCH($L$6,'Emission factors'!$K$2:$V$2,0)))</f>
        <v/>
      </c>
      <c r="M9" s="495" t="str" cm="1">
        <f t="array" ref="M9">IF(OR(E9="",I9="",BuildingsElectricityTable[[#This Row],[Units]]=""),"",INDEX('Emission factors'!$K$3:$V$201,MATCH('Buildings - Grid Electricity'!$E9&amp;F9,'Emission factors'!$J$3:$J$201&amp;'Emission factors'!$K$3:$K$201,0),MATCH('Buildings - Grid Electricity'!$M$6,'Emission factors'!$K$2:$V$2,0)))</f>
        <v/>
      </c>
      <c r="N9" s="496" t="str">
        <f>IF(OR(K9="",M9=""),"",SUM(BuildingsElectricityTable[[#This Row],[Direct]:[Indirect WTT]]))</f>
        <v/>
      </c>
      <c r="O9" s="268"/>
      <c r="P9" s="497"/>
      <c r="Q9" s="157" t="str" cm="1">
        <f t="array" ref="Q9">IF(OR($E9="",$I9=""),"",(INDEX('Emission factors'!$K$3:$V$201,MATCH('Buildings - Grid Electricity'!$E9&amp;$F9,'Emission factors'!$J$3:$J$201&amp;'Emission factors'!$K$3:$K$201,0),MATCH('Buildings - Grid Electricity'!Q$6,'Emission factors'!$K$2:$V$2,0)))*$K9)</f>
        <v/>
      </c>
      <c r="R9" s="157" t="str" cm="1">
        <f t="array" ref="R9">IF(OR($E9="",$I9=""),"",(INDEX('Emission factors'!$K$3:$V$201,MATCH('Buildings - Grid Electricity'!$E9&amp;$F9,'Emission factors'!$J$3:$J$201&amp;'Emission factors'!$K$3:$K$201,0),MATCH('Buildings - Grid Electricity'!R$6,'Emission factors'!$K$2:$V$2,0)))*$K9)</f>
        <v/>
      </c>
      <c r="S9" s="157" t="str" cm="1">
        <f t="array" ref="S9">IF(OR($E9="",$I9=""),"",(INDEX('Emission factors'!$K$3:$V$201,MATCH('Buildings - Grid Electricity'!$E9&amp;$F9,'Emission factors'!$J$3:$J$201&amp;'Emission factors'!$K$3:$K$201,0),MATCH('Buildings - Grid Electricity'!S$6,'Emission factors'!$K$2:$V$2,0)))*$K9)</f>
        <v/>
      </c>
      <c r="T9" s="157" t="str" cm="1">
        <f t="array" ref="T9">IF(OR($E9="",$I9=""),"",(INDEX('Emission factors'!$K$3:$V$201,MATCH('Buildings - Grid Electricity'!$E9&amp;$F9,'Emission factors'!$J$3:$J$201&amp;'Emission factors'!$K$3:$K$201,0),MATCH('Buildings - Grid Electricity'!T$6,'Emission factors'!$K$2:$V$2,0)))*$K9)</f>
        <v/>
      </c>
      <c r="U9" s="157" t="str" cm="1">
        <f t="array" ref="U9">IF(OR($E9="",$I9=""),"",(INDEX('Emission factors'!$K$3:$V$201,MATCH('Buildings - Grid Electricity'!$E9&amp;$F9,'Emission factors'!$J$3:$J$201&amp;'Emission factors'!$K$3:$K$201,0),MATCH('Buildings - Grid Electricity'!U$6,'Emission factors'!$K$2:$V$2,0)))*$K9)</f>
        <v/>
      </c>
      <c r="V9" s="269" t="str">
        <f>IF(OR($N9="",BuildingsElectricityTable[[#This Row],[RSD]]=""),"",BuildingsElectricityTable[[#This Row],[Total emissions (kgCO2e)]]*(1+BuildingsElectricityTable[[#This Row],[RSD]]))</f>
        <v/>
      </c>
      <c r="W9" s="270" t="str">
        <f>IF(OR($N9="",BuildingsElectricityTable[[#This Row],[RSD]]=""),"",BuildingsElectricityTable[[#This Row],[Total emissions (kgCO2e)]]*(1-BuildingsElectricityTable[[#This Row],[RSD]]))</f>
        <v/>
      </c>
      <c r="X9" s="271" t="str" cm="1">
        <f t="array" ref="X9">IF(OR($E9="",$I9=""),"",(INDEX('Emission factors'!$K$3:$V$201,MATCH('Buildings - Grid Electricity'!$E9&amp;$F9,'Emission factors'!$J$3:$J$201&amp;'Emission factors'!$K$3:$K$201,0),MATCH('Buildings - Grid Electricity'!X$6,'Emission factors'!$K$2:$V$2,0)))*$K9)</f>
        <v/>
      </c>
      <c r="Y9" s="30"/>
      <c r="Z9" s="1" cm="1">
        <f t="array" ref="Z9">IF(OR(ISERROR(B9:X9)),1,0)</f>
        <v>0</v>
      </c>
      <c r="AA9" s="1">
        <f t="shared" si="5"/>
        <v>0</v>
      </c>
    </row>
    <row r="10" spans="1:33" ht="15" outlineLevel="1" thickBot="1" x14ac:dyDescent="0.4">
      <c r="A10" s="319"/>
      <c r="B10" s="216"/>
      <c r="C10" s="216"/>
      <c r="D10" s="489" t="str">
        <f>IFERROR(INDEX(BuildingInformationTable[Site type],MATCH(BuildingsElectricityTable[[#This Row],[Site name]],BuildingInformationTable[Site name],0)),"")</f>
        <v/>
      </c>
      <c r="E10" s="490" t="str">
        <f t="shared" si="2"/>
        <v/>
      </c>
      <c r="F10" s="490" t="str">
        <f t="shared" si="3"/>
        <v/>
      </c>
      <c r="G10" s="491"/>
      <c r="H10" s="492" t="str">
        <f>IF(G10="","",INDEX(Lists!$BA$4:$BC$31,MATCH(E10,Lists!$AZ$4:$AZ$31,0),MATCH(G10,Lists!$BA$3:$BC$3,0)))</f>
        <v/>
      </c>
      <c r="I10" s="267"/>
      <c r="J10" s="490" t="str">
        <f t="shared" si="4"/>
        <v/>
      </c>
      <c r="K10" s="493" t="str" cm="1">
        <f t="array" ref="K10">IF(OR($E10="",$D10="",$I10="",$J10=""),"",IF(J10=L10,I10,(INDEX('Emission factors'!$K$3:$V$201,MATCH(E10&amp;F10,'Emission factors'!$J$3:$J$201&amp;'Emission factors'!$K$3:$K$201,0),MATCH(K$6,'Emission factors'!$K$2:$V$2,0)))*I10))</f>
        <v/>
      </c>
      <c r="L10" s="494" t="str">
        <f>IF(OR($E10="",$D10="",$I10="",$J10=""),"",INDEX('Emission factors'!$K$3:$V$201,MATCH('Buildings - Grid Electricity'!$E10,'Emission factors'!$J$3:$J$201,0),MATCH($L$6,'Emission factors'!$K$2:$V$2,0)))</f>
        <v/>
      </c>
      <c r="M10" s="495" t="str" cm="1">
        <f t="array" ref="M10">IF(OR(E10="",I10="",BuildingsElectricityTable[[#This Row],[Units]]=""),"",INDEX('Emission factors'!$K$3:$V$201,MATCH('Buildings - Grid Electricity'!$E10&amp;F10,'Emission factors'!$J$3:$J$201&amp;'Emission factors'!$K$3:$K$201,0),MATCH('Buildings - Grid Electricity'!$M$6,'Emission factors'!$K$2:$V$2,0)))</f>
        <v/>
      </c>
      <c r="N10" s="496" t="str">
        <f>IF(OR(K10="",M10=""),"",SUM(BuildingsElectricityTable[[#This Row],[Direct]:[Indirect WTT]]))</f>
        <v/>
      </c>
      <c r="O10" s="268"/>
      <c r="P10" s="497"/>
      <c r="Q10" s="157" t="str" cm="1">
        <f t="array" ref="Q10">IF(OR($E10="",$I10=""),"",(INDEX('Emission factors'!$K$3:$V$201,MATCH('Buildings - Grid Electricity'!$E10&amp;$F10,'Emission factors'!$J$3:$J$201&amp;'Emission factors'!$K$3:$K$201,0),MATCH('Buildings - Grid Electricity'!Q$6,'Emission factors'!$K$2:$V$2,0)))*$K10)</f>
        <v/>
      </c>
      <c r="R10" s="157" t="str" cm="1">
        <f t="array" ref="R10">IF(OR($E10="",$I10=""),"",(INDEX('Emission factors'!$K$3:$V$201,MATCH('Buildings - Grid Electricity'!$E10&amp;$F10,'Emission factors'!$J$3:$J$201&amp;'Emission factors'!$K$3:$K$201,0),MATCH('Buildings - Grid Electricity'!R$6,'Emission factors'!$K$2:$V$2,0)))*$K10)</f>
        <v/>
      </c>
      <c r="S10" s="157" t="str" cm="1">
        <f t="array" ref="S10">IF(OR($E10="",$I10=""),"",(INDEX('Emission factors'!$K$3:$V$201,MATCH('Buildings - Grid Electricity'!$E10&amp;$F10,'Emission factors'!$J$3:$J$201&amp;'Emission factors'!$K$3:$K$201,0),MATCH('Buildings - Grid Electricity'!S$6,'Emission factors'!$K$2:$V$2,0)))*$K10)</f>
        <v/>
      </c>
      <c r="T10" s="157" t="str" cm="1">
        <f t="array" ref="T10">IF(OR($E10="",$I10=""),"",(INDEX('Emission factors'!$K$3:$V$201,MATCH('Buildings - Grid Electricity'!$E10&amp;$F10,'Emission factors'!$J$3:$J$201&amp;'Emission factors'!$K$3:$K$201,0),MATCH('Buildings - Grid Electricity'!T$6,'Emission factors'!$K$2:$V$2,0)))*$K10)</f>
        <v/>
      </c>
      <c r="U10" s="157" t="str" cm="1">
        <f t="array" ref="U10">IF(OR($E10="",$I10=""),"",(INDEX('Emission factors'!$K$3:$V$201,MATCH('Buildings - Grid Electricity'!$E10&amp;$F10,'Emission factors'!$J$3:$J$201&amp;'Emission factors'!$K$3:$K$201,0),MATCH('Buildings - Grid Electricity'!U$6,'Emission factors'!$K$2:$V$2,0)))*$K10)</f>
        <v/>
      </c>
      <c r="V10" s="269" t="str">
        <f>IF(OR($N10="",BuildingsElectricityTable[[#This Row],[RSD]]=""),"",BuildingsElectricityTable[[#This Row],[Total emissions (kgCO2e)]]*(1+BuildingsElectricityTable[[#This Row],[RSD]]))</f>
        <v/>
      </c>
      <c r="W10" s="270" t="str">
        <f>IF(OR($N10="",BuildingsElectricityTable[[#This Row],[RSD]]=""),"",BuildingsElectricityTable[[#This Row],[Total emissions (kgCO2e)]]*(1-BuildingsElectricityTable[[#This Row],[RSD]]))</f>
        <v/>
      </c>
      <c r="X10" s="271" t="str" cm="1">
        <f t="array" ref="X10">IF(OR($E10="",$I10=""),"",(INDEX('Emission factors'!$K$3:$V$201,MATCH('Buildings - Grid Electricity'!$E10&amp;$F10,'Emission factors'!$J$3:$J$201&amp;'Emission factors'!$K$3:$K$201,0),MATCH('Buildings - Grid Electricity'!X$6,'Emission factors'!$K$2:$V$2,0)))*$K10)</f>
        <v/>
      </c>
      <c r="Y10" s="30"/>
      <c r="Z10" s="1" cm="1">
        <f t="array" ref="Z10">IF(OR(ISERROR(B10:X10)),1,0)</f>
        <v>0</v>
      </c>
      <c r="AA10" s="1">
        <f t="shared" si="5"/>
        <v>0</v>
      </c>
    </row>
    <row r="11" spans="1:33" ht="15" outlineLevel="1" thickBot="1" x14ac:dyDescent="0.4">
      <c r="A11" s="319"/>
      <c r="B11" s="216"/>
      <c r="C11" s="216"/>
      <c r="D11" s="489" t="str">
        <f>IFERROR(INDEX(BuildingInformationTable[Site type],MATCH(BuildingsElectricityTable[[#This Row],[Site name]],BuildingInformationTable[Site name],0)),"")</f>
        <v/>
      </c>
      <c r="E11" s="490" t="str">
        <f t="shared" si="2"/>
        <v/>
      </c>
      <c r="F11" s="490" t="str">
        <f t="shared" si="3"/>
        <v/>
      </c>
      <c r="G11" s="491"/>
      <c r="H11" s="492" t="str">
        <f>IF(G11="","",INDEX(Lists!$BA$4:$BC$31,MATCH(E11,Lists!$AZ$4:$AZ$31,0),MATCH(G11,Lists!$BA$3:$BC$3,0)))</f>
        <v/>
      </c>
      <c r="I11" s="267"/>
      <c r="J11" s="490" t="str">
        <f t="shared" si="4"/>
        <v/>
      </c>
      <c r="K11" s="493" t="str" cm="1">
        <f t="array" ref="K11">IF(OR($E11="",$D11="",$I11="",$J11=""),"",IF(J11=L11,I11,(INDEX('Emission factors'!$K$3:$V$201,MATCH(E11&amp;F11,'Emission factors'!$J$3:$J$201&amp;'Emission factors'!$K$3:$K$201,0),MATCH(K$6,'Emission factors'!$K$2:$V$2,0)))*I11))</f>
        <v/>
      </c>
      <c r="L11" s="494" t="str">
        <f>IF(OR($E11="",$D11="",$I11="",$J11=""),"",INDEX('Emission factors'!$K$3:$V$201,MATCH('Buildings - Grid Electricity'!$E11,'Emission factors'!$J$3:$J$201,0),MATCH($L$6,'Emission factors'!$K$2:$V$2,0)))</f>
        <v/>
      </c>
      <c r="M11" s="495" t="str" cm="1">
        <f t="array" ref="M11">IF(OR(E11="",I11="",BuildingsElectricityTable[[#This Row],[Units]]=""),"",INDEX('Emission factors'!$K$3:$V$201,MATCH('Buildings - Grid Electricity'!$E11&amp;F11,'Emission factors'!$J$3:$J$201&amp;'Emission factors'!$K$3:$K$201,0),MATCH('Buildings - Grid Electricity'!$M$6,'Emission factors'!$K$2:$V$2,0)))</f>
        <v/>
      </c>
      <c r="N11" s="496" t="str">
        <f>IF(OR(K11="",M11=""),"",SUM(BuildingsElectricityTable[[#This Row],[Direct]:[Indirect WTT]]))</f>
        <v/>
      </c>
      <c r="O11" s="268"/>
      <c r="P11" s="497"/>
      <c r="Q11" s="157" t="str" cm="1">
        <f t="array" ref="Q11">IF(OR($E11="",$I11=""),"",(INDEX('Emission factors'!$K$3:$V$201,MATCH('Buildings - Grid Electricity'!$E11&amp;$F11,'Emission factors'!$J$3:$J$201&amp;'Emission factors'!$K$3:$K$201,0),MATCH('Buildings - Grid Electricity'!Q$6,'Emission factors'!$K$2:$V$2,0)))*$K11)</f>
        <v/>
      </c>
      <c r="R11" s="157" t="str" cm="1">
        <f t="array" ref="R11">IF(OR($E11="",$I11=""),"",(INDEX('Emission factors'!$K$3:$V$201,MATCH('Buildings - Grid Electricity'!$E11&amp;$F11,'Emission factors'!$J$3:$J$201&amp;'Emission factors'!$K$3:$K$201,0),MATCH('Buildings - Grid Electricity'!R$6,'Emission factors'!$K$2:$V$2,0)))*$K11)</f>
        <v/>
      </c>
      <c r="S11" s="157" t="str" cm="1">
        <f t="array" ref="S11">IF(OR($E11="",$I11=""),"",(INDEX('Emission factors'!$K$3:$V$201,MATCH('Buildings - Grid Electricity'!$E11&amp;$F11,'Emission factors'!$J$3:$J$201&amp;'Emission factors'!$K$3:$K$201,0),MATCH('Buildings - Grid Electricity'!S$6,'Emission factors'!$K$2:$V$2,0)))*$K11)</f>
        <v/>
      </c>
      <c r="T11" s="157" t="str" cm="1">
        <f t="array" ref="T11">IF(OR($E11="",$I11=""),"",(INDEX('Emission factors'!$K$3:$V$201,MATCH('Buildings - Grid Electricity'!$E11&amp;$F11,'Emission factors'!$J$3:$J$201&amp;'Emission factors'!$K$3:$K$201,0),MATCH('Buildings - Grid Electricity'!T$6,'Emission factors'!$K$2:$V$2,0)))*$K11)</f>
        <v/>
      </c>
      <c r="U11" s="157" t="str" cm="1">
        <f t="array" ref="U11">IF(OR($E11="",$I11=""),"",(INDEX('Emission factors'!$K$3:$V$201,MATCH('Buildings - Grid Electricity'!$E11&amp;$F11,'Emission factors'!$J$3:$J$201&amp;'Emission factors'!$K$3:$K$201,0),MATCH('Buildings - Grid Electricity'!U$6,'Emission factors'!$K$2:$V$2,0)))*$K11)</f>
        <v/>
      </c>
      <c r="V11" s="269" t="str">
        <f>IF(OR($N11="",BuildingsElectricityTable[[#This Row],[RSD]]=""),"",BuildingsElectricityTable[[#This Row],[Total emissions (kgCO2e)]]*(1+BuildingsElectricityTable[[#This Row],[RSD]]))</f>
        <v/>
      </c>
      <c r="W11" s="270" t="str">
        <f>IF(OR($N11="",BuildingsElectricityTable[[#This Row],[RSD]]=""),"",BuildingsElectricityTable[[#This Row],[Total emissions (kgCO2e)]]*(1-BuildingsElectricityTable[[#This Row],[RSD]]))</f>
        <v/>
      </c>
      <c r="X11" s="271" t="str" cm="1">
        <f t="array" ref="X11">IF(OR($E11="",$I11=""),"",(INDEX('Emission factors'!$K$3:$V$201,MATCH('Buildings - Grid Electricity'!$E11&amp;$F11,'Emission factors'!$J$3:$J$201&amp;'Emission factors'!$K$3:$K$201,0),MATCH('Buildings - Grid Electricity'!X$6,'Emission factors'!$K$2:$V$2,0)))*$K11)</f>
        <v/>
      </c>
      <c r="Y11" s="30"/>
      <c r="Z11" s="1" cm="1">
        <f t="array" ref="Z11">IF(OR(ISERROR(B11:X11)),1,0)</f>
        <v>0</v>
      </c>
      <c r="AA11" s="1">
        <f t="shared" si="5"/>
        <v>0</v>
      </c>
    </row>
    <row r="12" spans="1:33" ht="15" outlineLevel="1" thickBot="1" x14ac:dyDescent="0.4">
      <c r="A12" s="319"/>
      <c r="B12" s="216"/>
      <c r="C12" s="216"/>
      <c r="D12" s="489" t="str">
        <f>IFERROR(INDEX(BuildingInformationTable[Site type],MATCH(BuildingsElectricityTable[[#This Row],[Site name]],BuildingInformationTable[Site name],0)),"")</f>
        <v/>
      </c>
      <c r="E12" s="490" t="str">
        <f t="shared" si="2"/>
        <v/>
      </c>
      <c r="F12" s="490" t="str">
        <f t="shared" si="3"/>
        <v/>
      </c>
      <c r="G12" s="491"/>
      <c r="H12" s="492" t="str">
        <f>IF(G12="","",INDEX(Lists!$BA$4:$BC$31,MATCH(E12,Lists!$AZ$4:$AZ$31,0),MATCH(G12,Lists!$BA$3:$BC$3,0)))</f>
        <v/>
      </c>
      <c r="I12" s="267"/>
      <c r="J12" s="490" t="str">
        <f t="shared" si="4"/>
        <v/>
      </c>
      <c r="K12" s="493" t="str" cm="1">
        <f t="array" ref="K12">IF(OR($E12="",$D12="",$I12="",$J12=""),"",IF(J12=L12,I12,(INDEX('Emission factors'!$K$3:$V$201,MATCH(E12&amp;F12,'Emission factors'!$J$3:$J$201&amp;'Emission factors'!$K$3:$K$201,0),MATCH(K$6,'Emission factors'!$K$2:$V$2,0)))*I12))</f>
        <v/>
      </c>
      <c r="L12" s="494" t="str">
        <f>IF(OR($E12="",$D12="",$I12="",$J12=""),"",INDEX('Emission factors'!$K$3:$V$201,MATCH('Buildings - Grid Electricity'!$E12,'Emission factors'!$J$3:$J$201,0),MATCH($L$6,'Emission factors'!$K$2:$V$2,0)))</f>
        <v/>
      </c>
      <c r="M12" s="495" t="str" cm="1">
        <f t="array" ref="M12">IF(OR(E12="",I12="",BuildingsElectricityTable[[#This Row],[Units]]=""),"",INDEX('Emission factors'!$K$3:$V$201,MATCH('Buildings - Grid Electricity'!$E12&amp;F12,'Emission factors'!$J$3:$J$201&amp;'Emission factors'!$K$3:$K$201,0),MATCH('Buildings - Grid Electricity'!$M$6,'Emission factors'!$K$2:$V$2,0)))</f>
        <v/>
      </c>
      <c r="N12" s="496" t="str">
        <f>IF(OR(K12="",M12=""),"",SUM(BuildingsElectricityTable[[#This Row],[Direct]:[Indirect WTT]]))</f>
        <v/>
      </c>
      <c r="O12" s="268"/>
      <c r="P12" s="497"/>
      <c r="Q12" s="157" t="str" cm="1">
        <f t="array" ref="Q12">IF(OR($E12="",$I12=""),"",(INDEX('Emission factors'!$K$3:$V$201,MATCH('Buildings - Grid Electricity'!$E12&amp;$F12,'Emission factors'!$J$3:$J$201&amp;'Emission factors'!$K$3:$K$201,0),MATCH('Buildings - Grid Electricity'!Q$6,'Emission factors'!$K$2:$V$2,0)))*$K12)</f>
        <v/>
      </c>
      <c r="R12" s="157" t="str" cm="1">
        <f t="array" ref="R12">IF(OR($E12="",$I12=""),"",(INDEX('Emission factors'!$K$3:$V$201,MATCH('Buildings - Grid Electricity'!$E12&amp;$F12,'Emission factors'!$J$3:$J$201&amp;'Emission factors'!$K$3:$K$201,0),MATCH('Buildings - Grid Electricity'!R$6,'Emission factors'!$K$2:$V$2,0)))*$K12)</f>
        <v/>
      </c>
      <c r="S12" s="157" t="str" cm="1">
        <f t="array" ref="S12">IF(OR($E12="",$I12=""),"",(INDEX('Emission factors'!$K$3:$V$201,MATCH('Buildings - Grid Electricity'!$E12&amp;$F12,'Emission factors'!$J$3:$J$201&amp;'Emission factors'!$K$3:$K$201,0),MATCH('Buildings - Grid Electricity'!S$6,'Emission factors'!$K$2:$V$2,0)))*$K12)</f>
        <v/>
      </c>
      <c r="T12" s="157" t="str" cm="1">
        <f t="array" ref="T12">IF(OR($E12="",$I12=""),"",(INDEX('Emission factors'!$K$3:$V$201,MATCH('Buildings - Grid Electricity'!$E12&amp;$F12,'Emission factors'!$J$3:$J$201&amp;'Emission factors'!$K$3:$K$201,0),MATCH('Buildings - Grid Electricity'!T$6,'Emission factors'!$K$2:$V$2,0)))*$K12)</f>
        <v/>
      </c>
      <c r="U12" s="157" t="str" cm="1">
        <f t="array" ref="U12">IF(OR($E12="",$I12=""),"",(INDEX('Emission factors'!$K$3:$V$201,MATCH('Buildings - Grid Electricity'!$E12&amp;$F12,'Emission factors'!$J$3:$J$201&amp;'Emission factors'!$K$3:$K$201,0),MATCH('Buildings - Grid Electricity'!U$6,'Emission factors'!$K$2:$V$2,0)))*$K12)</f>
        <v/>
      </c>
      <c r="V12" s="269" t="str">
        <f>IF(OR($N12="",BuildingsElectricityTable[[#This Row],[RSD]]=""),"",BuildingsElectricityTable[[#This Row],[Total emissions (kgCO2e)]]*(1+BuildingsElectricityTable[[#This Row],[RSD]]))</f>
        <v/>
      </c>
      <c r="W12" s="270" t="str">
        <f>IF(OR($N12="",BuildingsElectricityTable[[#This Row],[RSD]]=""),"",BuildingsElectricityTable[[#This Row],[Total emissions (kgCO2e)]]*(1-BuildingsElectricityTable[[#This Row],[RSD]]))</f>
        <v/>
      </c>
      <c r="X12" s="271" t="str" cm="1">
        <f t="array" ref="X12">IF(OR($E12="",$I12=""),"",(INDEX('Emission factors'!$K$3:$V$201,MATCH('Buildings - Grid Electricity'!$E12&amp;$F12,'Emission factors'!$J$3:$J$201&amp;'Emission factors'!$K$3:$K$201,0),MATCH('Buildings - Grid Electricity'!X$6,'Emission factors'!$K$2:$V$2,0)))*$K12)</f>
        <v/>
      </c>
      <c r="Y12" s="30"/>
      <c r="Z12" s="1" cm="1">
        <f t="array" ref="Z12">IF(OR(ISERROR(B12:X12)),1,0)</f>
        <v>0</v>
      </c>
      <c r="AA12" s="1">
        <f t="shared" si="5"/>
        <v>0</v>
      </c>
    </row>
    <row r="13" spans="1:33" ht="15" outlineLevel="1" thickBot="1" x14ac:dyDescent="0.4">
      <c r="A13" s="319"/>
      <c r="B13" s="216"/>
      <c r="C13" s="216"/>
      <c r="D13" s="489" t="str">
        <f>IFERROR(INDEX(BuildingInformationTable[Site type],MATCH(BuildingsElectricityTable[[#This Row],[Site name]],BuildingInformationTable[Site name],0)),"")</f>
        <v/>
      </c>
      <c r="E13" s="490" t="str">
        <f t="shared" si="2"/>
        <v/>
      </c>
      <c r="F13" s="490" t="str">
        <f t="shared" si="3"/>
        <v/>
      </c>
      <c r="G13" s="491"/>
      <c r="H13" s="492" t="str">
        <f>IF(G13="","",INDEX(Lists!$BA$4:$BC$31,MATCH(E13,Lists!$AZ$4:$AZ$31,0),MATCH(G13,Lists!$BA$3:$BC$3,0)))</f>
        <v/>
      </c>
      <c r="I13" s="267"/>
      <c r="J13" s="490" t="str">
        <f t="shared" si="4"/>
        <v/>
      </c>
      <c r="K13" s="493" t="str" cm="1">
        <f t="array" ref="K13">IF(OR($E13="",$D13="",$I13="",$J13=""),"",IF(J13=L13,I13,(INDEX('Emission factors'!$K$3:$V$201,MATCH(E13&amp;F13,'Emission factors'!$J$3:$J$201&amp;'Emission factors'!$K$3:$K$201,0),MATCH(K$6,'Emission factors'!$K$2:$V$2,0)))*I13))</f>
        <v/>
      </c>
      <c r="L13" s="494" t="str">
        <f>IF(OR($E13="",$D13="",$I13="",$J13=""),"",INDEX('Emission factors'!$K$3:$V$201,MATCH('Buildings - Grid Electricity'!$E13,'Emission factors'!$J$3:$J$201,0),MATCH($L$6,'Emission factors'!$K$2:$V$2,0)))</f>
        <v/>
      </c>
      <c r="M13" s="495" t="str" cm="1">
        <f t="array" ref="M13">IF(OR(E13="",I13="",BuildingsElectricityTable[[#This Row],[Units]]=""),"",INDEX('Emission factors'!$K$3:$V$201,MATCH('Buildings - Grid Electricity'!$E13&amp;F13,'Emission factors'!$J$3:$J$201&amp;'Emission factors'!$K$3:$K$201,0),MATCH('Buildings - Grid Electricity'!$M$6,'Emission factors'!$K$2:$V$2,0)))</f>
        <v/>
      </c>
      <c r="N13" s="496" t="str">
        <f>IF(OR(K13="",M13=""),"",SUM(BuildingsElectricityTable[[#This Row],[Direct]:[Indirect WTT]]))</f>
        <v/>
      </c>
      <c r="O13" s="268"/>
      <c r="P13" s="497"/>
      <c r="Q13" s="157" t="str" cm="1">
        <f t="array" ref="Q13">IF(OR($E13="",$I13=""),"",(INDEX('Emission factors'!$K$3:$V$201,MATCH('Buildings - Grid Electricity'!$E13&amp;$F13,'Emission factors'!$J$3:$J$201&amp;'Emission factors'!$K$3:$K$201,0),MATCH('Buildings - Grid Electricity'!Q$6,'Emission factors'!$K$2:$V$2,0)))*$K13)</f>
        <v/>
      </c>
      <c r="R13" s="157" t="str" cm="1">
        <f t="array" ref="R13">IF(OR($E13="",$I13=""),"",(INDEX('Emission factors'!$K$3:$V$201,MATCH('Buildings - Grid Electricity'!$E13&amp;$F13,'Emission factors'!$J$3:$J$201&amp;'Emission factors'!$K$3:$K$201,0),MATCH('Buildings - Grid Electricity'!R$6,'Emission factors'!$K$2:$V$2,0)))*$K13)</f>
        <v/>
      </c>
      <c r="S13" s="157" t="str" cm="1">
        <f t="array" ref="S13">IF(OR($E13="",$I13=""),"",(INDEX('Emission factors'!$K$3:$V$201,MATCH('Buildings - Grid Electricity'!$E13&amp;$F13,'Emission factors'!$J$3:$J$201&amp;'Emission factors'!$K$3:$K$201,0),MATCH('Buildings - Grid Electricity'!S$6,'Emission factors'!$K$2:$V$2,0)))*$K13)</f>
        <v/>
      </c>
      <c r="T13" s="157" t="str" cm="1">
        <f t="array" ref="T13">IF(OR($E13="",$I13=""),"",(INDEX('Emission factors'!$K$3:$V$201,MATCH('Buildings - Grid Electricity'!$E13&amp;$F13,'Emission factors'!$J$3:$J$201&amp;'Emission factors'!$K$3:$K$201,0),MATCH('Buildings - Grid Electricity'!T$6,'Emission factors'!$K$2:$V$2,0)))*$K13)</f>
        <v/>
      </c>
      <c r="U13" s="157" t="str" cm="1">
        <f t="array" ref="U13">IF(OR($E13="",$I13=""),"",(INDEX('Emission factors'!$K$3:$V$201,MATCH('Buildings - Grid Electricity'!$E13&amp;$F13,'Emission factors'!$J$3:$J$201&amp;'Emission factors'!$K$3:$K$201,0),MATCH('Buildings - Grid Electricity'!U$6,'Emission factors'!$K$2:$V$2,0)))*$K13)</f>
        <v/>
      </c>
      <c r="V13" s="269" t="str">
        <f>IF(OR($N13="",BuildingsElectricityTable[[#This Row],[RSD]]=""),"",BuildingsElectricityTable[[#This Row],[Total emissions (kgCO2e)]]*(1+BuildingsElectricityTable[[#This Row],[RSD]]))</f>
        <v/>
      </c>
      <c r="W13" s="270" t="str">
        <f>IF(OR($N13="",BuildingsElectricityTable[[#This Row],[RSD]]=""),"",BuildingsElectricityTable[[#This Row],[Total emissions (kgCO2e)]]*(1-BuildingsElectricityTable[[#This Row],[RSD]]))</f>
        <v/>
      </c>
      <c r="X13" s="271" t="str" cm="1">
        <f t="array" ref="X13">IF(OR($E13="",$I13=""),"",(INDEX('Emission factors'!$K$3:$V$201,MATCH('Buildings - Grid Electricity'!$E13&amp;$F13,'Emission factors'!$J$3:$J$201&amp;'Emission factors'!$K$3:$K$201,0),MATCH('Buildings - Grid Electricity'!X$6,'Emission factors'!$K$2:$V$2,0)))*$K13)</f>
        <v/>
      </c>
      <c r="Y13" s="30"/>
      <c r="Z13" s="1" cm="1">
        <f t="array" ref="Z13">IF(OR(ISERROR(B13:X13)),1,0)</f>
        <v>0</v>
      </c>
      <c r="AA13" s="1">
        <f t="shared" si="5"/>
        <v>0</v>
      </c>
    </row>
    <row r="14" spans="1:33" ht="15" outlineLevel="1" thickBot="1" x14ac:dyDescent="0.4">
      <c r="A14" s="319"/>
      <c r="B14" s="216"/>
      <c r="C14" s="216"/>
      <c r="D14" s="489" t="str">
        <f>IFERROR(INDEX(BuildingInformationTable[Site type],MATCH(BuildingsElectricityTable[[#This Row],[Site name]],BuildingInformationTable[Site name],0)),"")</f>
        <v/>
      </c>
      <c r="E14" s="490" t="str">
        <f t="shared" si="2"/>
        <v/>
      </c>
      <c r="F14" s="490" t="str">
        <f t="shared" si="3"/>
        <v/>
      </c>
      <c r="G14" s="491"/>
      <c r="H14" s="492" t="str">
        <f>IF(G14="","",INDEX(Lists!$BA$4:$BC$31,MATCH(E14,Lists!$AZ$4:$AZ$31,0),MATCH(G14,Lists!$BA$3:$BC$3,0)))</f>
        <v/>
      </c>
      <c r="I14" s="267"/>
      <c r="J14" s="490" t="str">
        <f t="shared" si="4"/>
        <v/>
      </c>
      <c r="K14" s="493" t="str" cm="1">
        <f t="array" ref="K14">IF(OR($E14="",$D14="",$I14="",$J14=""),"",IF(J14=L14,I14,(INDEX('Emission factors'!$K$3:$V$201,MATCH(E14&amp;F14,'Emission factors'!$J$3:$J$201&amp;'Emission factors'!$K$3:$K$201,0),MATCH(K$6,'Emission factors'!$K$2:$V$2,0)))*I14))</f>
        <v/>
      </c>
      <c r="L14" s="494" t="str">
        <f>IF(OR($E14="",$D14="",$I14="",$J14=""),"",INDEX('Emission factors'!$K$3:$V$201,MATCH('Buildings - Grid Electricity'!$E14,'Emission factors'!$J$3:$J$201,0),MATCH($L$6,'Emission factors'!$K$2:$V$2,0)))</f>
        <v/>
      </c>
      <c r="M14" s="495" t="str" cm="1">
        <f t="array" ref="M14">IF(OR(E14="",I14="",BuildingsElectricityTable[[#This Row],[Units]]=""),"",INDEX('Emission factors'!$K$3:$V$201,MATCH('Buildings - Grid Electricity'!$E14&amp;F14,'Emission factors'!$J$3:$J$201&amp;'Emission factors'!$K$3:$K$201,0),MATCH('Buildings - Grid Electricity'!$M$6,'Emission factors'!$K$2:$V$2,0)))</f>
        <v/>
      </c>
      <c r="N14" s="496" t="str">
        <f>IF(OR(K14="",M14=""),"",SUM(BuildingsElectricityTable[[#This Row],[Direct]:[Indirect WTT]]))</f>
        <v/>
      </c>
      <c r="O14" s="268"/>
      <c r="P14" s="497"/>
      <c r="Q14" s="157" t="str" cm="1">
        <f t="array" ref="Q14">IF(OR($E14="",$I14=""),"",(INDEX('Emission factors'!$K$3:$V$201,MATCH('Buildings - Grid Electricity'!$E14&amp;$F14,'Emission factors'!$J$3:$J$201&amp;'Emission factors'!$K$3:$K$201,0),MATCH('Buildings - Grid Electricity'!Q$6,'Emission factors'!$K$2:$V$2,0)))*$K14)</f>
        <v/>
      </c>
      <c r="R14" s="157" t="str" cm="1">
        <f t="array" ref="R14">IF(OR($E14="",$I14=""),"",(INDEX('Emission factors'!$K$3:$V$201,MATCH('Buildings - Grid Electricity'!$E14&amp;$F14,'Emission factors'!$J$3:$J$201&amp;'Emission factors'!$K$3:$K$201,0),MATCH('Buildings - Grid Electricity'!R$6,'Emission factors'!$K$2:$V$2,0)))*$K14)</f>
        <v/>
      </c>
      <c r="S14" s="157" t="str" cm="1">
        <f t="array" ref="S14">IF(OR($E14="",$I14=""),"",(INDEX('Emission factors'!$K$3:$V$201,MATCH('Buildings - Grid Electricity'!$E14&amp;$F14,'Emission factors'!$J$3:$J$201&amp;'Emission factors'!$K$3:$K$201,0),MATCH('Buildings - Grid Electricity'!S$6,'Emission factors'!$K$2:$V$2,0)))*$K14)</f>
        <v/>
      </c>
      <c r="T14" s="157" t="str" cm="1">
        <f t="array" ref="T14">IF(OR($E14="",$I14=""),"",(INDEX('Emission factors'!$K$3:$V$201,MATCH('Buildings - Grid Electricity'!$E14&amp;$F14,'Emission factors'!$J$3:$J$201&amp;'Emission factors'!$K$3:$K$201,0),MATCH('Buildings - Grid Electricity'!T$6,'Emission factors'!$K$2:$V$2,0)))*$K14)</f>
        <v/>
      </c>
      <c r="U14" s="157" t="str" cm="1">
        <f t="array" ref="U14">IF(OR($E14="",$I14=""),"",(INDEX('Emission factors'!$K$3:$V$201,MATCH('Buildings - Grid Electricity'!$E14&amp;$F14,'Emission factors'!$J$3:$J$201&amp;'Emission factors'!$K$3:$K$201,0),MATCH('Buildings - Grid Electricity'!U$6,'Emission factors'!$K$2:$V$2,0)))*$K14)</f>
        <v/>
      </c>
      <c r="V14" s="269" t="str">
        <f>IF(OR($N14="",BuildingsElectricityTable[[#This Row],[RSD]]=""),"",BuildingsElectricityTable[[#This Row],[Total emissions (kgCO2e)]]*(1+BuildingsElectricityTable[[#This Row],[RSD]]))</f>
        <v/>
      </c>
      <c r="W14" s="270" t="str">
        <f>IF(OR($N14="",BuildingsElectricityTable[[#This Row],[RSD]]=""),"",BuildingsElectricityTable[[#This Row],[Total emissions (kgCO2e)]]*(1-BuildingsElectricityTable[[#This Row],[RSD]]))</f>
        <v/>
      </c>
      <c r="X14" s="271" t="str" cm="1">
        <f t="array" ref="X14">IF(OR($E14="",$I14=""),"",(INDEX('Emission factors'!$K$3:$V$201,MATCH('Buildings - Grid Electricity'!$E14&amp;$F14,'Emission factors'!$J$3:$J$201&amp;'Emission factors'!$K$3:$K$201,0),MATCH('Buildings - Grid Electricity'!X$6,'Emission factors'!$K$2:$V$2,0)))*$K14)</f>
        <v/>
      </c>
      <c r="Y14" s="30"/>
      <c r="Z14" s="1" cm="1">
        <f t="array" ref="Z14">IF(OR(ISERROR(B14:X14)),1,0)</f>
        <v>0</v>
      </c>
      <c r="AA14" s="1">
        <f t="shared" si="5"/>
        <v>0</v>
      </c>
    </row>
    <row r="15" spans="1:33" ht="15" outlineLevel="1" thickBot="1" x14ac:dyDescent="0.4">
      <c r="A15" s="319"/>
      <c r="B15" s="216"/>
      <c r="C15" s="216"/>
      <c r="D15" s="489" t="str">
        <f>IFERROR(INDEX(BuildingInformationTable[Site type],MATCH(BuildingsElectricityTable[[#This Row],[Site name]],BuildingInformationTable[Site name],0)),"")</f>
        <v/>
      </c>
      <c r="E15" s="490" t="str">
        <f t="shared" si="2"/>
        <v/>
      </c>
      <c r="F15" s="490" t="str">
        <f t="shared" si="3"/>
        <v/>
      </c>
      <c r="G15" s="491"/>
      <c r="H15" s="492" t="str">
        <f>IF(G15="","",INDEX(Lists!$BA$4:$BC$31,MATCH(E15,Lists!$AZ$4:$AZ$31,0),MATCH(G15,Lists!$BA$3:$BC$3,0)))</f>
        <v/>
      </c>
      <c r="I15" s="267"/>
      <c r="J15" s="490" t="str">
        <f t="shared" si="4"/>
        <v/>
      </c>
      <c r="K15" s="493" t="str" cm="1">
        <f t="array" ref="K15">IF(OR($E15="",$D15="",$I15="",$J15=""),"",IF(J15=L15,I15,(INDEX('Emission factors'!$K$3:$V$201,MATCH(E15&amp;F15,'Emission factors'!$J$3:$J$201&amp;'Emission factors'!$K$3:$K$201,0),MATCH(K$6,'Emission factors'!$K$2:$V$2,0)))*I15))</f>
        <v/>
      </c>
      <c r="L15" s="494" t="str">
        <f>IF(OR($E15="",$D15="",$I15="",$J15=""),"",INDEX('Emission factors'!$K$3:$V$201,MATCH('Buildings - Grid Electricity'!$E15,'Emission factors'!$J$3:$J$201,0),MATCH($L$6,'Emission factors'!$K$2:$V$2,0)))</f>
        <v/>
      </c>
      <c r="M15" s="495" t="str" cm="1">
        <f t="array" ref="M15">IF(OR(E15="",I15="",BuildingsElectricityTable[[#This Row],[Units]]=""),"",INDEX('Emission factors'!$K$3:$V$201,MATCH('Buildings - Grid Electricity'!$E15&amp;F15,'Emission factors'!$J$3:$J$201&amp;'Emission factors'!$K$3:$K$201,0),MATCH('Buildings - Grid Electricity'!$M$6,'Emission factors'!$K$2:$V$2,0)))</f>
        <v/>
      </c>
      <c r="N15" s="496" t="str">
        <f>IF(OR(K15="",M15=""),"",SUM(BuildingsElectricityTable[[#This Row],[Direct]:[Indirect WTT]]))</f>
        <v/>
      </c>
      <c r="O15" s="268"/>
      <c r="P15" s="497"/>
      <c r="Q15" s="157" t="str" cm="1">
        <f t="array" ref="Q15">IF(OR($E15="",$I15=""),"",(INDEX('Emission factors'!$K$3:$V$201,MATCH('Buildings - Grid Electricity'!$E15&amp;$F15,'Emission factors'!$J$3:$J$201&amp;'Emission factors'!$K$3:$K$201,0),MATCH('Buildings - Grid Electricity'!Q$6,'Emission factors'!$K$2:$V$2,0)))*$K15)</f>
        <v/>
      </c>
      <c r="R15" s="157" t="str" cm="1">
        <f t="array" ref="R15">IF(OR($E15="",$I15=""),"",(INDEX('Emission factors'!$K$3:$V$201,MATCH('Buildings - Grid Electricity'!$E15&amp;$F15,'Emission factors'!$J$3:$J$201&amp;'Emission factors'!$K$3:$K$201,0),MATCH('Buildings - Grid Electricity'!R$6,'Emission factors'!$K$2:$V$2,0)))*$K15)</f>
        <v/>
      </c>
      <c r="S15" s="157" t="str" cm="1">
        <f t="array" ref="S15">IF(OR($E15="",$I15=""),"",(INDEX('Emission factors'!$K$3:$V$201,MATCH('Buildings - Grid Electricity'!$E15&amp;$F15,'Emission factors'!$J$3:$J$201&amp;'Emission factors'!$K$3:$K$201,0),MATCH('Buildings - Grid Electricity'!S$6,'Emission factors'!$K$2:$V$2,0)))*$K15)</f>
        <v/>
      </c>
      <c r="T15" s="157" t="str" cm="1">
        <f t="array" ref="T15">IF(OR($E15="",$I15=""),"",(INDEX('Emission factors'!$K$3:$V$201,MATCH('Buildings - Grid Electricity'!$E15&amp;$F15,'Emission factors'!$J$3:$J$201&amp;'Emission factors'!$K$3:$K$201,0),MATCH('Buildings - Grid Electricity'!T$6,'Emission factors'!$K$2:$V$2,0)))*$K15)</f>
        <v/>
      </c>
      <c r="U15" s="157" t="str" cm="1">
        <f t="array" ref="U15">IF(OR($E15="",$I15=""),"",(INDEX('Emission factors'!$K$3:$V$201,MATCH('Buildings - Grid Electricity'!$E15&amp;$F15,'Emission factors'!$J$3:$J$201&amp;'Emission factors'!$K$3:$K$201,0),MATCH('Buildings - Grid Electricity'!U$6,'Emission factors'!$K$2:$V$2,0)))*$K15)</f>
        <v/>
      </c>
      <c r="V15" s="269" t="str">
        <f>IF(OR($N15="",BuildingsElectricityTable[[#This Row],[RSD]]=""),"",BuildingsElectricityTable[[#This Row],[Total emissions (kgCO2e)]]*(1+BuildingsElectricityTable[[#This Row],[RSD]]))</f>
        <v/>
      </c>
      <c r="W15" s="270" t="str">
        <f>IF(OR($N15="",BuildingsElectricityTable[[#This Row],[RSD]]=""),"",BuildingsElectricityTable[[#This Row],[Total emissions (kgCO2e)]]*(1-BuildingsElectricityTable[[#This Row],[RSD]]))</f>
        <v/>
      </c>
      <c r="X15" s="271" t="str" cm="1">
        <f t="array" ref="X15">IF(OR($E15="",$I15=""),"",(INDEX('Emission factors'!$K$3:$V$201,MATCH('Buildings - Grid Electricity'!$E15&amp;$F15,'Emission factors'!$J$3:$J$201&amp;'Emission factors'!$K$3:$K$201,0),MATCH('Buildings - Grid Electricity'!X$6,'Emission factors'!$K$2:$V$2,0)))*$K15)</f>
        <v/>
      </c>
      <c r="Y15" s="30"/>
      <c r="Z15" s="1" cm="1">
        <f t="array" ref="Z15">IF(OR(ISERROR(B15:X15)),1,0)</f>
        <v>0</v>
      </c>
      <c r="AA15" s="1">
        <f t="shared" si="5"/>
        <v>0</v>
      </c>
    </row>
    <row r="16" spans="1:33" ht="15" outlineLevel="1" thickBot="1" x14ac:dyDescent="0.4">
      <c r="A16" s="319"/>
      <c r="B16" s="216"/>
      <c r="C16" s="216"/>
      <c r="D16" s="489" t="str">
        <f>IFERROR(INDEX(BuildingInformationTable[Site type],MATCH(BuildingsElectricityTable[[#This Row],[Site name]],BuildingInformationTable[Site name],0)),"")</f>
        <v/>
      </c>
      <c r="E16" s="490" t="str">
        <f t="shared" si="2"/>
        <v/>
      </c>
      <c r="F16" s="490" t="str">
        <f t="shared" si="3"/>
        <v/>
      </c>
      <c r="G16" s="491"/>
      <c r="H16" s="492" t="str">
        <f>IF(G16="","",INDEX(Lists!$BA$4:$BC$31,MATCH(E16,Lists!$AZ$4:$AZ$31,0),MATCH(G16,Lists!$BA$3:$BC$3,0)))</f>
        <v/>
      </c>
      <c r="I16" s="267"/>
      <c r="J16" s="490" t="str">
        <f t="shared" si="4"/>
        <v/>
      </c>
      <c r="K16" s="493" t="str" cm="1">
        <f t="array" ref="K16">IF(OR($E16="",$D16="",$I16="",$J16=""),"",IF(J16=L16,I16,(INDEX('Emission factors'!$K$3:$V$201,MATCH(E16&amp;F16,'Emission factors'!$J$3:$J$201&amp;'Emission factors'!$K$3:$K$201,0),MATCH(K$6,'Emission factors'!$K$2:$V$2,0)))*I16))</f>
        <v/>
      </c>
      <c r="L16" s="494" t="str">
        <f>IF(OR($E16="",$D16="",$I16="",$J16=""),"",INDEX('Emission factors'!$K$3:$V$201,MATCH('Buildings - Grid Electricity'!$E16,'Emission factors'!$J$3:$J$201,0),MATCH($L$6,'Emission factors'!$K$2:$V$2,0)))</f>
        <v/>
      </c>
      <c r="M16" s="495" t="str" cm="1">
        <f t="array" ref="M16">IF(OR(E16="",I16="",BuildingsElectricityTable[[#This Row],[Units]]=""),"",INDEX('Emission factors'!$K$3:$V$201,MATCH('Buildings - Grid Electricity'!$E16&amp;F16,'Emission factors'!$J$3:$J$201&amp;'Emission factors'!$K$3:$K$201,0),MATCH('Buildings - Grid Electricity'!$M$6,'Emission factors'!$K$2:$V$2,0)))</f>
        <v/>
      </c>
      <c r="N16" s="496" t="str">
        <f>IF(OR(K16="",M16=""),"",SUM(BuildingsElectricityTable[[#This Row],[Direct]:[Indirect WTT]]))</f>
        <v/>
      </c>
      <c r="O16" s="268"/>
      <c r="P16" s="497"/>
      <c r="Q16" s="157" t="str" cm="1">
        <f t="array" ref="Q16">IF(OR($E16="",$I16=""),"",(INDEX('Emission factors'!$K$3:$V$201,MATCH('Buildings - Grid Electricity'!$E16&amp;$F16,'Emission factors'!$J$3:$J$201&amp;'Emission factors'!$K$3:$K$201,0),MATCH('Buildings - Grid Electricity'!Q$6,'Emission factors'!$K$2:$V$2,0)))*$K16)</f>
        <v/>
      </c>
      <c r="R16" s="157" t="str" cm="1">
        <f t="array" ref="R16">IF(OR($E16="",$I16=""),"",(INDEX('Emission factors'!$K$3:$V$201,MATCH('Buildings - Grid Electricity'!$E16&amp;$F16,'Emission factors'!$J$3:$J$201&amp;'Emission factors'!$K$3:$K$201,0),MATCH('Buildings - Grid Electricity'!R$6,'Emission factors'!$K$2:$V$2,0)))*$K16)</f>
        <v/>
      </c>
      <c r="S16" s="157" t="str" cm="1">
        <f t="array" ref="S16">IF(OR($E16="",$I16=""),"",(INDEX('Emission factors'!$K$3:$V$201,MATCH('Buildings - Grid Electricity'!$E16&amp;$F16,'Emission factors'!$J$3:$J$201&amp;'Emission factors'!$K$3:$K$201,0),MATCH('Buildings - Grid Electricity'!S$6,'Emission factors'!$K$2:$V$2,0)))*$K16)</f>
        <v/>
      </c>
      <c r="T16" s="157" t="str" cm="1">
        <f t="array" ref="T16">IF(OR($E16="",$I16=""),"",(INDEX('Emission factors'!$K$3:$V$201,MATCH('Buildings - Grid Electricity'!$E16&amp;$F16,'Emission factors'!$J$3:$J$201&amp;'Emission factors'!$K$3:$K$201,0),MATCH('Buildings - Grid Electricity'!T$6,'Emission factors'!$K$2:$V$2,0)))*$K16)</f>
        <v/>
      </c>
      <c r="U16" s="157" t="str" cm="1">
        <f t="array" ref="U16">IF(OR($E16="",$I16=""),"",(INDEX('Emission factors'!$K$3:$V$201,MATCH('Buildings - Grid Electricity'!$E16&amp;$F16,'Emission factors'!$J$3:$J$201&amp;'Emission factors'!$K$3:$K$201,0),MATCH('Buildings - Grid Electricity'!U$6,'Emission factors'!$K$2:$V$2,0)))*$K16)</f>
        <v/>
      </c>
      <c r="V16" s="269" t="str">
        <f>IF(OR($N16="",BuildingsElectricityTable[[#This Row],[RSD]]=""),"",BuildingsElectricityTable[[#This Row],[Total emissions (kgCO2e)]]*(1+BuildingsElectricityTable[[#This Row],[RSD]]))</f>
        <v/>
      </c>
      <c r="W16" s="270" t="str">
        <f>IF(OR($N16="",BuildingsElectricityTable[[#This Row],[RSD]]=""),"",BuildingsElectricityTable[[#This Row],[Total emissions (kgCO2e)]]*(1-BuildingsElectricityTable[[#This Row],[RSD]]))</f>
        <v/>
      </c>
      <c r="X16" s="271" t="str" cm="1">
        <f t="array" ref="X16">IF(OR($E16="",$I16=""),"",(INDEX('Emission factors'!$K$3:$V$201,MATCH('Buildings - Grid Electricity'!$E16&amp;$F16,'Emission factors'!$J$3:$J$201&amp;'Emission factors'!$K$3:$K$201,0),MATCH('Buildings - Grid Electricity'!X$6,'Emission factors'!$K$2:$V$2,0)))*$K16)</f>
        <v/>
      </c>
      <c r="Y16" s="30"/>
      <c r="Z16" s="1" cm="1">
        <f t="array" ref="Z16">IF(OR(ISERROR(B16:X16)),1,0)</f>
        <v>0</v>
      </c>
      <c r="AA16" s="1">
        <f t="shared" si="5"/>
        <v>0</v>
      </c>
    </row>
    <row r="17" spans="1:27" ht="15" outlineLevel="1" thickBot="1" x14ac:dyDescent="0.4">
      <c r="A17" s="319"/>
      <c r="B17" s="216"/>
      <c r="C17" s="216"/>
      <c r="D17" s="489" t="str">
        <f>IFERROR(INDEX(BuildingInformationTable[Site type],MATCH(BuildingsElectricityTable[[#This Row],[Site name]],BuildingInformationTable[Site name],0)),"")</f>
        <v/>
      </c>
      <c r="E17" s="490" t="str">
        <f t="shared" si="2"/>
        <v/>
      </c>
      <c r="F17" s="490" t="str">
        <f t="shared" si="3"/>
        <v/>
      </c>
      <c r="G17" s="491"/>
      <c r="H17" s="492" t="str">
        <f>IF(G17="","",INDEX(Lists!$BA$4:$BC$31,MATCH(E17,Lists!$AZ$4:$AZ$31,0),MATCH(G17,Lists!$BA$3:$BC$3,0)))</f>
        <v/>
      </c>
      <c r="I17" s="267"/>
      <c r="J17" s="490" t="str">
        <f t="shared" si="4"/>
        <v/>
      </c>
      <c r="K17" s="493" t="str" cm="1">
        <f t="array" ref="K17">IF(OR($E17="",$D17="",$I17="",$J17=""),"",IF(J17=L17,I17,(INDEX('Emission factors'!$K$3:$V$201,MATCH(E17&amp;F17,'Emission factors'!$J$3:$J$201&amp;'Emission factors'!$K$3:$K$201,0),MATCH(K$6,'Emission factors'!$K$2:$V$2,0)))*I17))</f>
        <v/>
      </c>
      <c r="L17" s="494" t="str">
        <f>IF(OR($E17="",$D17="",$I17="",$J17=""),"",INDEX('Emission factors'!$K$3:$V$201,MATCH('Buildings - Grid Electricity'!$E17,'Emission factors'!$J$3:$J$201,0),MATCH($L$6,'Emission factors'!$K$2:$V$2,0)))</f>
        <v/>
      </c>
      <c r="M17" s="495" t="str" cm="1">
        <f t="array" ref="M17">IF(OR(E17="",I17="",BuildingsElectricityTable[[#This Row],[Units]]=""),"",INDEX('Emission factors'!$K$3:$V$201,MATCH('Buildings - Grid Electricity'!$E17&amp;F17,'Emission factors'!$J$3:$J$201&amp;'Emission factors'!$K$3:$K$201,0),MATCH('Buildings - Grid Electricity'!$M$6,'Emission factors'!$K$2:$V$2,0)))</f>
        <v/>
      </c>
      <c r="N17" s="496" t="str">
        <f>IF(OR(K17="",M17=""),"",SUM(BuildingsElectricityTable[[#This Row],[Direct]:[Indirect WTT]]))</f>
        <v/>
      </c>
      <c r="O17" s="268"/>
      <c r="P17" s="497"/>
      <c r="Q17" s="157" t="str" cm="1">
        <f t="array" ref="Q17">IF(OR($E17="",$I17=""),"",(INDEX('Emission factors'!$K$3:$V$201,MATCH('Buildings - Grid Electricity'!$E17&amp;$F17,'Emission factors'!$J$3:$J$201&amp;'Emission factors'!$K$3:$K$201,0),MATCH('Buildings - Grid Electricity'!Q$6,'Emission factors'!$K$2:$V$2,0)))*$K17)</f>
        <v/>
      </c>
      <c r="R17" s="157" t="str" cm="1">
        <f t="array" ref="R17">IF(OR($E17="",$I17=""),"",(INDEX('Emission factors'!$K$3:$V$201,MATCH('Buildings - Grid Electricity'!$E17&amp;$F17,'Emission factors'!$J$3:$J$201&amp;'Emission factors'!$K$3:$K$201,0),MATCH('Buildings - Grid Electricity'!R$6,'Emission factors'!$K$2:$V$2,0)))*$K17)</f>
        <v/>
      </c>
      <c r="S17" s="157" t="str" cm="1">
        <f t="array" ref="S17">IF(OR($E17="",$I17=""),"",(INDEX('Emission factors'!$K$3:$V$201,MATCH('Buildings - Grid Electricity'!$E17&amp;$F17,'Emission factors'!$J$3:$J$201&amp;'Emission factors'!$K$3:$K$201,0),MATCH('Buildings - Grid Electricity'!S$6,'Emission factors'!$K$2:$V$2,0)))*$K17)</f>
        <v/>
      </c>
      <c r="T17" s="157" t="str" cm="1">
        <f t="array" ref="T17">IF(OR($E17="",$I17=""),"",(INDEX('Emission factors'!$K$3:$V$201,MATCH('Buildings - Grid Electricity'!$E17&amp;$F17,'Emission factors'!$J$3:$J$201&amp;'Emission factors'!$K$3:$K$201,0),MATCH('Buildings - Grid Electricity'!T$6,'Emission factors'!$K$2:$V$2,0)))*$K17)</f>
        <v/>
      </c>
      <c r="U17" s="157" t="str" cm="1">
        <f t="array" ref="U17">IF(OR($E17="",$I17=""),"",(INDEX('Emission factors'!$K$3:$V$201,MATCH('Buildings - Grid Electricity'!$E17&amp;$F17,'Emission factors'!$J$3:$J$201&amp;'Emission factors'!$K$3:$K$201,0),MATCH('Buildings - Grid Electricity'!U$6,'Emission factors'!$K$2:$V$2,0)))*$K17)</f>
        <v/>
      </c>
      <c r="V17" s="269" t="str">
        <f>IF(OR($N17="",BuildingsElectricityTable[[#This Row],[RSD]]=""),"",BuildingsElectricityTable[[#This Row],[Total emissions (kgCO2e)]]*(1+BuildingsElectricityTable[[#This Row],[RSD]]))</f>
        <v/>
      </c>
      <c r="W17" s="270" t="str">
        <f>IF(OR($N17="",BuildingsElectricityTable[[#This Row],[RSD]]=""),"",BuildingsElectricityTable[[#This Row],[Total emissions (kgCO2e)]]*(1-BuildingsElectricityTable[[#This Row],[RSD]]))</f>
        <v/>
      </c>
      <c r="X17" s="271" t="str" cm="1">
        <f t="array" ref="X17">IF(OR($E17="",$I17=""),"",(INDEX('Emission factors'!$K$3:$V$201,MATCH('Buildings - Grid Electricity'!$E17&amp;$F17,'Emission factors'!$J$3:$J$201&amp;'Emission factors'!$K$3:$K$201,0),MATCH('Buildings - Grid Electricity'!X$6,'Emission factors'!$K$2:$V$2,0)))*$K17)</f>
        <v/>
      </c>
      <c r="Y17" s="30"/>
      <c r="Z17" s="1" cm="1">
        <f t="array" ref="Z17">IF(OR(ISERROR(B17:X17)),1,0)</f>
        <v>0</v>
      </c>
      <c r="AA17" s="1">
        <f t="shared" si="5"/>
        <v>0</v>
      </c>
    </row>
    <row r="18" spans="1:27" ht="15" outlineLevel="1" thickBot="1" x14ac:dyDescent="0.4">
      <c r="A18" s="319"/>
      <c r="B18" s="216"/>
      <c r="C18" s="216"/>
      <c r="D18" s="489" t="str">
        <f>IFERROR(INDEX(BuildingInformationTable[Site type],MATCH(BuildingsElectricityTable[[#This Row],[Site name]],BuildingInformationTable[Site name],0)),"")</f>
        <v/>
      </c>
      <c r="E18" s="490" t="str">
        <f t="shared" si="2"/>
        <v/>
      </c>
      <c r="F18" s="490" t="str">
        <f t="shared" si="3"/>
        <v/>
      </c>
      <c r="G18" s="491"/>
      <c r="H18" s="492" t="str">
        <f>IF(G18="","",INDEX(Lists!$BA$4:$BC$31,MATCH(E18,Lists!$AZ$4:$AZ$31,0),MATCH(G18,Lists!$BA$3:$BC$3,0)))</f>
        <v/>
      </c>
      <c r="I18" s="267"/>
      <c r="J18" s="490" t="str">
        <f t="shared" si="4"/>
        <v/>
      </c>
      <c r="K18" s="493" t="str" cm="1">
        <f t="array" ref="K18">IF(OR($E18="",$D18="",$I18="",$J18=""),"",IF(J18=L18,I18,(INDEX('Emission factors'!$K$3:$V$201,MATCH(E18&amp;F18,'Emission factors'!$J$3:$J$201&amp;'Emission factors'!$K$3:$K$201,0),MATCH(K$6,'Emission factors'!$K$2:$V$2,0)))*I18))</f>
        <v/>
      </c>
      <c r="L18" s="494" t="str">
        <f>IF(OR($E18="",$D18="",$I18="",$J18=""),"",INDEX('Emission factors'!$K$3:$V$201,MATCH('Buildings - Grid Electricity'!$E18,'Emission factors'!$J$3:$J$201,0),MATCH($L$6,'Emission factors'!$K$2:$V$2,0)))</f>
        <v/>
      </c>
      <c r="M18" s="495" t="str" cm="1">
        <f t="array" ref="M18">IF(OR(E18="",I18="",BuildingsElectricityTable[[#This Row],[Units]]=""),"",INDEX('Emission factors'!$K$3:$V$201,MATCH('Buildings - Grid Electricity'!$E18&amp;F18,'Emission factors'!$J$3:$J$201&amp;'Emission factors'!$K$3:$K$201,0),MATCH('Buildings - Grid Electricity'!$M$6,'Emission factors'!$K$2:$V$2,0)))</f>
        <v/>
      </c>
      <c r="N18" s="496" t="str">
        <f>IF(OR(K18="",M18=""),"",SUM(BuildingsElectricityTable[[#This Row],[Direct]:[Indirect WTT]]))</f>
        <v/>
      </c>
      <c r="O18" s="268"/>
      <c r="P18" s="497"/>
      <c r="Q18" s="157" t="str" cm="1">
        <f t="array" ref="Q18">IF(OR($E18="",$I18=""),"",(INDEX('Emission factors'!$K$3:$V$201,MATCH('Buildings - Grid Electricity'!$E18&amp;$F18,'Emission factors'!$J$3:$J$201&amp;'Emission factors'!$K$3:$K$201,0),MATCH('Buildings - Grid Electricity'!Q$6,'Emission factors'!$K$2:$V$2,0)))*$K18)</f>
        <v/>
      </c>
      <c r="R18" s="157" t="str" cm="1">
        <f t="array" ref="R18">IF(OR($E18="",$I18=""),"",(INDEX('Emission factors'!$K$3:$V$201,MATCH('Buildings - Grid Electricity'!$E18&amp;$F18,'Emission factors'!$J$3:$J$201&amp;'Emission factors'!$K$3:$K$201,0),MATCH('Buildings - Grid Electricity'!R$6,'Emission factors'!$K$2:$V$2,0)))*$K18)</f>
        <v/>
      </c>
      <c r="S18" s="157" t="str" cm="1">
        <f t="array" ref="S18">IF(OR($E18="",$I18=""),"",(INDEX('Emission factors'!$K$3:$V$201,MATCH('Buildings - Grid Electricity'!$E18&amp;$F18,'Emission factors'!$J$3:$J$201&amp;'Emission factors'!$K$3:$K$201,0),MATCH('Buildings - Grid Electricity'!S$6,'Emission factors'!$K$2:$V$2,0)))*$K18)</f>
        <v/>
      </c>
      <c r="T18" s="157" t="str" cm="1">
        <f t="array" ref="T18">IF(OR($E18="",$I18=""),"",(INDEX('Emission factors'!$K$3:$V$201,MATCH('Buildings - Grid Electricity'!$E18&amp;$F18,'Emission factors'!$J$3:$J$201&amp;'Emission factors'!$K$3:$K$201,0),MATCH('Buildings - Grid Electricity'!T$6,'Emission factors'!$K$2:$V$2,0)))*$K18)</f>
        <v/>
      </c>
      <c r="U18" s="157" t="str" cm="1">
        <f t="array" ref="U18">IF(OR($E18="",$I18=""),"",(INDEX('Emission factors'!$K$3:$V$201,MATCH('Buildings - Grid Electricity'!$E18&amp;$F18,'Emission factors'!$J$3:$J$201&amp;'Emission factors'!$K$3:$K$201,0),MATCH('Buildings - Grid Electricity'!U$6,'Emission factors'!$K$2:$V$2,0)))*$K18)</f>
        <v/>
      </c>
      <c r="V18" s="269" t="str">
        <f>IF(OR($N18="",BuildingsElectricityTable[[#This Row],[RSD]]=""),"",BuildingsElectricityTable[[#This Row],[Total emissions (kgCO2e)]]*(1+BuildingsElectricityTable[[#This Row],[RSD]]))</f>
        <v/>
      </c>
      <c r="W18" s="270" t="str">
        <f>IF(OR($N18="",BuildingsElectricityTable[[#This Row],[RSD]]=""),"",BuildingsElectricityTable[[#This Row],[Total emissions (kgCO2e)]]*(1-BuildingsElectricityTable[[#This Row],[RSD]]))</f>
        <v/>
      </c>
      <c r="X18" s="271" t="str" cm="1">
        <f t="array" ref="X18">IF(OR($E18="",$I18=""),"",(INDEX('Emission factors'!$K$3:$V$201,MATCH('Buildings - Grid Electricity'!$E18&amp;$F18,'Emission factors'!$J$3:$J$201&amp;'Emission factors'!$K$3:$K$201,0),MATCH('Buildings - Grid Electricity'!X$6,'Emission factors'!$K$2:$V$2,0)))*$K18)</f>
        <v/>
      </c>
      <c r="Y18" s="30"/>
      <c r="Z18" s="1" cm="1">
        <f t="array" ref="Z18">IF(OR(ISERROR(B18:X18)),1,0)</f>
        <v>0</v>
      </c>
      <c r="AA18" s="1">
        <f t="shared" si="5"/>
        <v>0</v>
      </c>
    </row>
    <row r="19" spans="1:27" ht="15" outlineLevel="1" thickBot="1" x14ac:dyDescent="0.4">
      <c r="A19" s="319"/>
      <c r="B19" s="216"/>
      <c r="C19" s="216"/>
      <c r="D19" s="489" t="str">
        <f>IFERROR(INDEX(BuildingInformationTable[Site type],MATCH(BuildingsElectricityTable[[#This Row],[Site name]],BuildingInformationTable[Site name],0)),"")</f>
        <v/>
      </c>
      <c r="E19" s="490" t="str">
        <f t="shared" si="2"/>
        <v/>
      </c>
      <c r="F19" s="490" t="str">
        <f t="shared" si="3"/>
        <v/>
      </c>
      <c r="G19" s="491"/>
      <c r="H19" s="492" t="str">
        <f>IF(G19="","",INDEX(Lists!$BA$4:$BC$31,MATCH(E19,Lists!$AZ$4:$AZ$31,0),MATCH(G19,Lists!$BA$3:$BC$3,0)))</f>
        <v/>
      </c>
      <c r="I19" s="267"/>
      <c r="J19" s="490" t="str">
        <f t="shared" si="4"/>
        <v/>
      </c>
      <c r="K19" s="493" t="str" cm="1">
        <f t="array" ref="K19">IF(OR($E19="",$D19="",$I19="",$J19=""),"",IF(J19=L19,I19,(INDEX('Emission factors'!$K$3:$V$201,MATCH(E19&amp;F19,'Emission factors'!$J$3:$J$201&amp;'Emission factors'!$K$3:$K$201,0),MATCH(K$6,'Emission factors'!$K$2:$V$2,0)))*I19))</f>
        <v/>
      </c>
      <c r="L19" s="494" t="str">
        <f>IF(OR($E19="",$D19="",$I19="",$J19=""),"",INDEX('Emission factors'!$K$3:$V$201,MATCH('Buildings - Grid Electricity'!$E19,'Emission factors'!$J$3:$J$201,0),MATCH($L$6,'Emission factors'!$K$2:$V$2,0)))</f>
        <v/>
      </c>
      <c r="M19" s="495" t="str" cm="1">
        <f t="array" ref="M19">IF(OR(E19="",I19="",BuildingsElectricityTable[[#This Row],[Units]]=""),"",INDEX('Emission factors'!$K$3:$V$201,MATCH('Buildings - Grid Electricity'!$E19&amp;F19,'Emission factors'!$J$3:$J$201&amp;'Emission factors'!$K$3:$K$201,0),MATCH('Buildings - Grid Electricity'!$M$6,'Emission factors'!$K$2:$V$2,0)))</f>
        <v/>
      </c>
      <c r="N19" s="496" t="str">
        <f>IF(OR(K19="",M19=""),"",SUM(BuildingsElectricityTable[[#This Row],[Direct]:[Indirect WTT]]))</f>
        <v/>
      </c>
      <c r="O19" s="268"/>
      <c r="P19" s="497"/>
      <c r="Q19" s="157" t="str" cm="1">
        <f t="array" ref="Q19">IF(OR($E19="",$I19=""),"",(INDEX('Emission factors'!$K$3:$V$201,MATCH('Buildings - Grid Electricity'!$E19&amp;$F19,'Emission factors'!$J$3:$J$201&amp;'Emission factors'!$K$3:$K$201,0),MATCH('Buildings - Grid Electricity'!Q$6,'Emission factors'!$K$2:$V$2,0)))*$K19)</f>
        <v/>
      </c>
      <c r="R19" s="157" t="str" cm="1">
        <f t="array" ref="R19">IF(OR($E19="",$I19=""),"",(INDEX('Emission factors'!$K$3:$V$201,MATCH('Buildings - Grid Electricity'!$E19&amp;$F19,'Emission factors'!$J$3:$J$201&amp;'Emission factors'!$K$3:$K$201,0),MATCH('Buildings - Grid Electricity'!R$6,'Emission factors'!$K$2:$V$2,0)))*$K19)</f>
        <v/>
      </c>
      <c r="S19" s="157" t="str" cm="1">
        <f t="array" ref="S19">IF(OR($E19="",$I19=""),"",(INDEX('Emission factors'!$K$3:$V$201,MATCH('Buildings - Grid Electricity'!$E19&amp;$F19,'Emission factors'!$J$3:$J$201&amp;'Emission factors'!$K$3:$K$201,0),MATCH('Buildings - Grid Electricity'!S$6,'Emission factors'!$K$2:$V$2,0)))*$K19)</f>
        <v/>
      </c>
      <c r="T19" s="157" t="str" cm="1">
        <f t="array" ref="T19">IF(OR($E19="",$I19=""),"",(INDEX('Emission factors'!$K$3:$V$201,MATCH('Buildings - Grid Electricity'!$E19&amp;$F19,'Emission factors'!$J$3:$J$201&amp;'Emission factors'!$K$3:$K$201,0),MATCH('Buildings - Grid Electricity'!T$6,'Emission factors'!$K$2:$V$2,0)))*$K19)</f>
        <v/>
      </c>
      <c r="U19" s="157" t="str" cm="1">
        <f t="array" ref="U19">IF(OR($E19="",$I19=""),"",(INDEX('Emission factors'!$K$3:$V$201,MATCH('Buildings - Grid Electricity'!$E19&amp;$F19,'Emission factors'!$J$3:$J$201&amp;'Emission factors'!$K$3:$K$201,0),MATCH('Buildings - Grid Electricity'!U$6,'Emission factors'!$K$2:$V$2,0)))*$K19)</f>
        <v/>
      </c>
      <c r="V19" s="269" t="str">
        <f>IF(OR($N19="",BuildingsElectricityTable[[#This Row],[RSD]]=""),"",BuildingsElectricityTable[[#This Row],[Total emissions (kgCO2e)]]*(1+BuildingsElectricityTable[[#This Row],[RSD]]))</f>
        <v/>
      </c>
      <c r="W19" s="270" t="str">
        <f>IF(OR($N19="",BuildingsElectricityTable[[#This Row],[RSD]]=""),"",BuildingsElectricityTable[[#This Row],[Total emissions (kgCO2e)]]*(1-BuildingsElectricityTable[[#This Row],[RSD]]))</f>
        <v/>
      </c>
      <c r="X19" s="271" t="str" cm="1">
        <f t="array" ref="X19">IF(OR($E19="",$I19=""),"",(INDEX('Emission factors'!$K$3:$V$201,MATCH('Buildings - Grid Electricity'!$E19&amp;$F19,'Emission factors'!$J$3:$J$201&amp;'Emission factors'!$K$3:$K$201,0),MATCH('Buildings - Grid Electricity'!X$6,'Emission factors'!$K$2:$V$2,0)))*$K19)</f>
        <v/>
      </c>
      <c r="Y19" s="30"/>
      <c r="Z19" s="1" cm="1">
        <f t="array" ref="Z19">IF(OR(ISERROR(B19:X19)),1,0)</f>
        <v>0</v>
      </c>
      <c r="AA19" s="1">
        <f t="shared" si="5"/>
        <v>0</v>
      </c>
    </row>
    <row r="20" spans="1:27" ht="15" outlineLevel="1" thickBot="1" x14ac:dyDescent="0.4">
      <c r="A20" s="319"/>
      <c r="B20" s="216"/>
      <c r="C20" s="216"/>
      <c r="D20" s="489" t="str">
        <f>IFERROR(INDEX(BuildingInformationTable[Site type],MATCH(BuildingsElectricityTable[[#This Row],[Site name]],BuildingInformationTable[Site name],0)),"")</f>
        <v/>
      </c>
      <c r="E20" s="490" t="str">
        <f t="shared" si="2"/>
        <v/>
      </c>
      <c r="F20" s="490" t="str">
        <f t="shared" si="3"/>
        <v/>
      </c>
      <c r="G20" s="491"/>
      <c r="H20" s="492" t="str">
        <f>IF(G20="","",INDEX(Lists!$BA$4:$BC$31,MATCH(E20,Lists!$AZ$4:$AZ$31,0),MATCH(G20,Lists!$BA$3:$BC$3,0)))</f>
        <v/>
      </c>
      <c r="I20" s="267"/>
      <c r="J20" s="490" t="str">
        <f t="shared" si="4"/>
        <v/>
      </c>
      <c r="K20" s="493" t="str" cm="1">
        <f t="array" ref="K20">IF(OR($E20="",$D20="",$I20="",$J20=""),"",IF(J20=L20,I20,(INDEX('Emission factors'!$K$3:$V$201,MATCH(E20&amp;F20,'Emission factors'!$J$3:$J$201&amp;'Emission factors'!$K$3:$K$201,0),MATCH(K$6,'Emission factors'!$K$2:$V$2,0)))*I20))</f>
        <v/>
      </c>
      <c r="L20" s="494" t="str">
        <f>IF(OR($E20="",$D20="",$I20="",$J20=""),"",INDEX('Emission factors'!$K$3:$V$201,MATCH('Buildings - Grid Electricity'!$E20,'Emission factors'!$J$3:$J$201,0),MATCH($L$6,'Emission factors'!$K$2:$V$2,0)))</f>
        <v/>
      </c>
      <c r="M20" s="495" t="str" cm="1">
        <f t="array" ref="M20">IF(OR(E20="",I20="",BuildingsElectricityTable[[#This Row],[Units]]=""),"",INDEX('Emission factors'!$K$3:$V$201,MATCH('Buildings - Grid Electricity'!$E20&amp;F20,'Emission factors'!$J$3:$J$201&amp;'Emission factors'!$K$3:$K$201,0),MATCH('Buildings - Grid Electricity'!$M$6,'Emission factors'!$K$2:$V$2,0)))</f>
        <v/>
      </c>
      <c r="N20" s="496" t="str">
        <f>IF(OR(K20="",M20=""),"",SUM(BuildingsElectricityTable[[#This Row],[Direct]:[Indirect WTT]]))</f>
        <v/>
      </c>
      <c r="O20" s="268"/>
      <c r="P20" s="497"/>
      <c r="Q20" s="157" t="str" cm="1">
        <f t="array" ref="Q20">IF(OR($E20="",$I20=""),"",(INDEX('Emission factors'!$K$3:$V$201,MATCH('Buildings - Grid Electricity'!$E20&amp;$F20,'Emission factors'!$J$3:$J$201&amp;'Emission factors'!$K$3:$K$201,0),MATCH('Buildings - Grid Electricity'!Q$6,'Emission factors'!$K$2:$V$2,0)))*$K20)</f>
        <v/>
      </c>
      <c r="R20" s="157" t="str" cm="1">
        <f t="array" ref="R20">IF(OR($E20="",$I20=""),"",(INDEX('Emission factors'!$K$3:$V$201,MATCH('Buildings - Grid Electricity'!$E20&amp;$F20,'Emission factors'!$J$3:$J$201&amp;'Emission factors'!$K$3:$K$201,0),MATCH('Buildings - Grid Electricity'!R$6,'Emission factors'!$K$2:$V$2,0)))*$K20)</f>
        <v/>
      </c>
      <c r="S20" s="157" t="str" cm="1">
        <f t="array" ref="S20">IF(OR($E20="",$I20=""),"",(INDEX('Emission factors'!$K$3:$V$201,MATCH('Buildings - Grid Electricity'!$E20&amp;$F20,'Emission factors'!$J$3:$J$201&amp;'Emission factors'!$K$3:$K$201,0),MATCH('Buildings - Grid Electricity'!S$6,'Emission factors'!$K$2:$V$2,0)))*$K20)</f>
        <v/>
      </c>
      <c r="T20" s="157" t="str" cm="1">
        <f t="array" ref="T20">IF(OR($E20="",$I20=""),"",(INDEX('Emission factors'!$K$3:$V$201,MATCH('Buildings - Grid Electricity'!$E20&amp;$F20,'Emission factors'!$J$3:$J$201&amp;'Emission factors'!$K$3:$K$201,0),MATCH('Buildings - Grid Electricity'!T$6,'Emission factors'!$K$2:$V$2,0)))*$K20)</f>
        <v/>
      </c>
      <c r="U20" s="157" t="str" cm="1">
        <f t="array" ref="U20">IF(OR($E20="",$I20=""),"",(INDEX('Emission factors'!$K$3:$V$201,MATCH('Buildings - Grid Electricity'!$E20&amp;$F20,'Emission factors'!$J$3:$J$201&amp;'Emission factors'!$K$3:$K$201,0),MATCH('Buildings - Grid Electricity'!U$6,'Emission factors'!$K$2:$V$2,0)))*$K20)</f>
        <v/>
      </c>
      <c r="V20" s="269" t="str">
        <f>IF(OR($N20="",BuildingsElectricityTable[[#This Row],[RSD]]=""),"",BuildingsElectricityTable[[#This Row],[Total emissions (kgCO2e)]]*(1+BuildingsElectricityTable[[#This Row],[RSD]]))</f>
        <v/>
      </c>
      <c r="W20" s="270" t="str">
        <f>IF(OR($N20="",BuildingsElectricityTable[[#This Row],[RSD]]=""),"",BuildingsElectricityTable[[#This Row],[Total emissions (kgCO2e)]]*(1-BuildingsElectricityTable[[#This Row],[RSD]]))</f>
        <v/>
      </c>
      <c r="X20" s="271" t="str" cm="1">
        <f t="array" ref="X20">IF(OR($E20="",$I20=""),"",(INDEX('Emission factors'!$K$3:$V$201,MATCH('Buildings - Grid Electricity'!$E20&amp;$F20,'Emission factors'!$J$3:$J$201&amp;'Emission factors'!$K$3:$K$201,0),MATCH('Buildings - Grid Electricity'!X$6,'Emission factors'!$K$2:$V$2,0)))*$K20)</f>
        <v/>
      </c>
      <c r="Y20" s="30"/>
      <c r="Z20" s="1" cm="1">
        <f t="array" ref="Z20">IF(OR(ISERROR(B20:X20)),1,0)</f>
        <v>0</v>
      </c>
      <c r="AA20" s="1">
        <f t="shared" si="5"/>
        <v>0</v>
      </c>
    </row>
    <row r="21" spans="1:27" ht="15" outlineLevel="1" thickBot="1" x14ac:dyDescent="0.4">
      <c r="A21" s="319"/>
      <c r="B21" s="216"/>
      <c r="C21" s="216"/>
      <c r="D21" s="489" t="str">
        <f>IFERROR(INDEX(BuildingInformationTable[Site type],MATCH(BuildingsElectricityTable[[#This Row],[Site name]],BuildingInformationTable[Site name],0)),"")</f>
        <v/>
      </c>
      <c r="E21" s="490" t="str">
        <f t="shared" si="2"/>
        <v/>
      </c>
      <c r="F21" s="490" t="str">
        <f t="shared" si="3"/>
        <v/>
      </c>
      <c r="G21" s="491"/>
      <c r="H21" s="492" t="str">
        <f>IF(G21="","",INDEX(Lists!$BA$4:$BC$31,MATCH(E21,Lists!$AZ$4:$AZ$31,0),MATCH(G21,Lists!$BA$3:$BC$3,0)))</f>
        <v/>
      </c>
      <c r="I21" s="267"/>
      <c r="J21" s="490" t="str">
        <f t="shared" si="4"/>
        <v/>
      </c>
      <c r="K21" s="493" t="str" cm="1">
        <f t="array" ref="K21">IF(OR($E21="",$D21="",$I21="",$J21=""),"",IF(J21=L21,I21,(INDEX('Emission factors'!$K$3:$V$201,MATCH(E21&amp;F21,'Emission factors'!$J$3:$J$201&amp;'Emission factors'!$K$3:$K$201,0),MATCH(K$6,'Emission factors'!$K$2:$V$2,0)))*I21))</f>
        <v/>
      </c>
      <c r="L21" s="494" t="str">
        <f>IF(OR($E21="",$D21="",$I21="",$J21=""),"",INDEX('Emission factors'!$K$3:$V$201,MATCH('Buildings - Grid Electricity'!$E21,'Emission factors'!$J$3:$J$201,0),MATCH($L$6,'Emission factors'!$K$2:$V$2,0)))</f>
        <v/>
      </c>
      <c r="M21" s="495" t="str" cm="1">
        <f t="array" ref="M21">IF(OR(E21="",I21="",BuildingsElectricityTable[[#This Row],[Units]]=""),"",INDEX('Emission factors'!$K$3:$V$201,MATCH('Buildings - Grid Electricity'!$E21&amp;F21,'Emission factors'!$J$3:$J$201&amp;'Emission factors'!$K$3:$K$201,0),MATCH('Buildings - Grid Electricity'!$M$6,'Emission factors'!$K$2:$V$2,0)))</f>
        <v/>
      </c>
      <c r="N21" s="496" t="str">
        <f>IF(OR(K21="",M21=""),"",SUM(BuildingsElectricityTable[[#This Row],[Direct]:[Indirect WTT]]))</f>
        <v/>
      </c>
      <c r="O21" s="268"/>
      <c r="P21" s="497"/>
      <c r="Q21" s="157" t="str" cm="1">
        <f t="array" ref="Q21">IF(OR($E21="",$I21=""),"",(INDEX('Emission factors'!$K$3:$V$201,MATCH('Buildings - Grid Electricity'!$E21&amp;$F21,'Emission factors'!$J$3:$J$201&amp;'Emission factors'!$K$3:$K$201,0),MATCH('Buildings - Grid Electricity'!Q$6,'Emission factors'!$K$2:$V$2,0)))*$K21)</f>
        <v/>
      </c>
      <c r="R21" s="157" t="str" cm="1">
        <f t="array" ref="R21">IF(OR($E21="",$I21=""),"",(INDEX('Emission factors'!$K$3:$V$201,MATCH('Buildings - Grid Electricity'!$E21&amp;$F21,'Emission factors'!$J$3:$J$201&amp;'Emission factors'!$K$3:$K$201,0),MATCH('Buildings - Grid Electricity'!R$6,'Emission factors'!$K$2:$V$2,0)))*$K21)</f>
        <v/>
      </c>
      <c r="S21" s="157" t="str" cm="1">
        <f t="array" ref="S21">IF(OR($E21="",$I21=""),"",(INDEX('Emission factors'!$K$3:$V$201,MATCH('Buildings - Grid Electricity'!$E21&amp;$F21,'Emission factors'!$J$3:$J$201&amp;'Emission factors'!$K$3:$K$201,0),MATCH('Buildings - Grid Electricity'!S$6,'Emission factors'!$K$2:$V$2,0)))*$K21)</f>
        <v/>
      </c>
      <c r="T21" s="157" t="str" cm="1">
        <f t="array" ref="T21">IF(OR($E21="",$I21=""),"",(INDEX('Emission factors'!$K$3:$V$201,MATCH('Buildings - Grid Electricity'!$E21&amp;$F21,'Emission factors'!$J$3:$J$201&amp;'Emission factors'!$K$3:$K$201,0),MATCH('Buildings - Grid Electricity'!T$6,'Emission factors'!$K$2:$V$2,0)))*$K21)</f>
        <v/>
      </c>
      <c r="U21" s="157" t="str" cm="1">
        <f t="array" ref="U21">IF(OR($E21="",$I21=""),"",(INDEX('Emission factors'!$K$3:$V$201,MATCH('Buildings - Grid Electricity'!$E21&amp;$F21,'Emission factors'!$J$3:$J$201&amp;'Emission factors'!$K$3:$K$201,0),MATCH('Buildings - Grid Electricity'!U$6,'Emission factors'!$K$2:$V$2,0)))*$K21)</f>
        <v/>
      </c>
      <c r="V21" s="269" t="str">
        <f>IF(OR($N21="",BuildingsElectricityTable[[#This Row],[RSD]]=""),"",BuildingsElectricityTable[[#This Row],[Total emissions (kgCO2e)]]*(1+BuildingsElectricityTable[[#This Row],[RSD]]))</f>
        <v/>
      </c>
      <c r="W21" s="270" t="str">
        <f>IF(OR($N21="",BuildingsElectricityTable[[#This Row],[RSD]]=""),"",BuildingsElectricityTable[[#This Row],[Total emissions (kgCO2e)]]*(1-BuildingsElectricityTable[[#This Row],[RSD]]))</f>
        <v/>
      </c>
      <c r="X21" s="271" t="str" cm="1">
        <f t="array" ref="X21">IF(OR($E21="",$I21=""),"",(INDEX('Emission factors'!$K$3:$V$201,MATCH('Buildings - Grid Electricity'!$E21&amp;$F21,'Emission factors'!$J$3:$J$201&amp;'Emission factors'!$K$3:$K$201,0),MATCH('Buildings - Grid Electricity'!X$6,'Emission factors'!$K$2:$V$2,0)))*$K21)</f>
        <v/>
      </c>
      <c r="Y21" s="30"/>
      <c r="Z21" s="1" cm="1">
        <f t="array" ref="Z21">IF(OR(ISERROR(B21:X21)),1,0)</f>
        <v>0</v>
      </c>
      <c r="AA21" s="1">
        <f t="shared" si="5"/>
        <v>0</v>
      </c>
    </row>
    <row r="22" spans="1:27" ht="15" outlineLevel="1" thickBot="1" x14ac:dyDescent="0.4">
      <c r="A22" s="319"/>
      <c r="B22" s="216"/>
      <c r="C22" s="216"/>
      <c r="D22" s="489" t="str">
        <f>IFERROR(INDEX(BuildingInformationTable[Site type],MATCH(BuildingsElectricityTable[[#This Row],[Site name]],BuildingInformationTable[Site name],0)),"")</f>
        <v/>
      </c>
      <c r="E22" s="490" t="str">
        <f t="shared" si="2"/>
        <v/>
      </c>
      <c r="F22" s="490" t="str">
        <f t="shared" si="3"/>
        <v/>
      </c>
      <c r="G22" s="491"/>
      <c r="H22" s="492" t="str">
        <f>IF(G22="","",INDEX(Lists!$BA$4:$BC$31,MATCH(E22,Lists!$AZ$4:$AZ$31,0),MATCH(G22,Lists!$BA$3:$BC$3,0)))</f>
        <v/>
      </c>
      <c r="I22" s="267"/>
      <c r="J22" s="490" t="str">
        <f t="shared" si="4"/>
        <v/>
      </c>
      <c r="K22" s="493" t="str" cm="1">
        <f t="array" ref="K22">IF(OR($E22="",$D22="",$I22="",$J22=""),"",IF(J22=L22,I22,(INDEX('Emission factors'!$K$3:$V$201,MATCH(E22&amp;F22,'Emission factors'!$J$3:$J$201&amp;'Emission factors'!$K$3:$K$201,0),MATCH(K$6,'Emission factors'!$K$2:$V$2,0)))*I22))</f>
        <v/>
      </c>
      <c r="L22" s="494" t="str">
        <f>IF(OR($E22="",$D22="",$I22="",$J22=""),"",INDEX('Emission factors'!$K$3:$V$201,MATCH('Buildings - Grid Electricity'!$E22,'Emission factors'!$J$3:$J$201,0),MATCH($L$6,'Emission factors'!$K$2:$V$2,0)))</f>
        <v/>
      </c>
      <c r="M22" s="495" t="str" cm="1">
        <f t="array" ref="M22">IF(OR(E22="",I22="",BuildingsElectricityTable[[#This Row],[Units]]=""),"",INDEX('Emission factors'!$K$3:$V$201,MATCH('Buildings - Grid Electricity'!$E22&amp;F22,'Emission factors'!$J$3:$J$201&amp;'Emission factors'!$K$3:$K$201,0),MATCH('Buildings - Grid Electricity'!$M$6,'Emission factors'!$K$2:$V$2,0)))</f>
        <v/>
      </c>
      <c r="N22" s="496" t="str">
        <f>IF(OR(K22="",M22=""),"",SUM(BuildingsElectricityTable[[#This Row],[Direct]:[Indirect WTT]]))</f>
        <v/>
      </c>
      <c r="O22" s="268"/>
      <c r="P22" s="497"/>
      <c r="Q22" s="157" t="str" cm="1">
        <f t="array" ref="Q22">IF(OR($E22="",$I22=""),"",(INDEX('Emission factors'!$K$3:$V$201,MATCH('Buildings - Grid Electricity'!$E22&amp;$F22,'Emission factors'!$J$3:$J$201&amp;'Emission factors'!$K$3:$K$201,0),MATCH('Buildings - Grid Electricity'!Q$6,'Emission factors'!$K$2:$V$2,0)))*$K22)</f>
        <v/>
      </c>
      <c r="R22" s="157" t="str" cm="1">
        <f t="array" ref="R22">IF(OR($E22="",$I22=""),"",(INDEX('Emission factors'!$K$3:$V$201,MATCH('Buildings - Grid Electricity'!$E22&amp;$F22,'Emission factors'!$J$3:$J$201&amp;'Emission factors'!$K$3:$K$201,0),MATCH('Buildings - Grid Electricity'!R$6,'Emission factors'!$K$2:$V$2,0)))*$K22)</f>
        <v/>
      </c>
      <c r="S22" s="157" t="str" cm="1">
        <f t="array" ref="S22">IF(OR($E22="",$I22=""),"",(INDEX('Emission factors'!$K$3:$V$201,MATCH('Buildings - Grid Electricity'!$E22&amp;$F22,'Emission factors'!$J$3:$J$201&amp;'Emission factors'!$K$3:$K$201,0),MATCH('Buildings - Grid Electricity'!S$6,'Emission factors'!$K$2:$V$2,0)))*$K22)</f>
        <v/>
      </c>
      <c r="T22" s="157" t="str" cm="1">
        <f t="array" ref="T22">IF(OR($E22="",$I22=""),"",(INDEX('Emission factors'!$K$3:$V$201,MATCH('Buildings - Grid Electricity'!$E22&amp;$F22,'Emission factors'!$J$3:$J$201&amp;'Emission factors'!$K$3:$K$201,0),MATCH('Buildings - Grid Electricity'!T$6,'Emission factors'!$K$2:$V$2,0)))*$K22)</f>
        <v/>
      </c>
      <c r="U22" s="157" t="str" cm="1">
        <f t="array" ref="U22">IF(OR($E22="",$I22=""),"",(INDEX('Emission factors'!$K$3:$V$201,MATCH('Buildings - Grid Electricity'!$E22&amp;$F22,'Emission factors'!$J$3:$J$201&amp;'Emission factors'!$K$3:$K$201,0),MATCH('Buildings - Grid Electricity'!U$6,'Emission factors'!$K$2:$V$2,0)))*$K22)</f>
        <v/>
      </c>
      <c r="V22" s="269" t="str">
        <f>IF(OR($N22="",BuildingsElectricityTable[[#This Row],[RSD]]=""),"",BuildingsElectricityTable[[#This Row],[Total emissions (kgCO2e)]]*(1+BuildingsElectricityTable[[#This Row],[RSD]]))</f>
        <v/>
      </c>
      <c r="W22" s="270" t="str">
        <f>IF(OR($N22="",BuildingsElectricityTable[[#This Row],[RSD]]=""),"",BuildingsElectricityTable[[#This Row],[Total emissions (kgCO2e)]]*(1-BuildingsElectricityTable[[#This Row],[RSD]]))</f>
        <v/>
      </c>
      <c r="X22" s="271" t="str" cm="1">
        <f t="array" ref="X22">IF(OR($E22="",$I22=""),"",(INDEX('Emission factors'!$K$3:$V$201,MATCH('Buildings - Grid Electricity'!$E22&amp;$F22,'Emission factors'!$J$3:$J$201&amp;'Emission factors'!$K$3:$K$201,0),MATCH('Buildings - Grid Electricity'!X$6,'Emission factors'!$K$2:$V$2,0)))*$K22)</f>
        <v/>
      </c>
      <c r="Y22" s="30"/>
      <c r="Z22" s="1" cm="1">
        <f t="array" ref="Z22">IF(OR(ISERROR(B22:X22)),1,0)</f>
        <v>0</v>
      </c>
      <c r="AA22" s="1">
        <f t="shared" si="5"/>
        <v>0</v>
      </c>
    </row>
    <row r="23" spans="1:27" ht="15" outlineLevel="1" thickBot="1" x14ac:dyDescent="0.4">
      <c r="A23" s="319"/>
      <c r="B23" s="216"/>
      <c r="C23" s="216"/>
      <c r="D23" s="489" t="str">
        <f>IFERROR(INDEX(BuildingInformationTable[Site type],MATCH(BuildingsElectricityTable[[#This Row],[Site name]],BuildingInformationTable[Site name],0)),"")</f>
        <v/>
      </c>
      <c r="E23" s="490" t="str">
        <f t="shared" si="2"/>
        <v/>
      </c>
      <c r="F23" s="490" t="str">
        <f t="shared" si="3"/>
        <v/>
      </c>
      <c r="G23" s="491"/>
      <c r="H23" s="492" t="str">
        <f>IF(G23="","",INDEX(Lists!$BA$4:$BC$31,MATCH(E23,Lists!$AZ$4:$AZ$31,0),MATCH(G23,Lists!$BA$3:$BC$3,0)))</f>
        <v/>
      </c>
      <c r="I23" s="267"/>
      <c r="J23" s="490" t="str">
        <f t="shared" si="4"/>
        <v/>
      </c>
      <c r="K23" s="493" t="str" cm="1">
        <f t="array" ref="K23">IF(OR($E23="",$D23="",$I23="",$J23=""),"",IF(J23=L23,I23,(INDEX('Emission factors'!$K$3:$V$201,MATCH(E23&amp;F23,'Emission factors'!$J$3:$J$201&amp;'Emission factors'!$K$3:$K$201,0),MATCH(K$6,'Emission factors'!$K$2:$V$2,0)))*I23))</f>
        <v/>
      </c>
      <c r="L23" s="494" t="str">
        <f>IF(OR($E23="",$D23="",$I23="",$J23=""),"",INDEX('Emission factors'!$K$3:$V$201,MATCH('Buildings - Grid Electricity'!$E23,'Emission factors'!$J$3:$J$201,0),MATCH($L$6,'Emission factors'!$K$2:$V$2,0)))</f>
        <v/>
      </c>
      <c r="M23" s="495" t="str" cm="1">
        <f t="array" ref="M23">IF(OR(E23="",I23="",BuildingsElectricityTable[[#This Row],[Units]]=""),"",INDEX('Emission factors'!$K$3:$V$201,MATCH('Buildings - Grid Electricity'!$E23&amp;F23,'Emission factors'!$J$3:$J$201&amp;'Emission factors'!$K$3:$K$201,0),MATCH('Buildings - Grid Electricity'!$M$6,'Emission factors'!$K$2:$V$2,0)))</f>
        <v/>
      </c>
      <c r="N23" s="496" t="str">
        <f>IF(OR(K23="",M23=""),"",SUM(BuildingsElectricityTable[[#This Row],[Direct]:[Indirect WTT]]))</f>
        <v/>
      </c>
      <c r="O23" s="268"/>
      <c r="P23" s="497"/>
      <c r="Q23" s="157" t="str" cm="1">
        <f t="array" ref="Q23">IF(OR($E23="",$I23=""),"",(INDEX('Emission factors'!$K$3:$V$201,MATCH('Buildings - Grid Electricity'!$E23&amp;$F23,'Emission factors'!$J$3:$J$201&amp;'Emission factors'!$K$3:$K$201,0),MATCH('Buildings - Grid Electricity'!Q$6,'Emission factors'!$K$2:$V$2,0)))*$K23)</f>
        <v/>
      </c>
      <c r="R23" s="157" t="str" cm="1">
        <f t="array" ref="R23">IF(OR($E23="",$I23=""),"",(INDEX('Emission factors'!$K$3:$V$201,MATCH('Buildings - Grid Electricity'!$E23&amp;$F23,'Emission factors'!$J$3:$J$201&amp;'Emission factors'!$K$3:$K$201,0),MATCH('Buildings - Grid Electricity'!R$6,'Emission factors'!$K$2:$V$2,0)))*$K23)</f>
        <v/>
      </c>
      <c r="S23" s="157" t="str" cm="1">
        <f t="array" ref="S23">IF(OR($E23="",$I23=""),"",(INDEX('Emission factors'!$K$3:$V$201,MATCH('Buildings - Grid Electricity'!$E23&amp;$F23,'Emission factors'!$J$3:$J$201&amp;'Emission factors'!$K$3:$K$201,0),MATCH('Buildings - Grid Electricity'!S$6,'Emission factors'!$K$2:$V$2,0)))*$K23)</f>
        <v/>
      </c>
      <c r="T23" s="157" t="str" cm="1">
        <f t="array" ref="T23">IF(OR($E23="",$I23=""),"",(INDEX('Emission factors'!$K$3:$V$201,MATCH('Buildings - Grid Electricity'!$E23&amp;$F23,'Emission factors'!$J$3:$J$201&amp;'Emission factors'!$K$3:$K$201,0),MATCH('Buildings - Grid Electricity'!T$6,'Emission factors'!$K$2:$V$2,0)))*$K23)</f>
        <v/>
      </c>
      <c r="U23" s="157" t="str" cm="1">
        <f t="array" ref="U23">IF(OR($E23="",$I23=""),"",(INDEX('Emission factors'!$K$3:$V$201,MATCH('Buildings - Grid Electricity'!$E23&amp;$F23,'Emission factors'!$J$3:$J$201&amp;'Emission factors'!$K$3:$K$201,0),MATCH('Buildings - Grid Electricity'!U$6,'Emission factors'!$K$2:$V$2,0)))*$K23)</f>
        <v/>
      </c>
      <c r="V23" s="269" t="str">
        <f>IF(OR($N23="",BuildingsElectricityTable[[#This Row],[RSD]]=""),"",BuildingsElectricityTable[[#This Row],[Total emissions (kgCO2e)]]*(1+BuildingsElectricityTable[[#This Row],[RSD]]))</f>
        <v/>
      </c>
      <c r="W23" s="270" t="str">
        <f>IF(OR($N23="",BuildingsElectricityTable[[#This Row],[RSD]]=""),"",BuildingsElectricityTable[[#This Row],[Total emissions (kgCO2e)]]*(1-BuildingsElectricityTable[[#This Row],[RSD]]))</f>
        <v/>
      </c>
      <c r="X23" s="271" t="str" cm="1">
        <f t="array" ref="X23">IF(OR($E23="",$I23=""),"",(INDEX('Emission factors'!$K$3:$V$201,MATCH('Buildings - Grid Electricity'!$E23&amp;$F23,'Emission factors'!$J$3:$J$201&amp;'Emission factors'!$K$3:$K$201,0),MATCH('Buildings - Grid Electricity'!X$6,'Emission factors'!$K$2:$V$2,0)))*$K23)</f>
        <v/>
      </c>
      <c r="Y23" s="30"/>
      <c r="Z23" s="1" cm="1">
        <f t="array" ref="Z23">IF(OR(ISERROR(B23:X23)),1,0)</f>
        <v>0</v>
      </c>
      <c r="AA23" s="1">
        <f t="shared" si="5"/>
        <v>0</v>
      </c>
    </row>
    <row r="24" spans="1:27" ht="15" outlineLevel="1" thickBot="1" x14ac:dyDescent="0.4">
      <c r="A24" s="319"/>
      <c r="B24" s="216"/>
      <c r="C24" s="216"/>
      <c r="D24" s="489" t="str">
        <f>IFERROR(INDEX(BuildingInformationTable[Site type],MATCH(BuildingsElectricityTable[[#This Row],[Site name]],BuildingInformationTable[Site name],0)),"")</f>
        <v/>
      </c>
      <c r="E24" s="490" t="str">
        <f t="shared" si="2"/>
        <v/>
      </c>
      <c r="F24" s="490" t="str">
        <f t="shared" si="3"/>
        <v/>
      </c>
      <c r="G24" s="491"/>
      <c r="H24" s="492" t="str">
        <f>IF(G24="","",INDEX(Lists!$BA$4:$BC$31,MATCH(E24,Lists!$AZ$4:$AZ$31,0),MATCH(G24,Lists!$BA$3:$BC$3,0)))</f>
        <v/>
      </c>
      <c r="I24" s="267"/>
      <c r="J24" s="490" t="str">
        <f t="shared" si="4"/>
        <v/>
      </c>
      <c r="K24" s="493" t="str" cm="1">
        <f t="array" ref="K24">IF(OR($E24="",$D24="",$I24="",$J24=""),"",IF(J24=L24,I24,(INDEX('Emission factors'!$K$3:$V$201,MATCH(E24&amp;F24,'Emission factors'!$J$3:$J$201&amp;'Emission factors'!$K$3:$K$201,0),MATCH(K$6,'Emission factors'!$K$2:$V$2,0)))*I24))</f>
        <v/>
      </c>
      <c r="L24" s="494" t="str">
        <f>IF(OR($E24="",$D24="",$I24="",$J24=""),"",INDEX('Emission factors'!$K$3:$V$201,MATCH('Buildings - Grid Electricity'!$E24,'Emission factors'!$J$3:$J$201,0),MATCH($L$6,'Emission factors'!$K$2:$V$2,0)))</f>
        <v/>
      </c>
      <c r="M24" s="495" t="str" cm="1">
        <f t="array" ref="M24">IF(OR(E24="",I24="",BuildingsElectricityTable[[#This Row],[Units]]=""),"",INDEX('Emission factors'!$K$3:$V$201,MATCH('Buildings - Grid Electricity'!$E24&amp;F24,'Emission factors'!$J$3:$J$201&amp;'Emission factors'!$K$3:$K$201,0),MATCH('Buildings - Grid Electricity'!$M$6,'Emission factors'!$K$2:$V$2,0)))</f>
        <v/>
      </c>
      <c r="N24" s="496" t="str">
        <f>IF(OR(K24="",M24=""),"",SUM(BuildingsElectricityTable[[#This Row],[Direct]:[Indirect WTT]]))</f>
        <v/>
      </c>
      <c r="O24" s="268"/>
      <c r="P24" s="497"/>
      <c r="Q24" s="157" t="str" cm="1">
        <f t="array" ref="Q24">IF(OR($E24="",$I24=""),"",(INDEX('Emission factors'!$K$3:$V$201,MATCH('Buildings - Grid Electricity'!$E24&amp;$F24,'Emission factors'!$J$3:$J$201&amp;'Emission factors'!$K$3:$K$201,0),MATCH('Buildings - Grid Electricity'!Q$6,'Emission factors'!$K$2:$V$2,0)))*$K24)</f>
        <v/>
      </c>
      <c r="R24" s="157" t="str" cm="1">
        <f t="array" ref="R24">IF(OR($E24="",$I24=""),"",(INDEX('Emission factors'!$K$3:$V$201,MATCH('Buildings - Grid Electricity'!$E24&amp;$F24,'Emission factors'!$J$3:$J$201&amp;'Emission factors'!$K$3:$K$201,0),MATCH('Buildings - Grid Electricity'!R$6,'Emission factors'!$K$2:$V$2,0)))*$K24)</f>
        <v/>
      </c>
      <c r="S24" s="157" t="str" cm="1">
        <f t="array" ref="S24">IF(OR($E24="",$I24=""),"",(INDEX('Emission factors'!$K$3:$V$201,MATCH('Buildings - Grid Electricity'!$E24&amp;$F24,'Emission factors'!$J$3:$J$201&amp;'Emission factors'!$K$3:$K$201,0),MATCH('Buildings - Grid Electricity'!S$6,'Emission factors'!$K$2:$V$2,0)))*$K24)</f>
        <v/>
      </c>
      <c r="T24" s="157" t="str" cm="1">
        <f t="array" ref="T24">IF(OR($E24="",$I24=""),"",(INDEX('Emission factors'!$K$3:$V$201,MATCH('Buildings - Grid Electricity'!$E24&amp;$F24,'Emission factors'!$J$3:$J$201&amp;'Emission factors'!$K$3:$K$201,0),MATCH('Buildings - Grid Electricity'!T$6,'Emission factors'!$K$2:$V$2,0)))*$K24)</f>
        <v/>
      </c>
      <c r="U24" s="157" t="str" cm="1">
        <f t="array" ref="U24">IF(OR($E24="",$I24=""),"",(INDEX('Emission factors'!$K$3:$V$201,MATCH('Buildings - Grid Electricity'!$E24&amp;$F24,'Emission factors'!$J$3:$J$201&amp;'Emission factors'!$K$3:$K$201,0),MATCH('Buildings - Grid Electricity'!U$6,'Emission factors'!$K$2:$V$2,0)))*$K24)</f>
        <v/>
      </c>
      <c r="V24" s="269" t="str">
        <f>IF(OR($N24="",BuildingsElectricityTable[[#This Row],[RSD]]=""),"",BuildingsElectricityTable[[#This Row],[Total emissions (kgCO2e)]]*(1+BuildingsElectricityTable[[#This Row],[RSD]]))</f>
        <v/>
      </c>
      <c r="W24" s="270" t="str">
        <f>IF(OR($N24="",BuildingsElectricityTable[[#This Row],[RSD]]=""),"",BuildingsElectricityTable[[#This Row],[Total emissions (kgCO2e)]]*(1-BuildingsElectricityTable[[#This Row],[RSD]]))</f>
        <v/>
      </c>
      <c r="X24" s="271" t="str" cm="1">
        <f t="array" ref="X24">IF(OR($E24="",$I24=""),"",(INDEX('Emission factors'!$K$3:$V$201,MATCH('Buildings - Grid Electricity'!$E24&amp;$F24,'Emission factors'!$J$3:$J$201&amp;'Emission factors'!$K$3:$K$201,0),MATCH('Buildings - Grid Electricity'!X$6,'Emission factors'!$K$2:$V$2,0)))*$K24)</f>
        <v/>
      </c>
      <c r="Y24" s="30"/>
      <c r="Z24" s="1" cm="1">
        <f t="array" ref="Z24">IF(OR(ISERROR(B24:X24)),1,0)</f>
        <v>0</v>
      </c>
      <c r="AA24" s="1">
        <f t="shared" si="5"/>
        <v>0</v>
      </c>
    </row>
    <row r="25" spans="1:27" ht="15" outlineLevel="1" thickBot="1" x14ac:dyDescent="0.4">
      <c r="A25" s="319"/>
      <c r="B25" s="216"/>
      <c r="C25" s="216"/>
      <c r="D25" s="489" t="str">
        <f>IFERROR(INDEX(BuildingInformationTable[Site type],MATCH(BuildingsElectricityTable[[#This Row],[Site name]],BuildingInformationTable[Site name],0)),"")</f>
        <v/>
      </c>
      <c r="E25" s="490" t="str">
        <f t="shared" si="2"/>
        <v/>
      </c>
      <c r="F25" s="490" t="str">
        <f t="shared" si="3"/>
        <v/>
      </c>
      <c r="G25" s="491"/>
      <c r="H25" s="492" t="str">
        <f>IF(G25="","",INDEX(Lists!$BA$4:$BC$31,MATCH(E25,Lists!$AZ$4:$AZ$31,0),MATCH(G25,Lists!$BA$3:$BC$3,0)))</f>
        <v/>
      </c>
      <c r="I25" s="267"/>
      <c r="J25" s="490" t="str">
        <f t="shared" si="4"/>
        <v/>
      </c>
      <c r="K25" s="493" t="str" cm="1">
        <f t="array" ref="K25">IF(OR($E25="",$D25="",$I25="",$J25=""),"",IF(J25=L25,I25,(INDEX('Emission factors'!$K$3:$V$201,MATCH(E25&amp;F25,'Emission factors'!$J$3:$J$201&amp;'Emission factors'!$K$3:$K$201,0),MATCH(K$6,'Emission factors'!$K$2:$V$2,0)))*I25))</f>
        <v/>
      </c>
      <c r="L25" s="494" t="str">
        <f>IF(OR($E25="",$D25="",$I25="",$J25=""),"",INDEX('Emission factors'!$K$3:$V$201,MATCH('Buildings - Grid Electricity'!$E25,'Emission factors'!$J$3:$J$201,0),MATCH($L$6,'Emission factors'!$K$2:$V$2,0)))</f>
        <v/>
      </c>
      <c r="M25" s="495" t="str" cm="1">
        <f t="array" ref="M25">IF(OR(E25="",I25="",BuildingsElectricityTable[[#This Row],[Units]]=""),"",INDEX('Emission factors'!$K$3:$V$201,MATCH('Buildings - Grid Electricity'!$E25&amp;F25,'Emission factors'!$J$3:$J$201&amp;'Emission factors'!$K$3:$K$201,0),MATCH('Buildings - Grid Electricity'!$M$6,'Emission factors'!$K$2:$V$2,0)))</f>
        <v/>
      </c>
      <c r="N25" s="496" t="str">
        <f>IF(OR(K25="",M25=""),"",SUM(BuildingsElectricityTable[[#This Row],[Direct]:[Indirect WTT]]))</f>
        <v/>
      </c>
      <c r="O25" s="268"/>
      <c r="P25" s="497"/>
      <c r="Q25" s="157" t="str" cm="1">
        <f t="array" ref="Q25">IF(OR($E25="",$I25=""),"",(INDEX('Emission factors'!$K$3:$V$201,MATCH('Buildings - Grid Electricity'!$E25&amp;$F25,'Emission factors'!$J$3:$J$201&amp;'Emission factors'!$K$3:$K$201,0),MATCH('Buildings - Grid Electricity'!Q$6,'Emission factors'!$K$2:$V$2,0)))*$K25)</f>
        <v/>
      </c>
      <c r="R25" s="157" t="str" cm="1">
        <f t="array" ref="R25">IF(OR($E25="",$I25=""),"",(INDEX('Emission factors'!$K$3:$V$201,MATCH('Buildings - Grid Electricity'!$E25&amp;$F25,'Emission factors'!$J$3:$J$201&amp;'Emission factors'!$K$3:$K$201,0),MATCH('Buildings - Grid Electricity'!R$6,'Emission factors'!$K$2:$V$2,0)))*$K25)</f>
        <v/>
      </c>
      <c r="S25" s="157" t="str" cm="1">
        <f t="array" ref="S25">IF(OR($E25="",$I25=""),"",(INDEX('Emission factors'!$K$3:$V$201,MATCH('Buildings - Grid Electricity'!$E25&amp;$F25,'Emission factors'!$J$3:$J$201&amp;'Emission factors'!$K$3:$K$201,0),MATCH('Buildings - Grid Electricity'!S$6,'Emission factors'!$K$2:$V$2,0)))*$K25)</f>
        <v/>
      </c>
      <c r="T25" s="157" t="str" cm="1">
        <f t="array" ref="T25">IF(OR($E25="",$I25=""),"",(INDEX('Emission factors'!$K$3:$V$201,MATCH('Buildings - Grid Electricity'!$E25&amp;$F25,'Emission factors'!$J$3:$J$201&amp;'Emission factors'!$K$3:$K$201,0),MATCH('Buildings - Grid Electricity'!T$6,'Emission factors'!$K$2:$V$2,0)))*$K25)</f>
        <v/>
      </c>
      <c r="U25" s="157" t="str" cm="1">
        <f t="array" ref="U25">IF(OR($E25="",$I25=""),"",(INDEX('Emission factors'!$K$3:$V$201,MATCH('Buildings - Grid Electricity'!$E25&amp;$F25,'Emission factors'!$J$3:$J$201&amp;'Emission factors'!$K$3:$K$201,0),MATCH('Buildings - Grid Electricity'!U$6,'Emission factors'!$K$2:$V$2,0)))*$K25)</f>
        <v/>
      </c>
      <c r="V25" s="269" t="str">
        <f>IF(OR($N25="",BuildingsElectricityTable[[#This Row],[RSD]]=""),"",BuildingsElectricityTable[[#This Row],[Total emissions (kgCO2e)]]*(1+BuildingsElectricityTable[[#This Row],[RSD]]))</f>
        <v/>
      </c>
      <c r="W25" s="270" t="str">
        <f>IF(OR($N25="",BuildingsElectricityTable[[#This Row],[RSD]]=""),"",BuildingsElectricityTable[[#This Row],[Total emissions (kgCO2e)]]*(1-BuildingsElectricityTable[[#This Row],[RSD]]))</f>
        <v/>
      </c>
      <c r="X25" s="271" t="str" cm="1">
        <f t="array" ref="X25">IF(OR($E25="",$I25=""),"",(INDEX('Emission factors'!$K$3:$V$201,MATCH('Buildings - Grid Electricity'!$E25&amp;$F25,'Emission factors'!$J$3:$J$201&amp;'Emission factors'!$K$3:$K$201,0),MATCH('Buildings - Grid Electricity'!X$6,'Emission factors'!$K$2:$V$2,0)))*$K25)</f>
        <v/>
      </c>
      <c r="Y25" s="30"/>
      <c r="Z25" s="1" cm="1">
        <f t="array" ref="Z25">IF(OR(ISERROR(B25:X25)),1,0)</f>
        <v>0</v>
      </c>
      <c r="AA25" s="1">
        <f t="shared" si="5"/>
        <v>0</v>
      </c>
    </row>
    <row r="26" spans="1:27" ht="15" outlineLevel="1" thickBot="1" x14ac:dyDescent="0.4">
      <c r="A26" s="319"/>
      <c r="B26" s="216"/>
      <c r="C26" s="216"/>
      <c r="D26" s="489" t="str">
        <f>IFERROR(INDEX(BuildingInformationTable[Site type],MATCH(BuildingsElectricityTable[[#This Row],[Site name]],BuildingInformationTable[Site name],0)),"")</f>
        <v/>
      </c>
      <c r="E26" s="490" t="str">
        <f t="shared" si="2"/>
        <v/>
      </c>
      <c r="F26" s="490" t="str">
        <f t="shared" si="3"/>
        <v/>
      </c>
      <c r="G26" s="491"/>
      <c r="H26" s="492" t="str">
        <f>IF(G26="","",INDEX(Lists!$BA$4:$BC$31,MATCH(E26,Lists!$AZ$4:$AZ$31,0),MATCH(G26,Lists!$BA$3:$BC$3,0)))</f>
        <v/>
      </c>
      <c r="I26" s="267"/>
      <c r="J26" s="490" t="str">
        <f t="shared" si="4"/>
        <v/>
      </c>
      <c r="K26" s="493" t="str" cm="1">
        <f t="array" ref="K26">IF(OR($E26="",$D26="",$I26="",$J26=""),"",IF(J26=L26,I26,(INDEX('Emission factors'!$K$3:$V$201,MATCH(E26&amp;F26,'Emission factors'!$J$3:$J$201&amp;'Emission factors'!$K$3:$K$201,0),MATCH(K$6,'Emission factors'!$K$2:$V$2,0)))*I26))</f>
        <v/>
      </c>
      <c r="L26" s="494" t="str">
        <f>IF(OR($E26="",$D26="",$I26="",$J26=""),"",INDEX('Emission factors'!$K$3:$V$201,MATCH('Buildings - Grid Electricity'!$E26,'Emission factors'!$J$3:$J$201,0),MATCH($L$6,'Emission factors'!$K$2:$V$2,0)))</f>
        <v/>
      </c>
      <c r="M26" s="495" t="str" cm="1">
        <f t="array" ref="M26">IF(OR(E26="",I26="",BuildingsElectricityTable[[#This Row],[Units]]=""),"",INDEX('Emission factors'!$K$3:$V$201,MATCH('Buildings - Grid Electricity'!$E26&amp;F26,'Emission factors'!$J$3:$J$201&amp;'Emission factors'!$K$3:$K$201,0),MATCH('Buildings - Grid Electricity'!$M$6,'Emission factors'!$K$2:$V$2,0)))</f>
        <v/>
      </c>
      <c r="N26" s="496" t="str">
        <f>IF(OR(K26="",M26=""),"",SUM(BuildingsElectricityTable[[#This Row],[Direct]:[Indirect WTT]]))</f>
        <v/>
      </c>
      <c r="O26" s="268"/>
      <c r="P26" s="497"/>
      <c r="Q26" s="157" t="str" cm="1">
        <f t="array" ref="Q26">IF(OR($E26="",$I26=""),"",(INDEX('Emission factors'!$K$3:$V$201,MATCH('Buildings - Grid Electricity'!$E26&amp;$F26,'Emission factors'!$J$3:$J$201&amp;'Emission factors'!$K$3:$K$201,0),MATCH('Buildings - Grid Electricity'!Q$6,'Emission factors'!$K$2:$V$2,0)))*$K26)</f>
        <v/>
      </c>
      <c r="R26" s="157" t="str" cm="1">
        <f t="array" ref="R26">IF(OR($E26="",$I26=""),"",(INDEX('Emission factors'!$K$3:$V$201,MATCH('Buildings - Grid Electricity'!$E26&amp;$F26,'Emission factors'!$J$3:$J$201&amp;'Emission factors'!$K$3:$K$201,0),MATCH('Buildings - Grid Electricity'!R$6,'Emission factors'!$K$2:$V$2,0)))*$K26)</f>
        <v/>
      </c>
      <c r="S26" s="157" t="str" cm="1">
        <f t="array" ref="S26">IF(OR($E26="",$I26=""),"",(INDEX('Emission factors'!$K$3:$V$201,MATCH('Buildings - Grid Electricity'!$E26&amp;$F26,'Emission factors'!$J$3:$J$201&amp;'Emission factors'!$K$3:$K$201,0),MATCH('Buildings - Grid Electricity'!S$6,'Emission factors'!$K$2:$V$2,0)))*$K26)</f>
        <v/>
      </c>
      <c r="T26" s="157" t="str" cm="1">
        <f t="array" ref="T26">IF(OR($E26="",$I26=""),"",(INDEX('Emission factors'!$K$3:$V$201,MATCH('Buildings - Grid Electricity'!$E26&amp;$F26,'Emission factors'!$J$3:$J$201&amp;'Emission factors'!$K$3:$K$201,0),MATCH('Buildings - Grid Electricity'!T$6,'Emission factors'!$K$2:$V$2,0)))*$K26)</f>
        <v/>
      </c>
      <c r="U26" s="157" t="str" cm="1">
        <f t="array" ref="U26">IF(OR($E26="",$I26=""),"",(INDEX('Emission factors'!$K$3:$V$201,MATCH('Buildings - Grid Electricity'!$E26&amp;$F26,'Emission factors'!$J$3:$J$201&amp;'Emission factors'!$K$3:$K$201,0),MATCH('Buildings - Grid Electricity'!U$6,'Emission factors'!$K$2:$V$2,0)))*$K26)</f>
        <v/>
      </c>
      <c r="V26" s="269" t="str">
        <f>IF(OR($N26="",BuildingsElectricityTable[[#This Row],[RSD]]=""),"",BuildingsElectricityTable[[#This Row],[Total emissions (kgCO2e)]]*(1+BuildingsElectricityTable[[#This Row],[RSD]]))</f>
        <v/>
      </c>
      <c r="W26" s="270" t="str">
        <f>IF(OR($N26="",BuildingsElectricityTable[[#This Row],[RSD]]=""),"",BuildingsElectricityTable[[#This Row],[Total emissions (kgCO2e)]]*(1-BuildingsElectricityTable[[#This Row],[RSD]]))</f>
        <v/>
      </c>
      <c r="X26" s="271" t="str" cm="1">
        <f t="array" ref="X26">IF(OR($E26="",$I26=""),"",(INDEX('Emission factors'!$K$3:$V$201,MATCH('Buildings - Grid Electricity'!$E26&amp;$F26,'Emission factors'!$J$3:$J$201&amp;'Emission factors'!$K$3:$K$201,0),MATCH('Buildings - Grid Electricity'!X$6,'Emission factors'!$K$2:$V$2,0)))*$K26)</f>
        <v/>
      </c>
      <c r="Y26" s="30"/>
      <c r="Z26" s="1" cm="1">
        <f t="array" ref="Z26">IF(OR(ISERROR(B26:X26)),1,0)</f>
        <v>0</v>
      </c>
      <c r="AA26" s="1">
        <f t="shared" si="5"/>
        <v>0</v>
      </c>
    </row>
    <row r="27" spans="1:27" ht="15" outlineLevel="1" thickBot="1" x14ac:dyDescent="0.4">
      <c r="A27" s="319"/>
      <c r="B27" s="216"/>
      <c r="C27" s="216"/>
      <c r="D27" s="489" t="str">
        <f>IFERROR(INDEX(BuildingInformationTable[Site type],MATCH(BuildingsElectricityTable[[#This Row],[Site name]],BuildingInformationTable[Site name],0)),"")</f>
        <v/>
      </c>
      <c r="E27" s="490" t="str">
        <f t="shared" si="2"/>
        <v/>
      </c>
      <c r="F27" s="490" t="str">
        <f t="shared" si="3"/>
        <v/>
      </c>
      <c r="G27" s="491"/>
      <c r="H27" s="492" t="str">
        <f>IF(G27="","",INDEX(Lists!$BA$4:$BC$31,MATCH(E27,Lists!$AZ$4:$AZ$31,0),MATCH(G27,Lists!$BA$3:$BC$3,0)))</f>
        <v/>
      </c>
      <c r="I27" s="267"/>
      <c r="J27" s="490" t="str">
        <f t="shared" si="4"/>
        <v/>
      </c>
      <c r="K27" s="493" t="str" cm="1">
        <f t="array" ref="K27">IF(OR($E27="",$D27="",$I27="",$J27=""),"",IF(J27=L27,I27,(INDEX('Emission factors'!$K$3:$V$201,MATCH(E27&amp;F27,'Emission factors'!$J$3:$J$201&amp;'Emission factors'!$K$3:$K$201,0),MATCH(K$6,'Emission factors'!$K$2:$V$2,0)))*I27))</f>
        <v/>
      </c>
      <c r="L27" s="494" t="str">
        <f>IF(OR($E27="",$D27="",$I27="",$J27=""),"",INDEX('Emission factors'!$K$3:$V$201,MATCH('Buildings - Grid Electricity'!$E27,'Emission factors'!$J$3:$J$201,0),MATCH($L$6,'Emission factors'!$K$2:$V$2,0)))</f>
        <v/>
      </c>
      <c r="M27" s="495" t="str" cm="1">
        <f t="array" ref="M27">IF(OR(E27="",I27="",BuildingsElectricityTable[[#This Row],[Units]]=""),"",INDEX('Emission factors'!$K$3:$V$201,MATCH('Buildings - Grid Electricity'!$E27&amp;F27,'Emission factors'!$J$3:$J$201&amp;'Emission factors'!$K$3:$K$201,0),MATCH('Buildings - Grid Electricity'!$M$6,'Emission factors'!$K$2:$V$2,0)))</f>
        <v/>
      </c>
      <c r="N27" s="496" t="str">
        <f>IF(OR(K27="",M27=""),"",SUM(BuildingsElectricityTable[[#This Row],[Direct]:[Indirect WTT]]))</f>
        <v/>
      </c>
      <c r="O27" s="268"/>
      <c r="P27" s="497"/>
      <c r="Q27" s="157" t="str" cm="1">
        <f t="array" ref="Q27">IF(OR($E27="",$I27=""),"",(INDEX('Emission factors'!$K$3:$V$201,MATCH('Buildings - Grid Electricity'!$E27&amp;$F27,'Emission factors'!$J$3:$J$201&amp;'Emission factors'!$K$3:$K$201,0),MATCH('Buildings - Grid Electricity'!Q$6,'Emission factors'!$K$2:$V$2,0)))*$K27)</f>
        <v/>
      </c>
      <c r="R27" s="157" t="str" cm="1">
        <f t="array" ref="R27">IF(OR($E27="",$I27=""),"",(INDEX('Emission factors'!$K$3:$V$201,MATCH('Buildings - Grid Electricity'!$E27&amp;$F27,'Emission factors'!$J$3:$J$201&amp;'Emission factors'!$K$3:$K$201,0),MATCH('Buildings - Grid Electricity'!R$6,'Emission factors'!$K$2:$V$2,0)))*$K27)</f>
        <v/>
      </c>
      <c r="S27" s="157" t="str" cm="1">
        <f t="array" ref="S27">IF(OR($E27="",$I27=""),"",(INDEX('Emission factors'!$K$3:$V$201,MATCH('Buildings - Grid Electricity'!$E27&amp;$F27,'Emission factors'!$J$3:$J$201&amp;'Emission factors'!$K$3:$K$201,0),MATCH('Buildings - Grid Electricity'!S$6,'Emission factors'!$K$2:$V$2,0)))*$K27)</f>
        <v/>
      </c>
      <c r="T27" s="157" t="str" cm="1">
        <f t="array" ref="T27">IF(OR($E27="",$I27=""),"",(INDEX('Emission factors'!$K$3:$V$201,MATCH('Buildings - Grid Electricity'!$E27&amp;$F27,'Emission factors'!$J$3:$J$201&amp;'Emission factors'!$K$3:$K$201,0),MATCH('Buildings - Grid Electricity'!T$6,'Emission factors'!$K$2:$V$2,0)))*$K27)</f>
        <v/>
      </c>
      <c r="U27" s="157" t="str" cm="1">
        <f t="array" ref="U27">IF(OR($E27="",$I27=""),"",(INDEX('Emission factors'!$K$3:$V$201,MATCH('Buildings - Grid Electricity'!$E27&amp;$F27,'Emission factors'!$J$3:$J$201&amp;'Emission factors'!$K$3:$K$201,0),MATCH('Buildings - Grid Electricity'!U$6,'Emission factors'!$K$2:$V$2,0)))*$K27)</f>
        <v/>
      </c>
      <c r="V27" s="269" t="str">
        <f>IF(OR($N27="",BuildingsElectricityTable[[#This Row],[RSD]]=""),"",BuildingsElectricityTable[[#This Row],[Total emissions (kgCO2e)]]*(1+BuildingsElectricityTable[[#This Row],[RSD]]))</f>
        <v/>
      </c>
      <c r="W27" s="270" t="str">
        <f>IF(OR($N27="",BuildingsElectricityTable[[#This Row],[RSD]]=""),"",BuildingsElectricityTable[[#This Row],[Total emissions (kgCO2e)]]*(1-BuildingsElectricityTable[[#This Row],[RSD]]))</f>
        <v/>
      </c>
      <c r="X27" s="271" t="str" cm="1">
        <f t="array" ref="X27">IF(OR($E27="",$I27=""),"",(INDEX('Emission factors'!$K$3:$V$201,MATCH('Buildings - Grid Electricity'!$E27&amp;$F27,'Emission factors'!$J$3:$J$201&amp;'Emission factors'!$K$3:$K$201,0),MATCH('Buildings - Grid Electricity'!X$6,'Emission factors'!$K$2:$V$2,0)))*$K27)</f>
        <v/>
      </c>
      <c r="Y27" s="30"/>
      <c r="Z27" s="1" cm="1">
        <f t="array" ref="Z27">IF(OR(ISERROR(B27:X27)),1,0)</f>
        <v>0</v>
      </c>
      <c r="AA27" s="1">
        <f t="shared" si="5"/>
        <v>0</v>
      </c>
    </row>
    <row r="28" spans="1:27" ht="15" outlineLevel="1" thickBot="1" x14ac:dyDescent="0.4">
      <c r="A28" s="319"/>
      <c r="B28" s="216"/>
      <c r="C28" s="216"/>
      <c r="D28" s="489" t="str">
        <f>IFERROR(INDEX(BuildingInformationTable[Site type],MATCH(BuildingsElectricityTable[[#This Row],[Site name]],BuildingInformationTable[Site name],0)),"")</f>
        <v/>
      </c>
      <c r="E28" s="490" t="str">
        <f t="shared" si="2"/>
        <v/>
      </c>
      <c r="F28" s="490" t="str">
        <f t="shared" si="3"/>
        <v/>
      </c>
      <c r="G28" s="491"/>
      <c r="H28" s="492" t="str">
        <f>IF(G28="","",INDEX(Lists!$BA$4:$BC$31,MATCH(E28,Lists!$AZ$4:$AZ$31,0),MATCH(G28,Lists!$BA$3:$BC$3,0)))</f>
        <v/>
      </c>
      <c r="I28" s="267"/>
      <c r="J28" s="490" t="str">
        <f t="shared" si="4"/>
        <v/>
      </c>
      <c r="K28" s="493" t="str" cm="1">
        <f t="array" ref="K28">IF(OR($E28="",$D28="",$I28="",$J28=""),"",IF(J28=L28,I28,(INDEX('Emission factors'!$K$3:$V$201,MATCH(E28&amp;F28,'Emission factors'!$J$3:$J$201&amp;'Emission factors'!$K$3:$K$201,0),MATCH(K$6,'Emission factors'!$K$2:$V$2,0)))*I28))</f>
        <v/>
      </c>
      <c r="L28" s="494" t="str">
        <f>IF(OR($E28="",$D28="",$I28="",$J28=""),"",INDEX('Emission factors'!$K$3:$V$201,MATCH('Buildings - Grid Electricity'!$E28,'Emission factors'!$J$3:$J$201,0),MATCH($L$6,'Emission factors'!$K$2:$V$2,0)))</f>
        <v/>
      </c>
      <c r="M28" s="495" t="str" cm="1">
        <f t="array" ref="M28">IF(OR(E28="",I28="",BuildingsElectricityTable[[#This Row],[Units]]=""),"",INDEX('Emission factors'!$K$3:$V$201,MATCH('Buildings - Grid Electricity'!$E28&amp;F28,'Emission factors'!$J$3:$J$201&amp;'Emission factors'!$K$3:$K$201,0),MATCH('Buildings - Grid Electricity'!$M$6,'Emission factors'!$K$2:$V$2,0)))</f>
        <v/>
      </c>
      <c r="N28" s="496" t="str">
        <f>IF(OR(K28="",M28=""),"",SUM(BuildingsElectricityTable[[#This Row],[Direct]:[Indirect WTT]]))</f>
        <v/>
      </c>
      <c r="O28" s="268"/>
      <c r="P28" s="497"/>
      <c r="Q28" s="157" t="str" cm="1">
        <f t="array" ref="Q28">IF(OR($E28="",$I28=""),"",(INDEX('Emission factors'!$K$3:$V$201,MATCH('Buildings - Grid Electricity'!$E28&amp;$F28,'Emission factors'!$J$3:$J$201&amp;'Emission factors'!$K$3:$K$201,0),MATCH('Buildings - Grid Electricity'!Q$6,'Emission factors'!$K$2:$V$2,0)))*$K28)</f>
        <v/>
      </c>
      <c r="R28" s="157" t="str" cm="1">
        <f t="array" ref="R28">IF(OR($E28="",$I28=""),"",(INDEX('Emission factors'!$K$3:$V$201,MATCH('Buildings - Grid Electricity'!$E28&amp;$F28,'Emission factors'!$J$3:$J$201&amp;'Emission factors'!$K$3:$K$201,0),MATCH('Buildings - Grid Electricity'!R$6,'Emission factors'!$K$2:$V$2,0)))*$K28)</f>
        <v/>
      </c>
      <c r="S28" s="157" t="str" cm="1">
        <f t="array" ref="S28">IF(OR($E28="",$I28=""),"",(INDEX('Emission factors'!$K$3:$V$201,MATCH('Buildings - Grid Electricity'!$E28&amp;$F28,'Emission factors'!$J$3:$J$201&amp;'Emission factors'!$K$3:$K$201,0),MATCH('Buildings - Grid Electricity'!S$6,'Emission factors'!$K$2:$V$2,0)))*$K28)</f>
        <v/>
      </c>
      <c r="T28" s="157" t="str" cm="1">
        <f t="array" ref="T28">IF(OR($E28="",$I28=""),"",(INDEX('Emission factors'!$K$3:$V$201,MATCH('Buildings - Grid Electricity'!$E28&amp;$F28,'Emission factors'!$J$3:$J$201&amp;'Emission factors'!$K$3:$K$201,0),MATCH('Buildings - Grid Electricity'!T$6,'Emission factors'!$K$2:$V$2,0)))*$K28)</f>
        <v/>
      </c>
      <c r="U28" s="157" t="str" cm="1">
        <f t="array" ref="U28">IF(OR($E28="",$I28=""),"",(INDEX('Emission factors'!$K$3:$V$201,MATCH('Buildings - Grid Electricity'!$E28&amp;$F28,'Emission factors'!$J$3:$J$201&amp;'Emission factors'!$K$3:$K$201,0),MATCH('Buildings - Grid Electricity'!U$6,'Emission factors'!$K$2:$V$2,0)))*$K28)</f>
        <v/>
      </c>
      <c r="V28" s="269" t="str">
        <f>IF(OR($N28="",BuildingsElectricityTable[[#This Row],[RSD]]=""),"",BuildingsElectricityTable[[#This Row],[Total emissions (kgCO2e)]]*(1+BuildingsElectricityTable[[#This Row],[RSD]]))</f>
        <v/>
      </c>
      <c r="W28" s="270" t="str">
        <f>IF(OR($N28="",BuildingsElectricityTable[[#This Row],[RSD]]=""),"",BuildingsElectricityTable[[#This Row],[Total emissions (kgCO2e)]]*(1-BuildingsElectricityTable[[#This Row],[RSD]]))</f>
        <v/>
      </c>
      <c r="X28" s="271" t="str" cm="1">
        <f t="array" ref="X28">IF(OR($E28="",$I28=""),"",(INDEX('Emission factors'!$K$3:$V$201,MATCH('Buildings - Grid Electricity'!$E28&amp;$F28,'Emission factors'!$J$3:$J$201&amp;'Emission factors'!$K$3:$K$201,0),MATCH('Buildings - Grid Electricity'!X$6,'Emission factors'!$K$2:$V$2,0)))*$K28)</f>
        <v/>
      </c>
      <c r="Y28" s="30"/>
      <c r="Z28" s="1" cm="1">
        <f t="array" ref="Z28">IF(OR(ISERROR(B28:X28)),1,0)</f>
        <v>0</v>
      </c>
      <c r="AA28" s="1">
        <f t="shared" si="5"/>
        <v>0</v>
      </c>
    </row>
    <row r="29" spans="1:27" ht="15" outlineLevel="1" thickBot="1" x14ac:dyDescent="0.4">
      <c r="A29" s="319"/>
      <c r="B29" s="216"/>
      <c r="C29" s="216"/>
      <c r="D29" s="489" t="str">
        <f>IFERROR(INDEX(BuildingInformationTable[Site type],MATCH(BuildingsElectricityTable[[#This Row],[Site name]],BuildingInformationTable[Site name],0)),"")</f>
        <v/>
      </c>
      <c r="E29" s="490" t="str">
        <f t="shared" si="2"/>
        <v/>
      </c>
      <c r="F29" s="490" t="str">
        <f t="shared" si="3"/>
        <v/>
      </c>
      <c r="G29" s="491"/>
      <c r="H29" s="492" t="str">
        <f>IF(G29="","",INDEX(Lists!$BA$4:$BC$31,MATCH(E29,Lists!$AZ$4:$AZ$31,0),MATCH(G29,Lists!$BA$3:$BC$3,0)))</f>
        <v/>
      </c>
      <c r="I29" s="267"/>
      <c r="J29" s="490" t="str">
        <f t="shared" si="4"/>
        <v/>
      </c>
      <c r="K29" s="493" t="str" cm="1">
        <f t="array" ref="K29">IF(OR($E29="",$D29="",$I29="",$J29=""),"",IF(J29=L29,I29,(INDEX('Emission factors'!$K$3:$V$201,MATCH(E29&amp;F29,'Emission factors'!$J$3:$J$201&amp;'Emission factors'!$K$3:$K$201,0),MATCH(K$6,'Emission factors'!$K$2:$V$2,0)))*I29))</f>
        <v/>
      </c>
      <c r="L29" s="494" t="str">
        <f>IF(OR($E29="",$D29="",$I29="",$J29=""),"",INDEX('Emission factors'!$K$3:$V$201,MATCH('Buildings - Grid Electricity'!$E29,'Emission factors'!$J$3:$J$201,0),MATCH($L$6,'Emission factors'!$K$2:$V$2,0)))</f>
        <v/>
      </c>
      <c r="M29" s="495" t="str" cm="1">
        <f t="array" ref="M29">IF(OR(E29="",I29="",BuildingsElectricityTable[[#This Row],[Units]]=""),"",INDEX('Emission factors'!$K$3:$V$201,MATCH('Buildings - Grid Electricity'!$E29&amp;F29,'Emission factors'!$J$3:$J$201&amp;'Emission factors'!$K$3:$K$201,0),MATCH('Buildings - Grid Electricity'!$M$6,'Emission factors'!$K$2:$V$2,0)))</f>
        <v/>
      </c>
      <c r="N29" s="496" t="str">
        <f>IF(OR(K29="",M29=""),"",SUM(BuildingsElectricityTable[[#This Row],[Direct]:[Indirect WTT]]))</f>
        <v/>
      </c>
      <c r="O29" s="268"/>
      <c r="P29" s="497"/>
      <c r="Q29" s="157" t="str" cm="1">
        <f t="array" ref="Q29">IF(OR($E29="",$I29=""),"",(INDEX('Emission factors'!$K$3:$V$201,MATCH('Buildings - Grid Electricity'!$E29&amp;$F29,'Emission factors'!$J$3:$J$201&amp;'Emission factors'!$K$3:$K$201,0),MATCH('Buildings - Grid Electricity'!Q$6,'Emission factors'!$K$2:$V$2,0)))*$K29)</f>
        <v/>
      </c>
      <c r="R29" s="157" t="str" cm="1">
        <f t="array" ref="R29">IF(OR($E29="",$I29=""),"",(INDEX('Emission factors'!$K$3:$V$201,MATCH('Buildings - Grid Electricity'!$E29&amp;$F29,'Emission factors'!$J$3:$J$201&amp;'Emission factors'!$K$3:$K$201,0),MATCH('Buildings - Grid Electricity'!R$6,'Emission factors'!$K$2:$V$2,0)))*$K29)</f>
        <v/>
      </c>
      <c r="S29" s="157" t="str" cm="1">
        <f t="array" ref="S29">IF(OR($E29="",$I29=""),"",(INDEX('Emission factors'!$K$3:$V$201,MATCH('Buildings - Grid Electricity'!$E29&amp;$F29,'Emission factors'!$J$3:$J$201&amp;'Emission factors'!$K$3:$K$201,0),MATCH('Buildings - Grid Electricity'!S$6,'Emission factors'!$K$2:$V$2,0)))*$K29)</f>
        <v/>
      </c>
      <c r="T29" s="157" t="str" cm="1">
        <f t="array" ref="T29">IF(OR($E29="",$I29=""),"",(INDEX('Emission factors'!$K$3:$V$201,MATCH('Buildings - Grid Electricity'!$E29&amp;$F29,'Emission factors'!$J$3:$J$201&amp;'Emission factors'!$K$3:$K$201,0),MATCH('Buildings - Grid Electricity'!T$6,'Emission factors'!$K$2:$V$2,0)))*$K29)</f>
        <v/>
      </c>
      <c r="U29" s="157" t="str" cm="1">
        <f t="array" ref="U29">IF(OR($E29="",$I29=""),"",(INDEX('Emission factors'!$K$3:$V$201,MATCH('Buildings - Grid Electricity'!$E29&amp;$F29,'Emission factors'!$J$3:$J$201&amp;'Emission factors'!$K$3:$K$201,0),MATCH('Buildings - Grid Electricity'!U$6,'Emission factors'!$K$2:$V$2,0)))*$K29)</f>
        <v/>
      </c>
      <c r="V29" s="269" t="str">
        <f>IF(OR($N29="",BuildingsElectricityTable[[#This Row],[RSD]]=""),"",BuildingsElectricityTable[[#This Row],[Total emissions (kgCO2e)]]*(1+BuildingsElectricityTable[[#This Row],[RSD]]))</f>
        <v/>
      </c>
      <c r="W29" s="270" t="str">
        <f>IF(OR($N29="",BuildingsElectricityTable[[#This Row],[RSD]]=""),"",BuildingsElectricityTable[[#This Row],[Total emissions (kgCO2e)]]*(1-BuildingsElectricityTable[[#This Row],[RSD]]))</f>
        <v/>
      </c>
      <c r="X29" s="271" t="str" cm="1">
        <f t="array" ref="X29">IF(OR($E29="",$I29=""),"",(INDEX('Emission factors'!$K$3:$V$201,MATCH('Buildings - Grid Electricity'!$E29&amp;$F29,'Emission factors'!$J$3:$J$201&amp;'Emission factors'!$K$3:$K$201,0),MATCH('Buildings - Grid Electricity'!X$6,'Emission factors'!$K$2:$V$2,0)))*$K29)</f>
        <v/>
      </c>
      <c r="Y29" s="30"/>
      <c r="Z29" s="1" cm="1">
        <f t="array" ref="Z29">IF(OR(ISERROR(B29:X29)),1,0)</f>
        <v>0</v>
      </c>
      <c r="AA29" s="1">
        <f t="shared" si="5"/>
        <v>0</v>
      </c>
    </row>
    <row r="30" spans="1:27" ht="15" outlineLevel="1" thickBot="1" x14ac:dyDescent="0.4">
      <c r="A30" s="319"/>
      <c r="B30" s="216"/>
      <c r="C30" s="216"/>
      <c r="D30" s="489" t="str">
        <f>IFERROR(INDEX(BuildingInformationTable[Site type],MATCH(BuildingsElectricityTable[[#This Row],[Site name]],BuildingInformationTable[Site name],0)),"")</f>
        <v/>
      </c>
      <c r="E30" s="490" t="str">
        <f t="shared" si="2"/>
        <v/>
      </c>
      <c r="F30" s="490" t="str">
        <f t="shared" si="3"/>
        <v/>
      </c>
      <c r="G30" s="491"/>
      <c r="H30" s="492" t="str">
        <f>IF(G30="","",INDEX(Lists!$BA$4:$BC$31,MATCH(E30,Lists!$AZ$4:$AZ$31,0),MATCH(G30,Lists!$BA$3:$BC$3,0)))</f>
        <v/>
      </c>
      <c r="I30" s="267"/>
      <c r="J30" s="490" t="str">
        <f t="shared" si="4"/>
        <v/>
      </c>
      <c r="K30" s="493" t="str" cm="1">
        <f t="array" ref="K30">IF(OR($E30="",$D30="",$I30="",$J30=""),"",IF(J30=L30,I30,(INDEX('Emission factors'!$K$3:$V$201,MATCH(E30&amp;F30,'Emission factors'!$J$3:$J$201&amp;'Emission factors'!$K$3:$K$201,0),MATCH(K$6,'Emission factors'!$K$2:$V$2,0)))*I30))</f>
        <v/>
      </c>
      <c r="L30" s="494" t="str">
        <f>IF(OR($E30="",$D30="",$I30="",$J30=""),"",INDEX('Emission factors'!$K$3:$V$201,MATCH('Buildings - Grid Electricity'!$E30,'Emission factors'!$J$3:$J$201,0),MATCH($L$6,'Emission factors'!$K$2:$V$2,0)))</f>
        <v/>
      </c>
      <c r="M30" s="495" t="str" cm="1">
        <f t="array" ref="M30">IF(OR(E30="",I30="",BuildingsElectricityTable[[#This Row],[Units]]=""),"",INDEX('Emission factors'!$K$3:$V$201,MATCH('Buildings - Grid Electricity'!$E30&amp;F30,'Emission factors'!$J$3:$J$201&amp;'Emission factors'!$K$3:$K$201,0),MATCH('Buildings - Grid Electricity'!$M$6,'Emission factors'!$K$2:$V$2,0)))</f>
        <v/>
      </c>
      <c r="N30" s="496" t="str">
        <f>IF(OR(K30="",M30=""),"",SUM(BuildingsElectricityTable[[#This Row],[Direct]:[Indirect WTT]]))</f>
        <v/>
      </c>
      <c r="O30" s="268"/>
      <c r="P30" s="497"/>
      <c r="Q30" s="157" t="str" cm="1">
        <f t="array" ref="Q30">IF(OR($E30="",$I30=""),"",(INDEX('Emission factors'!$K$3:$V$201,MATCH('Buildings - Grid Electricity'!$E30&amp;$F30,'Emission factors'!$J$3:$J$201&amp;'Emission factors'!$K$3:$K$201,0),MATCH('Buildings - Grid Electricity'!Q$6,'Emission factors'!$K$2:$V$2,0)))*$K30)</f>
        <v/>
      </c>
      <c r="R30" s="157" t="str" cm="1">
        <f t="array" ref="R30">IF(OR($E30="",$I30=""),"",(INDEX('Emission factors'!$K$3:$V$201,MATCH('Buildings - Grid Electricity'!$E30&amp;$F30,'Emission factors'!$J$3:$J$201&amp;'Emission factors'!$K$3:$K$201,0),MATCH('Buildings - Grid Electricity'!R$6,'Emission factors'!$K$2:$V$2,0)))*$K30)</f>
        <v/>
      </c>
      <c r="S30" s="157" t="str" cm="1">
        <f t="array" ref="S30">IF(OR($E30="",$I30=""),"",(INDEX('Emission factors'!$K$3:$V$201,MATCH('Buildings - Grid Electricity'!$E30&amp;$F30,'Emission factors'!$J$3:$J$201&amp;'Emission factors'!$K$3:$K$201,0),MATCH('Buildings - Grid Electricity'!S$6,'Emission factors'!$K$2:$V$2,0)))*$K30)</f>
        <v/>
      </c>
      <c r="T30" s="157" t="str" cm="1">
        <f t="array" ref="T30">IF(OR($E30="",$I30=""),"",(INDEX('Emission factors'!$K$3:$V$201,MATCH('Buildings - Grid Electricity'!$E30&amp;$F30,'Emission factors'!$J$3:$J$201&amp;'Emission factors'!$K$3:$K$201,0),MATCH('Buildings - Grid Electricity'!T$6,'Emission factors'!$K$2:$V$2,0)))*$K30)</f>
        <v/>
      </c>
      <c r="U30" s="157" t="str" cm="1">
        <f t="array" ref="U30">IF(OR($E30="",$I30=""),"",(INDEX('Emission factors'!$K$3:$V$201,MATCH('Buildings - Grid Electricity'!$E30&amp;$F30,'Emission factors'!$J$3:$J$201&amp;'Emission factors'!$K$3:$K$201,0),MATCH('Buildings - Grid Electricity'!U$6,'Emission factors'!$K$2:$V$2,0)))*$K30)</f>
        <v/>
      </c>
      <c r="V30" s="269" t="str">
        <f>IF(OR($N30="",BuildingsElectricityTable[[#This Row],[RSD]]=""),"",BuildingsElectricityTable[[#This Row],[Total emissions (kgCO2e)]]*(1+BuildingsElectricityTable[[#This Row],[RSD]]))</f>
        <v/>
      </c>
      <c r="W30" s="270" t="str">
        <f>IF(OR($N30="",BuildingsElectricityTable[[#This Row],[RSD]]=""),"",BuildingsElectricityTable[[#This Row],[Total emissions (kgCO2e)]]*(1-BuildingsElectricityTable[[#This Row],[RSD]]))</f>
        <v/>
      </c>
      <c r="X30" s="271" t="str" cm="1">
        <f t="array" ref="X30">IF(OR($E30="",$I30=""),"",(INDEX('Emission factors'!$K$3:$V$201,MATCH('Buildings - Grid Electricity'!$E30&amp;$F30,'Emission factors'!$J$3:$J$201&amp;'Emission factors'!$K$3:$K$201,0),MATCH('Buildings - Grid Electricity'!X$6,'Emission factors'!$K$2:$V$2,0)))*$K30)</f>
        <v/>
      </c>
      <c r="Y30" s="30"/>
      <c r="Z30" s="1" cm="1">
        <f t="array" ref="Z30">IF(OR(ISERROR(B30:X30)),1,0)</f>
        <v>0</v>
      </c>
      <c r="AA30" s="1">
        <f t="shared" si="5"/>
        <v>0</v>
      </c>
    </row>
    <row r="31" spans="1:27" ht="15" outlineLevel="1" thickBot="1" x14ac:dyDescent="0.4">
      <c r="A31" s="319"/>
      <c r="B31" s="216"/>
      <c r="C31" s="216"/>
      <c r="D31" s="489" t="str">
        <f>IFERROR(INDEX(BuildingInformationTable[Site type],MATCH(BuildingsElectricityTable[[#This Row],[Site name]],BuildingInformationTable[Site name],0)),"")</f>
        <v/>
      </c>
      <c r="E31" s="490" t="str">
        <f t="shared" si="2"/>
        <v/>
      </c>
      <c r="F31" s="490" t="str">
        <f t="shared" si="3"/>
        <v/>
      </c>
      <c r="G31" s="491"/>
      <c r="H31" s="492" t="str">
        <f>IF(G31="","",INDEX(Lists!$BA$4:$BC$31,MATCH(E31,Lists!$AZ$4:$AZ$31,0),MATCH(G31,Lists!$BA$3:$BC$3,0)))</f>
        <v/>
      </c>
      <c r="I31" s="267"/>
      <c r="J31" s="490" t="str">
        <f t="shared" si="4"/>
        <v/>
      </c>
      <c r="K31" s="493" t="str" cm="1">
        <f t="array" ref="K31">IF(OR($E31="",$D31="",$I31="",$J31=""),"",IF(J31=L31,I31,(INDEX('Emission factors'!$K$3:$V$201,MATCH(E31&amp;F31,'Emission factors'!$J$3:$J$201&amp;'Emission factors'!$K$3:$K$201,0),MATCH(K$6,'Emission factors'!$K$2:$V$2,0)))*I31))</f>
        <v/>
      </c>
      <c r="L31" s="494" t="str">
        <f>IF(OR($E31="",$D31="",$I31="",$J31=""),"",INDEX('Emission factors'!$K$3:$V$201,MATCH('Buildings - Grid Electricity'!$E31,'Emission factors'!$J$3:$J$201,0),MATCH($L$6,'Emission factors'!$K$2:$V$2,0)))</f>
        <v/>
      </c>
      <c r="M31" s="495" t="str" cm="1">
        <f t="array" ref="M31">IF(OR(E31="",I31="",BuildingsElectricityTable[[#This Row],[Units]]=""),"",INDEX('Emission factors'!$K$3:$V$201,MATCH('Buildings - Grid Electricity'!$E31&amp;F31,'Emission factors'!$J$3:$J$201&amp;'Emission factors'!$K$3:$K$201,0),MATCH('Buildings - Grid Electricity'!$M$6,'Emission factors'!$K$2:$V$2,0)))</f>
        <v/>
      </c>
      <c r="N31" s="496" t="str">
        <f>IF(OR(K31="",M31=""),"",SUM(BuildingsElectricityTable[[#This Row],[Direct]:[Indirect WTT]]))</f>
        <v/>
      </c>
      <c r="O31" s="268"/>
      <c r="P31" s="497"/>
      <c r="Q31" s="157" t="str" cm="1">
        <f t="array" ref="Q31">IF(OR($E31="",$I31=""),"",(INDEX('Emission factors'!$K$3:$V$201,MATCH('Buildings - Grid Electricity'!$E31&amp;$F31,'Emission factors'!$J$3:$J$201&amp;'Emission factors'!$K$3:$K$201,0),MATCH('Buildings - Grid Electricity'!Q$6,'Emission factors'!$K$2:$V$2,0)))*$K31)</f>
        <v/>
      </c>
      <c r="R31" s="157" t="str" cm="1">
        <f t="array" ref="R31">IF(OR($E31="",$I31=""),"",(INDEX('Emission factors'!$K$3:$V$201,MATCH('Buildings - Grid Electricity'!$E31&amp;$F31,'Emission factors'!$J$3:$J$201&amp;'Emission factors'!$K$3:$K$201,0),MATCH('Buildings - Grid Electricity'!R$6,'Emission factors'!$K$2:$V$2,0)))*$K31)</f>
        <v/>
      </c>
      <c r="S31" s="157" t="str" cm="1">
        <f t="array" ref="S31">IF(OR($E31="",$I31=""),"",(INDEX('Emission factors'!$K$3:$V$201,MATCH('Buildings - Grid Electricity'!$E31&amp;$F31,'Emission factors'!$J$3:$J$201&amp;'Emission factors'!$K$3:$K$201,0),MATCH('Buildings - Grid Electricity'!S$6,'Emission factors'!$K$2:$V$2,0)))*$K31)</f>
        <v/>
      </c>
      <c r="T31" s="157" t="str" cm="1">
        <f t="array" ref="T31">IF(OR($E31="",$I31=""),"",(INDEX('Emission factors'!$K$3:$V$201,MATCH('Buildings - Grid Electricity'!$E31&amp;$F31,'Emission factors'!$J$3:$J$201&amp;'Emission factors'!$K$3:$K$201,0),MATCH('Buildings - Grid Electricity'!T$6,'Emission factors'!$K$2:$V$2,0)))*$K31)</f>
        <v/>
      </c>
      <c r="U31" s="157" t="str" cm="1">
        <f t="array" ref="U31">IF(OR($E31="",$I31=""),"",(INDEX('Emission factors'!$K$3:$V$201,MATCH('Buildings - Grid Electricity'!$E31&amp;$F31,'Emission factors'!$J$3:$J$201&amp;'Emission factors'!$K$3:$K$201,0),MATCH('Buildings - Grid Electricity'!U$6,'Emission factors'!$K$2:$V$2,0)))*$K31)</f>
        <v/>
      </c>
      <c r="V31" s="269" t="str">
        <f>IF(OR($N31="",BuildingsElectricityTable[[#This Row],[RSD]]=""),"",BuildingsElectricityTable[[#This Row],[Total emissions (kgCO2e)]]*(1+BuildingsElectricityTable[[#This Row],[RSD]]))</f>
        <v/>
      </c>
      <c r="W31" s="270" t="str">
        <f>IF(OR($N31="",BuildingsElectricityTable[[#This Row],[RSD]]=""),"",BuildingsElectricityTable[[#This Row],[Total emissions (kgCO2e)]]*(1-BuildingsElectricityTable[[#This Row],[RSD]]))</f>
        <v/>
      </c>
      <c r="X31" s="271" t="str" cm="1">
        <f t="array" ref="X31">IF(OR($E31="",$I31=""),"",(INDEX('Emission factors'!$K$3:$V$201,MATCH('Buildings - Grid Electricity'!$E31&amp;$F31,'Emission factors'!$J$3:$J$201&amp;'Emission factors'!$K$3:$K$201,0),MATCH('Buildings - Grid Electricity'!X$6,'Emission factors'!$K$2:$V$2,0)))*$K31)</f>
        <v/>
      </c>
      <c r="Y31" s="30"/>
      <c r="Z31" s="1" cm="1">
        <f t="array" ref="Z31">IF(OR(ISERROR(B31:X31)),1,0)</f>
        <v>0</v>
      </c>
      <c r="AA31" s="1">
        <f t="shared" si="5"/>
        <v>0</v>
      </c>
    </row>
    <row r="32" spans="1:27" ht="15" outlineLevel="1" thickBot="1" x14ac:dyDescent="0.4">
      <c r="A32" s="319"/>
      <c r="B32" s="216"/>
      <c r="C32" s="216"/>
      <c r="D32" s="489" t="str">
        <f>IFERROR(INDEX(BuildingInformationTable[Site type],MATCH(BuildingsElectricityTable[[#This Row],[Site name]],BuildingInformationTable[Site name],0)),"")</f>
        <v/>
      </c>
      <c r="E32" s="490" t="str">
        <f t="shared" si="2"/>
        <v/>
      </c>
      <c r="F32" s="490" t="str">
        <f t="shared" si="3"/>
        <v/>
      </c>
      <c r="G32" s="491"/>
      <c r="H32" s="492" t="str">
        <f>IF(G32="","",INDEX(Lists!$BA$4:$BC$31,MATCH(E32,Lists!$AZ$4:$AZ$31,0),MATCH(G32,Lists!$BA$3:$BC$3,0)))</f>
        <v/>
      </c>
      <c r="I32" s="267"/>
      <c r="J32" s="490" t="str">
        <f t="shared" si="4"/>
        <v/>
      </c>
      <c r="K32" s="493" t="str" cm="1">
        <f t="array" ref="K32">IF(OR($E32="",$D32="",$I32="",$J32=""),"",IF(J32=L32,I32,(INDEX('Emission factors'!$K$3:$V$201,MATCH(E32&amp;F32,'Emission factors'!$J$3:$J$201&amp;'Emission factors'!$K$3:$K$201,0),MATCH(K$6,'Emission factors'!$K$2:$V$2,0)))*I32))</f>
        <v/>
      </c>
      <c r="L32" s="494" t="str">
        <f>IF(OR($E32="",$D32="",$I32="",$J32=""),"",INDEX('Emission factors'!$K$3:$V$201,MATCH('Buildings - Grid Electricity'!$E32,'Emission factors'!$J$3:$J$201,0),MATCH($L$6,'Emission factors'!$K$2:$V$2,0)))</f>
        <v/>
      </c>
      <c r="M32" s="495" t="str" cm="1">
        <f t="array" ref="M32">IF(OR(E32="",I32="",BuildingsElectricityTable[[#This Row],[Units]]=""),"",INDEX('Emission factors'!$K$3:$V$201,MATCH('Buildings - Grid Electricity'!$E32&amp;F32,'Emission factors'!$J$3:$J$201&amp;'Emission factors'!$K$3:$K$201,0),MATCH('Buildings - Grid Electricity'!$M$6,'Emission factors'!$K$2:$V$2,0)))</f>
        <v/>
      </c>
      <c r="N32" s="496" t="str">
        <f>IF(OR(K32="",M32=""),"",SUM(BuildingsElectricityTable[[#This Row],[Direct]:[Indirect WTT]]))</f>
        <v/>
      </c>
      <c r="O32" s="268"/>
      <c r="P32" s="497"/>
      <c r="Q32" s="157" t="str" cm="1">
        <f t="array" ref="Q32">IF(OR($E32="",$I32=""),"",(INDEX('Emission factors'!$K$3:$V$201,MATCH('Buildings - Grid Electricity'!$E32&amp;$F32,'Emission factors'!$J$3:$J$201&amp;'Emission factors'!$K$3:$K$201,0),MATCH('Buildings - Grid Electricity'!Q$6,'Emission factors'!$K$2:$V$2,0)))*$K32)</f>
        <v/>
      </c>
      <c r="R32" s="157" t="str" cm="1">
        <f t="array" ref="R32">IF(OR($E32="",$I32=""),"",(INDEX('Emission factors'!$K$3:$V$201,MATCH('Buildings - Grid Electricity'!$E32&amp;$F32,'Emission factors'!$J$3:$J$201&amp;'Emission factors'!$K$3:$K$201,0),MATCH('Buildings - Grid Electricity'!R$6,'Emission factors'!$K$2:$V$2,0)))*$K32)</f>
        <v/>
      </c>
      <c r="S32" s="157" t="str" cm="1">
        <f t="array" ref="S32">IF(OR($E32="",$I32=""),"",(INDEX('Emission factors'!$K$3:$V$201,MATCH('Buildings - Grid Electricity'!$E32&amp;$F32,'Emission factors'!$J$3:$J$201&amp;'Emission factors'!$K$3:$K$201,0),MATCH('Buildings - Grid Electricity'!S$6,'Emission factors'!$K$2:$V$2,0)))*$K32)</f>
        <v/>
      </c>
      <c r="T32" s="157" t="str" cm="1">
        <f t="array" ref="T32">IF(OR($E32="",$I32=""),"",(INDEX('Emission factors'!$K$3:$V$201,MATCH('Buildings - Grid Electricity'!$E32&amp;$F32,'Emission factors'!$J$3:$J$201&amp;'Emission factors'!$K$3:$K$201,0),MATCH('Buildings - Grid Electricity'!T$6,'Emission factors'!$K$2:$V$2,0)))*$K32)</f>
        <v/>
      </c>
      <c r="U32" s="157" t="str" cm="1">
        <f t="array" ref="U32">IF(OR($E32="",$I32=""),"",(INDEX('Emission factors'!$K$3:$V$201,MATCH('Buildings - Grid Electricity'!$E32&amp;$F32,'Emission factors'!$J$3:$J$201&amp;'Emission factors'!$K$3:$K$201,0),MATCH('Buildings - Grid Electricity'!U$6,'Emission factors'!$K$2:$V$2,0)))*$K32)</f>
        <v/>
      </c>
      <c r="V32" s="269" t="str">
        <f>IF(OR($N32="",BuildingsElectricityTable[[#This Row],[RSD]]=""),"",BuildingsElectricityTable[[#This Row],[Total emissions (kgCO2e)]]*(1+BuildingsElectricityTable[[#This Row],[RSD]]))</f>
        <v/>
      </c>
      <c r="W32" s="270" t="str">
        <f>IF(OR($N32="",BuildingsElectricityTable[[#This Row],[RSD]]=""),"",BuildingsElectricityTable[[#This Row],[Total emissions (kgCO2e)]]*(1-BuildingsElectricityTable[[#This Row],[RSD]]))</f>
        <v/>
      </c>
      <c r="X32" s="271" t="str" cm="1">
        <f t="array" ref="X32">IF(OR($E32="",$I32=""),"",(INDEX('Emission factors'!$K$3:$V$201,MATCH('Buildings - Grid Electricity'!$E32&amp;$F32,'Emission factors'!$J$3:$J$201&amp;'Emission factors'!$K$3:$K$201,0),MATCH('Buildings - Grid Electricity'!X$6,'Emission factors'!$K$2:$V$2,0)))*$K32)</f>
        <v/>
      </c>
      <c r="Y32" s="30"/>
      <c r="Z32" s="1" cm="1">
        <f t="array" ref="Z32">IF(OR(ISERROR(B32:X32)),1,0)</f>
        <v>0</v>
      </c>
      <c r="AA32" s="1">
        <f t="shared" si="5"/>
        <v>0</v>
      </c>
    </row>
    <row r="33" spans="1:27" ht="15" outlineLevel="1" thickBot="1" x14ac:dyDescent="0.4">
      <c r="A33" s="319"/>
      <c r="B33" s="216"/>
      <c r="C33" s="216"/>
      <c r="D33" s="489" t="str">
        <f>IFERROR(INDEX(BuildingInformationTable[Site type],MATCH(BuildingsElectricityTable[[#This Row],[Site name]],BuildingInformationTable[Site name],0)),"")</f>
        <v/>
      </c>
      <c r="E33" s="490" t="str">
        <f t="shared" si="2"/>
        <v/>
      </c>
      <c r="F33" s="490" t="str">
        <f t="shared" si="3"/>
        <v/>
      </c>
      <c r="G33" s="491"/>
      <c r="H33" s="492" t="str">
        <f>IF(G33="","",INDEX(Lists!$BA$4:$BC$31,MATCH(E33,Lists!$AZ$4:$AZ$31,0),MATCH(G33,Lists!$BA$3:$BC$3,0)))</f>
        <v/>
      </c>
      <c r="I33" s="267"/>
      <c r="J33" s="490" t="str">
        <f t="shared" si="4"/>
        <v/>
      </c>
      <c r="K33" s="493" t="str" cm="1">
        <f t="array" ref="K33">IF(OR($E33="",$D33="",$I33="",$J33=""),"",IF(J33=L33,I33,(INDEX('Emission factors'!$K$3:$V$201,MATCH(E33&amp;F33,'Emission factors'!$J$3:$J$201&amp;'Emission factors'!$K$3:$K$201,0),MATCH(K$6,'Emission factors'!$K$2:$V$2,0)))*I33))</f>
        <v/>
      </c>
      <c r="L33" s="494" t="str">
        <f>IF(OR($E33="",$D33="",$I33="",$J33=""),"",INDEX('Emission factors'!$K$3:$V$201,MATCH('Buildings - Grid Electricity'!$E33,'Emission factors'!$J$3:$J$201,0),MATCH($L$6,'Emission factors'!$K$2:$V$2,0)))</f>
        <v/>
      </c>
      <c r="M33" s="495" t="str" cm="1">
        <f t="array" ref="M33">IF(OR(E33="",I33="",BuildingsElectricityTable[[#This Row],[Units]]=""),"",INDEX('Emission factors'!$K$3:$V$201,MATCH('Buildings - Grid Electricity'!$E33&amp;F33,'Emission factors'!$J$3:$J$201&amp;'Emission factors'!$K$3:$K$201,0),MATCH('Buildings - Grid Electricity'!$M$6,'Emission factors'!$K$2:$V$2,0)))</f>
        <v/>
      </c>
      <c r="N33" s="496" t="str">
        <f>IF(OR(K33="",M33=""),"",SUM(BuildingsElectricityTable[[#This Row],[Direct]:[Indirect WTT]]))</f>
        <v/>
      </c>
      <c r="O33" s="268"/>
      <c r="P33" s="497"/>
      <c r="Q33" s="157" t="str" cm="1">
        <f t="array" ref="Q33">IF(OR($E33="",$I33=""),"",(INDEX('Emission factors'!$K$3:$V$201,MATCH('Buildings - Grid Electricity'!$E33&amp;$F33,'Emission factors'!$J$3:$J$201&amp;'Emission factors'!$K$3:$K$201,0),MATCH('Buildings - Grid Electricity'!Q$6,'Emission factors'!$K$2:$V$2,0)))*$K33)</f>
        <v/>
      </c>
      <c r="R33" s="157" t="str" cm="1">
        <f t="array" ref="R33">IF(OR($E33="",$I33=""),"",(INDEX('Emission factors'!$K$3:$V$201,MATCH('Buildings - Grid Electricity'!$E33&amp;$F33,'Emission factors'!$J$3:$J$201&amp;'Emission factors'!$K$3:$K$201,0),MATCH('Buildings - Grid Electricity'!R$6,'Emission factors'!$K$2:$V$2,0)))*$K33)</f>
        <v/>
      </c>
      <c r="S33" s="157" t="str" cm="1">
        <f t="array" ref="S33">IF(OR($E33="",$I33=""),"",(INDEX('Emission factors'!$K$3:$V$201,MATCH('Buildings - Grid Electricity'!$E33&amp;$F33,'Emission factors'!$J$3:$J$201&amp;'Emission factors'!$K$3:$K$201,0),MATCH('Buildings - Grid Electricity'!S$6,'Emission factors'!$K$2:$V$2,0)))*$K33)</f>
        <v/>
      </c>
      <c r="T33" s="157" t="str" cm="1">
        <f t="array" ref="T33">IF(OR($E33="",$I33=""),"",(INDEX('Emission factors'!$K$3:$V$201,MATCH('Buildings - Grid Electricity'!$E33&amp;$F33,'Emission factors'!$J$3:$J$201&amp;'Emission factors'!$K$3:$K$201,0),MATCH('Buildings - Grid Electricity'!T$6,'Emission factors'!$K$2:$V$2,0)))*$K33)</f>
        <v/>
      </c>
      <c r="U33" s="157" t="str" cm="1">
        <f t="array" ref="U33">IF(OR($E33="",$I33=""),"",(INDEX('Emission factors'!$K$3:$V$201,MATCH('Buildings - Grid Electricity'!$E33&amp;$F33,'Emission factors'!$J$3:$J$201&amp;'Emission factors'!$K$3:$K$201,0),MATCH('Buildings - Grid Electricity'!U$6,'Emission factors'!$K$2:$V$2,0)))*$K33)</f>
        <v/>
      </c>
      <c r="V33" s="269" t="str">
        <f>IF(OR($N33="",BuildingsElectricityTable[[#This Row],[RSD]]=""),"",BuildingsElectricityTable[[#This Row],[Total emissions (kgCO2e)]]*(1+BuildingsElectricityTable[[#This Row],[RSD]]))</f>
        <v/>
      </c>
      <c r="W33" s="270" t="str">
        <f>IF(OR($N33="",BuildingsElectricityTable[[#This Row],[RSD]]=""),"",BuildingsElectricityTable[[#This Row],[Total emissions (kgCO2e)]]*(1-BuildingsElectricityTable[[#This Row],[RSD]]))</f>
        <v/>
      </c>
      <c r="X33" s="271" t="str" cm="1">
        <f t="array" ref="X33">IF(OR($E33="",$I33=""),"",(INDEX('Emission factors'!$K$3:$V$201,MATCH('Buildings - Grid Electricity'!$E33&amp;$F33,'Emission factors'!$J$3:$J$201&amp;'Emission factors'!$K$3:$K$201,0),MATCH('Buildings - Grid Electricity'!X$6,'Emission factors'!$K$2:$V$2,0)))*$K33)</f>
        <v/>
      </c>
      <c r="Y33" s="30"/>
      <c r="Z33" s="1" cm="1">
        <f t="array" ref="Z33">IF(OR(ISERROR(B33:X33)),1,0)</f>
        <v>0</v>
      </c>
      <c r="AA33" s="1">
        <f t="shared" si="5"/>
        <v>0</v>
      </c>
    </row>
    <row r="34" spans="1:27" ht="15" outlineLevel="1" thickBot="1" x14ac:dyDescent="0.4">
      <c r="A34" s="319"/>
      <c r="B34" s="216"/>
      <c r="C34" s="216"/>
      <c r="D34" s="489" t="str">
        <f>IFERROR(INDEX(BuildingInformationTable[Site type],MATCH(BuildingsElectricityTable[[#This Row],[Site name]],BuildingInformationTable[Site name],0)),"")</f>
        <v/>
      </c>
      <c r="E34" s="490" t="str">
        <f t="shared" si="2"/>
        <v/>
      </c>
      <c r="F34" s="490" t="str">
        <f t="shared" si="3"/>
        <v/>
      </c>
      <c r="G34" s="491"/>
      <c r="H34" s="492" t="str">
        <f>IF(G34="","",INDEX(Lists!$BA$4:$BC$31,MATCH(E34,Lists!$AZ$4:$AZ$31,0),MATCH(G34,Lists!$BA$3:$BC$3,0)))</f>
        <v/>
      </c>
      <c r="I34" s="267"/>
      <c r="J34" s="490" t="str">
        <f t="shared" si="4"/>
        <v/>
      </c>
      <c r="K34" s="493" t="str" cm="1">
        <f t="array" ref="K34">IF(OR($E34="",$D34="",$I34="",$J34=""),"",IF(J34=L34,I34,(INDEX('Emission factors'!$K$3:$V$201,MATCH(E34&amp;F34,'Emission factors'!$J$3:$J$201&amp;'Emission factors'!$K$3:$K$201,0),MATCH(K$6,'Emission factors'!$K$2:$V$2,0)))*I34))</f>
        <v/>
      </c>
      <c r="L34" s="494" t="str">
        <f>IF(OR($E34="",$D34="",$I34="",$J34=""),"",INDEX('Emission factors'!$K$3:$V$201,MATCH('Buildings - Grid Electricity'!$E34,'Emission factors'!$J$3:$J$201,0),MATCH($L$6,'Emission factors'!$K$2:$V$2,0)))</f>
        <v/>
      </c>
      <c r="M34" s="495" t="str" cm="1">
        <f t="array" ref="M34">IF(OR(E34="",I34="",BuildingsElectricityTable[[#This Row],[Units]]=""),"",INDEX('Emission factors'!$K$3:$V$201,MATCH('Buildings - Grid Electricity'!$E34&amp;F34,'Emission factors'!$J$3:$J$201&amp;'Emission factors'!$K$3:$K$201,0),MATCH('Buildings - Grid Electricity'!$M$6,'Emission factors'!$K$2:$V$2,0)))</f>
        <v/>
      </c>
      <c r="N34" s="496" t="str">
        <f>IF(OR(K34="",M34=""),"",SUM(BuildingsElectricityTable[[#This Row],[Direct]:[Indirect WTT]]))</f>
        <v/>
      </c>
      <c r="O34" s="268"/>
      <c r="P34" s="497"/>
      <c r="Q34" s="157" t="str" cm="1">
        <f t="array" ref="Q34">IF(OR($E34="",$I34=""),"",(INDEX('Emission factors'!$K$3:$V$201,MATCH('Buildings - Grid Electricity'!$E34&amp;$F34,'Emission factors'!$J$3:$J$201&amp;'Emission factors'!$K$3:$K$201,0),MATCH('Buildings - Grid Electricity'!Q$6,'Emission factors'!$K$2:$V$2,0)))*$K34)</f>
        <v/>
      </c>
      <c r="R34" s="157" t="str" cm="1">
        <f t="array" ref="R34">IF(OR($E34="",$I34=""),"",(INDEX('Emission factors'!$K$3:$V$201,MATCH('Buildings - Grid Electricity'!$E34&amp;$F34,'Emission factors'!$J$3:$J$201&amp;'Emission factors'!$K$3:$K$201,0),MATCH('Buildings - Grid Electricity'!R$6,'Emission factors'!$K$2:$V$2,0)))*$K34)</f>
        <v/>
      </c>
      <c r="S34" s="157" t="str" cm="1">
        <f t="array" ref="S34">IF(OR($E34="",$I34=""),"",(INDEX('Emission factors'!$K$3:$V$201,MATCH('Buildings - Grid Electricity'!$E34&amp;$F34,'Emission factors'!$J$3:$J$201&amp;'Emission factors'!$K$3:$K$201,0),MATCH('Buildings - Grid Electricity'!S$6,'Emission factors'!$K$2:$V$2,0)))*$K34)</f>
        <v/>
      </c>
      <c r="T34" s="157" t="str" cm="1">
        <f t="array" ref="T34">IF(OR($E34="",$I34=""),"",(INDEX('Emission factors'!$K$3:$V$201,MATCH('Buildings - Grid Electricity'!$E34&amp;$F34,'Emission factors'!$J$3:$J$201&amp;'Emission factors'!$K$3:$K$201,0),MATCH('Buildings - Grid Electricity'!T$6,'Emission factors'!$K$2:$V$2,0)))*$K34)</f>
        <v/>
      </c>
      <c r="U34" s="157" t="str" cm="1">
        <f t="array" ref="U34">IF(OR($E34="",$I34=""),"",(INDEX('Emission factors'!$K$3:$V$201,MATCH('Buildings - Grid Electricity'!$E34&amp;$F34,'Emission factors'!$J$3:$J$201&amp;'Emission factors'!$K$3:$K$201,0),MATCH('Buildings - Grid Electricity'!U$6,'Emission factors'!$K$2:$V$2,0)))*$K34)</f>
        <v/>
      </c>
      <c r="V34" s="269" t="str">
        <f>IF(OR($N34="",BuildingsElectricityTable[[#This Row],[RSD]]=""),"",BuildingsElectricityTable[[#This Row],[Total emissions (kgCO2e)]]*(1+BuildingsElectricityTable[[#This Row],[RSD]]))</f>
        <v/>
      </c>
      <c r="W34" s="270" t="str">
        <f>IF(OR($N34="",BuildingsElectricityTable[[#This Row],[RSD]]=""),"",BuildingsElectricityTable[[#This Row],[Total emissions (kgCO2e)]]*(1-BuildingsElectricityTable[[#This Row],[RSD]]))</f>
        <v/>
      </c>
      <c r="X34" s="271" t="str" cm="1">
        <f t="array" ref="X34">IF(OR($E34="",$I34=""),"",(INDEX('Emission factors'!$K$3:$V$201,MATCH('Buildings - Grid Electricity'!$E34&amp;$F34,'Emission factors'!$J$3:$J$201&amp;'Emission factors'!$K$3:$K$201,0),MATCH('Buildings - Grid Electricity'!X$6,'Emission factors'!$K$2:$V$2,0)))*$K34)</f>
        <v/>
      </c>
      <c r="Y34" s="30"/>
      <c r="Z34" s="1" cm="1">
        <f t="array" ref="Z34">IF(OR(ISERROR(B34:X34)),1,0)</f>
        <v>0</v>
      </c>
      <c r="AA34" s="1">
        <f t="shared" si="5"/>
        <v>0</v>
      </c>
    </row>
    <row r="35" spans="1:27" ht="15" outlineLevel="1" thickBot="1" x14ac:dyDescent="0.4">
      <c r="A35" s="319"/>
      <c r="B35" s="216"/>
      <c r="C35" s="216"/>
      <c r="D35" s="489" t="str">
        <f>IFERROR(INDEX(BuildingInformationTable[Site type],MATCH(BuildingsElectricityTable[[#This Row],[Site name]],BuildingInformationTable[Site name],0)),"")</f>
        <v/>
      </c>
      <c r="E35" s="490" t="str">
        <f t="shared" si="2"/>
        <v/>
      </c>
      <c r="F35" s="490" t="str">
        <f t="shared" si="3"/>
        <v/>
      </c>
      <c r="G35" s="491"/>
      <c r="H35" s="492" t="str">
        <f>IF(G35="","",INDEX(Lists!$BA$4:$BC$31,MATCH(E35,Lists!$AZ$4:$AZ$31,0),MATCH(G35,Lists!$BA$3:$BC$3,0)))</f>
        <v/>
      </c>
      <c r="I35" s="267"/>
      <c r="J35" s="490" t="str">
        <f t="shared" si="4"/>
        <v/>
      </c>
      <c r="K35" s="493" t="str" cm="1">
        <f t="array" ref="K35">IF(OR($E35="",$D35="",$I35="",$J35=""),"",IF(J35=L35,I35,(INDEX('Emission factors'!$K$3:$V$201,MATCH(E35&amp;F35,'Emission factors'!$J$3:$J$201&amp;'Emission factors'!$K$3:$K$201,0),MATCH(K$6,'Emission factors'!$K$2:$V$2,0)))*I35))</f>
        <v/>
      </c>
      <c r="L35" s="494" t="str">
        <f>IF(OR($E35="",$D35="",$I35="",$J35=""),"",INDEX('Emission factors'!$K$3:$V$201,MATCH('Buildings - Grid Electricity'!$E35,'Emission factors'!$J$3:$J$201,0),MATCH($L$6,'Emission factors'!$K$2:$V$2,0)))</f>
        <v/>
      </c>
      <c r="M35" s="495" t="str" cm="1">
        <f t="array" ref="M35">IF(OR(E35="",I35="",BuildingsElectricityTable[[#This Row],[Units]]=""),"",INDEX('Emission factors'!$K$3:$V$201,MATCH('Buildings - Grid Electricity'!$E35&amp;F35,'Emission factors'!$J$3:$J$201&amp;'Emission factors'!$K$3:$K$201,0),MATCH('Buildings - Grid Electricity'!$M$6,'Emission factors'!$K$2:$V$2,0)))</f>
        <v/>
      </c>
      <c r="N35" s="496" t="str">
        <f>IF(OR(K35="",M35=""),"",SUM(BuildingsElectricityTable[[#This Row],[Direct]:[Indirect WTT]]))</f>
        <v/>
      </c>
      <c r="O35" s="268"/>
      <c r="P35" s="497"/>
      <c r="Q35" s="157" t="str" cm="1">
        <f t="array" ref="Q35">IF(OR($E35="",$I35=""),"",(INDEX('Emission factors'!$K$3:$V$201,MATCH('Buildings - Grid Electricity'!$E35&amp;$F35,'Emission factors'!$J$3:$J$201&amp;'Emission factors'!$K$3:$K$201,0),MATCH('Buildings - Grid Electricity'!Q$6,'Emission factors'!$K$2:$V$2,0)))*$K35)</f>
        <v/>
      </c>
      <c r="R35" s="157" t="str" cm="1">
        <f t="array" ref="R35">IF(OR($E35="",$I35=""),"",(INDEX('Emission factors'!$K$3:$V$201,MATCH('Buildings - Grid Electricity'!$E35&amp;$F35,'Emission factors'!$J$3:$J$201&amp;'Emission factors'!$K$3:$K$201,0),MATCH('Buildings - Grid Electricity'!R$6,'Emission factors'!$K$2:$V$2,0)))*$K35)</f>
        <v/>
      </c>
      <c r="S35" s="157" t="str" cm="1">
        <f t="array" ref="S35">IF(OR($E35="",$I35=""),"",(INDEX('Emission factors'!$K$3:$V$201,MATCH('Buildings - Grid Electricity'!$E35&amp;$F35,'Emission factors'!$J$3:$J$201&amp;'Emission factors'!$K$3:$K$201,0),MATCH('Buildings - Grid Electricity'!S$6,'Emission factors'!$K$2:$V$2,0)))*$K35)</f>
        <v/>
      </c>
      <c r="T35" s="157" t="str" cm="1">
        <f t="array" ref="T35">IF(OR($E35="",$I35=""),"",(INDEX('Emission factors'!$K$3:$V$201,MATCH('Buildings - Grid Electricity'!$E35&amp;$F35,'Emission factors'!$J$3:$J$201&amp;'Emission factors'!$K$3:$K$201,0),MATCH('Buildings - Grid Electricity'!T$6,'Emission factors'!$K$2:$V$2,0)))*$K35)</f>
        <v/>
      </c>
      <c r="U35" s="157" t="str" cm="1">
        <f t="array" ref="U35">IF(OR($E35="",$I35=""),"",(INDEX('Emission factors'!$K$3:$V$201,MATCH('Buildings - Grid Electricity'!$E35&amp;$F35,'Emission factors'!$J$3:$J$201&amp;'Emission factors'!$K$3:$K$201,0),MATCH('Buildings - Grid Electricity'!U$6,'Emission factors'!$K$2:$V$2,0)))*$K35)</f>
        <v/>
      </c>
      <c r="V35" s="269" t="str">
        <f>IF(OR($N35="",BuildingsElectricityTable[[#This Row],[RSD]]=""),"",BuildingsElectricityTable[[#This Row],[Total emissions (kgCO2e)]]*(1+BuildingsElectricityTable[[#This Row],[RSD]]))</f>
        <v/>
      </c>
      <c r="W35" s="270" t="str">
        <f>IF(OR($N35="",BuildingsElectricityTable[[#This Row],[RSD]]=""),"",BuildingsElectricityTable[[#This Row],[Total emissions (kgCO2e)]]*(1-BuildingsElectricityTable[[#This Row],[RSD]]))</f>
        <v/>
      </c>
      <c r="X35" s="271" t="str" cm="1">
        <f t="array" ref="X35">IF(OR($E35="",$I35=""),"",(INDEX('Emission factors'!$K$3:$V$201,MATCH('Buildings - Grid Electricity'!$E35&amp;$F35,'Emission factors'!$J$3:$J$201&amp;'Emission factors'!$K$3:$K$201,0),MATCH('Buildings - Grid Electricity'!X$6,'Emission factors'!$K$2:$V$2,0)))*$K35)</f>
        <v/>
      </c>
      <c r="Y35" s="30"/>
      <c r="Z35" s="1" cm="1">
        <f t="array" ref="Z35">IF(OR(ISERROR(B35:X35)),1,0)</f>
        <v>0</v>
      </c>
      <c r="AA35" s="1">
        <f t="shared" si="5"/>
        <v>0</v>
      </c>
    </row>
    <row r="36" spans="1:27" ht="15" outlineLevel="1" thickBot="1" x14ac:dyDescent="0.4">
      <c r="A36" s="319"/>
      <c r="B36" s="216"/>
      <c r="C36" s="216"/>
      <c r="D36" s="489" t="str">
        <f>IFERROR(INDEX(BuildingInformationTable[Site type],MATCH(BuildingsElectricityTable[[#This Row],[Site name]],BuildingInformationTable[Site name],0)),"")</f>
        <v/>
      </c>
      <c r="E36" s="490" t="str">
        <f t="shared" si="2"/>
        <v/>
      </c>
      <c r="F36" s="490" t="str">
        <f t="shared" si="3"/>
        <v/>
      </c>
      <c r="G36" s="491"/>
      <c r="H36" s="492" t="str">
        <f>IF(G36="","",INDEX(Lists!$BA$4:$BC$31,MATCH(E36,Lists!$AZ$4:$AZ$31,0),MATCH(G36,Lists!$BA$3:$BC$3,0)))</f>
        <v/>
      </c>
      <c r="I36" s="267"/>
      <c r="J36" s="490" t="str">
        <f t="shared" si="4"/>
        <v/>
      </c>
      <c r="K36" s="493" t="str" cm="1">
        <f t="array" ref="K36">IF(OR($E36="",$D36="",$I36="",$J36=""),"",IF(J36=L36,I36,(INDEX('Emission factors'!$K$3:$V$201,MATCH(E36&amp;F36,'Emission factors'!$J$3:$J$201&amp;'Emission factors'!$K$3:$K$201,0),MATCH(K$6,'Emission factors'!$K$2:$V$2,0)))*I36))</f>
        <v/>
      </c>
      <c r="L36" s="494" t="str">
        <f>IF(OR($E36="",$D36="",$I36="",$J36=""),"",INDEX('Emission factors'!$K$3:$V$201,MATCH('Buildings - Grid Electricity'!$E36,'Emission factors'!$J$3:$J$201,0),MATCH($L$6,'Emission factors'!$K$2:$V$2,0)))</f>
        <v/>
      </c>
      <c r="M36" s="495" t="str" cm="1">
        <f t="array" ref="M36">IF(OR(E36="",I36="",BuildingsElectricityTable[[#This Row],[Units]]=""),"",INDEX('Emission factors'!$K$3:$V$201,MATCH('Buildings - Grid Electricity'!$E36&amp;F36,'Emission factors'!$J$3:$J$201&amp;'Emission factors'!$K$3:$K$201,0),MATCH('Buildings - Grid Electricity'!$M$6,'Emission factors'!$K$2:$V$2,0)))</f>
        <v/>
      </c>
      <c r="N36" s="496" t="str">
        <f>IF(OR(K36="",M36=""),"",SUM(BuildingsElectricityTable[[#This Row],[Direct]:[Indirect WTT]]))</f>
        <v/>
      </c>
      <c r="O36" s="268"/>
      <c r="P36" s="497"/>
      <c r="Q36" s="157" t="str" cm="1">
        <f t="array" ref="Q36">IF(OR($E36="",$I36=""),"",(INDEX('Emission factors'!$K$3:$V$201,MATCH('Buildings - Grid Electricity'!$E36&amp;$F36,'Emission factors'!$J$3:$J$201&amp;'Emission factors'!$K$3:$K$201,0),MATCH('Buildings - Grid Electricity'!Q$6,'Emission factors'!$K$2:$V$2,0)))*$K36)</f>
        <v/>
      </c>
      <c r="R36" s="157" t="str" cm="1">
        <f t="array" ref="R36">IF(OR($E36="",$I36=""),"",(INDEX('Emission factors'!$K$3:$V$201,MATCH('Buildings - Grid Electricity'!$E36&amp;$F36,'Emission factors'!$J$3:$J$201&amp;'Emission factors'!$K$3:$K$201,0),MATCH('Buildings - Grid Electricity'!R$6,'Emission factors'!$K$2:$V$2,0)))*$K36)</f>
        <v/>
      </c>
      <c r="S36" s="157" t="str" cm="1">
        <f t="array" ref="S36">IF(OR($E36="",$I36=""),"",(INDEX('Emission factors'!$K$3:$V$201,MATCH('Buildings - Grid Electricity'!$E36&amp;$F36,'Emission factors'!$J$3:$J$201&amp;'Emission factors'!$K$3:$K$201,0),MATCH('Buildings - Grid Electricity'!S$6,'Emission factors'!$K$2:$V$2,0)))*$K36)</f>
        <v/>
      </c>
      <c r="T36" s="157" t="str" cm="1">
        <f t="array" ref="T36">IF(OR($E36="",$I36=""),"",(INDEX('Emission factors'!$K$3:$V$201,MATCH('Buildings - Grid Electricity'!$E36&amp;$F36,'Emission factors'!$J$3:$J$201&amp;'Emission factors'!$K$3:$K$201,0),MATCH('Buildings - Grid Electricity'!T$6,'Emission factors'!$K$2:$V$2,0)))*$K36)</f>
        <v/>
      </c>
      <c r="U36" s="157" t="str" cm="1">
        <f t="array" ref="U36">IF(OR($E36="",$I36=""),"",(INDEX('Emission factors'!$K$3:$V$201,MATCH('Buildings - Grid Electricity'!$E36&amp;$F36,'Emission factors'!$J$3:$J$201&amp;'Emission factors'!$K$3:$K$201,0),MATCH('Buildings - Grid Electricity'!U$6,'Emission factors'!$K$2:$V$2,0)))*$K36)</f>
        <v/>
      </c>
      <c r="V36" s="269" t="str">
        <f>IF(OR($N36="",BuildingsElectricityTable[[#This Row],[RSD]]=""),"",BuildingsElectricityTable[[#This Row],[Total emissions (kgCO2e)]]*(1+BuildingsElectricityTable[[#This Row],[RSD]]))</f>
        <v/>
      </c>
      <c r="W36" s="270" t="str">
        <f>IF(OR($N36="",BuildingsElectricityTable[[#This Row],[RSD]]=""),"",BuildingsElectricityTable[[#This Row],[Total emissions (kgCO2e)]]*(1-BuildingsElectricityTable[[#This Row],[RSD]]))</f>
        <v/>
      </c>
      <c r="X36" s="271" t="str" cm="1">
        <f t="array" ref="X36">IF(OR($E36="",$I36=""),"",(INDEX('Emission factors'!$K$3:$V$201,MATCH('Buildings - Grid Electricity'!$E36&amp;$F36,'Emission factors'!$J$3:$J$201&amp;'Emission factors'!$K$3:$K$201,0),MATCH('Buildings - Grid Electricity'!X$6,'Emission factors'!$K$2:$V$2,0)))*$K36)</f>
        <v/>
      </c>
      <c r="Y36" s="30"/>
      <c r="Z36" s="1" cm="1">
        <f t="array" ref="Z36">IF(OR(ISERROR(B36:X36)),1,0)</f>
        <v>0</v>
      </c>
      <c r="AA36" s="1">
        <f t="shared" si="5"/>
        <v>0</v>
      </c>
    </row>
    <row r="37" spans="1:27" ht="15" outlineLevel="1" thickBot="1" x14ac:dyDescent="0.4">
      <c r="A37" s="319"/>
      <c r="B37" s="216"/>
      <c r="C37" s="216"/>
      <c r="D37" s="489" t="str">
        <f>IFERROR(INDEX(BuildingInformationTable[Site type],MATCH(BuildingsElectricityTable[[#This Row],[Site name]],BuildingInformationTable[Site name],0)),"")</f>
        <v/>
      </c>
      <c r="E37" s="490" t="str">
        <f t="shared" si="2"/>
        <v/>
      </c>
      <c r="F37" s="490" t="str">
        <f t="shared" si="3"/>
        <v/>
      </c>
      <c r="G37" s="491"/>
      <c r="H37" s="492" t="str">
        <f>IF(G37="","",INDEX(Lists!$BA$4:$BC$31,MATCH(E37,Lists!$AZ$4:$AZ$31,0),MATCH(G37,Lists!$BA$3:$BC$3,0)))</f>
        <v/>
      </c>
      <c r="I37" s="267"/>
      <c r="J37" s="490" t="str">
        <f t="shared" si="4"/>
        <v/>
      </c>
      <c r="K37" s="493" t="str" cm="1">
        <f t="array" ref="K37">IF(OR($E37="",$D37="",$I37="",$J37=""),"",IF(J37=L37,I37,(INDEX('Emission factors'!$K$3:$V$201,MATCH(E37&amp;F37,'Emission factors'!$J$3:$J$201&amp;'Emission factors'!$K$3:$K$201,0),MATCH(K$6,'Emission factors'!$K$2:$V$2,0)))*I37))</f>
        <v/>
      </c>
      <c r="L37" s="494" t="str">
        <f>IF(OR($E37="",$D37="",$I37="",$J37=""),"",INDEX('Emission factors'!$K$3:$V$201,MATCH('Buildings - Grid Electricity'!$E37,'Emission factors'!$J$3:$J$201,0),MATCH($L$6,'Emission factors'!$K$2:$V$2,0)))</f>
        <v/>
      </c>
      <c r="M37" s="495" t="str" cm="1">
        <f t="array" ref="M37">IF(OR(E37="",I37="",BuildingsElectricityTable[[#This Row],[Units]]=""),"",INDEX('Emission factors'!$K$3:$V$201,MATCH('Buildings - Grid Electricity'!$E37&amp;F37,'Emission factors'!$J$3:$J$201&amp;'Emission factors'!$K$3:$K$201,0),MATCH('Buildings - Grid Electricity'!$M$6,'Emission factors'!$K$2:$V$2,0)))</f>
        <v/>
      </c>
      <c r="N37" s="496" t="str">
        <f>IF(OR(K37="",M37=""),"",SUM(BuildingsElectricityTable[[#This Row],[Direct]:[Indirect WTT]]))</f>
        <v/>
      </c>
      <c r="O37" s="268"/>
      <c r="P37" s="497"/>
      <c r="Q37" s="157" t="str" cm="1">
        <f t="array" ref="Q37">IF(OR($E37="",$I37=""),"",(INDEX('Emission factors'!$K$3:$V$201,MATCH('Buildings - Grid Electricity'!$E37&amp;$F37,'Emission factors'!$J$3:$J$201&amp;'Emission factors'!$K$3:$K$201,0),MATCH('Buildings - Grid Electricity'!Q$6,'Emission factors'!$K$2:$V$2,0)))*$K37)</f>
        <v/>
      </c>
      <c r="R37" s="157" t="str" cm="1">
        <f t="array" ref="R37">IF(OR($E37="",$I37=""),"",(INDEX('Emission factors'!$K$3:$V$201,MATCH('Buildings - Grid Electricity'!$E37&amp;$F37,'Emission factors'!$J$3:$J$201&amp;'Emission factors'!$K$3:$K$201,0),MATCH('Buildings - Grid Electricity'!R$6,'Emission factors'!$K$2:$V$2,0)))*$K37)</f>
        <v/>
      </c>
      <c r="S37" s="157" t="str" cm="1">
        <f t="array" ref="S37">IF(OR($E37="",$I37=""),"",(INDEX('Emission factors'!$K$3:$V$201,MATCH('Buildings - Grid Electricity'!$E37&amp;$F37,'Emission factors'!$J$3:$J$201&amp;'Emission factors'!$K$3:$K$201,0),MATCH('Buildings - Grid Electricity'!S$6,'Emission factors'!$K$2:$V$2,0)))*$K37)</f>
        <v/>
      </c>
      <c r="T37" s="157" t="str" cm="1">
        <f t="array" ref="T37">IF(OR($E37="",$I37=""),"",(INDEX('Emission factors'!$K$3:$V$201,MATCH('Buildings - Grid Electricity'!$E37&amp;$F37,'Emission factors'!$J$3:$J$201&amp;'Emission factors'!$K$3:$K$201,0),MATCH('Buildings - Grid Electricity'!T$6,'Emission factors'!$K$2:$V$2,0)))*$K37)</f>
        <v/>
      </c>
      <c r="U37" s="157" t="str" cm="1">
        <f t="array" ref="U37">IF(OR($E37="",$I37=""),"",(INDEX('Emission factors'!$K$3:$V$201,MATCH('Buildings - Grid Electricity'!$E37&amp;$F37,'Emission factors'!$J$3:$J$201&amp;'Emission factors'!$K$3:$K$201,0),MATCH('Buildings - Grid Electricity'!U$6,'Emission factors'!$K$2:$V$2,0)))*$K37)</f>
        <v/>
      </c>
      <c r="V37" s="269" t="str">
        <f>IF(OR($N37="",BuildingsElectricityTable[[#This Row],[RSD]]=""),"",BuildingsElectricityTable[[#This Row],[Total emissions (kgCO2e)]]*(1+BuildingsElectricityTable[[#This Row],[RSD]]))</f>
        <v/>
      </c>
      <c r="W37" s="270" t="str">
        <f>IF(OR($N37="",BuildingsElectricityTable[[#This Row],[RSD]]=""),"",BuildingsElectricityTable[[#This Row],[Total emissions (kgCO2e)]]*(1-BuildingsElectricityTable[[#This Row],[RSD]]))</f>
        <v/>
      </c>
      <c r="X37" s="271" t="str" cm="1">
        <f t="array" ref="X37">IF(OR($E37="",$I37=""),"",(INDEX('Emission factors'!$K$3:$V$201,MATCH('Buildings - Grid Electricity'!$E37&amp;$F37,'Emission factors'!$J$3:$J$201&amp;'Emission factors'!$K$3:$K$201,0),MATCH('Buildings - Grid Electricity'!X$6,'Emission factors'!$K$2:$V$2,0)))*$K37)</f>
        <v/>
      </c>
      <c r="Y37" s="30"/>
      <c r="Z37" s="1" cm="1">
        <f t="array" ref="Z37">IF(OR(ISERROR(B37:X37)),1,0)</f>
        <v>0</v>
      </c>
      <c r="AA37" s="1">
        <f t="shared" si="5"/>
        <v>0</v>
      </c>
    </row>
    <row r="38" spans="1:27" ht="15" outlineLevel="1" thickBot="1" x14ac:dyDescent="0.4">
      <c r="A38" s="319"/>
      <c r="B38" s="216"/>
      <c r="C38" s="216"/>
      <c r="D38" s="489" t="str">
        <f>IFERROR(INDEX(BuildingInformationTable[Site type],MATCH(BuildingsElectricityTable[[#This Row],[Site name]],BuildingInformationTable[Site name],0)),"")</f>
        <v/>
      </c>
      <c r="E38" s="490" t="str">
        <f t="shared" si="2"/>
        <v/>
      </c>
      <c r="F38" s="490" t="str">
        <f t="shared" si="3"/>
        <v/>
      </c>
      <c r="G38" s="491"/>
      <c r="H38" s="492" t="str">
        <f>IF(G38="","",INDEX(Lists!$BA$4:$BC$31,MATCH(E38,Lists!$AZ$4:$AZ$31,0),MATCH(G38,Lists!$BA$3:$BC$3,0)))</f>
        <v/>
      </c>
      <c r="I38" s="267"/>
      <c r="J38" s="490" t="str">
        <f t="shared" si="4"/>
        <v/>
      </c>
      <c r="K38" s="493" t="str" cm="1">
        <f t="array" ref="K38">IF(OR($E38="",$D38="",$I38="",$J38=""),"",IF(J38=L38,I38,(INDEX('Emission factors'!$K$3:$V$201,MATCH(E38&amp;F38,'Emission factors'!$J$3:$J$201&amp;'Emission factors'!$K$3:$K$201,0),MATCH(K$6,'Emission factors'!$K$2:$V$2,0)))*I38))</f>
        <v/>
      </c>
      <c r="L38" s="494" t="str">
        <f>IF(OR($E38="",$D38="",$I38="",$J38=""),"",INDEX('Emission factors'!$K$3:$V$201,MATCH('Buildings - Grid Electricity'!$E38,'Emission factors'!$J$3:$J$201,0),MATCH($L$6,'Emission factors'!$K$2:$V$2,0)))</f>
        <v/>
      </c>
      <c r="M38" s="495" t="str" cm="1">
        <f t="array" ref="M38">IF(OR(E38="",I38="",BuildingsElectricityTable[[#This Row],[Units]]=""),"",INDEX('Emission factors'!$K$3:$V$201,MATCH('Buildings - Grid Electricity'!$E38&amp;F38,'Emission factors'!$J$3:$J$201&amp;'Emission factors'!$K$3:$K$201,0),MATCH('Buildings - Grid Electricity'!$M$6,'Emission factors'!$K$2:$V$2,0)))</f>
        <v/>
      </c>
      <c r="N38" s="496" t="str">
        <f>IF(OR(K38="",M38=""),"",SUM(BuildingsElectricityTable[[#This Row],[Direct]:[Indirect WTT]]))</f>
        <v/>
      </c>
      <c r="O38" s="268"/>
      <c r="P38" s="497"/>
      <c r="Q38" s="157" t="str" cm="1">
        <f t="array" ref="Q38">IF(OR($E38="",$I38=""),"",(INDEX('Emission factors'!$K$3:$V$201,MATCH('Buildings - Grid Electricity'!$E38&amp;$F38,'Emission factors'!$J$3:$J$201&amp;'Emission factors'!$K$3:$K$201,0),MATCH('Buildings - Grid Electricity'!Q$6,'Emission factors'!$K$2:$V$2,0)))*$K38)</f>
        <v/>
      </c>
      <c r="R38" s="157" t="str" cm="1">
        <f t="array" ref="R38">IF(OR($E38="",$I38=""),"",(INDEX('Emission factors'!$K$3:$V$201,MATCH('Buildings - Grid Electricity'!$E38&amp;$F38,'Emission factors'!$J$3:$J$201&amp;'Emission factors'!$K$3:$K$201,0),MATCH('Buildings - Grid Electricity'!R$6,'Emission factors'!$K$2:$V$2,0)))*$K38)</f>
        <v/>
      </c>
      <c r="S38" s="157" t="str" cm="1">
        <f t="array" ref="S38">IF(OR($E38="",$I38=""),"",(INDEX('Emission factors'!$K$3:$V$201,MATCH('Buildings - Grid Electricity'!$E38&amp;$F38,'Emission factors'!$J$3:$J$201&amp;'Emission factors'!$K$3:$K$201,0),MATCH('Buildings - Grid Electricity'!S$6,'Emission factors'!$K$2:$V$2,0)))*$K38)</f>
        <v/>
      </c>
      <c r="T38" s="157" t="str" cm="1">
        <f t="array" ref="T38">IF(OR($E38="",$I38=""),"",(INDEX('Emission factors'!$K$3:$V$201,MATCH('Buildings - Grid Electricity'!$E38&amp;$F38,'Emission factors'!$J$3:$J$201&amp;'Emission factors'!$K$3:$K$201,0),MATCH('Buildings - Grid Electricity'!T$6,'Emission factors'!$K$2:$V$2,0)))*$K38)</f>
        <v/>
      </c>
      <c r="U38" s="157" t="str" cm="1">
        <f t="array" ref="U38">IF(OR($E38="",$I38=""),"",(INDEX('Emission factors'!$K$3:$V$201,MATCH('Buildings - Grid Electricity'!$E38&amp;$F38,'Emission factors'!$J$3:$J$201&amp;'Emission factors'!$K$3:$K$201,0),MATCH('Buildings - Grid Electricity'!U$6,'Emission factors'!$K$2:$V$2,0)))*$K38)</f>
        <v/>
      </c>
      <c r="V38" s="269" t="str">
        <f>IF(OR($N38="",BuildingsElectricityTable[[#This Row],[RSD]]=""),"",BuildingsElectricityTable[[#This Row],[Total emissions (kgCO2e)]]*(1+BuildingsElectricityTable[[#This Row],[RSD]]))</f>
        <v/>
      </c>
      <c r="W38" s="270" t="str">
        <f>IF(OR($N38="",BuildingsElectricityTable[[#This Row],[RSD]]=""),"",BuildingsElectricityTable[[#This Row],[Total emissions (kgCO2e)]]*(1-BuildingsElectricityTable[[#This Row],[RSD]]))</f>
        <v/>
      </c>
      <c r="X38" s="271" t="str" cm="1">
        <f t="array" ref="X38">IF(OR($E38="",$I38=""),"",(INDEX('Emission factors'!$K$3:$V$201,MATCH('Buildings - Grid Electricity'!$E38&amp;$F38,'Emission factors'!$J$3:$J$201&amp;'Emission factors'!$K$3:$K$201,0),MATCH('Buildings - Grid Electricity'!X$6,'Emission factors'!$K$2:$V$2,0)))*$K38)</f>
        <v/>
      </c>
      <c r="Y38" s="30"/>
      <c r="Z38" s="1" cm="1">
        <f t="array" ref="Z38">IF(OR(ISERROR(B38:X38)),1,0)</f>
        <v>0</v>
      </c>
      <c r="AA38" s="1">
        <f t="shared" si="5"/>
        <v>0</v>
      </c>
    </row>
    <row r="39" spans="1:27" ht="15" outlineLevel="1" thickBot="1" x14ac:dyDescent="0.4">
      <c r="A39" s="319"/>
      <c r="B39" s="216"/>
      <c r="C39" s="216"/>
      <c r="D39" s="489" t="str">
        <f>IFERROR(INDEX(BuildingInformationTable[Site type],MATCH(BuildingsElectricityTable[[#This Row],[Site name]],BuildingInformationTable[Site name],0)),"")</f>
        <v/>
      </c>
      <c r="E39" s="490" t="str">
        <f t="shared" si="2"/>
        <v/>
      </c>
      <c r="F39" s="490" t="str">
        <f t="shared" si="3"/>
        <v/>
      </c>
      <c r="G39" s="491"/>
      <c r="H39" s="492" t="str">
        <f>IF(G39="","",INDEX(Lists!$BA$4:$BC$31,MATCH(E39,Lists!$AZ$4:$AZ$31,0),MATCH(G39,Lists!$BA$3:$BC$3,0)))</f>
        <v/>
      </c>
      <c r="I39" s="267"/>
      <c r="J39" s="490" t="str">
        <f t="shared" si="4"/>
        <v/>
      </c>
      <c r="K39" s="493" t="str" cm="1">
        <f t="array" ref="K39">IF(OR($E39="",$D39="",$I39="",$J39=""),"",IF(J39=L39,I39,(INDEX('Emission factors'!$K$3:$V$201,MATCH(E39&amp;F39,'Emission factors'!$J$3:$J$201&amp;'Emission factors'!$K$3:$K$201,0),MATCH(K$6,'Emission factors'!$K$2:$V$2,0)))*I39))</f>
        <v/>
      </c>
      <c r="L39" s="494" t="str">
        <f>IF(OR($E39="",$D39="",$I39="",$J39=""),"",INDEX('Emission factors'!$K$3:$V$201,MATCH('Buildings - Grid Electricity'!$E39,'Emission factors'!$J$3:$J$201,0),MATCH($L$6,'Emission factors'!$K$2:$V$2,0)))</f>
        <v/>
      </c>
      <c r="M39" s="495" t="str" cm="1">
        <f t="array" ref="M39">IF(OR(E39="",I39="",BuildingsElectricityTable[[#This Row],[Units]]=""),"",INDEX('Emission factors'!$K$3:$V$201,MATCH('Buildings - Grid Electricity'!$E39&amp;F39,'Emission factors'!$J$3:$J$201&amp;'Emission factors'!$K$3:$K$201,0),MATCH('Buildings - Grid Electricity'!$M$6,'Emission factors'!$K$2:$V$2,0)))</f>
        <v/>
      </c>
      <c r="N39" s="496" t="str">
        <f>IF(OR(K39="",M39=""),"",SUM(BuildingsElectricityTable[[#This Row],[Direct]:[Indirect WTT]]))</f>
        <v/>
      </c>
      <c r="O39" s="268"/>
      <c r="P39" s="497"/>
      <c r="Q39" s="157" t="str" cm="1">
        <f t="array" ref="Q39">IF(OR($E39="",$I39=""),"",(INDEX('Emission factors'!$K$3:$V$201,MATCH('Buildings - Grid Electricity'!$E39&amp;$F39,'Emission factors'!$J$3:$J$201&amp;'Emission factors'!$K$3:$K$201,0),MATCH('Buildings - Grid Electricity'!Q$6,'Emission factors'!$K$2:$V$2,0)))*$K39)</f>
        <v/>
      </c>
      <c r="R39" s="157" t="str" cm="1">
        <f t="array" ref="R39">IF(OR($E39="",$I39=""),"",(INDEX('Emission factors'!$K$3:$V$201,MATCH('Buildings - Grid Electricity'!$E39&amp;$F39,'Emission factors'!$J$3:$J$201&amp;'Emission factors'!$K$3:$K$201,0),MATCH('Buildings - Grid Electricity'!R$6,'Emission factors'!$K$2:$V$2,0)))*$K39)</f>
        <v/>
      </c>
      <c r="S39" s="157" t="str" cm="1">
        <f t="array" ref="S39">IF(OR($E39="",$I39=""),"",(INDEX('Emission factors'!$K$3:$V$201,MATCH('Buildings - Grid Electricity'!$E39&amp;$F39,'Emission factors'!$J$3:$J$201&amp;'Emission factors'!$K$3:$K$201,0),MATCH('Buildings - Grid Electricity'!S$6,'Emission factors'!$K$2:$V$2,0)))*$K39)</f>
        <v/>
      </c>
      <c r="T39" s="157" t="str" cm="1">
        <f t="array" ref="T39">IF(OR($E39="",$I39=""),"",(INDEX('Emission factors'!$K$3:$V$201,MATCH('Buildings - Grid Electricity'!$E39&amp;$F39,'Emission factors'!$J$3:$J$201&amp;'Emission factors'!$K$3:$K$201,0),MATCH('Buildings - Grid Electricity'!T$6,'Emission factors'!$K$2:$V$2,0)))*$K39)</f>
        <v/>
      </c>
      <c r="U39" s="157" t="str" cm="1">
        <f t="array" ref="U39">IF(OR($E39="",$I39=""),"",(INDEX('Emission factors'!$K$3:$V$201,MATCH('Buildings - Grid Electricity'!$E39&amp;$F39,'Emission factors'!$J$3:$J$201&amp;'Emission factors'!$K$3:$K$201,0),MATCH('Buildings - Grid Electricity'!U$6,'Emission factors'!$K$2:$V$2,0)))*$K39)</f>
        <v/>
      </c>
      <c r="V39" s="269" t="str">
        <f>IF(OR($N39="",BuildingsElectricityTable[[#This Row],[RSD]]=""),"",BuildingsElectricityTable[[#This Row],[Total emissions (kgCO2e)]]*(1+BuildingsElectricityTable[[#This Row],[RSD]]))</f>
        <v/>
      </c>
      <c r="W39" s="270" t="str">
        <f>IF(OR($N39="",BuildingsElectricityTable[[#This Row],[RSD]]=""),"",BuildingsElectricityTable[[#This Row],[Total emissions (kgCO2e)]]*(1-BuildingsElectricityTable[[#This Row],[RSD]]))</f>
        <v/>
      </c>
      <c r="X39" s="271" t="str" cm="1">
        <f t="array" ref="X39">IF(OR($E39="",$I39=""),"",(INDEX('Emission factors'!$K$3:$V$201,MATCH('Buildings - Grid Electricity'!$E39&amp;$F39,'Emission factors'!$J$3:$J$201&amp;'Emission factors'!$K$3:$K$201,0),MATCH('Buildings - Grid Electricity'!X$6,'Emission factors'!$K$2:$V$2,0)))*$K39)</f>
        <v/>
      </c>
      <c r="Y39" s="30"/>
      <c r="Z39" s="1" cm="1">
        <f t="array" ref="Z39">IF(OR(ISERROR(B39:X39)),1,0)</f>
        <v>0</v>
      </c>
      <c r="AA39" s="1">
        <f t="shared" si="5"/>
        <v>0</v>
      </c>
    </row>
    <row r="40" spans="1:27" ht="15" outlineLevel="1" thickBot="1" x14ac:dyDescent="0.4">
      <c r="A40" s="319"/>
      <c r="B40" s="216"/>
      <c r="C40" s="216"/>
      <c r="D40" s="489" t="str">
        <f>IFERROR(INDEX(BuildingInformationTable[Site type],MATCH(BuildingsElectricityTable[[#This Row],[Site name]],BuildingInformationTable[Site name],0)),"")</f>
        <v/>
      </c>
      <c r="E40" s="490" t="str">
        <f t="shared" si="2"/>
        <v/>
      </c>
      <c r="F40" s="490" t="str">
        <f t="shared" si="3"/>
        <v/>
      </c>
      <c r="G40" s="491"/>
      <c r="H40" s="492" t="str">
        <f>IF(G40="","",INDEX(Lists!$BA$4:$BC$31,MATCH(E40,Lists!$AZ$4:$AZ$31,0),MATCH(G40,Lists!$BA$3:$BC$3,0)))</f>
        <v/>
      </c>
      <c r="I40" s="267"/>
      <c r="J40" s="490" t="str">
        <f t="shared" si="4"/>
        <v/>
      </c>
      <c r="K40" s="493" t="str" cm="1">
        <f t="array" ref="K40">IF(OR($E40="",$D40="",$I40="",$J40=""),"",IF(J40=L40,I40,(INDEX('Emission factors'!$K$3:$V$201,MATCH(E40&amp;F40,'Emission factors'!$J$3:$J$201&amp;'Emission factors'!$K$3:$K$201,0),MATCH(K$6,'Emission factors'!$K$2:$V$2,0)))*I40))</f>
        <v/>
      </c>
      <c r="L40" s="494" t="str">
        <f>IF(OR($E40="",$D40="",$I40="",$J40=""),"",INDEX('Emission factors'!$K$3:$V$201,MATCH('Buildings - Grid Electricity'!$E40,'Emission factors'!$J$3:$J$201,0),MATCH($L$6,'Emission factors'!$K$2:$V$2,0)))</f>
        <v/>
      </c>
      <c r="M40" s="495" t="str" cm="1">
        <f t="array" ref="M40">IF(OR(E40="",I40="",BuildingsElectricityTable[[#This Row],[Units]]=""),"",INDEX('Emission factors'!$K$3:$V$201,MATCH('Buildings - Grid Electricity'!$E40&amp;F40,'Emission factors'!$J$3:$J$201&amp;'Emission factors'!$K$3:$K$201,0),MATCH('Buildings - Grid Electricity'!$M$6,'Emission factors'!$K$2:$V$2,0)))</f>
        <v/>
      </c>
      <c r="N40" s="496" t="str">
        <f>IF(OR(K40="",M40=""),"",SUM(BuildingsElectricityTable[[#This Row],[Direct]:[Indirect WTT]]))</f>
        <v/>
      </c>
      <c r="O40" s="268"/>
      <c r="P40" s="497"/>
      <c r="Q40" s="157" t="str" cm="1">
        <f t="array" ref="Q40">IF(OR($E40="",$I40=""),"",(INDEX('Emission factors'!$K$3:$V$201,MATCH('Buildings - Grid Electricity'!$E40&amp;$F40,'Emission factors'!$J$3:$J$201&amp;'Emission factors'!$K$3:$K$201,0),MATCH('Buildings - Grid Electricity'!Q$6,'Emission factors'!$K$2:$V$2,0)))*$K40)</f>
        <v/>
      </c>
      <c r="R40" s="157" t="str" cm="1">
        <f t="array" ref="R40">IF(OR($E40="",$I40=""),"",(INDEX('Emission factors'!$K$3:$V$201,MATCH('Buildings - Grid Electricity'!$E40&amp;$F40,'Emission factors'!$J$3:$J$201&amp;'Emission factors'!$K$3:$K$201,0),MATCH('Buildings - Grid Electricity'!R$6,'Emission factors'!$K$2:$V$2,0)))*$K40)</f>
        <v/>
      </c>
      <c r="S40" s="157" t="str" cm="1">
        <f t="array" ref="S40">IF(OR($E40="",$I40=""),"",(INDEX('Emission factors'!$K$3:$V$201,MATCH('Buildings - Grid Electricity'!$E40&amp;$F40,'Emission factors'!$J$3:$J$201&amp;'Emission factors'!$K$3:$K$201,0),MATCH('Buildings - Grid Electricity'!S$6,'Emission factors'!$K$2:$V$2,0)))*$K40)</f>
        <v/>
      </c>
      <c r="T40" s="157" t="str" cm="1">
        <f t="array" ref="T40">IF(OR($E40="",$I40=""),"",(INDEX('Emission factors'!$K$3:$V$201,MATCH('Buildings - Grid Electricity'!$E40&amp;$F40,'Emission factors'!$J$3:$J$201&amp;'Emission factors'!$K$3:$K$201,0),MATCH('Buildings - Grid Electricity'!T$6,'Emission factors'!$K$2:$V$2,0)))*$K40)</f>
        <v/>
      </c>
      <c r="U40" s="157" t="str" cm="1">
        <f t="array" ref="U40">IF(OR($E40="",$I40=""),"",(INDEX('Emission factors'!$K$3:$V$201,MATCH('Buildings - Grid Electricity'!$E40&amp;$F40,'Emission factors'!$J$3:$J$201&amp;'Emission factors'!$K$3:$K$201,0),MATCH('Buildings - Grid Electricity'!U$6,'Emission factors'!$K$2:$V$2,0)))*$K40)</f>
        <v/>
      </c>
      <c r="V40" s="269" t="str">
        <f>IF(OR($N40="",BuildingsElectricityTable[[#This Row],[RSD]]=""),"",BuildingsElectricityTable[[#This Row],[Total emissions (kgCO2e)]]*(1+BuildingsElectricityTable[[#This Row],[RSD]]))</f>
        <v/>
      </c>
      <c r="W40" s="270" t="str">
        <f>IF(OR($N40="",BuildingsElectricityTable[[#This Row],[RSD]]=""),"",BuildingsElectricityTable[[#This Row],[Total emissions (kgCO2e)]]*(1-BuildingsElectricityTable[[#This Row],[RSD]]))</f>
        <v/>
      </c>
      <c r="X40" s="271" t="str" cm="1">
        <f t="array" ref="X40">IF(OR($E40="",$I40=""),"",(INDEX('Emission factors'!$K$3:$V$201,MATCH('Buildings - Grid Electricity'!$E40&amp;$F40,'Emission factors'!$J$3:$J$201&amp;'Emission factors'!$K$3:$K$201,0),MATCH('Buildings - Grid Electricity'!X$6,'Emission factors'!$K$2:$V$2,0)))*$K40)</f>
        <v/>
      </c>
      <c r="Y40" s="30"/>
      <c r="Z40" s="1" cm="1">
        <f t="array" ref="Z40">IF(OR(ISERROR(B40:X40)),1,0)</f>
        <v>0</v>
      </c>
      <c r="AA40" s="1">
        <f t="shared" si="5"/>
        <v>0</v>
      </c>
    </row>
    <row r="41" spans="1:27" ht="15" outlineLevel="1" thickBot="1" x14ac:dyDescent="0.4">
      <c r="A41" s="319"/>
      <c r="B41" s="216"/>
      <c r="C41" s="216"/>
      <c r="D41" s="489" t="str">
        <f>IFERROR(INDEX(BuildingInformationTable[Site type],MATCH(BuildingsElectricityTable[[#This Row],[Site name]],BuildingInformationTable[Site name],0)),"")</f>
        <v/>
      </c>
      <c r="E41" s="490" t="str">
        <f t="shared" si="2"/>
        <v/>
      </c>
      <c r="F41" s="490" t="str">
        <f t="shared" si="3"/>
        <v/>
      </c>
      <c r="G41" s="491"/>
      <c r="H41" s="492" t="str">
        <f>IF(G41="","",INDEX(Lists!$BA$4:$BC$31,MATCH(E41,Lists!$AZ$4:$AZ$31,0),MATCH(G41,Lists!$BA$3:$BC$3,0)))</f>
        <v/>
      </c>
      <c r="I41" s="267"/>
      <c r="J41" s="490" t="str">
        <f t="shared" si="4"/>
        <v/>
      </c>
      <c r="K41" s="493" t="str" cm="1">
        <f t="array" ref="K41">IF(OR($E41="",$D41="",$I41="",$J41=""),"",IF(J41=L41,I41,(INDEX('Emission factors'!$K$3:$V$201,MATCH(E41&amp;F41,'Emission factors'!$J$3:$J$201&amp;'Emission factors'!$K$3:$K$201,0),MATCH(K$6,'Emission factors'!$K$2:$V$2,0)))*I41))</f>
        <v/>
      </c>
      <c r="L41" s="494" t="str">
        <f>IF(OR($E41="",$D41="",$I41="",$J41=""),"",INDEX('Emission factors'!$K$3:$V$201,MATCH('Buildings - Grid Electricity'!$E41,'Emission factors'!$J$3:$J$201,0),MATCH($L$6,'Emission factors'!$K$2:$V$2,0)))</f>
        <v/>
      </c>
      <c r="M41" s="495" t="str" cm="1">
        <f t="array" ref="M41">IF(OR(E41="",I41="",BuildingsElectricityTable[[#This Row],[Units]]=""),"",INDEX('Emission factors'!$K$3:$V$201,MATCH('Buildings - Grid Electricity'!$E41&amp;F41,'Emission factors'!$J$3:$J$201&amp;'Emission factors'!$K$3:$K$201,0),MATCH('Buildings - Grid Electricity'!$M$6,'Emission factors'!$K$2:$V$2,0)))</f>
        <v/>
      </c>
      <c r="N41" s="496" t="str">
        <f>IF(OR(K41="",M41=""),"",SUM(BuildingsElectricityTable[[#This Row],[Direct]:[Indirect WTT]]))</f>
        <v/>
      </c>
      <c r="O41" s="268"/>
      <c r="P41" s="497"/>
      <c r="Q41" s="157" t="str" cm="1">
        <f t="array" ref="Q41">IF(OR($E41="",$I41=""),"",(INDEX('Emission factors'!$K$3:$V$201,MATCH('Buildings - Grid Electricity'!$E41&amp;$F41,'Emission factors'!$J$3:$J$201&amp;'Emission factors'!$K$3:$K$201,0),MATCH('Buildings - Grid Electricity'!Q$6,'Emission factors'!$K$2:$V$2,0)))*$K41)</f>
        <v/>
      </c>
      <c r="R41" s="157" t="str" cm="1">
        <f t="array" ref="R41">IF(OR($E41="",$I41=""),"",(INDEX('Emission factors'!$K$3:$V$201,MATCH('Buildings - Grid Electricity'!$E41&amp;$F41,'Emission factors'!$J$3:$J$201&amp;'Emission factors'!$K$3:$K$201,0),MATCH('Buildings - Grid Electricity'!R$6,'Emission factors'!$K$2:$V$2,0)))*$K41)</f>
        <v/>
      </c>
      <c r="S41" s="157" t="str" cm="1">
        <f t="array" ref="S41">IF(OR($E41="",$I41=""),"",(INDEX('Emission factors'!$K$3:$V$201,MATCH('Buildings - Grid Electricity'!$E41&amp;$F41,'Emission factors'!$J$3:$J$201&amp;'Emission factors'!$K$3:$K$201,0),MATCH('Buildings - Grid Electricity'!S$6,'Emission factors'!$K$2:$V$2,0)))*$K41)</f>
        <v/>
      </c>
      <c r="T41" s="157" t="str" cm="1">
        <f t="array" ref="T41">IF(OR($E41="",$I41=""),"",(INDEX('Emission factors'!$K$3:$V$201,MATCH('Buildings - Grid Electricity'!$E41&amp;$F41,'Emission factors'!$J$3:$J$201&amp;'Emission factors'!$K$3:$K$201,0),MATCH('Buildings - Grid Electricity'!T$6,'Emission factors'!$K$2:$V$2,0)))*$K41)</f>
        <v/>
      </c>
      <c r="U41" s="157" t="str" cm="1">
        <f t="array" ref="U41">IF(OR($E41="",$I41=""),"",(INDEX('Emission factors'!$K$3:$V$201,MATCH('Buildings - Grid Electricity'!$E41&amp;$F41,'Emission factors'!$J$3:$J$201&amp;'Emission factors'!$K$3:$K$201,0),MATCH('Buildings - Grid Electricity'!U$6,'Emission factors'!$K$2:$V$2,0)))*$K41)</f>
        <v/>
      </c>
      <c r="V41" s="269" t="str">
        <f>IF(OR($N41="",BuildingsElectricityTable[[#This Row],[RSD]]=""),"",BuildingsElectricityTable[[#This Row],[Total emissions (kgCO2e)]]*(1+BuildingsElectricityTable[[#This Row],[RSD]]))</f>
        <v/>
      </c>
      <c r="W41" s="270" t="str">
        <f>IF(OR($N41="",BuildingsElectricityTable[[#This Row],[RSD]]=""),"",BuildingsElectricityTable[[#This Row],[Total emissions (kgCO2e)]]*(1-BuildingsElectricityTable[[#This Row],[RSD]]))</f>
        <v/>
      </c>
      <c r="X41" s="271" t="str" cm="1">
        <f t="array" ref="X41">IF(OR($E41="",$I41=""),"",(INDEX('Emission factors'!$K$3:$V$201,MATCH('Buildings - Grid Electricity'!$E41&amp;$F41,'Emission factors'!$J$3:$J$201&amp;'Emission factors'!$K$3:$K$201,0),MATCH('Buildings - Grid Electricity'!X$6,'Emission factors'!$K$2:$V$2,0)))*$K41)</f>
        <v/>
      </c>
      <c r="Y41" s="30"/>
      <c r="Z41" s="1" cm="1">
        <f t="array" ref="Z41">IF(OR(ISERROR(B41:X41)),1,0)</f>
        <v>0</v>
      </c>
      <c r="AA41" s="1">
        <f t="shared" si="5"/>
        <v>0</v>
      </c>
    </row>
    <row r="42" spans="1:27" ht="15" outlineLevel="1" thickBot="1" x14ac:dyDescent="0.4">
      <c r="A42" s="319"/>
      <c r="B42" s="216"/>
      <c r="C42" s="216"/>
      <c r="D42" s="489" t="str">
        <f>IFERROR(INDEX(BuildingInformationTable[Site type],MATCH(BuildingsElectricityTable[[#This Row],[Site name]],BuildingInformationTable[Site name],0)),"")</f>
        <v/>
      </c>
      <c r="E42" s="490" t="str">
        <f t="shared" si="2"/>
        <v/>
      </c>
      <c r="F42" s="490" t="str">
        <f t="shared" si="3"/>
        <v/>
      </c>
      <c r="G42" s="491"/>
      <c r="H42" s="492" t="str">
        <f>IF(G42="","",INDEX(Lists!$BA$4:$BC$31,MATCH(E42,Lists!$AZ$4:$AZ$31,0),MATCH(G42,Lists!$BA$3:$BC$3,0)))</f>
        <v/>
      </c>
      <c r="I42" s="267"/>
      <c r="J42" s="490" t="str">
        <f t="shared" si="4"/>
        <v/>
      </c>
      <c r="K42" s="493" t="str" cm="1">
        <f t="array" ref="K42">IF(OR($E42="",$D42="",$I42="",$J42=""),"",IF(J42=L42,I42,(INDEX('Emission factors'!$K$3:$V$201,MATCH(E42&amp;F42,'Emission factors'!$J$3:$J$201&amp;'Emission factors'!$K$3:$K$201,0),MATCH(K$6,'Emission factors'!$K$2:$V$2,0)))*I42))</f>
        <v/>
      </c>
      <c r="L42" s="494" t="str">
        <f>IF(OR($E42="",$D42="",$I42="",$J42=""),"",INDEX('Emission factors'!$K$3:$V$201,MATCH('Buildings - Grid Electricity'!$E42,'Emission factors'!$J$3:$J$201,0),MATCH($L$6,'Emission factors'!$K$2:$V$2,0)))</f>
        <v/>
      </c>
      <c r="M42" s="495" t="str" cm="1">
        <f t="array" ref="M42">IF(OR(E42="",I42="",BuildingsElectricityTable[[#This Row],[Units]]=""),"",INDEX('Emission factors'!$K$3:$V$201,MATCH('Buildings - Grid Electricity'!$E42&amp;F42,'Emission factors'!$J$3:$J$201&amp;'Emission factors'!$K$3:$K$201,0),MATCH('Buildings - Grid Electricity'!$M$6,'Emission factors'!$K$2:$V$2,0)))</f>
        <v/>
      </c>
      <c r="N42" s="496" t="str">
        <f>IF(OR(K42="",M42=""),"",SUM(BuildingsElectricityTable[[#This Row],[Direct]:[Indirect WTT]]))</f>
        <v/>
      </c>
      <c r="O42" s="268"/>
      <c r="P42" s="497"/>
      <c r="Q42" s="157" t="str" cm="1">
        <f t="array" ref="Q42">IF(OR($E42="",$I42=""),"",(INDEX('Emission factors'!$K$3:$V$201,MATCH('Buildings - Grid Electricity'!$E42&amp;$F42,'Emission factors'!$J$3:$J$201&amp;'Emission factors'!$K$3:$K$201,0),MATCH('Buildings - Grid Electricity'!Q$6,'Emission factors'!$K$2:$V$2,0)))*$K42)</f>
        <v/>
      </c>
      <c r="R42" s="157" t="str" cm="1">
        <f t="array" ref="R42">IF(OR($E42="",$I42=""),"",(INDEX('Emission factors'!$K$3:$V$201,MATCH('Buildings - Grid Electricity'!$E42&amp;$F42,'Emission factors'!$J$3:$J$201&amp;'Emission factors'!$K$3:$K$201,0),MATCH('Buildings - Grid Electricity'!R$6,'Emission factors'!$K$2:$V$2,0)))*$K42)</f>
        <v/>
      </c>
      <c r="S42" s="157" t="str" cm="1">
        <f t="array" ref="S42">IF(OR($E42="",$I42=""),"",(INDEX('Emission factors'!$K$3:$V$201,MATCH('Buildings - Grid Electricity'!$E42&amp;$F42,'Emission factors'!$J$3:$J$201&amp;'Emission factors'!$K$3:$K$201,0),MATCH('Buildings - Grid Electricity'!S$6,'Emission factors'!$K$2:$V$2,0)))*$K42)</f>
        <v/>
      </c>
      <c r="T42" s="157" t="str" cm="1">
        <f t="array" ref="T42">IF(OR($E42="",$I42=""),"",(INDEX('Emission factors'!$K$3:$V$201,MATCH('Buildings - Grid Electricity'!$E42&amp;$F42,'Emission factors'!$J$3:$J$201&amp;'Emission factors'!$K$3:$K$201,0),MATCH('Buildings - Grid Electricity'!T$6,'Emission factors'!$K$2:$V$2,0)))*$K42)</f>
        <v/>
      </c>
      <c r="U42" s="157" t="str" cm="1">
        <f t="array" ref="U42">IF(OR($E42="",$I42=""),"",(INDEX('Emission factors'!$K$3:$V$201,MATCH('Buildings - Grid Electricity'!$E42&amp;$F42,'Emission factors'!$J$3:$J$201&amp;'Emission factors'!$K$3:$K$201,0),MATCH('Buildings - Grid Electricity'!U$6,'Emission factors'!$K$2:$V$2,0)))*$K42)</f>
        <v/>
      </c>
      <c r="V42" s="269" t="str">
        <f>IF(OR($N42="",BuildingsElectricityTable[[#This Row],[RSD]]=""),"",BuildingsElectricityTable[[#This Row],[Total emissions (kgCO2e)]]*(1+BuildingsElectricityTable[[#This Row],[RSD]]))</f>
        <v/>
      </c>
      <c r="W42" s="270" t="str">
        <f>IF(OR($N42="",BuildingsElectricityTable[[#This Row],[RSD]]=""),"",BuildingsElectricityTable[[#This Row],[Total emissions (kgCO2e)]]*(1-BuildingsElectricityTable[[#This Row],[RSD]]))</f>
        <v/>
      </c>
      <c r="X42" s="271" t="str" cm="1">
        <f t="array" ref="X42">IF(OR($E42="",$I42=""),"",(INDEX('Emission factors'!$K$3:$V$201,MATCH('Buildings - Grid Electricity'!$E42&amp;$F42,'Emission factors'!$J$3:$J$201&amp;'Emission factors'!$K$3:$K$201,0),MATCH('Buildings - Grid Electricity'!X$6,'Emission factors'!$K$2:$V$2,0)))*$K42)</f>
        <v/>
      </c>
      <c r="Y42" s="30"/>
      <c r="Z42" s="1" cm="1">
        <f t="array" ref="Z42">IF(OR(ISERROR(B42:X42)),1,0)</f>
        <v>0</v>
      </c>
      <c r="AA42" s="1">
        <f t="shared" si="5"/>
        <v>0</v>
      </c>
    </row>
    <row r="43" spans="1:27" ht="15" outlineLevel="1" thickBot="1" x14ac:dyDescent="0.4">
      <c r="A43" s="319"/>
      <c r="B43" s="216"/>
      <c r="C43" s="216"/>
      <c r="D43" s="489" t="str">
        <f>IFERROR(INDEX(BuildingInformationTable[Site type],MATCH(BuildingsElectricityTable[[#This Row],[Site name]],BuildingInformationTable[Site name],0)),"")</f>
        <v/>
      </c>
      <c r="E43" s="490" t="str">
        <f t="shared" si="2"/>
        <v/>
      </c>
      <c r="F43" s="490" t="str">
        <f t="shared" si="3"/>
        <v/>
      </c>
      <c r="G43" s="491"/>
      <c r="H43" s="492" t="str">
        <f>IF(G43="","",INDEX(Lists!$BA$4:$BC$31,MATCH(E43,Lists!$AZ$4:$AZ$31,0),MATCH(G43,Lists!$BA$3:$BC$3,0)))</f>
        <v/>
      </c>
      <c r="I43" s="267"/>
      <c r="J43" s="490" t="str">
        <f t="shared" si="4"/>
        <v/>
      </c>
      <c r="K43" s="493" t="str" cm="1">
        <f t="array" ref="K43">IF(OR($E43="",$D43="",$I43="",$J43=""),"",IF(J43=L43,I43,(INDEX('Emission factors'!$K$3:$V$201,MATCH(E43&amp;F43,'Emission factors'!$J$3:$J$201&amp;'Emission factors'!$K$3:$K$201,0),MATCH(K$6,'Emission factors'!$K$2:$V$2,0)))*I43))</f>
        <v/>
      </c>
      <c r="L43" s="494" t="str">
        <f>IF(OR($E43="",$D43="",$I43="",$J43=""),"",INDEX('Emission factors'!$K$3:$V$201,MATCH('Buildings - Grid Electricity'!$E43,'Emission factors'!$J$3:$J$201,0),MATCH($L$6,'Emission factors'!$K$2:$V$2,0)))</f>
        <v/>
      </c>
      <c r="M43" s="495" t="str" cm="1">
        <f t="array" ref="M43">IF(OR(E43="",I43="",BuildingsElectricityTable[[#This Row],[Units]]=""),"",INDEX('Emission factors'!$K$3:$V$201,MATCH('Buildings - Grid Electricity'!$E43&amp;F43,'Emission factors'!$J$3:$J$201&amp;'Emission factors'!$K$3:$K$201,0),MATCH('Buildings - Grid Electricity'!$M$6,'Emission factors'!$K$2:$V$2,0)))</f>
        <v/>
      </c>
      <c r="N43" s="496" t="str">
        <f>IF(OR(K43="",M43=""),"",SUM(BuildingsElectricityTable[[#This Row],[Direct]:[Indirect WTT]]))</f>
        <v/>
      </c>
      <c r="O43" s="268"/>
      <c r="P43" s="497"/>
      <c r="Q43" s="157" t="str" cm="1">
        <f t="array" ref="Q43">IF(OR($E43="",$I43=""),"",(INDEX('Emission factors'!$K$3:$V$201,MATCH('Buildings - Grid Electricity'!$E43&amp;$F43,'Emission factors'!$J$3:$J$201&amp;'Emission factors'!$K$3:$K$201,0),MATCH('Buildings - Grid Electricity'!Q$6,'Emission factors'!$K$2:$V$2,0)))*$K43)</f>
        <v/>
      </c>
      <c r="R43" s="157" t="str" cm="1">
        <f t="array" ref="R43">IF(OR($E43="",$I43=""),"",(INDEX('Emission factors'!$K$3:$V$201,MATCH('Buildings - Grid Electricity'!$E43&amp;$F43,'Emission factors'!$J$3:$J$201&amp;'Emission factors'!$K$3:$K$201,0),MATCH('Buildings - Grid Electricity'!R$6,'Emission factors'!$K$2:$V$2,0)))*$K43)</f>
        <v/>
      </c>
      <c r="S43" s="157" t="str" cm="1">
        <f t="array" ref="S43">IF(OR($E43="",$I43=""),"",(INDEX('Emission factors'!$K$3:$V$201,MATCH('Buildings - Grid Electricity'!$E43&amp;$F43,'Emission factors'!$J$3:$J$201&amp;'Emission factors'!$K$3:$K$201,0),MATCH('Buildings - Grid Electricity'!S$6,'Emission factors'!$K$2:$V$2,0)))*$K43)</f>
        <v/>
      </c>
      <c r="T43" s="157" t="str" cm="1">
        <f t="array" ref="T43">IF(OR($E43="",$I43=""),"",(INDEX('Emission factors'!$K$3:$V$201,MATCH('Buildings - Grid Electricity'!$E43&amp;$F43,'Emission factors'!$J$3:$J$201&amp;'Emission factors'!$K$3:$K$201,0),MATCH('Buildings - Grid Electricity'!T$6,'Emission factors'!$K$2:$V$2,0)))*$K43)</f>
        <v/>
      </c>
      <c r="U43" s="157" t="str" cm="1">
        <f t="array" ref="U43">IF(OR($E43="",$I43=""),"",(INDEX('Emission factors'!$K$3:$V$201,MATCH('Buildings - Grid Electricity'!$E43&amp;$F43,'Emission factors'!$J$3:$J$201&amp;'Emission factors'!$K$3:$K$201,0),MATCH('Buildings - Grid Electricity'!U$6,'Emission factors'!$K$2:$V$2,0)))*$K43)</f>
        <v/>
      </c>
      <c r="V43" s="269" t="str">
        <f>IF(OR($N43="",BuildingsElectricityTable[[#This Row],[RSD]]=""),"",BuildingsElectricityTable[[#This Row],[Total emissions (kgCO2e)]]*(1+BuildingsElectricityTable[[#This Row],[RSD]]))</f>
        <v/>
      </c>
      <c r="W43" s="270" t="str">
        <f>IF(OR($N43="",BuildingsElectricityTable[[#This Row],[RSD]]=""),"",BuildingsElectricityTable[[#This Row],[Total emissions (kgCO2e)]]*(1-BuildingsElectricityTable[[#This Row],[RSD]]))</f>
        <v/>
      </c>
      <c r="X43" s="271" t="str" cm="1">
        <f t="array" ref="X43">IF(OR($E43="",$I43=""),"",(INDEX('Emission factors'!$K$3:$V$201,MATCH('Buildings - Grid Electricity'!$E43&amp;$F43,'Emission factors'!$J$3:$J$201&amp;'Emission factors'!$K$3:$K$201,0),MATCH('Buildings - Grid Electricity'!X$6,'Emission factors'!$K$2:$V$2,0)))*$K43)</f>
        <v/>
      </c>
      <c r="Y43" s="30"/>
      <c r="Z43" s="1" cm="1">
        <f t="array" ref="Z43">IF(OR(ISERROR(B43:X43)),1,0)</f>
        <v>0</v>
      </c>
      <c r="AA43" s="1">
        <f t="shared" si="5"/>
        <v>0</v>
      </c>
    </row>
    <row r="44" spans="1:27" ht="15" outlineLevel="1" thickBot="1" x14ac:dyDescent="0.4">
      <c r="A44" s="319"/>
      <c r="B44" s="216"/>
      <c r="C44" s="216"/>
      <c r="D44" s="489" t="str">
        <f>IFERROR(INDEX(BuildingInformationTable[Site type],MATCH(BuildingsElectricityTable[[#This Row],[Site name]],BuildingInformationTable[Site name],0)),"")</f>
        <v/>
      </c>
      <c r="E44" s="490" t="str">
        <f t="shared" si="2"/>
        <v/>
      </c>
      <c r="F44" s="490" t="str">
        <f t="shared" si="3"/>
        <v/>
      </c>
      <c r="G44" s="491"/>
      <c r="H44" s="492" t="str">
        <f>IF(G44="","",INDEX(Lists!$BA$4:$BC$31,MATCH(E44,Lists!$AZ$4:$AZ$31,0),MATCH(G44,Lists!$BA$3:$BC$3,0)))</f>
        <v/>
      </c>
      <c r="I44" s="267"/>
      <c r="J44" s="490" t="str">
        <f t="shared" si="4"/>
        <v/>
      </c>
      <c r="K44" s="493" t="str" cm="1">
        <f t="array" ref="K44">IF(OR($E44="",$D44="",$I44="",$J44=""),"",IF(J44=L44,I44,(INDEX('Emission factors'!$K$3:$V$201,MATCH(E44&amp;F44,'Emission factors'!$J$3:$J$201&amp;'Emission factors'!$K$3:$K$201,0),MATCH(K$6,'Emission factors'!$K$2:$V$2,0)))*I44))</f>
        <v/>
      </c>
      <c r="L44" s="494" t="str">
        <f>IF(OR($E44="",$D44="",$I44="",$J44=""),"",INDEX('Emission factors'!$K$3:$V$201,MATCH('Buildings - Grid Electricity'!$E44,'Emission factors'!$J$3:$J$201,0),MATCH($L$6,'Emission factors'!$K$2:$V$2,0)))</f>
        <v/>
      </c>
      <c r="M44" s="495" t="str" cm="1">
        <f t="array" ref="M44">IF(OR(E44="",I44="",BuildingsElectricityTable[[#This Row],[Units]]=""),"",INDEX('Emission factors'!$K$3:$V$201,MATCH('Buildings - Grid Electricity'!$E44&amp;F44,'Emission factors'!$J$3:$J$201&amp;'Emission factors'!$K$3:$K$201,0),MATCH('Buildings - Grid Electricity'!$M$6,'Emission factors'!$K$2:$V$2,0)))</f>
        <v/>
      </c>
      <c r="N44" s="496" t="str">
        <f>IF(OR(K44="",M44=""),"",SUM(BuildingsElectricityTable[[#This Row],[Direct]:[Indirect WTT]]))</f>
        <v/>
      </c>
      <c r="O44" s="268"/>
      <c r="P44" s="497"/>
      <c r="Q44" s="157" t="str" cm="1">
        <f t="array" ref="Q44">IF(OR($E44="",$I44=""),"",(INDEX('Emission factors'!$K$3:$V$201,MATCH('Buildings - Grid Electricity'!$E44&amp;$F44,'Emission factors'!$J$3:$J$201&amp;'Emission factors'!$K$3:$K$201,0),MATCH('Buildings - Grid Electricity'!Q$6,'Emission factors'!$K$2:$V$2,0)))*$K44)</f>
        <v/>
      </c>
      <c r="R44" s="157" t="str" cm="1">
        <f t="array" ref="R44">IF(OR($E44="",$I44=""),"",(INDEX('Emission factors'!$K$3:$V$201,MATCH('Buildings - Grid Electricity'!$E44&amp;$F44,'Emission factors'!$J$3:$J$201&amp;'Emission factors'!$K$3:$K$201,0),MATCH('Buildings - Grid Electricity'!R$6,'Emission factors'!$K$2:$V$2,0)))*$K44)</f>
        <v/>
      </c>
      <c r="S44" s="157" t="str" cm="1">
        <f t="array" ref="S44">IF(OR($E44="",$I44=""),"",(INDEX('Emission factors'!$K$3:$V$201,MATCH('Buildings - Grid Electricity'!$E44&amp;$F44,'Emission factors'!$J$3:$J$201&amp;'Emission factors'!$K$3:$K$201,0),MATCH('Buildings - Grid Electricity'!S$6,'Emission factors'!$K$2:$V$2,0)))*$K44)</f>
        <v/>
      </c>
      <c r="T44" s="157" t="str" cm="1">
        <f t="array" ref="T44">IF(OR($E44="",$I44=""),"",(INDEX('Emission factors'!$K$3:$V$201,MATCH('Buildings - Grid Electricity'!$E44&amp;$F44,'Emission factors'!$J$3:$J$201&amp;'Emission factors'!$K$3:$K$201,0),MATCH('Buildings - Grid Electricity'!T$6,'Emission factors'!$K$2:$V$2,0)))*$K44)</f>
        <v/>
      </c>
      <c r="U44" s="157" t="str" cm="1">
        <f t="array" ref="U44">IF(OR($E44="",$I44=""),"",(INDEX('Emission factors'!$K$3:$V$201,MATCH('Buildings - Grid Electricity'!$E44&amp;$F44,'Emission factors'!$J$3:$J$201&amp;'Emission factors'!$K$3:$K$201,0),MATCH('Buildings - Grid Electricity'!U$6,'Emission factors'!$K$2:$V$2,0)))*$K44)</f>
        <v/>
      </c>
      <c r="V44" s="269" t="str">
        <f>IF(OR($N44="",BuildingsElectricityTable[[#This Row],[RSD]]=""),"",BuildingsElectricityTable[[#This Row],[Total emissions (kgCO2e)]]*(1+BuildingsElectricityTable[[#This Row],[RSD]]))</f>
        <v/>
      </c>
      <c r="W44" s="270" t="str">
        <f>IF(OR($N44="",BuildingsElectricityTable[[#This Row],[RSD]]=""),"",BuildingsElectricityTable[[#This Row],[Total emissions (kgCO2e)]]*(1-BuildingsElectricityTable[[#This Row],[RSD]]))</f>
        <v/>
      </c>
      <c r="X44" s="271" t="str" cm="1">
        <f t="array" ref="X44">IF(OR($E44="",$I44=""),"",(INDEX('Emission factors'!$K$3:$V$201,MATCH('Buildings - Grid Electricity'!$E44&amp;$F44,'Emission factors'!$J$3:$J$201&amp;'Emission factors'!$K$3:$K$201,0),MATCH('Buildings - Grid Electricity'!X$6,'Emission factors'!$K$2:$V$2,0)))*$K44)</f>
        <v/>
      </c>
      <c r="Y44" s="30"/>
      <c r="Z44" s="1" cm="1">
        <f t="array" ref="Z44">IF(OR(ISERROR(B44:X44)),1,0)</f>
        <v>0</v>
      </c>
      <c r="AA44" s="1">
        <f t="shared" si="5"/>
        <v>0</v>
      </c>
    </row>
    <row r="45" spans="1:27" ht="15" outlineLevel="1" thickBot="1" x14ac:dyDescent="0.4">
      <c r="A45" s="319"/>
      <c r="B45" s="216"/>
      <c r="C45" s="216"/>
      <c r="D45" s="489" t="str">
        <f>IFERROR(INDEX(BuildingInformationTable[Site type],MATCH(BuildingsElectricityTable[[#This Row],[Site name]],BuildingInformationTable[Site name],0)),"")</f>
        <v/>
      </c>
      <c r="E45" s="490" t="str">
        <f t="shared" si="2"/>
        <v/>
      </c>
      <c r="F45" s="490" t="str">
        <f t="shared" si="3"/>
        <v/>
      </c>
      <c r="G45" s="491"/>
      <c r="H45" s="492" t="str">
        <f>IF(G45="","",INDEX(Lists!$BA$4:$BC$31,MATCH(E45,Lists!$AZ$4:$AZ$31,0),MATCH(G45,Lists!$BA$3:$BC$3,0)))</f>
        <v/>
      </c>
      <c r="I45" s="267"/>
      <c r="J45" s="490" t="str">
        <f t="shared" si="4"/>
        <v/>
      </c>
      <c r="K45" s="493" t="str" cm="1">
        <f t="array" ref="K45">IF(OR($E45="",$D45="",$I45="",$J45=""),"",IF(J45=L45,I45,(INDEX('Emission factors'!$K$3:$V$201,MATCH(E45&amp;F45,'Emission factors'!$J$3:$J$201&amp;'Emission factors'!$K$3:$K$201,0),MATCH(K$6,'Emission factors'!$K$2:$V$2,0)))*I45))</f>
        <v/>
      </c>
      <c r="L45" s="494" t="str">
        <f>IF(OR($E45="",$D45="",$I45="",$J45=""),"",INDEX('Emission factors'!$K$3:$V$201,MATCH('Buildings - Grid Electricity'!$E45,'Emission factors'!$J$3:$J$201,0),MATCH($L$6,'Emission factors'!$K$2:$V$2,0)))</f>
        <v/>
      </c>
      <c r="M45" s="495" t="str" cm="1">
        <f t="array" ref="M45">IF(OR(E45="",I45="",BuildingsElectricityTable[[#This Row],[Units]]=""),"",INDEX('Emission factors'!$K$3:$V$201,MATCH('Buildings - Grid Electricity'!$E45&amp;F45,'Emission factors'!$J$3:$J$201&amp;'Emission factors'!$K$3:$K$201,0),MATCH('Buildings - Grid Electricity'!$M$6,'Emission factors'!$K$2:$V$2,0)))</f>
        <v/>
      </c>
      <c r="N45" s="496" t="str">
        <f>IF(OR(K45="",M45=""),"",SUM(BuildingsElectricityTable[[#This Row],[Direct]:[Indirect WTT]]))</f>
        <v/>
      </c>
      <c r="O45" s="268"/>
      <c r="P45" s="497"/>
      <c r="Q45" s="157" t="str" cm="1">
        <f t="array" ref="Q45">IF(OR($E45="",$I45=""),"",(INDEX('Emission factors'!$K$3:$V$201,MATCH('Buildings - Grid Electricity'!$E45&amp;$F45,'Emission factors'!$J$3:$J$201&amp;'Emission factors'!$K$3:$K$201,0),MATCH('Buildings - Grid Electricity'!Q$6,'Emission factors'!$K$2:$V$2,0)))*$K45)</f>
        <v/>
      </c>
      <c r="R45" s="157" t="str" cm="1">
        <f t="array" ref="R45">IF(OR($E45="",$I45=""),"",(INDEX('Emission factors'!$K$3:$V$201,MATCH('Buildings - Grid Electricity'!$E45&amp;$F45,'Emission factors'!$J$3:$J$201&amp;'Emission factors'!$K$3:$K$201,0),MATCH('Buildings - Grid Electricity'!R$6,'Emission factors'!$K$2:$V$2,0)))*$K45)</f>
        <v/>
      </c>
      <c r="S45" s="157" t="str" cm="1">
        <f t="array" ref="S45">IF(OR($E45="",$I45=""),"",(INDEX('Emission factors'!$K$3:$V$201,MATCH('Buildings - Grid Electricity'!$E45&amp;$F45,'Emission factors'!$J$3:$J$201&amp;'Emission factors'!$K$3:$K$201,0),MATCH('Buildings - Grid Electricity'!S$6,'Emission factors'!$K$2:$V$2,0)))*$K45)</f>
        <v/>
      </c>
      <c r="T45" s="157" t="str" cm="1">
        <f t="array" ref="T45">IF(OR($E45="",$I45=""),"",(INDEX('Emission factors'!$K$3:$V$201,MATCH('Buildings - Grid Electricity'!$E45&amp;$F45,'Emission factors'!$J$3:$J$201&amp;'Emission factors'!$K$3:$K$201,0),MATCH('Buildings - Grid Electricity'!T$6,'Emission factors'!$K$2:$V$2,0)))*$K45)</f>
        <v/>
      </c>
      <c r="U45" s="157" t="str" cm="1">
        <f t="array" ref="U45">IF(OR($E45="",$I45=""),"",(INDEX('Emission factors'!$K$3:$V$201,MATCH('Buildings - Grid Electricity'!$E45&amp;$F45,'Emission factors'!$J$3:$J$201&amp;'Emission factors'!$K$3:$K$201,0),MATCH('Buildings - Grid Electricity'!U$6,'Emission factors'!$K$2:$V$2,0)))*$K45)</f>
        <v/>
      </c>
      <c r="V45" s="269" t="str">
        <f>IF(OR($N45="",BuildingsElectricityTable[[#This Row],[RSD]]=""),"",BuildingsElectricityTable[[#This Row],[Total emissions (kgCO2e)]]*(1+BuildingsElectricityTable[[#This Row],[RSD]]))</f>
        <v/>
      </c>
      <c r="W45" s="270" t="str">
        <f>IF(OR($N45="",BuildingsElectricityTable[[#This Row],[RSD]]=""),"",BuildingsElectricityTable[[#This Row],[Total emissions (kgCO2e)]]*(1-BuildingsElectricityTable[[#This Row],[RSD]]))</f>
        <v/>
      </c>
      <c r="X45" s="271" t="str" cm="1">
        <f t="array" ref="X45">IF(OR($E45="",$I45=""),"",(INDEX('Emission factors'!$K$3:$V$201,MATCH('Buildings - Grid Electricity'!$E45&amp;$F45,'Emission factors'!$J$3:$J$201&amp;'Emission factors'!$K$3:$K$201,0),MATCH('Buildings - Grid Electricity'!X$6,'Emission factors'!$K$2:$V$2,0)))*$K45)</f>
        <v/>
      </c>
      <c r="Y45" s="30"/>
      <c r="Z45" s="1" cm="1">
        <f t="array" ref="Z45">IF(OR(ISERROR(B45:X45)),1,0)</f>
        <v>0</v>
      </c>
      <c r="AA45" s="1">
        <f t="shared" si="5"/>
        <v>0</v>
      </c>
    </row>
    <row r="46" spans="1:27" ht="15" outlineLevel="1" thickBot="1" x14ac:dyDescent="0.4">
      <c r="A46" s="319"/>
      <c r="B46" s="216"/>
      <c r="C46" s="216"/>
      <c r="D46" s="489" t="str">
        <f>IFERROR(INDEX(BuildingInformationTable[Site type],MATCH(BuildingsElectricityTable[[#This Row],[Site name]],BuildingInformationTable[Site name],0)),"")</f>
        <v/>
      </c>
      <c r="E46" s="490" t="str">
        <f t="shared" si="2"/>
        <v/>
      </c>
      <c r="F46" s="490" t="str">
        <f t="shared" si="3"/>
        <v/>
      </c>
      <c r="G46" s="491"/>
      <c r="H46" s="492" t="str">
        <f>IF(G46="","",INDEX(Lists!$BA$4:$BC$31,MATCH(E46,Lists!$AZ$4:$AZ$31,0),MATCH(G46,Lists!$BA$3:$BC$3,0)))</f>
        <v/>
      </c>
      <c r="I46" s="267"/>
      <c r="J46" s="490" t="str">
        <f t="shared" si="4"/>
        <v/>
      </c>
      <c r="K46" s="493" t="str" cm="1">
        <f t="array" ref="K46">IF(OR($E46="",$D46="",$I46="",$J46=""),"",IF(J46=L46,I46,(INDEX('Emission factors'!$K$3:$V$201,MATCH(E46&amp;F46,'Emission factors'!$J$3:$J$201&amp;'Emission factors'!$K$3:$K$201,0),MATCH(K$6,'Emission factors'!$K$2:$V$2,0)))*I46))</f>
        <v/>
      </c>
      <c r="L46" s="494" t="str">
        <f>IF(OR($E46="",$D46="",$I46="",$J46=""),"",INDEX('Emission factors'!$K$3:$V$201,MATCH('Buildings - Grid Electricity'!$E46,'Emission factors'!$J$3:$J$201,0),MATCH($L$6,'Emission factors'!$K$2:$V$2,0)))</f>
        <v/>
      </c>
      <c r="M46" s="495" t="str" cm="1">
        <f t="array" ref="M46">IF(OR(E46="",I46="",BuildingsElectricityTable[[#This Row],[Units]]=""),"",INDEX('Emission factors'!$K$3:$V$201,MATCH('Buildings - Grid Electricity'!$E46&amp;F46,'Emission factors'!$J$3:$J$201&amp;'Emission factors'!$K$3:$K$201,0),MATCH('Buildings - Grid Electricity'!$M$6,'Emission factors'!$K$2:$V$2,0)))</f>
        <v/>
      </c>
      <c r="N46" s="496" t="str">
        <f>IF(OR(K46="",M46=""),"",SUM(BuildingsElectricityTable[[#This Row],[Direct]:[Indirect WTT]]))</f>
        <v/>
      </c>
      <c r="O46" s="268"/>
      <c r="P46" s="497"/>
      <c r="Q46" s="157" t="str" cm="1">
        <f t="array" ref="Q46">IF(OR($E46="",$I46=""),"",(INDEX('Emission factors'!$K$3:$V$201,MATCH('Buildings - Grid Electricity'!$E46&amp;$F46,'Emission factors'!$J$3:$J$201&amp;'Emission factors'!$K$3:$K$201,0),MATCH('Buildings - Grid Electricity'!Q$6,'Emission factors'!$K$2:$V$2,0)))*$K46)</f>
        <v/>
      </c>
      <c r="R46" s="157" t="str" cm="1">
        <f t="array" ref="R46">IF(OR($E46="",$I46=""),"",(INDEX('Emission factors'!$K$3:$V$201,MATCH('Buildings - Grid Electricity'!$E46&amp;$F46,'Emission factors'!$J$3:$J$201&amp;'Emission factors'!$K$3:$K$201,0),MATCH('Buildings - Grid Electricity'!R$6,'Emission factors'!$K$2:$V$2,0)))*$K46)</f>
        <v/>
      </c>
      <c r="S46" s="157" t="str" cm="1">
        <f t="array" ref="S46">IF(OR($E46="",$I46=""),"",(INDEX('Emission factors'!$K$3:$V$201,MATCH('Buildings - Grid Electricity'!$E46&amp;$F46,'Emission factors'!$J$3:$J$201&amp;'Emission factors'!$K$3:$K$201,0),MATCH('Buildings - Grid Electricity'!S$6,'Emission factors'!$K$2:$V$2,0)))*$K46)</f>
        <v/>
      </c>
      <c r="T46" s="157" t="str" cm="1">
        <f t="array" ref="T46">IF(OR($E46="",$I46=""),"",(INDEX('Emission factors'!$K$3:$V$201,MATCH('Buildings - Grid Electricity'!$E46&amp;$F46,'Emission factors'!$J$3:$J$201&amp;'Emission factors'!$K$3:$K$201,0),MATCH('Buildings - Grid Electricity'!T$6,'Emission factors'!$K$2:$V$2,0)))*$K46)</f>
        <v/>
      </c>
      <c r="U46" s="157" t="str" cm="1">
        <f t="array" ref="U46">IF(OR($E46="",$I46=""),"",(INDEX('Emission factors'!$K$3:$V$201,MATCH('Buildings - Grid Electricity'!$E46&amp;$F46,'Emission factors'!$J$3:$J$201&amp;'Emission factors'!$K$3:$K$201,0),MATCH('Buildings - Grid Electricity'!U$6,'Emission factors'!$K$2:$V$2,0)))*$K46)</f>
        <v/>
      </c>
      <c r="V46" s="269" t="str">
        <f>IF(OR($N46="",BuildingsElectricityTable[[#This Row],[RSD]]=""),"",BuildingsElectricityTable[[#This Row],[Total emissions (kgCO2e)]]*(1+BuildingsElectricityTable[[#This Row],[RSD]]))</f>
        <v/>
      </c>
      <c r="W46" s="270" t="str">
        <f>IF(OR($N46="",BuildingsElectricityTable[[#This Row],[RSD]]=""),"",BuildingsElectricityTable[[#This Row],[Total emissions (kgCO2e)]]*(1-BuildingsElectricityTable[[#This Row],[RSD]]))</f>
        <v/>
      </c>
      <c r="X46" s="271" t="str" cm="1">
        <f t="array" ref="X46">IF(OR($E46="",$I46=""),"",(INDEX('Emission factors'!$K$3:$V$201,MATCH('Buildings - Grid Electricity'!$E46&amp;$F46,'Emission factors'!$J$3:$J$201&amp;'Emission factors'!$K$3:$K$201,0),MATCH('Buildings - Grid Electricity'!X$6,'Emission factors'!$K$2:$V$2,0)))*$K46)</f>
        <v/>
      </c>
      <c r="Y46" s="30"/>
      <c r="Z46" s="1" cm="1">
        <f t="array" ref="Z46">IF(OR(ISERROR(B46:X46)),1,0)</f>
        <v>0</v>
      </c>
      <c r="AA46" s="1">
        <f t="shared" si="5"/>
        <v>0</v>
      </c>
    </row>
    <row r="47" spans="1:27" ht="15" outlineLevel="1" thickBot="1" x14ac:dyDescent="0.4">
      <c r="A47" s="319"/>
      <c r="B47" s="216"/>
      <c r="C47" s="216"/>
      <c r="D47" s="489" t="str">
        <f>IFERROR(INDEX(BuildingInformationTable[Site type],MATCH(BuildingsElectricityTable[[#This Row],[Site name]],BuildingInformationTable[Site name],0)),"")</f>
        <v/>
      </c>
      <c r="E47" s="490" t="str">
        <f t="shared" si="2"/>
        <v/>
      </c>
      <c r="F47" s="490" t="str">
        <f t="shared" si="3"/>
        <v/>
      </c>
      <c r="G47" s="491"/>
      <c r="H47" s="492" t="str">
        <f>IF(G47="","",INDEX(Lists!$BA$4:$BC$31,MATCH(E47,Lists!$AZ$4:$AZ$31,0),MATCH(G47,Lists!$BA$3:$BC$3,0)))</f>
        <v/>
      </c>
      <c r="I47" s="267"/>
      <c r="J47" s="490" t="str">
        <f t="shared" si="4"/>
        <v/>
      </c>
      <c r="K47" s="493" t="str" cm="1">
        <f t="array" ref="K47">IF(OR($E47="",$D47="",$I47="",$J47=""),"",IF(J47=L47,I47,(INDEX('Emission factors'!$K$3:$V$201,MATCH(E47&amp;F47,'Emission factors'!$J$3:$J$201&amp;'Emission factors'!$K$3:$K$201,0),MATCH(K$6,'Emission factors'!$K$2:$V$2,0)))*I47))</f>
        <v/>
      </c>
      <c r="L47" s="494" t="str">
        <f>IF(OR($E47="",$D47="",$I47="",$J47=""),"",INDEX('Emission factors'!$K$3:$V$201,MATCH('Buildings - Grid Electricity'!$E47,'Emission factors'!$J$3:$J$201,0),MATCH($L$6,'Emission factors'!$K$2:$V$2,0)))</f>
        <v/>
      </c>
      <c r="M47" s="495" t="str" cm="1">
        <f t="array" ref="M47">IF(OR(E47="",I47="",BuildingsElectricityTable[[#This Row],[Units]]=""),"",INDEX('Emission factors'!$K$3:$V$201,MATCH('Buildings - Grid Electricity'!$E47&amp;F47,'Emission factors'!$J$3:$J$201&amp;'Emission factors'!$K$3:$K$201,0),MATCH('Buildings - Grid Electricity'!$M$6,'Emission factors'!$K$2:$V$2,0)))</f>
        <v/>
      </c>
      <c r="N47" s="496" t="str">
        <f>IF(OR(K47="",M47=""),"",SUM(BuildingsElectricityTable[[#This Row],[Direct]:[Indirect WTT]]))</f>
        <v/>
      </c>
      <c r="O47" s="268"/>
      <c r="P47" s="497"/>
      <c r="Q47" s="157" t="str" cm="1">
        <f t="array" ref="Q47">IF(OR($E47="",$I47=""),"",(INDEX('Emission factors'!$K$3:$V$201,MATCH('Buildings - Grid Electricity'!$E47&amp;$F47,'Emission factors'!$J$3:$J$201&amp;'Emission factors'!$K$3:$K$201,0),MATCH('Buildings - Grid Electricity'!Q$6,'Emission factors'!$K$2:$V$2,0)))*$K47)</f>
        <v/>
      </c>
      <c r="R47" s="157" t="str" cm="1">
        <f t="array" ref="R47">IF(OR($E47="",$I47=""),"",(INDEX('Emission factors'!$K$3:$V$201,MATCH('Buildings - Grid Electricity'!$E47&amp;$F47,'Emission factors'!$J$3:$J$201&amp;'Emission factors'!$K$3:$K$201,0),MATCH('Buildings - Grid Electricity'!R$6,'Emission factors'!$K$2:$V$2,0)))*$K47)</f>
        <v/>
      </c>
      <c r="S47" s="157" t="str" cm="1">
        <f t="array" ref="S47">IF(OR($E47="",$I47=""),"",(INDEX('Emission factors'!$K$3:$V$201,MATCH('Buildings - Grid Electricity'!$E47&amp;$F47,'Emission factors'!$J$3:$J$201&amp;'Emission factors'!$K$3:$K$201,0),MATCH('Buildings - Grid Electricity'!S$6,'Emission factors'!$K$2:$V$2,0)))*$K47)</f>
        <v/>
      </c>
      <c r="T47" s="157" t="str" cm="1">
        <f t="array" ref="T47">IF(OR($E47="",$I47=""),"",(INDEX('Emission factors'!$K$3:$V$201,MATCH('Buildings - Grid Electricity'!$E47&amp;$F47,'Emission factors'!$J$3:$J$201&amp;'Emission factors'!$K$3:$K$201,0),MATCH('Buildings - Grid Electricity'!T$6,'Emission factors'!$K$2:$V$2,0)))*$K47)</f>
        <v/>
      </c>
      <c r="U47" s="157" t="str" cm="1">
        <f t="array" ref="U47">IF(OR($E47="",$I47=""),"",(INDEX('Emission factors'!$K$3:$V$201,MATCH('Buildings - Grid Electricity'!$E47&amp;$F47,'Emission factors'!$J$3:$J$201&amp;'Emission factors'!$K$3:$K$201,0),MATCH('Buildings - Grid Electricity'!U$6,'Emission factors'!$K$2:$V$2,0)))*$K47)</f>
        <v/>
      </c>
      <c r="V47" s="269" t="str">
        <f>IF(OR($N47="",BuildingsElectricityTable[[#This Row],[RSD]]=""),"",BuildingsElectricityTable[[#This Row],[Total emissions (kgCO2e)]]*(1+BuildingsElectricityTable[[#This Row],[RSD]]))</f>
        <v/>
      </c>
      <c r="W47" s="270" t="str">
        <f>IF(OR($N47="",BuildingsElectricityTable[[#This Row],[RSD]]=""),"",BuildingsElectricityTable[[#This Row],[Total emissions (kgCO2e)]]*(1-BuildingsElectricityTable[[#This Row],[RSD]]))</f>
        <v/>
      </c>
      <c r="X47" s="271" t="str" cm="1">
        <f t="array" ref="X47">IF(OR($E47="",$I47=""),"",(INDEX('Emission factors'!$K$3:$V$201,MATCH('Buildings - Grid Electricity'!$E47&amp;$F47,'Emission factors'!$J$3:$J$201&amp;'Emission factors'!$K$3:$K$201,0),MATCH('Buildings - Grid Electricity'!X$6,'Emission factors'!$K$2:$V$2,0)))*$K47)</f>
        <v/>
      </c>
      <c r="Y47" s="30"/>
      <c r="Z47" s="1" cm="1">
        <f t="array" ref="Z47">IF(OR(ISERROR(B47:X47)),1,0)</f>
        <v>0</v>
      </c>
      <c r="AA47" s="1">
        <f t="shared" si="5"/>
        <v>0</v>
      </c>
    </row>
    <row r="48" spans="1:27" ht="15" outlineLevel="1" thickBot="1" x14ac:dyDescent="0.4">
      <c r="A48" s="319"/>
      <c r="B48" s="216"/>
      <c r="C48" s="216"/>
      <c r="D48" s="489" t="str">
        <f>IFERROR(INDEX(BuildingInformationTable[Site type],MATCH(BuildingsElectricityTable[[#This Row],[Site name]],BuildingInformationTable[Site name],0)),"")</f>
        <v/>
      </c>
      <c r="E48" s="490" t="str">
        <f t="shared" si="2"/>
        <v/>
      </c>
      <c r="F48" s="490" t="str">
        <f t="shared" si="3"/>
        <v/>
      </c>
      <c r="G48" s="491"/>
      <c r="H48" s="492" t="str">
        <f>IF(G48="","",INDEX(Lists!$BA$4:$BC$31,MATCH(E48,Lists!$AZ$4:$AZ$31,0),MATCH(G48,Lists!$BA$3:$BC$3,0)))</f>
        <v/>
      </c>
      <c r="I48" s="267"/>
      <c r="J48" s="490" t="str">
        <f t="shared" si="4"/>
        <v/>
      </c>
      <c r="K48" s="493" t="str" cm="1">
        <f t="array" ref="K48">IF(OR($E48="",$D48="",$I48="",$J48=""),"",IF(J48=L48,I48,(INDEX('Emission factors'!$K$3:$V$201,MATCH(E48&amp;F48,'Emission factors'!$J$3:$J$201&amp;'Emission factors'!$K$3:$K$201,0),MATCH(K$6,'Emission factors'!$K$2:$V$2,0)))*I48))</f>
        <v/>
      </c>
      <c r="L48" s="494" t="str">
        <f>IF(OR($E48="",$D48="",$I48="",$J48=""),"",INDEX('Emission factors'!$K$3:$V$201,MATCH('Buildings - Grid Electricity'!$E48,'Emission factors'!$J$3:$J$201,0),MATCH($L$6,'Emission factors'!$K$2:$V$2,0)))</f>
        <v/>
      </c>
      <c r="M48" s="495" t="str" cm="1">
        <f t="array" ref="M48">IF(OR(E48="",I48="",BuildingsElectricityTable[[#This Row],[Units]]=""),"",INDEX('Emission factors'!$K$3:$V$201,MATCH('Buildings - Grid Electricity'!$E48&amp;F48,'Emission factors'!$J$3:$J$201&amp;'Emission factors'!$K$3:$K$201,0),MATCH('Buildings - Grid Electricity'!$M$6,'Emission factors'!$K$2:$V$2,0)))</f>
        <v/>
      </c>
      <c r="N48" s="496" t="str">
        <f>IF(OR(K48="",M48=""),"",SUM(BuildingsElectricityTable[[#This Row],[Direct]:[Indirect WTT]]))</f>
        <v/>
      </c>
      <c r="O48" s="268"/>
      <c r="P48" s="497"/>
      <c r="Q48" s="157" t="str" cm="1">
        <f t="array" ref="Q48">IF(OR($E48="",$I48=""),"",(INDEX('Emission factors'!$K$3:$V$201,MATCH('Buildings - Grid Electricity'!$E48&amp;$F48,'Emission factors'!$J$3:$J$201&amp;'Emission factors'!$K$3:$K$201,0),MATCH('Buildings - Grid Electricity'!Q$6,'Emission factors'!$K$2:$V$2,0)))*$K48)</f>
        <v/>
      </c>
      <c r="R48" s="157" t="str" cm="1">
        <f t="array" ref="R48">IF(OR($E48="",$I48=""),"",(INDEX('Emission factors'!$K$3:$V$201,MATCH('Buildings - Grid Electricity'!$E48&amp;$F48,'Emission factors'!$J$3:$J$201&amp;'Emission factors'!$K$3:$K$201,0),MATCH('Buildings - Grid Electricity'!R$6,'Emission factors'!$K$2:$V$2,0)))*$K48)</f>
        <v/>
      </c>
      <c r="S48" s="157" t="str" cm="1">
        <f t="array" ref="S48">IF(OR($E48="",$I48=""),"",(INDEX('Emission factors'!$K$3:$V$201,MATCH('Buildings - Grid Electricity'!$E48&amp;$F48,'Emission factors'!$J$3:$J$201&amp;'Emission factors'!$K$3:$K$201,0),MATCH('Buildings - Grid Electricity'!S$6,'Emission factors'!$K$2:$V$2,0)))*$K48)</f>
        <v/>
      </c>
      <c r="T48" s="157" t="str" cm="1">
        <f t="array" ref="T48">IF(OR($E48="",$I48=""),"",(INDEX('Emission factors'!$K$3:$V$201,MATCH('Buildings - Grid Electricity'!$E48&amp;$F48,'Emission factors'!$J$3:$J$201&amp;'Emission factors'!$K$3:$K$201,0),MATCH('Buildings - Grid Electricity'!T$6,'Emission factors'!$K$2:$V$2,0)))*$K48)</f>
        <v/>
      </c>
      <c r="U48" s="157" t="str" cm="1">
        <f t="array" ref="U48">IF(OR($E48="",$I48=""),"",(INDEX('Emission factors'!$K$3:$V$201,MATCH('Buildings - Grid Electricity'!$E48&amp;$F48,'Emission factors'!$J$3:$J$201&amp;'Emission factors'!$K$3:$K$201,0),MATCH('Buildings - Grid Electricity'!U$6,'Emission factors'!$K$2:$V$2,0)))*$K48)</f>
        <v/>
      </c>
      <c r="V48" s="269" t="str">
        <f>IF(OR($N48="",BuildingsElectricityTable[[#This Row],[RSD]]=""),"",BuildingsElectricityTable[[#This Row],[Total emissions (kgCO2e)]]*(1+BuildingsElectricityTable[[#This Row],[RSD]]))</f>
        <v/>
      </c>
      <c r="W48" s="270" t="str">
        <f>IF(OR($N48="",BuildingsElectricityTable[[#This Row],[RSD]]=""),"",BuildingsElectricityTable[[#This Row],[Total emissions (kgCO2e)]]*(1-BuildingsElectricityTable[[#This Row],[RSD]]))</f>
        <v/>
      </c>
      <c r="X48" s="271" t="str" cm="1">
        <f t="array" ref="X48">IF(OR($E48="",$I48=""),"",(INDEX('Emission factors'!$K$3:$V$201,MATCH('Buildings - Grid Electricity'!$E48&amp;$F48,'Emission factors'!$J$3:$J$201&amp;'Emission factors'!$K$3:$K$201,0),MATCH('Buildings - Grid Electricity'!X$6,'Emission factors'!$K$2:$V$2,0)))*$K48)</f>
        <v/>
      </c>
      <c r="Y48" s="30"/>
      <c r="Z48" s="1" cm="1">
        <f t="array" ref="Z48">IF(OR(ISERROR(B48:X48)),1,0)</f>
        <v>0</v>
      </c>
      <c r="AA48" s="1">
        <f t="shared" si="5"/>
        <v>0</v>
      </c>
    </row>
    <row r="49" spans="1:27" ht="15" outlineLevel="1" thickBot="1" x14ac:dyDescent="0.4">
      <c r="A49" s="319"/>
      <c r="B49" s="216"/>
      <c r="C49" s="216"/>
      <c r="D49" s="489" t="str">
        <f>IFERROR(INDEX(BuildingInformationTable[Site type],MATCH(BuildingsElectricityTable[[#This Row],[Site name]],BuildingInformationTable[Site name],0)),"")</f>
        <v/>
      </c>
      <c r="E49" s="490" t="str">
        <f t="shared" si="2"/>
        <v/>
      </c>
      <c r="F49" s="490" t="str">
        <f t="shared" si="3"/>
        <v/>
      </c>
      <c r="G49" s="491"/>
      <c r="H49" s="492" t="str">
        <f>IF(G49="","",INDEX(Lists!$BA$4:$BC$31,MATCH(E49,Lists!$AZ$4:$AZ$31,0),MATCH(G49,Lists!$BA$3:$BC$3,0)))</f>
        <v/>
      </c>
      <c r="I49" s="267"/>
      <c r="J49" s="490" t="str">
        <f t="shared" si="4"/>
        <v/>
      </c>
      <c r="K49" s="493" t="str" cm="1">
        <f t="array" ref="K49">IF(OR($E49="",$D49="",$I49="",$J49=""),"",IF(J49=L49,I49,(INDEX('Emission factors'!$K$3:$V$201,MATCH(E49&amp;F49,'Emission factors'!$J$3:$J$201&amp;'Emission factors'!$K$3:$K$201,0),MATCH(K$6,'Emission factors'!$K$2:$V$2,0)))*I49))</f>
        <v/>
      </c>
      <c r="L49" s="494" t="str">
        <f>IF(OR($E49="",$D49="",$I49="",$J49=""),"",INDEX('Emission factors'!$K$3:$V$201,MATCH('Buildings - Grid Electricity'!$E49,'Emission factors'!$J$3:$J$201,0),MATCH($L$6,'Emission factors'!$K$2:$V$2,0)))</f>
        <v/>
      </c>
      <c r="M49" s="495" t="str" cm="1">
        <f t="array" ref="M49">IF(OR(E49="",I49="",BuildingsElectricityTable[[#This Row],[Units]]=""),"",INDEX('Emission factors'!$K$3:$V$201,MATCH('Buildings - Grid Electricity'!$E49&amp;F49,'Emission factors'!$J$3:$J$201&amp;'Emission factors'!$K$3:$K$201,0),MATCH('Buildings - Grid Electricity'!$M$6,'Emission factors'!$K$2:$V$2,0)))</f>
        <v/>
      </c>
      <c r="N49" s="496" t="str">
        <f>IF(OR(K49="",M49=""),"",SUM(BuildingsElectricityTable[[#This Row],[Direct]:[Indirect WTT]]))</f>
        <v/>
      </c>
      <c r="O49" s="268"/>
      <c r="P49" s="497"/>
      <c r="Q49" s="157" t="str" cm="1">
        <f t="array" ref="Q49">IF(OR($E49="",$I49=""),"",(INDEX('Emission factors'!$K$3:$V$201,MATCH('Buildings - Grid Electricity'!$E49&amp;$F49,'Emission factors'!$J$3:$J$201&amp;'Emission factors'!$K$3:$K$201,0),MATCH('Buildings - Grid Electricity'!Q$6,'Emission factors'!$K$2:$V$2,0)))*$K49)</f>
        <v/>
      </c>
      <c r="R49" s="157" t="str" cm="1">
        <f t="array" ref="R49">IF(OR($E49="",$I49=""),"",(INDEX('Emission factors'!$K$3:$V$201,MATCH('Buildings - Grid Electricity'!$E49&amp;$F49,'Emission factors'!$J$3:$J$201&amp;'Emission factors'!$K$3:$K$201,0),MATCH('Buildings - Grid Electricity'!R$6,'Emission factors'!$K$2:$V$2,0)))*$K49)</f>
        <v/>
      </c>
      <c r="S49" s="157" t="str" cm="1">
        <f t="array" ref="S49">IF(OR($E49="",$I49=""),"",(INDEX('Emission factors'!$K$3:$V$201,MATCH('Buildings - Grid Electricity'!$E49&amp;$F49,'Emission factors'!$J$3:$J$201&amp;'Emission factors'!$K$3:$K$201,0),MATCH('Buildings - Grid Electricity'!S$6,'Emission factors'!$K$2:$V$2,0)))*$K49)</f>
        <v/>
      </c>
      <c r="T49" s="157" t="str" cm="1">
        <f t="array" ref="T49">IF(OR($E49="",$I49=""),"",(INDEX('Emission factors'!$K$3:$V$201,MATCH('Buildings - Grid Electricity'!$E49&amp;$F49,'Emission factors'!$J$3:$J$201&amp;'Emission factors'!$K$3:$K$201,0),MATCH('Buildings - Grid Electricity'!T$6,'Emission factors'!$K$2:$V$2,0)))*$K49)</f>
        <v/>
      </c>
      <c r="U49" s="157" t="str" cm="1">
        <f t="array" ref="U49">IF(OR($E49="",$I49=""),"",(INDEX('Emission factors'!$K$3:$V$201,MATCH('Buildings - Grid Electricity'!$E49&amp;$F49,'Emission factors'!$J$3:$J$201&amp;'Emission factors'!$K$3:$K$201,0),MATCH('Buildings - Grid Electricity'!U$6,'Emission factors'!$K$2:$V$2,0)))*$K49)</f>
        <v/>
      </c>
      <c r="V49" s="269" t="str">
        <f>IF(OR($N49="",BuildingsElectricityTable[[#This Row],[RSD]]=""),"",BuildingsElectricityTable[[#This Row],[Total emissions (kgCO2e)]]*(1+BuildingsElectricityTable[[#This Row],[RSD]]))</f>
        <v/>
      </c>
      <c r="W49" s="270" t="str">
        <f>IF(OR($N49="",BuildingsElectricityTable[[#This Row],[RSD]]=""),"",BuildingsElectricityTable[[#This Row],[Total emissions (kgCO2e)]]*(1-BuildingsElectricityTable[[#This Row],[RSD]]))</f>
        <v/>
      </c>
      <c r="X49" s="271" t="str" cm="1">
        <f t="array" ref="X49">IF(OR($E49="",$I49=""),"",(INDEX('Emission factors'!$K$3:$V$201,MATCH('Buildings - Grid Electricity'!$E49&amp;$F49,'Emission factors'!$J$3:$J$201&amp;'Emission factors'!$K$3:$K$201,0),MATCH('Buildings - Grid Electricity'!X$6,'Emission factors'!$K$2:$V$2,0)))*$K49)</f>
        <v/>
      </c>
      <c r="Y49" s="30"/>
      <c r="Z49" s="1" cm="1">
        <f t="array" ref="Z49">IF(OR(ISERROR(B49:X49)),1,0)</f>
        <v>0</v>
      </c>
      <c r="AA49" s="1">
        <f t="shared" si="5"/>
        <v>0</v>
      </c>
    </row>
    <row r="50" spans="1:27" ht="15" outlineLevel="1" thickBot="1" x14ac:dyDescent="0.4">
      <c r="A50" s="319"/>
      <c r="B50" s="216"/>
      <c r="C50" s="216"/>
      <c r="D50" s="489" t="str">
        <f>IFERROR(INDEX(BuildingInformationTable[Site type],MATCH(BuildingsElectricityTable[[#This Row],[Site name]],BuildingInformationTable[Site name],0)),"")</f>
        <v/>
      </c>
      <c r="E50" s="490" t="str">
        <f t="shared" si="2"/>
        <v/>
      </c>
      <c r="F50" s="490" t="str">
        <f t="shared" si="3"/>
        <v/>
      </c>
      <c r="G50" s="491"/>
      <c r="H50" s="492" t="str">
        <f>IF(G50="","",INDEX(Lists!$BA$4:$BC$31,MATCH(E50,Lists!$AZ$4:$AZ$31,0),MATCH(G50,Lists!$BA$3:$BC$3,0)))</f>
        <v/>
      </c>
      <c r="I50" s="267"/>
      <c r="J50" s="490" t="str">
        <f t="shared" si="4"/>
        <v/>
      </c>
      <c r="K50" s="493" t="str" cm="1">
        <f t="array" ref="K50">IF(OR($E50="",$D50="",$I50="",$J50=""),"",IF(J50=L50,I50,(INDEX('Emission factors'!$K$3:$V$201,MATCH(E50&amp;F50,'Emission factors'!$J$3:$J$201&amp;'Emission factors'!$K$3:$K$201,0),MATCH(K$6,'Emission factors'!$K$2:$V$2,0)))*I50))</f>
        <v/>
      </c>
      <c r="L50" s="494" t="str">
        <f>IF(OR($E50="",$D50="",$I50="",$J50=""),"",INDEX('Emission factors'!$K$3:$V$201,MATCH('Buildings - Grid Electricity'!$E50,'Emission factors'!$J$3:$J$201,0),MATCH($L$6,'Emission factors'!$K$2:$V$2,0)))</f>
        <v/>
      </c>
      <c r="M50" s="495" t="str" cm="1">
        <f t="array" ref="M50">IF(OR(E50="",I50="",BuildingsElectricityTable[[#This Row],[Units]]=""),"",INDEX('Emission factors'!$K$3:$V$201,MATCH('Buildings - Grid Electricity'!$E50&amp;F50,'Emission factors'!$J$3:$J$201&amp;'Emission factors'!$K$3:$K$201,0),MATCH('Buildings - Grid Electricity'!$M$6,'Emission factors'!$K$2:$V$2,0)))</f>
        <v/>
      </c>
      <c r="N50" s="496" t="str">
        <f>IF(OR(K50="",M50=""),"",SUM(BuildingsElectricityTable[[#This Row],[Direct]:[Indirect WTT]]))</f>
        <v/>
      </c>
      <c r="O50" s="268"/>
      <c r="P50" s="497"/>
      <c r="Q50" s="157" t="str" cm="1">
        <f t="array" ref="Q50">IF(OR($E50="",$I50=""),"",(INDEX('Emission factors'!$K$3:$V$201,MATCH('Buildings - Grid Electricity'!$E50&amp;$F50,'Emission factors'!$J$3:$J$201&amp;'Emission factors'!$K$3:$K$201,0),MATCH('Buildings - Grid Electricity'!Q$6,'Emission factors'!$K$2:$V$2,0)))*$K50)</f>
        <v/>
      </c>
      <c r="R50" s="157" t="str" cm="1">
        <f t="array" ref="R50">IF(OR($E50="",$I50=""),"",(INDEX('Emission factors'!$K$3:$V$201,MATCH('Buildings - Grid Electricity'!$E50&amp;$F50,'Emission factors'!$J$3:$J$201&amp;'Emission factors'!$K$3:$K$201,0),MATCH('Buildings - Grid Electricity'!R$6,'Emission factors'!$K$2:$V$2,0)))*$K50)</f>
        <v/>
      </c>
      <c r="S50" s="157" t="str" cm="1">
        <f t="array" ref="S50">IF(OR($E50="",$I50=""),"",(INDEX('Emission factors'!$K$3:$V$201,MATCH('Buildings - Grid Electricity'!$E50&amp;$F50,'Emission factors'!$J$3:$J$201&amp;'Emission factors'!$K$3:$K$201,0),MATCH('Buildings - Grid Electricity'!S$6,'Emission factors'!$K$2:$V$2,0)))*$K50)</f>
        <v/>
      </c>
      <c r="T50" s="157" t="str" cm="1">
        <f t="array" ref="T50">IF(OR($E50="",$I50=""),"",(INDEX('Emission factors'!$K$3:$V$201,MATCH('Buildings - Grid Electricity'!$E50&amp;$F50,'Emission factors'!$J$3:$J$201&amp;'Emission factors'!$K$3:$K$201,0),MATCH('Buildings - Grid Electricity'!T$6,'Emission factors'!$K$2:$V$2,0)))*$K50)</f>
        <v/>
      </c>
      <c r="U50" s="157" t="str" cm="1">
        <f t="array" ref="U50">IF(OR($E50="",$I50=""),"",(INDEX('Emission factors'!$K$3:$V$201,MATCH('Buildings - Grid Electricity'!$E50&amp;$F50,'Emission factors'!$J$3:$J$201&amp;'Emission factors'!$K$3:$K$201,0),MATCH('Buildings - Grid Electricity'!U$6,'Emission factors'!$K$2:$V$2,0)))*$K50)</f>
        <v/>
      </c>
      <c r="V50" s="269" t="str">
        <f>IF(OR($N50="",BuildingsElectricityTable[[#This Row],[RSD]]=""),"",BuildingsElectricityTable[[#This Row],[Total emissions (kgCO2e)]]*(1+BuildingsElectricityTable[[#This Row],[RSD]]))</f>
        <v/>
      </c>
      <c r="W50" s="270" t="str">
        <f>IF(OR($N50="",BuildingsElectricityTable[[#This Row],[RSD]]=""),"",BuildingsElectricityTable[[#This Row],[Total emissions (kgCO2e)]]*(1-BuildingsElectricityTable[[#This Row],[RSD]]))</f>
        <v/>
      </c>
      <c r="X50" s="271" t="str" cm="1">
        <f t="array" ref="X50">IF(OR($E50="",$I50=""),"",(INDEX('Emission factors'!$K$3:$V$201,MATCH('Buildings - Grid Electricity'!$E50&amp;$F50,'Emission factors'!$J$3:$J$201&amp;'Emission factors'!$K$3:$K$201,0),MATCH('Buildings - Grid Electricity'!X$6,'Emission factors'!$K$2:$V$2,0)))*$K50)</f>
        <v/>
      </c>
      <c r="Y50" s="30"/>
      <c r="Z50" s="1" cm="1">
        <f t="array" ref="Z50">IF(OR(ISERROR(B50:X50)),1,0)</f>
        <v>0</v>
      </c>
      <c r="AA50" s="1">
        <f t="shared" si="5"/>
        <v>0</v>
      </c>
    </row>
    <row r="51" spans="1:27" ht="15" outlineLevel="1" thickBot="1" x14ac:dyDescent="0.4">
      <c r="A51" s="319"/>
      <c r="B51" s="216"/>
      <c r="C51" s="216"/>
      <c r="D51" s="489" t="str">
        <f>IFERROR(INDEX(BuildingInformationTable[Site type],MATCH(BuildingsElectricityTable[[#This Row],[Site name]],BuildingInformationTable[Site name],0)),"")</f>
        <v/>
      </c>
      <c r="E51" s="490" t="str">
        <f t="shared" si="2"/>
        <v/>
      </c>
      <c r="F51" s="490" t="str">
        <f t="shared" si="3"/>
        <v/>
      </c>
      <c r="G51" s="491"/>
      <c r="H51" s="492" t="str">
        <f>IF(G51="","",INDEX(Lists!$BA$4:$BC$31,MATCH(E51,Lists!$AZ$4:$AZ$31,0),MATCH(G51,Lists!$BA$3:$BC$3,0)))</f>
        <v/>
      </c>
      <c r="I51" s="267"/>
      <c r="J51" s="490" t="str">
        <f t="shared" si="4"/>
        <v/>
      </c>
      <c r="K51" s="493" t="str" cm="1">
        <f t="array" ref="K51">IF(OR($E51="",$D51="",$I51="",$J51=""),"",IF(J51=L51,I51,(INDEX('Emission factors'!$K$3:$V$201,MATCH(E51&amp;F51,'Emission factors'!$J$3:$J$201&amp;'Emission factors'!$K$3:$K$201,0),MATCH(K$6,'Emission factors'!$K$2:$V$2,0)))*I51))</f>
        <v/>
      </c>
      <c r="L51" s="494" t="str">
        <f>IF(OR($E51="",$D51="",$I51="",$J51=""),"",INDEX('Emission factors'!$K$3:$V$201,MATCH('Buildings - Grid Electricity'!$E51,'Emission factors'!$J$3:$J$201,0),MATCH($L$6,'Emission factors'!$K$2:$V$2,0)))</f>
        <v/>
      </c>
      <c r="M51" s="495" t="str" cm="1">
        <f t="array" ref="M51">IF(OR(E51="",I51="",BuildingsElectricityTable[[#This Row],[Units]]=""),"",INDEX('Emission factors'!$K$3:$V$201,MATCH('Buildings - Grid Electricity'!$E51&amp;F51,'Emission factors'!$J$3:$J$201&amp;'Emission factors'!$K$3:$K$201,0),MATCH('Buildings - Grid Electricity'!$M$6,'Emission factors'!$K$2:$V$2,0)))</f>
        <v/>
      </c>
      <c r="N51" s="496" t="str">
        <f>IF(OR(K51="",M51=""),"",SUM(BuildingsElectricityTable[[#This Row],[Direct]:[Indirect WTT]]))</f>
        <v/>
      </c>
      <c r="O51" s="268"/>
      <c r="P51" s="497"/>
      <c r="Q51" s="157" t="str" cm="1">
        <f t="array" ref="Q51">IF(OR($E51="",$I51=""),"",(INDEX('Emission factors'!$K$3:$V$201,MATCH('Buildings - Grid Electricity'!$E51&amp;$F51,'Emission factors'!$J$3:$J$201&amp;'Emission factors'!$K$3:$K$201,0),MATCH('Buildings - Grid Electricity'!Q$6,'Emission factors'!$K$2:$V$2,0)))*$K51)</f>
        <v/>
      </c>
      <c r="R51" s="157" t="str" cm="1">
        <f t="array" ref="R51">IF(OR($E51="",$I51=""),"",(INDEX('Emission factors'!$K$3:$V$201,MATCH('Buildings - Grid Electricity'!$E51&amp;$F51,'Emission factors'!$J$3:$J$201&amp;'Emission factors'!$K$3:$K$201,0),MATCH('Buildings - Grid Electricity'!R$6,'Emission factors'!$K$2:$V$2,0)))*$K51)</f>
        <v/>
      </c>
      <c r="S51" s="157" t="str" cm="1">
        <f t="array" ref="S51">IF(OR($E51="",$I51=""),"",(INDEX('Emission factors'!$K$3:$V$201,MATCH('Buildings - Grid Electricity'!$E51&amp;$F51,'Emission factors'!$J$3:$J$201&amp;'Emission factors'!$K$3:$K$201,0),MATCH('Buildings - Grid Electricity'!S$6,'Emission factors'!$K$2:$V$2,0)))*$K51)</f>
        <v/>
      </c>
      <c r="T51" s="157" t="str" cm="1">
        <f t="array" ref="T51">IF(OR($E51="",$I51=""),"",(INDEX('Emission factors'!$K$3:$V$201,MATCH('Buildings - Grid Electricity'!$E51&amp;$F51,'Emission factors'!$J$3:$J$201&amp;'Emission factors'!$K$3:$K$201,0),MATCH('Buildings - Grid Electricity'!T$6,'Emission factors'!$K$2:$V$2,0)))*$K51)</f>
        <v/>
      </c>
      <c r="U51" s="157" t="str" cm="1">
        <f t="array" ref="U51">IF(OR($E51="",$I51=""),"",(INDEX('Emission factors'!$K$3:$V$201,MATCH('Buildings - Grid Electricity'!$E51&amp;$F51,'Emission factors'!$J$3:$J$201&amp;'Emission factors'!$K$3:$K$201,0),MATCH('Buildings - Grid Electricity'!U$6,'Emission factors'!$K$2:$V$2,0)))*$K51)</f>
        <v/>
      </c>
      <c r="V51" s="269" t="str">
        <f>IF(OR($N51="",BuildingsElectricityTable[[#This Row],[RSD]]=""),"",BuildingsElectricityTable[[#This Row],[Total emissions (kgCO2e)]]*(1+BuildingsElectricityTable[[#This Row],[RSD]]))</f>
        <v/>
      </c>
      <c r="W51" s="270" t="str">
        <f>IF(OR($N51="",BuildingsElectricityTable[[#This Row],[RSD]]=""),"",BuildingsElectricityTable[[#This Row],[Total emissions (kgCO2e)]]*(1-BuildingsElectricityTable[[#This Row],[RSD]]))</f>
        <v/>
      </c>
      <c r="X51" s="271" t="str" cm="1">
        <f t="array" ref="X51">IF(OR($E51="",$I51=""),"",(INDEX('Emission factors'!$K$3:$V$201,MATCH('Buildings - Grid Electricity'!$E51&amp;$F51,'Emission factors'!$J$3:$J$201&amp;'Emission factors'!$K$3:$K$201,0),MATCH('Buildings - Grid Electricity'!X$6,'Emission factors'!$K$2:$V$2,0)))*$K51)</f>
        <v/>
      </c>
      <c r="Y51" s="30"/>
      <c r="Z51" s="1" cm="1">
        <f t="array" ref="Z51">IF(OR(ISERROR(B51:X51)),1,0)</f>
        <v>0</v>
      </c>
      <c r="AA51" s="1">
        <f t="shared" si="5"/>
        <v>0</v>
      </c>
    </row>
    <row r="52" spans="1:27" ht="15" outlineLevel="1" thickBot="1" x14ac:dyDescent="0.4">
      <c r="A52" s="319"/>
      <c r="B52" s="216"/>
      <c r="C52" s="216"/>
      <c r="D52" s="489" t="str">
        <f>IFERROR(INDEX(BuildingInformationTable[Site type],MATCH(BuildingsElectricityTable[[#This Row],[Site name]],BuildingInformationTable[Site name],0)),"")</f>
        <v/>
      </c>
      <c r="E52" s="490" t="str">
        <f t="shared" si="2"/>
        <v/>
      </c>
      <c r="F52" s="490" t="str">
        <f t="shared" si="3"/>
        <v/>
      </c>
      <c r="G52" s="491"/>
      <c r="H52" s="492" t="str">
        <f>IF(G52="","",INDEX(Lists!$BA$4:$BC$31,MATCH(E52,Lists!$AZ$4:$AZ$31,0),MATCH(G52,Lists!$BA$3:$BC$3,0)))</f>
        <v/>
      </c>
      <c r="I52" s="267"/>
      <c r="J52" s="490" t="str">
        <f t="shared" si="4"/>
        <v/>
      </c>
      <c r="K52" s="493" t="str" cm="1">
        <f t="array" ref="K52">IF(OR($E52="",$D52="",$I52="",$J52=""),"",IF(J52=L52,I52,(INDEX('Emission factors'!$K$3:$V$201,MATCH(E52&amp;F52,'Emission factors'!$J$3:$J$201&amp;'Emission factors'!$K$3:$K$201,0),MATCH(K$6,'Emission factors'!$K$2:$V$2,0)))*I52))</f>
        <v/>
      </c>
      <c r="L52" s="494" t="str">
        <f>IF(OR($E52="",$D52="",$I52="",$J52=""),"",INDEX('Emission factors'!$K$3:$V$201,MATCH('Buildings - Grid Electricity'!$E52,'Emission factors'!$J$3:$J$201,0),MATCH($L$6,'Emission factors'!$K$2:$V$2,0)))</f>
        <v/>
      </c>
      <c r="M52" s="495" t="str" cm="1">
        <f t="array" ref="M52">IF(OR(E52="",I52="",BuildingsElectricityTable[[#This Row],[Units]]=""),"",INDEX('Emission factors'!$K$3:$V$201,MATCH('Buildings - Grid Electricity'!$E52&amp;F52,'Emission factors'!$J$3:$J$201&amp;'Emission factors'!$K$3:$K$201,0),MATCH('Buildings - Grid Electricity'!$M$6,'Emission factors'!$K$2:$V$2,0)))</f>
        <v/>
      </c>
      <c r="N52" s="496" t="str">
        <f>IF(OR(K52="",M52=""),"",SUM(BuildingsElectricityTable[[#This Row],[Direct]:[Indirect WTT]]))</f>
        <v/>
      </c>
      <c r="O52" s="268"/>
      <c r="P52" s="497"/>
      <c r="Q52" s="157" t="str" cm="1">
        <f t="array" ref="Q52">IF(OR($E52="",$I52=""),"",(INDEX('Emission factors'!$K$3:$V$201,MATCH('Buildings - Grid Electricity'!$E52&amp;$F52,'Emission factors'!$J$3:$J$201&amp;'Emission factors'!$K$3:$K$201,0),MATCH('Buildings - Grid Electricity'!Q$6,'Emission factors'!$K$2:$V$2,0)))*$K52)</f>
        <v/>
      </c>
      <c r="R52" s="157" t="str" cm="1">
        <f t="array" ref="R52">IF(OR($E52="",$I52=""),"",(INDEX('Emission factors'!$K$3:$V$201,MATCH('Buildings - Grid Electricity'!$E52&amp;$F52,'Emission factors'!$J$3:$J$201&amp;'Emission factors'!$K$3:$K$201,0),MATCH('Buildings - Grid Electricity'!R$6,'Emission factors'!$K$2:$V$2,0)))*$K52)</f>
        <v/>
      </c>
      <c r="S52" s="157" t="str" cm="1">
        <f t="array" ref="S52">IF(OR($E52="",$I52=""),"",(INDEX('Emission factors'!$K$3:$V$201,MATCH('Buildings - Grid Electricity'!$E52&amp;$F52,'Emission factors'!$J$3:$J$201&amp;'Emission factors'!$K$3:$K$201,0),MATCH('Buildings - Grid Electricity'!S$6,'Emission factors'!$K$2:$V$2,0)))*$K52)</f>
        <v/>
      </c>
      <c r="T52" s="157" t="str" cm="1">
        <f t="array" ref="T52">IF(OR($E52="",$I52=""),"",(INDEX('Emission factors'!$K$3:$V$201,MATCH('Buildings - Grid Electricity'!$E52&amp;$F52,'Emission factors'!$J$3:$J$201&amp;'Emission factors'!$K$3:$K$201,0),MATCH('Buildings - Grid Electricity'!T$6,'Emission factors'!$K$2:$V$2,0)))*$K52)</f>
        <v/>
      </c>
      <c r="U52" s="157" t="str" cm="1">
        <f t="array" ref="U52">IF(OR($E52="",$I52=""),"",(INDEX('Emission factors'!$K$3:$V$201,MATCH('Buildings - Grid Electricity'!$E52&amp;$F52,'Emission factors'!$J$3:$J$201&amp;'Emission factors'!$K$3:$K$201,0),MATCH('Buildings - Grid Electricity'!U$6,'Emission factors'!$K$2:$V$2,0)))*$K52)</f>
        <v/>
      </c>
      <c r="V52" s="269" t="str">
        <f>IF(OR($N52="",BuildingsElectricityTable[[#This Row],[RSD]]=""),"",BuildingsElectricityTable[[#This Row],[Total emissions (kgCO2e)]]*(1+BuildingsElectricityTable[[#This Row],[RSD]]))</f>
        <v/>
      </c>
      <c r="W52" s="270" t="str">
        <f>IF(OR($N52="",BuildingsElectricityTable[[#This Row],[RSD]]=""),"",BuildingsElectricityTable[[#This Row],[Total emissions (kgCO2e)]]*(1-BuildingsElectricityTable[[#This Row],[RSD]]))</f>
        <v/>
      </c>
      <c r="X52" s="271" t="str" cm="1">
        <f t="array" ref="X52">IF(OR($E52="",$I52=""),"",(INDEX('Emission factors'!$K$3:$V$201,MATCH('Buildings - Grid Electricity'!$E52&amp;$F52,'Emission factors'!$J$3:$J$201&amp;'Emission factors'!$K$3:$K$201,0),MATCH('Buildings - Grid Electricity'!X$6,'Emission factors'!$K$2:$V$2,0)))*$K52)</f>
        <v/>
      </c>
      <c r="Y52" s="30"/>
      <c r="Z52" s="1" cm="1">
        <f t="array" ref="Z52">IF(OR(ISERROR(B52:X52)),1,0)</f>
        <v>0</v>
      </c>
      <c r="AA52" s="1">
        <f t="shared" si="5"/>
        <v>0</v>
      </c>
    </row>
    <row r="53" spans="1:27" ht="15" outlineLevel="1" thickBot="1" x14ac:dyDescent="0.4">
      <c r="A53" s="319"/>
      <c r="B53" s="216"/>
      <c r="C53" s="216"/>
      <c r="D53" s="489" t="str">
        <f>IFERROR(INDEX(BuildingInformationTable[Site type],MATCH(BuildingsElectricityTable[[#This Row],[Site name]],BuildingInformationTable[Site name],0)),"")</f>
        <v/>
      </c>
      <c r="E53" s="490" t="str">
        <f t="shared" si="2"/>
        <v/>
      </c>
      <c r="F53" s="490" t="str">
        <f t="shared" si="3"/>
        <v/>
      </c>
      <c r="G53" s="491"/>
      <c r="H53" s="492" t="str">
        <f>IF(G53="","",INDEX(Lists!$BA$4:$BC$31,MATCH(E53,Lists!$AZ$4:$AZ$31,0),MATCH(G53,Lists!$BA$3:$BC$3,0)))</f>
        <v/>
      </c>
      <c r="I53" s="267"/>
      <c r="J53" s="490" t="str">
        <f t="shared" si="4"/>
        <v/>
      </c>
      <c r="K53" s="493" t="str" cm="1">
        <f t="array" ref="K53">IF(OR($E53="",$D53="",$I53="",$J53=""),"",IF(J53=L53,I53,(INDEX('Emission factors'!$K$3:$V$201,MATCH(E53&amp;F53,'Emission factors'!$J$3:$J$201&amp;'Emission factors'!$K$3:$K$201,0),MATCH(K$6,'Emission factors'!$K$2:$V$2,0)))*I53))</f>
        <v/>
      </c>
      <c r="L53" s="494" t="str">
        <f>IF(OR($E53="",$D53="",$I53="",$J53=""),"",INDEX('Emission factors'!$K$3:$V$201,MATCH('Buildings - Grid Electricity'!$E53,'Emission factors'!$J$3:$J$201,0),MATCH($L$6,'Emission factors'!$K$2:$V$2,0)))</f>
        <v/>
      </c>
      <c r="M53" s="495" t="str" cm="1">
        <f t="array" ref="M53">IF(OR(E53="",I53="",BuildingsElectricityTable[[#This Row],[Units]]=""),"",INDEX('Emission factors'!$K$3:$V$201,MATCH('Buildings - Grid Electricity'!$E53&amp;F53,'Emission factors'!$J$3:$J$201&amp;'Emission factors'!$K$3:$K$201,0),MATCH('Buildings - Grid Electricity'!$M$6,'Emission factors'!$K$2:$V$2,0)))</f>
        <v/>
      </c>
      <c r="N53" s="496" t="str">
        <f>IF(OR(K53="",M53=""),"",SUM(BuildingsElectricityTable[[#This Row],[Direct]:[Indirect WTT]]))</f>
        <v/>
      </c>
      <c r="O53" s="268"/>
      <c r="P53" s="497"/>
      <c r="Q53" s="157" t="str" cm="1">
        <f t="array" ref="Q53">IF(OR($E53="",$I53=""),"",(INDEX('Emission factors'!$K$3:$V$201,MATCH('Buildings - Grid Electricity'!$E53&amp;$F53,'Emission factors'!$J$3:$J$201&amp;'Emission factors'!$K$3:$K$201,0),MATCH('Buildings - Grid Electricity'!Q$6,'Emission factors'!$K$2:$V$2,0)))*$K53)</f>
        <v/>
      </c>
      <c r="R53" s="157" t="str" cm="1">
        <f t="array" ref="R53">IF(OR($E53="",$I53=""),"",(INDEX('Emission factors'!$K$3:$V$201,MATCH('Buildings - Grid Electricity'!$E53&amp;$F53,'Emission factors'!$J$3:$J$201&amp;'Emission factors'!$K$3:$K$201,0),MATCH('Buildings - Grid Electricity'!R$6,'Emission factors'!$K$2:$V$2,0)))*$K53)</f>
        <v/>
      </c>
      <c r="S53" s="157" t="str" cm="1">
        <f t="array" ref="S53">IF(OR($E53="",$I53=""),"",(INDEX('Emission factors'!$K$3:$V$201,MATCH('Buildings - Grid Electricity'!$E53&amp;$F53,'Emission factors'!$J$3:$J$201&amp;'Emission factors'!$K$3:$K$201,0),MATCH('Buildings - Grid Electricity'!S$6,'Emission factors'!$K$2:$V$2,0)))*$K53)</f>
        <v/>
      </c>
      <c r="T53" s="157" t="str" cm="1">
        <f t="array" ref="T53">IF(OR($E53="",$I53=""),"",(INDEX('Emission factors'!$K$3:$V$201,MATCH('Buildings - Grid Electricity'!$E53&amp;$F53,'Emission factors'!$J$3:$J$201&amp;'Emission factors'!$K$3:$K$201,0),MATCH('Buildings - Grid Electricity'!T$6,'Emission factors'!$K$2:$V$2,0)))*$K53)</f>
        <v/>
      </c>
      <c r="U53" s="157" t="str" cm="1">
        <f t="array" ref="U53">IF(OR($E53="",$I53=""),"",(INDEX('Emission factors'!$K$3:$V$201,MATCH('Buildings - Grid Electricity'!$E53&amp;$F53,'Emission factors'!$J$3:$J$201&amp;'Emission factors'!$K$3:$K$201,0),MATCH('Buildings - Grid Electricity'!U$6,'Emission factors'!$K$2:$V$2,0)))*$K53)</f>
        <v/>
      </c>
      <c r="V53" s="269" t="str">
        <f>IF(OR($N53="",BuildingsElectricityTable[[#This Row],[RSD]]=""),"",BuildingsElectricityTable[[#This Row],[Total emissions (kgCO2e)]]*(1+BuildingsElectricityTable[[#This Row],[RSD]]))</f>
        <v/>
      </c>
      <c r="W53" s="270" t="str">
        <f>IF(OR($N53="",BuildingsElectricityTable[[#This Row],[RSD]]=""),"",BuildingsElectricityTable[[#This Row],[Total emissions (kgCO2e)]]*(1-BuildingsElectricityTable[[#This Row],[RSD]]))</f>
        <v/>
      </c>
      <c r="X53" s="271" t="str" cm="1">
        <f t="array" ref="X53">IF(OR($E53="",$I53=""),"",(INDEX('Emission factors'!$K$3:$V$201,MATCH('Buildings - Grid Electricity'!$E53&amp;$F53,'Emission factors'!$J$3:$J$201&amp;'Emission factors'!$K$3:$K$201,0),MATCH('Buildings - Grid Electricity'!X$6,'Emission factors'!$K$2:$V$2,0)))*$K53)</f>
        <v/>
      </c>
      <c r="Y53" s="30"/>
      <c r="Z53" s="1" cm="1">
        <f t="array" ref="Z53">IF(OR(ISERROR(B53:X53)),1,0)</f>
        <v>0</v>
      </c>
      <c r="AA53" s="1">
        <f t="shared" si="5"/>
        <v>0</v>
      </c>
    </row>
    <row r="54" spans="1:27" ht="15" outlineLevel="1" thickBot="1" x14ac:dyDescent="0.4">
      <c r="A54" s="319"/>
      <c r="B54" s="216"/>
      <c r="C54" s="216"/>
      <c r="D54" s="489" t="str">
        <f>IFERROR(INDEX(BuildingInformationTable[Site type],MATCH(BuildingsElectricityTable[[#This Row],[Site name]],BuildingInformationTable[Site name],0)),"")</f>
        <v/>
      </c>
      <c r="E54" s="490" t="str">
        <f t="shared" si="2"/>
        <v/>
      </c>
      <c r="F54" s="490" t="str">
        <f t="shared" si="3"/>
        <v/>
      </c>
      <c r="G54" s="491"/>
      <c r="H54" s="492" t="str">
        <f>IF(G54="","",INDEX(Lists!$BA$4:$BC$31,MATCH(E54,Lists!$AZ$4:$AZ$31,0),MATCH(G54,Lists!$BA$3:$BC$3,0)))</f>
        <v/>
      </c>
      <c r="I54" s="267"/>
      <c r="J54" s="490" t="str">
        <f t="shared" si="4"/>
        <v/>
      </c>
      <c r="K54" s="493" t="str" cm="1">
        <f t="array" ref="K54">IF(OR($E54="",$D54="",$I54="",$J54=""),"",IF(J54=L54,I54,(INDEX('Emission factors'!$K$3:$V$201,MATCH(E54&amp;F54,'Emission factors'!$J$3:$J$201&amp;'Emission factors'!$K$3:$K$201,0),MATCH(K$6,'Emission factors'!$K$2:$V$2,0)))*I54))</f>
        <v/>
      </c>
      <c r="L54" s="494" t="str">
        <f>IF(OR($E54="",$D54="",$I54="",$J54=""),"",INDEX('Emission factors'!$K$3:$V$201,MATCH('Buildings - Grid Electricity'!$E54,'Emission factors'!$J$3:$J$201,0),MATCH($L$6,'Emission factors'!$K$2:$V$2,0)))</f>
        <v/>
      </c>
      <c r="M54" s="495" t="str" cm="1">
        <f t="array" ref="M54">IF(OR(E54="",I54="",BuildingsElectricityTable[[#This Row],[Units]]=""),"",INDEX('Emission factors'!$K$3:$V$201,MATCH('Buildings - Grid Electricity'!$E54&amp;F54,'Emission factors'!$J$3:$J$201&amp;'Emission factors'!$K$3:$K$201,0),MATCH('Buildings - Grid Electricity'!$M$6,'Emission factors'!$K$2:$V$2,0)))</f>
        <v/>
      </c>
      <c r="N54" s="496" t="str">
        <f>IF(OR(K54="",M54=""),"",SUM(BuildingsElectricityTable[[#This Row],[Direct]:[Indirect WTT]]))</f>
        <v/>
      </c>
      <c r="O54" s="268"/>
      <c r="P54" s="497"/>
      <c r="Q54" s="157" t="str" cm="1">
        <f t="array" ref="Q54">IF(OR($E54="",$I54=""),"",(INDEX('Emission factors'!$K$3:$V$201,MATCH('Buildings - Grid Electricity'!$E54&amp;$F54,'Emission factors'!$J$3:$J$201&amp;'Emission factors'!$K$3:$K$201,0),MATCH('Buildings - Grid Electricity'!Q$6,'Emission factors'!$K$2:$V$2,0)))*$K54)</f>
        <v/>
      </c>
      <c r="R54" s="157" t="str" cm="1">
        <f t="array" ref="R54">IF(OR($E54="",$I54=""),"",(INDEX('Emission factors'!$K$3:$V$201,MATCH('Buildings - Grid Electricity'!$E54&amp;$F54,'Emission factors'!$J$3:$J$201&amp;'Emission factors'!$K$3:$K$201,0),MATCH('Buildings - Grid Electricity'!R$6,'Emission factors'!$K$2:$V$2,0)))*$K54)</f>
        <v/>
      </c>
      <c r="S54" s="157" t="str" cm="1">
        <f t="array" ref="S54">IF(OR($E54="",$I54=""),"",(INDEX('Emission factors'!$K$3:$V$201,MATCH('Buildings - Grid Electricity'!$E54&amp;$F54,'Emission factors'!$J$3:$J$201&amp;'Emission factors'!$K$3:$K$201,0),MATCH('Buildings - Grid Electricity'!S$6,'Emission factors'!$K$2:$V$2,0)))*$K54)</f>
        <v/>
      </c>
      <c r="T54" s="157" t="str" cm="1">
        <f t="array" ref="T54">IF(OR($E54="",$I54=""),"",(INDEX('Emission factors'!$K$3:$V$201,MATCH('Buildings - Grid Electricity'!$E54&amp;$F54,'Emission factors'!$J$3:$J$201&amp;'Emission factors'!$K$3:$K$201,0),MATCH('Buildings - Grid Electricity'!T$6,'Emission factors'!$K$2:$V$2,0)))*$K54)</f>
        <v/>
      </c>
      <c r="U54" s="157" t="str" cm="1">
        <f t="array" ref="U54">IF(OR($E54="",$I54=""),"",(INDEX('Emission factors'!$K$3:$V$201,MATCH('Buildings - Grid Electricity'!$E54&amp;$F54,'Emission factors'!$J$3:$J$201&amp;'Emission factors'!$K$3:$K$201,0),MATCH('Buildings - Grid Electricity'!U$6,'Emission factors'!$K$2:$V$2,0)))*$K54)</f>
        <v/>
      </c>
      <c r="V54" s="269" t="str">
        <f>IF(OR($N54="",BuildingsElectricityTable[[#This Row],[RSD]]=""),"",BuildingsElectricityTable[[#This Row],[Total emissions (kgCO2e)]]*(1+BuildingsElectricityTable[[#This Row],[RSD]]))</f>
        <v/>
      </c>
      <c r="W54" s="270" t="str">
        <f>IF(OR($N54="",BuildingsElectricityTable[[#This Row],[RSD]]=""),"",BuildingsElectricityTable[[#This Row],[Total emissions (kgCO2e)]]*(1-BuildingsElectricityTable[[#This Row],[RSD]]))</f>
        <v/>
      </c>
      <c r="X54" s="271" t="str" cm="1">
        <f t="array" ref="X54">IF(OR($E54="",$I54=""),"",(INDEX('Emission factors'!$K$3:$V$201,MATCH('Buildings - Grid Electricity'!$E54&amp;$F54,'Emission factors'!$J$3:$J$201&amp;'Emission factors'!$K$3:$K$201,0),MATCH('Buildings - Grid Electricity'!X$6,'Emission factors'!$K$2:$V$2,0)))*$K54)</f>
        <v/>
      </c>
      <c r="Y54" s="30"/>
      <c r="Z54" s="1" cm="1">
        <f t="array" ref="Z54">IF(OR(ISERROR(B54:X54)),1,0)</f>
        <v>0</v>
      </c>
      <c r="AA54" s="1">
        <f t="shared" si="5"/>
        <v>0</v>
      </c>
    </row>
    <row r="55" spans="1:27" ht="15" outlineLevel="1" thickBot="1" x14ac:dyDescent="0.4">
      <c r="A55" s="319"/>
      <c r="B55" s="216"/>
      <c r="C55" s="216"/>
      <c r="D55" s="489" t="str">
        <f>IFERROR(INDEX(BuildingInformationTable[Site type],MATCH(BuildingsElectricityTable[[#This Row],[Site name]],BuildingInformationTable[Site name],0)),"")</f>
        <v/>
      </c>
      <c r="E55" s="490" t="str">
        <f t="shared" si="2"/>
        <v/>
      </c>
      <c r="F55" s="490" t="str">
        <f t="shared" si="3"/>
        <v/>
      </c>
      <c r="G55" s="491"/>
      <c r="H55" s="492" t="str">
        <f>IF(G55="","",INDEX(Lists!$BA$4:$BC$31,MATCH(E55,Lists!$AZ$4:$AZ$31,0),MATCH(G55,Lists!$BA$3:$BC$3,0)))</f>
        <v/>
      </c>
      <c r="I55" s="267"/>
      <c r="J55" s="490" t="str">
        <f t="shared" si="4"/>
        <v/>
      </c>
      <c r="K55" s="493" t="str" cm="1">
        <f t="array" ref="K55">IF(OR($E55="",$D55="",$I55="",$J55=""),"",IF(J55=L55,I55,(INDEX('Emission factors'!$K$3:$V$201,MATCH(E55&amp;F55,'Emission factors'!$J$3:$J$201&amp;'Emission factors'!$K$3:$K$201,0),MATCH(K$6,'Emission factors'!$K$2:$V$2,0)))*I55))</f>
        <v/>
      </c>
      <c r="L55" s="494" t="str">
        <f>IF(OR($E55="",$D55="",$I55="",$J55=""),"",INDEX('Emission factors'!$K$3:$V$201,MATCH('Buildings - Grid Electricity'!$E55,'Emission factors'!$J$3:$J$201,0),MATCH($L$6,'Emission factors'!$K$2:$V$2,0)))</f>
        <v/>
      </c>
      <c r="M55" s="495" t="str" cm="1">
        <f t="array" ref="M55">IF(OR(E55="",I55="",BuildingsElectricityTable[[#This Row],[Units]]=""),"",INDEX('Emission factors'!$K$3:$V$201,MATCH('Buildings - Grid Electricity'!$E55&amp;F55,'Emission factors'!$J$3:$J$201&amp;'Emission factors'!$K$3:$K$201,0),MATCH('Buildings - Grid Electricity'!$M$6,'Emission factors'!$K$2:$V$2,0)))</f>
        <v/>
      </c>
      <c r="N55" s="496" t="str">
        <f>IF(OR(K55="",M55=""),"",SUM(BuildingsElectricityTable[[#This Row],[Direct]:[Indirect WTT]]))</f>
        <v/>
      </c>
      <c r="O55" s="268"/>
      <c r="P55" s="497"/>
      <c r="Q55" s="157" t="str" cm="1">
        <f t="array" ref="Q55">IF(OR($E55="",$I55=""),"",(INDEX('Emission factors'!$K$3:$V$201,MATCH('Buildings - Grid Electricity'!$E55&amp;$F55,'Emission factors'!$J$3:$J$201&amp;'Emission factors'!$K$3:$K$201,0),MATCH('Buildings - Grid Electricity'!Q$6,'Emission factors'!$K$2:$V$2,0)))*$K55)</f>
        <v/>
      </c>
      <c r="R55" s="157" t="str" cm="1">
        <f t="array" ref="R55">IF(OR($E55="",$I55=""),"",(INDEX('Emission factors'!$K$3:$V$201,MATCH('Buildings - Grid Electricity'!$E55&amp;$F55,'Emission factors'!$J$3:$J$201&amp;'Emission factors'!$K$3:$K$201,0),MATCH('Buildings - Grid Electricity'!R$6,'Emission factors'!$K$2:$V$2,0)))*$K55)</f>
        <v/>
      </c>
      <c r="S55" s="157" t="str" cm="1">
        <f t="array" ref="S55">IF(OR($E55="",$I55=""),"",(INDEX('Emission factors'!$K$3:$V$201,MATCH('Buildings - Grid Electricity'!$E55&amp;$F55,'Emission factors'!$J$3:$J$201&amp;'Emission factors'!$K$3:$K$201,0),MATCH('Buildings - Grid Electricity'!S$6,'Emission factors'!$K$2:$V$2,0)))*$K55)</f>
        <v/>
      </c>
      <c r="T55" s="157" t="str" cm="1">
        <f t="array" ref="T55">IF(OR($E55="",$I55=""),"",(INDEX('Emission factors'!$K$3:$V$201,MATCH('Buildings - Grid Electricity'!$E55&amp;$F55,'Emission factors'!$J$3:$J$201&amp;'Emission factors'!$K$3:$K$201,0),MATCH('Buildings - Grid Electricity'!T$6,'Emission factors'!$K$2:$V$2,0)))*$K55)</f>
        <v/>
      </c>
      <c r="U55" s="157" t="str" cm="1">
        <f t="array" ref="U55">IF(OR($E55="",$I55=""),"",(INDEX('Emission factors'!$K$3:$V$201,MATCH('Buildings - Grid Electricity'!$E55&amp;$F55,'Emission factors'!$J$3:$J$201&amp;'Emission factors'!$K$3:$K$201,0),MATCH('Buildings - Grid Electricity'!U$6,'Emission factors'!$K$2:$V$2,0)))*$K55)</f>
        <v/>
      </c>
      <c r="V55" s="269" t="str">
        <f>IF(OR($N55="",BuildingsElectricityTable[[#This Row],[RSD]]=""),"",BuildingsElectricityTable[[#This Row],[Total emissions (kgCO2e)]]*(1+BuildingsElectricityTable[[#This Row],[RSD]]))</f>
        <v/>
      </c>
      <c r="W55" s="270" t="str">
        <f>IF(OR($N55="",BuildingsElectricityTable[[#This Row],[RSD]]=""),"",BuildingsElectricityTable[[#This Row],[Total emissions (kgCO2e)]]*(1-BuildingsElectricityTable[[#This Row],[RSD]]))</f>
        <v/>
      </c>
      <c r="X55" s="271" t="str" cm="1">
        <f t="array" ref="X55">IF(OR($E55="",$I55=""),"",(INDEX('Emission factors'!$K$3:$V$201,MATCH('Buildings - Grid Electricity'!$E55&amp;$F55,'Emission factors'!$J$3:$J$201&amp;'Emission factors'!$K$3:$K$201,0),MATCH('Buildings - Grid Electricity'!X$6,'Emission factors'!$K$2:$V$2,0)))*$K55)</f>
        <v/>
      </c>
      <c r="Y55" s="30"/>
      <c r="Z55" s="1" cm="1">
        <f t="array" ref="Z55">IF(OR(ISERROR(B55:X55)),1,0)</f>
        <v>0</v>
      </c>
      <c r="AA55" s="1">
        <f t="shared" si="5"/>
        <v>0</v>
      </c>
    </row>
    <row r="56" spans="1:27" ht="15" outlineLevel="1" thickBot="1" x14ac:dyDescent="0.4">
      <c r="A56" s="319"/>
      <c r="B56" s="216"/>
      <c r="C56" s="216"/>
      <c r="D56" s="489" t="str">
        <f>IFERROR(INDEX(BuildingInformationTable[Site type],MATCH(BuildingsElectricityTable[[#This Row],[Site name]],BuildingInformationTable[Site name],0)),"")</f>
        <v/>
      </c>
      <c r="E56" s="490" t="str">
        <f t="shared" si="2"/>
        <v/>
      </c>
      <c r="F56" s="490" t="str">
        <f t="shared" si="3"/>
        <v/>
      </c>
      <c r="G56" s="491"/>
      <c r="H56" s="492" t="str">
        <f>IF(G56="","",INDEX(Lists!$BA$4:$BC$31,MATCH(E56,Lists!$AZ$4:$AZ$31,0),MATCH(G56,Lists!$BA$3:$BC$3,0)))</f>
        <v/>
      </c>
      <c r="I56" s="267"/>
      <c r="J56" s="490" t="str">
        <f t="shared" si="4"/>
        <v/>
      </c>
      <c r="K56" s="493" t="str" cm="1">
        <f t="array" ref="K56">IF(OR($E56="",$D56="",$I56="",$J56=""),"",IF(J56=L56,I56,(INDEX('Emission factors'!$K$3:$V$201,MATCH(E56&amp;F56,'Emission factors'!$J$3:$J$201&amp;'Emission factors'!$K$3:$K$201,0),MATCH(K$6,'Emission factors'!$K$2:$V$2,0)))*I56))</f>
        <v/>
      </c>
      <c r="L56" s="494" t="str">
        <f>IF(OR($E56="",$D56="",$I56="",$J56=""),"",INDEX('Emission factors'!$K$3:$V$201,MATCH('Buildings - Grid Electricity'!$E56,'Emission factors'!$J$3:$J$201,0),MATCH($L$6,'Emission factors'!$K$2:$V$2,0)))</f>
        <v/>
      </c>
      <c r="M56" s="495" t="str" cm="1">
        <f t="array" ref="M56">IF(OR(E56="",I56="",BuildingsElectricityTable[[#This Row],[Units]]=""),"",INDEX('Emission factors'!$K$3:$V$201,MATCH('Buildings - Grid Electricity'!$E56&amp;F56,'Emission factors'!$J$3:$J$201&amp;'Emission factors'!$K$3:$K$201,0),MATCH('Buildings - Grid Electricity'!$M$6,'Emission factors'!$K$2:$V$2,0)))</f>
        <v/>
      </c>
      <c r="N56" s="496" t="str">
        <f>IF(OR(K56="",M56=""),"",SUM(BuildingsElectricityTable[[#This Row],[Direct]:[Indirect WTT]]))</f>
        <v/>
      </c>
      <c r="O56" s="268"/>
      <c r="P56" s="497"/>
      <c r="Q56" s="157" t="str" cm="1">
        <f t="array" ref="Q56">IF(OR($E56="",$I56=""),"",(INDEX('Emission factors'!$K$3:$V$201,MATCH('Buildings - Grid Electricity'!$E56&amp;$F56,'Emission factors'!$J$3:$J$201&amp;'Emission factors'!$K$3:$K$201,0),MATCH('Buildings - Grid Electricity'!Q$6,'Emission factors'!$K$2:$V$2,0)))*$K56)</f>
        <v/>
      </c>
      <c r="R56" s="157" t="str" cm="1">
        <f t="array" ref="R56">IF(OR($E56="",$I56=""),"",(INDEX('Emission factors'!$K$3:$V$201,MATCH('Buildings - Grid Electricity'!$E56&amp;$F56,'Emission factors'!$J$3:$J$201&amp;'Emission factors'!$K$3:$K$201,0),MATCH('Buildings - Grid Electricity'!R$6,'Emission factors'!$K$2:$V$2,0)))*$K56)</f>
        <v/>
      </c>
      <c r="S56" s="157" t="str" cm="1">
        <f t="array" ref="S56">IF(OR($E56="",$I56=""),"",(INDEX('Emission factors'!$K$3:$V$201,MATCH('Buildings - Grid Electricity'!$E56&amp;$F56,'Emission factors'!$J$3:$J$201&amp;'Emission factors'!$K$3:$K$201,0),MATCH('Buildings - Grid Electricity'!S$6,'Emission factors'!$K$2:$V$2,0)))*$K56)</f>
        <v/>
      </c>
      <c r="T56" s="157" t="str" cm="1">
        <f t="array" ref="T56">IF(OR($E56="",$I56=""),"",(INDEX('Emission factors'!$K$3:$V$201,MATCH('Buildings - Grid Electricity'!$E56&amp;$F56,'Emission factors'!$J$3:$J$201&amp;'Emission factors'!$K$3:$K$201,0),MATCH('Buildings - Grid Electricity'!T$6,'Emission factors'!$K$2:$V$2,0)))*$K56)</f>
        <v/>
      </c>
      <c r="U56" s="157" t="str" cm="1">
        <f t="array" ref="U56">IF(OR($E56="",$I56=""),"",(INDEX('Emission factors'!$K$3:$V$201,MATCH('Buildings - Grid Electricity'!$E56&amp;$F56,'Emission factors'!$J$3:$J$201&amp;'Emission factors'!$K$3:$K$201,0),MATCH('Buildings - Grid Electricity'!U$6,'Emission factors'!$K$2:$V$2,0)))*$K56)</f>
        <v/>
      </c>
      <c r="V56" s="269" t="str">
        <f>IF(OR($N56="",BuildingsElectricityTable[[#This Row],[RSD]]=""),"",BuildingsElectricityTable[[#This Row],[Total emissions (kgCO2e)]]*(1+BuildingsElectricityTable[[#This Row],[RSD]]))</f>
        <v/>
      </c>
      <c r="W56" s="270" t="str">
        <f>IF(OR($N56="",BuildingsElectricityTable[[#This Row],[RSD]]=""),"",BuildingsElectricityTable[[#This Row],[Total emissions (kgCO2e)]]*(1-BuildingsElectricityTable[[#This Row],[RSD]]))</f>
        <v/>
      </c>
      <c r="X56" s="271" t="str" cm="1">
        <f t="array" ref="X56">IF(OR($E56="",$I56=""),"",(INDEX('Emission factors'!$K$3:$V$201,MATCH('Buildings - Grid Electricity'!$E56&amp;$F56,'Emission factors'!$J$3:$J$201&amp;'Emission factors'!$K$3:$K$201,0),MATCH('Buildings - Grid Electricity'!X$6,'Emission factors'!$K$2:$V$2,0)))*$K56)</f>
        <v/>
      </c>
      <c r="Y56" s="30"/>
      <c r="Z56" s="1" cm="1">
        <f t="array" ref="Z56">IF(OR(ISERROR(B56:X56)),1,0)</f>
        <v>0</v>
      </c>
      <c r="AA56" s="1">
        <f t="shared" si="5"/>
        <v>0</v>
      </c>
    </row>
    <row r="57" spans="1:27" ht="15" outlineLevel="1" thickBot="1" x14ac:dyDescent="0.4">
      <c r="A57" s="319"/>
      <c r="B57" s="216"/>
      <c r="C57" s="216"/>
      <c r="D57" s="489" t="str">
        <f>IFERROR(INDEX(BuildingInformationTable[Site type],MATCH(BuildingsElectricityTable[[#This Row],[Site name]],BuildingInformationTable[Site name],0)),"")</f>
        <v/>
      </c>
      <c r="E57" s="490" t="str">
        <f t="shared" si="2"/>
        <v/>
      </c>
      <c r="F57" s="490" t="str">
        <f t="shared" si="3"/>
        <v/>
      </c>
      <c r="G57" s="491"/>
      <c r="H57" s="492" t="str">
        <f>IF(G57="","",INDEX(Lists!$BA$4:$BC$31,MATCH(E57,Lists!$AZ$4:$AZ$31,0),MATCH(G57,Lists!$BA$3:$BC$3,0)))</f>
        <v/>
      </c>
      <c r="I57" s="267"/>
      <c r="J57" s="490" t="str">
        <f t="shared" si="4"/>
        <v/>
      </c>
      <c r="K57" s="493" t="str" cm="1">
        <f t="array" ref="K57">IF(OR($E57="",$D57="",$I57="",$J57=""),"",IF(J57=L57,I57,(INDEX('Emission factors'!$K$3:$V$201,MATCH(E57&amp;F57,'Emission factors'!$J$3:$J$201&amp;'Emission factors'!$K$3:$K$201,0),MATCH(K$6,'Emission factors'!$K$2:$V$2,0)))*I57))</f>
        <v/>
      </c>
      <c r="L57" s="494" t="str">
        <f>IF(OR($E57="",$D57="",$I57="",$J57=""),"",INDEX('Emission factors'!$K$3:$V$201,MATCH('Buildings - Grid Electricity'!$E57,'Emission factors'!$J$3:$J$201,0),MATCH($L$6,'Emission factors'!$K$2:$V$2,0)))</f>
        <v/>
      </c>
      <c r="M57" s="495" t="str" cm="1">
        <f t="array" ref="M57">IF(OR(E57="",I57="",BuildingsElectricityTable[[#This Row],[Units]]=""),"",INDEX('Emission factors'!$K$3:$V$201,MATCH('Buildings - Grid Electricity'!$E57&amp;F57,'Emission factors'!$J$3:$J$201&amp;'Emission factors'!$K$3:$K$201,0),MATCH('Buildings - Grid Electricity'!$M$6,'Emission factors'!$K$2:$V$2,0)))</f>
        <v/>
      </c>
      <c r="N57" s="496" t="str">
        <f>IF(OR(K57="",M57=""),"",SUM(BuildingsElectricityTable[[#This Row],[Direct]:[Indirect WTT]]))</f>
        <v/>
      </c>
      <c r="O57" s="268"/>
      <c r="P57" s="497"/>
      <c r="Q57" s="157" t="str" cm="1">
        <f t="array" ref="Q57">IF(OR($E57="",$I57=""),"",(INDEX('Emission factors'!$K$3:$V$201,MATCH('Buildings - Grid Electricity'!$E57&amp;$F57,'Emission factors'!$J$3:$J$201&amp;'Emission factors'!$K$3:$K$201,0),MATCH('Buildings - Grid Electricity'!Q$6,'Emission factors'!$K$2:$V$2,0)))*$K57)</f>
        <v/>
      </c>
      <c r="R57" s="157" t="str" cm="1">
        <f t="array" ref="R57">IF(OR($E57="",$I57=""),"",(INDEX('Emission factors'!$K$3:$V$201,MATCH('Buildings - Grid Electricity'!$E57&amp;$F57,'Emission factors'!$J$3:$J$201&amp;'Emission factors'!$K$3:$K$201,0),MATCH('Buildings - Grid Electricity'!R$6,'Emission factors'!$K$2:$V$2,0)))*$K57)</f>
        <v/>
      </c>
      <c r="S57" s="157" t="str" cm="1">
        <f t="array" ref="S57">IF(OR($E57="",$I57=""),"",(INDEX('Emission factors'!$K$3:$V$201,MATCH('Buildings - Grid Electricity'!$E57&amp;$F57,'Emission factors'!$J$3:$J$201&amp;'Emission factors'!$K$3:$K$201,0),MATCH('Buildings - Grid Electricity'!S$6,'Emission factors'!$K$2:$V$2,0)))*$K57)</f>
        <v/>
      </c>
      <c r="T57" s="157" t="str" cm="1">
        <f t="array" ref="T57">IF(OR($E57="",$I57=""),"",(INDEX('Emission factors'!$K$3:$V$201,MATCH('Buildings - Grid Electricity'!$E57&amp;$F57,'Emission factors'!$J$3:$J$201&amp;'Emission factors'!$K$3:$K$201,0),MATCH('Buildings - Grid Electricity'!T$6,'Emission factors'!$K$2:$V$2,0)))*$K57)</f>
        <v/>
      </c>
      <c r="U57" s="157" t="str" cm="1">
        <f t="array" ref="U57">IF(OR($E57="",$I57=""),"",(INDEX('Emission factors'!$K$3:$V$201,MATCH('Buildings - Grid Electricity'!$E57&amp;$F57,'Emission factors'!$J$3:$J$201&amp;'Emission factors'!$K$3:$K$201,0),MATCH('Buildings - Grid Electricity'!U$6,'Emission factors'!$K$2:$V$2,0)))*$K57)</f>
        <v/>
      </c>
      <c r="V57" s="269" t="str">
        <f>IF(OR($N57="",BuildingsElectricityTable[[#This Row],[RSD]]=""),"",BuildingsElectricityTable[[#This Row],[Total emissions (kgCO2e)]]*(1+BuildingsElectricityTable[[#This Row],[RSD]]))</f>
        <v/>
      </c>
      <c r="W57" s="270" t="str">
        <f>IF(OR($N57="",BuildingsElectricityTable[[#This Row],[RSD]]=""),"",BuildingsElectricityTable[[#This Row],[Total emissions (kgCO2e)]]*(1-BuildingsElectricityTable[[#This Row],[RSD]]))</f>
        <v/>
      </c>
      <c r="X57" s="271" t="str" cm="1">
        <f t="array" ref="X57">IF(OR($E57="",$I57=""),"",(INDEX('Emission factors'!$K$3:$V$201,MATCH('Buildings - Grid Electricity'!$E57&amp;$F57,'Emission factors'!$J$3:$J$201&amp;'Emission factors'!$K$3:$K$201,0),MATCH('Buildings - Grid Electricity'!X$6,'Emission factors'!$K$2:$V$2,0)))*$K57)</f>
        <v/>
      </c>
      <c r="Y57" s="30"/>
      <c r="Z57" s="1" cm="1">
        <f t="array" ref="Z57">IF(OR(ISERROR(B57:X57)),1,0)</f>
        <v>0</v>
      </c>
      <c r="AA57" s="1">
        <f t="shared" si="5"/>
        <v>0</v>
      </c>
    </row>
    <row r="58" spans="1:27" ht="15" outlineLevel="1" thickBot="1" x14ac:dyDescent="0.4">
      <c r="A58" s="319"/>
      <c r="B58" s="216"/>
      <c r="C58" s="216"/>
      <c r="D58" s="489" t="str">
        <f>IFERROR(INDEX(BuildingInformationTable[Site type],MATCH(BuildingsElectricityTable[[#This Row],[Site name]],BuildingInformationTable[Site name],0)),"")</f>
        <v/>
      </c>
      <c r="E58" s="490" t="str">
        <f t="shared" si="2"/>
        <v/>
      </c>
      <c r="F58" s="490" t="str">
        <f t="shared" si="3"/>
        <v/>
      </c>
      <c r="G58" s="491"/>
      <c r="H58" s="492" t="str">
        <f>IF(G58="","",INDEX(Lists!$BA$4:$BC$31,MATCH(E58,Lists!$AZ$4:$AZ$31,0),MATCH(G58,Lists!$BA$3:$BC$3,0)))</f>
        <v/>
      </c>
      <c r="I58" s="267"/>
      <c r="J58" s="490" t="str">
        <f t="shared" si="4"/>
        <v/>
      </c>
      <c r="K58" s="493" t="str" cm="1">
        <f t="array" ref="K58">IF(OR($E58="",$D58="",$I58="",$J58=""),"",IF(J58=L58,I58,(INDEX('Emission factors'!$K$3:$V$201,MATCH(E58&amp;F58,'Emission factors'!$J$3:$J$201&amp;'Emission factors'!$K$3:$K$201,0),MATCH(K$6,'Emission factors'!$K$2:$V$2,0)))*I58))</f>
        <v/>
      </c>
      <c r="L58" s="494" t="str">
        <f>IF(OR($E58="",$D58="",$I58="",$J58=""),"",INDEX('Emission factors'!$K$3:$V$201,MATCH('Buildings - Grid Electricity'!$E58,'Emission factors'!$J$3:$J$201,0),MATCH($L$6,'Emission factors'!$K$2:$V$2,0)))</f>
        <v/>
      </c>
      <c r="M58" s="495" t="str" cm="1">
        <f t="array" ref="M58">IF(OR(E58="",I58="",BuildingsElectricityTable[[#This Row],[Units]]=""),"",INDEX('Emission factors'!$K$3:$V$201,MATCH('Buildings - Grid Electricity'!$E58&amp;F58,'Emission factors'!$J$3:$J$201&amp;'Emission factors'!$K$3:$K$201,0),MATCH('Buildings - Grid Electricity'!$M$6,'Emission factors'!$K$2:$V$2,0)))</f>
        <v/>
      </c>
      <c r="N58" s="496" t="str">
        <f>IF(OR(K58="",M58=""),"",SUM(BuildingsElectricityTable[[#This Row],[Direct]:[Indirect WTT]]))</f>
        <v/>
      </c>
      <c r="O58" s="268"/>
      <c r="P58" s="497"/>
      <c r="Q58" s="157" t="str" cm="1">
        <f t="array" ref="Q58">IF(OR($E58="",$I58=""),"",(INDEX('Emission factors'!$K$3:$V$201,MATCH('Buildings - Grid Electricity'!$E58&amp;$F58,'Emission factors'!$J$3:$J$201&amp;'Emission factors'!$K$3:$K$201,0),MATCH('Buildings - Grid Electricity'!Q$6,'Emission factors'!$K$2:$V$2,0)))*$K58)</f>
        <v/>
      </c>
      <c r="R58" s="157" t="str" cm="1">
        <f t="array" ref="R58">IF(OR($E58="",$I58=""),"",(INDEX('Emission factors'!$K$3:$V$201,MATCH('Buildings - Grid Electricity'!$E58&amp;$F58,'Emission factors'!$J$3:$J$201&amp;'Emission factors'!$K$3:$K$201,0),MATCH('Buildings - Grid Electricity'!R$6,'Emission factors'!$K$2:$V$2,0)))*$K58)</f>
        <v/>
      </c>
      <c r="S58" s="157" t="str" cm="1">
        <f t="array" ref="S58">IF(OR($E58="",$I58=""),"",(INDEX('Emission factors'!$K$3:$V$201,MATCH('Buildings - Grid Electricity'!$E58&amp;$F58,'Emission factors'!$J$3:$J$201&amp;'Emission factors'!$K$3:$K$201,0),MATCH('Buildings - Grid Electricity'!S$6,'Emission factors'!$K$2:$V$2,0)))*$K58)</f>
        <v/>
      </c>
      <c r="T58" s="157" t="str" cm="1">
        <f t="array" ref="T58">IF(OR($E58="",$I58=""),"",(INDEX('Emission factors'!$K$3:$V$201,MATCH('Buildings - Grid Electricity'!$E58&amp;$F58,'Emission factors'!$J$3:$J$201&amp;'Emission factors'!$K$3:$K$201,0),MATCH('Buildings - Grid Electricity'!T$6,'Emission factors'!$K$2:$V$2,0)))*$K58)</f>
        <v/>
      </c>
      <c r="U58" s="157" t="str" cm="1">
        <f t="array" ref="U58">IF(OR($E58="",$I58=""),"",(INDEX('Emission factors'!$K$3:$V$201,MATCH('Buildings - Grid Electricity'!$E58&amp;$F58,'Emission factors'!$J$3:$J$201&amp;'Emission factors'!$K$3:$K$201,0),MATCH('Buildings - Grid Electricity'!U$6,'Emission factors'!$K$2:$V$2,0)))*$K58)</f>
        <v/>
      </c>
      <c r="V58" s="269" t="str">
        <f>IF(OR($N58="",BuildingsElectricityTable[[#This Row],[RSD]]=""),"",BuildingsElectricityTable[[#This Row],[Total emissions (kgCO2e)]]*(1+BuildingsElectricityTable[[#This Row],[RSD]]))</f>
        <v/>
      </c>
      <c r="W58" s="270" t="str">
        <f>IF(OR($N58="",BuildingsElectricityTable[[#This Row],[RSD]]=""),"",BuildingsElectricityTable[[#This Row],[Total emissions (kgCO2e)]]*(1-BuildingsElectricityTable[[#This Row],[RSD]]))</f>
        <v/>
      </c>
      <c r="X58" s="271" t="str" cm="1">
        <f t="array" ref="X58">IF(OR($E58="",$I58=""),"",(INDEX('Emission factors'!$K$3:$V$201,MATCH('Buildings - Grid Electricity'!$E58&amp;$F58,'Emission factors'!$J$3:$J$201&amp;'Emission factors'!$K$3:$K$201,0),MATCH('Buildings - Grid Electricity'!X$6,'Emission factors'!$K$2:$V$2,0)))*$K58)</f>
        <v/>
      </c>
      <c r="Y58" s="30"/>
      <c r="Z58" s="1" cm="1">
        <f t="array" ref="Z58">IF(OR(ISERROR(B58:X58)),1,0)</f>
        <v>0</v>
      </c>
      <c r="AA58" s="1">
        <f t="shared" si="5"/>
        <v>0</v>
      </c>
    </row>
    <row r="59" spans="1:27" ht="15" outlineLevel="1" thickBot="1" x14ac:dyDescent="0.4">
      <c r="A59" s="319"/>
      <c r="B59" s="216"/>
      <c r="C59" s="216"/>
      <c r="D59" s="489" t="str">
        <f>IFERROR(INDEX(BuildingInformationTable[Site type],MATCH(BuildingsElectricityTable[[#This Row],[Site name]],BuildingInformationTable[Site name],0)),"")</f>
        <v/>
      </c>
      <c r="E59" s="490" t="str">
        <f t="shared" si="2"/>
        <v/>
      </c>
      <c r="F59" s="490" t="str">
        <f t="shared" si="3"/>
        <v/>
      </c>
      <c r="G59" s="491"/>
      <c r="H59" s="492" t="str">
        <f>IF(G59="","",INDEX(Lists!$BA$4:$BC$31,MATCH(E59,Lists!$AZ$4:$AZ$31,0),MATCH(G59,Lists!$BA$3:$BC$3,0)))</f>
        <v/>
      </c>
      <c r="I59" s="267"/>
      <c r="J59" s="490" t="str">
        <f t="shared" si="4"/>
        <v/>
      </c>
      <c r="K59" s="493" t="str" cm="1">
        <f t="array" ref="K59">IF(OR($E59="",$D59="",$I59="",$J59=""),"",IF(J59=L59,I59,(INDEX('Emission factors'!$K$3:$V$201,MATCH(E59&amp;F59,'Emission factors'!$J$3:$J$201&amp;'Emission factors'!$K$3:$K$201,0),MATCH(K$6,'Emission factors'!$K$2:$V$2,0)))*I59))</f>
        <v/>
      </c>
      <c r="L59" s="494" t="str">
        <f>IF(OR($E59="",$D59="",$I59="",$J59=""),"",INDEX('Emission factors'!$K$3:$V$201,MATCH('Buildings - Grid Electricity'!$E59,'Emission factors'!$J$3:$J$201,0),MATCH($L$6,'Emission factors'!$K$2:$V$2,0)))</f>
        <v/>
      </c>
      <c r="M59" s="495" t="str" cm="1">
        <f t="array" ref="M59">IF(OR(E59="",I59="",BuildingsElectricityTable[[#This Row],[Units]]=""),"",INDEX('Emission factors'!$K$3:$V$201,MATCH('Buildings - Grid Electricity'!$E59&amp;F59,'Emission factors'!$J$3:$J$201&amp;'Emission factors'!$K$3:$K$201,0),MATCH('Buildings - Grid Electricity'!$M$6,'Emission factors'!$K$2:$V$2,0)))</f>
        <v/>
      </c>
      <c r="N59" s="496" t="str">
        <f>IF(OR(K59="",M59=""),"",SUM(BuildingsElectricityTable[[#This Row],[Direct]:[Indirect WTT]]))</f>
        <v/>
      </c>
      <c r="O59" s="268"/>
      <c r="P59" s="497"/>
      <c r="Q59" s="157" t="str" cm="1">
        <f t="array" ref="Q59">IF(OR($E59="",$I59=""),"",(INDEX('Emission factors'!$K$3:$V$201,MATCH('Buildings - Grid Electricity'!$E59&amp;$F59,'Emission factors'!$J$3:$J$201&amp;'Emission factors'!$K$3:$K$201,0),MATCH('Buildings - Grid Electricity'!Q$6,'Emission factors'!$K$2:$V$2,0)))*$K59)</f>
        <v/>
      </c>
      <c r="R59" s="157" t="str" cm="1">
        <f t="array" ref="R59">IF(OR($E59="",$I59=""),"",(INDEX('Emission factors'!$K$3:$V$201,MATCH('Buildings - Grid Electricity'!$E59&amp;$F59,'Emission factors'!$J$3:$J$201&amp;'Emission factors'!$K$3:$K$201,0),MATCH('Buildings - Grid Electricity'!R$6,'Emission factors'!$K$2:$V$2,0)))*$K59)</f>
        <v/>
      </c>
      <c r="S59" s="157" t="str" cm="1">
        <f t="array" ref="S59">IF(OR($E59="",$I59=""),"",(INDEX('Emission factors'!$K$3:$V$201,MATCH('Buildings - Grid Electricity'!$E59&amp;$F59,'Emission factors'!$J$3:$J$201&amp;'Emission factors'!$K$3:$K$201,0),MATCH('Buildings - Grid Electricity'!S$6,'Emission factors'!$K$2:$V$2,0)))*$K59)</f>
        <v/>
      </c>
      <c r="T59" s="157" t="str" cm="1">
        <f t="array" ref="T59">IF(OR($E59="",$I59=""),"",(INDEX('Emission factors'!$K$3:$V$201,MATCH('Buildings - Grid Electricity'!$E59&amp;$F59,'Emission factors'!$J$3:$J$201&amp;'Emission factors'!$K$3:$K$201,0),MATCH('Buildings - Grid Electricity'!T$6,'Emission factors'!$K$2:$V$2,0)))*$K59)</f>
        <v/>
      </c>
      <c r="U59" s="157" t="str" cm="1">
        <f t="array" ref="U59">IF(OR($E59="",$I59=""),"",(INDEX('Emission factors'!$K$3:$V$201,MATCH('Buildings - Grid Electricity'!$E59&amp;$F59,'Emission factors'!$J$3:$J$201&amp;'Emission factors'!$K$3:$K$201,0),MATCH('Buildings - Grid Electricity'!U$6,'Emission factors'!$K$2:$V$2,0)))*$K59)</f>
        <v/>
      </c>
      <c r="V59" s="269" t="str">
        <f>IF(OR($N59="",BuildingsElectricityTable[[#This Row],[RSD]]=""),"",BuildingsElectricityTable[[#This Row],[Total emissions (kgCO2e)]]*(1+BuildingsElectricityTable[[#This Row],[RSD]]))</f>
        <v/>
      </c>
      <c r="W59" s="270" t="str">
        <f>IF(OR($N59="",BuildingsElectricityTable[[#This Row],[RSD]]=""),"",BuildingsElectricityTable[[#This Row],[Total emissions (kgCO2e)]]*(1-BuildingsElectricityTable[[#This Row],[RSD]]))</f>
        <v/>
      </c>
      <c r="X59" s="271" t="str" cm="1">
        <f t="array" ref="X59">IF(OR($E59="",$I59=""),"",(INDEX('Emission factors'!$K$3:$V$201,MATCH('Buildings - Grid Electricity'!$E59&amp;$F59,'Emission factors'!$J$3:$J$201&amp;'Emission factors'!$K$3:$K$201,0),MATCH('Buildings - Grid Electricity'!X$6,'Emission factors'!$K$2:$V$2,0)))*$K59)</f>
        <v/>
      </c>
      <c r="Y59" s="30"/>
      <c r="Z59" s="1" cm="1">
        <f t="array" ref="Z59">IF(OR(ISERROR(B59:X59)),1,0)</f>
        <v>0</v>
      </c>
      <c r="AA59" s="1">
        <f t="shared" si="5"/>
        <v>0</v>
      </c>
    </row>
    <row r="60" spans="1:27" ht="15" outlineLevel="1" thickBot="1" x14ac:dyDescent="0.4">
      <c r="A60" s="319"/>
      <c r="B60" s="216"/>
      <c r="C60" s="216"/>
      <c r="D60" s="489" t="str">
        <f>IFERROR(INDEX(BuildingInformationTable[Site type],MATCH(BuildingsElectricityTable[[#This Row],[Site name]],BuildingInformationTable[Site name],0)),"")</f>
        <v/>
      </c>
      <c r="E60" s="490" t="str">
        <f t="shared" si="2"/>
        <v/>
      </c>
      <c r="F60" s="490" t="str">
        <f t="shared" si="3"/>
        <v/>
      </c>
      <c r="G60" s="491"/>
      <c r="H60" s="492" t="str">
        <f>IF(G60="","",INDEX(Lists!$BA$4:$BC$31,MATCH(E60,Lists!$AZ$4:$AZ$31,0),MATCH(G60,Lists!$BA$3:$BC$3,0)))</f>
        <v/>
      </c>
      <c r="I60" s="267"/>
      <c r="J60" s="490" t="str">
        <f t="shared" si="4"/>
        <v/>
      </c>
      <c r="K60" s="493" t="str" cm="1">
        <f t="array" ref="K60">IF(OR($E60="",$D60="",$I60="",$J60=""),"",IF(J60=L60,I60,(INDEX('Emission factors'!$K$3:$V$201,MATCH(E60&amp;F60,'Emission factors'!$J$3:$J$201&amp;'Emission factors'!$K$3:$K$201,0),MATCH(K$6,'Emission factors'!$K$2:$V$2,0)))*I60))</f>
        <v/>
      </c>
      <c r="L60" s="494" t="str">
        <f>IF(OR($E60="",$D60="",$I60="",$J60=""),"",INDEX('Emission factors'!$K$3:$V$201,MATCH('Buildings - Grid Electricity'!$E60,'Emission factors'!$J$3:$J$201,0),MATCH($L$6,'Emission factors'!$K$2:$V$2,0)))</f>
        <v/>
      </c>
      <c r="M60" s="495" t="str" cm="1">
        <f t="array" ref="M60">IF(OR(E60="",I60="",BuildingsElectricityTable[[#This Row],[Units]]=""),"",INDEX('Emission factors'!$K$3:$V$201,MATCH('Buildings - Grid Electricity'!$E60&amp;F60,'Emission factors'!$J$3:$J$201&amp;'Emission factors'!$K$3:$K$201,0),MATCH('Buildings - Grid Electricity'!$M$6,'Emission factors'!$K$2:$V$2,0)))</f>
        <v/>
      </c>
      <c r="N60" s="496" t="str">
        <f>IF(OR(K60="",M60=""),"",SUM(BuildingsElectricityTable[[#This Row],[Direct]:[Indirect WTT]]))</f>
        <v/>
      </c>
      <c r="O60" s="268"/>
      <c r="P60" s="497"/>
      <c r="Q60" s="157" t="str" cm="1">
        <f t="array" ref="Q60">IF(OR($E60="",$I60=""),"",(INDEX('Emission factors'!$K$3:$V$201,MATCH('Buildings - Grid Electricity'!$E60&amp;$F60,'Emission factors'!$J$3:$J$201&amp;'Emission factors'!$K$3:$K$201,0),MATCH('Buildings - Grid Electricity'!Q$6,'Emission factors'!$K$2:$V$2,0)))*$K60)</f>
        <v/>
      </c>
      <c r="R60" s="157" t="str" cm="1">
        <f t="array" ref="R60">IF(OR($E60="",$I60=""),"",(INDEX('Emission factors'!$K$3:$V$201,MATCH('Buildings - Grid Electricity'!$E60&amp;$F60,'Emission factors'!$J$3:$J$201&amp;'Emission factors'!$K$3:$K$201,0),MATCH('Buildings - Grid Electricity'!R$6,'Emission factors'!$K$2:$V$2,0)))*$K60)</f>
        <v/>
      </c>
      <c r="S60" s="157" t="str" cm="1">
        <f t="array" ref="S60">IF(OR($E60="",$I60=""),"",(INDEX('Emission factors'!$K$3:$V$201,MATCH('Buildings - Grid Electricity'!$E60&amp;$F60,'Emission factors'!$J$3:$J$201&amp;'Emission factors'!$K$3:$K$201,0),MATCH('Buildings - Grid Electricity'!S$6,'Emission factors'!$K$2:$V$2,0)))*$K60)</f>
        <v/>
      </c>
      <c r="T60" s="157" t="str" cm="1">
        <f t="array" ref="T60">IF(OR($E60="",$I60=""),"",(INDEX('Emission factors'!$K$3:$V$201,MATCH('Buildings - Grid Electricity'!$E60&amp;$F60,'Emission factors'!$J$3:$J$201&amp;'Emission factors'!$K$3:$K$201,0),MATCH('Buildings - Grid Electricity'!T$6,'Emission factors'!$K$2:$V$2,0)))*$K60)</f>
        <v/>
      </c>
      <c r="U60" s="157" t="str" cm="1">
        <f t="array" ref="U60">IF(OR($E60="",$I60=""),"",(INDEX('Emission factors'!$K$3:$V$201,MATCH('Buildings - Grid Electricity'!$E60&amp;$F60,'Emission factors'!$J$3:$J$201&amp;'Emission factors'!$K$3:$K$201,0),MATCH('Buildings - Grid Electricity'!U$6,'Emission factors'!$K$2:$V$2,0)))*$K60)</f>
        <v/>
      </c>
      <c r="V60" s="269" t="str">
        <f>IF(OR($N60="",BuildingsElectricityTable[[#This Row],[RSD]]=""),"",BuildingsElectricityTable[[#This Row],[Total emissions (kgCO2e)]]*(1+BuildingsElectricityTable[[#This Row],[RSD]]))</f>
        <v/>
      </c>
      <c r="W60" s="270" t="str">
        <f>IF(OR($N60="",BuildingsElectricityTable[[#This Row],[RSD]]=""),"",BuildingsElectricityTable[[#This Row],[Total emissions (kgCO2e)]]*(1-BuildingsElectricityTable[[#This Row],[RSD]]))</f>
        <v/>
      </c>
      <c r="X60" s="271" t="str" cm="1">
        <f t="array" ref="X60">IF(OR($E60="",$I60=""),"",(INDEX('Emission factors'!$K$3:$V$201,MATCH('Buildings - Grid Electricity'!$E60&amp;$F60,'Emission factors'!$J$3:$J$201&amp;'Emission factors'!$K$3:$K$201,0),MATCH('Buildings - Grid Electricity'!X$6,'Emission factors'!$K$2:$V$2,0)))*$K60)</f>
        <v/>
      </c>
      <c r="Y60" s="30"/>
      <c r="Z60" s="1" cm="1">
        <f t="array" ref="Z60">IF(OR(ISERROR(B60:X60)),1,0)</f>
        <v>0</v>
      </c>
      <c r="AA60" s="1">
        <f t="shared" si="5"/>
        <v>0</v>
      </c>
    </row>
    <row r="61" spans="1:27" ht="15" outlineLevel="1" thickBot="1" x14ac:dyDescent="0.4">
      <c r="A61" s="319"/>
      <c r="B61" s="216"/>
      <c r="C61" s="216"/>
      <c r="D61" s="489" t="str">
        <f>IFERROR(INDEX(BuildingInformationTable[Site type],MATCH(BuildingsElectricityTable[[#This Row],[Site name]],BuildingInformationTable[Site name],0)),"")</f>
        <v/>
      </c>
      <c r="E61" s="490" t="str">
        <f t="shared" si="2"/>
        <v/>
      </c>
      <c r="F61" s="490" t="str">
        <f t="shared" si="3"/>
        <v/>
      </c>
      <c r="G61" s="491"/>
      <c r="H61" s="492" t="str">
        <f>IF(G61="","",INDEX(Lists!$BA$4:$BC$31,MATCH(E61,Lists!$AZ$4:$AZ$31,0),MATCH(G61,Lists!$BA$3:$BC$3,0)))</f>
        <v/>
      </c>
      <c r="I61" s="267"/>
      <c r="J61" s="490" t="str">
        <f t="shared" si="4"/>
        <v/>
      </c>
      <c r="K61" s="493" t="str" cm="1">
        <f t="array" ref="K61">IF(OR($E61="",$D61="",$I61="",$J61=""),"",IF(J61=L61,I61,(INDEX('Emission factors'!$K$3:$V$201,MATCH(E61&amp;F61,'Emission factors'!$J$3:$J$201&amp;'Emission factors'!$K$3:$K$201,0),MATCH(K$6,'Emission factors'!$K$2:$V$2,0)))*I61))</f>
        <v/>
      </c>
      <c r="L61" s="494" t="str">
        <f>IF(OR($E61="",$D61="",$I61="",$J61=""),"",INDEX('Emission factors'!$K$3:$V$201,MATCH('Buildings - Grid Electricity'!$E61,'Emission factors'!$J$3:$J$201,0),MATCH($L$6,'Emission factors'!$K$2:$V$2,0)))</f>
        <v/>
      </c>
      <c r="M61" s="495" t="str" cm="1">
        <f t="array" ref="M61">IF(OR(E61="",I61="",BuildingsElectricityTable[[#This Row],[Units]]=""),"",INDEX('Emission factors'!$K$3:$V$201,MATCH('Buildings - Grid Electricity'!$E61&amp;F61,'Emission factors'!$J$3:$J$201&amp;'Emission factors'!$K$3:$K$201,0),MATCH('Buildings - Grid Electricity'!$M$6,'Emission factors'!$K$2:$V$2,0)))</f>
        <v/>
      </c>
      <c r="N61" s="496" t="str">
        <f>IF(OR(K61="",M61=""),"",SUM(BuildingsElectricityTable[[#This Row],[Direct]:[Indirect WTT]]))</f>
        <v/>
      </c>
      <c r="O61" s="268"/>
      <c r="P61" s="497"/>
      <c r="Q61" s="157" t="str" cm="1">
        <f t="array" ref="Q61">IF(OR($E61="",$I61=""),"",(INDEX('Emission factors'!$K$3:$V$201,MATCH('Buildings - Grid Electricity'!$E61&amp;$F61,'Emission factors'!$J$3:$J$201&amp;'Emission factors'!$K$3:$K$201,0),MATCH('Buildings - Grid Electricity'!Q$6,'Emission factors'!$K$2:$V$2,0)))*$K61)</f>
        <v/>
      </c>
      <c r="R61" s="157" t="str" cm="1">
        <f t="array" ref="R61">IF(OR($E61="",$I61=""),"",(INDEX('Emission factors'!$K$3:$V$201,MATCH('Buildings - Grid Electricity'!$E61&amp;$F61,'Emission factors'!$J$3:$J$201&amp;'Emission factors'!$K$3:$K$201,0),MATCH('Buildings - Grid Electricity'!R$6,'Emission factors'!$K$2:$V$2,0)))*$K61)</f>
        <v/>
      </c>
      <c r="S61" s="157" t="str" cm="1">
        <f t="array" ref="S61">IF(OR($E61="",$I61=""),"",(INDEX('Emission factors'!$K$3:$V$201,MATCH('Buildings - Grid Electricity'!$E61&amp;$F61,'Emission factors'!$J$3:$J$201&amp;'Emission factors'!$K$3:$K$201,0),MATCH('Buildings - Grid Electricity'!S$6,'Emission factors'!$K$2:$V$2,0)))*$K61)</f>
        <v/>
      </c>
      <c r="T61" s="157" t="str" cm="1">
        <f t="array" ref="T61">IF(OR($E61="",$I61=""),"",(INDEX('Emission factors'!$K$3:$V$201,MATCH('Buildings - Grid Electricity'!$E61&amp;$F61,'Emission factors'!$J$3:$J$201&amp;'Emission factors'!$K$3:$K$201,0),MATCH('Buildings - Grid Electricity'!T$6,'Emission factors'!$K$2:$V$2,0)))*$K61)</f>
        <v/>
      </c>
      <c r="U61" s="157" t="str" cm="1">
        <f t="array" ref="U61">IF(OR($E61="",$I61=""),"",(INDEX('Emission factors'!$K$3:$V$201,MATCH('Buildings - Grid Electricity'!$E61&amp;$F61,'Emission factors'!$J$3:$J$201&amp;'Emission factors'!$K$3:$K$201,0),MATCH('Buildings - Grid Electricity'!U$6,'Emission factors'!$K$2:$V$2,0)))*$K61)</f>
        <v/>
      </c>
      <c r="V61" s="269" t="str">
        <f>IF(OR($N61="",BuildingsElectricityTable[[#This Row],[RSD]]=""),"",BuildingsElectricityTable[[#This Row],[Total emissions (kgCO2e)]]*(1+BuildingsElectricityTable[[#This Row],[RSD]]))</f>
        <v/>
      </c>
      <c r="W61" s="270" t="str">
        <f>IF(OR($N61="",BuildingsElectricityTable[[#This Row],[RSD]]=""),"",BuildingsElectricityTable[[#This Row],[Total emissions (kgCO2e)]]*(1-BuildingsElectricityTable[[#This Row],[RSD]]))</f>
        <v/>
      </c>
      <c r="X61" s="271" t="str" cm="1">
        <f t="array" ref="X61">IF(OR($E61="",$I61=""),"",(INDEX('Emission factors'!$K$3:$V$201,MATCH('Buildings - Grid Electricity'!$E61&amp;$F61,'Emission factors'!$J$3:$J$201&amp;'Emission factors'!$K$3:$K$201,0),MATCH('Buildings - Grid Electricity'!X$6,'Emission factors'!$K$2:$V$2,0)))*$K61)</f>
        <v/>
      </c>
      <c r="Y61" s="30"/>
      <c r="Z61" s="1" cm="1">
        <f t="array" ref="Z61">IF(OR(ISERROR(B61:X61)),1,0)</f>
        <v>0</v>
      </c>
      <c r="AA61" s="1">
        <f t="shared" si="5"/>
        <v>0</v>
      </c>
    </row>
    <row r="62" spans="1:27" ht="15" outlineLevel="1" thickBot="1" x14ac:dyDescent="0.4">
      <c r="A62" s="319"/>
      <c r="B62" s="216"/>
      <c r="C62" s="216"/>
      <c r="D62" s="489" t="str">
        <f>IFERROR(INDEX(BuildingInformationTable[Site type],MATCH(BuildingsElectricityTable[[#This Row],[Site name]],BuildingInformationTable[Site name],0)),"")</f>
        <v/>
      </c>
      <c r="E62" s="490" t="str">
        <f t="shared" si="2"/>
        <v/>
      </c>
      <c r="F62" s="490" t="str">
        <f t="shared" si="3"/>
        <v/>
      </c>
      <c r="G62" s="491"/>
      <c r="H62" s="492" t="str">
        <f>IF(G62="","",INDEX(Lists!$BA$4:$BC$31,MATCH(E62,Lists!$AZ$4:$AZ$31,0),MATCH(G62,Lists!$BA$3:$BC$3,0)))</f>
        <v/>
      </c>
      <c r="I62" s="267"/>
      <c r="J62" s="490" t="str">
        <f t="shared" si="4"/>
        <v/>
      </c>
      <c r="K62" s="493" t="str" cm="1">
        <f t="array" ref="K62">IF(OR($E62="",$D62="",$I62="",$J62=""),"",IF(J62=L62,I62,(INDEX('Emission factors'!$K$3:$V$201,MATCH(E62&amp;F62,'Emission factors'!$J$3:$J$201&amp;'Emission factors'!$K$3:$K$201,0),MATCH(K$6,'Emission factors'!$K$2:$V$2,0)))*I62))</f>
        <v/>
      </c>
      <c r="L62" s="494" t="str">
        <f>IF(OR($E62="",$D62="",$I62="",$J62=""),"",INDEX('Emission factors'!$K$3:$V$201,MATCH('Buildings - Grid Electricity'!$E62,'Emission factors'!$J$3:$J$201,0),MATCH($L$6,'Emission factors'!$K$2:$V$2,0)))</f>
        <v/>
      </c>
      <c r="M62" s="495" t="str" cm="1">
        <f t="array" ref="M62">IF(OR(E62="",I62="",BuildingsElectricityTable[[#This Row],[Units]]=""),"",INDEX('Emission factors'!$K$3:$V$201,MATCH('Buildings - Grid Electricity'!$E62&amp;F62,'Emission factors'!$J$3:$J$201&amp;'Emission factors'!$K$3:$K$201,0),MATCH('Buildings - Grid Electricity'!$M$6,'Emission factors'!$K$2:$V$2,0)))</f>
        <v/>
      </c>
      <c r="N62" s="496" t="str">
        <f>IF(OR(K62="",M62=""),"",SUM(BuildingsElectricityTable[[#This Row],[Direct]:[Indirect WTT]]))</f>
        <v/>
      </c>
      <c r="O62" s="268"/>
      <c r="P62" s="497"/>
      <c r="Q62" s="157" t="str" cm="1">
        <f t="array" ref="Q62">IF(OR($E62="",$I62=""),"",(INDEX('Emission factors'!$K$3:$V$201,MATCH('Buildings - Grid Electricity'!$E62&amp;$F62,'Emission factors'!$J$3:$J$201&amp;'Emission factors'!$K$3:$K$201,0),MATCH('Buildings - Grid Electricity'!Q$6,'Emission factors'!$K$2:$V$2,0)))*$K62)</f>
        <v/>
      </c>
      <c r="R62" s="157" t="str" cm="1">
        <f t="array" ref="R62">IF(OR($E62="",$I62=""),"",(INDEX('Emission factors'!$K$3:$V$201,MATCH('Buildings - Grid Electricity'!$E62&amp;$F62,'Emission factors'!$J$3:$J$201&amp;'Emission factors'!$K$3:$K$201,0),MATCH('Buildings - Grid Electricity'!R$6,'Emission factors'!$K$2:$V$2,0)))*$K62)</f>
        <v/>
      </c>
      <c r="S62" s="157" t="str" cm="1">
        <f t="array" ref="S62">IF(OR($E62="",$I62=""),"",(INDEX('Emission factors'!$K$3:$V$201,MATCH('Buildings - Grid Electricity'!$E62&amp;$F62,'Emission factors'!$J$3:$J$201&amp;'Emission factors'!$K$3:$K$201,0),MATCH('Buildings - Grid Electricity'!S$6,'Emission factors'!$K$2:$V$2,0)))*$K62)</f>
        <v/>
      </c>
      <c r="T62" s="157" t="str" cm="1">
        <f t="array" ref="T62">IF(OR($E62="",$I62=""),"",(INDEX('Emission factors'!$K$3:$V$201,MATCH('Buildings - Grid Electricity'!$E62&amp;$F62,'Emission factors'!$J$3:$J$201&amp;'Emission factors'!$K$3:$K$201,0),MATCH('Buildings - Grid Electricity'!T$6,'Emission factors'!$K$2:$V$2,0)))*$K62)</f>
        <v/>
      </c>
      <c r="U62" s="157" t="str" cm="1">
        <f t="array" ref="U62">IF(OR($E62="",$I62=""),"",(INDEX('Emission factors'!$K$3:$V$201,MATCH('Buildings - Grid Electricity'!$E62&amp;$F62,'Emission factors'!$J$3:$J$201&amp;'Emission factors'!$K$3:$K$201,0),MATCH('Buildings - Grid Electricity'!U$6,'Emission factors'!$K$2:$V$2,0)))*$K62)</f>
        <v/>
      </c>
      <c r="V62" s="269" t="str">
        <f>IF(OR($N62="",BuildingsElectricityTable[[#This Row],[RSD]]=""),"",BuildingsElectricityTable[[#This Row],[Total emissions (kgCO2e)]]*(1+BuildingsElectricityTable[[#This Row],[RSD]]))</f>
        <v/>
      </c>
      <c r="W62" s="270" t="str">
        <f>IF(OR($N62="",BuildingsElectricityTable[[#This Row],[RSD]]=""),"",BuildingsElectricityTable[[#This Row],[Total emissions (kgCO2e)]]*(1-BuildingsElectricityTable[[#This Row],[RSD]]))</f>
        <v/>
      </c>
      <c r="X62" s="271" t="str" cm="1">
        <f t="array" ref="X62">IF(OR($E62="",$I62=""),"",(INDEX('Emission factors'!$K$3:$V$201,MATCH('Buildings - Grid Electricity'!$E62&amp;$F62,'Emission factors'!$J$3:$J$201&amp;'Emission factors'!$K$3:$K$201,0),MATCH('Buildings - Grid Electricity'!X$6,'Emission factors'!$K$2:$V$2,0)))*$K62)</f>
        <v/>
      </c>
      <c r="Y62" s="30"/>
      <c r="Z62" s="1" cm="1">
        <f t="array" ref="Z62">IF(OR(ISERROR(B62:X62)),1,0)</f>
        <v>0</v>
      </c>
      <c r="AA62" s="1">
        <f t="shared" si="5"/>
        <v>0</v>
      </c>
    </row>
    <row r="63" spans="1:27" ht="15" outlineLevel="1" thickBot="1" x14ac:dyDescent="0.4">
      <c r="A63" s="319"/>
      <c r="B63" s="216"/>
      <c r="C63" s="216"/>
      <c r="D63" s="489" t="str">
        <f>IFERROR(INDEX(BuildingInformationTable[Site type],MATCH(BuildingsElectricityTable[[#This Row],[Site name]],BuildingInformationTable[Site name],0)),"")</f>
        <v/>
      </c>
      <c r="E63" s="490" t="str">
        <f t="shared" si="2"/>
        <v/>
      </c>
      <c r="F63" s="490" t="str">
        <f t="shared" si="3"/>
        <v/>
      </c>
      <c r="G63" s="491"/>
      <c r="H63" s="492" t="str">
        <f>IF(G63="","",INDEX(Lists!$BA$4:$BC$31,MATCH(E63,Lists!$AZ$4:$AZ$31,0),MATCH(G63,Lists!$BA$3:$BC$3,0)))</f>
        <v/>
      </c>
      <c r="I63" s="267"/>
      <c r="J63" s="490" t="str">
        <f t="shared" si="4"/>
        <v/>
      </c>
      <c r="K63" s="493" t="str" cm="1">
        <f t="array" ref="K63">IF(OR($E63="",$D63="",$I63="",$J63=""),"",IF(J63=L63,I63,(INDEX('Emission factors'!$K$3:$V$201,MATCH(E63&amp;F63,'Emission factors'!$J$3:$J$201&amp;'Emission factors'!$K$3:$K$201,0),MATCH(K$6,'Emission factors'!$K$2:$V$2,0)))*I63))</f>
        <v/>
      </c>
      <c r="L63" s="494" t="str">
        <f>IF(OR($E63="",$D63="",$I63="",$J63=""),"",INDEX('Emission factors'!$K$3:$V$201,MATCH('Buildings - Grid Electricity'!$E63,'Emission factors'!$J$3:$J$201,0),MATCH($L$6,'Emission factors'!$K$2:$V$2,0)))</f>
        <v/>
      </c>
      <c r="M63" s="495" t="str" cm="1">
        <f t="array" ref="M63">IF(OR(E63="",I63="",BuildingsElectricityTable[[#This Row],[Units]]=""),"",INDEX('Emission factors'!$K$3:$V$201,MATCH('Buildings - Grid Electricity'!$E63&amp;F63,'Emission factors'!$J$3:$J$201&amp;'Emission factors'!$K$3:$K$201,0),MATCH('Buildings - Grid Electricity'!$M$6,'Emission factors'!$K$2:$V$2,0)))</f>
        <v/>
      </c>
      <c r="N63" s="496" t="str">
        <f>IF(OR(K63="",M63=""),"",SUM(BuildingsElectricityTable[[#This Row],[Direct]:[Indirect WTT]]))</f>
        <v/>
      </c>
      <c r="O63" s="268"/>
      <c r="P63" s="497"/>
      <c r="Q63" s="157" t="str" cm="1">
        <f t="array" ref="Q63">IF(OR($E63="",$I63=""),"",(INDEX('Emission factors'!$K$3:$V$201,MATCH('Buildings - Grid Electricity'!$E63&amp;$F63,'Emission factors'!$J$3:$J$201&amp;'Emission factors'!$K$3:$K$201,0),MATCH('Buildings - Grid Electricity'!Q$6,'Emission factors'!$K$2:$V$2,0)))*$K63)</f>
        <v/>
      </c>
      <c r="R63" s="157" t="str" cm="1">
        <f t="array" ref="R63">IF(OR($E63="",$I63=""),"",(INDEX('Emission factors'!$K$3:$V$201,MATCH('Buildings - Grid Electricity'!$E63&amp;$F63,'Emission factors'!$J$3:$J$201&amp;'Emission factors'!$K$3:$K$201,0),MATCH('Buildings - Grid Electricity'!R$6,'Emission factors'!$K$2:$V$2,0)))*$K63)</f>
        <v/>
      </c>
      <c r="S63" s="157" t="str" cm="1">
        <f t="array" ref="S63">IF(OR($E63="",$I63=""),"",(INDEX('Emission factors'!$K$3:$V$201,MATCH('Buildings - Grid Electricity'!$E63&amp;$F63,'Emission factors'!$J$3:$J$201&amp;'Emission factors'!$K$3:$K$201,0),MATCH('Buildings - Grid Electricity'!S$6,'Emission factors'!$K$2:$V$2,0)))*$K63)</f>
        <v/>
      </c>
      <c r="T63" s="157" t="str" cm="1">
        <f t="array" ref="T63">IF(OR($E63="",$I63=""),"",(INDEX('Emission factors'!$K$3:$V$201,MATCH('Buildings - Grid Electricity'!$E63&amp;$F63,'Emission factors'!$J$3:$J$201&amp;'Emission factors'!$K$3:$K$201,0),MATCH('Buildings - Grid Electricity'!T$6,'Emission factors'!$K$2:$V$2,0)))*$K63)</f>
        <v/>
      </c>
      <c r="U63" s="157" t="str" cm="1">
        <f t="array" ref="U63">IF(OR($E63="",$I63=""),"",(INDEX('Emission factors'!$K$3:$V$201,MATCH('Buildings - Grid Electricity'!$E63&amp;$F63,'Emission factors'!$J$3:$J$201&amp;'Emission factors'!$K$3:$K$201,0),MATCH('Buildings - Grid Electricity'!U$6,'Emission factors'!$K$2:$V$2,0)))*$K63)</f>
        <v/>
      </c>
      <c r="V63" s="269" t="str">
        <f>IF(OR($N63="",BuildingsElectricityTable[[#This Row],[RSD]]=""),"",BuildingsElectricityTable[[#This Row],[Total emissions (kgCO2e)]]*(1+BuildingsElectricityTable[[#This Row],[RSD]]))</f>
        <v/>
      </c>
      <c r="W63" s="270" t="str">
        <f>IF(OR($N63="",BuildingsElectricityTable[[#This Row],[RSD]]=""),"",BuildingsElectricityTable[[#This Row],[Total emissions (kgCO2e)]]*(1-BuildingsElectricityTable[[#This Row],[RSD]]))</f>
        <v/>
      </c>
      <c r="X63" s="271" t="str" cm="1">
        <f t="array" ref="X63">IF(OR($E63="",$I63=""),"",(INDEX('Emission factors'!$K$3:$V$201,MATCH('Buildings - Grid Electricity'!$E63&amp;$F63,'Emission factors'!$J$3:$J$201&amp;'Emission factors'!$K$3:$K$201,0),MATCH('Buildings - Grid Electricity'!X$6,'Emission factors'!$K$2:$V$2,0)))*$K63)</f>
        <v/>
      </c>
      <c r="Y63" s="30"/>
      <c r="Z63" s="1" cm="1">
        <f t="array" ref="Z63">IF(OR(ISERROR(B63:X63)),1,0)</f>
        <v>0</v>
      </c>
      <c r="AA63" s="1">
        <f t="shared" si="5"/>
        <v>0</v>
      </c>
    </row>
    <row r="64" spans="1:27" ht="15" outlineLevel="1" thickBot="1" x14ac:dyDescent="0.4">
      <c r="A64" s="319"/>
      <c r="B64" s="216"/>
      <c r="C64" s="216"/>
      <c r="D64" s="489" t="str">
        <f>IFERROR(INDEX(BuildingInformationTable[Site type],MATCH(BuildingsElectricityTable[[#This Row],[Site name]],BuildingInformationTable[Site name],0)),"")</f>
        <v/>
      </c>
      <c r="E64" s="490" t="str">
        <f t="shared" si="2"/>
        <v/>
      </c>
      <c r="F64" s="490" t="str">
        <f t="shared" si="3"/>
        <v/>
      </c>
      <c r="G64" s="491"/>
      <c r="H64" s="492" t="str">
        <f>IF(G64="","",INDEX(Lists!$BA$4:$BC$31,MATCH(E64,Lists!$AZ$4:$AZ$31,0),MATCH(G64,Lists!$BA$3:$BC$3,0)))</f>
        <v/>
      </c>
      <c r="I64" s="267"/>
      <c r="J64" s="490" t="str">
        <f t="shared" si="4"/>
        <v/>
      </c>
      <c r="K64" s="493" t="str" cm="1">
        <f t="array" ref="K64">IF(OR($E64="",$D64="",$I64="",$J64=""),"",IF(J64=L64,I64,(INDEX('Emission factors'!$K$3:$V$201,MATCH(E64&amp;F64,'Emission factors'!$J$3:$J$201&amp;'Emission factors'!$K$3:$K$201,0),MATCH(K$6,'Emission factors'!$K$2:$V$2,0)))*I64))</f>
        <v/>
      </c>
      <c r="L64" s="494" t="str">
        <f>IF(OR($E64="",$D64="",$I64="",$J64=""),"",INDEX('Emission factors'!$K$3:$V$201,MATCH('Buildings - Grid Electricity'!$E64,'Emission factors'!$J$3:$J$201,0),MATCH($L$6,'Emission factors'!$K$2:$V$2,0)))</f>
        <v/>
      </c>
      <c r="M64" s="495" t="str" cm="1">
        <f t="array" ref="M64">IF(OR(E64="",I64="",BuildingsElectricityTable[[#This Row],[Units]]=""),"",INDEX('Emission factors'!$K$3:$V$201,MATCH('Buildings - Grid Electricity'!$E64&amp;F64,'Emission factors'!$J$3:$J$201&amp;'Emission factors'!$K$3:$K$201,0),MATCH('Buildings - Grid Electricity'!$M$6,'Emission factors'!$K$2:$V$2,0)))</f>
        <v/>
      </c>
      <c r="N64" s="496" t="str">
        <f>IF(OR(K64="",M64=""),"",SUM(BuildingsElectricityTable[[#This Row],[Direct]:[Indirect WTT]]))</f>
        <v/>
      </c>
      <c r="O64" s="268"/>
      <c r="P64" s="497"/>
      <c r="Q64" s="157" t="str" cm="1">
        <f t="array" ref="Q64">IF(OR($E64="",$I64=""),"",(INDEX('Emission factors'!$K$3:$V$201,MATCH('Buildings - Grid Electricity'!$E64&amp;$F64,'Emission factors'!$J$3:$J$201&amp;'Emission factors'!$K$3:$K$201,0),MATCH('Buildings - Grid Electricity'!Q$6,'Emission factors'!$K$2:$V$2,0)))*$K64)</f>
        <v/>
      </c>
      <c r="R64" s="157" t="str" cm="1">
        <f t="array" ref="R64">IF(OR($E64="",$I64=""),"",(INDEX('Emission factors'!$K$3:$V$201,MATCH('Buildings - Grid Electricity'!$E64&amp;$F64,'Emission factors'!$J$3:$J$201&amp;'Emission factors'!$K$3:$K$201,0),MATCH('Buildings - Grid Electricity'!R$6,'Emission factors'!$K$2:$V$2,0)))*$K64)</f>
        <v/>
      </c>
      <c r="S64" s="157" t="str" cm="1">
        <f t="array" ref="S64">IF(OR($E64="",$I64=""),"",(INDEX('Emission factors'!$K$3:$V$201,MATCH('Buildings - Grid Electricity'!$E64&amp;$F64,'Emission factors'!$J$3:$J$201&amp;'Emission factors'!$K$3:$K$201,0),MATCH('Buildings - Grid Electricity'!S$6,'Emission factors'!$K$2:$V$2,0)))*$K64)</f>
        <v/>
      </c>
      <c r="T64" s="157" t="str" cm="1">
        <f t="array" ref="T64">IF(OR($E64="",$I64=""),"",(INDEX('Emission factors'!$K$3:$V$201,MATCH('Buildings - Grid Electricity'!$E64&amp;$F64,'Emission factors'!$J$3:$J$201&amp;'Emission factors'!$K$3:$K$201,0),MATCH('Buildings - Grid Electricity'!T$6,'Emission factors'!$K$2:$V$2,0)))*$K64)</f>
        <v/>
      </c>
      <c r="U64" s="157" t="str" cm="1">
        <f t="array" ref="U64">IF(OR($E64="",$I64=""),"",(INDEX('Emission factors'!$K$3:$V$201,MATCH('Buildings - Grid Electricity'!$E64&amp;$F64,'Emission factors'!$J$3:$J$201&amp;'Emission factors'!$K$3:$K$201,0),MATCH('Buildings - Grid Electricity'!U$6,'Emission factors'!$K$2:$V$2,0)))*$K64)</f>
        <v/>
      </c>
      <c r="V64" s="269" t="str">
        <f>IF(OR($N64="",BuildingsElectricityTable[[#This Row],[RSD]]=""),"",BuildingsElectricityTable[[#This Row],[Total emissions (kgCO2e)]]*(1+BuildingsElectricityTable[[#This Row],[RSD]]))</f>
        <v/>
      </c>
      <c r="W64" s="270" t="str">
        <f>IF(OR($N64="",BuildingsElectricityTable[[#This Row],[RSD]]=""),"",BuildingsElectricityTable[[#This Row],[Total emissions (kgCO2e)]]*(1-BuildingsElectricityTable[[#This Row],[RSD]]))</f>
        <v/>
      </c>
      <c r="X64" s="271" t="str" cm="1">
        <f t="array" ref="X64">IF(OR($E64="",$I64=""),"",(INDEX('Emission factors'!$K$3:$V$201,MATCH('Buildings - Grid Electricity'!$E64&amp;$F64,'Emission factors'!$J$3:$J$201&amp;'Emission factors'!$K$3:$K$201,0),MATCH('Buildings - Grid Electricity'!X$6,'Emission factors'!$K$2:$V$2,0)))*$K64)</f>
        <v/>
      </c>
      <c r="Y64" s="30"/>
      <c r="Z64" s="1" cm="1">
        <f t="array" ref="Z64">IF(OR(ISERROR(B64:X64)),1,0)</f>
        <v>0</v>
      </c>
      <c r="AA64" s="1">
        <f t="shared" si="5"/>
        <v>0</v>
      </c>
    </row>
    <row r="65" spans="1:27" ht="15" outlineLevel="1" thickBot="1" x14ac:dyDescent="0.4">
      <c r="A65" s="319"/>
      <c r="B65" s="216"/>
      <c r="C65" s="216"/>
      <c r="D65" s="489" t="str">
        <f>IFERROR(INDEX(BuildingInformationTable[Site type],MATCH(BuildingsElectricityTable[[#This Row],[Site name]],BuildingInformationTable[Site name],0)),"")</f>
        <v/>
      </c>
      <c r="E65" s="490" t="str">
        <f t="shared" si="2"/>
        <v/>
      </c>
      <c r="F65" s="490" t="str">
        <f t="shared" si="3"/>
        <v/>
      </c>
      <c r="G65" s="491"/>
      <c r="H65" s="492" t="str">
        <f>IF(G65="","",INDEX(Lists!$BA$4:$BC$31,MATCH(E65,Lists!$AZ$4:$AZ$31,0),MATCH(G65,Lists!$BA$3:$BC$3,0)))</f>
        <v/>
      </c>
      <c r="I65" s="267"/>
      <c r="J65" s="490" t="str">
        <f t="shared" si="4"/>
        <v/>
      </c>
      <c r="K65" s="493" t="str" cm="1">
        <f t="array" ref="K65">IF(OR($E65="",$D65="",$I65="",$J65=""),"",IF(J65=L65,I65,(INDEX('Emission factors'!$K$3:$V$201,MATCH(E65&amp;F65,'Emission factors'!$J$3:$J$201&amp;'Emission factors'!$K$3:$K$201,0),MATCH(K$6,'Emission factors'!$K$2:$V$2,0)))*I65))</f>
        <v/>
      </c>
      <c r="L65" s="494" t="str">
        <f>IF(OR($E65="",$D65="",$I65="",$J65=""),"",INDEX('Emission factors'!$K$3:$V$201,MATCH('Buildings - Grid Electricity'!$E65,'Emission factors'!$J$3:$J$201,0),MATCH($L$6,'Emission factors'!$K$2:$V$2,0)))</f>
        <v/>
      </c>
      <c r="M65" s="495" t="str" cm="1">
        <f t="array" ref="M65">IF(OR(E65="",I65="",BuildingsElectricityTable[[#This Row],[Units]]=""),"",INDEX('Emission factors'!$K$3:$V$201,MATCH('Buildings - Grid Electricity'!$E65&amp;F65,'Emission factors'!$J$3:$J$201&amp;'Emission factors'!$K$3:$K$201,0),MATCH('Buildings - Grid Electricity'!$M$6,'Emission factors'!$K$2:$V$2,0)))</f>
        <v/>
      </c>
      <c r="N65" s="496" t="str">
        <f>IF(OR(K65="",M65=""),"",SUM(BuildingsElectricityTable[[#This Row],[Direct]:[Indirect WTT]]))</f>
        <v/>
      </c>
      <c r="O65" s="268"/>
      <c r="P65" s="497"/>
      <c r="Q65" s="157" t="str" cm="1">
        <f t="array" ref="Q65">IF(OR($E65="",$I65=""),"",(INDEX('Emission factors'!$K$3:$V$201,MATCH('Buildings - Grid Electricity'!$E65&amp;$F65,'Emission factors'!$J$3:$J$201&amp;'Emission factors'!$K$3:$K$201,0),MATCH('Buildings - Grid Electricity'!Q$6,'Emission factors'!$K$2:$V$2,0)))*$K65)</f>
        <v/>
      </c>
      <c r="R65" s="157" t="str" cm="1">
        <f t="array" ref="R65">IF(OR($E65="",$I65=""),"",(INDEX('Emission factors'!$K$3:$V$201,MATCH('Buildings - Grid Electricity'!$E65&amp;$F65,'Emission factors'!$J$3:$J$201&amp;'Emission factors'!$K$3:$K$201,0),MATCH('Buildings - Grid Electricity'!R$6,'Emission factors'!$K$2:$V$2,0)))*$K65)</f>
        <v/>
      </c>
      <c r="S65" s="157" t="str" cm="1">
        <f t="array" ref="S65">IF(OR($E65="",$I65=""),"",(INDEX('Emission factors'!$K$3:$V$201,MATCH('Buildings - Grid Electricity'!$E65&amp;$F65,'Emission factors'!$J$3:$J$201&amp;'Emission factors'!$K$3:$K$201,0),MATCH('Buildings - Grid Electricity'!S$6,'Emission factors'!$K$2:$V$2,0)))*$K65)</f>
        <v/>
      </c>
      <c r="T65" s="157" t="str" cm="1">
        <f t="array" ref="T65">IF(OR($E65="",$I65=""),"",(INDEX('Emission factors'!$K$3:$V$201,MATCH('Buildings - Grid Electricity'!$E65&amp;$F65,'Emission factors'!$J$3:$J$201&amp;'Emission factors'!$K$3:$K$201,0),MATCH('Buildings - Grid Electricity'!T$6,'Emission factors'!$K$2:$V$2,0)))*$K65)</f>
        <v/>
      </c>
      <c r="U65" s="157" t="str" cm="1">
        <f t="array" ref="U65">IF(OR($E65="",$I65=""),"",(INDEX('Emission factors'!$K$3:$V$201,MATCH('Buildings - Grid Electricity'!$E65&amp;$F65,'Emission factors'!$J$3:$J$201&amp;'Emission factors'!$K$3:$K$201,0),MATCH('Buildings - Grid Electricity'!U$6,'Emission factors'!$K$2:$V$2,0)))*$K65)</f>
        <v/>
      </c>
      <c r="V65" s="269" t="str">
        <f>IF(OR($N65="",BuildingsElectricityTable[[#This Row],[RSD]]=""),"",BuildingsElectricityTable[[#This Row],[Total emissions (kgCO2e)]]*(1+BuildingsElectricityTable[[#This Row],[RSD]]))</f>
        <v/>
      </c>
      <c r="W65" s="270" t="str">
        <f>IF(OR($N65="",BuildingsElectricityTable[[#This Row],[RSD]]=""),"",BuildingsElectricityTable[[#This Row],[Total emissions (kgCO2e)]]*(1-BuildingsElectricityTable[[#This Row],[RSD]]))</f>
        <v/>
      </c>
      <c r="X65" s="271" t="str" cm="1">
        <f t="array" ref="X65">IF(OR($E65="",$I65=""),"",(INDEX('Emission factors'!$K$3:$V$201,MATCH('Buildings - Grid Electricity'!$E65&amp;$F65,'Emission factors'!$J$3:$J$201&amp;'Emission factors'!$K$3:$K$201,0),MATCH('Buildings - Grid Electricity'!X$6,'Emission factors'!$K$2:$V$2,0)))*$K65)</f>
        <v/>
      </c>
      <c r="Y65" s="30"/>
      <c r="Z65" s="1" cm="1">
        <f t="array" ref="Z65">IF(OR(ISERROR(B65:X65)),1,0)</f>
        <v>0</v>
      </c>
      <c r="AA65" s="1">
        <f t="shared" si="5"/>
        <v>0</v>
      </c>
    </row>
    <row r="66" spans="1:27" ht="15" outlineLevel="1" thickBot="1" x14ac:dyDescent="0.4">
      <c r="A66" s="319"/>
      <c r="B66" s="216"/>
      <c r="C66" s="216"/>
      <c r="D66" s="489" t="str">
        <f>IFERROR(INDEX(BuildingInformationTable[Site type],MATCH(BuildingsElectricityTable[[#This Row],[Site name]],BuildingInformationTable[Site name],0)),"")</f>
        <v/>
      </c>
      <c r="E66" s="490" t="str">
        <f t="shared" si="2"/>
        <v/>
      </c>
      <c r="F66" s="490" t="str">
        <f t="shared" si="3"/>
        <v/>
      </c>
      <c r="G66" s="491"/>
      <c r="H66" s="492" t="str">
        <f>IF(G66="","",INDEX(Lists!$BA$4:$BC$31,MATCH(E66,Lists!$AZ$4:$AZ$31,0),MATCH(G66,Lists!$BA$3:$BC$3,0)))</f>
        <v/>
      </c>
      <c r="I66" s="267"/>
      <c r="J66" s="490" t="str">
        <f t="shared" si="4"/>
        <v/>
      </c>
      <c r="K66" s="493" t="str" cm="1">
        <f t="array" ref="K66">IF(OR($E66="",$D66="",$I66="",$J66=""),"",IF(J66=L66,I66,(INDEX('Emission factors'!$K$3:$V$201,MATCH(E66&amp;F66,'Emission factors'!$J$3:$J$201&amp;'Emission factors'!$K$3:$K$201,0),MATCH(K$6,'Emission factors'!$K$2:$V$2,0)))*I66))</f>
        <v/>
      </c>
      <c r="L66" s="494" t="str">
        <f>IF(OR($E66="",$D66="",$I66="",$J66=""),"",INDEX('Emission factors'!$K$3:$V$201,MATCH('Buildings - Grid Electricity'!$E66,'Emission factors'!$J$3:$J$201,0),MATCH($L$6,'Emission factors'!$K$2:$V$2,0)))</f>
        <v/>
      </c>
      <c r="M66" s="495" t="str" cm="1">
        <f t="array" ref="M66">IF(OR(E66="",I66="",BuildingsElectricityTable[[#This Row],[Units]]=""),"",INDEX('Emission factors'!$K$3:$V$201,MATCH('Buildings - Grid Electricity'!$E66&amp;F66,'Emission factors'!$J$3:$J$201&amp;'Emission factors'!$K$3:$K$201,0),MATCH('Buildings - Grid Electricity'!$M$6,'Emission factors'!$K$2:$V$2,0)))</f>
        <v/>
      </c>
      <c r="N66" s="496" t="str">
        <f>IF(OR(K66="",M66=""),"",SUM(BuildingsElectricityTable[[#This Row],[Direct]:[Indirect WTT]]))</f>
        <v/>
      </c>
      <c r="O66" s="268"/>
      <c r="P66" s="497"/>
      <c r="Q66" s="157" t="str" cm="1">
        <f t="array" ref="Q66">IF(OR($E66="",$I66=""),"",(INDEX('Emission factors'!$K$3:$V$201,MATCH('Buildings - Grid Electricity'!$E66&amp;$F66,'Emission factors'!$J$3:$J$201&amp;'Emission factors'!$K$3:$K$201,0),MATCH('Buildings - Grid Electricity'!Q$6,'Emission factors'!$K$2:$V$2,0)))*$K66)</f>
        <v/>
      </c>
      <c r="R66" s="157" t="str" cm="1">
        <f t="array" ref="R66">IF(OR($E66="",$I66=""),"",(INDEX('Emission factors'!$K$3:$V$201,MATCH('Buildings - Grid Electricity'!$E66&amp;$F66,'Emission factors'!$J$3:$J$201&amp;'Emission factors'!$K$3:$K$201,0),MATCH('Buildings - Grid Electricity'!R$6,'Emission factors'!$K$2:$V$2,0)))*$K66)</f>
        <v/>
      </c>
      <c r="S66" s="157" t="str" cm="1">
        <f t="array" ref="S66">IF(OR($E66="",$I66=""),"",(INDEX('Emission factors'!$K$3:$V$201,MATCH('Buildings - Grid Electricity'!$E66&amp;$F66,'Emission factors'!$J$3:$J$201&amp;'Emission factors'!$K$3:$K$201,0),MATCH('Buildings - Grid Electricity'!S$6,'Emission factors'!$K$2:$V$2,0)))*$K66)</f>
        <v/>
      </c>
      <c r="T66" s="157" t="str" cm="1">
        <f t="array" ref="T66">IF(OR($E66="",$I66=""),"",(INDEX('Emission factors'!$K$3:$V$201,MATCH('Buildings - Grid Electricity'!$E66&amp;$F66,'Emission factors'!$J$3:$J$201&amp;'Emission factors'!$K$3:$K$201,0),MATCH('Buildings - Grid Electricity'!T$6,'Emission factors'!$K$2:$V$2,0)))*$K66)</f>
        <v/>
      </c>
      <c r="U66" s="157" t="str" cm="1">
        <f t="array" ref="U66">IF(OR($E66="",$I66=""),"",(INDEX('Emission factors'!$K$3:$V$201,MATCH('Buildings - Grid Electricity'!$E66&amp;$F66,'Emission factors'!$J$3:$J$201&amp;'Emission factors'!$K$3:$K$201,0),MATCH('Buildings - Grid Electricity'!U$6,'Emission factors'!$K$2:$V$2,0)))*$K66)</f>
        <v/>
      </c>
      <c r="V66" s="269" t="str">
        <f>IF(OR($N66="",BuildingsElectricityTable[[#This Row],[RSD]]=""),"",BuildingsElectricityTable[[#This Row],[Total emissions (kgCO2e)]]*(1+BuildingsElectricityTable[[#This Row],[RSD]]))</f>
        <v/>
      </c>
      <c r="W66" s="270" t="str">
        <f>IF(OR($N66="",BuildingsElectricityTable[[#This Row],[RSD]]=""),"",BuildingsElectricityTable[[#This Row],[Total emissions (kgCO2e)]]*(1-BuildingsElectricityTable[[#This Row],[RSD]]))</f>
        <v/>
      </c>
      <c r="X66" s="271" t="str" cm="1">
        <f t="array" ref="X66">IF(OR($E66="",$I66=""),"",(INDEX('Emission factors'!$K$3:$V$201,MATCH('Buildings - Grid Electricity'!$E66&amp;$F66,'Emission factors'!$J$3:$J$201&amp;'Emission factors'!$K$3:$K$201,0),MATCH('Buildings - Grid Electricity'!X$6,'Emission factors'!$K$2:$V$2,0)))*$K66)</f>
        <v/>
      </c>
      <c r="Y66" s="30"/>
      <c r="Z66" s="1" cm="1">
        <f t="array" ref="Z66">IF(OR(ISERROR(B66:X66)),1,0)</f>
        <v>0</v>
      </c>
      <c r="AA66" s="1">
        <f t="shared" si="5"/>
        <v>0</v>
      </c>
    </row>
    <row r="67" spans="1:27" ht="15" outlineLevel="1" thickBot="1" x14ac:dyDescent="0.4">
      <c r="A67" s="319"/>
      <c r="B67" s="216"/>
      <c r="C67" s="216"/>
      <c r="D67" s="489" t="str">
        <f>IFERROR(INDEX(BuildingInformationTable[Site type],MATCH(BuildingsElectricityTable[[#This Row],[Site name]],BuildingInformationTable[Site name],0)),"")</f>
        <v/>
      </c>
      <c r="E67" s="490" t="str">
        <f t="shared" si="2"/>
        <v/>
      </c>
      <c r="F67" s="490" t="str">
        <f t="shared" si="3"/>
        <v/>
      </c>
      <c r="G67" s="491"/>
      <c r="H67" s="492" t="str">
        <f>IF(G67="","",INDEX(Lists!$BA$4:$BC$31,MATCH(E67,Lists!$AZ$4:$AZ$31,0),MATCH(G67,Lists!$BA$3:$BC$3,0)))</f>
        <v/>
      </c>
      <c r="I67" s="267"/>
      <c r="J67" s="490" t="str">
        <f t="shared" si="4"/>
        <v/>
      </c>
      <c r="K67" s="493" t="str" cm="1">
        <f t="array" ref="K67">IF(OR($E67="",$D67="",$I67="",$J67=""),"",IF(J67=L67,I67,(INDEX('Emission factors'!$K$3:$V$201,MATCH(E67&amp;F67,'Emission factors'!$J$3:$J$201&amp;'Emission factors'!$K$3:$K$201,0),MATCH(K$6,'Emission factors'!$K$2:$V$2,0)))*I67))</f>
        <v/>
      </c>
      <c r="L67" s="494" t="str">
        <f>IF(OR($E67="",$D67="",$I67="",$J67=""),"",INDEX('Emission factors'!$K$3:$V$201,MATCH('Buildings - Grid Electricity'!$E67,'Emission factors'!$J$3:$J$201,0),MATCH($L$6,'Emission factors'!$K$2:$V$2,0)))</f>
        <v/>
      </c>
      <c r="M67" s="495" t="str" cm="1">
        <f t="array" ref="M67">IF(OR(E67="",I67="",BuildingsElectricityTable[[#This Row],[Units]]=""),"",INDEX('Emission factors'!$K$3:$V$201,MATCH('Buildings - Grid Electricity'!$E67&amp;F67,'Emission factors'!$J$3:$J$201&amp;'Emission factors'!$K$3:$K$201,0),MATCH('Buildings - Grid Electricity'!$M$6,'Emission factors'!$K$2:$V$2,0)))</f>
        <v/>
      </c>
      <c r="N67" s="496" t="str">
        <f>IF(OR(K67="",M67=""),"",SUM(BuildingsElectricityTable[[#This Row],[Direct]:[Indirect WTT]]))</f>
        <v/>
      </c>
      <c r="O67" s="268"/>
      <c r="P67" s="497"/>
      <c r="Q67" s="157" t="str" cm="1">
        <f t="array" ref="Q67">IF(OR($E67="",$I67=""),"",(INDEX('Emission factors'!$K$3:$V$201,MATCH('Buildings - Grid Electricity'!$E67&amp;$F67,'Emission factors'!$J$3:$J$201&amp;'Emission factors'!$K$3:$K$201,0),MATCH('Buildings - Grid Electricity'!Q$6,'Emission factors'!$K$2:$V$2,0)))*$K67)</f>
        <v/>
      </c>
      <c r="R67" s="157" t="str" cm="1">
        <f t="array" ref="R67">IF(OR($E67="",$I67=""),"",(INDEX('Emission factors'!$K$3:$V$201,MATCH('Buildings - Grid Electricity'!$E67&amp;$F67,'Emission factors'!$J$3:$J$201&amp;'Emission factors'!$K$3:$K$201,0),MATCH('Buildings - Grid Electricity'!R$6,'Emission factors'!$K$2:$V$2,0)))*$K67)</f>
        <v/>
      </c>
      <c r="S67" s="157" t="str" cm="1">
        <f t="array" ref="S67">IF(OR($E67="",$I67=""),"",(INDEX('Emission factors'!$K$3:$V$201,MATCH('Buildings - Grid Electricity'!$E67&amp;$F67,'Emission factors'!$J$3:$J$201&amp;'Emission factors'!$K$3:$K$201,0),MATCH('Buildings - Grid Electricity'!S$6,'Emission factors'!$K$2:$V$2,0)))*$K67)</f>
        <v/>
      </c>
      <c r="T67" s="157" t="str" cm="1">
        <f t="array" ref="T67">IF(OR($E67="",$I67=""),"",(INDEX('Emission factors'!$K$3:$V$201,MATCH('Buildings - Grid Electricity'!$E67&amp;$F67,'Emission factors'!$J$3:$J$201&amp;'Emission factors'!$K$3:$K$201,0),MATCH('Buildings - Grid Electricity'!T$6,'Emission factors'!$K$2:$V$2,0)))*$K67)</f>
        <v/>
      </c>
      <c r="U67" s="157" t="str" cm="1">
        <f t="array" ref="U67">IF(OR($E67="",$I67=""),"",(INDEX('Emission factors'!$K$3:$V$201,MATCH('Buildings - Grid Electricity'!$E67&amp;$F67,'Emission factors'!$J$3:$J$201&amp;'Emission factors'!$K$3:$K$201,0),MATCH('Buildings - Grid Electricity'!U$6,'Emission factors'!$K$2:$V$2,0)))*$K67)</f>
        <v/>
      </c>
      <c r="V67" s="269" t="str">
        <f>IF(OR($N67="",BuildingsElectricityTable[[#This Row],[RSD]]=""),"",BuildingsElectricityTable[[#This Row],[Total emissions (kgCO2e)]]*(1+BuildingsElectricityTable[[#This Row],[RSD]]))</f>
        <v/>
      </c>
      <c r="W67" s="270" t="str">
        <f>IF(OR($N67="",BuildingsElectricityTable[[#This Row],[RSD]]=""),"",BuildingsElectricityTable[[#This Row],[Total emissions (kgCO2e)]]*(1-BuildingsElectricityTable[[#This Row],[RSD]]))</f>
        <v/>
      </c>
      <c r="X67" s="271" t="str" cm="1">
        <f t="array" ref="X67">IF(OR($E67="",$I67=""),"",(INDEX('Emission factors'!$K$3:$V$201,MATCH('Buildings - Grid Electricity'!$E67&amp;$F67,'Emission factors'!$J$3:$J$201&amp;'Emission factors'!$K$3:$K$201,0),MATCH('Buildings - Grid Electricity'!X$6,'Emission factors'!$K$2:$V$2,0)))*$K67)</f>
        <v/>
      </c>
      <c r="Y67" s="30"/>
      <c r="Z67" s="1" cm="1">
        <f t="array" ref="Z67">IF(OR(ISERROR(B67:X67)),1,0)</f>
        <v>0</v>
      </c>
      <c r="AA67" s="1">
        <f t="shared" si="5"/>
        <v>0</v>
      </c>
    </row>
    <row r="68" spans="1:27" ht="15" outlineLevel="1" thickBot="1" x14ac:dyDescent="0.4">
      <c r="A68" s="319"/>
      <c r="B68" s="216"/>
      <c r="C68" s="216"/>
      <c r="D68" s="489" t="str">
        <f>IFERROR(INDEX(BuildingInformationTable[Site type],MATCH(BuildingsElectricityTable[[#This Row],[Site name]],BuildingInformationTable[Site name],0)),"")</f>
        <v/>
      </c>
      <c r="E68" s="490" t="str">
        <f t="shared" si="2"/>
        <v/>
      </c>
      <c r="F68" s="490" t="str">
        <f t="shared" si="3"/>
        <v/>
      </c>
      <c r="G68" s="491"/>
      <c r="H68" s="492" t="str">
        <f>IF(G68="","",INDEX(Lists!$BA$4:$BC$31,MATCH(E68,Lists!$AZ$4:$AZ$31,0),MATCH(G68,Lists!$BA$3:$BC$3,0)))</f>
        <v/>
      </c>
      <c r="I68" s="267"/>
      <c r="J68" s="490" t="str">
        <f t="shared" si="4"/>
        <v/>
      </c>
      <c r="K68" s="493" t="str" cm="1">
        <f t="array" ref="K68">IF(OR($E68="",$D68="",$I68="",$J68=""),"",IF(J68=L68,I68,(INDEX('Emission factors'!$K$3:$V$201,MATCH(E68&amp;F68,'Emission factors'!$J$3:$J$201&amp;'Emission factors'!$K$3:$K$201,0),MATCH(K$6,'Emission factors'!$K$2:$V$2,0)))*I68))</f>
        <v/>
      </c>
      <c r="L68" s="494" t="str">
        <f>IF(OR($E68="",$D68="",$I68="",$J68=""),"",INDEX('Emission factors'!$K$3:$V$201,MATCH('Buildings - Grid Electricity'!$E68,'Emission factors'!$J$3:$J$201,0),MATCH($L$6,'Emission factors'!$K$2:$V$2,0)))</f>
        <v/>
      </c>
      <c r="M68" s="495" t="str" cm="1">
        <f t="array" ref="M68">IF(OR(E68="",I68="",BuildingsElectricityTable[[#This Row],[Units]]=""),"",INDEX('Emission factors'!$K$3:$V$201,MATCH('Buildings - Grid Electricity'!$E68&amp;F68,'Emission factors'!$J$3:$J$201&amp;'Emission factors'!$K$3:$K$201,0),MATCH('Buildings - Grid Electricity'!$M$6,'Emission factors'!$K$2:$V$2,0)))</f>
        <v/>
      </c>
      <c r="N68" s="496" t="str">
        <f>IF(OR(K68="",M68=""),"",SUM(BuildingsElectricityTable[[#This Row],[Direct]:[Indirect WTT]]))</f>
        <v/>
      </c>
      <c r="O68" s="268"/>
      <c r="P68" s="497"/>
      <c r="Q68" s="157" t="str" cm="1">
        <f t="array" ref="Q68">IF(OR($E68="",$I68=""),"",(INDEX('Emission factors'!$K$3:$V$201,MATCH('Buildings - Grid Electricity'!$E68&amp;$F68,'Emission factors'!$J$3:$J$201&amp;'Emission factors'!$K$3:$K$201,0),MATCH('Buildings - Grid Electricity'!Q$6,'Emission factors'!$K$2:$V$2,0)))*$K68)</f>
        <v/>
      </c>
      <c r="R68" s="157" t="str" cm="1">
        <f t="array" ref="R68">IF(OR($E68="",$I68=""),"",(INDEX('Emission factors'!$K$3:$V$201,MATCH('Buildings - Grid Electricity'!$E68&amp;$F68,'Emission factors'!$J$3:$J$201&amp;'Emission factors'!$K$3:$K$201,0),MATCH('Buildings - Grid Electricity'!R$6,'Emission factors'!$K$2:$V$2,0)))*$K68)</f>
        <v/>
      </c>
      <c r="S68" s="157" t="str" cm="1">
        <f t="array" ref="S68">IF(OR($E68="",$I68=""),"",(INDEX('Emission factors'!$K$3:$V$201,MATCH('Buildings - Grid Electricity'!$E68&amp;$F68,'Emission factors'!$J$3:$J$201&amp;'Emission factors'!$K$3:$K$201,0),MATCH('Buildings - Grid Electricity'!S$6,'Emission factors'!$K$2:$V$2,0)))*$K68)</f>
        <v/>
      </c>
      <c r="T68" s="157" t="str" cm="1">
        <f t="array" ref="T68">IF(OR($E68="",$I68=""),"",(INDEX('Emission factors'!$K$3:$V$201,MATCH('Buildings - Grid Electricity'!$E68&amp;$F68,'Emission factors'!$J$3:$J$201&amp;'Emission factors'!$K$3:$K$201,0),MATCH('Buildings - Grid Electricity'!T$6,'Emission factors'!$K$2:$V$2,0)))*$K68)</f>
        <v/>
      </c>
      <c r="U68" s="157" t="str" cm="1">
        <f t="array" ref="U68">IF(OR($E68="",$I68=""),"",(INDEX('Emission factors'!$K$3:$V$201,MATCH('Buildings - Grid Electricity'!$E68&amp;$F68,'Emission factors'!$J$3:$J$201&amp;'Emission factors'!$K$3:$K$201,0),MATCH('Buildings - Grid Electricity'!U$6,'Emission factors'!$K$2:$V$2,0)))*$K68)</f>
        <v/>
      </c>
      <c r="V68" s="269" t="str">
        <f>IF(OR($N68="",BuildingsElectricityTable[[#This Row],[RSD]]=""),"",BuildingsElectricityTable[[#This Row],[Total emissions (kgCO2e)]]*(1+BuildingsElectricityTable[[#This Row],[RSD]]))</f>
        <v/>
      </c>
      <c r="W68" s="270" t="str">
        <f>IF(OR($N68="",BuildingsElectricityTable[[#This Row],[RSD]]=""),"",BuildingsElectricityTable[[#This Row],[Total emissions (kgCO2e)]]*(1-BuildingsElectricityTable[[#This Row],[RSD]]))</f>
        <v/>
      </c>
      <c r="X68" s="271" t="str" cm="1">
        <f t="array" ref="X68">IF(OR($E68="",$I68=""),"",(INDEX('Emission factors'!$K$3:$V$201,MATCH('Buildings - Grid Electricity'!$E68&amp;$F68,'Emission factors'!$J$3:$J$201&amp;'Emission factors'!$K$3:$K$201,0),MATCH('Buildings - Grid Electricity'!X$6,'Emission factors'!$K$2:$V$2,0)))*$K68)</f>
        <v/>
      </c>
      <c r="Y68" s="30"/>
      <c r="Z68" s="1" cm="1">
        <f t="array" ref="Z68">IF(OR(ISERROR(B68:X68)),1,0)</f>
        <v>0</v>
      </c>
      <c r="AA68" s="1">
        <f t="shared" si="5"/>
        <v>0</v>
      </c>
    </row>
    <row r="69" spans="1:27" ht="15" outlineLevel="1" thickBot="1" x14ac:dyDescent="0.4">
      <c r="A69" s="319"/>
      <c r="B69" s="216"/>
      <c r="C69" s="216"/>
      <c r="D69" s="489" t="str">
        <f>IFERROR(INDEX(BuildingInformationTable[Site type],MATCH(BuildingsElectricityTable[[#This Row],[Site name]],BuildingInformationTable[Site name],0)),"")</f>
        <v/>
      </c>
      <c r="E69" s="490" t="str">
        <f t="shared" si="2"/>
        <v/>
      </c>
      <c r="F69" s="490" t="str">
        <f t="shared" si="3"/>
        <v/>
      </c>
      <c r="G69" s="491"/>
      <c r="H69" s="492" t="str">
        <f>IF(G69="","",INDEX(Lists!$BA$4:$BC$31,MATCH(E69,Lists!$AZ$4:$AZ$31,0),MATCH(G69,Lists!$BA$3:$BC$3,0)))</f>
        <v/>
      </c>
      <c r="I69" s="267"/>
      <c r="J69" s="490" t="str">
        <f t="shared" si="4"/>
        <v/>
      </c>
      <c r="K69" s="493" t="str" cm="1">
        <f t="array" ref="K69">IF(OR($E69="",$D69="",$I69="",$J69=""),"",IF(J69=L69,I69,(INDEX('Emission factors'!$K$3:$V$201,MATCH(E69&amp;F69,'Emission factors'!$J$3:$J$201&amp;'Emission factors'!$K$3:$K$201,0),MATCH(K$6,'Emission factors'!$K$2:$V$2,0)))*I69))</f>
        <v/>
      </c>
      <c r="L69" s="494" t="str">
        <f>IF(OR($E69="",$D69="",$I69="",$J69=""),"",INDEX('Emission factors'!$K$3:$V$201,MATCH('Buildings - Grid Electricity'!$E69,'Emission factors'!$J$3:$J$201,0),MATCH($L$6,'Emission factors'!$K$2:$V$2,0)))</f>
        <v/>
      </c>
      <c r="M69" s="495" t="str" cm="1">
        <f t="array" ref="M69">IF(OR(E69="",I69="",BuildingsElectricityTable[[#This Row],[Units]]=""),"",INDEX('Emission factors'!$K$3:$V$201,MATCH('Buildings - Grid Electricity'!$E69&amp;F69,'Emission factors'!$J$3:$J$201&amp;'Emission factors'!$K$3:$K$201,0),MATCH('Buildings - Grid Electricity'!$M$6,'Emission factors'!$K$2:$V$2,0)))</f>
        <v/>
      </c>
      <c r="N69" s="496" t="str">
        <f>IF(OR(K69="",M69=""),"",SUM(BuildingsElectricityTable[[#This Row],[Direct]:[Indirect WTT]]))</f>
        <v/>
      </c>
      <c r="O69" s="268"/>
      <c r="P69" s="497"/>
      <c r="Q69" s="157" t="str" cm="1">
        <f t="array" ref="Q69">IF(OR($E69="",$I69=""),"",(INDEX('Emission factors'!$K$3:$V$201,MATCH('Buildings - Grid Electricity'!$E69&amp;$F69,'Emission factors'!$J$3:$J$201&amp;'Emission factors'!$K$3:$K$201,0),MATCH('Buildings - Grid Electricity'!Q$6,'Emission factors'!$K$2:$V$2,0)))*$K69)</f>
        <v/>
      </c>
      <c r="R69" s="157" t="str" cm="1">
        <f t="array" ref="R69">IF(OR($E69="",$I69=""),"",(INDEX('Emission factors'!$K$3:$V$201,MATCH('Buildings - Grid Electricity'!$E69&amp;$F69,'Emission factors'!$J$3:$J$201&amp;'Emission factors'!$K$3:$K$201,0),MATCH('Buildings - Grid Electricity'!R$6,'Emission factors'!$K$2:$V$2,0)))*$K69)</f>
        <v/>
      </c>
      <c r="S69" s="157" t="str" cm="1">
        <f t="array" ref="S69">IF(OR($E69="",$I69=""),"",(INDEX('Emission factors'!$K$3:$V$201,MATCH('Buildings - Grid Electricity'!$E69&amp;$F69,'Emission factors'!$J$3:$J$201&amp;'Emission factors'!$K$3:$K$201,0),MATCH('Buildings - Grid Electricity'!S$6,'Emission factors'!$K$2:$V$2,0)))*$K69)</f>
        <v/>
      </c>
      <c r="T69" s="157" t="str" cm="1">
        <f t="array" ref="T69">IF(OR($E69="",$I69=""),"",(INDEX('Emission factors'!$K$3:$V$201,MATCH('Buildings - Grid Electricity'!$E69&amp;$F69,'Emission factors'!$J$3:$J$201&amp;'Emission factors'!$K$3:$K$201,0),MATCH('Buildings - Grid Electricity'!T$6,'Emission factors'!$K$2:$V$2,0)))*$K69)</f>
        <v/>
      </c>
      <c r="U69" s="157" t="str" cm="1">
        <f t="array" ref="U69">IF(OR($E69="",$I69=""),"",(INDEX('Emission factors'!$K$3:$V$201,MATCH('Buildings - Grid Electricity'!$E69&amp;$F69,'Emission factors'!$J$3:$J$201&amp;'Emission factors'!$K$3:$K$201,0),MATCH('Buildings - Grid Electricity'!U$6,'Emission factors'!$K$2:$V$2,0)))*$K69)</f>
        <v/>
      </c>
      <c r="V69" s="269" t="str">
        <f>IF(OR($N69="",BuildingsElectricityTable[[#This Row],[RSD]]=""),"",BuildingsElectricityTable[[#This Row],[Total emissions (kgCO2e)]]*(1+BuildingsElectricityTable[[#This Row],[RSD]]))</f>
        <v/>
      </c>
      <c r="W69" s="270" t="str">
        <f>IF(OR($N69="",BuildingsElectricityTable[[#This Row],[RSD]]=""),"",BuildingsElectricityTable[[#This Row],[Total emissions (kgCO2e)]]*(1-BuildingsElectricityTable[[#This Row],[RSD]]))</f>
        <v/>
      </c>
      <c r="X69" s="271" t="str" cm="1">
        <f t="array" ref="X69">IF(OR($E69="",$I69=""),"",(INDEX('Emission factors'!$K$3:$V$201,MATCH('Buildings - Grid Electricity'!$E69&amp;$F69,'Emission factors'!$J$3:$J$201&amp;'Emission factors'!$K$3:$K$201,0),MATCH('Buildings - Grid Electricity'!X$6,'Emission factors'!$K$2:$V$2,0)))*$K69)</f>
        <v/>
      </c>
      <c r="Y69" s="30"/>
      <c r="Z69" s="1" cm="1">
        <f t="array" ref="Z69">IF(OR(ISERROR(B69:X69)),1,0)</f>
        <v>0</v>
      </c>
      <c r="AA69" s="1">
        <f t="shared" si="5"/>
        <v>0</v>
      </c>
    </row>
    <row r="70" spans="1:27" ht="15" outlineLevel="1" thickBot="1" x14ac:dyDescent="0.4">
      <c r="A70" s="319"/>
      <c r="B70" s="216"/>
      <c r="C70" s="216"/>
      <c r="D70" s="489" t="str">
        <f>IFERROR(INDEX(BuildingInformationTable[Site type],MATCH(BuildingsElectricityTable[[#This Row],[Site name]],BuildingInformationTable[Site name],0)),"")</f>
        <v/>
      </c>
      <c r="E70" s="490" t="str">
        <f t="shared" si="2"/>
        <v/>
      </c>
      <c r="F70" s="490" t="str">
        <f t="shared" si="3"/>
        <v/>
      </c>
      <c r="G70" s="491"/>
      <c r="H70" s="492" t="str">
        <f>IF(G70="","",INDEX(Lists!$BA$4:$BC$31,MATCH(E70,Lists!$AZ$4:$AZ$31,0),MATCH(G70,Lists!$BA$3:$BC$3,0)))</f>
        <v/>
      </c>
      <c r="I70" s="267"/>
      <c r="J70" s="490" t="str">
        <f t="shared" si="4"/>
        <v/>
      </c>
      <c r="K70" s="493" t="str" cm="1">
        <f t="array" ref="K70">IF(OR($E70="",$D70="",$I70="",$J70=""),"",IF(J70=L70,I70,(INDEX('Emission factors'!$K$3:$V$201,MATCH(E70&amp;F70,'Emission factors'!$J$3:$J$201&amp;'Emission factors'!$K$3:$K$201,0),MATCH(K$6,'Emission factors'!$K$2:$V$2,0)))*I70))</f>
        <v/>
      </c>
      <c r="L70" s="494" t="str">
        <f>IF(OR($E70="",$D70="",$I70="",$J70=""),"",INDEX('Emission factors'!$K$3:$V$201,MATCH('Buildings - Grid Electricity'!$E70,'Emission factors'!$J$3:$J$201,0),MATCH($L$6,'Emission factors'!$K$2:$V$2,0)))</f>
        <v/>
      </c>
      <c r="M70" s="495" t="str" cm="1">
        <f t="array" ref="M70">IF(OR(E70="",I70="",BuildingsElectricityTable[[#This Row],[Units]]=""),"",INDEX('Emission factors'!$K$3:$V$201,MATCH('Buildings - Grid Electricity'!$E70&amp;F70,'Emission factors'!$J$3:$J$201&amp;'Emission factors'!$K$3:$K$201,0),MATCH('Buildings - Grid Electricity'!$M$6,'Emission factors'!$K$2:$V$2,0)))</f>
        <v/>
      </c>
      <c r="N70" s="496" t="str">
        <f>IF(OR(K70="",M70=""),"",SUM(BuildingsElectricityTable[[#This Row],[Direct]:[Indirect WTT]]))</f>
        <v/>
      </c>
      <c r="O70" s="268"/>
      <c r="P70" s="497"/>
      <c r="Q70" s="157" t="str" cm="1">
        <f t="array" ref="Q70">IF(OR($E70="",$I70=""),"",(INDEX('Emission factors'!$K$3:$V$201,MATCH('Buildings - Grid Electricity'!$E70&amp;$F70,'Emission factors'!$J$3:$J$201&amp;'Emission factors'!$K$3:$K$201,0),MATCH('Buildings - Grid Electricity'!Q$6,'Emission factors'!$K$2:$V$2,0)))*$K70)</f>
        <v/>
      </c>
      <c r="R70" s="157" t="str" cm="1">
        <f t="array" ref="R70">IF(OR($E70="",$I70=""),"",(INDEX('Emission factors'!$K$3:$V$201,MATCH('Buildings - Grid Electricity'!$E70&amp;$F70,'Emission factors'!$J$3:$J$201&amp;'Emission factors'!$K$3:$K$201,0),MATCH('Buildings - Grid Electricity'!R$6,'Emission factors'!$K$2:$V$2,0)))*$K70)</f>
        <v/>
      </c>
      <c r="S70" s="157" t="str" cm="1">
        <f t="array" ref="S70">IF(OR($E70="",$I70=""),"",(INDEX('Emission factors'!$K$3:$V$201,MATCH('Buildings - Grid Electricity'!$E70&amp;$F70,'Emission factors'!$J$3:$J$201&amp;'Emission factors'!$K$3:$K$201,0),MATCH('Buildings - Grid Electricity'!S$6,'Emission factors'!$K$2:$V$2,0)))*$K70)</f>
        <v/>
      </c>
      <c r="T70" s="157" t="str" cm="1">
        <f t="array" ref="T70">IF(OR($E70="",$I70=""),"",(INDEX('Emission factors'!$K$3:$V$201,MATCH('Buildings - Grid Electricity'!$E70&amp;$F70,'Emission factors'!$J$3:$J$201&amp;'Emission factors'!$K$3:$K$201,0),MATCH('Buildings - Grid Electricity'!T$6,'Emission factors'!$K$2:$V$2,0)))*$K70)</f>
        <v/>
      </c>
      <c r="U70" s="157" t="str" cm="1">
        <f t="array" ref="U70">IF(OR($E70="",$I70=""),"",(INDEX('Emission factors'!$K$3:$V$201,MATCH('Buildings - Grid Electricity'!$E70&amp;$F70,'Emission factors'!$J$3:$J$201&amp;'Emission factors'!$K$3:$K$201,0),MATCH('Buildings - Grid Electricity'!U$6,'Emission factors'!$K$2:$V$2,0)))*$K70)</f>
        <v/>
      </c>
      <c r="V70" s="269" t="str">
        <f>IF(OR($N70="",BuildingsElectricityTable[[#This Row],[RSD]]=""),"",BuildingsElectricityTable[[#This Row],[Total emissions (kgCO2e)]]*(1+BuildingsElectricityTable[[#This Row],[RSD]]))</f>
        <v/>
      </c>
      <c r="W70" s="270" t="str">
        <f>IF(OR($N70="",BuildingsElectricityTable[[#This Row],[RSD]]=""),"",BuildingsElectricityTable[[#This Row],[Total emissions (kgCO2e)]]*(1-BuildingsElectricityTable[[#This Row],[RSD]]))</f>
        <v/>
      </c>
      <c r="X70" s="271" t="str" cm="1">
        <f t="array" ref="X70">IF(OR($E70="",$I70=""),"",(INDEX('Emission factors'!$K$3:$V$201,MATCH('Buildings - Grid Electricity'!$E70&amp;$F70,'Emission factors'!$J$3:$J$201&amp;'Emission factors'!$K$3:$K$201,0),MATCH('Buildings - Grid Electricity'!X$6,'Emission factors'!$K$2:$V$2,0)))*$K70)</f>
        <v/>
      </c>
      <c r="Y70" s="30"/>
      <c r="Z70" s="1" cm="1">
        <f t="array" ref="Z70">IF(OR(ISERROR(B70:X70)),1,0)</f>
        <v>0</v>
      </c>
      <c r="AA70" s="1">
        <f t="shared" si="5"/>
        <v>0</v>
      </c>
    </row>
    <row r="71" spans="1:27" ht="15" outlineLevel="1" thickBot="1" x14ac:dyDescent="0.4">
      <c r="A71" s="319"/>
      <c r="B71" s="216"/>
      <c r="C71" s="216"/>
      <c r="D71" s="489" t="str">
        <f>IFERROR(INDEX(BuildingInformationTable[Site type],MATCH(BuildingsElectricityTable[[#This Row],[Site name]],BuildingInformationTable[Site name],0)),"")</f>
        <v/>
      </c>
      <c r="E71" s="490" t="str">
        <f t="shared" si="2"/>
        <v/>
      </c>
      <c r="F71" s="490" t="str">
        <f t="shared" si="3"/>
        <v/>
      </c>
      <c r="G71" s="491"/>
      <c r="H71" s="492" t="str">
        <f>IF(G71="","",INDEX(Lists!$BA$4:$BC$31,MATCH(E71,Lists!$AZ$4:$AZ$31,0),MATCH(G71,Lists!$BA$3:$BC$3,0)))</f>
        <v/>
      </c>
      <c r="I71" s="267"/>
      <c r="J71" s="490" t="str">
        <f t="shared" si="4"/>
        <v/>
      </c>
      <c r="K71" s="493" t="str" cm="1">
        <f t="array" ref="K71">IF(OR($E71="",$D71="",$I71="",$J71=""),"",IF(J71=L71,I71,(INDEX('Emission factors'!$K$3:$V$201,MATCH(E71&amp;F71,'Emission factors'!$J$3:$J$201&amp;'Emission factors'!$K$3:$K$201,0),MATCH(K$6,'Emission factors'!$K$2:$V$2,0)))*I71))</f>
        <v/>
      </c>
      <c r="L71" s="494" t="str">
        <f>IF(OR($E71="",$D71="",$I71="",$J71=""),"",INDEX('Emission factors'!$K$3:$V$201,MATCH('Buildings - Grid Electricity'!$E71,'Emission factors'!$J$3:$J$201,0),MATCH($L$6,'Emission factors'!$K$2:$V$2,0)))</f>
        <v/>
      </c>
      <c r="M71" s="495" t="str" cm="1">
        <f t="array" ref="M71">IF(OR(E71="",I71="",BuildingsElectricityTable[[#This Row],[Units]]=""),"",INDEX('Emission factors'!$K$3:$V$201,MATCH('Buildings - Grid Electricity'!$E71&amp;F71,'Emission factors'!$J$3:$J$201&amp;'Emission factors'!$K$3:$K$201,0),MATCH('Buildings - Grid Electricity'!$M$6,'Emission factors'!$K$2:$V$2,0)))</f>
        <v/>
      </c>
      <c r="N71" s="496" t="str">
        <f>IF(OR(K71="",M71=""),"",SUM(BuildingsElectricityTable[[#This Row],[Direct]:[Indirect WTT]]))</f>
        <v/>
      </c>
      <c r="O71" s="268"/>
      <c r="P71" s="497"/>
      <c r="Q71" s="157" t="str" cm="1">
        <f t="array" ref="Q71">IF(OR($E71="",$I71=""),"",(INDEX('Emission factors'!$K$3:$V$201,MATCH('Buildings - Grid Electricity'!$E71&amp;$F71,'Emission factors'!$J$3:$J$201&amp;'Emission factors'!$K$3:$K$201,0),MATCH('Buildings - Grid Electricity'!Q$6,'Emission factors'!$K$2:$V$2,0)))*$K71)</f>
        <v/>
      </c>
      <c r="R71" s="157" t="str" cm="1">
        <f t="array" ref="R71">IF(OR($E71="",$I71=""),"",(INDEX('Emission factors'!$K$3:$V$201,MATCH('Buildings - Grid Electricity'!$E71&amp;$F71,'Emission factors'!$J$3:$J$201&amp;'Emission factors'!$K$3:$K$201,0),MATCH('Buildings - Grid Electricity'!R$6,'Emission factors'!$K$2:$V$2,0)))*$K71)</f>
        <v/>
      </c>
      <c r="S71" s="157" t="str" cm="1">
        <f t="array" ref="S71">IF(OR($E71="",$I71=""),"",(INDEX('Emission factors'!$K$3:$V$201,MATCH('Buildings - Grid Electricity'!$E71&amp;$F71,'Emission factors'!$J$3:$J$201&amp;'Emission factors'!$K$3:$K$201,0),MATCH('Buildings - Grid Electricity'!S$6,'Emission factors'!$K$2:$V$2,0)))*$K71)</f>
        <v/>
      </c>
      <c r="T71" s="157" t="str" cm="1">
        <f t="array" ref="T71">IF(OR($E71="",$I71=""),"",(INDEX('Emission factors'!$K$3:$V$201,MATCH('Buildings - Grid Electricity'!$E71&amp;$F71,'Emission factors'!$J$3:$J$201&amp;'Emission factors'!$K$3:$K$201,0),MATCH('Buildings - Grid Electricity'!T$6,'Emission factors'!$K$2:$V$2,0)))*$K71)</f>
        <v/>
      </c>
      <c r="U71" s="157" t="str" cm="1">
        <f t="array" ref="U71">IF(OR($E71="",$I71=""),"",(INDEX('Emission factors'!$K$3:$V$201,MATCH('Buildings - Grid Electricity'!$E71&amp;$F71,'Emission factors'!$J$3:$J$201&amp;'Emission factors'!$K$3:$K$201,0),MATCH('Buildings - Grid Electricity'!U$6,'Emission factors'!$K$2:$V$2,0)))*$K71)</f>
        <v/>
      </c>
      <c r="V71" s="269" t="str">
        <f>IF(OR($N71="",BuildingsElectricityTable[[#This Row],[RSD]]=""),"",BuildingsElectricityTable[[#This Row],[Total emissions (kgCO2e)]]*(1+BuildingsElectricityTable[[#This Row],[RSD]]))</f>
        <v/>
      </c>
      <c r="W71" s="270" t="str">
        <f>IF(OR($N71="",BuildingsElectricityTable[[#This Row],[RSD]]=""),"",BuildingsElectricityTable[[#This Row],[Total emissions (kgCO2e)]]*(1-BuildingsElectricityTable[[#This Row],[RSD]]))</f>
        <v/>
      </c>
      <c r="X71" s="271" t="str" cm="1">
        <f t="array" ref="X71">IF(OR($E71="",$I71=""),"",(INDEX('Emission factors'!$K$3:$V$201,MATCH('Buildings - Grid Electricity'!$E71&amp;$F71,'Emission factors'!$J$3:$J$201&amp;'Emission factors'!$K$3:$K$201,0),MATCH('Buildings - Grid Electricity'!X$6,'Emission factors'!$K$2:$V$2,0)))*$K71)</f>
        <v/>
      </c>
      <c r="Y71" s="30"/>
      <c r="Z71" s="1" cm="1">
        <f t="array" ref="Z71">IF(OR(ISERROR(B71:X71)),1,0)</f>
        <v>0</v>
      </c>
      <c r="AA71" s="1">
        <f t="shared" si="5"/>
        <v>0</v>
      </c>
    </row>
    <row r="72" spans="1:27" ht="15" outlineLevel="1" thickBot="1" x14ac:dyDescent="0.4">
      <c r="A72" s="319"/>
      <c r="B72" s="216"/>
      <c r="C72" s="216"/>
      <c r="D72" s="489" t="str">
        <f>IFERROR(INDEX(BuildingInformationTable[Site type],MATCH(BuildingsElectricityTable[[#This Row],[Site name]],BuildingInformationTable[Site name],0)),"")</f>
        <v/>
      </c>
      <c r="E72" s="490" t="str">
        <f t="shared" ref="E72:E135" si="6">IF(B72="", "", "Grid electricity")</f>
        <v/>
      </c>
      <c r="F72" s="490" t="str">
        <f t="shared" ref="F72:F135" si="7">IF(E72="Grid electricity", "Consumption based", "")</f>
        <v/>
      </c>
      <c r="G72" s="491"/>
      <c r="H72" s="492" t="str">
        <f>IF(G72="","",INDEX(Lists!$BA$4:$BC$31,MATCH(E72,Lists!$AZ$4:$AZ$31,0),MATCH(G72,Lists!$BA$3:$BC$3,0)))</f>
        <v/>
      </c>
      <c r="I72" s="267"/>
      <c r="J72" s="490" t="str">
        <f t="shared" ref="J72:J135" si="8">IF(I72="", "", "kWh")</f>
        <v/>
      </c>
      <c r="K72" s="493" t="str" cm="1">
        <f t="array" ref="K72">IF(OR($E72="",$D72="",$I72="",$J72=""),"",IF(J72=L72,I72,(INDEX('Emission factors'!$K$3:$V$201,MATCH(E72&amp;F72,'Emission factors'!$J$3:$J$201&amp;'Emission factors'!$K$3:$K$201,0),MATCH(K$6,'Emission factors'!$K$2:$V$2,0)))*I72))</f>
        <v/>
      </c>
      <c r="L72" s="494" t="str">
        <f>IF(OR($E72="",$D72="",$I72="",$J72=""),"",INDEX('Emission factors'!$K$3:$V$201,MATCH('Buildings - Grid Electricity'!$E72,'Emission factors'!$J$3:$J$201,0),MATCH($L$6,'Emission factors'!$K$2:$V$2,0)))</f>
        <v/>
      </c>
      <c r="M72" s="495" t="str" cm="1">
        <f t="array" ref="M72">IF(OR(E72="",I72="",BuildingsElectricityTable[[#This Row],[Units]]=""),"",INDEX('Emission factors'!$K$3:$V$201,MATCH('Buildings - Grid Electricity'!$E72&amp;F72,'Emission factors'!$J$3:$J$201&amp;'Emission factors'!$K$3:$K$201,0),MATCH('Buildings - Grid Electricity'!$M$6,'Emission factors'!$K$2:$V$2,0)))</f>
        <v/>
      </c>
      <c r="N72" s="496" t="str">
        <f>IF(OR(K72="",M72=""),"",SUM(BuildingsElectricityTable[[#This Row],[Direct]:[Indirect WTT]]))</f>
        <v/>
      </c>
      <c r="O72" s="268"/>
      <c r="P72" s="497"/>
      <c r="Q72" s="157" t="str" cm="1">
        <f t="array" ref="Q72">IF(OR($E72="",$I72=""),"",(INDEX('Emission factors'!$K$3:$V$201,MATCH('Buildings - Grid Electricity'!$E72&amp;$F72,'Emission factors'!$J$3:$J$201&amp;'Emission factors'!$K$3:$K$201,0),MATCH('Buildings - Grid Electricity'!Q$6,'Emission factors'!$K$2:$V$2,0)))*$K72)</f>
        <v/>
      </c>
      <c r="R72" s="157" t="str" cm="1">
        <f t="array" ref="R72">IF(OR($E72="",$I72=""),"",(INDEX('Emission factors'!$K$3:$V$201,MATCH('Buildings - Grid Electricity'!$E72&amp;$F72,'Emission factors'!$J$3:$J$201&amp;'Emission factors'!$K$3:$K$201,0),MATCH('Buildings - Grid Electricity'!R$6,'Emission factors'!$K$2:$V$2,0)))*$K72)</f>
        <v/>
      </c>
      <c r="S72" s="157" t="str" cm="1">
        <f t="array" ref="S72">IF(OR($E72="",$I72=""),"",(INDEX('Emission factors'!$K$3:$V$201,MATCH('Buildings - Grid Electricity'!$E72&amp;$F72,'Emission factors'!$J$3:$J$201&amp;'Emission factors'!$K$3:$K$201,0),MATCH('Buildings - Grid Electricity'!S$6,'Emission factors'!$K$2:$V$2,0)))*$K72)</f>
        <v/>
      </c>
      <c r="T72" s="157" t="str" cm="1">
        <f t="array" ref="T72">IF(OR($E72="",$I72=""),"",(INDEX('Emission factors'!$K$3:$V$201,MATCH('Buildings - Grid Electricity'!$E72&amp;$F72,'Emission factors'!$J$3:$J$201&amp;'Emission factors'!$K$3:$K$201,0),MATCH('Buildings - Grid Electricity'!T$6,'Emission factors'!$K$2:$V$2,0)))*$K72)</f>
        <v/>
      </c>
      <c r="U72" s="157" t="str" cm="1">
        <f t="array" ref="U72">IF(OR($E72="",$I72=""),"",(INDEX('Emission factors'!$K$3:$V$201,MATCH('Buildings - Grid Electricity'!$E72&amp;$F72,'Emission factors'!$J$3:$J$201&amp;'Emission factors'!$K$3:$K$201,0),MATCH('Buildings - Grid Electricity'!U$6,'Emission factors'!$K$2:$V$2,0)))*$K72)</f>
        <v/>
      </c>
      <c r="V72" s="269" t="str">
        <f>IF(OR($N72="",BuildingsElectricityTable[[#This Row],[RSD]]=""),"",BuildingsElectricityTable[[#This Row],[Total emissions (kgCO2e)]]*(1+BuildingsElectricityTable[[#This Row],[RSD]]))</f>
        <v/>
      </c>
      <c r="W72" s="270" t="str">
        <f>IF(OR($N72="",BuildingsElectricityTable[[#This Row],[RSD]]=""),"",BuildingsElectricityTable[[#This Row],[Total emissions (kgCO2e)]]*(1-BuildingsElectricityTable[[#This Row],[RSD]]))</f>
        <v/>
      </c>
      <c r="X72" s="271" t="str" cm="1">
        <f t="array" ref="X72">IF(OR($E72="",$I72=""),"",(INDEX('Emission factors'!$K$3:$V$201,MATCH('Buildings - Grid Electricity'!$E72&amp;$F72,'Emission factors'!$J$3:$J$201&amp;'Emission factors'!$K$3:$K$201,0),MATCH('Buildings - Grid Electricity'!X$6,'Emission factors'!$K$2:$V$2,0)))*$K72)</f>
        <v/>
      </c>
      <c r="Y72" s="30"/>
      <c r="Z72" s="1" cm="1">
        <f t="array" ref="Z72">IF(OR(ISERROR(B72:X72)),1,0)</f>
        <v>0</v>
      </c>
      <c r="AA72" s="1">
        <f t="shared" ref="AA72:AA135" si="9">IF(AND(B72="",E72="",I72="",J72=""),0,1)</f>
        <v>0</v>
      </c>
    </row>
    <row r="73" spans="1:27" ht="15" outlineLevel="1" thickBot="1" x14ac:dyDescent="0.4">
      <c r="A73" s="319"/>
      <c r="B73" s="216"/>
      <c r="C73" s="216"/>
      <c r="D73" s="489" t="str">
        <f>IFERROR(INDEX(BuildingInformationTable[Site type],MATCH(BuildingsElectricityTable[[#This Row],[Site name]],BuildingInformationTable[Site name],0)),"")</f>
        <v/>
      </c>
      <c r="E73" s="490" t="str">
        <f t="shared" si="6"/>
        <v/>
      </c>
      <c r="F73" s="490" t="str">
        <f t="shared" si="7"/>
        <v/>
      </c>
      <c r="G73" s="491"/>
      <c r="H73" s="492" t="str">
        <f>IF(G73="","",INDEX(Lists!$BA$4:$BC$31,MATCH(E73,Lists!$AZ$4:$AZ$31,0),MATCH(G73,Lists!$BA$3:$BC$3,0)))</f>
        <v/>
      </c>
      <c r="I73" s="267"/>
      <c r="J73" s="490" t="str">
        <f t="shared" si="8"/>
        <v/>
      </c>
      <c r="K73" s="493" t="str" cm="1">
        <f t="array" ref="K73">IF(OR($E73="",$D73="",$I73="",$J73=""),"",IF(J73=L73,I73,(INDEX('Emission factors'!$K$3:$V$201,MATCH(E73&amp;F73,'Emission factors'!$J$3:$J$201&amp;'Emission factors'!$K$3:$K$201,0),MATCH(K$6,'Emission factors'!$K$2:$V$2,0)))*I73))</f>
        <v/>
      </c>
      <c r="L73" s="494" t="str">
        <f>IF(OR($E73="",$D73="",$I73="",$J73=""),"",INDEX('Emission factors'!$K$3:$V$201,MATCH('Buildings - Grid Electricity'!$E73,'Emission factors'!$J$3:$J$201,0),MATCH($L$6,'Emission factors'!$K$2:$V$2,0)))</f>
        <v/>
      </c>
      <c r="M73" s="495" t="str" cm="1">
        <f t="array" ref="M73">IF(OR(E73="",I73="",BuildingsElectricityTable[[#This Row],[Units]]=""),"",INDEX('Emission factors'!$K$3:$V$201,MATCH('Buildings - Grid Electricity'!$E73&amp;F73,'Emission factors'!$J$3:$J$201&amp;'Emission factors'!$K$3:$K$201,0),MATCH('Buildings - Grid Electricity'!$M$6,'Emission factors'!$K$2:$V$2,0)))</f>
        <v/>
      </c>
      <c r="N73" s="496" t="str">
        <f>IF(OR(K73="",M73=""),"",SUM(BuildingsElectricityTable[[#This Row],[Direct]:[Indirect WTT]]))</f>
        <v/>
      </c>
      <c r="O73" s="268"/>
      <c r="P73" s="497"/>
      <c r="Q73" s="157" t="str" cm="1">
        <f t="array" ref="Q73">IF(OR($E73="",$I73=""),"",(INDEX('Emission factors'!$K$3:$V$201,MATCH('Buildings - Grid Electricity'!$E73&amp;$F73,'Emission factors'!$J$3:$J$201&amp;'Emission factors'!$K$3:$K$201,0),MATCH('Buildings - Grid Electricity'!Q$6,'Emission factors'!$K$2:$V$2,0)))*$K73)</f>
        <v/>
      </c>
      <c r="R73" s="157" t="str" cm="1">
        <f t="array" ref="R73">IF(OR($E73="",$I73=""),"",(INDEX('Emission factors'!$K$3:$V$201,MATCH('Buildings - Grid Electricity'!$E73&amp;$F73,'Emission factors'!$J$3:$J$201&amp;'Emission factors'!$K$3:$K$201,0),MATCH('Buildings - Grid Electricity'!R$6,'Emission factors'!$K$2:$V$2,0)))*$K73)</f>
        <v/>
      </c>
      <c r="S73" s="157" t="str" cm="1">
        <f t="array" ref="S73">IF(OR($E73="",$I73=""),"",(INDEX('Emission factors'!$K$3:$V$201,MATCH('Buildings - Grid Electricity'!$E73&amp;$F73,'Emission factors'!$J$3:$J$201&amp;'Emission factors'!$K$3:$K$201,0),MATCH('Buildings - Grid Electricity'!S$6,'Emission factors'!$K$2:$V$2,0)))*$K73)</f>
        <v/>
      </c>
      <c r="T73" s="157" t="str" cm="1">
        <f t="array" ref="T73">IF(OR($E73="",$I73=""),"",(INDEX('Emission factors'!$K$3:$V$201,MATCH('Buildings - Grid Electricity'!$E73&amp;$F73,'Emission factors'!$J$3:$J$201&amp;'Emission factors'!$K$3:$K$201,0),MATCH('Buildings - Grid Electricity'!T$6,'Emission factors'!$K$2:$V$2,0)))*$K73)</f>
        <v/>
      </c>
      <c r="U73" s="157" t="str" cm="1">
        <f t="array" ref="U73">IF(OR($E73="",$I73=""),"",(INDEX('Emission factors'!$K$3:$V$201,MATCH('Buildings - Grid Electricity'!$E73&amp;$F73,'Emission factors'!$J$3:$J$201&amp;'Emission factors'!$K$3:$K$201,0),MATCH('Buildings - Grid Electricity'!U$6,'Emission factors'!$K$2:$V$2,0)))*$K73)</f>
        <v/>
      </c>
      <c r="V73" s="269" t="str">
        <f>IF(OR($N73="",BuildingsElectricityTable[[#This Row],[RSD]]=""),"",BuildingsElectricityTable[[#This Row],[Total emissions (kgCO2e)]]*(1+BuildingsElectricityTable[[#This Row],[RSD]]))</f>
        <v/>
      </c>
      <c r="W73" s="270" t="str">
        <f>IF(OR($N73="",BuildingsElectricityTable[[#This Row],[RSD]]=""),"",BuildingsElectricityTable[[#This Row],[Total emissions (kgCO2e)]]*(1-BuildingsElectricityTable[[#This Row],[RSD]]))</f>
        <v/>
      </c>
      <c r="X73" s="271" t="str" cm="1">
        <f t="array" ref="X73">IF(OR($E73="",$I73=""),"",(INDEX('Emission factors'!$K$3:$V$201,MATCH('Buildings - Grid Electricity'!$E73&amp;$F73,'Emission factors'!$J$3:$J$201&amp;'Emission factors'!$K$3:$K$201,0),MATCH('Buildings - Grid Electricity'!X$6,'Emission factors'!$K$2:$V$2,0)))*$K73)</f>
        <v/>
      </c>
      <c r="Y73" s="30"/>
      <c r="Z73" s="1" cm="1">
        <f t="array" ref="Z73">IF(OR(ISERROR(B73:X73)),1,0)</f>
        <v>0</v>
      </c>
      <c r="AA73" s="1">
        <f t="shared" si="9"/>
        <v>0</v>
      </c>
    </row>
    <row r="74" spans="1:27" ht="15" outlineLevel="1" thickBot="1" x14ac:dyDescent="0.4">
      <c r="A74" s="319"/>
      <c r="B74" s="216"/>
      <c r="C74" s="216"/>
      <c r="D74" s="489" t="str">
        <f>IFERROR(INDEX(BuildingInformationTable[Site type],MATCH(BuildingsElectricityTable[[#This Row],[Site name]],BuildingInformationTable[Site name],0)),"")</f>
        <v/>
      </c>
      <c r="E74" s="490" t="str">
        <f t="shared" si="6"/>
        <v/>
      </c>
      <c r="F74" s="490" t="str">
        <f t="shared" si="7"/>
        <v/>
      </c>
      <c r="G74" s="491"/>
      <c r="H74" s="492" t="str">
        <f>IF(G74="","",INDEX(Lists!$BA$4:$BC$31,MATCH(E74,Lists!$AZ$4:$AZ$31,0),MATCH(G74,Lists!$BA$3:$BC$3,0)))</f>
        <v/>
      </c>
      <c r="I74" s="267"/>
      <c r="J74" s="490" t="str">
        <f t="shared" si="8"/>
        <v/>
      </c>
      <c r="K74" s="493" t="str" cm="1">
        <f t="array" ref="K74">IF(OR($E74="",$D74="",$I74="",$J74=""),"",IF(J74=L74,I74,(INDEX('Emission factors'!$K$3:$V$201,MATCH(E74&amp;F74,'Emission factors'!$J$3:$J$201&amp;'Emission factors'!$K$3:$K$201,0),MATCH(K$6,'Emission factors'!$K$2:$V$2,0)))*I74))</f>
        <v/>
      </c>
      <c r="L74" s="494" t="str">
        <f>IF(OR($E74="",$D74="",$I74="",$J74=""),"",INDEX('Emission factors'!$K$3:$V$201,MATCH('Buildings - Grid Electricity'!$E74,'Emission factors'!$J$3:$J$201,0),MATCH($L$6,'Emission factors'!$K$2:$V$2,0)))</f>
        <v/>
      </c>
      <c r="M74" s="495" t="str" cm="1">
        <f t="array" ref="M74">IF(OR(E74="",I74="",BuildingsElectricityTable[[#This Row],[Units]]=""),"",INDEX('Emission factors'!$K$3:$V$201,MATCH('Buildings - Grid Electricity'!$E74&amp;F74,'Emission factors'!$J$3:$J$201&amp;'Emission factors'!$K$3:$K$201,0),MATCH('Buildings - Grid Electricity'!$M$6,'Emission factors'!$K$2:$V$2,0)))</f>
        <v/>
      </c>
      <c r="N74" s="496" t="str">
        <f>IF(OR(K74="",M74=""),"",SUM(BuildingsElectricityTable[[#This Row],[Direct]:[Indirect WTT]]))</f>
        <v/>
      </c>
      <c r="O74" s="268"/>
      <c r="P74" s="497"/>
      <c r="Q74" s="157" t="str" cm="1">
        <f t="array" ref="Q74">IF(OR($E74="",$I74=""),"",(INDEX('Emission factors'!$K$3:$V$201,MATCH('Buildings - Grid Electricity'!$E74&amp;$F74,'Emission factors'!$J$3:$J$201&amp;'Emission factors'!$K$3:$K$201,0),MATCH('Buildings - Grid Electricity'!Q$6,'Emission factors'!$K$2:$V$2,0)))*$K74)</f>
        <v/>
      </c>
      <c r="R74" s="157" t="str" cm="1">
        <f t="array" ref="R74">IF(OR($E74="",$I74=""),"",(INDEX('Emission factors'!$K$3:$V$201,MATCH('Buildings - Grid Electricity'!$E74&amp;$F74,'Emission factors'!$J$3:$J$201&amp;'Emission factors'!$K$3:$K$201,0),MATCH('Buildings - Grid Electricity'!R$6,'Emission factors'!$K$2:$V$2,0)))*$K74)</f>
        <v/>
      </c>
      <c r="S74" s="157" t="str" cm="1">
        <f t="array" ref="S74">IF(OR($E74="",$I74=""),"",(INDEX('Emission factors'!$K$3:$V$201,MATCH('Buildings - Grid Electricity'!$E74&amp;$F74,'Emission factors'!$J$3:$J$201&amp;'Emission factors'!$K$3:$K$201,0),MATCH('Buildings - Grid Electricity'!S$6,'Emission factors'!$K$2:$V$2,0)))*$K74)</f>
        <v/>
      </c>
      <c r="T74" s="157" t="str" cm="1">
        <f t="array" ref="T74">IF(OR($E74="",$I74=""),"",(INDEX('Emission factors'!$K$3:$V$201,MATCH('Buildings - Grid Electricity'!$E74&amp;$F74,'Emission factors'!$J$3:$J$201&amp;'Emission factors'!$K$3:$K$201,0),MATCH('Buildings - Grid Electricity'!T$6,'Emission factors'!$K$2:$V$2,0)))*$K74)</f>
        <v/>
      </c>
      <c r="U74" s="157" t="str" cm="1">
        <f t="array" ref="U74">IF(OR($E74="",$I74=""),"",(INDEX('Emission factors'!$K$3:$V$201,MATCH('Buildings - Grid Electricity'!$E74&amp;$F74,'Emission factors'!$J$3:$J$201&amp;'Emission factors'!$K$3:$K$201,0),MATCH('Buildings - Grid Electricity'!U$6,'Emission factors'!$K$2:$V$2,0)))*$K74)</f>
        <v/>
      </c>
      <c r="V74" s="269" t="str">
        <f>IF(OR($N74="",BuildingsElectricityTable[[#This Row],[RSD]]=""),"",BuildingsElectricityTable[[#This Row],[Total emissions (kgCO2e)]]*(1+BuildingsElectricityTable[[#This Row],[RSD]]))</f>
        <v/>
      </c>
      <c r="W74" s="270" t="str">
        <f>IF(OR($N74="",BuildingsElectricityTable[[#This Row],[RSD]]=""),"",BuildingsElectricityTable[[#This Row],[Total emissions (kgCO2e)]]*(1-BuildingsElectricityTable[[#This Row],[RSD]]))</f>
        <v/>
      </c>
      <c r="X74" s="271" t="str" cm="1">
        <f t="array" ref="X74">IF(OR($E74="",$I74=""),"",(INDEX('Emission factors'!$K$3:$V$201,MATCH('Buildings - Grid Electricity'!$E74&amp;$F74,'Emission factors'!$J$3:$J$201&amp;'Emission factors'!$K$3:$K$201,0),MATCH('Buildings - Grid Electricity'!X$6,'Emission factors'!$K$2:$V$2,0)))*$K74)</f>
        <v/>
      </c>
      <c r="Y74" s="30"/>
      <c r="Z74" s="1" cm="1">
        <f t="array" ref="Z74">IF(OR(ISERROR(B74:X74)),1,0)</f>
        <v>0</v>
      </c>
      <c r="AA74" s="1">
        <f t="shared" si="9"/>
        <v>0</v>
      </c>
    </row>
    <row r="75" spans="1:27" ht="15" outlineLevel="1" thickBot="1" x14ac:dyDescent="0.4">
      <c r="A75" s="319"/>
      <c r="B75" s="216"/>
      <c r="C75" s="216"/>
      <c r="D75" s="489" t="str">
        <f>IFERROR(INDEX(BuildingInformationTable[Site type],MATCH(BuildingsElectricityTable[[#This Row],[Site name]],BuildingInformationTable[Site name],0)),"")</f>
        <v/>
      </c>
      <c r="E75" s="490" t="str">
        <f t="shared" si="6"/>
        <v/>
      </c>
      <c r="F75" s="490" t="str">
        <f t="shared" si="7"/>
        <v/>
      </c>
      <c r="G75" s="491"/>
      <c r="H75" s="492" t="str">
        <f>IF(G75="","",INDEX(Lists!$BA$4:$BC$31,MATCH(E75,Lists!$AZ$4:$AZ$31,0),MATCH(G75,Lists!$BA$3:$BC$3,0)))</f>
        <v/>
      </c>
      <c r="I75" s="267"/>
      <c r="J75" s="490" t="str">
        <f t="shared" si="8"/>
        <v/>
      </c>
      <c r="K75" s="493" t="str" cm="1">
        <f t="array" ref="K75">IF(OR($E75="",$D75="",$I75="",$J75=""),"",IF(J75=L75,I75,(INDEX('Emission factors'!$K$3:$V$201,MATCH(E75&amp;F75,'Emission factors'!$J$3:$J$201&amp;'Emission factors'!$K$3:$K$201,0),MATCH(K$6,'Emission factors'!$K$2:$V$2,0)))*I75))</f>
        <v/>
      </c>
      <c r="L75" s="494" t="str">
        <f>IF(OR($E75="",$D75="",$I75="",$J75=""),"",INDEX('Emission factors'!$K$3:$V$201,MATCH('Buildings - Grid Electricity'!$E75,'Emission factors'!$J$3:$J$201,0),MATCH($L$6,'Emission factors'!$K$2:$V$2,0)))</f>
        <v/>
      </c>
      <c r="M75" s="495" t="str" cm="1">
        <f t="array" ref="M75">IF(OR(E75="",I75="",BuildingsElectricityTable[[#This Row],[Units]]=""),"",INDEX('Emission factors'!$K$3:$V$201,MATCH('Buildings - Grid Electricity'!$E75&amp;F75,'Emission factors'!$J$3:$J$201&amp;'Emission factors'!$K$3:$K$201,0),MATCH('Buildings - Grid Electricity'!$M$6,'Emission factors'!$K$2:$V$2,0)))</f>
        <v/>
      </c>
      <c r="N75" s="496" t="str">
        <f>IF(OR(K75="",M75=""),"",SUM(BuildingsElectricityTable[[#This Row],[Direct]:[Indirect WTT]]))</f>
        <v/>
      </c>
      <c r="O75" s="268"/>
      <c r="P75" s="497"/>
      <c r="Q75" s="157" t="str" cm="1">
        <f t="array" ref="Q75">IF(OR($E75="",$I75=""),"",(INDEX('Emission factors'!$K$3:$V$201,MATCH('Buildings - Grid Electricity'!$E75&amp;$F75,'Emission factors'!$J$3:$J$201&amp;'Emission factors'!$K$3:$K$201,0),MATCH('Buildings - Grid Electricity'!Q$6,'Emission factors'!$K$2:$V$2,0)))*$K75)</f>
        <v/>
      </c>
      <c r="R75" s="157" t="str" cm="1">
        <f t="array" ref="R75">IF(OR($E75="",$I75=""),"",(INDEX('Emission factors'!$K$3:$V$201,MATCH('Buildings - Grid Electricity'!$E75&amp;$F75,'Emission factors'!$J$3:$J$201&amp;'Emission factors'!$K$3:$K$201,0),MATCH('Buildings - Grid Electricity'!R$6,'Emission factors'!$K$2:$V$2,0)))*$K75)</f>
        <v/>
      </c>
      <c r="S75" s="157" t="str" cm="1">
        <f t="array" ref="S75">IF(OR($E75="",$I75=""),"",(INDEX('Emission factors'!$K$3:$V$201,MATCH('Buildings - Grid Electricity'!$E75&amp;$F75,'Emission factors'!$J$3:$J$201&amp;'Emission factors'!$K$3:$K$201,0),MATCH('Buildings - Grid Electricity'!S$6,'Emission factors'!$K$2:$V$2,0)))*$K75)</f>
        <v/>
      </c>
      <c r="T75" s="157" t="str" cm="1">
        <f t="array" ref="T75">IF(OR($E75="",$I75=""),"",(INDEX('Emission factors'!$K$3:$V$201,MATCH('Buildings - Grid Electricity'!$E75&amp;$F75,'Emission factors'!$J$3:$J$201&amp;'Emission factors'!$K$3:$K$201,0),MATCH('Buildings - Grid Electricity'!T$6,'Emission factors'!$K$2:$V$2,0)))*$K75)</f>
        <v/>
      </c>
      <c r="U75" s="157" t="str" cm="1">
        <f t="array" ref="U75">IF(OR($E75="",$I75=""),"",(INDEX('Emission factors'!$K$3:$V$201,MATCH('Buildings - Grid Electricity'!$E75&amp;$F75,'Emission factors'!$J$3:$J$201&amp;'Emission factors'!$K$3:$K$201,0),MATCH('Buildings - Grid Electricity'!U$6,'Emission factors'!$K$2:$V$2,0)))*$K75)</f>
        <v/>
      </c>
      <c r="V75" s="269" t="str">
        <f>IF(OR($N75="",BuildingsElectricityTable[[#This Row],[RSD]]=""),"",BuildingsElectricityTable[[#This Row],[Total emissions (kgCO2e)]]*(1+BuildingsElectricityTable[[#This Row],[RSD]]))</f>
        <v/>
      </c>
      <c r="W75" s="270" t="str">
        <f>IF(OR($N75="",BuildingsElectricityTable[[#This Row],[RSD]]=""),"",BuildingsElectricityTable[[#This Row],[Total emissions (kgCO2e)]]*(1-BuildingsElectricityTable[[#This Row],[RSD]]))</f>
        <v/>
      </c>
      <c r="X75" s="271" t="str" cm="1">
        <f t="array" ref="X75">IF(OR($E75="",$I75=""),"",(INDEX('Emission factors'!$K$3:$V$201,MATCH('Buildings - Grid Electricity'!$E75&amp;$F75,'Emission factors'!$J$3:$J$201&amp;'Emission factors'!$K$3:$K$201,0),MATCH('Buildings - Grid Electricity'!X$6,'Emission factors'!$K$2:$V$2,0)))*$K75)</f>
        <v/>
      </c>
      <c r="Y75" s="30"/>
      <c r="Z75" s="1" cm="1">
        <f t="array" ref="Z75">IF(OR(ISERROR(B75:X75)),1,0)</f>
        <v>0</v>
      </c>
      <c r="AA75" s="1">
        <f t="shared" si="9"/>
        <v>0</v>
      </c>
    </row>
    <row r="76" spans="1:27" ht="15" outlineLevel="1" thickBot="1" x14ac:dyDescent="0.4">
      <c r="A76" s="319"/>
      <c r="B76" s="216"/>
      <c r="C76" s="216"/>
      <c r="D76" s="489" t="str">
        <f>IFERROR(INDEX(BuildingInformationTable[Site type],MATCH(BuildingsElectricityTable[[#This Row],[Site name]],BuildingInformationTable[Site name],0)),"")</f>
        <v/>
      </c>
      <c r="E76" s="490" t="str">
        <f t="shared" si="6"/>
        <v/>
      </c>
      <c r="F76" s="490" t="str">
        <f t="shared" si="7"/>
        <v/>
      </c>
      <c r="G76" s="491"/>
      <c r="H76" s="492" t="str">
        <f>IF(G76="","",INDEX(Lists!$BA$4:$BC$31,MATCH(E76,Lists!$AZ$4:$AZ$31,0),MATCH(G76,Lists!$BA$3:$BC$3,0)))</f>
        <v/>
      </c>
      <c r="I76" s="267"/>
      <c r="J76" s="490" t="str">
        <f t="shared" si="8"/>
        <v/>
      </c>
      <c r="K76" s="493" t="str" cm="1">
        <f t="array" ref="K76">IF(OR($E76="",$D76="",$I76="",$J76=""),"",IF(J76=L76,I76,(INDEX('Emission factors'!$K$3:$V$201,MATCH(E76&amp;F76,'Emission factors'!$J$3:$J$201&amp;'Emission factors'!$K$3:$K$201,0),MATCH(K$6,'Emission factors'!$K$2:$V$2,0)))*I76))</f>
        <v/>
      </c>
      <c r="L76" s="494" t="str">
        <f>IF(OR($E76="",$D76="",$I76="",$J76=""),"",INDEX('Emission factors'!$K$3:$V$201,MATCH('Buildings - Grid Electricity'!$E76,'Emission factors'!$J$3:$J$201,0),MATCH($L$6,'Emission factors'!$K$2:$V$2,0)))</f>
        <v/>
      </c>
      <c r="M76" s="495" t="str" cm="1">
        <f t="array" ref="M76">IF(OR(E76="",I76="",BuildingsElectricityTable[[#This Row],[Units]]=""),"",INDEX('Emission factors'!$K$3:$V$201,MATCH('Buildings - Grid Electricity'!$E76&amp;F76,'Emission factors'!$J$3:$J$201&amp;'Emission factors'!$K$3:$K$201,0),MATCH('Buildings - Grid Electricity'!$M$6,'Emission factors'!$K$2:$V$2,0)))</f>
        <v/>
      </c>
      <c r="N76" s="496" t="str">
        <f>IF(OR(K76="",M76=""),"",SUM(BuildingsElectricityTable[[#This Row],[Direct]:[Indirect WTT]]))</f>
        <v/>
      </c>
      <c r="O76" s="268"/>
      <c r="P76" s="497"/>
      <c r="Q76" s="157" t="str" cm="1">
        <f t="array" ref="Q76">IF(OR($E76="",$I76=""),"",(INDEX('Emission factors'!$K$3:$V$201,MATCH('Buildings - Grid Electricity'!$E76&amp;$F76,'Emission factors'!$J$3:$J$201&amp;'Emission factors'!$K$3:$K$201,0),MATCH('Buildings - Grid Electricity'!Q$6,'Emission factors'!$K$2:$V$2,0)))*$K76)</f>
        <v/>
      </c>
      <c r="R76" s="157" t="str" cm="1">
        <f t="array" ref="R76">IF(OR($E76="",$I76=""),"",(INDEX('Emission factors'!$K$3:$V$201,MATCH('Buildings - Grid Electricity'!$E76&amp;$F76,'Emission factors'!$J$3:$J$201&amp;'Emission factors'!$K$3:$K$201,0),MATCH('Buildings - Grid Electricity'!R$6,'Emission factors'!$K$2:$V$2,0)))*$K76)</f>
        <v/>
      </c>
      <c r="S76" s="157" t="str" cm="1">
        <f t="array" ref="S76">IF(OR($E76="",$I76=""),"",(INDEX('Emission factors'!$K$3:$V$201,MATCH('Buildings - Grid Electricity'!$E76&amp;$F76,'Emission factors'!$J$3:$J$201&amp;'Emission factors'!$K$3:$K$201,0),MATCH('Buildings - Grid Electricity'!S$6,'Emission factors'!$K$2:$V$2,0)))*$K76)</f>
        <v/>
      </c>
      <c r="T76" s="157" t="str" cm="1">
        <f t="array" ref="T76">IF(OR($E76="",$I76=""),"",(INDEX('Emission factors'!$K$3:$V$201,MATCH('Buildings - Grid Electricity'!$E76&amp;$F76,'Emission factors'!$J$3:$J$201&amp;'Emission factors'!$K$3:$K$201,0),MATCH('Buildings - Grid Electricity'!T$6,'Emission factors'!$K$2:$V$2,0)))*$K76)</f>
        <v/>
      </c>
      <c r="U76" s="157" t="str" cm="1">
        <f t="array" ref="U76">IF(OR($E76="",$I76=""),"",(INDEX('Emission factors'!$K$3:$V$201,MATCH('Buildings - Grid Electricity'!$E76&amp;$F76,'Emission factors'!$J$3:$J$201&amp;'Emission factors'!$K$3:$K$201,0),MATCH('Buildings - Grid Electricity'!U$6,'Emission factors'!$K$2:$V$2,0)))*$K76)</f>
        <v/>
      </c>
      <c r="V76" s="269" t="str">
        <f>IF(OR($N76="",BuildingsElectricityTable[[#This Row],[RSD]]=""),"",BuildingsElectricityTable[[#This Row],[Total emissions (kgCO2e)]]*(1+BuildingsElectricityTable[[#This Row],[RSD]]))</f>
        <v/>
      </c>
      <c r="W76" s="270" t="str">
        <f>IF(OR($N76="",BuildingsElectricityTable[[#This Row],[RSD]]=""),"",BuildingsElectricityTable[[#This Row],[Total emissions (kgCO2e)]]*(1-BuildingsElectricityTable[[#This Row],[RSD]]))</f>
        <v/>
      </c>
      <c r="X76" s="271" t="str" cm="1">
        <f t="array" ref="X76">IF(OR($E76="",$I76=""),"",(INDEX('Emission factors'!$K$3:$V$201,MATCH('Buildings - Grid Electricity'!$E76&amp;$F76,'Emission factors'!$J$3:$J$201&amp;'Emission factors'!$K$3:$K$201,0),MATCH('Buildings - Grid Electricity'!X$6,'Emission factors'!$K$2:$V$2,0)))*$K76)</f>
        <v/>
      </c>
      <c r="Y76" s="30"/>
      <c r="Z76" s="1" cm="1">
        <f t="array" ref="Z76">IF(OR(ISERROR(B76:X76)),1,0)</f>
        <v>0</v>
      </c>
      <c r="AA76" s="1">
        <f t="shared" si="9"/>
        <v>0</v>
      </c>
    </row>
    <row r="77" spans="1:27" ht="15" outlineLevel="1" thickBot="1" x14ac:dyDescent="0.4">
      <c r="A77" s="319"/>
      <c r="B77" s="216"/>
      <c r="C77" s="216"/>
      <c r="D77" s="489" t="str">
        <f>IFERROR(INDEX(BuildingInformationTable[Site type],MATCH(BuildingsElectricityTable[[#This Row],[Site name]],BuildingInformationTable[Site name],0)),"")</f>
        <v/>
      </c>
      <c r="E77" s="490" t="str">
        <f t="shared" si="6"/>
        <v/>
      </c>
      <c r="F77" s="490" t="str">
        <f t="shared" si="7"/>
        <v/>
      </c>
      <c r="G77" s="491"/>
      <c r="H77" s="492" t="str">
        <f>IF(G77="","",INDEX(Lists!$BA$4:$BC$31,MATCH(E77,Lists!$AZ$4:$AZ$31,0),MATCH(G77,Lists!$BA$3:$BC$3,0)))</f>
        <v/>
      </c>
      <c r="I77" s="267"/>
      <c r="J77" s="490" t="str">
        <f t="shared" si="8"/>
        <v/>
      </c>
      <c r="K77" s="493" t="str" cm="1">
        <f t="array" ref="K77">IF(OR($E77="",$D77="",$I77="",$J77=""),"",IF(J77=L77,I77,(INDEX('Emission factors'!$K$3:$V$201,MATCH(E77&amp;F77,'Emission factors'!$J$3:$J$201&amp;'Emission factors'!$K$3:$K$201,0),MATCH(K$6,'Emission factors'!$K$2:$V$2,0)))*I77))</f>
        <v/>
      </c>
      <c r="L77" s="494" t="str">
        <f>IF(OR($E77="",$D77="",$I77="",$J77=""),"",INDEX('Emission factors'!$K$3:$V$201,MATCH('Buildings - Grid Electricity'!$E77,'Emission factors'!$J$3:$J$201,0),MATCH($L$6,'Emission factors'!$K$2:$V$2,0)))</f>
        <v/>
      </c>
      <c r="M77" s="495" t="str" cm="1">
        <f t="array" ref="M77">IF(OR(E77="",I77="",BuildingsElectricityTable[[#This Row],[Units]]=""),"",INDEX('Emission factors'!$K$3:$V$201,MATCH('Buildings - Grid Electricity'!$E77&amp;F77,'Emission factors'!$J$3:$J$201&amp;'Emission factors'!$K$3:$K$201,0),MATCH('Buildings - Grid Electricity'!$M$6,'Emission factors'!$K$2:$V$2,0)))</f>
        <v/>
      </c>
      <c r="N77" s="496" t="str">
        <f>IF(OR(K77="",M77=""),"",SUM(BuildingsElectricityTable[[#This Row],[Direct]:[Indirect WTT]]))</f>
        <v/>
      </c>
      <c r="O77" s="268"/>
      <c r="P77" s="497"/>
      <c r="Q77" s="157" t="str" cm="1">
        <f t="array" ref="Q77">IF(OR($E77="",$I77=""),"",(INDEX('Emission factors'!$K$3:$V$201,MATCH('Buildings - Grid Electricity'!$E77&amp;$F77,'Emission factors'!$J$3:$J$201&amp;'Emission factors'!$K$3:$K$201,0),MATCH('Buildings - Grid Electricity'!Q$6,'Emission factors'!$K$2:$V$2,0)))*$K77)</f>
        <v/>
      </c>
      <c r="R77" s="157" t="str" cm="1">
        <f t="array" ref="R77">IF(OR($E77="",$I77=""),"",(INDEX('Emission factors'!$K$3:$V$201,MATCH('Buildings - Grid Electricity'!$E77&amp;$F77,'Emission factors'!$J$3:$J$201&amp;'Emission factors'!$K$3:$K$201,0),MATCH('Buildings - Grid Electricity'!R$6,'Emission factors'!$K$2:$V$2,0)))*$K77)</f>
        <v/>
      </c>
      <c r="S77" s="157" t="str" cm="1">
        <f t="array" ref="S77">IF(OR($E77="",$I77=""),"",(INDEX('Emission factors'!$K$3:$V$201,MATCH('Buildings - Grid Electricity'!$E77&amp;$F77,'Emission factors'!$J$3:$J$201&amp;'Emission factors'!$K$3:$K$201,0),MATCH('Buildings - Grid Electricity'!S$6,'Emission factors'!$K$2:$V$2,0)))*$K77)</f>
        <v/>
      </c>
      <c r="T77" s="157" t="str" cm="1">
        <f t="array" ref="T77">IF(OR($E77="",$I77=""),"",(INDEX('Emission factors'!$K$3:$V$201,MATCH('Buildings - Grid Electricity'!$E77&amp;$F77,'Emission factors'!$J$3:$J$201&amp;'Emission factors'!$K$3:$K$201,0),MATCH('Buildings - Grid Electricity'!T$6,'Emission factors'!$K$2:$V$2,0)))*$K77)</f>
        <v/>
      </c>
      <c r="U77" s="157" t="str" cm="1">
        <f t="array" ref="U77">IF(OR($E77="",$I77=""),"",(INDEX('Emission factors'!$K$3:$V$201,MATCH('Buildings - Grid Electricity'!$E77&amp;$F77,'Emission factors'!$J$3:$J$201&amp;'Emission factors'!$K$3:$K$201,0),MATCH('Buildings - Grid Electricity'!U$6,'Emission factors'!$K$2:$V$2,0)))*$K77)</f>
        <v/>
      </c>
      <c r="V77" s="269" t="str">
        <f>IF(OR($N77="",BuildingsElectricityTable[[#This Row],[RSD]]=""),"",BuildingsElectricityTable[[#This Row],[Total emissions (kgCO2e)]]*(1+BuildingsElectricityTable[[#This Row],[RSD]]))</f>
        <v/>
      </c>
      <c r="W77" s="270" t="str">
        <f>IF(OR($N77="",BuildingsElectricityTable[[#This Row],[RSD]]=""),"",BuildingsElectricityTable[[#This Row],[Total emissions (kgCO2e)]]*(1-BuildingsElectricityTable[[#This Row],[RSD]]))</f>
        <v/>
      </c>
      <c r="X77" s="271" t="str" cm="1">
        <f t="array" ref="X77">IF(OR($E77="",$I77=""),"",(INDEX('Emission factors'!$K$3:$V$201,MATCH('Buildings - Grid Electricity'!$E77&amp;$F77,'Emission factors'!$J$3:$J$201&amp;'Emission factors'!$K$3:$K$201,0),MATCH('Buildings - Grid Electricity'!X$6,'Emission factors'!$K$2:$V$2,0)))*$K77)</f>
        <v/>
      </c>
      <c r="Y77" s="30"/>
      <c r="Z77" s="1" cm="1">
        <f t="array" ref="Z77">IF(OR(ISERROR(B77:X77)),1,0)</f>
        <v>0</v>
      </c>
      <c r="AA77" s="1">
        <f t="shared" si="9"/>
        <v>0</v>
      </c>
    </row>
    <row r="78" spans="1:27" ht="15" outlineLevel="1" thickBot="1" x14ac:dyDescent="0.4">
      <c r="A78" s="319"/>
      <c r="B78" s="216"/>
      <c r="C78" s="216"/>
      <c r="D78" s="489" t="str">
        <f>IFERROR(INDEX(BuildingInformationTable[Site type],MATCH(BuildingsElectricityTable[[#This Row],[Site name]],BuildingInformationTable[Site name],0)),"")</f>
        <v/>
      </c>
      <c r="E78" s="490" t="str">
        <f t="shared" si="6"/>
        <v/>
      </c>
      <c r="F78" s="490" t="str">
        <f t="shared" si="7"/>
        <v/>
      </c>
      <c r="G78" s="491"/>
      <c r="H78" s="492" t="str">
        <f>IF(G78="","",INDEX(Lists!$BA$4:$BC$31,MATCH(E78,Lists!$AZ$4:$AZ$31,0),MATCH(G78,Lists!$BA$3:$BC$3,0)))</f>
        <v/>
      </c>
      <c r="I78" s="267"/>
      <c r="J78" s="490" t="str">
        <f t="shared" si="8"/>
        <v/>
      </c>
      <c r="K78" s="493" t="str" cm="1">
        <f t="array" ref="K78">IF(OR($E78="",$D78="",$I78="",$J78=""),"",IF(J78=L78,I78,(INDEX('Emission factors'!$K$3:$V$201,MATCH(E78&amp;F78,'Emission factors'!$J$3:$J$201&amp;'Emission factors'!$K$3:$K$201,0),MATCH(K$6,'Emission factors'!$K$2:$V$2,0)))*I78))</f>
        <v/>
      </c>
      <c r="L78" s="494" t="str">
        <f>IF(OR($E78="",$D78="",$I78="",$J78=""),"",INDEX('Emission factors'!$K$3:$V$201,MATCH('Buildings - Grid Electricity'!$E78,'Emission factors'!$J$3:$J$201,0),MATCH($L$6,'Emission factors'!$K$2:$V$2,0)))</f>
        <v/>
      </c>
      <c r="M78" s="495" t="str" cm="1">
        <f t="array" ref="M78">IF(OR(E78="",I78="",BuildingsElectricityTable[[#This Row],[Units]]=""),"",INDEX('Emission factors'!$K$3:$V$201,MATCH('Buildings - Grid Electricity'!$E78&amp;F78,'Emission factors'!$J$3:$J$201&amp;'Emission factors'!$K$3:$K$201,0),MATCH('Buildings - Grid Electricity'!$M$6,'Emission factors'!$K$2:$V$2,0)))</f>
        <v/>
      </c>
      <c r="N78" s="496" t="str">
        <f>IF(OR(K78="",M78=""),"",SUM(BuildingsElectricityTable[[#This Row],[Direct]:[Indirect WTT]]))</f>
        <v/>
      </c>
      <c r="O78" s="268"/>
      <c r="P78" s="497"/>
      <c r="Q78" s="157" t="str" cm="1">
        <f t="array" ref="Q78">IF(OR($E78="",$I78=""),"",(INDEX('Emission factors'!$K$3:$V$201,MATCH('Buildings - Grid Electricity'!$E78&amp;$F78,'Emission factors'!$J$3:$J$201&amp;'Emission factors'!$K$3:$K$201,0),MATCH('Buildings - Grid Electricity'!Q$6,'Emission factors'!$K$2:$V$2,0)))*$K78)</f>
        <v/>
      </c>
      <c r="R78" s="157" t="str" cm="1">
        <f t="array" ref="R78">IF(OR($E78="",$I78=""),"",(INDEX('Emission factors'!$K$3:$V$201,MATCH('Buildings - Grid Electricity'!$E78&amp;$F78,'Emission factors'!$J$3:$J$201&amp;'Emission factors'!$K$3:$K$201,0),MATCH('Buildings - Grid Electricity'!R$6,'Emission factors'!$K$2:$V$2,0)))*$K78)</f>
        <v/>
      </c>
      <c r="S78" s="157" t="str" cm="1">
        <f t="array" ref="S78">IF(OR($E78="",$I78=""),"",(INDEX('Emission factors'!$K$3:$V$201,MATCH('Buildings - Grid Electricity'!$E78&amp;$F78,'Emission factors'!$J$3:$J$201&amp;'Emission factors'!$K$3:$K$201,0),MATCH('Buildings - Grid Electricity'!S$6,'Emission factors'!$K$2:$V$2,0)))*$K78)</f>
        <v/>
      </c>
      <c r="T78" s="157" t="str" cm="1">
        <f t="array" ref="T78">IF(OR($E78="",$I78=""),"",(INDEX('Emission factors'!$K$3:$V$201,MATCH('Buildings - Grid Electricity'!$E78&amp;$F78,'Emission factors'!$J$3:$J$201&amp;'Emission factors'!$K$3:$K$201,0),MATCH('Buildings - Grid Electricity'!T$6,'Emission factors'!$K$2:$V$2,0)))*$K78)</f>
        <v/>
      </c>
      <c r="U78" s="157" t="str" cm="1">
        <f t="array" ref="U78">IF(OR($E78="",$I78=""),"",(INDEX('Emission factors'!$K$3:$V$201,MATCH('Buildings - Grid Electricity'!$E78&amp;$F78,'Emission factors'!$J$3:$J$201&amp;'Emission factors'!$K$3:$K$201,0),MATCH('Buildings - Grid Electricity'!U$6,'Emission factors'!$K$2:$V$2,0)))*$K78)</f>
        <v/>
      </c>
      <c r="V78" s="269" t="str">
        <f>IF(OR($N78="",BuildingsElectricityTable[[#This Row],[RSD]]=""),"",BuildingsElectricityTable[[#This Row],[Total emissions (kgCO2e)]]*(1+BuildingsElectricityTable[[#This Row],[RSD]]))</f>
        <v/>
      </c>
      <c r="W78" s="270" t="str">
        <f>IF(OR($N78="",BuildingsElectricityTable[[#This Row],[RSD]]=""),"",BuildingsElectricityTable[[#This Row],[Total emissions (kgCO2e)]]*(1-BuildingsElectricityTable[[#This Row],[RSD]]))</f>
        <v/>
      </c>
      <c r="X78" s="271" t="str" cm="1">
        <f t="array" ref="X78">IF(OR($E78="",$I78=""),"",(INDEX('Emission factors'!$K$3:$V$201,MATCH('Buildings - Grid Electricity'!$E78&amp;$F78,'Emission factors'!$J$3:$J$201&amp;'Emission factors'!$K$3:$K$201,0),MATCH('Buildings - Grid Electricity'!X$6,'Emission factors'!$K$2:$V$2,0)))*$K78)</f>
        <v/>
      </c>
      <c r="Y78" s="30"/>
      <c r="Z78" s="1" cm="1">
        <f t="array" ref="Z78">IF(OR(ISERROR(B78:X78)),1,0)</f>
        <v>0</v>
      </c>
      <c r="AA78" s="1">
        <f t="shared" si="9"/>
        <v>0</v>
      </c>
    </row>
    <row r="79" spans="1:27" ht="15" outlineLevel="1" thickBot="1" x14ac:dyDescent="0.4">
      <c r="A79" s="319"/>
      <c r="B79" s="216"/>
      <c r="C79" s="216"/>
      <c r="D79" s="489" t="str">
        <f>IFERROR(INDEX(BuildingInformationTable[Site type],MATCH(BuildingsElectricityTable[[#This Row],[Site name]],BuildingInformationTable[Site name],0)),"")</f>
        <v/>
      </c>
      <c r="E79" s="490" t="str">
        <f t="shared" si="6"/>
        <v/>
      </c>
      <c r="F79" s="490" t="str">
        <f t="shared" si="7"/>
        <v/>
      </c>
      <c r="G79" s="491"/>
      <c r="H79" s="492" t="str">
        <f>IF(G79="","",INDEX(Lists!$BA$4:$BC$31,MATCH(E79,Lists!$AZ$4:$AZ$31,0),MATCH(G79,Lists!$BA$3:$BC$3,0)))</f>
        <v/>
      </c>
      <c r="I79" s="267"/>
      <c r="J79" s="490" t="str">
        <f t="shared" si="8"/>
        <v/>
      </c>
      <c r="K79" s="493" t="str" cm="1">
        <f t="array" ref="K79">IF(OR($E79="",$D79="",$I79="",$J79=""),"",IF(J79=L79,I79,(INDEX('Emission factors'!$K$3:$V$201,MATCH(E79&amp;F79,'Emission factors'!$J$3:$J$201&amp;'Emission factors'!$K$3:$K$201,0),MATCH(K$6,'Emission factors'!$K$2:$V$2,0)))*I79))</f>
        <v/>
      </c>
      <c r="L79" s="494" t="str">
        <f>IF(OR($E79="",$D79="",$I79="",$J79=""),"",INDEX('Emission factors'!$K$3:$V$201,MATCH('Buildings - Grid Electricity'!$E79,'Emission factors'!$J$3:$J$201,0),MATCH($L$6,'Emission factors'!$K$2:$V$2,0)))</f>
        <v/>
      </c>
      <c r="M79" s="495" t="str" cm="1">
        <f t="array" ref="M79">IF(OR(E79="",I79="",BuildingsElectricityTable[[#This Row],[Units]]=""),"",INDEX('Emission factors'!$K$3:$V$201,MATCH('Buildings - Grid Electricity'!$E79&amp;F79,'Emission factors'!$J$3:$J$201&amp;'Emission factors'!$K$3:$K$201,0),MATCH('Buildings - Grid Electricity'!$M$6,'Emission factors'!$K$2:$V$2,0)))</f>
        <v/>
      </c>
      <c r="N79" s="496" t="str">
        <f>IF(OR(K79="",M79=""),"",SUM(BuildingsElectricityTable[[#This Row],[Direct]:[Indirect WTT]]))</f>
        <v/>
      </c>
      <c r="O79" s="268"/>
      <c r="P79" s="497"/>
      <c r="Q79" s="157" t="str" cm="1">
        <f t="array" ref="Q79">IF(OR($E79="",$I79=""),"",(INDEX('Emission factors'!$K$3:$V$201,MATCH('Buildings - Grid Electricity'!$E79&amp;$F79,'Emission factors'!$J$3:$J$201&amp;'Emission factors'!$K$3:$K$201,0),MATCH('Buildings - Grid Electricity'!Q$6,'Emission factors'!$K$2:$V$2,0)))*$K79)</f>
        <v/>
      </c>
      <c r="R79" s="157" t="str" cm="1">
        <f t="array" ref="R79">IF(OR($E79="",$I79=""),"",(INDEX('Emission factors'!$K$3:$V$201,MATCH('Buildings - Grid Electricity'!$E79&amp;$F79,'Emission factors'!$J$3:$J$201&amp;'Emission factors'!$K$3:$K$201,0),MATCH('Buildings - Grid Electricity'!R$6,'Emission factors'!$K$2:$V$2,0)))*$K79)</f>
        <v/>
      </c>
      <c r="S79" s="157" t="str" cm="1">
        <f t="array" ref="S79">IF(OR($E79="",$I79=""),"",(INDEX('Emission factors'!$K$3:$V$201,MATCH('Buildings - Grid Electricity'!$E79&amp;$F79,'Emission factors'!$J$3:$J$201&amp;'Emission factors'!$K$3:$K$201,0),MATCH('Buildings - Grid Electricity'!S$6,'Emission factors'!$K$2:$V$2,0)))*$K79)</f>
        <v/>
      </c>
      <c r="T79" s="157" t="str" cm="1">
        <f t="array" ref="T79">IF(OR($E79="",$I79=""),"",(INDEX('Emission factors'!$K$3:$V$201,MATCH('Buildings - Grid Electricity'!$E79&amp;$F79,'Emission factors'!$J$3:$J$201&amp;'Emission factors'!$K$3:$K$201,0),MATCH('Buildings - Grid Electricity'!T$6,'Emission factors'!$K$2:$V$2,0)))*$K79)</f>
        <v/>
      </c>
      <c r="U79" s="157" t="str" cm="1">
        <f t="array" ref="U79">IF(OR($E79="",$I79=""),"",(INDEX('Emission factors'!$K$3:$V$201,MATCH('Buildings - Grid Electricity'!$E79&amp;$F79,'Emission factors'!$J$3:$J$201&amp;'Emission factors'!$K$3:$K$201,0),MATCH('Buildings - Grid Electricity'!U$6,'Emission factors'!$K$2:$V$2,0)))*$K79)</f>
        <v/>
      </c>
      <c r="V79" s="269" t="str">
        <f>IF(OR($N79="",BuildingsElectricityTable[[#This Row],[RSD]]=""),"",BuildingsElectricityTable[[#This Row],[Total emissions (kgCO2e)]]*(1+BuildingsElectricityTable[[#This Row],[RSD]]))</f>
        <v/>
      </c>
      <c r="W79" s="270" t="str">
        <f>IF(OR($N79="",BuildingsElectricityTable[[#This Row],[RSD]]=""),"",BuildingsElectricityTable[[#This Row],[Total emissions (kgCO2e)]]*(1-BuildingsElectricityTable[[#This Row],[RSD]]))</f>
        <v/>
      </c>
      <c r="X79" s="271" t="str" cm="1">
        <f t="array" ref="X79">IF(OR($E79="",$I79=""),"",(INDEX('Emission factors'!$K$3:$V$201,MATCH('Buildings - Grid Electricity'!$E79&amp;$F79,'Emission factors'!$J$3:$J$201&amp;'Emission factors'!$K$3:$K$201,0),MATCH('Buildings - Grid Electricity'!X$6,'Emission factors'!$K$2:$V$2,0)))*$K79)</f>
        <v/>
      </c>
      <c r="Y79" s="30"/>
      <c r="Z79" s="1" cm="1">
        <f t="array" ref="Z79">IF(OR(ISERROR(B79:X79)),1,0)</f>
        <v>0</v>
      </c>
      <c r="AA79" s="1">
        <f t="shared" si="9"/>
        <v>0</v>
      </c>
    </row>
    <row r="80" spans="1:27" ht="15" outlineLevel="1" thickBot="1" x14ac:dyDescent="0.4">
      <c r="A80" s="319"/>
      <c r="B80" s="216"/>
      <c r="C80" s="216"/>
      <c r="D80" s="489" t="str">
        <f>IFERROR(INDEX(BuildingInformationTable[Site type],MATCH(BuildingsElectricityTable[[#This Row],[Site name]],BuildingInformationTable[Site name],0)),"")</f>
        <v/>
      </c>
      <c r="E80" s="490" t="str">
        <f t="shared" si="6"/>
        <v/>
      </c>
      <c r="F80" s="490" t="str">
        <f t="shared" si="7"/>
        <v/>
      </c>
      <c r="G80" s="491"/>
      <c r="H80" s="492" t="str">
        <f>IF(G80="","",INDEX(Lists!$BA$4:$BC$31,MATCH(E80,Lists!$AZ$4:$AZ$31,0),MATCH(G80,Lists!$BA$3:$BC$3,0)))</f>
        <v/>
      </c>
      <c r="I80" s="267"/>
      <c r="J80" s="490" t="str">
        <f t="shared" si="8"/>
        <v/>
      </c>
      <c r="K80" s="493" t="str" cm="1">
        <f t="array" ref="K80">IF(OR($E80="",$D80="",$I80="",$J80=""),"",IF(J80=L80,I80,(INDEX('Emission factors'!$K$3:$V$201,MATCH(E80&amp;F80,'Emission factors'!$J$3:$J$201&amp;'Emission factors'!$K$3:$K$201,0),MATCH(K$6,'Emission factors'!$K$2:$V$2,0)))*I80))</f>
        <v/>
      </c>
      <c r="L80" s="494" t="str">
        <f>IF(OR($E80="",$D80="",$I80="",$J80=""),"",INDEX('Emission factors'!$K$3:$V$201,MATCH('Buildings - Grid Electricity'!$E80,'Emission factors'!$J$3:$J$201,0),MATCH($L$6,'Emission factors'!$K$2:$V$2,0)))</f>
        <v/>
      </c>
      <c r="M80" s="495" t="str" cm="1">
        <f t="array" ref="M80">IF(OR(E80="",I80="",BuildingsElectricityTable[[#This Row],[Units]]=""),"",INDEX('Emission factors'!$K$3:$V$201,MATCH('Buildings - Grid Electricity'!$E80&amp;F80,'Emission factors'!$J$3:$J$201&amp;'Emission factors'!$K$3:$K$201,0),MATCH('Buildings - Grid Electricity'!$M$6,'Emission factors'!$K$2:$V$2,0)))</f>
        <v/>
      </c>
      <c r="N80" s="496" t="str">
        <f>IF(OR(K80="",M80=""),"",SUM(BuildingsElectricityTable[[#This Row],[Direct]:[Indirect WTT]]))</f>
        <v/>
      </c>
      <c r="O80" s="268"/>
      <c r="P80" s="497"/>
      <c r="Q80" s="157" t="str" cm="1">
        <f t="array" ref="Q80">IF(OR($E80="",$I80=""),"",(INDEX('Emission factors'!$K$3:$V$201,MATCH('Buildings - Grid Electricity'!$E80&amp;$F80,'Emission factors'!$J$3:$J$201&amp;'Emission factors'!$K$3:$K$201,0),MATCH('Buildings - Grid Electricity'!Q$6,'Emission factors'!$K$2:$V$2,0)))*$K80)</f>
        <v/>
      </c>
      <c r="R80" s="157" t="str" cm="1">
        <f t="array" ref="R80">IF(OR($E80="",$I80=""),"",(INDEX('Emission factors'!$K$3:$V$201,MATCH('Buildings - Grid Electricity'!$E80&amp;$F80,'Emission factors'!$J$3:$J$201&amp;'Emission factors'!$K$3:$K$201,0),MATCH('Buildings - Grid Electricity'!R$6,'Emission factors'!$K$2:$V$2,0)))*$K80)</f>
        <v/>
      </c>
      <c r="S80" s="157" t="str" cm="1">
        <f t="array" ref="S80">IF(OR($E80="",$I80=""),"",(INDEX('Emission factors'!$K$3:$V$201,MATCH('Buildings - Grid Electricity'!$E80&amp;$F80,'Emission factors'!$J$3:$J$201&amp;'Emission factors'!$K$3:$K$201,0),MATCH('Buildings - Grid Electricity'!S$6,'Emission factors'!$K$2:$V$2,0)))*$K80)</f>
        <v/>
      </c>
      <c r="T80" s="157" t="str" cm="1">
        <f t="array" ref="T80">IF(OR($E80="",$I80=""),"",(INDEX('Emission factors'!$K$3:$V$201,MATCH('Buildings - Grid Electricity'!$E80&amp;$F80,'Emission factors'!$J$3:$J$201&amp;'Emission factors'!$K$3:$K$201,0),MATCH('Buildings - Grid Electricity'!T$6,'Emission factors'!$K$2:$V$2,0)))*$K80)</f>
        <v/>
      </c>
      <c r="U80" s="157" t="str" cm="1">
        <f t="array" ref="U80">IF(OR($E80="",$I80=""),"",(INDEX('Emission factors'!$K$3:$V$201,MATCH('Buildings - Grid Electricity'!$E80&amp;$F80,'Emission factors'!$J$3:$J$201&amp;'Emission factors'!$K$3:$K$201,0),MATCH('Buildings - Grid Electricity'!U$6,'Emission factors'!$K$2:$V$2,0)))*$K80)</f>
        <v/>
      </c>
      <c r="V80" s="269" t="str">
        <f>IF(OR($N80="",BuildingsElectricityTable[[#This Row],[RSD]]=""),"",BuildingsElectricityTable[[#This Row],[Total emissions (kgCO2e)]]*(1+BuildingsElectricityTable[[#This Row],[RSD]]))</f>
        <v/>
      </c>
      <c r="W80" s="270" t="str">
        <f>IF(OR($N80="",BuildingsElectricityTable[[#This Row],[RSD]]=""),"",BuildingsElectricityTable[[#This Row],[Total emissions (kgCO2e)]]*(1-BuildingsElectricityTable[[#This Row],[RSD]]))</f>
        <v/>
      </c>
      <c r="X80" s="271" t="str" cm="1">
        <f t="array" ref="X80">IF(OR($E80="",$I80=""),"",(INDEX('Emission factors'!$K$3:$V$201,MATCH('Buildings - Grid Electricity'!$E80&amp;$F80,'Emission factors'!$J$3:$J$201&amp;'Emission factors'!$K$3:$K$201,0),MATCH('Buildings - Grid Electricity'!X$6,'Emission factors'!$K$2:$V$2,0)))*$K80)</f>
        <v/>
      </c>
      <c r="Y80" s="30"/>
      <c r="Z80" s="1" cm="1">
        <f t="array" ref="Z80">IF(OR(ISERROR(B80:X80)),1,0)</f>
        <v>0</v>
      </c>
      <c r="AA80" s="1">
        <f t="shared" si="9"/>
        <v>0</v>
      </c>
    </row>
    <row r="81" spans="1:27" ht="15" outlineLevel="1" thickBot="1" x14ac:dyDescent="0.4">
      <c r="A81" s="319"/>
      <c r="B81" s="216"/>
      <c r="C81" s="216"/>
      <c r="D81" s="489" t="str">
        <f>IFERROR(INDEX(BuildingInformationTable[Site type],MATCH(BuildingsElectricityTable[[#This Row],[Site name]],BuildingInformationTable[Site name],0)),"")</f>
        <v/>
      </c>
      <c r="E81" s="490" t="str">
        <f t="shared" si="6"/>
        <v/>
      </c>
      <c r="F81" s="490" t="str">
        <f t="shared" si="7"/>
        <v/>
      </c>
      <c r="G81" s="491"/>
      <c r="H81" s="492" t="str">
        <f>IF(G81="","",INDEX(Lists!$BA$4:$BC$31,MATCH(E81,Lists!$AZ$4:$AZ$31,0),MATCH(G81,Lists!$BA$3:$BC$3,0)))</f>
        <v/>
      </c>
      <c r="I81" s="267"/>
      <c r="J81" s="490" t="str">
        <f t="shared" si="8"/>
        <v/>
      </c>
      <c r="K81" s="493" t="str" cm="1">
        <f t="array" ref="K81">IF(OR($E81="",$D81="",$I81="",$J81=""),"",IF(J81=L81,I81,(INDEX('Emission factors'!$K$3:$V$201,MATCH(E81&amp;F81,'Emission factors'!$J$3:$J$201&amp;'Emission factors'!$K$3:$K$201,0),MATCH(K$6,'Emission factors'!$K$2:$V$2,0)))*I81))</f>
        <v/>
      </c>
      <c r="L81" s="494" t="str">
        <f>IF(OR($E81="",$D81="",$I81="",$J81=""),"",INDEX('Emission factors'!$K$3:$V$201,MATCH('Buildings - Grid Electricity'!$E81,'Emission factors'!$J$3:$J$201,0),MATCH($L$6,'Emission factors'!$K$2:$V$2,0)))</f>
        <v/>
      </c>
      <c r="M81" s="495" t="str" cm="1">
        <f t="array" ref="M81">IF(OR(E81="",I81="",BuildingsElectricityTable[[#This Row],[Units]]=""),"",INDEX('Emission factors'!$K$3:$V$201,MATCH('Buildings - Grid Electricity'!$E81&amp;F81,'Emission factors'!$J$3:$J$201&amp;'Emission factors'!$K$3:$K$201,0),MATCH('Buildings - Grid Electricity'!$M$6,'Emission factors'!$K$2:$V$2,0)))</f>
        <v/>
      </c>
      <c r="N81" s="496" t="str">
        <f>IF(OR(K81="",M81=""),"",SUM(BuildingsElectricityTable[[#This Row],[Direct]:[Indirect WTT]]))</f>
        <v/>
      </c>
      <c r="O81" s="268"/>
      <c r="P81" s="497"/>
      <c r="Q81" s="157" t="str" cm="1">
        <f t="array" ref="Q81">IF(OR($E81="",$I81=""),"",(INDEX('Emission factors'!$K$3:$V$201,MATCH('Buildings - Grid Electricity'!$E81&amp;$F81,'Emission factors'!$J$3:$J$201&amp;'Emission factors'!$K$3:$K$201,0),MATCH('Buildings - Grid Electricity'!Q$6,'Emission factors'!$K$2:$V$2,0)))*$K81)</f>
        <v/>
      </c>
      <c r="R81" s="157" t="str" cm="1">
        <f t="array" ref="R81">IF(OR($E81="",$I81=""),"",(INDEX('Emission factors'!$K$3:$V$201,MATCH('Buildings - Grid Electricity'!$E81&amp;$F81,'Emission factors'!$J$3:$J$201&amp;'Emission factors'!$K$3:$K$201,0),MATCH('Buildings - Grid Electricity'!R$6,'Emission factors'!$K$2:$V$2,0)))*$K81)</f>
        <v/>
      </c>
      <c r="S81" s="157" t="str" cm="1">
        <f t="array" ref="S81">IF(OR($E81="",$I81=""),"",(INDEX('Emission factors'!$K$3:$V$201,MATCH('Buildings - Grid Electricity'!$E81&amp;$F81,'Emission factors'!$J$3:$J$201&amp;'Emission factors'!$K$3:$K$201,0),MATCH('Buildings - Grid Electricity'!S$6,'Emission factors'!$K$2:$V$2,0)))*$K81)</f>
        <v/>
      </c>
      <c r="T81" s="157" t="str" cm="1">
        <f t="array" ref="T81">IF(OR($E81="",$I81=""),"",(INDEX('Emission factors'!$K$3:$V$201,MATCH('Buildings - Grid Electricity'!$E81&amp;$F81,'Emission factors'!$J$3:$J$201&amp;'Emission factors'!$K$3:$K$201,0),MATCH('Buildings - Grid Electricity'!T$6,'Emission factors'!$K$2:$V$2,0)))*$K81)</f>
        <v/>
      </c>
      <c r="U81" s="157" t="str" cm="1">
        <f t="array" ref="U81">IF(OR($E81="",$I81=""),"",(INDEX('Emission factors'!$K$3:$V$201,MATCH('Buildings - Grid Electricity'!$E81&amp;$F81,'Emission factors'!$J$3:$J$201&amp;'Emission factors'!$K$3:$K$201,0),MATCH('Buildings - Grid Electricity'!U$6,'Emission factors'!$K$2:$V$2,0)))*$K81)</f>
        <v/>
      </c>
      <c r="V81" s="269" t="str">
        <f>IF(OR($N81="",BuildingsElectricityTable[[#This Row],[RSD]]=""),"",BuildingsElectricityTable[[#This Row],[Total emissions (kgCO2e)]]*(1+BuildingsElectricityTable[[#This Row],[RSD]]))</f>
        <v/>
      </c>
      <c r="W81" s="270" t="str">
        <f>IF(OR($N81="",BuildingsElectricityTable[[#This Row],[RSD]]=""),"",BuildingsElectricityTable[[#This Row],[Total emissions (kgCO2e)]]*(1-BuildingsElectricityTable[[#This Row],[RSD]]))</f>
        <v/>
      </c>
      <c r="X81" s="271" t="str" cm="1">
        <f t="array" ref="X81">IF(OR($E81="",$I81=""),"",(INDEX('Emission factors'!$K$3:$V$201,MATCH('Buildings - Grid Electricity'!$E81&amp;$F81,'Emission factors'!$J$3:$J$201&amp;'Emission factors'!$K$3:$K$201,0),MATCH('Buildings - Grid Electricity'!X$6,'Emission factors'!$K$2:$V$2,0)))*$K81)</f>
        <v/>
      </c>
      <c r="Y81" s="30"/>
      <c r="Z81" s="1" cm="1">
        <f t="array" ref="Z81">IF(OR(ISERROR(B81:X81)),1,0)</f>
        <v>0</v>
      </c>
      <c r="AA81" s="1">
        <f t="shared" si="9"/>
        <v>0</v>
      </c>
    </row>
    <row r="82" spans="1:27" ht="15" outlineLevel="1" thickBot="1" x14ac:dyDescent="0.4">
      <c r="A82" s="319"/>
      <c r="B82" s="216"/>
      <c r="C82" s="216"/>
      <c r="D82" s="489" t="str">
        <f>IFERROR(INDEX(BuildingInformationTable[Site type],MATCH(BuildingsElectricityTable[[#This Row],[Site name]],BuildingInformationTable[Site name],0)),"")</f>
        <v/>
      </c>
      <c r="E82" s="490" t="str">
        <f t="shared" si="6"/>
        <v/>
      </c>
      <c r="F82" s="490" t="str">
        <f t="shared" si="7"/>
        <v/>
      </c>
      <c r="G82" s="491"/>
      <c r="H82" s="492" t="str">
        <f>IF(G82="","",INDEX(Lists!$BA$4:$BC$31,MATCH(E82,Lists!$AZ$4:$AZ$31,0),MATCH(G82,Lists!$BA$3:$BC$3,0)))</f>
        <v/>
      </c>
      <c r="I82" s="267"/>
      <c r="J82" s="490" t="str">
        <f t="shared" si="8"/>
        <v/>
      </c>
      <c r="K82" s="493" t="str" cm="1">
        <f t="array" ref="K82">IF(OR($E82="",$D82="",$I82="",$J82=""),"",IF(J82=L82,I82,(INDEX('Emission factors'!$K$3:$V$201,MATCH(E82&amp;F82,'Emission factors'!$J$3:$J$201&amp;'Emission factors'!$K$3:$K$201,0),MATCH(K$6,'Emission factors'!$K$2:$V$2,0)))*I82))</f>
        <v/>
      </c>
      <c r="L82" s="494" t="str">
        <f>IF(OR($E82="",$D82="",$I82="",$J82=""),"",INDEX('Emission factors'!$K$3:$V$201,MATCH('Buildings - Grid Electricity'!$E82,'Emission factors'!$J$3:$J$201,0),MATCH($L$6,'Emission factors'!$K$2:$V$2,0)))</f>
        <v/>
      </c>
      <c r="M82" s="495" t="str" cm="1">
        <f t="array" ref="M82">IF(OR(E82="",I82="",BuildingsElectricityTable[[#This Row],[Units]]=""),"",INDEX('Emission factors'!$K$3:$V$201,MATCH('Buildings - Grid Electricity'!$E82&amp;F82,'Emission factors'!$J$3:$J$201&amp;'Emission factors'!$K$3:$K$201,0),MATCH('Buildings - Grid Electricity'!$M$6,'Emission factors'!$K$2:$V$2,0)))</f>
        <v/>
      </c>
      <c r="N82" s="496" t="str">
        <f>IF(OR(K82="",M82=""),"",SUM(BuildingsElectricityTable[[#This Row],[Direct]:[Indirect WTT]]))</f>
        <v/>
      </c>
      <c r="O82" s="268"/>
      <c r="P82" s="497"/>
      <c r="Q82" s="157" t="str" cm="1">
        <f t="array" ref="Q82">IF(OR($E82="",$I82=""),"",(INDEX('Emission factors'!$K$3:$V$201,MATCH('Buildings - Grid Electricity'!$E82&amp;$F82,'Emission factors'!$J$3:$J$201&amp;'Emission factors'!$K$3:$K$201,0),MATCH('Buildings - Grid Electricity'!Q$6,'Emission factors'!$K$2:$V$2,0)))*$K82)</f>
        <v/>
      </c>
      <c r="R82" s="157" t="str" cm="1">
        <f t="array" ref="R82">IF(OR($E82="",$I82=""),"",(INDEX('Emission factors'!$K$3:$V$201,MATCH('Buildings - Grid Electricity'!$E82&amp;$F82,'Emission factors'!$J$3:$J$201&amp;'Emission factors'!$K$3:$K$201,0),MATCH('Buildings - Grid Electricity'!R$6,'Emission factors'!$K$2:$V$2,0)))*$K82)</f>
        <v/>
      </c>
      <c r="S82" s="157" t="str" cm="1">
        <f t="array" ref="S82">IF(OR($E82="",$I82=""),"",(INDEX('Emission factors'!$K$3:$V$201,MATCH('Buildings - Grid Electricity'!$E82&amp;$F82,'Emission factors'!$J$3:$J$201&amp;'Emission factors'!$K$3:$K$201,0),MATCH('Buildings - Grid Electricity'!S$6,'Emission factors'!$K$2:$V$2,0)))*$K82)</f>
        <v/>
      </c>
      <c r="T82" s="157" t="str" cm="1">
        <f t="array" ref="T82">IF(OR($E82="",$I82=""),"",(INDEX('Emission factors'!$K$3:$V$201,MATCH('Buildings - Grid Electricity'!$E82&amp;$F82,'Emission factors'!$J$3:$J$201&amp;'Emission factors'!$K$3:$K$201,0),MATCH('Buildings - Grid Electricity'!T$6,'Emission factors'!$K$2:$V$2,0)))*$K82)</f>
        <v/>
      </c>
      <c r="U82" s="157" t="str" cm="1">
        <f t="array" ref="U82">IF(OR($E82="",$I82=""),"",(INDEX('Emission factors'!$K$3:$V$201,MATCH('Buildings - Grid Electricity'!$E82&amp;$F82,'Emission factors'!$J$3:$J$201&amp;'Emission factors'!$K$3:$K$201,0),MATCH('Buildings - Grid Electricity'!U$6,'Emission factors'!$K$2:$V$2,0)))*$K82)</f>
        <v/>
      </c>
      <c r="V82" s="269" t="str">
        <f>IF(OR($N82="",BuildingsElectricityTable[[#This Row],[RSD]]=""),"",BuildingsElectricityTable[[#This Row],[Total emissions (kgCO2e)]]*(1+BuildingsElectricityTable[[#This Row],[RSD]]))</f>
        <v/>
      </c>
      <c r="W82" s="270" t="str">
        <f>IF(OR($N82="",BuildingsElectricityTable[[#This Row],[RSD]]=""),"",BuildingsElectricityTable[[#This Row],[Total emissions (kgCO2e)]]*(1-BuildingsElectricityTable[[#This Row],[RSD]]))</f>
        <v/>
      </c>
      <c r="X82" s="271" t="str" cm="1">
        <f t="array" ref="X82">IF(OR($E82="",$I82=""),"",(INDEX('Emission factors'!$K$3:$V$201,MATCH('Buildings - Grid Electricity'!$E82&amp;$F82,'Emission factors'!$J$3:$J$201&amp;'Emission factors'!$K$3:$K$201,0),MATCH('Buildings - Grid Electricity'!X$6,'Emission factors'!$K$2:$V$2,0)))*$K82)</f>
        <v/>
      </c>
      <c r="Y82" s="30"/>
      <c r="Z82" s="1" cm="1">
        <f t="array" ref="Z82">IF(OR(ISERROR(B82:X82)),1,0)</f>
        <v>0</v>
      </c>
      <c r="AA82" s="1">
        <f t="shared" si="9"/>
        <v>0</v>
      </c>
    </row>
    <row r="83" spans="1:27" ht="15" outlineLevel="1" thickBot="1" x14ac:dyDescent="0.4">
      <c r="A83" s="319"/>
      <c r="B83" s="216"/>
      <c r="C83" s="216"/>
      <c r="D83" s="489" t="str">
        <f>IFERROR(INDEX(BuildingInformationTable[Site type],MATCH(BuildingsElectricityTable[[#This Row],[Site name]],BuildingInformationTable[Site name],0)),"")</f>
        <v/>
      </c>
      <c r="E83" s="490" t="str">
        <f t="shared" si="6"/>
        <v/>
      </c>
      <c r="F83" s="490" t="str">
        <f t="shared" si="7"/>
        <v/>
      </c>
      <c r="G83" s="491"/>
      <c r="H83" s="492" t="str">
        <f>IF(G83="","",INDEX(Lists!$BA$4:$BC$31,MATCH(E83,Lists!$AZ$4:$AZ$31,0),MATCH(G83,Lists!$BA$3:$BC$3,0)))</f>
        <v/>
      </c>
      <c r="I83" s="267"/>
      <c r="J83" s="490" t="str">
        <f t="shared" si="8"/>
        <v/>
      </c>
      <c r="K83" s="493" t="str" cm="1">
        <f t="array" ref="K83">IF(OR($E83="",$D83="",$I83="",$J83=""),"",IF(J83=L83,I83,(INDEX('Emission factors'!$K$3:$V$201,MATCH(E83&amp;F83,'Emission factors'!$J$3:$J$201&amp;'Emission factors'!$K$3:$K$201,0),MATCH(K$6,'Emission factors'!$K$2:$V$2,0)))*I83))</f>
        <v/>
      </c>
      <c r="L83" s="494" t="str">
        <f>IF(OR($E83="",$D83="",$I83="",$J83=""),"",INDEX('Emission factors'!$K$3:$V$201,MATCH('Buildings - Grid Electricity'!$E83,'Emission factors'!$J$3:$J$201,0),MATCH($L$6,'Emission factors'!$K$2:$V$2,0)))</f>
        <v/>
      </c>
      <c r="M83" s="495" t="str" cm="1">
        <f t="array" ref="M83">IF(OR(E83="",I83="",BuildingsElectricityTable[[#This Row],[Units]]=""),"",INDEX('Emission factors'!$K$3:$V$201,MATCH('Buildings - Grid Electricity'!$E83&amp;F83,'Emission factors'!$J$3:$J$201&amp;'Emission factors'!$K$3:$K$201,0),MATCH('Buildings - Grid Electricity'!$M$6,'Emission factors'!$K$2:$V$2,0)))</f>
        <v/>
      </c>
      <c r="N83" s="496" t="str">
        <f>IF(OR(K83="",M83=""),"",SUM(BuildingsElectricityTable[[#This Row],[Direct]:[Indirect WTT]]))</f>
        <v/>
      </c>
      <c r="O83" s="268"/>
      <c r="P83" s="497"/>
      <c r="Q83" s="157" t="str" cm="1">
        <f t="array" ref="Q83">IF(OR($E83="",$I83=""),"",(INDEX('Emission factors'!$K$3:$V$201,MATCH('Buildings - Grid Electricity'!$E83&amp;$F83,'Emission factors'!$J$3:$J$201&amp;'Emission factors'!$K$3:$K$201,0),MATCH('Buildings - Grid Electricity'!Q$6,'Emission factors'!$K$2:$V$2,0)))*$K83)</f>
        <v/>
      </c>
      <c r="R83" s="157" t="str" cm="1">
        <f t="array" ref="R83">IF(OR($E83="",$I83=""),"",(INDEX('Emission factors'!$K$3:$V$201,MATCH('Buildings - Grid Electricity'!$E83&amp;$F83,'Emission factors'!$J$3:$J$201&amp;'Emission factors'!$K$3:$K$201,0),MATCH('Buildings - Grid Electricity'!R$6,'Emission factors'!$K$2:$V$2,0)))*$K83)</f>
        <v/>
      </c>
      <c r="S83" s="157" t="str" cm="1">
        <f t="array" ref="S83">IF(OR($E83="",$I83=""),"",(INDEX('Emission factors'!$K$3:$V$201,MATCH('Buildings - Grid Electricity'!$E83&amp;$F83,'Emission factors'!$J$3:$J$201&amp;'Emission factors'!$K$3:$K$201,0),MATCH('Buildings - Grid Electricity'!S$6,'Emission factors'!$K$2:$V$2,0)))*$K83)</f>
        <v/>
      </c>
      <c r="T83" s="157" t="str" cm="1">
        <f t="array" ref="T83">IF(OR($E83="",$I83=""),"",(INDEX('Emission factors'!$K$3:$V$201,MATCH('Buildings - Grid Electricity'!$E83&amp;$F83,'Emission factors'!$J$3:$J$201&amp;'Emission factors'!$K$3:$K$201,0),MATCH('Buildings - Grid Electricity'!T$6,'Emission factors'!$K$2:$V$2,0)))*$K83)</f>
        <v/>
      </c>
      <c r="U83" s="157" t="str" cm="1">
        <f t="array" ref="U83">IF(OR($E83="",$I83=""),"",(INDEX('Emission factors'!$K$3:$V$201,MATCH('Buildings - Grid Electricity'!$E83&amp;$F83,'Emission factors'!$J$3:$J$201&amp;'Emission factors'!$K$3:$K$201,0),MATCH('Buildings - Grid Electricity'!U$6,'Emission factors'!$K$2:$V$2,0)))*$K83)</f>
        <v/>
      </c>
      <c r="V83" s="269" t="str">
        <f>IF(OR($N83="",BuildingsElectricityTable[[#This Row],[RSD]]=""),"",BuildingsElectricityTable[[#This Row],[Total emissions (kgCO2e)]]*(1+BuildingsElectricityTable[[#This Row],[RSD]]))</f>
        <v/>
      </c>
      <c r="W83" s="270" t="str">
        <f>IF(OR($N83="",BuildingsElectricityTable[[#This Row],[RSD]]=""),"",BuildingsElectricityTable[[#This Row],[Total emissions (kgCO2e)]]*(1-BuildingsElectricityTable[[#This Row],[RSD]]))</f>
        <v/>
      </c>
      <c r="X83" s="271" t="str" cm="1">
        <f t="array" ref="X83">IF(OR($E83="",$I83=""),"",(INDEX('Emission factors'!$K$3:$V$201,MATCH('Buildings - Grid Electricity'!$E83&amp;$F83,'Emission factors'!$J$3:$J$201&amp;'Emission factors'!$K$3:$K$201,0),MATCH('Buildings - Grid Electricity'!X$6,'Emission factors'!$K$2:$V$2,0)))*$K83)</f>
        <v/>
      </c>
      <c r="Y83" s="30"/>
      <c r="Z83" s="1" cm="1">
        <f t="array" ref="Z83">IF(OR(ISERROR(B83:X83)),1,0)</f>
        <v>0</v>
      </c>
      <c r="AA83" s="1">
        <f t="shared" si="9"/>
        <v>0</v>
      </c>
    </row>
    <row r="84" spans="1:27" ht="15" outlineLevel="1" thickBot="1" x14ac:dyDescent="0.4">
      <c r="A84" s="319"/>
      <c r="B84" s="216"/>
      <c r="C84" s="216"/>
      <c r="D84" s="489" t="str">
        <f>IFERROR(INDEX(BuildingInformationTable[Site type],MATCH(BuildingsElectricityTable[[#This Row],[Site name]],BuildingInformationTable[Site name],0)),"")</f>
        <v/>
      </c>
      <c r="E84" s="490" t="str">
        <f t="shared" si="6"/>
        <v/>
      </c>
      <c r="F84" s="490" t="str">
        <f t="shared" si="7"/>
        <v/>
      </c>
      <c r="G84" s="491"/>
      <c r="H84" s="492" t="str">
        <f>IF(G84="","",INDEX(Lists!$BA$4:$BC$31,MATCH(E84,Lists!$AZ$4:$AZ$31,0),MATCH(G84,Lists!$BA$3:$BC$3,0)))</f>
        <v/>
      </c>
      <c r="I84" s="267"/>
      <c r="J84" s="490" t="str">
        <f t="shared" si="8"/>
        <v/>
      </c>
      <c r="K84" s="493" t="str" cm="1">
        <f t="array" ref="K84">IF(OR($E84="",$D84="",$I84="",$J84=""),"",IF(J84=L84,I84,(INDEX('Emission factors'!$K$3:$V$201,MATCH(E84&amp;F84,'Emission factors'!$J$3:$J$201&amp;'Emission factors'!$K$3:$K$201,0),MATCH(K$6,'Emission factors'!$K$2:$V$2,0)))*I84))</f>
        <v/>
      </c>
      <c r="L84" s="494" t="str">
        <f>IF(OR($E84="",$D84="",$I84="",$J84=""),"",INDEX('Emission factors'!$K$3:$V$201,MATCH('Buildings - Grid Electricity'!$E84,'Emission factors'!$J$3:$J$201,0),MATCH($L$6,'Emission factors'!$K$2:$V$2,0)))</f>
        <v/>
      </c>
      <c r="M84" s="495" t="str" cm="1">
        <f t="array" ref="M84">IF(OR(E84="",I84="",BuildingsElectricityTable[[#This Row],[Units]]=""),"",INDEX('Emission factors'!$K$3:$V$201,MATCH('Buildings - Grid Electricity'!$E84&amp;F84,'Emission factors'!$J$3:$J$201&amp;'Emission factors'!$K$3:$K$201,0),MATCH('Buildings - Grid Electricity'!$M$6,'Emission factors'!$K$2:$V$2,0)))</f>
        <v/>
      </c>
      <c r="N84" s="496" t="str">
        <f>IF(OR(K84="",M84=""),"",SUM(BuildingsElectricityTable[[#This Row],[Direct]:[Indirect WTT]]))</f>
        <v/>
      </c>
      <c r="O84" s="268"/>
      <c r="P84" s="497"/>
      <c r="Q84" s="157" t="str" cm="1">
        <f t="array" ref="Q84">IF(OR($E84="",$I84=""),"",(INDEX('Emission factors'!$K$3:$V$201,MATCH('Buildings - Grid Electricity'!$E84&amp;$F84,'Emission factors'!$J$3:$J$201&amp;'Emission factors'!$K$3:$K$201,0),MATCH('Buildings - Grid Electricity'!Q$6,'Emission factors'!$K$2:$V$2,0)))*$K84)</f>
        <v/>
      </c>
      <c r="R84" s="157" t="str" cm="1">
        <f t="array" ref="R84">IF(OR($E84="",$I84=""),"",(INDEX('Emission factors'!$K$3:$V$201,MATCH('Buildings - Grid Electricity'!$E84&amp;$F84,'Emission factors'!$J$3:$J$201&amp;'Emission factors'!$K$3:$K$201,0),MATCH('Buildings - Grid Electricity'!R$6,'Emission factors'!$K$2:$V$2,0)))*$K84)</f>
        <v/>
      </c>
      <c r="S84" s="157" t="str" cm="1">
        <f t="array" ref="S84">IF(OR($E84="",$I84=""),"",(INDEX('Emission factors'!$K$3:$V$201,MATCH('Buildings - Grid Electricity'!$E84&amp;$F84,'Emission factors'!$J$3:$J$201&amp;'Emission factors'!$K$3:$K$201,0),MATCH('Buildings - Grid Electricity'!S$6,'Emission factors'!$K$2:$V$2,0)))*$K84)</f>
        <v/>
      </c>
      <c r="T84" s="157" t="str" cm="1">
        <f t="array" ref="T84">IF(OR($E84="",$I84=""),"",(INDEX('Emission factors'!$K$3:$V$201,MATCH('Buildings - Grid Electricity'!$E84&amp;$F84,'Emission factors'!$J$3:$J$201&amp;'Emission factors'!$K$3:$K$201,0),MATCH('Buildings - Grid Electricity'!T$6,'Emission factors'!$K$2:$V$2,0)))*$K84)</f>
        <v/>
      </c>
      <c r="U84" s="157" t="str" cm="1">
        <f t="array" ref="U84">IF(OR($E84="",$I84=""),"",(INDEX('Emission factors'!$K$3:$V$201,MATCH('Buildings - Grid Electricity'!$E84&amp;$F84,'Emission factors'!$J$3:$J$201&amp;'Emission factors'!$K$3:$K$201,0),MATCH('Buildings - Grid Electricity'!U$6,'Emission factors'!$K$2:$V$2,0)))*$K84)</f>
        <v/>
      </c>
      <c r="V84" s="269" t="str">
        <f>IF(OR($N84="",BuildingsElectricityTable[[#This Row],[RSD]]=""),"",BuildingsElectricityTable[[#This Row],[Total emissions (kgCO2e)]]*(1+BuildingsElectricityTable[[#This Row],[RSD]]))</f>
        <v/>
      </c>
      <c r="W84" s="270" t="str">
        <f>IF(OR($N84="",BuildingsElectricityTable[[#This Row],[RSD]]=""),"",BuildingsElectricityTable[[#This Row],[Total emissions (kgCO2e)]]*(1-BuildingsElectricityTable[[#This Row],[RSD]]))</f>
        <v/>
      </c>
      <c r="X84" s="271" t="str" cm="1">
        <f t="array" ref="X84">IF(OR($E84="",$I84=""),"",(INDEX('Emission factors'!$K$3:$V$201,MATCH('Buildings - Grid Electricity'!$E84&amp;$F84,'Emission factors'!$J$3:$J$201&amp;'Emission factors'!$K$3:$K$201,0),MATCH('Buildings - Grid Electricity'!X$6,'Emission factors'!$K$2:$V$2,0)))*$K84)</f>
        <v/>
      </c>
      <c r="Y84" s="30"/>
      <c r="Z84" s="1" cm="1">
        <f t="array" ref="Z84">IF(OR(ISERROR(B84:X84)),1,0)</f>
        <v>0</v>
      </c>
      <c r="AA84" s="1">
        <f t="shared" si="9"/>
        <v>0</v>
      </c>
    </row>
    <row r="85" spans="1:27" ht="15" outlineLevel="1" thickBot="1" x14ac:dyDescent="0.4">
      <c r="A85" s="319"/>
      <c r="B85" s="216"/>
      <c r="C85" s="216"/>
      <c r="D85" s="489" t="str">
        <f>IFERROR(INDEX(BuildingInformationTable[Site type],MATCH(BuildingsElectricityTable[[#This Row],[Site name]],BuildingInformationTable[Site name],0)),"")</f>
        <v/>
      </c>
      <c r="E85" s="490" t="str">
        <f t="shared" si="6"/>
        <v/>
      </c>
      <c r="F85" s="490" t="str">
        <f t="shared" si="7"/>
        <v/>
      </c>
      <c r="G85" s="491"/>
      <c r="H85" s="492" t="str">
        <f>IF(G85="","",INDEX(Lists!$BA$4:$BC$31,MATCH(E85,Lists!$AZ$4:$AZ$31,0),MATCH(G85,Lists!$BA$3:$BC$3,0)))</f>
        <v/>
      </c>
      <c r="I85" s="267"/>
      <c r="J85" s="490" t="str">
        <f t="shared" si="8"/>
        <v/>
      </c>
      <c r="K85" s="493" t="str" cm="1">
        <f t="array" ref="K85">IF(OR($E85="",$D85="",$I85="",$J85=""),"",IF(J85=L85,I85,(INDEX('Emission factors'!$K$3:$V$201,MATCH(E85&amp;F85,'Emission factors'!$J$3:$J$201&amp;'Emission factors'!$K$3:$K$201,0),MATCH(K$6,'Emission factors'!$K$2:$V$2,0)))*I85))</f>
        <v/>
      </c>
      <c r="L85" s="494" t="str">
        <f>IF(OR($E85="",$D85="",$I85="",$J85=""),"",INDEX('Emission factors'!$K$3:$V$201,MATCH('Buildings - Grid Electricity'!$E85,'Emission factors'!$J$3:$J$201,0),MATCH($L$6,'Emission factors'!$K$2:$V$2,0)))</f>
        <v/>
      </c>
      <c r="M85" s="495" t="str" cm="1">
        <f t="array" ref="M85">IF(OR(E85="",I85="",BuildingsElectricityTable[[#This Row],[Units]]=""),"",INDEX('Emission factors'!$K$3:$V$201,MATCH('Buildings - Grid Electricity'!$E85&amp;F85,'Emission factors'!$J$3:$J$201&amp;'Emission factors'!$K$3:$K$201,0),MATCH('Buildings - Grid Electricity'!$M$6,'Emission factors'!$K$2:$V$2,0)))</f>
        <v/>
      </c>
      <c r="N85" s="496" t="str">
        <f>IF(OR(K85="",M85=""),"",SUM(BuildingsElectricityTable[[#This Row],[Direct]:[Indirect WTT]]))</f>
        <v/>
      </c>
      <c r="O85" s="268"/>
      <c r="P85" s="497"/>
      <c r="Q85" s="157" t="str" cm="1">
        <f t="array" ref="Q85">IF(OR($E85="",$I85=""),"",(INDEX('Emission factors'!$K$3:$V$201,MATCH('Buildings - Grid Electricity'!$E85&amp;$F85,'Emission factors'!$J$3:$J$201&amp;'Emission factors'!$K$3:$K$201,0),MATCH('Buildings - Grid Electricity'!Q$6,'Emission factors'!$K$2:$V$2,0)))*$K85)</f>
        <v/>
      </c>
      <c r="R85" s="157" t="str" cm="1">
        <f t="array" ref="R85">IF(OR($E85="",$I85=""),"",(INDEX('Emission factors'!$K$3:$V$201,MATCH('Buildings - Grid Electricity'!$E85&amp;$F85,'Emission factors'!$J$3:$J$201&amp;'Emission factors'!$K$3:$K$201,0),MATCH('Buildings - Grid Electricity'!R$6,'Emission factors'!$K$2:$V$2,0)))*$K85)</f>
        <v/>
      </c>
      <c r="S85" s="157" t="str" cm="1">
        <f t="array" ref="S85">IF(OR($E85="",$I85=""),"",(INDEX('Emission factors'!$K$3:$V$201,MATCH('Buildings - Grid Electricity'!$E85&amp;$F85,'Emission factors'!$J$3:$J$201&amp;'Emission factors'!$K$3:$K$201,0),MATCH('Buildings - Grid Electricity'!S$6,'Emission factors'!$K$2:$V$2,0)))*$K85)</f>
        <v/>
      </c>
      <c r="T85" s="157" t="str" cm="1">
        <f t="array" ref="T85">IF(OR($E85="",$I85=""),"",(INDEX('Emission factors'!$K$3:$V$201,MATCH('Buildings - Grid Electricity'!$E85&amp;$F85,'Emission factors'!$J$3:$J$201&amp;'Emission factors'!$K$3:$K$201,0),MATCH('Buildings - Grid Electricity'!T$6,'Emission factors'!$K$2:$V$2,0)))*$K85)</f>
        <v/>
      </c>
      <c r="U85" s="157" t="str" cm="1">
        <f t="array" ref="U85">IF(OR($E85="",$I85=""),"",(INDEX('Emission factors'!$K$3:$V$201,MATCH('Buildings - Grid Electricity'!$E85&amp;$F85,'Emission factors'!$J$3:$J$201&amp;'Emission factors'!$K$3:$K$201,0),MATCH('Buildings - Grid Electricity'!U$6,'Emission factors'!$K$2:$V$2,0)))*$K85)</f>
        <v/>
      </c>
      <c r="V85" s="269" t="str">
        <f>IF(OR($N85="",BuildingsElectricityTable[[#This Row],[RSD]]=""),"",BuildingsElectricityTable[[#This Row],[Total emissions (kgCO2e)]]*(1+BuildingsElectricityTable[[#This Row],[RSD]]))</f>
        <v/>
      </c>
      <c r="W85" s="270" t="str">
        <f>IF(OR($N85="",BuildingsElectricityTable[[#This Row],[RSD]]=""),"",BuildingsElectricityTable[[#This Row],[Total emissions (kgCO2e)]]*(1-BuildingsElectricityTable[[#This Row],[RSD]]))</f>
        <v/>
      </c>
      <c r="X85" s="271" t="str" cm="1">
        <f t="array" ref="X85">IF(OR($E85="",$I85=""),"",(INDEX('Emission factors'!$K$3:$V$201,MATCH('Buildings - Grid Electricity'!$E85&amp;$F85,'Emission factors'!$J$3:$J$201&amp;'Emission factors'!$K$3:$K$201,0),MATCH('Buildings - Grid Electricity'!X$6,'Emission factors'!$K$2:$V$2,0)))*$K85)</f>
        <v/>
      </c>
      <c r="Y85" s="30"/>
      <c r="Z85" s="1" cm="1">
        <f t="array" ref="Z85">IF(OR(ISERROR(B85:X85)),1,0)</f>
        <v>0</v>
      </c>
      <c r="AA85" s="1">
        <f t="shared" si="9"/>
        <v>0</v>
      </c>
    </row>
    <row r="86" spans="1:27" ht="15" outlineLevel="1" thickBot="1" x14ac:dyDescent="0.4">
      <c r="A86" s="319"/>
      <c r="B86" s="216"/>
      <c r="C86" s="216"/>
      <c r="D86" s="489" t="str">
        <f>IFERROR(INDEX(BuildingInformationTable[Site type],MATCH(BuildingsElectricityTable[[#This Row],[Site name]],BuildingInformationTable[Site name],0)),"")</f>
        <v/>
      </c>
      <c r="E86" s="490" t="str">
        <f t="shared" si="6"/>
        <v/>
      </c>
      <c r="F86" s="490" t="str">
        <f t="shared" si="7"/>
        <v/>
      </c>
      <c r="G86" s="491"/>
      <c r="H86" s="492" t="str">
        <f>IF(G86="","",INDEX(Lists!$BA$4:$BC$31,MATCH(E86,Lists!$AZ$4:$AZ$31,0),MATCH(G86,Lists!$BA$3:$BC$3,0)))</f>
        <v/>
      </c>
      <c r="I86" s="267"/>
      <c r="J86" s="490" t="str">
        <f t="shared" si="8"/>
        <v/>
      </c>
      <c r="K86" s="493" t="str" cm="1">
        <f t="array" ref="K86">IF(OR($E86="",$D86="",$I86="",$J86=""),"",IF(J86=L86,I86,(INDEX('Emission factors'!$K$3:$V$201,MATCH(E86&amp;F86,'Emission factors'!$J$3:$J$201&amp;'Emission factors'!$K$3:$K$201,0),MATCH(K$6,'Emission factors'!$K$2:$V$2,0)))*I86))</f>
        <v/>
      </c>
      <c r="L86" s="494" t="str">
        <f>IF(OR($E86="",$D86="",$I86="",$J86=""),"",INDEX('Emission factors'!$K$3:$V$201,MATCH('Buildings - Grid Electricity'!$E86,'Emission factors'!$J$3:$J$201,0),MATCH($L$6,'Emission factors'!$K$2:$V$2,0)))</f>
        <v/>
      </c>
      <c r="M86" s="495" t="str" cm="1">
        <f t="array" ref="M86">IF(OR(E86="",I86="",BuildingsElectricityTable[[#This Row],[Units]]=""),"",INDEX('Emission factors'!$K$3:$V$201,MATCH('Buildings - Grid Electricity'!$E86&amp;F86,'Emission factors'!$J$3:$J$201&amp;'Emission factors'!$K$3:$K$201,0),MATCH('Buildings - Grid Electricity'!$M$6,'Emission factors'!$K$2:$V$2,0)))</f>
        <v/>
      </c>
      <c r="N86" s="496" t="str">
        <f>IF(OR(K86="",M86=""),"",SUM(BuildingsElectricityTable[[#This Row],[Direct]:[Indirect WTT]]))</f>
        <v/>
      </c>
      <c r="O86" s="268"/>
      <c r="P86" s="497"/>
      <c r="Q86" s="157" t="str" cm="1">
        <f t="array" ref="Q86">IF(OR($E86="",$I86=""),"",(INDEX('Emission factors'!$K$3:$V$201,MATCH('Buildings - Grid Electricity'!$E86&amp;$F86,'Emission factors'!$J$3:$J$201&amp;'Emission factors'!$K$3:$K$201,0),MATCH('Buildings - Grid Electricity'!Q$6,'Emission factors'!$K$2:$V$2,0)))*$K86)</f>
        <v/>
      </c>
      <c r="R86" s="157" t="str" cm="1">
        <f t="array" ref="R86">IF(OR($E86="",$I86=""),"",(INDEX('Emission factors'!$K$3:$V$201,MATCH('Buildings - Grid Electricity'!$E86&amp;$F86,'Emission factors'!$J$3:$J$201&amp;'Emission factors'!$K$3:$K$201,0),MATCH('Buildings - Grid Electricity'!R$6,'Emission factors'!$K$2:$V$2,0)))*$K86)</f>
        <v/>
      </c>
      <c r="S86" s="157" t="str" cm="1">
        <f t="array" ref="S86">IF(OR($E86="",$I86=""),"",(INDEX('Emission factors'!$K$3:$V$201,MATCH('Buildings - Grid Electricity'!$E86&amp;$F86,'Emission factors'!$J$3:$J$201&amp;'Emission factors'!$K$3:$K$201,0),MATCH('Buildings - Grid Electricity'!S$6,'Emission factors'!$K$2:$V$2,0)))*$K86)</f>
        <v/>
      </c>
      <c r="T86" s="157" t="str" cm="1">
        <f t="array" ref="T86">IF(OR($E86="",$I86=""),"",(INDEX('Emission factors'!$K$3:$V$201,MATCH('Buildings - Grid Electricity'!$E86&amp;$F86,'Emission factors'!$J$3:$J$201&amp;'Emission factors'!$K$3:$K$201,0),MATCH('Buildings - Grid Electricity'!T$6,'Emission factors'!$K$2:$V$2,0)))*$K86)</f>
        <v/>
      </c>
      <c r="U86" s="157" t="str" cm="1">
        <f t="array" ref="U86">IF(OR($E86="",$I86=""),"",(INDEX('Emission factors'!$K$3:$V$201,MATCH('Buildings - Grid Electricity'!$E86&amp;$F86,'Emission factors'!$J$3:$J$201&amp;'Emission factors'!$K$3:$K$201,0),MATCH('Buildings - Grid Electricity'!U$6,'Emission factors'!$K$2:$V$2,0)))*$K86)</f>
        <v/>
      </c>
      <c r="V86" s="269" t="str">
        <f>IF(OR($N86="",BuildingsElectricityTable[[#This Row],[RSD]]=""),"",BuildingsElectricityTable[[#This Row],[Total emissions (kgCO2e)]]*(1+BuildingsElectricityTable[[#This Row],[RSD]]))</f>
        <v/>
      </c>
      <c r="W86" s="270" t="str">
        <f>IF(OR($N86="",BuildingsElectricityTable[[#This Row],[RSD]]=""),"",BuildingsElectricityTable[[#This Row],[Total emissions (kgCO2e)]]*(1-BuildingsElectricityTable[[#This Row],[RSD]]))</f>
        <v/>
      </c>
      <c r="X86" s="271" t="str" cm="1">
        <f t="array" ref="X86">IF(OR($E86="",$I86=""),"",(INDEX('Emission factors'!$K$3:$V$201,MATCH('Buildings - Grid Electricity'!$E86&amp;$F86,'Emission factors'!$J$3:$J$201&amp;'Emission factors'!$K$3:$K$201,0),MATCH('Buildings - Grid Electricity'!X$6,'Emission factors'!$K$2:$V$2,0)))*$K86)</f>
        <v/>
      </c>
      <c r="Y86" s="30"/>
      <c r="Z86" s="1" cm="1">
        <f t="array" ref="Z86">IF(OR(ISERROR(B86:X86)),1,0)</f>
        <v>0</v>
      </c>
      <c r="AA86" s="1">
        <f t="shared" si="9"/>
        <v>0</v>
      </c>
    </row>
    <row r="87" spans="1:27" ht="15" outlineLevel="1" thickBot="1" x14ac:dyDescent="0.4">
      <c r="A87" s="319"/>
      <c r="B87" s="216"/>
      <c r="C87" s="216"/>
      <c r="D87" s="489" t="str">
        <f>IFERROR(INDEX(BuildingInformationTable[Site type],MATCH(BuildingsElectricityTable[[#This Row],[Site name]],BuildingInformationTable[Site name],0)),"")</f>
        <v/>
      </c>
      <c r="E87" s="490" t="str">
        <f t="shared" si="6"/>
        <v/>
      </c>
      <c r="F87" s="490" t="str">
        <f t="shared" si="7"/>
        <v/>
      </c>
      <c r="G87" s="491"/>
      <c r="H87" s="492" t="str">
        <f>IF(G87="","",INDEX(Lists!$BA$4:$BC$31,MATCH(E87,Lists!$AZ$4:$AZ$31,0),MATCH(G87,Lists!$BA$3:$BC$3,0)))</f>
        <v/>
      </c>
      <c r="I87" s="267"/>
      <c r="J87" s="490" t="str">
        <f t="shared" si="8"/>
        <v/>
      </c>
      <c r="K87" s="493" t="str" cm="1">
        <f t="array" ref="K87">IF(OR($E87="",$D87="",$I87="",$J87=""),"",IF(J87=L87,I87,(INDEX('Emission factors'!$K$3:$V$201,MATCH(E87&amp;F87,'Emission factors'!$J$3:$J$201&amp;'Emission factors'!$K$3:$K$201,0),MATCH(K$6,'Emission factors'!$K$2:$V$2,0)))*I87))</f>
        <v/>
      </c>
      <c r="L87" s="494" t="str">
        <f>IF(OR($E87="",$D87="",$I87="",$J87=""),"",INDEX('Emission factors'!$K$3:$V$201,MATCH('Buildings - Grid Electricity'!$E87,'Emission factors'!$J$3:$J$201,0),MATCH($L$6,'Emission factors'!$K$2:$V$2,0)))</f>
        <v/>
      </c>
      <c r="M87" s="495" t="str" cm="1">
        <f t="array" ref="M87">IF(OR(E87="",I87="",BuildingsElectricityTable[[#This Row],[Units]]=""),"",INDEX('Emission factors'!$K$3:$V$201,MATCH('Buildings - Grid Electricity'!$E87&amp;F87,'Emission factors'!$J$3:$J$201&amp;'Emission factors'!$K$3:$K$201,0),MATCH('Buildings - Grid Electricity'!$M$6,'Emission factors'!$K$2:$V$2,0)))</f>
        <v/>
      </c>
      <c r="N87" s="496" t="str">
        <f>IF(OR(K87="",M87=""),"",SUM(BuildingsElectricityTable[[#This Row],[Direct]:[Indirect WTT]]))</f>
        <v/>
      </c>
      <c r="O87" s="268"/>
      <c r="P87" s="497"/>
      <c r="Q87" s="157" t="str" cm="1">
        <f t="array" ref="Q87">IF(OR($E87="",$I87=""),"",(INDEX('Emission factors'!$K$3:$V$201,MATCH('Buildings - Grid Electricity'!$E87&amp;$F87,'Emission factors'!$J$3:$J$201&amp;'Emission factors'!$K$3:$K$201,0),MATCH('Buildings - Grid Electricity'!Q$6,'Emission factors'!$K$2:$V$2,0)))*$K87)</f>
        <v/>
      </c>
      <c r="R87" s="157" t="str" cm="1">
        <f t="array" ref="R87">IF(OR($E87="",$I87=""),"",(INDEX('Emission factors'!$K$3:$V$201,MATCH('Buildings - Grid Electricity'!$E87&amp;$F87,'Emission factors'!$J$3:$J$201&amp;'Emission factors'!$K$3:$K$201,0),MATCH('Buildings - Grid Electricity'!R$6,'Emission factors'!$K$2:$V$2,0)))*$K87)</f>
        <v/>
      </c>
      <c r="S87" s="157" t="str" cm="1">
        <f t="array" ref="S87">IF(OR($E87="",$I87=""),"",(INDEX('Emission factors'!$K$3:$V$201,MATCH('Buildings - Grid Electricity'!$E87&amp;$F87,'Emission factors'!$J$3:$J$201&amp;'Emission factors'!$K$3:$K$201,0),MATCH('Buildings - Grid Electricity'!S$6,'Emission factors'!$K$2:$V$2,0)))*$K87)</f>
        <v/>
      </c>
      <c r="T87" s="157" t="str" cm="1">
        <f t="array" ref="T87">IF(OR($E87="",$I87=""),"",(INDEX('Emission factors'!$K$3:$V$201,MATCH('Buildings - Grid Electricity'!$E87&amp;$F87,'Emission factors'!$J$3:$J$201&amp;'Emission factors'!$K$3:$K$201,0),MATCH('Buildings - Grid Electricity'!T$6,'Emission factors'!$K$2:$V$2,0)))*$K87)</f>
        <v/>
      </c>
      <c r="U87" s="157" t="str" cm="1">
        <f t="array" ref="U87">IF(OR($E87="",$I87=""),"",(INDEX('Emission factors'!$K$3:$V$201,MATCH('Buildings - Grid Electricity'!$E87&amp;$F87,'Emission factors'!$J$3:$J$201&amp;'Emission factors'!$K$3:$K$201,0),MATCH('Buildings - Grid Electricity'!U$6,'Emission factors'!$K$2:$V$2,0)))*$K87)</f>
        <v/>
      </c>
      <c r="V87" s="269" t="str">
        <f>IF(OR($N87="",BuildingsElectricityTable[[#This Row],[RSD]]=""),"",BuildingsElectricityTable[[#This Row],[Total emissions (kgCO2e)]]*(1+BuildingsElectricityTable[[#This Row],[RSD]]))</f>
        <v/>
      </c>
      <c r="W87" s="270" t="str">
        <f>IF(OR($N87="",BuildingsElectricityTable[[#This Row],[RSD]]=""),"",BuildingsElectricityTable[[#This Row],[Total emissions (kgCO2e)]]*(1-BuildingsElectricityTable[[#This Row],[RSD]]))</f>
        <v/>
      </c>
      <c r="X87" s="271" t="str" cm="1">
        <f t="array" ref="X87">IF(OR($E87="",$I87=""),"",(INDEX('Emission factors'!$K$3:$V$201,MATCH('Buildings - Grid Electricity'!$E87&amp;$F87,'Emission factors'!$J$3:$J$201&amp;'Emission factors'!$K$3:$K$201,0),MATCH('Buildings - Grid Electricity'!X$6,'Emission factors'!$K$2:$V$2,0)))*$K87)</f>
        <v/>
      </c>
      <c r="Y87" s="30"/>
      <c r="Z87" s="1" cm="1">
        <f t="array" ref="Z87">IF(OR(ISERROR(B87:X87)),1,0)</f>
        <v>0</v>
      </c>
      <c r="AA87" s="1">
        <f t="shared" si="9"/>
        <v>0</v>
      </c>
    </row>
    <row r="88" spans="1:27" ht="15" outlineLevel="1" thickBot="1" x14ac:dyDescent="0.4">
      <c r="A88" s="319"/>
      <c r="B88" s="216"/>
      <c r="C88" s="216"/>
      <c r="D88" s="489" t="str">
        <f>IFERROR(INDEX(BuildingInformationTable[Site type],MATCH(BuildingsElectricityTable[[#This Row],[Site name]],BuildingInformationTable[Site name],0)),"")</f>
        <v/>
      </c>
      <c r="E88" s="490" t="str">
        <f t="shared" si="6"/>
        <v/>
      </c>
      <c r="F88" s="490" t="str">
        <f t="shared" si="7"/>
        <v/>
      </c>
      <c r="G88" s="491"/>
      <c r="H88" s="492" t="str">
        <f>IF(G88="","",INDEX(Lists!$BA$4:$BC$31,MATCH(E88,Lists!$AZ$4:$AZ$31,0),MATCH(G88,Lists!$BA$3:$BC$3,0)))</f>
        <v/>
      </c>
      <c r="I88" s="267"/>
      <c r="J88" s="490" t="str">
        <f t="shared" si="8"/>
        <v/>
      </c>
      <c r="K88" s="493" t="str" cm="1">
        <f t="array" ref="K88">IF(OR($E88="",$D88="",$I88="",$J88=""),"",IF(J88=L88,I88,(INDEX('Emission factors'!$K$3:$V$201,MATCH(E88&amp;F88,'Emission factors'!$J$3:$J$201&amp;'Emission factors'!$K$3:$K$201,0),MATCH(K$6,'Emission factors'!$K$2:$V$2,0)))*I88))</f>
        <v/>
      </c>
      <c r="L88" s="494" t="str">
        <f>IF(OR($E88="",$D88="",$I88="",$J88=""),"",INDEX('Emission factors'!$K$3:$V$201,MATCH('Buildings - Grid Electricity'!$E88,'Emission factors'!$J$3:$J$201,0),MATCH($L$6,'Emission factors'!$K$2:$V$2,0)))</f>
        <v/>
      </c>
      <c r="M88" s="495" t="str" cm="1">
        <f t="array" ref="M88">IF(OR(E88="",I88="",BuildingsElectricityTable[[#This Row],[Units]]=""),"",INDEX('Emission factors'!$K$3:$V$201,MATCH('Buildings - Grid Electricity'!$E88&amp;F88,'Emission factors'!$J$3:$J$201&amp;'Emission factors'!$K$3:$K$201,0),MATCH('Buildings - Grid Electricity'!$M$6,'Emission factors'!$K$2:$V$2,0)))</f>
        <v/>
      </c>
      <c r="N88" s="496" t="str">
        <f>IF(OR(K88="",M88=""),"",SUM(BuildingsElectricityTable[[#This Row],[Direct]:[Indirect WTT]]))</f>
        <v/>
      </c>
      <c r="O88" s="268"/>
      <c r="P88" s="497"/>
      <c r="Q88" s="157" t="str" cm="1">
        <f t="array" ref="Q88">IF(OR($E88="",$I88=""),"",(INDEX('Emission factors'!$K$3:$V$201,MATCH('Buildings - Grid Electricity'!$E88&amp;$F88,'Emission factors'!$J$3:$J$201&amp;'Emission factors'!$K$3:$K$201,0),MATCH('Buildings - Grid Electricity'!Q$6,'Emission factors'!$K$2:$V$2,0)))*$K88)</f>
        <v/>
      </c>
      <c r="R88" s="157" t="str" cm="1">
        <f t="array" ref="R88">IF(OR($E88="",$I88=""),"",(INDEX('Emission factors'!$K$3:$V$201,MATCH('Buildings - Grid Electricity'!$E88&amp;$F88,'Emission factors'!$J$3:$J$201&amp;'Emission factors'!$K$3:$K$201,0),MATCH('Buildings - Grid Electricity'!R$6,'Emission factors'!$K$2:$V$2,0)))*$K88)</f>
        <v/>
      </c>
      <c r="S88" s="157" t="str" cm="1">
        <f t="array" ref="S88">IF(OR($E88="",$I88=""),"",(INDEX('Emission factors'!$K$3:$V$201,MATCH('Buildings - Grid Electricity'!$E88&amp;$F88,'Emission factors'!$J$3:$J$201&amp;'Emission factors'!$K$3:$K$201,0),MATCH('Buildings - Grid Electricity'!S$6,'Emission factors'!$K$2:$V$2,0)))*$K88)</f>
        <v/>
      </c>
      <c r="T88" s="157" t="str" cm="1">
        <f t="array" ref="T88">IF(OR($E88="",$I88=""),"",(INDEX('Emission factors'!$K$3:$V$201,MATCH('Buildings - Grid Electricity'!$E88&amp;$F88,'Emission factors'!$J$3:$J$201&amp;'Emission factors'!$K$3:$K$201,0),MATCH('Buildings - Grid Electricity'!T$6,'Emission factors'!$K$2:$V$2,0)))*$K88)</f>
        <v/>
      </c>
      <c r="U88" s="157" t="str" cm="1">
        <f t="array" ref="U88">IF(OR($E88="",$I88=""),"",(INDEX('Emission factors'!$K$3:$V$201,MATCH('Buildings - Grid Electricity'!$E88&amp;$F88,'Emission factors'!$J$3:$J$201&amp;'Emission factors'!$K$3:$K$201,0),MATCH('Buildings - Grid Electricity'!U$6,'Emission factors'!$K$2:$V$2,0)))*$K88)</f>
        <v/>
      </c>
      <c r="V88" s="269" t="str">
        <f>IF(OR($N88="",BuildingsElectricityTable[[#This Row],[RSD]]=""),"",BuildingsElectricityTable[[#This Row],[Total emissions (kgCO2e)]]*(1+BuildingsElectricityTable[[#This Row],[RSD]]))</f>
        <v/>
      </c>
      <c r="W88" s="270" t="str">
        <f>IF(OR($N88="",BuildingsElectricityTable[[#This Row],[RSD]]=""),"",BuildingsElectricityTable[[#This Row],[Total emissions (kgCO2e)]]*(1-BuildingsElectricityTable[[#This Row],[RSD]]))</f>
        <v/>
      </c>
      <c r="X88" s="271" t="str" cm="1">
        <f t="array" ref="X88">IF(OR($E88="",$I88=""),"",(INDEX('Emission factors'!$K$3:$V$201,MATCH('Buildings - Grid Electricity'!$E88&amp;$F88,'Emission factors'!$J$3:$J$201&amp;'Emission factors'!$K$3:$K$201,0),MATCH('Buildings - Grid Electricity'!X$6,'Emission factors'!$K$2:$V$2,0)))*$K88)</f>
        <v/>
      </c>
      <c r="Y88" s="30"/>
      <c r="Z88" s="1" cm="1">
        <f t="array" ref="Z88">IF(OR(ISERROR(B88:X88)),1,0)</f>
        <v>0</v>
      </c>
      <c r="AA88" s="1">
        <f t="shared" si="9"/>
        <v>0</v>
      </c>
    </row>
    <row r="89" spans="1:27" ht="15" outlineLevel="1" thickBot="1" x14ac:dyDescent="0.4">
      <c r="A89" s="319"/>
      <c r="B89" s="216"/>
      <c r="C89" s="216"/>
      <c r="D89" s="489" t="str">
        <f>IFERROR(INDEX(BuildingInformationTable[Site type],MATCH(BuildingsElectricityTable[[#This Row],[Site name]],BuildingInformationTable[Site name],0)),"")</f>
        <v/>
      </c>
      <c r="E89" s="490" t="str">
        <f t="shared" si="6"/>
        <v/>
      </c>
      <c r="F89" s="490" t="str">
        <f t="shared" si="7"/>
        <v/>
      </c>
      <c r="G89" s="491"/>
      <c r="H89" s="492" t="str">
        <f>IF(G89="","",INDEX(Lists!$BA$4:$BC$31,MATCH(E89,Lists!$AZ$4:$AZ$31,0),MATCH(G89,Lists!$BA$3:$BC$3,0)))</f>
        <v/>
      </c>
      <c r="I89" s="267"/>
      <c r="J89" s="490" t="str">
        <f t="shared" si="8"/>
        <v/>
      </c>
      <c r="K89" s="493" t="str" cm="1">
        <f t="array" ref="K89">IF(OR($E89="",$D89="",$I89="",$J89=""),"",IF(J89=L89,I89,(INDEX('Emission factors'!$K$3:$V$201,MATCH(E89&amp;F89,'Emission factors'!$J$3:$J$201&amp;'Emission factors'!$K$3:$K$201,0),MATCH(K$6,'Emission factors'!$K$2:$V$2,0)))*I89))</f>
        <v/>
      </c>
      <c r="L89" s="494" t="str">
        <f>IF(OR($E89="",$D89="",$I89="",$J89=""),"",INDEX('Emission factors'!$K$3:$V$201,MATCH('Buildings - Grid Electricity'!$E89,'Emission factors'!$J$3:$J$201,0),MATCH($L$6,'Emission factors'!$K$2:$V$2,0)))</f>
        <v/>
      </c>
      <c r="M89" s="495" t="str" cm="1">
        <f t="array" ref="M89">IF(OR(E89="",I89="",BuildingsElectricityTable[[#This Row],[Units]]=""),"",INDEX('Emission factors'!$K$3:$V$201,MATCH('Buildings - Grid Electricity'!$E89&amp;F89,'Emission factors'!$J$3:$J$201&amp;'Emission factors'!$K$3:$K$201,0),MATCH('Buildings - Grid Electricity'!$M$6,'Emission factors'!$K$2:$V$2,0)))</f>
        <v/>
      </c>
      <c r="N89" s="496" t="str">
        <f>IF(OR(K89="",M89=""),"",SUM(BuildingsElectricityTable[[#This Row],[Direct]:[Indirect WTT]]))</f>
        <v/>
      </c>
      <c r="O89" s="268"/>
      <c r="P89" s="497"/>
      <c r="Q89" s="157" t="str" cm="1">
        <f t="array" ref="Q89">IF(OR($E89="",$I89=""),"",(INDEX('Emission factors'!$K$3:$V$201,MATCH('Buildings - Grid Electricity'!$E89&amp;$F89,'Emission factors'!$J$3:$J$201&amp;'Emission factors'!$K$3:$K$201,0),MATCH('Buildings - Grid Electricity'!Q$6,'Emission factors'!$K$2:$V$2,0)))*$K89)</f>
        <v/>
      </c>
      <c r="R89" s="157" t="str" cm="1">
        <f t="array" ref="R89">IF(OR($E89="",$I89=""),"",(INDEX('Emission factors'!$K$3:$V$201,MATCH('Buildings - Grid Electricity'!$E89&amp;$F89,'Emission factors'!$J$3:$J$201&amp;'Emission factors'!$K$3:$K$201,0),MATCH('Buildings - Grid Electricity'!R$6,'Emission factors'!$K$2:$V$2,0)))*$K89)</f>
        <v/>
      </c>
      <c r="S89" s="157" t="str" cm="1">
        <f t="array" ref="S89">IF(OR($E89="",$I89=""),"",(INDEX('Emission factors'!$K$3:$V$201,MATCH('Buildings - Grid Electricity'!$E89&amp;$F89,'Emission factors'!$J$3:$J$201&amp;'Emission factors'!$K$3:$K$201,0),MATCH('Buildings - Grid Electricity'!S$6,'Emission factors'!$K$2:$V$2,0)))*$K89)</f>
        <v/>
      </c>
      <c r="T89" s="157" t="str" cm="1">
        <f t="array" ref="T89">IF(OR($E89="",$I89=""),"",(INDEX('Emission factors'!$K$3:$V$201,MATCH('Buildings - Grid Electricity'!$E89&amp;$F89,'Emission factors'!$J$3:$J$201&amp;'Emission factors'!$K$3:$K$201,0),MATCH('Buildings - Grid Electricity'!T$6,'Emission factors'!$K$2:$V$2,0)))*$K89)</f>
        <v/>
      </c>
      <c r="U89" s="157" t="str" cm="1">
        <f t="array" ref="U89">IF(OR($E89="",$I89=""),"",(INDEX('Emission factors'!$K$3:$V$201,MATCH('Buildings - Grid Electricity'!$E89&amp;$F89,'Emission factors'!$J$3:$J$201&amp;'Emission factors'!$K$3:$K$201,0),MATCH('Buildings - Grid Electricity'!U$6,'Emission factors'!$K$2:$V$2,0)))*$K89)</f>
        <v/>
      </c>
      <c r="V89" s="269" t="str">
        <f>IF(OR($N89="",BuildingsElectricityTable[[#This Row],[RSD]]=""),"",BuildingsElectricityTable[[#This Row],[Total emissions (kgCO2e)]]*(1+BuildingsElectricityTable[[#This Row],[RSD]]))</f>
        <v/>
      </c>
      <c r="W89" s="270" t="str">
        <f>IF(OR($N89="",BuildingsElectricityTable[[#This Row],[RSD]]=""),"",BuildingsElectricityTable[[#This Row],[Total emissions (kgCO2e)]]*(1-BuildingsElectricityTable[[#This Row],[RSD]]))</f>
        <v/>
      </c>
      <c r="X89" s="271" t="str" cm="1">
        <f t="array" ref="X89">IF(OR($E89="",$I89=""),"",(INDEX('Emission factors'!$K$3:$V$201,MATCH('Buildings - Grid Electricity'!$E89&amp;$F89,'Emission factors'!$J$3:$J$201&amp;'Emission factors'!$K$3:$K$201,0),MATCH('Buildings - Grid Electricity'!X$6,'Emission factors'!$K$2:$V$2,0)))*$K89)</f>
        <v/>
      </c>
      <c r="Y89" s="30"/>
      <c r="Z89" s="1" cm="1">
        <f t="array" ref="Z89">IF(OR(ISERROR(B89:X89)),1,0)</f>
        <v>0</v>
      </c>
      <c r="AA89" s="1">
        <f t="shared" si="9"/>
        <v>0</v>
      </c>
    </row>
    <row r="90" spans="1:27" ht="15" outlineLevel="1" thickBot="1" x14ac:dyDescent="0.4">
      <c r="A90" s="319"/>
      <c r="B90" s="216"/>
      <c r="C90" s="216"/>
      <c r="D90" s="489" t="str">
        <f>IFERROR(INDEX(BuildingInformationTable[Site type],MATCH(BuildingsElectricityTable[[#This Row],[Site name]],BuildingInformationTable[Site name],0)),"")</f>
        <v/>
      </c>
      <c r="E90" s="490" t="str">
        <f t="shared" si="6"/>
        <v/>
      </c>
      <c r="F90" s="490" t="str">
        <f t="shared" si="7"/>
        <v/>
      </c>
      <c r="G90" s="491"/>
      <c r="H90" s="492" t="str">
        <f>IF(G90="","",INDEX(Lists!$BA$4:$BC$31,MATCH(E90,Lists!$AZ$4:$AZ$31,0),MATCH(G90,Lists!$BA$3:$BC$3,0)))</f>
        <v/>
      </c>
      <c r="I90" s="267"/>
      <c r="J90" s="490" t="str">
        <f t="shared" si="8"/>
        <v/>
      </c>
      <c r="K90" s="493" t="str" cm="1">
        <f t="array" ref="K90">IF(OR($E90="",$D90="",$I90="",$J90=""),"",IF(J90=L90,I90,(INDEX('Emission factors'!$K$3:$V$201,MATCH(E90&amp;F90,'Emission factors'!$J$3:$J$201&amp;'Emission factors'!$K$3:$K$201,0),MATCH(K$6,'Emission factors'!$K$2:$V$2,0)))*I90))</f>
        <v/>
      </c>
      <c r="L90" s="494" t="str">
        <f>IF(OR($E90="",$D90="",$I90="",$J90=""),"",INDEX('Emission factors'!$K$3:$V$201,MATCH('Buildings - Grid Electricity'!$E90,'Emission factors'!$J$3:$J$201,0),MATCH($L$6,'Emission factors'!$K$2:$V$2,0)))</f>
        <v/>
      </c>
      <c r="M90" s="495" t="str" cm="1">
        <f t="array" ref="M90">IF(OR(E90="",I90="",BuildingsElectricityTable[[#This Row],[Units]]=""),"",INDEX('Emission factors'!$K$3:$V$201,MATCH('Buildings - Grid Electricity'!$E90&amp;F90,'Emission factors'!$J$3:$J$201&amp;'Emission factors'!$K$3:$K$201,0),MATCH('Buildings - Grid Electricity'!$M$6,'Emission factors'!$K$2:$V$2,0)))</f>
        <v/>
      </c>
      <c r="N90" s="496" t="str">
        <f>IF(OR(K90="",M90=""),"",SUM(BuildingsElectricityTable[[#This Row],[Direct]:[Indirect WTT]]))</f>
        <v/>
      </c>
      <c r="O90" s="268"/>
      <c r="P90" s="497"/>
      <c r="Q90" s="157" t="str" cm="1">
        <f t="array" ref="Q90">IF(OR($E90="",$I90=""),"",(INDEX('Emission factors'!$K$3:$V$201,MATCH('Buildings - Grid Electricity'!$E90&amp;$F90,'Emission factors'!$J$3:$J$201&amp;'Emission factors'!$K$3:$K$201,0),MATCH('Buildings - Grid Electricity'!Q$6,'Emission factors'!$K$2:$V$2,0)))*$K90)</f>
        <v/>
      </c>
      <c r="R90" s="157" t="str" cm="1">
        <f t="array" ref="R90">IF(OR($E90="",$I90=""),"",(INDEX('Emission factors'!$K$3:$V$201,MATCH('Buildings - Grid Electricity'!$E90&amp;$F90,'Emission factors'!$J$3:$J$201&amp;'Emission factors'!$K$3:$K$201,0),MATCH('Buildings - Grid Electricity'!R$6,'Emission factors'!$K$2:$V$2,0)))*$K90)</f>
        <v/>
      </c>
      <c r="S90" s="157" t="str" cm="1">
        <f t="array" ref="S90">IF(OR($E90="",$I90=""),"",(INDEX('Emission factors'!$K$3:$V$201,MATCH('Buildings - Grid Electricity'!$E90&amp;$F90,'Emission factors'!$J$3:$J$201&amp;'Emission factors'!$K$3:$K$201,0),MATCH('Buildings - Grid Electricity'!S$6,'Emission factors'!$K$2:$V$2,0)))*$K90)</f>
        <v/>
      </c>
      <c r="T90" s="157" t="str" cm="1">
        <f t="array" ref="T90">IF(OR($E90="",$I90=""),"",(INDEX('Emission factors'!$K$3:$V$201,MATCH('Buildings - Grid Electricity'!$E90&amp;$F90,'Emission factors'!$J$3:$J$201&amp;'Emission factors'!$K$3:$K$201,0),MATCH('Buildings - Grid Electricity'!T$6,'Emission factors'!$K$2:$V$2,0)))*$K90)</f>
        <v/>
      </c>
      <c r="U90" s="157" t="str" cm="1">
        <f t="array" ref="U90">IF(OR($E90="",$I90=""),"",(INDEX('Emission factors'!$K$3:$V$201,MATCH('Buildings - Grid Electricity'!$E90&amp;$F90,'Emission factors'!$J$3:$J$201&amp;'Emission factors'!$K$3:$K$201,0),MATCH('Buildings - Grid Electricity'!U$6,'Emission factors'!$K$2:$V$2,0)))*$K90)</f>
        <v/>
      </c>
      <c r="V90" s="269" t="str">
        <f>IF(OR($N90="",BuildingsElectricityTable[[#This Row],[RSD]]=""),"",BuildingsElectricityTable[[#This Row],[Total emissions (kgCO2e)]]*(1+BuildingsElectricityTable[[#This Row],[RSD]]))</f>
        <v/>
      </c>
      <c r="W90" s="270" t="str">
        <f>IF(OR($N90="",BuildingsElectricityTable[[#This Row],[RSD]]=""),"",BuildingsElectricityTable[[#This Row],[Total emissions (kgCO2e)]]*(1-BuildingsElectricityTable[[#This Row],[RSD]]))</f>
        <v/>
      </c>
      <c r="X90" s="271" t="str" cm="1">
        <f t="array" ref="X90">IF(OR($E90="",$I90=""),"",(INDEX('Emission factors'!$K$3:$V$201,MATCH('Buildings - Grid Electricity'!$E90&amp;$F90,'Emission factors'!$J$3:$J$201&amp;'Emission factors'!$K$3:$K$201,0),MATCH('Buildings - Grid Electricity'!X$6,'Emission factors'!$K$2:$V$2,0)))*$K90)</f>
        <v/>
      </c>
      <c r="Y90" s="30"/>
      <c r="Z90" s="1" cm="1">
        <f t="array" ref="Z90">IF(OR(ISERROR(B90:X90)),1,0)</f>
        <v>0</v>
      </c>
      <c r="AA90" s="1">
        <f t="shared" si="9"/>
        <v>0</v>
      </c>
    </row>
    <row r="91" spans="1:27" ht="15" outlineLevel="1" thickBot="1" x14ac:dyDescent="0.4">
      <c r="A91" s="319"/>
      <c r="B91" s="216"/>
      <c r="C91" s="216"/>
      <c r="D91" s="489" t="str">
        <f>IFERROR(INDEX(BuildingInformationTable[Site type],MATCH(BuildingsElectricityTable[[#This Row],[Site name]],BuildingInformationTable[Site name],0)),"")</f>
        <v/>
      </c>
      <c r="E91" s="490" t="str">
        <f t="shared" si="6"/>
        <v/>
      </c>
      <c r="F91" s="490" t="str">
        <f t="shared" si="7"/>
        <v/>
      </c>
      <c r="G91" s="491"/>
      <c r="H91" s="492" t="str">
        <f>IF(G91="","",INDEX(Lists!$BA$4:$BC$31,MATCH(E91,Lists!$AZ$4:$AZ$31,0),MATCH(G91,Lists!$BA$3:$BC$3,0)))</f>
        <v/>
      </c>
      <c r="I91" s="267"/>
      <c r="J91" s="490" t="str">
        <f t="shared" si="8"/>
        <v/>
      </c>
      <c r="K91" s="493" t="str" cm="1">
        <f t="array" ref="K91">IF(OR($E91="",$D91="",$I91="",$J91=""),"",IF(J91=L91,I91,(INDEX('Emission factors'!$K$3:$V$201,MATCH(E91&amp;F91,'Emission factors'!$J$3:$J$201&amp;'Emission factors'!$K$3:$K$201,0),MATCH(K$6,'Emission factors'!$K$2:$V$2,0)))*I91))</f>
        <v/>
      </c>
      <c r="L91" s="494" t="str">
        <f>IF(OR($E91="",$D91="",$I91="",$J91=""),"",INDEX('Emission factors'!$K$3:$V$201,MATCH('Buildings - Grid Electricity'!$E91,'Emission factors'!$J$3:$J$201,0),MATCH($L$6,'Emission factors'!$K$2:$V$2,0)))</f>
        <v/>
      </c>
      <c r="M91" s="495" t="str" cm="1">
        <f t="array" ref="M91">IF(OR(E91="",I91="",BuildingsElectricityTable[[#This Row],[Units]]=""),"",INDEX('Emission factors'!$K$3:$V$201,MATCH('Buildings - Grid Electricity'!$E91&amp;F91,'Emission factors'!$J$3:$J$201&amp;'Emission factors'!$K$3:$K$201,0),MATCH('Buildings - Grid Electricity'!$M$6,'Emission factors'!$K$2:$V$2,0)))</f>
        <v/>
      </c>
      <c r="N91" s="496" t="str">
        <f>IF(OR(K91="",M91=""),"",SUM(BuildingsElectricityTable[[#This Row],[Direct]:[Indirect WTT]]))</f>
        <v/>
      </c>
      <c r="O91" s="268"/>
      <c r="P91" s="497"/>
      <c r="Q91" s="157" t="str" cm="1">
        <f t="array" ref="Q91">IF(OR($E91="",$I91=""),"",(INDEX('Emission factors'!$K$3:$V$201,MATCH('Buildings - Grid Electricity'!$E91&amp;$F91,'Emission factors'!$J$3:$J$201&amp;'Emission factors'!$K$3:$K$201,0),MATCH('Buildings - Grid Electricity'!Q$6,'Emission factors'!$K$2:$V$2,0)))*$K91)</f>
        <v/>
      </c>
      <c r="R91" s="157" t="str" cm="1">
        <f t="array" ref="R91">IF(OR($E91="",$I91=""),"",(INDEX('Emission factors'!$K$3:$V$201,MATCH('Buildings - Grid Electricity'!$E91&amp;$F91,'Emission factors'!$J$3:$J$201&amp;'Emission factors'!$K$3:$K$201,0),MATCH('Buildings - Grid Electricity'!R$6,'Emission factors'!$K$2:$V$2,0)))*$K91)</f>
        <v/>
      </c>
      <c r="S91" s="157" t="str" cm="1">
        <f t="array" ref="S91">IF(OR($E91="",$I91=""),"",(INDEX('Emission factors'!$K$3:$V$201,MATCH('Buildings - Grid Electricity'!$E91&amp;$F91,'Emission factors'!$J$3:$J$201&amp;'Emission factors'!$K$3:$K$201,0),MATCH('Buildings - Grid Electricity'!S$6,'Emission factors'!$K$2:$V$2,0)))*$K91)</f>
        <v/>
      </c>
      <c r="T91" s="157" t="str" cm="1">
        <f t="array" ref="T91">IF(OR($E91="",$I91=""),"",(INDEX('Emission factors'!$K$3:$V$201,MATCH('Buildings - Grid Electricity'!$E91&amp;$F91,'Emission factors'!$J$3:$J$201&amp;'Emission factors'!$K$3:$K$201,0),MATCH('Buildings - Grid Electricity'!T$6,'Emission factors'!$K$2:$V$2,0)))*$K91)</f>
        <v/>
      </c>
      <c r="U91" s="157" t="str" cm="1">
        <f t="array" ref="U91">IF(OR($E91="",$I91=""),"",(INDEX('Emission factors'!$K$3:$V$201,MATCH('Buildings - Grid Electricity'!$E91&amp;$F91,'Emission factors'!$J$3:$J$201&amp;'Emission factors'!$K$3:$K$201,0),MATCH('Buildings - Grid Electricity'!U$6,'Emission factors'!$K$2:$V$2,0)))*$K91)</f>
        <v/>
      </c>
      <c r="V91" s="269" t="str">
        <f>IF(OR($N91="",BuildingsElectricityTable[[#This Row],[RSD]]=""),"",BuildingsElectricityTable[[#This Row],[Total emissions (kgCO2e)]]*(1+BuildingsElectricityTable[[#This Row],[RSD]]))</f>
        <v/>
      </c>
      <c r="W91" s="270" t="str">
        <f>IF(OR($N91="",BuildingsElectricityTable[[#This Row],[RSD]]=""),"",BuildingsElectricityTable[[#This Row],[Total emissions (kgCO2e)]]*(1-BuildingsElectricityTable[[#This Row],[RSD]]))</f>
        <v/>
      </c>
      <c r="X91" s="271" t="str" cm="1">
        <f t="array" ref="X91">IF(OR($E91="",$I91=""),"",(INDEX('Emission factors'!$K$3:$V$201,MATCH('Buildings - Grid Electricity'!$E91&amp;$F91,'Emission factors'!$J$3:$J$201&amp;'Emission factors'!$K$3:$K$201,0),MATCH('Buildings - Grid Electricity'!X$6,'Emission factors'!$K$2:$V$2,0)))*$K91)</f>
        <v/>
      </c>
      <c r="Y91" s="30"/>
      <c r="Z91" s="1" cm="1">
        <f t="array" ref="Z91">IF(OR(ISERROR(B91:X91)),1,0)</f>
        <v>0</v>
      </c>
      <c r="AA91" s="1">
        <f t="shared" si="9"/>
        <v>0</v>
      </c>
    </row>
    <row r="92" spans="1:27" ht="15" outlineLevel="1" thickBot="1" x14ac:dyDescent="0.4">
      <c r="A92" s="319"/>
      <c r="B92" s="216"/>
      <c r="C92" s="216"/>
      <c r="D92" s="489" t="str">
        <f>IFERROR(INDEX(BuildingInformationTable[Site type],MATCH(BuildingsElectricityTable[[#This Row],[Site name]],BuildingInformationTable[Site name],0)),"")</f>
        <v/>
      </c>
      <c r="E92" s="490" t="str">
        <f t="shared" si="6"/>
        <v/>
      </c>
      <c r="F92" s="490" t="str">
        <f t="shared" si="7"/>
        <v/>
      </c>
      <c r="G92" s="491"/>
      <c r="H92" s="492" t="str">
        <f>IF(G92="","",INDEX(Lists!$BA$4:$BC$31,MATCH(E92,Lists!$AZ$4:$AZ$31,0),MATCH(G92,Lists!$BA$3:$BC$3,0)))</f>
        <v/>
      </c>
      <c r="I92" s="267"/>
      <c r="J92" s="490" t="str">
        <f t="shared" si="8"/>
        <v/>
      </c>
      <c r="K92" s="493" t="str" cm="1">
        <f t="array" ref="K92">IF(OR($E92="",$D92="",$I92="",$J92=""),"",IF(J92=L92,I92,(INDEX('Emission factors'!$K$3:$V$201,MATCH(E92&amp;F92,'Emission factors'!$J$3:$J$201&amp;'Emission factors'!$K$3:$K$201,0),MATCH(K$6,'Emission factors'!$K$2:$V$2,0)))*I92))</f>
        <v/>
      </c>
      <c r="L92" s="494" t="str">
        <f>IF(OR($E92="",$D92="",$I92="",$J92=""),"",INDEX('Emission factors'!$K$3:$V$201,MATCH('Buildings - Grid Electricity'!$E92,'Emission factors'!$J$3:$J$201,0),MATCH($L$6,'Emission factors'!$K$2:$V$2,0)))</f>
        <v/>
      </c>
      <c r="M92" s="495" t="str" cm="1">
        <f t="array" ref="M92">IF(OR(E92="",I92="",BuildingsElectricityTable[[#This Row],[Units]]=""),"",INDEX('Emission factors'!$K$3:$V$201,MATCH('Buildings - Grid Electricity'!$E92&amp;F92,'Emission factors'!$J$3:$J$201&amp;'Emission factors'!$K$3:$K$201,0),MATCH('Buildings - Grid Electricity'!$M$6,'Emission factors'!$K$2:$V$2,0)))</f>
        <v/>
      </c>
      <c r="N92" s="496" t="str">
        <f>IF(OR(K92="",M92=""),"",SUM(BuildingsElectricityTable[[#This Row],[Direct]:[Indirect WTT]]))</f>
        <v/>
      </c>
      <c r="O92" s="268"/>
      <c r="P92" s="497"/>
      <c r="Q92" s="157" t="str" cm="1">
        <f t="array" ref="Q92">IF(OR($E92="",$I92=""),"",(INDEX('Emission factors'!$K$3:$V$201,MATCH('Buildings - Grid Electricity'!$E92&amp;$F92,'Emission factors'!$J$3:$J$201&amp;'Emission factors'!$K$3:$K$201,0),MATCH('Buildings - Grid Electricity'!Q$6,'Emission factors'!$K$2:$V$2,0)))*$K92)</f>
        <v/>
      </c>
      <c r="R92" s="157" t="str" cm="1">
        <f t="array" ref="R92">IF(OR($E92="",$I92=""),"",(INDEX('Emission factors'!$K$3:$V$201,MATCH('Buildings - Grid Electricity'!$E92&amp;$F92,'Emission factors'!$J$3:$J$201&amp;'Emission factors'!$K$3:$K$201,0),MATCH('Buildings - Grid Electricity'!R$6,'Emission factors'!$K$2:$V$2,0)))*$K92)</f>
        <v/>
      </c>
      <c r="S92" s="157" t="str" cm="1">
        <f t="array" ref="S92">IF(OR($E92="",$I92=""),"",(INDEX('Emission factors'!$K$3:$V$201,MATCH('Buildings - Grid Electricity'!$E92&amp;$F92,'Emission factors'!$J$3:$J$201&amp;'Emission factors'!$K$3:$K$201,0),MATCH('Buildings - Grid Electricity'!S$6,'Emission factors'!$K$2:$V$2,0)))*$K92)</f>
        <v/>
      </c>
      <c r="T92" s="157" t="str" cm="1">
        <f t="array" ref="T92">IF(OR($E92="",$I92=""),"",(INDEX('Emission factors'!$K$3:$V$201,MATCH('Buildings - Grid Electricity'!$E92&amp;$F92,'Emission factors'!$J$3:$J$201&amp;'Emission factors'!$K$3:$K$201,0),MATCH('Buildings - Grid Electricity'!T$6,'Emission factors'!$K$2:$V$2,0)))*$K92)</f>
        <v/>
      </c>
      <c r="U92" s="157" t="str" cm="1">
        <f t="array" ref="U92">IF(OR($E92="",$I92=""),"",(INDEX('Emission factors'!$K$3:$V$201,MATCH('Buildings - Grid Electricity'!$E92&amp;$F92,'Emission factors'!$J$3:$J$201&amp;'Emission factors'!$K$3:$K$201,0),MATCH('Buildings - Grid Electricity'!U$6,'Emission factors'!$K$2:$V$2,0)))*$K92)</f>
        <v/>
      </c>
      <c r="V92" s="269" t="str">
        <f>IF(OR($N92="",BuildingsElectricityTable[[#This Row],[RSD]]=""),"",BuildingsElectricityTable[[#This Row],[Total emissions (kgCO2e)]]*(1+BuildingsElectricityTable[[#This Row],[RSD]]))</f>
        <v/>
      </c>
      <c r="W92" s="270" t="str">
        <f>IF(OR($N92="",BuildingsElectricityTable[[#This Row],[RSD]]=""),"",BuildingsElectricityTable[[#This Row],[Total emissions (kgCO2e)]]*(1-BuildingsElectricityTable[[#This Row],[RSD]]))</f>
        <v/>
      </c>
      <c r="X92" s="271" t="str" cm="1">
        <f t="array" ref="X92">IF(OR($E92="",$I92=""),"",(INDEX('Emission factors'!$K$3:$V$201,MATCH('Buildings - Grid Electricity'!$E92&amp;$F92,'Emission factors'!$J$3:$J$201&amp;'Emission factors'!$K$3:$K$201,0),MATCH('Buildings - Grid Electricity'!X$6,'Emission factors'!$K$2:$V$2,0)))*$K92)</f>
        <v/>
      </c>
      <c r="Y92" s="30"/>
      <c r="Z92" s="1" cm="1">
        <f t="array" ref="Z92">IF(OR(ISERROR(B92:X92)),1,0)</f>
        <v>0</v>
      </c>
      <c r="AA92" s="1">
        <f t="shared" si="9"/>
        <v>0</v>
      </c>
    </row>
    <row r="93" spans="1:27" ht="15" outlineLevel="1" thickBot="1" x14ac:dyDescent="0.4">
      <c r="A93" s="319"/>
      <c r="B93" s="216"/>
      <c r="C93" s="216"/>
      <c r="D93" s="489" t="str">
        <f>IFERROR(INDEX(BuildingInformationTable[Site type],MATCH(BuildingsElectricityTable[[#This Row],[Site name]],BuildingInformationTable[Site name],0)),"")</f>
        <v/>
      </c>
      <c r="E93" s="490" t="str">
        <f t="shared" si="6"/>
        <v/>
      </c>
      <c r="F93" s="490" t="str">
        <f t="shared" si="7"/>
        <v/>
      </c>
      <c r="G93" s="491"/>
      <c r="H93" s="492" t="str">
        <f>IF(G93="","",INDEX(Lists!$BA$4:$BC$31,MATCH(E93,Lists!$AZ$4:$AZ$31,0),MATCH(G93,Lists!$BA$3:$BC$3,0)))</f>
        <v/>
      </c>
      <c r="I93" s="267"/>
      <c r="J93" s="490" t="str">
        <f t="shared" si="8"/>
        <v/>
      </c>
      <c r="K93" s="493" t="str" cm="1">
        <f t="array" ref="K93">IF(OR($E93="",$D93="",$I93="",$J93=""),"",IF(J93=L93,I93,(INDEX('Emission factors'!$K$3:$V$201,MATCH(E93&amp;F93,'Emission factors'!$J$3:$J$201&amp;'Emission factors'!$K$3:$K$201,0),MATCH(K$6,'Emission factors'!$K$2:$V$2,0)))*I93))</f>
        <v/>
      </c>
      <c r="L93" s="494" t="str">
        <f>IF(OR($E93="",$D93="",$I93="",$J93=""),"",INDEX('Emission factors'!$K$3:$V$201,MATCH('Buildings - Grid Electricity'!$E93,'Emission factors'!$J$3:$J$201,0),MATCH($L$6,'Emission factors'!$K$2:$V$2,0)))</f>
        <v/>
      </c>
      <c r="M93" s="495" t="str" cm="1">
        <f t="array" ref="M93">IF(OR(E93="",I93="",BuildingsElectricityTable[[#This Row],[Units]]=""),"",INDEX('Emission factors'!$K$3:$V$201,MATCH('Buildings - Grid Electricity'!$E93&amp;F93,'Emission factors'!$J$3:$J$201&amp;'Emission factors'!$K$3:$K$201,0),MATCH('Buildings - Grid Electricity'!$M$6,'Emission factors'!$K$2:$V$2,0)))</f>
        <v/>
      </c>
      <c r="N93" s="496" t="str">
        <f>IF(OR(K93="",M93=""),"",SUM(BuildingsElectricityTable[[#This Row],[Direct]:[Indirect WTT]]))</f>
        <v/>
      </c>
      <c r="O93" s="268"/>
      <c r="P93" s="497"/>
      <c r="Q93" s="157" t="str" cm="1">
        <f t="array" ref="Q93">IF(OR($E93="",$I93=""),"",(INDEX('Emission factors'!$K$3:$V$201,MATCH('Buildings - Grid Electricity'!$E93&amp;$F93,'Emission factors'!$J$3:$J$201&amp;'Emission factors'!$K$3:$K$201,0),MATCH('Buildings - Grid Electricity'!Q$6,'Emission factors'!$K$2:$V$2,0)))*$K93)</f>
        <v/>
      </c>
      <c r="R93" s="157" t="str" cm="1">
        <f t="array" ref="R93">IF(OR($E93="",$I93=""),"",(INDEX('Emission factors'!$K$3:$V$201,MATCH('Buildings - Grid Electricity'!$E93&amp;$F93,'Emission factors'!$J$3:$J$201&amp;'Emission factors'!$K$3:$K$201,0),MATCH('Buildings - Grid Electricity'!R$6,'Emission factors'!$K$2:$V$2,0)))*$K93)</f>
        <v/>
      </c>
      <c r="S93" s="157" t="str" cm="1">
        <f t="array" ref="S93">IF(OR($E93="",$I93=""),"",(INDEX('Emission factors'!$K$3:$V$201,MATCH('Buildings - Grid Electricity'!$E93&amp;$F93,'Emission factors'!$J$3:$J$201&amp;'Emission factors'!$K$3:$K$201,0),MATCH('Buildings - Grid Electricity'!S$6,'Emission factors'!$K$2:$V$2,0)))*$K93)</f>
        <v/>
      </c>
      <c r="T93" s="157" t="str" cm="1">
        <f t="array" ref="T93">IF(OR($E93="",$I93=""),"",(INDEX('Emission factors'!$K$3:$V$201,MATCH('Buildings - Grid Electricity'!$E93&amp;$F93,'Emission factors'!$J$3:$J$201&amp;'Emission factors'!$K$3:$K$201,0),MATCH('Buildings - Grid Electricity'!T$6,'Emission factors'!$K$2:$V$2,0)))*$K93)</f>
        <v/>
      </c>
      <c r="U93" s="157" t="str" cm="1">
        <f t="array" ref="U93">IF(OR($E93="",$I93=""),"",(INDEX('Emission factors'!$K$3:$V$201,MATCH('Buildings - Grid Electricity'!$E93&amp;$F93,'Emission factors'!$J$3:$J$201&amp;'Emission factors'!$K$3:$K$201,0),MATCH('Buildings - Grid Electricity'!U$6,'Emission factors'!$K$2:$V$2,0)))*$K93)</f>
        <v/>
      </c>
      <c r="V93" s="269" t="str">
        <f>IF(OR($N93="",BuildingsElectricityTable[[#This Row],[RSD]]=""),"",BuildingsElectricityTable[[#This Row],[Total emissions (kgCO2e)]]*(1+BuildingsElectricityTable[[#This Row],[RSD]]))</f>
        <v/>
      </c>
      <c r="W93" s="270" t="str">
        <f>IF(OR($N93="",BuildingsElectricityTable[[#This Row],[RSD]]=""),"",BuildingsElectricityTable[[#This Row],[Total emissions (kgCO2e)]]*(1-BuildingsElectricityTable[[#This Row],[RSD]]))</f>
        <v/>
      </c>
      <c r="X93" s="271" t="str" cm="1">
        <f t="array" ref="X93">IF(OR($E93="",$I93=""),"",(INDEX('Emission factors'!$K$3:$V$201,MATCH('Buildings - Grid Electricity'!$E93&amp;$F93,'Emission factors'!$J$3:$J$201&amp;'Emission factors'!$K$3:$K$201,0),MATCH('Buildings - Grid Electricity'!X$6,'Emission factors'!$K$2:$V$2,0)))*$K93)</f>
        <v/>
      </c>
      <c r="Y93" s="30"/>
      <c r="Z93" s="1" cm="1">
        <f t="array" ref="Z93">IF(OR(ISERROR(B93:X93)),1,0)</f>
        <v>0</v>
      </c>
      <c r="AA93" s="1">
        <f t="shared" si="9"/>
        <v>0</v>
      </c>
    </row>
    <row r="94" spans="1:27" ht="15" outlineLevel="1" thickBot="1" x14ac:dyDescent="0.4">
      <c r="A94" s="319"/>
      <c r="B94" s="216"/>
      <c r="C94" s="216"/>
      <c r="D94" s="489" t="str">
        <f>IFERROR(INDEX(BuildingInformationTable[Site type],MATCH(BuildingsElectricityTable[[#This Row],[Site name]],BuildingInformationTable[Site name],0)),"")</f>
        <v/>
      </c>
      <c r="E94" s="490" t="str">
        <f t="shared" si="6"/>
        <v/>
      </c>
      <c r="F94" s="490" t="str">
        <f t="shared" si="7"/>
        <v/>
      </c>
      <c r="G94" s="491"/>
      <c r="H94" s="492" t="str">
        <f>IF(G94="","",INDEX(Lists!$BA$4:$BC$31,MATCH(E94,Lists!$AZ$4:$AZ$31,0),MATCH(G94,Lists!$BA$3:$BC$3,0)))</f>
        <v/>
      </c>
      <c r="I94" s="267"/>
      <c r="J94" s="490" t="str">
        <f t="shared" si="8"/>
        <v/>
      </c>
      <c r="K94" s="493" t="str" cm="1">
        <f t="array" ref="K94">IF(OR($E94="",$D94="",$I94="",$J94=""),"",IF(J94=L94,I94,(INDEX('Emission factors'!$K$3:$V$201,MATCH(E94&amp;F94,'Emission factors'!$J$3:$J$201&amp;'Emission factors'!$K$3:$K$201,0),MATCH(K$6,'Emission factors'!$K$2:$V$2,0)))*I94))</f>
        <v/>
      </c>
      <c r="L94" s="494" t="str">
        <f>IF(OR($E94="",$D94="",$I94="",$J94=""),"",INDEX('Emission factors'!$K$3:$V$201,MATCH('Buildings - Grid Electricity'!$E94,'Emission factors'!$J$3:$J$201,0),MATCH($L$6,'Emission factors'!$K$2:$V$2,0)))</f>
        <v/>
      </c>
      <c r="M94" s="495" t="str" cm="1">
        <f t="array" ref="M94">IF(OR(E94="",I94="",BuildingsElectricityTable[[#This Row],[Units]]=""),"",INDEX('Emission factors'!$K$3:$V$201,MATCH('Buildings - Grid Electricity'!$E94&amp;F94,'Emission factors'!$J$3:$J$201&amp;'Emission factors'!$K$3:$K$201,0),MATCH('Buildings - Grid Electricity'!$M$6,'Emission factors'!$K$2:$V$2,0)))</f>
        <v/>
      </c>
      <c r="N94" s="496" t="str">
        <f>IF(OR(K94="",M94=""),"",SUM(BuildingsElectricityTable[[#This Row],[Direct]:[Indirect WTT]]))</f>
        <v/>
      </c>
      <c r="O94" s="268"/>
      <c r="P94" s="497"/>
      <c r="Q94" s="157" t="str" cm="1">
        <f t="array" ref="Q94">IF(OR($E94="",$I94=""),"",(INDEX('Emission factors'!$K$3:$V$201,MATCH('Buildings - Grid Electricity'!$E94&amp;$F94,'Emission factors'!$J$3:$J$201&amp;'Emission factors'!$K$3:$K$201,0),MATCH('Buildings - Grid Electricity'!Q$6,'Emission factors'!$K$2:$V$2,0)))*$K94)</f>
        <v/>
      </c>
      <c r="R94" s="157" t="str" cm="1">
        <f t="array" ref="R94">IF(OR($E94="",$I94=""),"",(INDEX('Emission factors'!$K$3:$V$201,MATCH('Buildings - Grid Electricity'!$E94&amp;$F94,'Emission factors'!$J$3:$J$201&amp;'Emission factors'!$K$3:$K$201,0),MATCH('Buildings - Grid Electricity'!R$6,'Emission factors'!$K$2:$V$2,0)))*$K94)</f>
        <v/>
      </c>
      <c r="S94" s="157" t="str" cm="1">
        <f t="array" ref="S94">IF(OR($E94="",$I94=""),"",(INDEX('Emission factors'!$K$3:$V$201,MATCH('Buildings - Grid Electricity'!$E94&amp;$F94,'Emission factors'!$J$3:$J$201&amp;'Emission factors'!$K$3:$K$201,0),MATCH('Buildings - Grid Electricity'!S$6,'Emission factors'!$K$2:$V$2,0)))*$K94)</f>
        <v/>
      </c>
      <c r="T94" s="157" t="str" cm="1">
        <f t="array" ref="T94">IF(OR($E94="",$I94=""),"",(INDEX('Emission factors'!$K$3:$V$201,MATCH('Buildings - Grid Electricity'!$E94&amp;$F94,'Emission factors'!$J$3:$J$201&amp;'Emission factors'!$K$3:$K$201,0),MATCH('Buildings - Grid Electricity'!T$6,'Emission factors'!$K$2:$V$2,0)))*$K94)</f>
        <v/>
      </c>
      <c r="U94" s="157" t="str" cm="1">
        <f t="array" ref="U94">IF(OR($E94="",$I94=""),"",(INDEX('Emission factors'!$K$3:$V$201,MATCH('Buildings - Grid Electricity'!$E94&amp;$F94,'Emission factors'!$J$3:$J$201&amp;'Emission factors'!$K$3:$K$201,0),MATCH('Buildings - Grid Electricity'!U$6,'Emission factors'!$K$2:$V$2,0)))*$K94)</f>
        <v/>
      </c>
      <c r="V94" s="269" t="str">
        <f>IF(OR($N94="",BuildingsElectricityTable[[#This Row],[RSD]]=""),"",BuildingsElectricityTable[[#This Row],[Total emissions (kgCO2e)]]*(1+BuildingsElectricityTable[[#This Row],[RSD]]))</f>
        <v/>
      </c>
      <c r="W94" s="270" t="str">
        <f>IF(OR($N94="",BuildingsElectricityTable[[#This Row],[RSD]]=""),"",BuildingsElectricityTable[[#This Row],[Total emissions (kgCO2e)]]*(1-BuildingsElectricityTable[[#This Row],[RSD]]))</f>
        <v/>
      </c>
      <c r="X94" s="271" t="str" cm="1">
        <f t="array" ref="X94">IF(OR($E94="",$I94=""),"",(INDEX('Emission factors'!$K$3:$V$201,MATCH('Buildings - Grid Electricity'!$E94&amp;$F94,'Emission factors'!$J$3:$J$201&amp;'Emission factors'!$K$3:$K$201,0),MATCH('Buildings - Grid Electricity'!X$6,'Emission factors'!$K$2:$V$2,0)))*$K94)</f>
        <v/>
      </c>
      <c r="Y94" s="30"/>
      <c r="Z94" s="1" cm="1">
        <f t="array" ref="Z94">IF(OR(ISERROR(B94:X94)),1,0)</f>
        <v>0</v>
      </c>
      <c r="AA94" s="1">
        <f t="shared" si="9"/>
        <v>0</v>
      </c>
    </row>
    <row r="95" spans="1:27" ht="15" outlineLevel="1" thickBot="1" x14ac:dyDescent="0.4">
      <c r="A95" s="319"/>
      <c r="B95" s="216"/>
      <c r="C95" s="216"/>
      <c r="D95" s="489" t="str">
        <f>IFERROR(INDEX(BuildingInformationTable[Site type],MATCH(BuildingsElectricityTable[[#This Row],[Site name]],BuildingInformationTable[Site name],0)),"")</f>
        <v/>
      </c>
      <c r="E95" s="490" t="str">
        <f t="shared" si="6"/>
        <v/>
      </c>
      <c r="F95" s="490" t="str">
        <f t="shared" si="7"/>
        <v/>
      </c>
      <c r="G95" s="491"/>
      <c r="H95" s="492" t="str">
        <f>IF(G95="","",INDEX(Lists!$BA$4:$BC$31,MATCH(E95,Lists!$AZ$4:$AZ$31,0),MATCH(G95,Lists!$BA$3:$BC$3,0)))</f>
        <v/>
      </c>
      <c r="I95" s="267"/>
      <c r="J95" s="490" t="str">
        <f t="shared" si="8"/>
        <v/>
      </c>
      <c r="K95" s="493" t="str" cm="1">
        <f t="array" ref="K95">IF(OR($E95="",$D95="",$I95="",$J95=""),"",IF(J95=L95,I95,(INDEX('Emission factors'!$K$3:$V$201,MATCH(E95&amp;F95,'Emission factors'!$J$3:$J$201&amp;'Emission factors'!$K$3:$K$201,0),MATCH(K$6,'Emission factors'!$K$2:$V$2,0)))*I95))</f>
        <v/>
      </c>
      <c r="L95" s="494" t="str">
        <f>IF(OR($E95="",$D95="",$I95="",$J95=""),"",INDEX('Emission factors'!$K$3:$V$201,MATCH('Buildings - Grid Electricity'!$E95,'Emission factors'!$J$3:$J$201,0),MATCH($L$6,'Emission factors'!$K$2:$V$2,0)))</f>
        <v/>
      </c>
      <c r="M95" s="495" t="str" cm="1">
        <f t="array" ref="M95">IF(OR(E95="",I95="",BuildingsElectricityTable[[#This Row],[Units]]=""),"",INDEX('Emission factors'!$K$3:$V$201,MATCH('Buildings - Grid Electricity'!$E95&amp;F95,'Emission factors'!$J$3:$J$201&amp;'Emission factors'!$K$3:$K$201,0),MATCH('Buildings - Grid Electricity'!$M$6,'Emission factors'!$K$2:$V$2,0)))</f>
        <v/>
      </c>
      <c r="N95" s="496" t="str">
        <f>IF(OR(K95="",M95=""),"",SUM(BuildingsElectricityTable[[#This Row],[Direct]:[Indirect WTT]]))</f>
        <v/>
      </c>
      <c r="O95" s="268"/>
      <c r="P95" s="497"/>
      <c r="Q95" s="157" t="str" cm="1">
        <f t="array" ref="Q95">IF(OR($E95="",$I95=""),"",(INDEX('Emission factors'!$K$3:$V$201,MATCH('Buildings - Grid Electricity'!$E95&amp;$F95,'Emission factors'!$J$3:$J$201&amp;'Emission factors'!$K$3:$K$201,0),MATCH('Buildings - Grid Electricity'!Q$6,'Emission factors'!$K$2:$V$2,0)))*$K95)</f>
        <v/>
      </c>
      <c r="R95" s="157" t="str" cm="1">
        <f t="array" ref="R95">IF(OR($E95="",$I95=""),"",(INDEX('Emission factors'!$K$3:$V$201,MATCH('Buildings - Grid Electricity'!$E95&amp;$F95,'Emission factors'!$J$3:$J$201&amp;'Emission factors'!$K$3:$K$201,0),MATCH('Buildings - Grid Electricity'!R$6,'Emission factors'!$K$2:$V$2,0)))*$K95)</f>
        <v/>
      </c>
      <c r="S95" s="157" t="str" cm="1">
        <f t="array" ref="S95">IF(OR($E95="",$I95=""),"",(INDEX('Emission factors'!$K$3:$V$201,MATCH('Buildings - Grid Electricity'!$E95&amp;$F95,'Emission factors'!$J$3:$J$201&amp;'Emission factors'!$K$3:$K$201,0),MATCH('Buildings - Grid Electricity'!S$6,'Emission factors'!$K$2:$V$2,0)))*$K95)</f>
        <v/>
      </c>
      <c r="T95" s="157" t="str" cm="1">
        <f t="array" ref="T95">IF(OR($E95="",$I95=""),"",(INDEX('Emission factors'!$K$3:$V$201,MATCH('Buildings - Grid Electricity'!$E95&amp;$F95,'Emission factors'!$J$3:$J$201&amp;'Emission factors'!$K$3:$K$201,0),MATCH('Buildings - Grid Electricity'!T$6,'Emission factors'!$K$2:$V$2,0)))*$K95)</f>
        <v/>
      </c>
      <c r="U95" s="157" t="str" cm="1">
        <f t="array" ref="U95">IF(OR($E95="",$I95=""),"",(INDEX('Emission factors'!$K$3:$V$201,MATCH('Buildings - Grid Electricity'!$E95&amp;$F95,'Emission factors'!$J$3:$J$201&amp;'Emission factors'!$K$3:$K$201,0),MATCH('Buildings - Grid Electricity'!U$6,'Emission factors'!$K$2:$V$2,0)))*$K95)</f>
        <v/>
      </c>
      <c r="V95" s="269" t="str">
        <f>IF(OR($N95="",BuildingsElectricityTable[[#This Row],[RSD]]=""),"",BuildingsElectricityTable[[#This Row],[Total emissions (kgCO2e)]]*(1+BuildingsElectricityTable[[#This Row],[RSD]]))</f>
        <v/>
      </c>
      <c r="W95" s="270" t="str">
        <f>IF(OR($N95="",BuildingsElectricityTable[[#This Row],[RSD]]=""),"",BuildingsElectricityTable[[#This Row],[Total emissions (kgCO2e)]]*(1-BuildingsElectricityTable[[#This Row],[RSD]]))</f>
        <v/>
      </c>
      <c r="X95" s="271" t="str" cm="1">
        <f t="array" ref="X95">IF(OR($E95="",$I95=""),"",(INDEX('Emission factors'!$K$3:$V$201,MATCH('Buildings - Grid Electricity'!$E95&amp;$F95,'Emission factors'!$J$3:$J$201&amp;'Emission factors'!$K$3:$K$201,0),MATCH('Buildings - Grid Electricity'!X$6,'Emission factors'!$K$2:$V$2,0)))*$K95)</f>
        <v/>
      </c>
      <c r="Y95" s="30"/>
      <c r="Z95" s="1" cm="1">
        <f t="array" ref="Z95">IF(OR(ISERROR(B95:X95)),1,0)</f>
        <v>0</v>
      </c>
      <c r="AA95" s="1">
        <f t="shared" si="9"/>
        <v>0</v>
      </c>
    </row>
    <row r="96" spans="1:27" ht="15" outlineLevel="1" thickBot="1" x14ac:dyDescent="0.4">
      <c r="A96" s="319"/>
      <c r="B96" s="216"/>
      <c r="C96" s="216"/>
      <c r="D96" s="489" t="str">
        <f>IFERROR(INDEX(BuildingInformationTable[Site type],MATCH(BuildingsElectricityTable[[#This Row],[Site name]],BuildingInformationTable[Site name],0)),"")</f>
        <v/>
      </c>
      <c r="E96" s="490" t="str">
        <f t="shared" si="6"/>
        <v/>
      </c>
      <c r="F96" s="490" t="str">
        <f t="shared" si="7"/>
        <v/>
      </c>
      <c r="G96" s="491"/>
      <c r="H96" s="492" t="str">
        <f>IF(G96="","",INDEX(Lists!$BA$4:$BC$31,MATCH(E96,Lists!$AZ$4:$AZ$31,0),MATCH(G96,Lists!$BA$3:$BC$3,0)))</f>
        <v/>
      </c>
      <c r="I96" s="267"/>
      <c r="J96" s="490" t="str">
        <f t="shared" si="8"/>
        <v/>
      </c>
      <c r="K96" s="493" t="str" cm="1">
        <f t="array" ref="K96">IF(OR($E96="",$D96="",$I96="",$J96=""),"",IF(J96=L96,I96,(INDEX('Emission factors'!$K$3:$V$201,MATCH(E96&amp;F96,'Emission factors'!$J$3:$J$201&amp;'Emission factors'!$K$3:$K$201,0),MATCH(K$6,'Emission factors'!$K$2:$V$2,0)))*I96))</f>
        <v/>
      </c>
      <c r="L96" s="494" t="str">
        <f>IF(OR($E96="",$D96="",$I96="",$J96=""),"",INDEX('Emission factors'!$K$3:$V$201,MATCH('Buildings - Grid Electricity'!$E96,'Emission factors'!$J$3:$J$201,0),MATCH($L$6,'Emission factors'!$K$2:$V$2,0)))</f>
        <v/>
      </c>
      <c r="M96" s="495" t="str" cm="1">
        <f t="array" ref="M96">IF(OR(E96="",I96="",BuildingsElectricityTable[[#This Row],[Units]]=""),"",INDEX('Emission factors'!$K$3:$V$201,MATCH('Buildings - Grid Electricity'!$E96&amp;F96,'Emission factors'!$J$3:$J$201&amp;'Emission factors'!$K$3:$K$201,0),MATCH('Buildings - Grid Electricity'!$M$6,'Emission factors'!$K$2:$V$2,0)))</f>
        <v/>
      </c>
      <c r="N96" s="496" t="str">
        <f>IF(OR(K96="",M96=""),"",SUM(BuildingsElectricityTable[[#This Row],[Direct]:[Indirect WTT]]))</f>
        <v/>
      </c>
      <c r="O96" s="268"/>
      <c r="P96" s="497"/>
      <c r="Q96" s="157" t="str" cm="1">
        <f t="array" ref="Q96">IF(OR($E96="",$I96=""),"",(INDEX('Emission factors'!$K$3:$V$201,MATCH('Buildings - Grid Electricity'!$E96&amp;$F96,'Emission factors'!$J$3:$J$201&amp;'Emission factors'!$K$3:$K$201,0),MATCH('Buildings - Grid Electricity'!Q$6,'Emission factors'!$K$2:$V$2,0)))*$K96)</f>
        <v/>
      </c>
      <c r="R96" s="157" t="str" cm="1">
        <f t="array" ref="R96">IF(OR($E96="",$I96=""),"",(INDEX('Emission factors'!$K$3:$V$201,MATCH('Buildings - Grid Electricity'!$E96&amp;$F96,'Emission factors'!$J$3:$J$201&amp;'Emission factors'!$K$3:$K$201,0),MATCH('Buildings - Grid Electricity'!R$6,'Emission factors'!$K$2:$V$2,0)))*$K96)</f>
        <v/>
      </c>
      <c r="S96" s="157" t="str" cm="1">
        <f t="array" ref="S96">IF(OR($E96="",$I96=""),"",(INDEX('Emission factors'!$K$3:$V$201,MATCH('Buildings - Grid Electricity'!$E96&amp;$F96,'Emission factors'!$J$3:$J$201&amp;'Emission factors'!$K$3:$K$201,0),MATCH('Buildings - Grid Electricity'!S$6,'Emission factors'!$K$2:$V$2,0)))*$K96)</f>
        <v/>
      </c>
      <c r="T96" s="157" t="str" cm="1">
        <f t="array" ref="T96">IF(OR($E96="",$I96=""),"",(INDEX('Emission factors'!$K$3:$V$201,MATCH('Buildings - Grid Electricity'!$E96&amp;$F96,'Emission factors'!$J$3:$J$201&amp;'Emission factors'!$K$3:$K$201,0),MATCH('Buildings - Grid Electricity'!T$6,'Emission factors'!$K$2:$V$2,0)))*$K96)</f>
        <v/>
      </c>
      <c r="U96" s="157" t="str" cm="1">
        <f t="array" ref="U96">IF(OR($E96="",$I96=""),"",(INDEX('Emission factors'!$K$3:$V$201,MATCH('Buildings - Grid Electricity'!$E96&amp;$F96,'Emission factors'!$J$3:$J$201&amp;'Emission factors'!$K$3:$K$201,0),MATCH('Buildings - Grid Electricity'!U$6,'Emission factors'!$K$2:$V$2,0)))*$K96)</f>
        <v/>
      </c>
      <c r="V96" s="269" t="str">
        <f>IF(OR($N96="",BuildingsElectricityTable[[#This Row],[RSD]]=""),"",BuildingsElectricityTable[[#This Row],[Total emissions (kgCO2e)]]*(1+BuildingsElectricityTable[[#This Row],[RSD]]))</f>
        <v/>
      </c>
      <c r="W96" s="270" t="str">
        <f>IF(OR($N96="",BuildingsElectricityTable[[#This Row],[RSD]]=""),"",BuildingsElectricityTable[[#This Row],[Total emissions (kgCO2e)]]*(1-BuildingsElectricityTable[[#This Row],[RSD]]))</f>
        <v/>
      </c>
      <c r="X96" s="271" t="str" cm="1">
        <f t="array" ref="X96">IF(OR($E96="",$I96=""),"",(INDEX('Emission factors'!$K$3:$V$201,MATCH('Buildings - Grid Electricity'!$E96&amp;$F96,'Emission factors'!$J$3:$J$201&amp;'Emission factors'!$K$3:$K$201,0),MATCH('Buildings - Grid Electricity'!X$6,'Emission factors'!$K$2:$V$2,0)))*$K96)</f>
        <v/>
      </c>
      <c r="Y96" s="30"/>
      <c r="Z96" s="1" cm="1">
        <f t="array" ref="Z96">IF(OR(ISERROR(B96:X96)),1,0)</f>
        <v>0</v>
      </c>
      <c r="AA96" s="1">
        <f t="shared" si="9"/>
        <v>0</v>
      </c>
    </row>
    <row r="97" spans="1:27" ht="15" outlineLevel="1" thickBot="1" x14ac:dyDescent="0.4">
      <c r="A97" s="319"/>
      <c r="B97" s="216"/>
      <c r="C97" s="216"/>
      <c r="D97" s="489" t="str">
        <f>IFERROR(INDEX(BuildingInformationTable[Site type],MATCH(BuildingsElectricityTable[[#This Row],[Site name]],BuildingInformationTable[Site name],0)),"")</f>
        <v/>
      </c>
      <c r="E97" s="490" t="str">
        <f t="shared" si="6"/>
        <v/>
      </c>
      <c r="F97" s="490" t="str">
        <f t="shared" si="7"/>
        <v/>
      </c>
      <c r="G97" s="491"/>
      <c r="H97" s="492" t="str">
        <f>IF(G97="","",INDEX(Lists!$BA$4:$BC$31,MATCH(E97,Lists!$AZ$4:$AZ$31,0),MATCH(G97,Lists!$BA$3:$BC$3,0)))</f>
        <v/>
      </c>
      <c r="I97" s="267"/>
      <c r="J97" s="490" t="str">
        <f t="shared" si="8"/>
        <v/>
      </c>
      <c r="K97" s="493" t="str" cm="1">
        <f t="array" ref="K97">IF(OR($E97="",$D97="",$I97="",$J97=""),"",IF(J97=L97,I97,(INDEX('Emission factors'!$K$3:$V$201,MATCH(E97&amp;F97,'Emission factors'!$J$3:$J$201&amp;'Emission factors'!$K$3:$K$201,0),MATCH(K$6,'Emission factors'!$K$2:$V$2,0)))*I97))</f>
        <v/>
      </c>
      <c r="L97" s="494" t="str">
        <f>IF(OR($E97="",$D97="",$I97="",$J97=""),"",INDEX('Emission factors'!$K$3:$V$201,MATCH('Buildings - Grid Electricity'!$E97,'Emission factors'!$J$3:$J$201,0),MATCH($L$6,'Emission factors'!$K$2:$V$2,0)))</f>
        <v/>
      </c>
      <c r="M97" s="495" t="str" cm="1">
        <f t="array" ref="M97">IF(OR(E97="",I97="",BuildingsElectricityTable[[#This Row],[Units]]=""),"",INDEX('Emission factors'!$K$3:$V$201,MATCH('Buildings - Grid Electricity'!$E97&amp;F97,'Emission factors'!$J$3:$J$201&amp;'Emission factors'!$K$3:$K$201,0),MATCH('Buildings - Grid Electricity'!$M$6,'Emission factors'!$K$2:$V$2,0)))</f>
        <v/>
      </c>
      <c r="N97" s="496" t="str">
        <f>IF(OR(K97="",M97=""),"",SUM(BuildingsElectricityTable[[#This Row],[Direct]:[Indirect WTT]]))</f>
        <v/>
      </c>
      <c r="O97" s="268"/>
      <c r="P97" s="497"/>
      <c r="Q97" s="157" t="str" cm="1">
        <f t="array" ref="Q97">IF(OR($E97="",$I97=""),"",(INDEX('Emission factors'!$K$3:$V$201,MATCH('Buildings - Grid Electricity'!$E97&amp;$F97,'Emission factors'!$J$3:$J$201&amp;'Emission factors'!$K$3:$K$201,0),MATCH('Buildings - Grid Electricity'!Q$6,'Emission factors'!$K$2:$V$2,0)))*$K97)</f>
        <v/>
      </c>
      <c r="R97" s="157" t="str" cm="1">
        <f t="array" ref="R97">IF(OR($E97="",$I97=""),"",(INDEX('Emission factors'!$K$3:$V$201,MATCH('Buildings - Grid Electricity'!$E97&amp;$F97,'Emission factors'!$J$3:$J$201&amp;'Emission factors'!$K$3:$K$201,0),MATCH('Buildings - Grid Electricity'!R$6,'Emission factors'!$K$2:$V$2,0)))*$K97)</f>
        <v/>
      </c>
      <c r="S97" s="157" t="str" cm="1">
        <f t="array" ref="S97">IF(OR($E97="",$I97=""),"",(INDEX('Emission factors'!$K$3:$V$201,MATCH('Buildings - Grid Electricity'!$E97&amp;$F97,'Emission factors'!$J$3:$J$201&amp;'Emission factors'!$K$3:$K$201,0),MATCH('Buildings - Grid Electricity'!S$6,'Emission factors'!$K$2:$V$2,0)))*$K97)</f>
        <v/>
      </c>
      <c r="T97" s="157" t="str" cm="1">
        <f t="array" ref="T97">IF(OR($E97="",$I97=""),"",(INDEX('Emission factors'!$K$3:$V$201,MATCH('Buildings - Grid Electricity'!$E97&amp;$F97,'Emission factors'!$J$3:$J$201&amp;'Emission factors'!$K$3:$K$201,0),MATCH('Buildings - Grid Electricity'!T$6,'Emission factors'!$K$2:$V$2,0)))*$K97)</f>
        <v/>
      </c>
      <c r="U97" s="157" t="str" cm="1">
        <f t="array" ref="U97">IF(OR($E97="",$I97=""),"",(INDEX('Emission factors'!$K$3:$V$201,MATCH('Buildings - Grid Electricity'!$E97&amp;$F97,'Emission factors'!$J$3:$J$201&amp;'Emission factors'!$K$3:$K$201,0),MATCH('Buildings - Grid Electricity'!U$6,'Emission factors'!$K$2:$V$2,0)))*$K97)</f>
        <v/>
      </c>
      <c r="V97" s="269" t="str">
        <f>IF(OR($N97="",BuildingsElectricityTable[[#This Row],[RSD]]=""),"",BuildingsElectricityTable[[#This Row],[Total emissions (kgCO2e)]]*(1+BuildingsElectricityTable[[#This Row],[RSD]]))</f>
        <v/>
      </c>
      <c r="W97" s="270" t="str">
        <f>IF(OR($N97="",BuildingsElectricityTable[[#This Row],[RSD]]=""),"",BuildingsElectricityTable[[#This Row],[Total emissions (kgCO2e)]]*(1-BuildingsElectricityTable[[#This Row],[RSD]]))</f>
        <v/>
      </c>
      <c r="X97" s="271" t="str" cm="1">
        <f t="array" ref="X97">IF(OR($E97="",$I97=""),"",(INDEX('Emission factors'!$K$3:$V$201,MATCH('Buildings - Grid Electricity'!$E97&amp;$F97,'Emission factors'!$J$3:$J$201&amp;'Emission factors'!$K$3:$K$201,0),MATCH('Buildings - Grid Electricity'!X$6,'Emission factors'!$K$2:$V$2,0)))*$K97)</f>
        <v/>
      </c>
      <c r="Y97" s="30"/>
      <c r="Z97" s="1" cm="1">
        <f t="array" ref="Z97">IF(OR(ISERROR(B97:X97)),1,0)</f>
        <v>0</v>
      </c>
      <c r="AA97" s="1">
        <f t="shared" si="9"/>
        <v>0</v>
      </c>
    </row>
    <row r="98" spans="1:27" ht="15" outlineLevel="1" thickBot="1" x14ac:dyDescent="0.4">
      <c r="A98" s="319"/>
      <c r="B98" s="216"/>
      <c r="C98" s="216"/>
      <c r="D98" s="489" t="str">
        <f>IFERROR(INDEX(BuildingInformationTable[Site type],MATCH(BuildingsElectricityTable[[#This Row],[Site name]],BuildingInformationTable[Site name],0)),"")</f>
        <v/>
      </c>
      <c r="E98" s="490" t="str">
        <f t="shared" si="6"/>
        <v/>
      </c>
      <c r="F98" s="490" t="str">
        <f t="shared" si="7"/>
        <v/>
      </c>
      <c r="G98" s="491"/>
      <c r="H98" s="492" t="str">
        <f>IF(G98="","",INDEX(Lists!$BA$4:$BC$31,MATCH(E98,Lists!$AZ$4:$AZ$31,0),MATCH(G98,Lists!$BA$3:$BC$3,0)))</f>
        <v/>
      </c>
      <c r="I98" s="267"/>
      <c r="J98" s="490" t="str">
        <f t="shared" si="8"/>
        <v/>
      </c>
      <c r="K98" s="493" t="str" cm="1">
        <f t="array" ref="K98">IF(OR($E98="",$D98="",$I98="",$J98=""),"",IF(J98=L98,I98,(INDEX('Emission factors'!$K$3:$V$201,MATCH(E98&amp;F98,'Emission factors'!$J$3:$J$201&amp;'Emission factors'!$K$3:$K$201,0),MATCH(K$6,'Emission factors'!$K$2:$V$2,0)))*I98))</f>
        <v/>
      </c>
      <c r="L98" s="494" t="str">
        <f>IF(OR($E98="",$D98="",$I98="",$J98=""),"",INDEX('Emission factors'!$K$3:$V$201,MATCH('Buildings - Grid Electricity'!$E98,'Emission factors'!$J$3:$J$201,0),MATCH($L$6,'Emission factors'!$K$2:$V$2,0)))</f>
        <v/>
      </c>
      <c r="M98" s="495" t="str" cm="1">
        <f t="array" ref="M98">IF(OR(E98="",I98="",BuildingsElectricityTable[[#This Row],[Units]]=""),"",INDEX('Emission factors'!$K$3:$V$201,MATCH('Buildings - Grid Electricity'!$E98&amp;F98,'Emission factors'!$J$3:$J$201&amp;'Emission factors'!$K$3:$K$201,0),MATCH('Buildings - Grid Electricity'!$M$6,'Emission factors'!$K$2:$V$2,0)))</f>
        <v/>
      </c>
      <c r="N98" s="496" t="str">
        <f>IF(OR(K98="",M98=""),"",SUM(BuildingsElectricityTable[[#This Row],[Direct]:[Indirect WTT]]))</f>
        <v/>
      </c>
      <c r="O98" s="268"/>
      <c r="P98" s="497"/>
      <c r="Q98" s="157" t="str" cm="1">
        <f t="array" ref="Q98">IF(OR($E98="",$I98=""),"",(INDEX('Emission factors'!$K$3:$V$201,MATCH('Buildings - Grid Electricity'!$E98&amp;$F98,'Emission factors'!$J$3:$J$201&amp;'Emission factors'!$K$3:$K$201,0),MATCH('Buildings - Grid Electricity'!Q$6,'Emission factors'!$K$2:$V$2,0)))*$K98)</f>
        <v/>
      </c>
      <c r="R98" s="157" t="str" cm="1">
        <f t="array" ref="R98">IF(OR($E98="",$I98=""),"",(INDEX('Emission factors'!$K$3:$V$201,MATCH('Buildings - Grid Electricity'!$E98&amp;$F98,'Emission factors'!$J$3:$J$201&amp;'Emission factors'!$K$3:$K$201,0),MATCH('Buildings - Grid Electricity'!R$6,'Emission factors'!$K$2:$V$2,0)))*$K98)</f>
        <v/>
      </c>
      <c r="S98" s="157" t="str" cm="1">
        <f t="array" ref="S98">IF(OR($E98="",$I98=""),"",(INDEX('Emission factors'!$K$3:$V$201,MATCH('Buildings - Grid Electricity'!$E98&amp;$F98,'Emission factors'!$J$3:$J$201&amp;'Emission factors'!$K$3:$K$201,0),MATCH('Buildings - Grid Electricity'!S$6,'Emission factors'!$K$2:$V$2,0)))*$K98)</f>
        <v/>
      </c>
      <c r="T98" s="157" t="str" cm="1">
        <f t="array" ref="T98">IF(OR($E98="",$I98=""),"",(INDEX('Emission factors'!$K$3:$V$201,MATCH('Buildings - Grid Electricity'!$E98&amp;$F98,'Emission factors'!$J$3:$J$201&amp;'Emission factors'!$K$3:$K$201,0),MATCH('Buildings - Grid Electricity'!T$6,'Emission factors'!$K$2:$V$2,0)))*$K98)</f>
        <v/>
      </c>
      <c r="U98" s="157" t="str" cm="1">
        <f t="array" ref="U98">IF(OR($E98="",$I98=""),"",(INDEX('Emission factors'!$K$3:$V$201,MATCH('Buildings - Grid Electricity'!$E98&amp;$F98,'Emission factors'!$J$3:$J$201&amp;'Emission factors'!$K$3:$K$201,0),MATCH('Buildings - Grid Electricity'!U$6,'Emission factors'!$K$2:$V$2,0)))*$K98)</f>
        <v/>
      </c>
      <c r="V98" s="269" t="str">
        <f>IF(OR($N98="",BuildingsElectricityTable[[#This Row],[RSD]]=""),"",BuildingsElectricityTable[[#This Row],[Total emissions (kgCO2e)]]*(1+BuildingsElectricityTable[[#This Row],[RSD]]))</f>
        <v/>
      </c>
      <c r="W98" s="270" t="str">
        <f>IF(OR($N98="",BuildingsElectricityTable[[#This Row],[RSD]]=""),"",BuildingsElectricityTable[[#This Row],[Total emissions (kgCO2e)]]*(1-BuildingsElectricityTable[[#This Row],[RSD]]))</f>
        <v/>
      </c>
      <c r="X98" s="271" t="str" cm="1">
        <f t="array" ref="X98">IF(OR($E98="",$I98=""),"",(INDEX('Emission factors'!$K$3:$V$201,MATCH('Buildings - Grid Electricity'!$E98&amp;$F98,'Emission factors'!$J$3:$J$201&amp;'Emission factors'!$K$3:$K$201,0),MATCH('Buildings - Grid Electricity'!X$6,'Emission factors'!$K$2:$V$2,0)))*$K98)</f>
        <v/>
      </c>
      <c r="Y98" s="30"/>
      <c r="Z98" s="1" cm="1">
        <f t="array" ref="Z98">IF(OR(ISERROR(B98:X98)),1,0)</f>
        <v>0</v>
      </c>
      <c r="AA98" s="1">
        <f t="shared" si="9"/>
        <v>0</v>
      </c>
    </row>
    <row r="99" spans="1:27" ht="15" outlineLevel="1" thickBot="1" x14ac:dyDescent="0.4">
      <c r="A99" s="319"/>
      <c r="B99" s="216"/>
      <c r="C99" s="216"/>
      <c r="D99" s="489" t="str">
        <f>IFERROR(INDEX(BuildingInformationTable[Site type],MATCH(BuildingsElectricityTable[[#This Row],[Site name]],BuildingInformationTable[Site name],0)),"")</f>
        <v/>
      </c>
      <c r="E99" s="490" t="str">
        <f t="shared" si="6"/>
        <v/>
      </c>
      <c r="F99" s="490" t="str">
        <f t="shared" si="7"/>
        <v/>
      </c>
      <c r="G99" s="491"/>
      <c r="H99" s="492" t="str">
        <f>IF(G99="","",INDEX(Lists!$BA$4:$BC$31,MATCH(E99,Lists!$AZ$4:$AZ$31,0),MATCH(G99,Lists!$BA$3:$BC$3,0)))</f>
        <v/>
      </c>
      <c r="I99" s="267"/>
      <c r="J99" s="490" t="str">
        <f t="shared" si="8"/>
        <v/>
      </c>
      <c r="K99" s="493" t="str" cm="1">
        <f t="array" ref="K99">IF(OR($E99="",$D99="",$I99="",$J99=""),"",IF(J99=L99,I99,(INDEX('Emission factors'!$K$3:$V$201,MATCH(E99&amp;F99,'Emission factors'!$J$3:$J$201&amp;'Emission factors'!$K$3:$K$201,0),MATCH(K$6,'Emission factors'!$K$2:$V$2,0)))*I99))</f>
        <v/>
      </c>
      <c r="L99" s="494" t="str">
        <f>IF(OR($E99="",$D99="",$I99="",$J99=""),"",INDEX('Emission factors'!$K$3:$V$201,MATCH('Buildings - Grid Electricity'!$E99,'Emission factors'!$J$3:$J$201,0),MATCH($L$6,'Emission factors'!$K$2:$V$2,0)))</f>
        <v/>
      </c>
      <c r="M99" s="495" t="str" cm="1">
        <f t="array" ref="M99">IF(OR(E99="",I99="",BuildingsElectricityTable[[#This Row],[Units]]=""),"",INDEX('Emission factors'!$K$3:$V$201,MATCH('Buildings - Grid Electricity'!$E99&amp;F99,'Emission factors'!$J$3:$J$201&amp;'Emission factors'!$K$3:$K$201,0),MATCH('Buildings - Grid Electricity'!$M$6,'Emission factors'!$K$2:$V$2,0)))</f>
        <v/>
      </c>
      <c r="N99" s="496" t="str">
        <f>IF(OR(K99="",M99=""),"",SUM(BuildingsElectricityTable[[#This Row],[Direct]:[Indirect WTT]]))</f>
        <v/>
      </c>
      <c r="O99" s="268"/>
      <c r="P99" s="497"/>
      <c r="Q99" s="157" t="str" cm="1">
        <f t="array" ref="Q99">IF(OR($E99="",$I99=""),"",(INDEX('Emission factors'!$K$3:$V$201,MATCH('Buildings - Grid Electricity'!$E99&amp;$F99,'Emission factors'!$J$3:$J$201&amp;'Emission factors'!$K$3:$K$201,0),MATCH('Buildings - Grid Electricity'!Q$6,'Emission factors'!$K$2:$V$2,0)))*$K99)</f>
        <v/>
      </c>
      <c r="R99" s="157" t="str" cm="1">
        <f t="array" ref="R99">IF(OR($E99="",$I99=""),"",(INDEX('Emission factors'!$K$3:$V$201,MATCH('Buildings - Grid Electricity'!$E99&amp;$F99,'Emission factors'!$J$3:$J$201&amp;'Emission factors'!$K$3:$K$201,0),MATCH('Buildings - Grid Electricity'!R$6,'Emission factors'!$K$2:$V$2,0)))*$K99)</f>
        <v/>
      </c>
      <c r="S99" s="157" t="str" cm="1">
        <f t="array" ref="S99">IF(OR($E99="",$I99=""),"",(INDEX('Emission factors'!$K$3:$V$201,MATCH('Buildings - Grid Electricity'!$E99&amp;$F99,'Emission factors'!$J$3:$J$201&amp;'Emission factors'!$K$3:$K$201,0),MATCH('Buildings - Grid Electricity'!S$6,'Emission factors'!$K$2:$V$2,0)))*$K99)</f>
        <v/>
      </c>
      <c r="T99" s="157" t="str" cm="1">
        <f t="array" ref="T99">IF(OR($E99="",$I99=""),"",(INDEX('Emission factors'!$K$3:$V$201,MATCH('Buildings - Grid Electricity'!$E99&amp;$F99,'Emission factors'!$J$3:$J$201&amp;'Emission factors'!$K$3:$K$201,0),MATCH('Buildings - Grid Electricity'!T$6,'Emission factors'!$K$2:$V$2,0)))*$K99)</f>
        <v/>
      </c>
      <c r="U99" s="157" t="str" cm="1">
        <f t="array" ref="U99">IF(OR($E99="",$I99=""),"",(INDEX('Emission factors'!$K$3:$V$201,MATCH('Buildings - Grid Electricity'!$E99&amp;$F99,'Emission factors'!$J$3:$J$201&amp;'Emission factors'!$K$3:$K$201,0),MATCH('Buildings - Grid Electricity'!U$6,'Emission factors'!$K$2:$V$2,0)))*$K99)</f>
        <v/>
      </c>
      <c r="V99" s="269" t="str">
        <f>IF(OR($N99="",BuildingsElectricityTable[[#This Row],[RSD]]=""),"",BuildingsElectricityTable[[#This Row],[Total emissions (kgCO2e)]]*(1+BuildingsElectricityTable[[#This Row],[RSD]]))</f>
        <v/>
      </c>
      <c r="W99" s="270" t="str">
        <f>IF(OR($N99="",BuildingsElectricityTable[[#This Row],[RSD]]=""),"",BuildingsElectricityTable[[#This Row],[Total emissions (kgCO2e)]]*(1-BuildingsElectricityTable[[#This Row],[RSD]]))</f>
        <v/>
      </c>
      <c r="X99" s="271" t="str" cm="1">
        <f t="array" ref="X99">IF(OR($E99="",$I99=""),"",(INDEX('Emission factors'!$K$3:$V$201,MATCH('Buildings - Grid Electricity'!$E99&amp;$F99,'Emission factors'!$J$3:$J$201&amp;'Emission factors'!$K$3:$K$201,0),MATCH('Buildings - Grid Electricity'!X$6,'Emission factors'!$K$2:$V$2,0)))*$K99)</f>
        <v/>
      </c>
      <c r="Y99" s="30"/>
      <c r="Z99" s="1" cm="1">
        <f t="array" ref="Z99">IF(OR(ISERROR(B99:X99)),1,0)</f>
        <v>0</v>
      </c>
      <c r="AA99" s="1">
        <f t="shared" si="9"/>
        <v>0</v>
      </c>
    </row>
    <row r="100" spans="1:27" ht="15" outlineLevel="1" thickBot="1" x14ac:dyDescent="0.4">
      <c r="A100" s="319"/>
      <c r="B100" s="216"/>
      <c r="C100" s="216"/>
      <c r="D100" s="489" t="str">
        <f>IFERROR(INDEX(BuildingInformationTable[Site type],MATCH(BuildingsElectricityTable[[#This Row],[Site name]],BuildingInformationTable[Site name],0)),"")</f>
        <v/>
      </c>
      <c r="E100" s="490" t="str">
        <f t="shared" si="6"/>
        <v/>
      </c>
      <c r="F100" s="490" t="str">
        <f t="shared" si="7"/>
        <v/>
      </c>
      <c r="G100" s="491"/>
      <c r="H100" s="492" t="str">
        <f>IF(G100="","",INDEX(Lists!$BA$4:$BC$31,MATCH(E100,Lists!$AZ$4:$AZ$31,0),MATCH(G100,Lists!$BA$3:$BC$3,0)))</f>
        <v/>
      </c>
      <c r="I100" s="267"/>
      <c r="J100" s="490" t="str">
        <f t="shared" si="8"/>
        <v/>
      </c>
      <c r="K100" s="493" t="str" cm="1">
        <f t="array" ref="K100">IF(OR($E100="",$D100="",$I100="",$J100=""),"",IF(J100=L100,I100,(INDEX('Emission factors'!$K$3:$V$201,MATCH(E100&amp;F100,'Emission factors'!$J$3:$J$201&amp;'Emission factors'!$K$3:$K$201,0),MATCH(K$6,'Emission factors'!$K$2:$V$2,0)))*I100))</f>
        <v/>
      </c>
      <c r="L100" s="494" t="str">
        <f>IF(OR($E100="",$D100="",$I100="",$J100=""),"",INDEX('Emission factors'!$K$3:$V$201,MATCH('Buildings - Grid Electricity'!$E100,'Emission factors'!$J$3:$J$201,0),MATCH($L$6,'Emission factors'!$K$2:$V$2,0)))</f>
        <v/>
      </c>
      <c r="M100" s="495" t="str" cm="1">
        <f t="array" ref="M100">IF(OR(E100="",I100="",BuildingsElectricityTable[[#This Row],[Units]]=""),"",INDEX('Emission factors'!$K$3:$V$201,MATCH('Buildings - Grid Electricity'!$E100&amp;F100,'Emission factors'!$J$3:$J$201&amp;'Emission factors'!$K$3:$K$201,0),MATCH('Buildings - Grid Electricity'!$M$6,'Emission factors'!$K$2:$V$2,0)))</f>
        <v/>
      </c>
      <c r="N100" s="496" t="str">
        <f>IF(OR(K100="",M100=""),"",SUM(BuildingsElectricityTable[[#This Row],[Direct]:[Indirect WTT]]))</f>
        <v/>
      </c>
      <c r="O100" s="268"/>
      <c r="P100" s="497"/>
      <c r="Q100" s="157" t="str" cm="1">
        <f t="array" ref="Q100">IF(OR($E100="",$I100=""),"",(INDEX('Emission factors'!$K$3:$V$201,MATCH('Buildings - Grid Electricity'!$E100&amp;$F100,'Emission factors'!$J$3:$J$201&amp;'Emission factors'!$K$3:$K$201,0),MATCH('Buildings - Grid Electricity'!Q$6,'Emission factors'!$K$2:$V$2,0)))*$K100)</f>
        <v/>
      </c>
      <c r="R100" s="157" t="str" cm="1">
        <f t="array" ref="R100">IF(OR($E100="",$I100=""),"",(INDEX('Emission factors'!$K$3:$V$201,MATCH('Buildings - Grid Electricity'!$E100&amp;$F100,'Emission factors'!$J$3:$J$201&amp;'Emission factors'!$K$3:$K$201,0),MATCH('Buildings - Grid Electricity'!R$6,'Emission factors'!$K$2:$V$2,0)))*$K100)</f>
        <v/>
      </c>
      <c r="S100" s="157" t="str" cm="1">
        <f t="array" ref="S100">IF(OR($E100="",$I100=""),"",(INDEX('Emission factors'!$K$3:$V$201,MATCH('Buildings - Grid Electricity'!$E100&amp;$F100,'Emission factors'!$J$3:$J$201&amp;'Emission factors'!$K$3:$K$201,0),MATCH('Buildings - Grid Electricity'!S$6,'Emission factors'!$K$2:$V$2,0)))*$K100)</f>
        <v/>
      </c>
      <c r="T100" s="157" t="str" cm="1">
        <f t="array" ref="T100">IF(OR($E100="",$I100=""),"",(INDEX('Emission factors'!$K$3:$V$201,MATCH('Buildings - Grid Electricity'!$E100&amp;$F100,'Emission factors'!$J$3:$J$201&amp;'Emission factors'!$K$3:$K$201,0),MATCH('Buildings - Grid Electricity'!T$6,'Emission factors'!$K$2:$V$2,0)))*$K100)</f>
        <v/>
      </c>
      <c r="U100" s="157" t="str" cm="1">
        <f t="array" ref="U100">IF(OR($E100="",$I100=""),"",(INDEX('Emission factors'!$K$3:$V$201,MATCH('Buildings - Grid Electricity'!$E100&amp;$F100,'Emission factors'!$J$3:$J$201&amp;'Emission factors'!$K$3:$K$201,0),MATCH('Buildings - Grid Electricity'!U$6,'Emission factors'!$K$2:$V$2,0)))*$K100)</f>
        <v/>
      </c>
      <c r="V100" s="269" t="str">
        <f>IF(OR($N100="",BuildingsElectricityTable[[#This Row],[RSD]]=""),"",BuildingsElectricityTable[[#This Row],[Total emissions (kgCO2e)]]*(1+BuildingsElectricityTable[[#This Row],[RSD]]))</f>
        <v/>
      </c>
      <c r="W100" s="270" t="str">
        <f>IF(OR($N100="",BuildingsElectricityTable[[#This Row],[RSD]]=""),"",BuildingsElectricityTable[[#This Row],[Total emissions (kgCO2e)]]*(1-BuildingsElectricityTable[[#This Row],[RSD]]))</f>
        <v/>
      </c>
      <c r="X100" s="271" t="str" cm="1">
        <f t="array" ref="X100">IF(OR($E100="",$I100=""),"",(INDEX('Emission factors'!$K$3:$V$201,MATCH('Buildings - Grid Electricity'!$E100&amp;$F100,'Emission factors'!$J$3:$J$201&amp;'Emission factors'!$K$3:$K$201,0),MATCH('Buildings - Grid Electricity'!X$6,'Emission factors'!$K$2:$V$2,0)))*$K100)</f>
        <v/>
      </c>
      <c r="Y100" s="30"/>
      <c r="Z100" s="1" cm="1">
        <f t="array" ref="Z100">IF(OR(ISERROR(B100:X100)),1,0)</f>
        <v>0</v>
      </c>
      <c r="AA100" s="1">
        <f t="shared" si="9"/>
        <v>0</v>
      </c>
    </row>
    <row r="101" spans="1:27" ht="15" outlineLevel="1" thickBot="1" x14ac:dyDescent="0.4">
      <c r="A101" s="319"/>
      <c r="B101" s="216"/>
      <c r="C101" s="216"/>
      <c r="D101" s="489" t="str">
        <f>IFERROR(INDEX(BuildingInformationTable[Site type],MATCH(BuildingsElectricityTable[[#This Row],[Site name]],BuildingInformationTable[Site name],0)),"")</f>
        <v/>
      </c>
      <c r="E101" s="490" t="str">
        <f t="shared" si="6"/>
        <v/>
      </c>
      <c r="F101" s="490" t="str">
        <f t="shared" si="7"/>
        <v/>
      </c>
      <c r="G101" s="491"/>
      <c r="H101" s="492" t="str">
        <f>IF(G101="","",INDEX(Lists!$BA$4:$BC$31,MATCH(E101,Lists!$AZ$4:$AZ$31,0),MATCH(G101,Lists!$BA$3:$BC$3,0)))</f>
        <v/>
      </c>
      <c r="I101" s="267"/>
      <c r="J101" s="490" t="str">
        <f t="shared" si="8"/>
        <v/>
      </c>
      <c r="K101" s="493" t="str" cm="1">
        <f t="array" ref="K101">IF(OR($E101="",$D101="",$I101="",$J101=""),"",IF(J101=L101,I101,(INDEX('Emission factors'!$K$3:$V$201,MATCH(E101&amp;F101,'Emission factors'!$J$3:$J$201&amp;'Emission factors'!$K$3:$K$201,0),MATCH(K$6,'Emission factors'!$K$2:$V$2,0)))*I101))</f>
        <v/>
      </c>
      <c r="L101" s="494" t="str">
        <f>IF(OR($E101="",$D101="",$I101="",$J101=""),"",INDEX('Emission factors'!$K$3:$V$201,MATCH('Buildings - Grid Electricity'!$E101,'Emission factors'!$J$3:$J$201,0),MATCH($L$6,'Emission factors'!$K$2:$V$2,0)))</f>
        <v/>
      </c>
      <c r="M101" s="495" t="str" cm="1">
        <f t="array" ref="M101">IF(OR(E101="",I101="",BuildingsElectricityTable[[#This Row],[Units]]=""),"",INDEX('Emission factors'!$K$3:$V$201,MATCH('Buildings - Grid Electricity'!$E101&amp;F101,'Emission factors'!$J$3:$J$201&amp;'Emission factors'!$K$3:$K$201,0),MATCH('Buildings - Grid Electricity'!$M$6,'Emission factors'!$K$2:$V$2,0)))</f>
        <v/>
      </c>
      <c r="N101" s="496" t="str">
        <f>IF(OR(K101="",M101=""),"",SUM(BuildingsElectricityTable[[#This Row],[Direct]:[Indirect WTT]]))</f>
        <v/>
      </c>
      <c r="O101" s="268"/>
      <c r="P101" s="497"/>
      <c r="Q101" s="157" t="str" cm="1">
        <f t="array" ref="Q101">IF(OR($E101="",$I101=""),"",(INDEX('Emission factors'!$K$3:$V$201,MATCH('Buildings - Grid Electricity'!$E101&amp;$F101,'Emission factors'!$J$3:$J$201&amp;'Emission factors'!$K$3:$K$201,0),MATCH('Buildings - Grid Electricity'!Q$6,'Emission factors'!$K$2:$V$2,0)))*$K101)</f>
        <v/>
      </c>
      <c r="R101" s="157" t="str" cm="1">
        <f t="array" ref="R101">IF(OR($E101="",$I101=""),"",(INDEX('Emission factors'!$K$3:$V$201,MATCH('Buildings - Grid Electricity'!$E101&amp;$F101,'Emission factors'!$J$3:$J$201&amp;'Emission factors'!$K$3:$K$201,0),MATCH('Buildings - Grid Electricity'!R$6,'Emission factors'!$K$2:$V$2,0)))*$K101)</f>
        <v/>
      </c>
      <c r="S101" s="157" t="str" cm="1">
        <f t="array" ref="S101">IF(OR($E101="",$I101=""),"",(INDEX('Emission factors'!$K$3:$V$201,MATCH('Buildings - Grid Electricity'!$E101&amp;$F101,'Emission factors'!$J$3:$J$201&amp;'Emission factors'!$K$3:$K$201,0),MATCH('Buildings - Grid Electricity'!S$6,'Emission factors'!$K$2:$V$2,0)))*$K101)</f>
        <v/>
      </c>
      <c r="T101" s="157" t="str" cm="1">
        <f t="array" ref="T101">IF(OR($E101="",$I101=""),"",(INDEX('Emission factors'!$K$3:$V$201,MATCH('Buildings - Grid Electricity'!$E101&amp;$F101,'Emission factors'!$J$3:$J$201&amp;'Emission factors'!$K$3:$K$201,0),MATCH('Buildings - Grid Electricity'!T$6,'Emission factors'!$K$2:$V$2,0)))*$K101)</f>
        <v/>
      </c>
      <c r="U101" s="157" t="str" cm="1">
        <f t="array" ref="U101">IF(OR($E101="",$I101=""),"",(INDEX('Emission factors'!$K$3:$V$201,MATCH('Buildings - Grid Electricity'!$E101&amp;$F101,'Emission factors'!$J$3:$J$201&amp;'Emission factors'!$K$3:$K$201,0),MATCH('Buildings - Grid Electricity'!U$6,'Emission factors'!$K$2:$V$2,0)))*$K101)</f>
        <v/>
      </c>
      <c r="V101" s="269" t="str">
        <f>IF(OR($N101="",BuildingsElectricityTable[[#This Row],[RSD]]=""),"",BuildingsElectricityTable[[#This Row],[Total emissions (kgCO2e)]]*(1+BuildingsElectricityTable[[#This Row],[RSD]]))</f>
        <v/>
      </c>
      <c r="W101" s="270" t="str">
        <f>IF(OR($N101="",BuildingsElectricityTable[[#This Row],[RSD]]=""),"",BuildingsElectricityTable[[#This Row],[Total emissions (kgCO2e)]]*(1-BuildingsElectricityTable[[#This Row],[RSD]]))</f>
        <v/>
      </c>
      <c r="X101" s="271" t="str" cm="1">
        <f t="array" ref="X101">IF(OR($E101="",$I101=""),"",(INDEX('Emission factors'!$K$3:$V$201,MATCH('Buildings - Grid Electricity'!$E101&amp;$F101,'Emission factors'!$J$3:$J$201&amp;'Emission factors'!$K$3:$K$201,0),MATCH('Buildings - Grid Electricity'!X$6,'Emission factors'!$K$2:$V$2,0)))*$K101)</f>
        <v/>
      </c>
      <c r="Y101" s="30"/>
      <c r="Z101" s="1" cm="1">
        <f t="array" ref="Z101">IF(OR(ISERROR(B101:X101)),1,0)</f>
        <v>0</v>
      </c>
      <c r="AA101" s="1">
        <f t="shared" si="9"/>
        <v>0</v>
      </c>
    </row>
    <row r="102" spans="1:27" ht="15" outlineLevel="1" thickBot="1" x14ac:dyDescent="0.4">
      <c r="A102" s="319"/>
      <c r="B102" s="216"/>
      <c r="C102" s="216"/>
      <c r="D102" s="489" t="str">
        <f>IFERROR(INDEX(BuildingInformationTable[Site type],MATCH(BuildingsElectricityTable[[#This Row],[Site name]],BuildingInformationTable[Site name],0)),"")</f>
        <v/>
      </c>
      <c r="E102" s="490" t="str">
        <f t="shared" si="6"/>
        <v/>
      </c>
      <c r="F102" s="490" t="str">
        <f t="shared" si="7"/>
        <v/>
      </c>
      <c r="G102" s="491"/>
      <c r="H102" s="492" t="str">
        <f>IF(G102="","",INDEX(Lists!$BA$4:$BC$31,MATCH(E102,Lists!$AZ$4:$AZ$31,0),MATCH(G102,Lists!$BA$3:$BC$3,0)))</f>
        <v/>
      </c>
      <c r="I102" s="267"/>
      <c r="J102" s="490" t="str">
        <f t="shared" si="8"/>
        <v/>
      </c>
      <c r="K102" s="493" t="str" cm="1">
        <f t="array" ref="K102">IF(OR($E102="",$D102="",$I102="",$J102=""),"",IF(J102=L102,I102,(INDEX('Emission factors'!$K$3:$V$201,MATCH(E102&amp;F102,'Emission factors'!$J$3:$J$201&amp;'Emission factors'!$K$3:$K$201,0),MATCH(K$6,'Emission factors'!$K$2:$V$2,0)))*I102))</f>
        <v/>
      </c>
      <c r="L102" s="494" t="str">
        <f>IF(OR($E102="",$D102="",$I102="",$J102=""),"",INDEX('Emission factors'!$K$3:$V$201,MATCH('Buildings - Grid Electricity'!$E102,'Emission factors'!$J$3:$J$201,0),MATCH($L$6,'Emission factors'!$K$2:$V$2,0)))</f>
        <v/>
      </c>
      <c r="M102" s="495" t="str" cm="1">
        <f t="array" ref="M102">IF(OR(E102="",I102="",BuildingsElectricityTable[[#This Row],[Units]]=""),"",INDEX('Emission factors'!$K$3:$V$201,MATCH('Buildings - Grid Electricity'!$E102&amp;F102,'Emission factors'!$J$3:$J$201&amp;'Emission factors'!$K$3:$K$201,0),MATCH('Buildings - Grid Electricity'!$M$6,'Emission factors'!$K$2:$V$2,0)))</f>
        <v/>
      </c>
      <c r="N102" s="496" t="str">
        <f>IF(OR(K102="",M102=""),"",SUM(BuildingsElectricityTable[[#This Row],[Direct]:[Indirect WTT]]))</f>
        <v/>
      </c>
      <c r="O102" s="268"/>
      <c r="P102" s="497"/>
      <c r="Q102" s="157" t="str" cm="1">
        <f t="array" ref="Q102">IF(OR($E102="",$I102=""),"",(INDEX('Emission factors'!$K$3:$V$201,MATCH('Buildings - Grid Electricity'!$E102&amp;$F102,'Emission factors'!$J$3:$J$201&amp;'Emission factors'!$K$3:$K$201,0),MATCH('Buildings - Grid Electricity'!Q$6,'Emission factors'!$K$2:$V$2,0)))*$K102)</f>
        <v/>
      </c>
      <c r="R102" s="157" t="str" cm="1">
        <f t="array" ref="R102">IF(OR($E102="",$I102=""),"",(INDEX('Emission factors'!$K$3:$V$201,MATCH('Buildings - Grid Electricity'!$E102&amp;$F102,'Emission factors'!$J$3:$J$201&amp;'Emission factors'!$K$3:$K$201,0),MATCH('Buildings - Grid Electricity'!R$6,'Emission factors'!$K$2:$V$2,0)))*$K102)</f>
        <v/>
      </c>
      <c r="S102" s="157" t="str" cm="1">
        <f t="array" ref="S102">IF(OR($E102="",$I102=""),"",(INDEX('Emission factors'!$K$3:$V$201,MATCH('Buildings - Grid Electricity'!$E102&amp;$F102,'Emission factors'!$J$3:$J$201&amp;'Emission factors'!$K$3:$K$201,0),MATCH('Buildings - Grid Electricity'!S$6,'Emission factors'!$K$2:$V$2,0)))*$K102)</f>
        <v/>
      </c>
      <c r="T102" s="157" t="str" cm="1">
        <f t="array" ref="T102">IF(OR($E102="",$I102=""),"",(INDEX('Emission factors'!$K$3:$V$201,MATCH('Buildings - Grid Electricity'!$E102&amp;$F102,'Emission factors'!$J$3:$J$201&amp;'Emission factors'!$K$3:$K$201,0),MATCH('Buildings - Grid Electricity'!T$6,'Emission factors'!$K$2:$V$2,0)))*$K102)</f>
        <v/>
      </c>
      <c r="U102" s="157" t="str" cm="1">
        <f t="array" ref="U102">IF(OR($E102="",$I102=""),"",(INDEX('Emission factors'!$K$3:$V$201,MATCH('Buildings - Grid Electricity'!$E102&amp;$F102,'Emission factors'!$J$3:$J$201&amp;'Emission factors'!$K$3:$K$201,0),MATCH('Buildings - Grid Electricity'!U$6,'Emission factors'!$K$2:$V$2,0)))*$K102)</f>
        <v/>
      </c>
      <c r="V102" s="269" t="str">
        <f>IF(OR($N102="",BuildingsElectricityTable[[#This Row],[RSD]]=""),"",BuildingsElectricityTable[[#This Row],[Total emissions (kgCO2e)]]*(1+BuildingsElectricityTable[[#This Row],[RSD]]))</f>
        <v/>
      </c>
      <c r="W102" s="270" t="str">
        <f>IF(OR($N102="",BuildingsElectricityTable[[#This Row],[RSD]]=""),"",BuildingsElectricityTable[[#This Row],[Total emissions (kgCO2e)]]*(1-BuildingsElectricityTable[[#This Row],[RSD]]))</f>
        <v/>
      </c>
      <c r="X102" s="271" t="str" cm="1">
        <f t="array" ref="X102">IF(OR($E102="",$I102=""),"",(INDEX('Emission factors'!$K$3:$V$201,MATCH('Buildings - Grid Electricity'!$E102&amp;$F102,'Emission factors'!$J$3:$J$201&amp;'Emission factors'!$K$3:$K$201,0),MATCH('Buildings - Grid Electricity'!X$6,'Emission factors'!$K$2:$V$2,0)))*$K102)</f>
        <v/>
      </c>
      <c r="Y102" s="30"/>
      <c r="Z102" s="1" cm="1">
        <f t="array" ref="Z102">IF(OR(ISERROR(B102:X102)),1,0)</f>
        <v>0</v>
      </c>
      <c r="AA102" s="1">
        <f t="shared" si="9"/>
        <v>0</v>
      </c>
    </row>
    <row r="103" spans="1:27" ht="15" outlineLevel="1" thickBot="1" x14ac:dyDescent="0.4">
      <c r="A103" s="319"/>
      <c r="B103" s="216"/>
      <c r="C103" s="216"/>
      <c r="D103" s="489" t="str">
        <f>IFERROR(INDEX(BuildingInformationTable[Site type],MATCH(BuildingsElectricityTable[[#This Row],[Site name]],BuildingInformationTable[Site name],0)),"")</f>
        <v/>
      </c>
      <c r="E103" s="490" t="str">
        <f t="shared" si="6"/>
        <v/>
      </c>
      <c r="F103" s="490" t="str">
        <f t="shared" si="7"/>
        <v/>
      </c>
      <c r="G103" s="491"/>
      <c r="H103" s="492" t="str">
        <f>IF(G103="","",INDEX(Lists!$BA$4:$BC$31,MATCH(E103,Lists!$AZ$4:$AZ$31,0),MATCH(G103,Lists!$BA$3:$BC$3,0)))</f>
        <v/>
      </c>
      <c r="I103" s="267"/>
      <c r="J103" s="490" t="str">
        <f t="shared" si="8"/>
        <v/>
      </c>
      <c r="K103" s="493" t="str" cm="1">
        <f t="array" ref="K103">IF(OR($E103="",$D103="",$I103="",$J103=""),"",IF(J103=L103,I103,(INDEX('Emission factors'!$K$3:$V$201,MATCH(E103&amp;F103,'Emission factors'!$J$3:$J$201&amp;'Emission factors'!$K$3:$K$201,0),MATCH(K$6,'Emission factors'!$K$2:$V$2,0)))*I103))</f>
        <v/>
      </c>
      <c r="L103" s="494" t="str">
        <f>IF(OR($E103="",$D103="",$I103="",$J103=""),"",INDEX('Emission factors'!$K$3:$V$201,MATCH('Buildings - Grid Electricity'!$E103,'Emission factors'!$J$3:$J$201,0),MATCH($L$6,'Emission factors'!$K$2:$V$2,0)))</f>
        <v/>
      </c>
      <c r="M103" s="495" t="str" cm="1">
        <f t="array" ref="M103">IF(OR(E103="",I103="",BuildingsElectricityTable[[#This Row],[Units]]=""),"",INDEX('Emission factors'!$K$3:$V$201,MATCH('Buildings - Grid Electricity'!$E103&amp;F103,'Emission factors'!$J$3:$J$201&amp;'Emission factors'!$K$3:$K$201,0),MATCH('Buildings - Grid Electricity'!$M$6,'Emission factors'!$K$2:$V$2,0)))</f>
        <v/>
      </c>
      <c r="N103" s="496" t="str">
        <f>IF(OR(K103="",M103=""),"",SUM(BuildingsElectricityTable[[#This Row],[Direct]:[Indirect WTT]]))</f>
        <v/>
      </c>
      <c r="O103" s="268"/>
      <c r="P103" s="497"/>
      <c r="Q103" s="157" t="str" cm="1">
        <f t="array" ref="Q103">IF(OR($E103="",$I103=""),"",(INDEX('Emission factors'!$K$3:$V$201,MATCH('Buildings - Grid Electricity'!$E103&amp;$F103,'Emission factors'!$J$3:$J$201&amp;'Emission factors'!$K$3:$K$201,0),MATCH('Buildings - Grid Electricity'!Q$6,'Emission factors'!$K$2:$V$2,0)))*$K103)</f>
        <v/>
      </c>
      <c r="R103" s="157" t="str" cm="1">
        <f t="array" ref="R103">IF(OR($E103="",$I103=""),"",(INDEX('Emission factors'!$K$3:$V$201,MATCH('Buildings - Grid Electricity'!$E103&amp;$F103,'Emission factors'!$J$3:$J$201&amp;'Emission factors'!$K$3:$K$201,0),MATCH('Buildings - Grid Electricity'!R$6,'Emission factors'!$K$2:$V$2,0)))*$K103)</f>
        <v/>
      </c>
      <c r="S103" s="157" t="str" cm="1">
        <f t="array" ref="S103">IF(OR($E103="",$I103=""),"",(INDEX('Emission factors'!$K$3:$V$201,MATCH('Buildings - Grid Electricity'!$E103&amp;$F103,'Emission factors'!$J$3:$J$201&amp;'Emission factors'!$K$3:$K$201,0),MATCH('Buildings - Grid Electricity'!S$6,'Emission factors'!$K$2:$V$2,0)))*$K103)</f>
        <v/>
      </c>
      <c r="T103" s="157" t="str" cm="1">
        <f t="array" ref="T103">IF(OR($E103="",$I103=""),"",(INDEX('Emission factors'!$K$3:$V$201,MATCH('Buildings - Grid Electricity'!$E103&amp;$F103,'Emission factors'!$J$3:$J$201&amp;'Emission factors'!$K$3:$K$201,0),MATCH('Buildings - Grid Electricity'!T$6,'Emission factors'!$K$2:$V$2,0)))*$K103)</f>
        <v/>
      </c>
      <c r="U103" s="157" t="str" cm="1">
        <f t="array" ref="U103">IF(OR($E103="",$I103=""),"",(INDEX('Emission factors'!$K$3:$V$201,MATCH('Buildings - Grid Electricity'!$E103&amp;$F103,'Emission factors'!$J$3:$J$201&amp;'Emission factors'!$K$3:$K$201,0),MATCH('Buildings - Grid Electricity'!U$6,'Emission factors'!$K$2:$V$2,0)))*$K103)</f>
        <v/>
      </c>
      <c r="V103" s="269" t="str">
        <f>IF(OR($N103="",BuildingsElectricityTable[[#This Row],[RSD]]=""),"",BuildingsElectricityTable[[#This Row],[Total emissions (kgCO2e)]]*(1+BuildingsElectricityTable[[#This Row],[RSD]]))</f>
        <v/>
      </c>
      <c r="W103" s="270" t="str">
        <f>IF(OR($N103="",BuildingsElectricityTable[[#This Row],[RSD]]=""),"",BuildingsElectricityTable[[#This Row],[Total emissions (kgCO2e)]]*(1-BuildingsElectricityTable[[#This Row],[RSD]]))</f>
        <v/>
      </c>
      <c r="X103" s="271" t="str" cm="1">
        <f t="array" ref="X103">IF(OR($E103="",$I103=""),"",(INDEX('Emission factors'!$K$3:$V$201,MATCH('Buildings - Grid Electricity'!$E103&amp;$F103,'Emission factors'!$J$3:$J$201&amp;'Emission factors'!$K$3:$K$201,0),MATCH('Buildings - Grid Electricity'!X$6,'Emission factors'!$K$2:$V$2,0)))*$K103)</f>
        <v/>
      </c>
      <c r="Y103" s="30"/>
      <c r="Z103" s="1" cm="1">
        <f t="array" ref="Z103">IF(OR(ISERROR(B103:X103)),1,0)</f>
        <v>0</v>
      </c>
      <c r="AA103" s="1">
        <f t="shared" si="9"/>
        <v>0</v>
      </c>
    </row>
    <row r="104" spans="1:27" ht="15" outlineLevel="1" thickBot="1" x14ac:dyDescent="0.4">
      <c r="A104" s="319"/>
      <c r="B104" s="216"/>
      <c r="C104" s="216"/>
      <c r="D104" s="489" t="str">
        <f>IFERROR(INDEX(BuildingInformationTable[Site type],MATCH(BuildingsElectricityTable[[#This Row],[Site name]],BuildingInformationTable[Site name],0)),"")</f>
        <v/>
      </c>
      <c r="E104" s="490" t="str">
        <f t="shared" si="6"/>
        <v/>
      </c>
      <c r="F104" s="490" t="str">
        <f t="shared" si="7"/>
        <v/>
      </c>
      <c r="G104" s="491"/>
      <c r="H104" s="492" t="str">
        <f>IF(G104="","",INDEX(Lists!$BA$4:$BC$31,MATCH(E104,Lists!$AZ$4:$AZ$31,0),MATCH(G104,Lists!$BA$3:$BC$3,0)))</f>
        <v/>
      </c>
      <c r="I104" s="267"/>
      <c r="J104" s="490" t="str">
        <f t="shared" si="8"/>
        <v/>
      </c>
      <c r="K104" s="493" t="str" cm="1">
        <f t="array" ref="K104">IF(OR($E104="",$D104="",$I104="",$J104=""),"",IF(J104=L104,I104,(INDEX('Emission factors'!$K$3:$V$201,MATCH(E104&amp;F104,'Emission factors'!$J$3:$J$201&amp;'Emission factors'!$K$3:$K$201,0),MATCH(K$6,'Emission factors'!$K$2:$V$2,0)))*I104))</f>
        <v/>
      </c>
      <c r="L104" s="494" t="str">
        <f>IF(OR($E104="",$D104="",$I104="",$J104=""),"",INDEX('Emission factors'!$K$3:$V$201,MATCH('Buildings - Grid Electricity'!$E104,'Emission factors'!$J$3:$J$201,0),MATCH($L$6,'Emission factors'!$K$2:$V$2,0)))</f>
        <v/>
      </c>
      <c r="M104" s="495" t="str" cm="1">
        <f t="array" ref="M104">IF(OR(E104="",I104="",BuildingsElectricityTable[[#This Row],[Units]]=""),"",INDEX('Emission factors'!$K$3:$V$201,MATCH('Buildings - Grid Electricity'!$E104&amp;F104,'Emission factors'!$J$3:$J$201&amp;'Emission factors'!$K$3:$K$201,0),MATCH('Buildings - Grid Electricity'!$M$6,'Emission factors'!$K$2:$V$2,0)))</f>
        <v/>
      </c>
      <c r="N104" s="496" t="str">
        <f>IF(OR(K104="",M104=""),"",SUM(BuildingsElectricityTable[[#This Row],[Direct]:[Indirect WTT]]))</f>
        <v/>
      </c>
      <c r="O104" s="268"/>
      <c r="P104" s="497"/>
      <c r="Q104" s="157" t="str" cm="1">
        <f t="array" ref="Q104">IF(OR($E104="",$I104=""),"",(INDEX('Emission factors'!$K$3:$V$201,MATCH('Buildings - Grid Electricity'!$E104&amp;$F104,'Emission factors'!$J$3:$J$201&amp;'Emission factors'!$K$3:$K$201,0),MATCH('Buildings - Grid Electricity'!Q$6,'Emission factors'!$K$2:$V$2,0)))*$K104)</f>
        <v/>
      </c>
      <c r="R104" s="157" t="str" cm="1">
        <f t="array" ref="R104">IF(OR($E104="",$I104=""),"",(INDEX('Emission factors'!$K$3:$V$201,MATCH('Buildings - Grid Electricity'!$E104&amp;$F104,'Emission factors'!$J$3:$J$201&amp;'Emission factors'!$K$3:$K$201,0),MATCH('Buildings - Grid Electricity'!R$6,'Emission factors'!$K$2:$V$2,0)))*$K104)</f>
        <v/>
      </c>
      <c r="S104" s="157" t="str" cm="1">
        <f t="array" ref="S104">IF(OR($E104="",$I104=""),"",(INDEX('Emission factors'!$K$3:$V$201,MATCH('Buildings - Grid Electricity'!$E104&amp;$F104,'Emission factors'!$J$3:$J$201&amp;'Emission factors'!$K$3:$K$201,0),MATCH('Buildings - Grid Electricity'!S$6,'Emission factors'!$K$2:$V$2,0)))*$K104)</f>
        <v/>
      </c>
      <c r="T104" s="157" t="str" cm="1">
        <f t="array" ref="T104">IF(OR($E104="",$I104=""),"",(INDEX('Emission factors'!$K$3:$V$201,MATCH('Buildings - Grid Electricity'!$E104&amp;$F104,'Emission factors'!$J$3:$J$201&amp;'Emission factors'!$K$3:$K$201,0),MATCH('Buildings - Grid Electricity'!T$6,'Emission factors'!$K$2:$V$2,0)))*$K104)</f>
        <v/>
      </c>
      <c r="U104" s="157" t="str" cm="1">
        <f t="array" ref="U104">IF(OR($E104="",$I104=""),"",(INDEX('Emission factors'!$K$3:$V$201,MATCH('Buildings - Grid Electricity'!$E104&amp;$F104,'Emission factors'!$J$3:$J$201&amp;'Emission factors'!$K$3:$K$201,0),MATCH('Buildings - Grid Electricity'!U$6,'Emission factors'!$K$2:$V$2,0)))*$K104)</f>
        <v/>
      </c>
      <c r="V104" s="269" t="str">
        <f>IF(OR($N104="",BuildingsElectricityTable[[#This Row],[RSD]]=""),"",BuildingsElectricityTable[[#This Row],[Total emissions (kgCO2e)]]*(1+BuildingsElectricityTable[[#This Row],[RSD]]))</f>
        <v/>
      </c>
      <c r="W104" s="270" t="str">
        <f>IF(OR($N104="",BuildingsElectricityTable[[#This Row],[RSD]]=""),"",BuildingsElectricityTable[[#This Row],[Total emissions (kgCO2e)]]*(1-BuildingsElectricityTable[[#This Row],[RSD]]))</f>
        <v/>
      </c>
      <c r="X104" s="271" t="str" cm="1">
        <f t="array" ref="X104">IF(OR($E104="",$I104=""),"",(INDEX('Emission factors'!$K$3:$V$201,MATCH('Buildings - Grid Electricity'!$E104&amp;$F104,'Emission factors'!$J$3:$J$201&amp;'Emission factors'!$K$3:$K$201,0),MATCH('Buildings - Grid Electricity'!X$6,'Emission factors'!$K$2:$V$2,0)))*$K104)</f>
        <v/>
      </c>
      <c r="Y104" s="30"/>
      <c r="Z104" s="1" cm="1">
        <f t="array" ref="Z104">IF(OR(ISERROR(B104:X104)),1,0)</f>
        <v>0</v>
      </c>
      <c r="AA104" s="1">
        <f t="shared" si="9"/>
        <v>0</v>
      </c>
    </row>
    <row r="105" spans="1:27" ht="15" outlineLevel="1" thickBot="1" x14ac:dyDescent="0.4">
      <c r="A105" s="319"/>
      <c r="B105" s="216"/>
      <c r="C105" s="216"/>
      <c r="D105" s="489" t="str">
        <f>IFERROR(INDEX(BuildingInformationTable[Site type],MATCH(BuildingsElectricityTable[[#This Row],[Site name]],BuildingInformationTable[Site name],0)),"")</f>
        <v/>
      </c>
      <c r="E105" s="490" t="str">
        <f t="shared" si="6"/>
        <v/>
      </c>
      <c r="F105" s="490" t="str">
        <f t="shared" si="7"/>
        <v/>
      </c>
      <c r="G105" s="491"/>
      <c r="H105" s="492" t="str">
        <f>IF(G105="","",INDEX(Lists!$BA$4:$BC$31,MATCH(E105,Lists!$AZ$4:$AZ$31,0),MATCH(G105,Lists!$BA$3:$BC$3,0)))</f>
        <v/>
      </c>
      <c r="I105" s="267"/>
      <c r="J105" s="490" t="str">
        <f t="shared" si="8"/>
        <v/>
      </c>
      <c r="K105" s="493" t="str" cm="1">
        <f t="array" ref="K105">IF(OR($E105="",$D105="",$I105="",$J105=""),"",IF(J105=L105,I105,(INDEX('Emission factors'!$K$3:$V$201,MATCH(E105&amp;F105,'Emission factors'!$J$3:$J$201&amp;'Emission factors'!$K$3:$K$201,0),MATCH(K$6,'Emission factors'!$K$2:$V$2,0)))*I105))</f>
        <v/>
      </c>
      <c r="L105" s="494" t="str">
        <f>IF(OR($E105="",$D105="",$I105="",$J105=""),"",INDEX('Emission factors'!$K$3:$V$201,MATCH('Buildings - Grid Electricity'!$E105,'Emission factors'!$J$3:$J$201,0),MATCH($L$6,'Emission factors'!$K$2:$V$2,0)))</f>
        <v/>
      </c>
      <c r="M105" s="495" t="str" cm="1">
        <f t="array" ref="M105">IF(OR(E105="",I105="",BuildingsElectricityTable[[#This Row],[Units]]=""),"",INDEX('Emission factors'!$K$3:$V$201,MATCH('Buildings - Grid Electricity'!$E105&amp;F105,'Emission factors'!$J$3:$J$201&amp;'Emission factors'!$K$3:$K$201,0),MATCH('Buildings - Grid Electricity'!$M$6,'Emission factors'!$K$2:$V$2,0)))</f>
        <v/>
      </c>
      <c r="N105" s="496" t="str">
        <f>IF(OR(K105="",M105=""),"",SUM(BuildingsElectricityTable[[#This Row],[Direct]:[Indirect WTT]]))</f>
        <v/>
      </c>
      <c r="O105" s="268"/>
      <c r="P105" s="497"/>
      <c r="Q105" s="157" t="str" cm="1">
        <f t="array" ref="Q105">IF(OR($E105="",$I105=""),"",(INDEX('Emission factors'!$K$3:$V$201,MATCH('Buildings - Grid Electricity'!$E105&amp;$F105,'Emission factors'!$J$3:$J$201&amp;'Emission factors'!$K$3:$K$201,0),MATCH('Buildings - Grid Electricity'!Q$6,'Emission factors'!$K$2:$V$2,0)))*$K105)</f>
        <v/>
      </c>
      <c r="R105" s="157" t="str" cm="1">
        <f t="array" ref="R105">IF(OR($E105="",$I105=""),"",(INDEX('Emission factors'!$K$3:$V$201,MATCH('Buildings - Grid Electricity'!$E105&amp;$F105,'Emission factors'!$J$3:$J$201&amp;'Emission factors'!$K$3:$K$201,0),MATCH('Buildings - Grid Electricity'!R$6,'Emission factors'!$K$2:$V$2,0)))*$K105)</f>
        <v/>
      </c>
      <c r="S105" s="157" t="str" cm="1">
        <f t="array" ref="S105">IF(OR($E105="",$I105=""),"",(INDEX('Emission factors'!$K$3:$V$201,MATCH('Buildings - Grid Electricity'!$E105&amp;$F105,'Emission factors'!$J$3:$J$201&amp;'Emission factors'!$K$3:$K$201,0),MATCH('Buildings - Grid Electricity'!S$6,'Emission factors'!$K$2:$V$2,0)))*$K105)</f>
        <v/>
      </c>
      <c r="T105" s="157" t="str" cm="1">
        <f t="array" ref="T105">IF(OR($E105="",$I105=""),"",(INDEX('Emission factors'!$K$3:$V$201,MATCH('Buildings - Grid Electricity'!$E105&amp;$F105,'Emission factors'!$J$3:$J$201&amp;'Emission factors'!$K$3:$K$201,0),MATCH('Buildings - Grid Electricity'!T$6,'Emission factors'!$K$2:$V$2,0)))*$K105)</f>
        <v/>
      </c>
      <c r="U105" s="157" t="str" cm="1">
        <f t="array" ref="U105">IF(OR($E105="",$I105=""),"",(INDEX('Emission factors'!$K$3:$V$201,MATCH('Buildings - Grid Electricity'!$E105&amp;$F105,'Emission factors'!$J$3:$J$201&amp;'Emission factors'!$K$3:$K$201,0),MATCH('Buildings - Grid Electricity'!U$6,'Emission factors'!$K$2:$V$2,0)))*$K105)</f>
        <v/>
      </c>
      <c r="V105" s="269" t="str">
        <f>IF(OR($N105="",BuildingsElectricityTable[[#This Row],[RSD]]=""),"",BuildingsElectricityTable[[#This Row],[Total emissions (kgCO2e)]]*(1+BuildingsElectricityTable[[#This Row],[RSD]]))</f>
        <v/>
      </c>
      <c r="W105" s="270" t="str">
        <f>IF(OR($N105="",BuildingsElectricityTable[[#This Row],[RSD]]=""),"",BuildingsElectricityTable[[#This Row],[Total emissions (kgCO2e)]]*(1-BuildingsElectricityTable[[#This Row],[RSD]]))</f>
        <v/>
      </c>
      <c r="X105" s="271" t="str" cm="1">
        <f t="array" ref="X105">IF(OR($E105="",$I105=""),"",(INDEX('Emission factors'!$K$3:$V$201,MATCH('Buildings - Grid Electricity'!$E105&amp;$F105,'Emission factors'!$J$3:$J$201&amp;'Emission factors'!$K$3:$K$201,0),MATCH('Buildings - Grid Electricity'!X$6,'Emission factors'!$K$2:$V$2,0)))*$K105)</f>
        <v/>
      </c>
      <c r="Y105" s="30"/>
      <c r="Z105" s="1" cm="1">
        <f t="array" ref="Z105">IF(OR(ISERROR(B105:X105)),1,0)</f>
        <v>0</v>
      </c>
      <c r="AA105" s="1">
        <f t="shared" si="9"/>
        <v>0</v>
      </c>
    </row>
    <row r="106" spans="1:27" ht="15" outlineLevel="1" thickBot="1" x14ac:dyDescent="0.4">
      <c r="A106" s="319"/>
      <c r="B106" s="216"/>
      <c r="C106" s="216"/>
      <c r="D106" s="489" t="str">
        <f>IFERROR(INDEX(BuildingInformationTable[Site type],MATCH(BuildingsElectricityTable[[#This Row],[Site name]],BuildingInformationTable[Site name],0)),"")</f>
        <v/>
      </c>
      <c r="E106" s="490" t="str">
        <f t="shared" si="6"/>
        <v/>
      </c>
      <c r="F106" s="490" t="str">
        <f t="shared" si="7"/>
        <v/>
      </c>
      <c r="G106" s="491"/>
      <c r="H106" s="492" t="str">
        <f>IF(G106="","",INDEX(Lists!$BA$4:$BC$31,MATCH(E106,Lists!$AZ$4:$AZ$31,0),MATCH(G106,Lists!$BA$3:$BC$3,0)))</f>
        <v/>
      </c>
      <c r="I106" s="267"/>
      <c r="J106" s="490" t="str">
        <f t="shared" si="8"/>
        <v/>
      </c>
      <c r="K106" s="493" t="str" cm="1">
        <f t="array" ref="K106">IF(OR($E106="",$D106="",$I106="",$J106=""),"",IF(J106=L106,I106,(INDEX('Emission factors'!$K$3:$V$201,MATCH(E106&amp;F106,'Emission factors'!$J$3:$J$201&amp;'Emission factors'!$K$3:$K$201,0),MATCH(K$6,'Emission factors'!$K$2:$V$2,0)))*I106))</f>
        <v/>
      </c>
      <c r="L106" s="494" t="str">
        <f>IF(OR($E106="",$D106="",$I106="",$J106=""),"",INDEX('Emission factors'!$K$3:$V$201,MATCH('Buildings - Grid Electricity'!$E106,'Emission factors'!$J$3:$J$201,0),MATCH($L$6,'Emission factors'!$K$2:$V$2,0)))</f>
        <v/>
      </c>
      <c r="M106" s="495" t="str" cm="1">
        <f t="array" ref="M106">IF(OR(E106="",I106="",BuildingsElectricityTable[[#This Row],[Units]]=""),"",INDEX('Emission factors'!$K$3:$V$201,MATCH('Buildings - Grid Electricity'!$E106&amp;F106,'Emission factors'!$J$3:$J$201&amp;'Emission factors'!$K$3:$K$201,0),MATCH('Buildings - Grid Electricity'!$M$6,'Emission factors'!$K$2:$V$2,0)))</f>
        <v/>
      </c>
      <c r="N106" s="496" t="str">
        <f>IF(OR(K106="",M106=""),"",SUM(BuildingsElectricityTable[[#This Row],[Direct]:[Indirect WTT]]))</f>
        <v/>
      </c>
      <c r="O106" s="268"/>
      <c r="P106" s="497"/>
      <c r="Q106" s="157" t="str" cm="1">
        <f t="array" ref="Q106">IF(OR($E106="",$I106=""),"",(INDEX('Emission factors'!$K$3:$V$201,MATCH('Buildings - Grid Electricity'!$E106&amp;$F106,'Emission factors'!$J$3:$J$201&amp;'Emission factors'!$K$3:$K$201,0),MATCH('Buildings - Grid Electricity'!Q$6,'Emission factors'!$K$2:$V$2,0)))*$K106)</f>
        <v/>
      </c>
      <c r="R106" s="157" t="str" cm="1">
        <f t="array" ref="R106">IF(OR($E106="",$I106=""),"",(INDEX('Emission factors'!$K$3:$V$201,MATCH('Buildings - Grid Electricity'!$E106&amp;$F106,'Emission factors'!$J$3:$J$201&amp;'Emission factors'!$K$3:$K$201,0),MATCH('Buildings - Grid Electricity'!R$6,'Emission factors'!$K$2:$V$2,0)))*$K106)</f>
        <v/>
      </c>
      <c r="S106" s="157" t="str" cm="1">
        <f t="array" ref="S106">IF(OR($E106="",$I106=""),"",(INDEX('Emission factors'!$K$3:$V$201,MATCH('Buildings - Grid Electricity'!$E106&amp;$F106,'Emission factors'!$J$3:$J$201&amp;'Emission factors'!$K$3:$K$201,0),MATCH('Buildings - Grid Electricity'!S$6,'Emission factors'!$K$2:$V$2,0)))*$K106)</f>
        <v/>
      </c>
      <c r="T106" s="157" t="str" cm="1">
        <f t="array" ref="T106">IF(OR($E106="",$I106=""),"",(INDEX('Emission factors'!$K$3:$V$201,MATCH('Buildings - Grid Electricity'!$E106&amp;$F106,'Emission factors'!$J$3:$J$201&amp;'Emission factors'!$K$3:$K$201,0),MATCH('Buildings - Grid Electricity'!T$6,'Emission factors'!$K$2:$V$2,0)))*$K106)</f>
        <v/>
      </c>
      <c r="U106" s="157" t="str" cm="1">
        <f t="array" ref="U106">IF(OR($E106="",$I106=""),"",(INDEX('Emission factors'!$K$3:$V$201,MATCH('Buildings - Grid Electricity'!$E106&amp;$F106,'Emission factors'!$J$3:$J$201&amp;'Emission factors'!$K$3:$K$201,0),MATCH('Buildings - Grid Electricity'!U$6,'Emission factors'!$K$2:$V$2,0)))*$K106)</f>
        <v/>
      </c>
      <c r="V106" s="269" t="str">
        <f>IF(OR($N106="",BuildingsElectricityTable[[#This Row],[RSD]]=""),"",BuildingsElectricityTable[[#This Row],[Total emissions (kgCO2e)]]*(1+BuildingsElectricityTable[[#This Row],[RSD]]))</f>
        <v/>
      </c>
      <c r="W106" s="270" t="str">
        <f>IF(OR($N106="",BuildingsElectricityTable[[#This Row],[RSD]]=""),"",BuildingsElectricityTable[[#This Row],[Total emissions (kgCO2e)]]*(1-BuildingsElectricityTable[[#This Row],[RSD]]))</f>
        <v/>
      </c>
      <c r="X106" s="271" t="str" cm="1">
        <f t="array" ref="X106">IF(OR($E106="",$I106=""),"",(INDEX('Emission factors'!$K$3:$V$201,MATCH('Buildings - Grid Electricity'!$E106&amp;$F106,'Emission factors'!$J$3:$J$201&amp;'Emission factors'!$K$3:$K$201,0),MATCH('Buildings - Grid Electricity'!X$6,'Emission factors'!$K$2:$V$2,0)))*$K106)</f>
        <v/>
      </c>
      <c r="Y106" s="30"/>
      <c r="Z106" s="1" cm="1">
        <f t="array" ref="Z106">IF(OR(ISERROR(B106:X106)),1,0)</f>
        <v>0</v>
      </c>
      <c r="AA106" s="1">
        <f t="shared" si="9"/>
        <v>0</v>
      </c>
    </row>
    <row r="107" spans="1:27" ht="15" outlineLevel="1" thickBot="1" x14ac:dyDescent="0.4">
      <c r="A107" s="319"/>
      <c r="B107" s="216"/>
      <c r="C107" s="216"/>
      <c r="D107" s="489" t="str">
        <f>IFERROR(INDEX(BuildingInformationTable[Site type],MATCH(BuildingsElectricityTable[[#This Row],[Site name]],BuildingInformationTable[Site name],0)),"")</f>
        <v/>
      </c>
      <c r="E107" s="490" t="str">
        <f t="shared" si="6"/>
        <v/>
      </c>
      <c r="F107" s="490" t="str">
        <f t="shared" si="7"/>
        <v/>
      </c>
      <c r="G107" s="491"/>
      <c r="H107" s="492" t="str">
        <f>IF(G107="","",INDEX(Lists!$BA$4:$BC$31,MATCH(E107,Lists!$AZ$4:$AZ$31,0),MATCH(G107,Lists!$BA$3:$BC$3,0)))</f>
        <v/>
      </c>
      <c r="I107" s="267"/>
      <c r="J107" s="490" t="str">
        <f t="shared" si="8"/>
        <v/>
      </c>
      <c r="K107" s="493" t="str" cm="1">
        <f t="array" ref="K107">IF(OR($E107="",$D107="",$I107="",$J107=""),"",IF(J107=L107,I107,(INDEX('Emission factors'!$K$3:$V$201,MATCH(E107&amp;F107,'Emission factors'!$J$3:$J$201&amp;'Emission factors'!$K$3:$K$201,0),MATCH(K$6,'Emission factors'!$K$2:$V$2,0)))*I107))</f>
        <v/>
      </c>
      <c r="L107" s="494" t="str">
        <f>IF(OR($E107="",$D107="",$I107="",$J107=""),"",INDEX('Emission factors'!$K$3:$V$201,MATCH('Buildings - Grid Electricity'!$E107,'Emission factors'!$J$3:$J$201,0),MATCH($L$6,'Emission factors'!$K$2:$V$2,0)))</f>
        <v/>
      </c>
      <c r="M107" s="495" t="str" cm="1">
        <f t="array" ref="M107">IF(OR(E107="",I107="",BuildingsElectricityTable[[#This Row],[Units]]=""),"",INDEX('Emission factors'!$K$3:$V$201,MATCH('Buildings - Grid Electricity'!$E107&amp;F107,'Emission factors'!$J$3:$J$201&amp;'Emission factors'!$K$3:$K$201,0),MATCH('Buildings - Grid Electricity'!$M$6,'Emission factors'!$K$2:$V$2,0)))</f>
        <v/>
      </c>
      <c r="N107" s="496" t="str">
        <f>IF(OR(K107="",M107=""),"",SUM(BuildingsElectricityTable[[#This Row],[Direct]:[Indirect WTT]]))</f>
        <v/>
      </c>
      <c r="O107" s="268"/>
      <c r="P107" s="497"/>
      <c r="Q107" s="157" t="str" cm="1">
        <f t="array" ref="Q107">IF(OR($E107="",$I107=""),"",(INDEX('Emission factors'!$K$3:$V$201,MATCH('Buildings - Grid Electricity'!$E107&amp;$F107,'Emission factors'!$J$3:$J$201&amp;'Emission factors'!$K$3:$K$201,0),MATCH('Buildings - Grid Electricity'!Q$6,'Emission factors'!$K$2:$V$2,0)))*$K107)</f>
        <v/>
      </c>
      <c r="R107" s="157" t="str" cm="1">
        <f t="array" ref="R107">IF(OR($E107="",$I107=""),"",(INDEX('Emission factors'!$K$3:$V$201,MATCH('Buildings - Grid Electricity'!$E107&amp;$F107,'Emission factors'!$J$3:$J$201&amp;'Emission factors'!$K$3:$K$201,0),MATCH('Buildings - Grid Electricity'!R$6,'Emission factors'!$K$2:$V$2,0)))*$K107)</f>
        <v/>
      </c>
      <c r="S107" s="157" t="str" cm="1">
        <f t="array" ref="S107">IF(OR($E107="",$I107=""),"",(INDEX('Emission factors'!$K$3:$V$201,MATCH('Buildings - Grid Electricity'!$E107&amp;$F107,'Emission factors'!$J$3:$J$201&amp;'Emission factors'!$K$3:$K$201,0),MATCH('Buildings - Grid Electricity'!S$6,'Emission factors'!$K$2:$V$2,0)))*$K107)</f>
        <v/>
      </c>
      <c r="T107" s="157" t="str" cm="1">
        <f t="array" ref="T107">IF(OR($E107="",$I107=""),"",(INDEX('Emission factors'!$K$3:$V$201,MATCH('Buildings - Grid Electricity'!$E107&amp;$F107,'Emission factors'!$J$3:$J$201&amp;'Emission factors'!$K$3:$K$201,0),MATCH('Buildings - Grid Electricity'!T$6,'Emission factors'!$K$2:$V$2,0)))*$K107)</f>
        <v/>
      </c>
      <c r="U107" s="157" t="str" cm="1">
        <f t="array" ref="U107">IF(OR($E107="",$I107=""),"",(INDEX('Emission factors'!$K$3:$V$201,MATCH('Buildings - Grid Electricity'!$E107&amp;$F107,'Emission factors'!$J$3:$J$201&amp;'Emission factors'!$K$3:$K$201,0),MATCH('Buildings - Grid Electricity'!U$6,'Emission factors'!$K$2:$V$2,0)))*$K107)</f>
        <v/>
      </c>
      <c r="V107" s="269" t="str">
        <f>IF(OR($N107="",BuildingsElectricityTable[[#This Row],[RSD]]=""),"",BuildingsElectricityTable[[#This Row],[Total emissions (kgCO2e)]]*(1+BuildingsElectricityTable[[#This Row],[RSD]]))</f>
        <v/>
      </c>
      <c r="W107" s="270" t="str">
        <f>IF(OR($N107="",BuildingsElectricityTable[[#This Row],[RSD]]=""),"",BuildingsElectricityTable[[#This Row],[Total emissions (kgCO2e)]]*(1-BuildingsElectricityTable[[#This Row],[RSD]]))</f>
        <v/>
      </c>
      <c r="X107" s="271" t="str" cm="1">
        <f t="array" ref="X107">IF(OR($E107="",$I107=""),"",(INDEX('Emission factors'!$K$3:$V$201,MATCH('Buildings - Grid Electricity'!$E107&amp;$F107,'Emission factors'!$J$3:$J$201&amp;'Emission factors'!$K$3:$K$201,0),MATCH('Buildings - Grid Electricity'!X$6,'Emission factors'!$K$2:$V$2,0)))*$K107)</f>
        <v/>
      </c>
      <c r="Y107" s="30"/>
      <c r="Z107" s="1" cm="1">
        <f t="array" ref="Z107">IF(OR(ISERROR(B107:X107)),1,0)</f>
        <v>0</v>
      </c>
      <c r="AA107" s="1">
        <f t="shared" si="9"/>
        <v>0</v>
      </c>
    </row>
    <row r="108" spans="1:27" ht="15" outlineLevel="1" thickBot="1" x14ac:dyDescent="0.4">
      <c r="A108" s="319"/>
      <c r="B108" s="216"/>
      <c r="C108" s="216"/>
      <c r="D108" s="489" t="str">
        <f>IFERROR(INDEX(BuildingInformationTable[Site type],MATCH(BuildingsElectricityTable[[#This Row],[Site name]],BuildingInformationTable[Site name],0)),"")</f>
        <v/>
      </c>
      <c r="E108" s="490" t="str">
        <f t="shared" si="6"/>
        <v/>
      </c>
      <c r="F108" s="490" t="str">
        <f t="shared" si="7"/>
        <v/>
      </c>
      <c r="G108" s="491"/>
      <c r="H108" s="492" t="str">
        <f>IF(G108="","",INDEX(Lists!$BA$4:$BC$31,MATCH(E108,Lists!$AZ$4:$AZ$31,0),MATCH(G108,Lists!$BA$3:$BC$3,0)))</f>
        <v/>
      </c>
      <c r="I108" s="267"/>
      <c r="J108" s="490" t="str">
        <f t="shared" si="8"/>
        <v/>
      </c>
      <c r="K108" s="493" t="str" cm="1">
        <f t="array" ref="K108">IF(OR($E108="",$D108="",$I108="",$J108=""),"",IF(J108=L108,I108,(INDEX('Emission factors'!$K$3:$V$201,MATCH(E108&amp;F108,'Emission factors'!$J$3:$J$201&amp;'Emission factors'!$K$3:$K$201,0),MATCH(K$6,'Emission factors'!$K$2:$V$2,0)))*I108))</f>
        <v/>
      </c>
      <c r="L108" s="494" t="str">
        <f>IF(OR($E108="",$D108="",$I108="",$J108=""),"",INDEX('Emission factors'!$K$3:$V$201,MATCH('Buildings - Grid Electricity'!$E108,'Emission factors'!$J$3:$J$201,0),MATCH($L$6,'Emission factors'!$K$2:$V$2,0)))</f>
        <v/>
      </c>
      <c r="M108" s="495" t="str" cm="1">
        <f t="array" ref="M108">IF(OR(E108="",I108="",BuildingsElectricityTable[[#This Row],[Units]]=""),"",INDEX('Emission factors'!$K$3:$V$201,MATCH('Buildings - Grid Electricity'!$E108&amp;F108,'Emission factors'!$J$3:$J$201&amp;'Emission factors'!$K$3:$K$201,0),MATCH('Buildings - Grid Electricity'!$M$6,'Emission factors'!$K$2:$V$2,0)))</f>
        <v/>
      </c>
      <c r="N108" s="496" t="str">
        <f>IF(OR(K108="",M108=""),"",SUM(BuildingsElectricityTable[[#This Row],[Direct]:[Indirect WTT]]))</f>
        <v/>
      </c>
      <c r="O108" s="268"/>
      <c r="P108" s="497"/>
      <c r="Q108" s="157" t="str" cm="1">
        <f t="array" ref="Q108">IF(OR($E108="",$I108=""),"",(INDEX('Emission factors'!$K$3:$V$201,MATCH('Buildings - Grid Electricity'!$E108&amp;$F108,'Emission factors'!$J$3:$J$201&amp;'Emission factors'!$K$3:$K$201,0),MATCH('Buildings - Grid Electricity'!Q$6,'Emission factors'!$K$2:$V$2,0)))*$K108)</f>
        <v/>
      </c>
      <c r="R108" s="157" t="str" cm="1">
        <f t="array" ref="R108">IF(OR($E108="",$I108=""),"",(INDEX('Emission factors'!$K$3:$V$201,MATCH('Buildings - Grid Electricity'!$E108&amp;$F108,'Emission factors'!$J$3:$J$201&amp;'Emission factors'!$K$3:$K$201,0),MATCH('Buildings - Grid Electricity'!R$6,'Emission factors'!$K$2:$V$2,0)))*$K108)</f>
        <v/>
      </c>
      <c r="S108" s="157" t="str" cm="1">
        <f t="array" ref="S108">IF(OR($E108="",$I108=""),"",(INDEX('Emission factors'!$K$3:$V$201,MATCH('Buildings - Grid Electricity'!$E108&amp;$F108,'Emission factors'!$J$3:$J$201&amp;'Emission factors'!$K$3:$K$201,0),MATCH('Buildings - Grid Electricity'!S$6,'Emission factors'!$K$2:$V$2,0)))*$K108)</f>
        <v/>
      </c>
      <c r="T108" s="157" t="str" cm="1">
        <f t="array" ref="T108">IF(OR($E108="",$I108=""),"",(INDEX('Emission factors'!$K$3:$V$201,MATCH('Buildings - Grid Electricity'!$E108&amp;$F108,'Emission factors'!$J$3:$J$201&amp;'Emission factors'!$K$3:$K$201,0),MATCH('Buildings - Grid Electricity'!T$6,'Emission factors'!$K$2:$V$2,0)))*$K108)</f>
        <v/>
      </c>
      <c r="U108" s="157" t="str" cm="1">
        <f t="array" ref="U108">IF(OR($E108="",$I108=""),"",(INDEX('Emission factors'!$K$3:$V$201,MATCH('Buildings - Grid Electricity'!$E108&amp;$F108,'Emission factors'!$J$3:$J$201&amp;'Emission factors'!$K$3:$K$201,0),MATCH('Buildings - Grid Electricity'!U$6,'Emission factors'!$K$2:$V$2,0)))*$K108)</f>
        <v/>
      </c>
      <c r="V108" s="269" t="str">
        <f>IF(OR($N108="",BuildingsElectricityTable[[#This Row],[RSD]]=""),"",BuildingsElectricityTable[[#This Row],[Total emissions (kgCO2e)]]*(1+BuildingsElectricityTable[[#This Row],[RSD]]))</f>
        <v/>
      </c>
      <c r="W108" s="270" t="str">
        <f>IF(OR($N108="",BuildingsElectricityTable[[#This Row],[RSD]]=""),"",BuildingsElectricityTable[[#This Row],[Total emissions (kgCO2e)]]*(1-BuildingsElectricityTable[[#This Row],[RSD]]))</f>
        <v/>
      </c>
      <c r="X108" s="271" t="str" cm="1">
        <f t="array" ref="X108">IF(OR($E108="",$I108=""),"",(INDEX('Emission factors'!$K$3:$V$201,MATCH('Buildings - Grid Electricity'!$E108&amp;$F108,'Emission factors'!$J$3:$J$201&amp;'Emission factors'!$K$3:$K$201,0),MATCH('Buildings - Grid Electricity'!X$6,'Emission factors'!$K$2:$V$2,0)))*$K108)</f>
        <v/>
      </c>
      <c r="Y108" s="30"/>
      <c r="Z108" s="1" cm="1">
        <f t="array" ref="Z108">IF(OR(ISERROR(B108:X108)),1,0)</f>
        <v>0</v>
      </c>
      <c r="AA108" s="1">
        <f t="shared" si="9"/>
        <v>0</v>
      </c>
    </row>
    <row r="109" spans="1:27" ht="15" outlineLevel="1" thickBot="1" x14ac:dyDescent="0.4">
      <c r="A109" s="319"/>
      <c r="B109" s="216"/>
      <c r="C109" s="216"/>
      <c r="D109" s="489" t="str">
        <f>IFERROR(INDEX(BuildingInformationTable[Site type],MATCH(BuildingsElectricityTable[[#This Row],[Site name]],BuildingInformationTable[Site name],0)),"")</f>
        <v/>
      </c>
      <c r="E109" s="490" t="str">
        <f t="shared" si="6"/>
        <v/>
      </c>
      <c r="F109" s="490" t="str">
        <f t="shared" si="7"/>
        <v/>
      </c>
      <c r="G109" s="491"/>
      <c r="H109" s="492" t="str">
        <f>IF(G109="","",INDEX(Lists!$BA$4:$BC$31,MATCH(E109,Lists!$AZ$4:$AZ$31,0),MATCH(G109,Lists!$BA$3:$BC$3,0)))</f>
        <v/>
      </c>
      <c r="I109" s="267"/>
      <c r="J109" s="490" t="str">
        <f t="shared" si="8"/>
        <v/>
      </c>
      <c r="K109" s="493" t="str" cm="1">
        <f t="array" ref="K109">IF(OR($E109="",$D109="",$I109="",$J109=""),"",IF(J109=L109,I109,(INDEX('Emission factors'!$K$3:$V$201,MATCH(E109&amp;F109,'Emission factors'!$J$3:$J$201&amp;'Emission factors'!$K$3:$K$201,0),MATCH(K$6,'Emission factors'!$K$2:$V$2,0)))*I109))</f>
        <v/>
      </c>
      <c r="L109" s="494" t="str">
        <f>IF(OR($E109="",$D109="",$I109="",$J109=""),"",INDEX('Emission factors'!$K$3:$V$201,MATCH('Buildings - Grid Electricity'!$E109,'Emission factors'!$J$3:$J$201,0),MATCH($L$6,'Emission factors'!$K$2:$V$2,0)))</f>
        <v/>
      </c>
      <c r="M109" s="495" t="str" cm="1">
        <f t="array" ref="M109">IF(OR(E109="",I109="",BuildingsElectricityTable[[#This Row],[Units]]=""),"",INDEX('Emission factors'!$K$3:$V$201,MATCH('Buildings - Grid Electricity'!$E109&amp;F109,'Emission factors'!$J$3:$J$201&amp;'Emission factors'!$K$3:$K$201,0),MATCH('Buildings - Grid Electricity'!$M$6,'Emission factors'!$K$2:$V$2,0)))</f>
        <v/>
      </c>
      <c r="N109" s="496" t="str">
        <f>IF(OR(K109="",M109=""),"",SUM(BuildingsElectricityTable[[#This Row],[Direct]:[Indirect WTT]]))</f>
        <v/>
      </c>
      <c r="O109" s="268"/>
      <c r="P109" s="497"/>
      <c r="Q109" s="157" t="str" cm="1">
        <f t="array" ref="Q109">IF(OR($E109="",$I109=""),"",(INDEX('Emission factors'!$K$3:$V$201,MATCH('Buildings - Grid Electricity'!$E109&amp;$F109,'Emission factors'!$J$3:$J$201&amp;'Emission factors'!$K$3:$K$201,0),MATCH('Buildings - Grid Electricity'!Q$6,'Emission factors'!$K$2:$V$2,0)))*$K109)</f>
        <v/>
      </c>
      <c r="R109" s="157" t="str" cm="1">
        <f t="array" ref="R109">IF(OR($E109="",$I109=""),"",(INDEX('Emission factors'!$K$3:$V$201,MATCH('Buildings - Grid Electricity'!$E109&amp;$F109,'Emission factors'!$J$3:$J$201&amp;'Emission factors'!$K$3:$K$201,0),MATCH('Buildings - Grid Electricity'!R$6,'Emission factors'!$K$2:$V$2,0)))*$K109)</f>
        <v/>
      </c>
      <c r="S109" s="157" t="str" cm="1">
        <f t="array" ref="S109">IF(OR($E109="",$I109=""),"",(INDEX('Emission factors'!$K$3:$V$201,MATCH('Buildings - Grid Electricity'!$E109&amp;$F109,'Emission factors'!$J$3:$J$201&amp;'Emission factors'!$K$3:$K$201,0),MATCH('Buildings - Grid Electricity'!S$6,'Emission factors'!$K$2:$V$2,0)))*$K109)</f>
        <v/>
      </c>
      <c r="T109" s="157" t="str" cm="1">
        <f t="array" ref="T109">IF(OR($E109="",$I109=""),"",(INDEX('Emission factors'!$K$3:$V$201,MATCH('Buildings - Grid Electricity'!$E109&amp;$F109,'Emission factors'!$J$3:$J$201&amp;'Emission factors'!$K$3:$K$201,0),MATCH('Buildings - Grid Electricity'!T$6,'Emission factors'!$K$2:$V$2,0)))*$K109)</f>
        <v/>
      </c>
      <c r="U109" s="157" t="str" cm="1">
        <f t="array" ref="U109">IF(OR($E109="",$I109=""),"",(INDEX('Emission factors'!$K$3:$V$201,MATCH('Buildings - Grid Electricity'!$E109&amp;$F109,'Emission factors'!$J$3:$J$201&amp;'Emission factors'!$K$3:$K$201,0),MATCH('Buildings - Grid Electricity'!U$6,'Emission factors'!$K$2:$V$2,0)))*$K109)</f>
        <v/>
      </c>
      <c r="V109" s="269" t="str">
        <f>IF(OR($N109="",BuildingsElectricityTable[[#This Row],[RSD]]=""),"",BuildingsElectricityTable[[#This Row],[Total emissions (kgCO2e)]]*(1+BuildingsElectricityTable[[#This Row],[RSD]]))</f>
        <v/>
      </c>
      <c r="W109" s="270" t="str">
        <f>IF(OR($N109="",BuildingsElectricityTable[[#This Row],[RSD]]=""),"",BuildingsElectricityTable[[#This Row],[Total emissions (kgCO2e)]]*(1-BuildingsElectricityTable[[#This Row],[RSD]]))</f>
        <v/>
      </c>
      <c r="X109" s="271" t="str" cm="1">
        <f t="array" ref="X109">IF(OR($E109="",$I109=""),"",(INDEX('Emission factors'!$K$3:$V$201,MATCH('Buildings - Grid Electricity'!$E109&amp;$F109,'Emission factors'!$J$3:$J$201&amp;'Emission factors'!$K$3:$K$201,0),MATCH('Buildings - Grid Electricity'!X$6,'Emission factors'!$K$2:$V$2,0)))*$K109)</f>
        <v/>
      </c>
      <c r="Y109" s="30"/>
      <c r="Z109" s="1" cm="1">
        <f t="array" ref="Z109">IF(OR(ISERROR(B109:X109)),1,0)</f>
        <v>0</v>
      </c>
      <c r="AA109" s="1">
        <f t="shared" si="9"/>
        <v>0</v>
      </c>
    </row>
    <row r="110" spans="1:27" ht="15" outlineLevel="1" thickBot="1" x14ac:dyDescent="0.4">
      <c r="A110" s="319"/>
      <c r="B110" s="216"/>
      <c r="C110" s="216"/>
      <c r="D110" s="489" t="str">
        <f>IFERROR(INDEX(BuildingInformationTable[Site type],MATCH(BuildingsElectricityTable[[#This Row],[Site name]],BuildingInformationTable[Site name],0)),"")</f>
        <v/>
      </c>
      <c r="E110" s="490" t="str">
        <f t="shared" si="6"/>
        <v/>
      </c>
      <c r="F110" s="490" t="str">
        <f t="shared" si="7"/>
        <v/>
      </c>
      <c r="G110" s="491"/>
      <c r="H110" s="492" t="str">
        <f>IF(G110="","",INDEX(Lists!$BA$4:$BC$31,MATCH(E110,Lists!$AZ$4:$AZ$31,0),MATCH(G110,Lists!$BA$3:$BC$3,0)))</f>
        <v/>
      </c>
      <c r="I110" s="267"/>
      <c r="J110" s="490" t="str">
        <f t="shared" si="8"/>
        <v/>
      </c>
      <c r="K110" s="493" t="str" cm="1">
        <f t="array" ref="K110">IF(OR($E110="",$D110="",$I110="",$J110=""),"",IF(J110=L110,I110,(INDEX('Emission factors'!$K$3:$V$201,MATCH(E110&amp;F110,'Emission factors'!$J$3:$J$201&amp;'Emission factors'!$K$3:$K$201,0),MATCH(K$6,'Emission factors'!$K$2:$V$2,0)))*I110))</f>
        <v/>
      </c>
      <c r="L110" s="494" t="str">
        <f>IF(OR($E110="",$D110="",$I110="",$J110=""),"",INDEX('Emission factors'!$K$3:$V$201,MATCH('Buildings - Grid Electricity'!$E110,'Emission factors'!$J$3:$J$201,0),MATCH($L$6,'Emission factors'!$K$2:$V$2,0)))</f>
        <v/>
      </c>
      <c r="M110" s="495" t="str" cm="1">
        <f t="array" ref="M110">IF(OR(E110="",I110="",BuildingsElectricityTable[[#This Row],[Units]]=""),"",INDEX('Emission factors'!$K$3:$V$201,MATCH('Buildings - Grid Electricity'!$E110&amp;F110,'Emission factors'!$J$3:$J$201&amp;'Emission factors'!$K$3:$K$201,0),MATCH('Buildings - Grid Electricity'!$M$6,'Emission factors'!$K$2:$V$2,0)))</f>
        <v/>
      </c>
      <c r="N110" s="496" t="str">
        <f>IF(OR(K110="",M110=""),"",SUM(BuildingsElectricityTable[[#This Row],[Direct]:[Indirect WTT]]))</f>
        <v/>
      </c>
      <c r="O110" s="268"/>
      <c r="P110" s="497"/>
      <c r="Q110" s="157" t="str" cm="1">
        <f t="array" ref="Q110">IF(OR($E110="",$I110=""),"",(INDEX('Emission factors'!$K$3:$V$201,MATCH('Buildings - Grid Electricity'!$E110&amp;$F110,'Emission factors'!$J$3:$J$201&amp;'Emission factors'!$K$3:$K$201,0),MATCH('Buildings - Grid Electricity'!Q$6,'Emission factors'!$K$2:$V$2,0)))*$K110)</f>
        <v/>
      </c>
      <c r="R110" s="157" t="str" cm="1">
        <f t="array" ref="R110">IF(OR($E110="",$I110=""),"",(INDEX('Emission factors'!$K$3:$V$201,MATCH('Buildings - Grid Electricity'!$E110&amp;$F110,'Emission factors'!$J$3:$J$201&amp;'Emission factors'!$K$3:$K$201,0),MATCH('Buildings - Grid Electricity'!R$6,'Emission factors'!$K$2:$V$2,0)))*$K110)</f>
        <v/>
      </c>
      <c r="S110" s="157" t="str" cm="1">
        <f t="array" ref="S110">IF(OR($E110="",$I110=""),"",(INDEX('Emission factors'!$K$3:$V$201,MATCH('Buildings - Grid Electricity'!$E110&amp;$F110,'Emission factors'!$J$3:$J$201&amp;'Emission factors'!$K$3:$K$201,0),MATCH('Buildings - Grid Electricity'!S$6,'Emission factors'!$K$2:$V$2,0)))*$K110)</f>
        <v/>
      </c>
      <c r="T110" s="157" t="str" cm="1">
        <f t="array" ref="T110">IF(OR($E110="",$I110=""),"",(INDEX('Emission factors'!$K$3:$V$201,MATCH('Buildings - Grid Electricity'!$E110&amp;$F110,'Emission factors'!$J$3:$J$201&amp;'Emission factors'!$K$3:$K$201,0),MATCH('Buildings - Grid Electricity'!T$6,'Emission factors'!$K$2:$V$2,0)))*$K110)</f>
        <v/>
      </c>
      <c r="U110" s="157" t="str" cm="1">
        <f t="array" ref="U110">IF(OR($E110="",$I110=""),"",(INDEX('Emission factors'!$K$3:$V$201,MATCH('Buildings - Grid Electricity'!$E110&amp;$F110,'Emission factors'!$J$3:$J$201&amp;'Emission factors'!$K$3:$K$201,0),MATCH('Buildings - Grid Electricity'!U$6,'Emission factors'!$K$2:$V$2,0)))*$K110)</f>
        <v/>
      </c>
      <c r="V110" s="269" t="str">
        <f>IF(OR($N110="",BuildingsElectricityTable[[#This Row],[RSD]]=""),"",BuildingsElectricityTable[[#This Row],[Total emissions (kgCO2e)]]*(1+BuildingsElectricityTable[[#This Row],[RSD]]))</f>
        <v/>
      </c>
      <c r="W110" s="270" t="str">
        <f>IF(OR($N110="",BuildingsElectricityTable[[#This Row],[RSD]]=""),"",BuildingsElectricityTable[[#This Row],[Total emissions (kgCO2e)]]*(1-BuildingsElectricityTable[[#This Row],[RSD]]))</f>
        <v/>
      </c>
      <c r="X110" s="271" t="str" cm="1">
        <f t="array" ref="X110">IF(OR($E110="",$I110=""),"",(INDEX('Emission factors'!$K$3:$V$201,MATCH('Buildings - Grid Electricity'!$E110&amp;$F110,'Emission factors'!$J$3:$J$201&amp;'Emission factors'!$K$3:$K$201,0),MATCH('Buildings - Grid Electricity'!X$6,'Emission factors'!$K$2:$V$2,0)))*$K110)</f>
        <v/>
      </c>
      <c r="Y110" s="30"/>
      <c r="Z110" s="1" cm="1">
        <f t="array" ref="Z110">IF(OR(ISERROR(B110:X110)),1,0)</f>
        <v>0</v>
      </c>
      <c r="AA110" s="1">
        <f t="shared" si="9"/>
        <v>0</v>
      </c>
    </row>
    <row r="111" spans="1:27" ht="15" outlineLevel="1" thickBot="1" x14ac:dyDescent="0.4">
      <c r="A111" s="319"/>
      <c r="B111" s="216"/>
      <c r="C111" s="216"/>
      <c r="D111" s="489" t="str">
        <f>IFERROR(INDEX(BuildingInformationTable[Site type],MATCH(BuildingsElectricityTable[[#This Row],[Site name]],BuildingInformationTable[Site name],0)),"")</f>
        <v/>
      </c>
      <c r="E111" s="490" t="str">
        <f t="shared" si="6"/>
        <v/>
      </c>
      <c r="F111" s="490" t="str">
        <f t="shared" si="7"/>
        <v/>
      </c>
      <c r="G111" s="491"/>
      <c r="H111" s="492" t="str">
        <f>IF(G111="","",INDEX(Lists!$BA$4:$BC$31,MATCH(E111,Lists!$AZ$4:$AZ$31,0),MATCH(G111,Lists!$BA$3:$BC$3,0)))</f>
        <v/>
      </c>
      <c r="I111" s="267"/>
      <c r="J111" s="490" t="str">
        <f t="shared" si="8"/>
        <v/>
      </c>
      <c r="K111" s="493" t="str" cm="1">
        <f t="array" ref="K111">IF(OR($E111="",$D111="",$I111="",$J111=""),"",IF(J111=L111,I111,(INDEX('Emission factors'!$K$3:$V$201,MATCH(E111&amp;F111,'Emission factors'!$J$3:$J$201&amp;'Emission factors'!$K$3:$K$201,0),MATCH(K$6,'Emission factors'!$K$2:$V$2,0)))*I111))</f>
        <v/>
      </c>
      <c r="L111" s="494" t="str">
        <f>IF(OR($E111="",$D111="",$I111="",$J111=""),"",INDEX('Emission factors'!$K$3:$V$201,MATCH('Buildings - Grid Electricity'!$E111,'Emission factors'!$J$3:$J$201,0),MATCH($L$6,'Emission factors'!$K$2:$V$2,0)))</f>
        <v/>
      </c>
      <c r="M111" s="495" t="str" cm="1">
        <f t="array" ref="M111">IF(OR(E111="",I111="",BuildingsElectricityTable[[#This Row],[Units]]=""),"",INDEX('Emission factors'!$K$3:$V$201,MATCH('Buildings - Grid Electricity'!$E111&amp;F111,'Emission factors'!$J$3:$J$201&amp;'Emission factors'!$K$3:$K$201,0),MATCH('Buildings - Grid Electricity'!$M$6,'Emission factors'!$K$2:$V$2,0)))</f>
        <v/>
      </c>
      <c r="N111" s="496" t="str">
        <f>IF(OR(K111="",M111=""),"",SUM(BuildingsElectricityTable[[#This Row],[Direct]:[Indirect WTT]]))</f>
        <v/>
      </c>
      <c r="O111" s="268"/>
      <c r="P111" s="497"/>
      <c r="Q111" s="157" t="str" cm="1">
        <f t="array" ref="Q111">IF(OR($E111="",$I111=""),"",(INDEX('Emission factors'!$K$3:$V$201,MATCH('Buildings - Grid Electricity'!$E111&amp;$F111,'Emission factors'!$J$3:$J$201&amp;'Emission factors'!$K$3:$K$201,0),MATCH('Buildings - Grid Electricity'!Q$6,'Emission factors'!$K$2:$V$2,0)))*$K111)</f>
        <v/>
      </c>
      <c r="R111" s="157" t="str" cm="1">
        <f t="array" ref="R111">IF(OR($E111="",$I111=""),"",(INDEX('Emission factors'!$K$3:$V$201,MATCH('Buildings - Grid Electricity'!$E111&amp;$F111,'Emission factors'!$J$3:$J$201&amp;'Emission factors'!$K$3:$K$201,0),MATCH('Buildings - Grid Electricity'!R$6,'Emission factors'!$K$2:$V$2,0)))*$K111)</f>
        <v/>
      </c>
      <c r="S111" s="157" t="str" cm="1">
        <f t="array" ref="S111">IF(OR($E111="",$I111=""),"",(INDEX('Emission factors'!$K$3:$V$201,MATCH('Buildings - Grid Electricity'!$E111&amp;$F111,'Emission factors'!$J$3:$J$201&amp;'Emission factors'!$K$3:$K$201,0),MATCH('Buildings - Grid Electricity'!S$6,'Emission factors'!$K$2:$V$2,0)))*$K111)</f>
        <v/>
      </c>
      <c r="T111" s="157" t="str" cm="1">
        <f t="array" ref="T111">IF(OR($E111="",$I111=""),"",(INDEX('Emission factors'!$K$3:$V$201,MATCH('Buildings - Grid Electricity'!$E111&amp;$F111,'Emission factors'!$J$3:$J$201&amp;'Emission factors'!$K$3:$K$201,0),MATCH('Buildings - Grid Electricity'!T$6,'Emission factors'!$K$2:$V$2,0)))*$K111)</f>
        <v/>
      </c>
      <c r="U111" s="157" t="str" cm="1">
        <f t="array" ref="U111">IF(OR($E111="",$I111=""),"",(INDEX('Emission factors'!$K$3:$V$201,MATCH('Buildings - Grid Electricity'!$E111&amp;$F111,'Emission factors'!$J$3:$J$201&amp;'Emission factors'!$K$3:$K$201,0),MATCH('Buildings - Grid Electricity'!U$6,'Emission factors'!$K$2:$V$2,0)))*$K111)</f>
        <v/>
      </c>
      <c r="V111" s="269" t="str">
        <f>IF(OR($N111="",BuildingsElectricityTable[[#This Row],[RSD]]=""),"",BuildingsElectricityTable[[#This Row],[Total emissions (kgCO2e)]]*(1+BuildingsElectricityTable[[#This Row],[RSD]]))</f>
        <v/>
      </c>
      <c r="W111" s="270" t="str">
        <f>IF(OR($N111="",BuildingsElectricityTable[[#This Row],[RSD]]=""),"",BuildingsElectricityTable[[#This Row],[Total emissions (kgCO2e)]]*(1-BuildingsElectricityTable[[#This Row],[RSD]]))</f>
        <v/>
      </c>
      <c r="X111" s="271" t="str" cm="1">
        <f t="array" ref="X111">IF(OR($E111="",$I111=""),"",(INDEX('Emission factors'!$K$3:$V$201,MATCH('Buildings - Grid Electricity'!$E111&amp;$F111,'Emission factors'!$J$3:$J$201&amp;'Emission factors'!$K$3:$K$201,0),MATCH('Buildings - Grid Electricity'!X$6,'Emission factors'!$K$2:$V$2,0)))*$K111)</f>
        <v/>
      </c>
      <c r="Y111" s="30"/>
      <c r="Z111" s="1" cm="1">
        <f t="array" ref="Z111">IF(OR(ISERROR(B111:X111)),1,0)</f>
        <v>0</v>
      </c>
      <c r="AA111" s="1">
        <f t="shared" si="9"/>
        <v>0</v>
      </c>
    </row>
    <row r="112" spans="1:27" ht="15" outlineLevel="1" thickBot="1" x14ac:dyDescent="0.4">
      <c r="A112" s="319"/>
      <c r="B112" s="216"/>
      <c r="C112" s="216"/>
      <c r="D112" s="489" t="str">
        <f>IFERROR(INDEX(BuildingInformationTable[Site type],MATCH(BuildingsElectricityTable[[#This Row],[Site name]],BuildingInformationTable[Site name],0)),"")</f>
        <v/>
      </c>
      <c r="E112" s="490" t="str">
        <f t="shared" si="6"/>
        <v/>
      </c>
      <c r="F112" s="490" t="str">
        <f t="shared" si="7"/>
        <v/>
      </c>
      <c r="G112" s="491"/>
      <c r="H112" s="492" t="str">
        <f>IF(G112="","",INDEX(Lists!$BA$4:$BC$31,MATCH(E112,Lists!$AZ$4:$AZ$31,0),MATCH(G112,Lists!$BA$3:$BC$3,0)))</f>
        <v/>
      </c>
      <c r="I112" s="267"/>
      <c r="J112" s="490" t="str">
        <f t="shared" si="8"/>
        <v/>
      </c>
      <c r="K112" s="493" t="str" cm="1">
        <f t="array" ref="K112">IF(OR($E112="",$D112="",$I112="",$J112=""),"",IF(J112=L112,I112,(INDEX('Emission factors'!$K$3:$V$201,MATCH(E112&amp;F112,'Emission factors'!$J$3:$J$201&amp;'Emission factors'!$K$3:$K$201,0),MATCH(K$6,'Emission factors'!$K$2:$V$2,0)))*I112))</f>
        <v/>
      </c>
      <c r="L112" s="494" t="str">
        <f>IF(OR($E112="",$D112="",$I112="",$J112=""),"",INDEX('Emission factors'!$K$3:$V$201,MATCH('Buildings - Grid Electricity'!$E112,'Emission factors'!$J$3:$J$201,0),MATCH($L$6,'Emission factors'!$K$2:$V$2,0)))</f>
        <v/>
      </c>
      <c r="M112" s="495" t="str" cm="1">
        <f t="array" ref="M112">IF(OR(E112="",I112="",BuildingsElectricityTable[[#This Row],[Units]]=""),"",INDEX('Emission factors'!$K$3:$V$201,MATCH('Buildings - Grid Electricity'!$E112&amp;F112,'Emission factors'!$J$3:$J$201&amp;'Emission factors'!$K$3:$K$201,0),MATCH('Buildings - Grid Electricity'!$M$6,'Emission factors'!$K$2:$V$2,0)))</f>
        <v/>
      </c>
      <c r="N112" s="496" t="str">
        <f>IF(OR(K112="",M112=""),"",SUM(BuildingsElectricityTable[[#This Row],[Direct]:[Indirect WTT]]))</f>
        <v/>
      </c>
      <c r="O112" s="268"/>
      <c r="P112" s="497"/>
      <c r="Q112" s="157" t="str" cm="1">
        <f t="array" ref="Q112">IF(OR($E112="",$I112=""),"",(INDEX('Emission factors'!$K$3:$V$201,MATCH('Buildings - Grid Electricity'!$E112&amp;$F112,'Emission factors'!$J$3:$J$201&amp;'Emission factors'!$K$3:$K$201,0),MATCH('Buildings - Grid Electricity'!Q$6,'Emission factors'!$K$2:$V$2,0)))*$K112)</f>
        <v/>
      </c>
      <c r="R112" s="157" t="str" cm="1">
        <f t="array" ref="R112">IF(OR($E112="",$I112=""),"",(INDEX('Emission factors'!$K$3:$V$201,MATCH('Buildings - Grid Electricity'!$E112&amp;$F112,'Emission factors'!$J$3:$J$201&amp;'Emission factors'!$K$3:$K$201,0),MATCH('Buildings - Grid Electricity'!R$6,'Emission factors'!$K$2:$V$2,0)))*$K112)</f>
        <v/>
      </c>
      <c r="S112" s="157" t="str" cm="1">
        <f t="array" ref="S112">IF(OR($E112="",$I112=""),"",(INDEX('Emission factors'!$K$3:$V$201,MATCH('Buildings - Grid Electricity'!$E112&amp;$F112,'Emission factors'!$J$3:$J$201&amp;'Emission factors'!$K$3:$K$201,0),MATCH('Buildings - Grid Electricity'!S$6,'Emission factors'!$K$2:$V$2,0)))*$K112)</f>
        <v/>
      </c>
      <c r="T112" s="157" t="str" cm="1">
        <f t="array" ref="T112">IF(OR($E112="",$I112=""),"",(INDEX('Emission factors'!$K$3:$V$201,MATCH('Buildings - Grid Electricity'!$E112&amp;$F112,'Emission factors'!$J$3:$J$201&amp;'Emission factors'!$K$3:$K$201,0),MATCH('Buildings - Grid Electricity'!T$6,'Emission factors'!$K$2:$V$2,0)))*$K112)</f>
        <v/>
      </c>
      <c r="U112" s="157" t="str" cm="1">
        <f t="array" ref="U112">IF(OR($E112="",$I112=""),"",(INDEX('Emission factors'!$K$3:$V$201,MATCH('Buildings - Grid Electricity'!$E112&amp;$F112,'Emission factors'!$J$3:$J$201&amp;'Emission factors'!$K$3:$K$201,0),MATCH('Buildings - Grid Electricity'!U$6,'Emission factors'!$K$2:$V$2,0)))*$K112)</f>
        <v/>
      </c>
      <c r="V112" s="269" t="str">
        <f>IF(OR($N112="",BuildingsElectricityTable[[#This Row],[RSD]]=""),"",BuildingsElectricityTable[[#This Row],[Total emissions (kgCO2e)]]*(1+BuildingsElectricityTable[[#This Row],[RSD]]))</f>
        <v/>
      </c>
      <c r="W112" s="270" t="str">
        <f>IF(OR($N112="",BuildingsElectricityTable[[#This Row],[RSD]]=""),"",BuildingsElectricityTable[[#This Row],[Total emissions (kgCO2e)]]*(1-BuildingsElectricityTable[[#This Row],[RSD]]))</f>
        <v/>
      </c>
      <c r="X112" s="271" t="str" cm="1">
        <f t="array" ref="X112">IF(OR($E112="",$I112=""),"",(INDEX('Emission factors'!$K$3:$V$201,MATCH('Buildings - Grid Electricity'!$E112&amp;$F112,'Emission factors'!$J$3:$J$201&amp;'Emission factors'!$K$3:$K$201,0),MATCH('Buildings - Grid Electricity'!X$6,'Emission factors'!$K$2:$V$2,0)))*$K112)</f>
        <v/>
      </c>
      <c r="Y112" s="30"/>
      <c r="Z112" s="1" cm="1">
        <f t="array" ref="Z112">IF(OR(ISERROR(B112:X112)),1,0)</f>
        <v>0</v>
      </c>
      <c r="AA112" s="1">
        <f t="shared" si="9"/>
        <v>0</v>
      </c>
    </row>
    <row r="113" spans="1:27" ht="15" outlineLevel="1" thickBot="1" x14ac:dyDescent="0.4">
      <c r="A113" s="319"/>
      <c r="B113" s="216"/>
      <c r="C113" s="216"/>
      <c r="D113" s="489" t="str">
        <f>IFERROR(INDEX(BuildingInformationTable[Site type],MATCH(BuildingsElectricityTable[[#This Row],[Site name]],BuildingInformationTable[Site name],0)),"")</f>
        <v/>
      </c>
      <c r="E113" s="490" t="str">
        <f t="shared" si="6"/>
        <v/>
      </c>
      <c r="F113" s="490" t="str">
        <f t="shared" si="7"/>
        <v/>
      </c>
      <c r="G113" s="491"/>
      <c r="H113" s="492" t="str">
        <f>IF(G113="","",INDEX(Lists!$BA$4:$BC$31,MATCH(E113,Lists!$AZ$4:$AZ$31,0),MATCH(G113,Lists!$BA$3:$BC$3,0)))</f>
        <v/>
      </c>
      <c r="I113" s="267"/>
      <c r="J113" s="490" t="str">
        <f t="shared" si="8"/>
        <v/>
      </c>
      <c r="K113" s="493" t="str" cm="1">
        <f t="array" ref="K113">IF(OR($E113="",$D113="",$I113="",$J113=""),"",IF(J113=L113,I113,(INDEX('Emission factors'!$K$3:$V$201,MATCH(E113&amp;F113,'Emission factors'!$J$3:$J$201&amp;'Emission factors'!$K$3:$K$201,0),MATCH(K$6,'Emission factors'!$K$2:$V$2,0)))*I113))</f>
        <v/>
      </c>
      <c r="L113" s="494" t="str">
        <f>IF(OR($E113="",$D113="",$I113="",$J113=""),"",INDEX('Emission factors'!$K$3:$V$201,MATCH('Buildings - Grid Electricity'!$E113,'Emission factors'!$J$3:$J$201,0),MATCH($L$6,'Emission factors'!$K$2:$V$2,0)))</f>
        <v/>
      </c>
      <c r="M113" s="495" t="str" cm="1">
        <f t="array" ref="M113">IF(OR(E113="",I113="",BuildingsElectricityTable[[#This Row],[Units]]=""),"",INDEX('Emission factors'!$K$3:$V$201,MATCH('Buildings - Grid Electricity'!$E113&amp;F113,'Emission factors'!$J$3:$J$201&amp;'Emission factors'!$K$3:$K$201,0),MATCH('Buildings - Grid Electricity'!$M$6,'Emission factors'!$K$2:$V$2,0)))</f>
        <v/>
      </c>
      <c r="N113" s="496" t="str">
        <f>IF(OR(K113="",M113=""),"",SUM(BuildingsElectricityTable[[#This Row],[Direct]:[Indirect WTT]]))</f>
        <v/>
      </c>
      <c r="O113" s="268"/>
      <c r="P113" s="497"/>
      <c r="Q113" s="157" t="str" cm="1">
        <f t="array" ref="Q113">IF(OR($E113="",$I113=""),"",(INDEX('Emission factors'!$K$3:$V$201,MATCH('Buildings - Grid Electricity'!$E113&amp;$F113,'Emission factors'!$J$3:$J$201&amp;'Emission factors'!$K$3:$K$201,0),MATCH('Buildings - Grid Electricity'!Q$6,'Emission factors'!$K$2:$V$2,0)))*$K113)</f>
        <v/>
      </c>
      <c r="R113" s="157" t="str" cm="1">
        <f t="array" ref="R113">IF(OR($E113="",$I113=""),"",(INDEX('Emission factors'!$K$3:$V$201,MATCH('Buildings - Grid Electricity'!$E113&amp;$F113,'Emission factors'!$J$3:$J$201&amp;'Emission factors'!$K$3:$K$201,0),MATCH('Buildings - Grid Electricity'!R$6,'Emission factors'!$K$2:$V$2,0)))*$K113)</f>
        <v/>
      </c>
      <c r="S113" s="157" t="str" cm="1">
        <f t="array" ref="S113">IF(OR($E113="",$I113=""),"",(INDEX('Emission factors'!$K$3:$V$201,MATCH('Buildings - Grid Electricity'!$E113&amp;$F113,'Emission factors'!$J$3:$J$201&amp;'Emission factors'!$K$3:$K$201,0),MATCH('Buildings - Grid Electricity'!S$6,'Emission factors'!$K$2:$V$2,0)))*$K113)</f>
        <v/>
      </c>
      <c r="T113" s="157" t="str" cm="1">
        <f t="array" ref="T113">IF(OR($E113="",$I113=""),"",(INDEX('Emission factors'!$K$3:$V$201,MATCH('Buildings - Grid Electricity'!$E113&amp;$F113,'Emission factors'!$J$3:$J$201&amp;'Emission factors'!$K$3:$K$201,0),MATCH('Buildings - Grid Electricity'!T$6,'Emission factors'!$K$2:$V$2,0)))*$K113)</f>
        <v/>
      </c>
      <c r="U113" s="157" t="str" cm="1">
        <f t="array" ref="U113">IF(OR($E113="",$I113=""),"",(INDEX('Emission factors'!$K$3:$V$201,MATCH('Buildings - Grid Electricity'!$E113&amp;$F113,'Emission factors'!$J$3:$J$201&amp;'Emission factors'!$K$3:$K$201,0),MATCH('Buildings - Grid Electricity'!U$6,'Emission factors'!$K$2:$V$2,0)))*$K113)</f>
        <v/>
      </c>
      <c r="V113" s="269" t="str">
        <f>IF(OR($N113="",BuildingsElectricityTable[[#This Row],[RSD]]=""),"",BuildingsElectricityTable[[#This Row],[Total emissions (kgCO2e)]]*(1+BuildingsElectricityTable[[#This Row],[RSD]]))</f>
        <v/>
      </c>
      <c r="W113" s="270" t="str">
        <f>IF(OR($N113="",BuildingsElectricityTable[[#This Row],[RSD]]=""),"",BuildingsElectricityTable[[#This Row],[Total emissions (kgCO2e)]]*(1-BuildingsElectricityTable[[#This Row],[RSD]]))</f>
        <v/>
      </c>
      <c r="X113" s="271" t="str" cm="1">
        <f t="array" ref="X113">IF(OR($E113="",$I113=""),"",(INDEX('Emission factors'!$K$3:$V$201,MATCH('Buildings - Grid Electricity'!$E113&amp;$F113,'Emission factors'!$J$3:$J$201&amp;'Emission factors'!$K$3:$K$201,0),MATCH('Buildings - Grid Electricity'!X$6,'Emission factors'!$K$2:$V$2,0)))*$K113)</f>
        <v/>
      </c>
      <c r="Y113" s="30"/>
      <c r="Z113" s="1" cm="1">
        <f t="array" ref="Z113">IF(OR(ISERROR(B113:X113)),1,0)</f>
        <v>0</v>
      </c>
      <c r="AA113" s="1">
        <f t="shared" si="9"/>
        <v>0</v>
      </c>
    </row>
    <row r="114" spans="1:27" ht="15" outlineLevel="1" thickBot="1" x14ac:dyDescent="0.4">
      <c r="A114" s="319"/>
      <c r="B114" s="216"/>
      <c r="C114" s="216"/>
      <c r="D114" s="489" t="str">
        <f>IFERROR(INDEX(BuildingInformationTable[Site type],MATCH(BuildingsElectricityTable[[#This Row],[Site name]],BuildingInformationTable[Site name],0)),"")</f>
        <v/>
      </c>
      <c r="E114" s="490" t="str">
        <f t="shared" si="6"/>
        <v/>
      </c>
      <c r="F114" s="490" t="str">
        <f t="shared" si="7"/>
        <v/>
      </c>
      <c r="G114" s="491"/>
      <c r="H114" s="492" t="str">
        <f>IF(G114="","",INDEX(Lists!$BA$4:$BC$31,MATCH(E114,Lists!$AZ$4:$AZ$31,0),MATCH(G114,Lists!$BA$3:$BC$3,0)))</f>
        <v/>
      </c>
      <c r="I114" s="267"/>
      <c r="J114" s="490" t="str">
        <f t="shared" si="8"/>
        <v/>
      </c>
      <c r="K114" s="493" t="str" cm="1">
        <f t="array" ref="K114">IF(OR($E114="",$D114="",$I114="",$J114=""),"",IF(J114=L114,I114,(INDEX('Emission factors'!$K$3:$V$201,MATCH(E114&amp;F114,'Emission factors'!$J$3:$J$201&amp;'Emission factors'!$K$3:$K$201,0),MATCH(K$6,'Emission factors'!$K$2:$V$2,0)))*I114))</f>
        <v/>
      </c>
      <c r="L114" s="494" t="str">
        <f>IF(OR($E114="",$D114="",$I114="",$J114=""),"",INDEX('Emission factors'!$K$3:$V$201,MATCH('Buildings - Grid Electricity'!$E114,'Emission factors'!$J$3:$J$201,0),MATCH($L$6,'Emission factors'!$K$2:$V$2,0)))</f>
        <v/>
      </c>
      <c r="M114" s="495" t="str" cm="1">
        <f t="array" ref="M114">IF(OR(E114="",I114="",BuildingsElectricityTable[[#This Row],[Units]]=""),"",INDEX('Emission factors'!$K$3:$V$201,MATCH('Buildings - Grid Electricity'!$E114&amp;F114,'Emission factors'!$J$3:$J$201&amp;'Emission factors'!$K$3:$K$201,0),MATCH('Buildings - Grid Electricity'!$M$6,'Emission factors'!$K$2:$V$2,0)))</f>
        <v/>
      </c>
      <c r="N114" s="496" t="str">
        <f>IF(OR(K114="",M114=""),"",SUM(BuildingsElectricityTable[[#This Row],[Direct]:[Indirect WTT]]))</f>
        <v/>
      </c>
      <c r="O114" s="268"/>
      <c r="P114" s="497"/>
      <c r="Q114" s="157" t="str" cm="1">
        <f t="array" ref="Q114">IF(OR($E114="",$I114=""),"",(INDEX('Emission factors'!$K$3:$V$201,MATCH('Buildings - Grid Electricity'!$E114&amp;$F114,'Emission factors'!$J$3:$J$201&amp;'Emission factors'!$K$3:$K$201,0),MATCH('Buildings - Grid Electricity'!Q$6,'Emission factors'!$K$2:$V$2,0)))*$K114)</f>
        <v/>
      </c>
      <c r="R114" s="157" t="str" cm="1">
        <f t="array" ref="R114">IF(OR($E114="",$I114=""),"",(INDEX('Emission factors'!$K$3:$V$201,MATCH('Buildings - Grid Electricity'!$E114&amp;$F114,'Emission factors'!$J$3:$J$201&amp;'Emission factors'!$K$3:$K$201,0),MATCH('Buildings - Grid Electricity'!R$6,'Emission factors'!$K$2:$V$2,0)))*$K114)</f>
        <v/>
      </c>
      <c r="S114" s="157" t="str" cm="1">
        <f t="array" ref="S114">IF(OR($E114="",$I114=""),"",(INDEX('Emission factors'!$K$3:$V$201,MATCH('Buildings - Grid Electricity'!$E114&amp;$F114,'Emission factors'!$J$3:$J$201&amp;'Emission factors'!$K$3:$K$201,0),MATCH('Buildings - Grid Electricity'!S$6,'Emission factors'!$K$2:$V$2,0)))*$K114)</f>
        <v/>
      </c>
      <c r="T114" s="157" t="str" cm="1">
        <f t="array" ref="T114">IF(OR($E114="",$I114=""),"",(INDEX('Emission factors'!$K$3:$V$201,MATCH('Buildings - Grid Electricity'!$E114&amp;$F114,'Emission factors'!$J$3:$J$201&amp;'Emission factors'!$K$3:$K$201,0),MATCH('Buildings - Grid Electricity'!T$6,'Emission factors'!$K$2:$V$2,0)))*$K114)</f>
        <v/>
      </c>
      <c r="U114" s="157" t="str" cm="1">
        <f t="array" ref="U114">IF(OR($E114="",$I114=""),"",(INDEX('Emission factors'!$K$3:$V$201,MATCH('Buildings - Grid Electricity'!$E114&amp;$F114,'Emission factors'!$J$3:$J$201&amp;'Emission factors'!$K$3:$K$201,0),MATCH('Buildings - Grid Electricity'!U$6,'Emission factors'!$K$2:$V$2,0)))*$K114)</f>
        <v/>
      </c>
      <c r="V114" s="269" t="str">
        <f>IF(OR($N114="",BuildingsElectricityTable[[#This Row],[RSD]]=""),"",BuildingsElectricityTable[[#This Row],[Total emissions (kgCO2e)]]*(1+BuildingsElectricityTable[[#This Row],[RSD]]))</f>
        <v/>
      </c>
      <c r="W114" s="270" t="str">
        <f>IF(OR($N114="",BuildingsElectricityTable[[#This Row],[RSD]]=""),"",BuildingsElectricityTable[[#This Row],[Total emissions (kgCO2e)]]*(1-BuildingsElectricityTable[[#This Row],[RSD]]))</f>
        <v/>
      </c>
      <c r="X114" s="271" t="str" cm="1">
        <f t="array" ref="X114">IF(OR($E114="",$I114=""),"",(INDEX('Emission factors'!$K$3:$V$201,MATCH('Buildings - Grid Electricity'!$E114&amp;$F114,'Emission factors'!$J$3:$J$201&amp;'Emission factors'!$K$3:$K$201,0),MATCH('Buildings - Grid Electricity'!X$6,'Emission factors'!$K$2:$V$2,0)))*$K114)</f>
        <v/>
      </c>
      <c r="Y114" s="30"/>
      <c r="Z114" s="1" cm="1">
        <f t="array" ref="Z114">IF(OR(ISERROR(B114:X114)),1,0)</f>
        <v>0</v>
      </c>
      <c r="AA114" s="1">
        <f t="shared" si="9"/>
        <v>0</v>
      </c>
    </row>
    <row r="115" spans="1:27" ht="15" outlineLevel="1" thickBot="1" x14ac:dyDescent="0.4">
      <c r="A115" s="319"/>
      <c r="B115" s="216"/>
      <c r="C115" s="216"/>
      <c r="D115" s="489" t="str">
        <f>IFERROR(INDEX(BuildingInformationTable[Site type],MATCH(BuildingsElectricityTable[[#This Row],[Site name]],BuildingInformationTable[Site name],0)),"")</f>
        <v/>
      </c>
      <c r="E115" s="490" t="str">
        <f t="shared" si="6"/>
        <v/>
      </c>
      <c r="F115" s="490" t="str">
        <f t="shared" si="7"/>
        <v/>
      </c>
      <c r="G115" s="491"/>
      <c r="H115" s="492" t="str">
        <f>IF(G115="","",INDEX(Lists!$BA$4:$BC$31,MATCH(E115,Lists!$AZ$4:$AZ$31,0),MATCH(G115,Lists!$BA$3:$BC$3,0)))</f>
        <v/>
      </c>
      <c r="I115" s="267"/>
      <c r="J115" s="490" t="str">
        <f t="shared" si="8"/>
        <v/>
      </c>
      <c r="K115" s="493" t="str" cm="1">
        <f t="array" ref="K115">IF(OR($E115="",$D115="",$I115="",$J115=""),"",IF(J115=L115,I115,(INDEX('Emission factors'!$K$3:$V$201,MATCH(E115&amp;F115,'Emission factors'!$J$3:$J$201&amp;'Emission factors'!$K$3:$K$201,0),MATCH(K$6,'Emission factors'!$K$2:$V$2,0)))*I115))</f>
        <v/>
      </c>
      <c r="L115" s="494" t="str">
        <f>IF(OR($E115="",$D115="",$I115="",$J115=""),"",INDEX('Emission factors'!$K$3:$V$201,MATCH('Buildings - Grid Electricity'!$E115,'Emission factors'!$J$3:$J$201,0),MATCH($L$6,'Emission factors'!$K$2:$V$2,0)))</f>
        <v/>
      </c>
      <c r="M115" s="495" t="str" cm="1">
        <f t="array" ref="M115">IF(OR(E115="",I115="",BuildingsElectricityTable[[#This Row],[Units]]=""),"",INDEX('Emission factors'!$K$3:$V$201,MATCH('Buildings - Grid Electricity'!$E115&amp;F115,'Emission factors'!$J$3:$J$201&amp;'Emission factors'!$K$3:$K$201,0),MATCH('Buildings - Grid Electricity'!$M$6,'Emission factors'!$K$2:$V$2,0)))</f>
        <v/>
      </c>
      <c r="N115" s="496" t="str">
        <f>IF(OR(K115="",M115=""),"",SUM(BuildingsElectricityTable[[#This Row],[Direct]:[Indirect WTT]]))</f>
        <v/>
      </c>
      <c r="O115" s="268"/>
      <c r="P115" s="497"/>
      <c r="Q115" s="157" t="str" cm="1">
        <f t="array" ref="Q115">IF(OR($E115="",$I115=""),"",(INDEX('Emission factors'!$K$3:$V$201,MATCH('Buildings - Grid Electricity'!$E115&amp;$F115,'Emission factors'!$J$3:$J$201&amp;'Emission factors'!$K$3:$K$201,0),MATCH('Buildings - Grid Electricity'!Q$6,'Emission factors'!$K$2:$V$2,0)))*$K115)</f>
        <v/>
      </c>
      <c r="R115" s="157" t="str" cm="1">
        <f t="array" ref="R115">IF(OR($E115="",$I115=""),"",(INDEX('Emission factors'!$K$3:$V$201,MATCH('Buildings - Grid Electricity'!$E115&amp;$F115,'Emission factors'!$J$3:$J$201&amp;'Emission factors'!$K$3:$K$201,0),MATCH('Buildings - Grid Electricity'!R$6,'Emission factors'!$K$2:$V$2,0)))*$K115)</f>
        <v/>
      </c>
      <c r="S115" s="157" t="str" cm="1">
        <f t="array" ref="S115">IF(OR($E115="",$I115=""),"",(INDEX('Emission factors'!$K$3:$V$201,MATCH('Buildings - Grid Electricity'!$E115&amp;$F115,'Emission factors'!$J$3:$J$201&amp;'Emission factors'!$K$3:$K$201,0),MATCH('Buildings - Grid Electricity'!S$6,'Emission factors'!$K$2:$V$2,0)))*$K115)</f>
        <v/>
      </c>
      <c r="T115" s="157" t="str" cm="1">
        <f t="array" ref="T115">IF(OR($E115="",$I115=""),"",(INDEX('Emission factors'!$K$3:$V$201,MATCH('Buildings - Grid Electricity'!$E115&amp;$F115,'Emission factors'!$J$3:$J$201&amp;'Emission factors'!$K$3:$K$201,0),MATCH('Buildings - Grid Electricity'!T$6,'Emission factors'!$K$2:$V$2,0)))*$K115)</f>
        <v/>
      </c>
      <c r="U115" s="157" t="str" cm="1">
        <f t="array" ref="U115">IF(OR($E115="",$I115=""),"",(INDEX('Emission factors'!$K$3:$V$201,MATCH('Buildings - Grid Electricity'!$E115&amp;$F115,'Emission factors'!$J$3:$J$201&amp;'Emission factors'!$K$3:$K$201,0),MATCH('Buildings - Grid Electricity'!U$6,'Emission factors'!$K$2:$V$2,0)))*$K115)</f>
        <v/>
      </c>
      <c r="V115" s="269" t="str">
        <f>IF(OR($N115="",BuildingsElectricityTable[[#This Row],[RSD]]=""),"",BuildingsElectricityTable[[#This Row],[Total emissions (kgCO2e)]]*(1+BuildingsElectricityTable[[#This Row],[RSD]]))</f>
        <v/>
      </c>
      <c r="W115" s="270" t="str">
        <f>IF(OR($N115="",BuildingsElectricityTable[[#This Row],[RSD]]=""),"",BuildingsElectricityTable[[#This Row],[Total emissions (kgCO2e)]]*(1-BuildingsElectricityTable[[#This Row],[RSD]]))</f>
        <v/>
      </c>
      <c r="X115" s="271" t="str" cm="1">
        <f t="array" ref="X115">IF(OR($E115="",$I115=""),"",(INDEX('Emission factors'!$K$3:$V$201,MATCH('Buildings - Grid Electricity'!$E115&amp;$F115,'Emission factors'!$J$3:$J$201&amp;'Emission factors'!$K$3:$K$201,0),MATCH('Buildings - Grid Electricity'!X$6,'Emission factors'!$K$2:$V$2,0)))*$K115)</f>
        <v/>
      </c>
      <c r="Y115" s="30"/>
      <c r="Z115" s="1" cm="1">
        <f t="array" ref="Z115">IF(OR(ISERROR(B115:X115)),1,0)</f>
        <v>0</v>
      </c>
      <c r="AA115" s="1">
        <f t="shared" si="9"/>
        <v>0</v>
      </c>
    </row>
    <row r="116" spans="1:27" ht="15" outlineLevel="1" thickBot="1" x14ac:dyDescent="0.4">
      <c r="A116" s="319"/>
      <c r="B116" s="216"/>
      <c r="C116" s="216"/>
      <c r="D116" s="489" t="str">
        <f>IFERROR(INDEX(BuildingInformationTable[Site type],MATCH(BuildingsElectricityTable[[#This Row],[Site name]],BuildingInformationTable[Site name],0)),"")</f>
        <v/>
      </c>
      <c r="E116" s="490" t="str">
        <f t="shared" si="6"/>
        <v/>
      </c>
      <c r="F116" s="490" t="str">
        <f t="shared" si="7"/>
        <v/>
      </c>
      <c r="G116" s="491"/>
      <c r="H116" s="492" t="str">
        <f>IF(G116="","",INDEX(Lists!$BA$4:$BC$31,MATCH(E116,Lists!$AZ$4:$AZ$31,0),MATCH(G116,Lists!$BA$3:$BC$3,0)))</f>
        <v/>
      </c>
      <c r="I116" s="267"/>
      <c r="J116" s="490" t="str">
        <f t="shared" si="8"/>
        <v/>
      </c>
      <c r="K116" s="493" t="str" cm="1">
        <f t="array" ref="K116">IF(OR($E116="",$D116="",$I116="",$J116=""),"",IF(J116=L116,I116,(INDEX('Emission factors'!$K$3:$V$201,MATCH(E116&amp;F116,'Emission factors'!$J$3:$J$201&amp;'Emission factors'!$K$3:$K$201,0),MATCH(K$6,'Emission factors'!$K$2:$V$2,0)))*I116))</f>
        <v/>
      </c>
      <c r="L116" s="494" t="str">
        <f>IF(OR($E116="",$D116="",$I116="",$J116=""),"",INDEX('Emission factors'!$K$3:$V$201,MATCH('Buildings - Grid Electricity'!$E116,'Emission factors'!$J$3:$J$201,0),MATCH($L$6,'Emission factors'!$K$2:$V$2,0)))</f>
        <v/>
      </c>
      <c r="M116" s="495" t="str" cm="1">
        <f t="array" ref="M116">IF(OR(E116="",I116="",BuildingsElectricityTable[[#This Row],[Units]]=""),"",INDEX('Emission factors'!$K$3:$V$201,MATCH('Buildings - Grid Electricity'!$E116&amp;F116,'Emission factors'!$J$3:$J$201&amp;'Emission factors'!$K$3:$K$201,0),MATCH('Buildings - Grid Electricity'!$M$6,'Emission factors'!$K$2:$V$2,0)))</f>
        <v/>
      </c>
      <c r="N116" s="496" t="str">
        <f>IF(OR(K116="",M116=""),"",SUM(BuildingsElectricityTable[[#This Row],[Direct]:[Indirect WTT]]))</f>
        <v/>
      </c>
      <c r="O116" s="268"/>
      <c r="P116" s="497"/>
      <c r="Q116" s="157" t="str" cm="1">
        <f t="array" ref="Q116">IF(OR($E116="",$I116=""),"",(INDEX('Emission factors'!$K$3:$V$201,MATCH('Buildings - Grid Electricity'!$E116&amp;$F116,'Emission factors'!$J$3:$J$201&amp;'Emission factors'!$K$3:$K$201,0),MATCH('Buildings - Grid Electricity'!Q$6,'Emission factors'!$K$2:$V$2,0)))*$K116)</f>
        <v/>
      </c>
      <c r="R116" s="157" t="str" cm="1">
        <f t="array" ref="R116">IF(OR($E116="",$I116=""),"",(INDEX('Emission factors'!$K$3:$V$201,MATCH('Buildings - Grid Electricity'!$E116&amp;$F116,'Emission factors'!$J$3:$J$201&amp;'Emission factors'!$K$3:$K$201,0),MATCH('Buildings - Grid Electricity'!R$6,'Emission factors'!$K$2:$V$2,0)))*$K116)</f>
        <v/>
      </c>
      <c r="S116" s="157" t="str" cm="1">
        <f t="array" ref="S116">IF(OR($E116="",$I116=""),"",(INDEX('Emission factors'!$K$3:$V$201,MATCH('Buildings - Grid Electricity'!$E116&amp;$F116,'Emission factors'!$J$3:$J$201&amp;'Emission factors'!$K$3:$K$201,0),MATCH('Buildings - Grid Electricity'!S$6,'Emission factors'!$K$2:$V$2,0)))*$K116)</f>
        <v/>
      </c>
      <c r="T116" s="157" t="str" cm="1">
        <f t="array" ref="T116">IF(OR($E116="",$I116=""),"",(INDEX('Emission factors'!$K$3:$V$201,MATCH('Buildings - Grid Electricity'!$E116&amp;$F116,'Emission factors'!$J$3:$J$201&amp;'Emission factors'!$K$3:$K$201,0),MATCH('Buildings - Grid Electricity'!T$6,'Emission factors'!$K$2:$V$2,0)))*$K116)</f>
        <v/>
      </c>
      <c r="U116" s="157" t="str" cm="1">
        <f t="array" ref="U116">IF(OR($E116="",$I116=""),"",(INDEX('Emission factors'!$K$3:$V$201,MATCH('Buildings - Grid Electricity'!$E116&amp;$F116,'Emission factors'!$J$3:$J$201&amp;'Emission factors'!$K$3:$K$201,0),MATCH('Buildings - Grid Electricity'!U$6,'Emission factors'!$K$2:$V$2,0)))*$K116)</f>
        <v/>
      </c>
      <c r="V116" s="269" t="str">
        <f>IF(OR($N116="",BuildingsElectricityTable[[#This Row],[RSD]]=""),"",BuildingsElectricityTable[[#This Row],[Total emissions (kgCO2e)]]*(1+BuildingsElectricityTable[[#This Row],[RSD]]))</f>
        <v/>
      </c>
      <c r="W116" s="270" t="str">
        <f>IF(OR($N116="",BuildingsElectricityTable[[#This Row],[RSD]]=""),"",BuildingsElectricityTable[[#This Row],[Total emissions (kgCO2e)]]*(1-BuildingsElectricityTable[[#This Row],[RSD]]))</f>
        <v/>
      </c>
      <c r="X116" s="271" t="str" cm="1">
        <f t="array" ref="X116">IF(OR($E116="",$I116=""),"",(INDEX('Emission factors'!$K$3:$V$201,MATCH('Buildings - Grid Electricity'!$E116&amp;$F116,'Emission factors'!$J$3:$J$201&amp;'Emission factors'!$K$3:$K$201,0),MATCH('Buildings - Grid Electricity'!X$6,'Emission factors'!$K$2:$V$2,0)))*$K116)</f>
        <v/>
      </c>
      <c r="Y116" s="30"/>
      <c r="Z116" s="1" cm="1">
        <f t="array" ref="Z116">IF(OR(ISERROR(B116:X116)),1,0)</f>
        <v>0</v>
      </c>
      <c r="AA116" s="1">
        <f t="shared" si="9"/>
        <v>0</v>
      </c>
    </row>
    <row r="117" spans="1:27" ht="15" outlineLevel="1" thickBot="1" x14ac:dyDescent="0.4">
      <c r="A117" s="319"/>
      <c r="B117" s="216"/>
      <c r="C117" s="216"/>
      <c r="D117" s="489" t="str">
        <f>IFERROR(INDEX(BuildingInformationTable[Site type],MATCH(BuildingsElectricityTable[[#This Row],[Site name]],BuildingInformationTable[Site name],0)),"")</f>
        <v/>
      </c>
      <c r="E117" s="490" t="str">
        <f t="shared" si="6"/>
        <v/>
      </c>
      <c r="F117" s="490" t="str">
        <f t="shared" si="7"/>
        <v/>
      </c>
      <c r="G117" s="491"/>
      <c r="H117" s="492" t="str">
        <f>IF(G117="","",INDEX(Lists!$BA$4:$BC$31,MATCH(E117,Lists!$AZ$4:$AZ$31,0),MATCH(G117,Lists!$BA$3:$BC$3,0)))</f>
        <v/>
      </c>
      <c r="I117" s="267"/>
      <c r="J117" s="490" t="str">
        <f t="shared" si="8"/>
        <v/>
      </c>
      <c r="K117" s="493" t="str" cm="1">
        <f t="array" ref="K117">IF(OR($E117="",$D117="",$I117="",$J117=""),"",IF(J117=L117,I117,(INDEX('Emission factors'!$K$3:$V$201,MATCH(E117&amp;F117,'Emission factors'!$J$3:$J$201&amp;'Emission factors'!$K$3:$K$201,0),MATCH(K$6,'Emission factors'!$K$2:$V$2,0)))*I117))</f>
        <v/>
      </c>
      <c r="L117" s="494" t="str">
        <f>IF(OR($E117="",$D117="",$I117="",$J117=""),"",INDEX('Emission factors'!$K$3:$V$201,MATCH('Buildings - Grid Electricity'!$E117,'Emission factors'!$J$3:$J$201,0),MATCH($L$6,'Emission factors'!$K$2:$V$2,0)))</f>
        <v/>
      </c>
      <c r="M117" s="495" t="str" cm="1">
        <f t="array" ref="M117">IF(OR(E117="",I117="",BuildingsElectricityTable[[#This Row],[Units]]=""),"",INDEX('Emission factors'!$K$3:$V$201,MATCH('Buildings - Grid Electricity'!$E117&amp;F117,'Emission factors'!$J$3:$J$201&amp;'Emission factors'!$K$3:$K$201,0),MATCH('Buildings - Grid Electricity'!$M$6,'Emission factors'!$K$2:$V$2,0)))</f>
        <v/>
      </c>
      <c r="N117" s="496" t="str">
        <f>IF(OR(K117="",M117=""),"",SUM(BuildingsElectricityTable[[#This Row],[Direct]:[Indirect WTT]]))</f>
        <v/>
      </c>
      <c r="O117" s="268"/>
      <c r="P117" s="497"/>
      <c r="Q117" s="157" t="str" cm="1">
        <f t="array" ref="Q117">IF(OR($E117="",$I117=""),"",(INDEX('Emission factors'!$K$3:$V$201,MATCH('Buildings - Grid Electricity'!$E117&amp;$F117,'Emission factors'!$J$3:$J$201&amp;'Emission factors'!$K$3:$K$201,0),MATCH('Buildings - Grid Electricity'!Q$6,'Emission factors'!$K$2:$V$2,0)))*$K117)</f>
        <v/>
      </c>
      <c r="R117" s="157" t="str" cm="1">
        <f t="array" ref="R117">IF(OR($E117="",$I117=""),"",(INDEX('Emission factors'!$K$3:$V$201,MATCH('Buildings - Grid Electricity'!$E117&amp;$F117,'Emission factors'!$J$3:$J$201&amp;'Emission factors'!$K$3:$K$201,0),MATCH('Buildings - Grid Electricity'!R$6,'Emission factors'!$K$2:$V$2,0)))*$K117)</f>
        <v/>
      </c>
      <c r="S117" s="157" t="str" cm="1">
        <f t="array" ref="S117">IF(OR($E117="",$I117=""),"",(INDEX('Emission factors'!$K$3:$V$201,MATCH('Buildings - Grid Electricity'!$E117&amp;$F117,'Emission factors'!$J$3:$J$201&amp;'Emission factors'!$K$3:$K$201,0),MATCH('Buildings - Grid Electricity'!S$6,'Emission factors'!$K$2:$V$2,0)))*$K117)</f>
        <v/>
      </c>
      <c r="T117" s="157" t="str" cm="1">
        <f t="array" ref="T117">IF(OR($E117="",$I117=""),"",(INDEX('Emission factors'!$K$3:$V$201,MATCH('Buildings - Grid Electricity'!$E117&amp;$F117,'Emission factors'!$J$3:$J$201&amp;'Emission factors'!$K$3:$K$201,0),MATCH('Buildings - Grid Electricity'!T$6,'Emission factors'!$K$2:$V$2,0)))*$K117)</f>
        <v/>
      </c>
      <c r="U117" s="157" t="str" cm="1">
        <f t="array" ref="U117">IF(OR($E117="",$I117=""),"",(INDEX('Emission factors'!$K$3:$V$201,MATCH('Buildings - Grid Electricity'!$E117&amp;$F117,'Emission factors'!$J$3:$J$201&amp;'Emission factors'!$K$3:$K$201,0),MATCH('Buildings - Grid Electricity'!U$6,'Emission factors'!$K$2:$V$2,0)))*$K117)</f>
        <v/>
      </c>
      <c r="V117" s="269" t="str">
        <f>IF(OR($N117="",BuildingsElectricityTable[[#This Row],[RSD]]=""),"",BuildingsElectricityTable[[#This Row],[Total emissions (kgCO2e)]]*(1+BuildingsElectricityTable[[#This Row],[RSD]]))</f>
        <v/>
      </c>
      <c r="W117" s="270" t="str">
        <f>IF(OR($N117="",BuildingsElectricityTable[[#This Row],[RSD]]=""),"",BuildingsElectricityTable[[#This Row],[Total emissions (kgCO2e)]]*(1-BuildingsElectricityTable[[#This Row],[RSD]]))</f>
        <v/>
      </c>
      <c r="X117" s="271" t="str" cm="1">
        <f t="array" ref="X117">IF(OR($E117="",$I117=""),"",(INDEX('Emission factors'!$K$3:$V$201,MATCH('Buildings - Grid Electricity'!$E117&amp;$F117,'Emission factors'!$J$3:$J$201&amp;'Emission factors'!$K$3:$K$201,0),MATCH('Buildings - Grid Electricity'!X$6,'Emission factors'!$K$2:$V$2,0)))*$K117)</f>
        <v/>
      </c>
      <c r="Y117" s="30"/>
      <c r="Z117" s="1" cm="1">
        <f t="array" ref="Z117">IF(OR(ISERROR(B117:X117)),1,0)</f>
        <v>0</v>
      </c>
      <c r="AA117" s="1">
        <f t="shared" si="9"/>
        <v>0</v>
      </c>
    </row>
    <row r="118" spans="1:27" ht="15" outlineLevel="1" thickBot="1" x14ac:dyDescent="0.4">
      <c r="A118" s="319"/>
      <c r="B118" s="216"/>
      <c r="C118" s="216"/>
      <c r="D118" s="489" t="str">
        <f>IFERROR(INDEX(BuildingInformationTable[Site type],MATCH(BuildingsElectricityTable[[#This Row],[Site name]],BuildingInformationTable[Site name],0)),"")</f>
        <v/>
      </c>
      <c r="E118" s="490" t="str">
        <f t="shared" si="6"/>
        <v/>
      </c>
      <c r="F118" s="490" t="str">
        <f t="shared" si="7"/>
        <v/>
      </c>
      <c r="G118" s="491"/>
      <c r="H118" s="492" t="str">
        <f>IF(G118="","",INDEX(Lists!$BA$4:$BC$31,MATCH(E118,Lists!$AZ$4:$AZ$31,0),MATCH(G118,Lists!$BA$3:$BC$3,0)))</f>
        <v/>
      </c>
      <c r="I118" s="267"/>
      <c r="J118" s="490" t="str">
        <f t="shared" si="8"/>
        <v/>
      </c>
      <c r="K118" s="493" t="str" cm="1">
        <f t="array" ref="K118">IF(OR($E118="",$D118="",$I118="",$J118=""),"",IF(J118=L118,I118,(INDEX('Emission factors'!$K$3:$V$201,MATCH(E118&amp;F118,'Emission factors'!$J$3:$J$201&amp;'Emission factors'!$K$3:$K$201,0),MATCH(K$6,'Emission factors'!$K$2:$V$2,0)))*I118))</f>
        <v/>
      </c>
      <c r="L118" s="494" t="str">
        <f>IF(OR($E118="",$D118="",$I118="",$J118=""),"",INDEX('Emission factors'!$K$3:$V$201,MATCH('Buildings - Grid Electricity'!$E118,'Emission factors'!$J$3:$J$201,0),MATCH($L$6,'Emission factors'!$K$2:$V$2,0)))</f>
        <v/>
      </c>
      <c r="M118" s="495" t="str" cm="1">
        <f t="array" ref="M118">IF(OR(E118="",I118="",BuildingsElectricityTable[[#This Row],[Units]]=""),"",INDEX('Emission factors'!$K$3:$V$201,MATCH('Buildings - Grid Electricity'!$E118&amp;F118,'Emission factors'!$J$3:$J$201&amp;'Emission factors'!$K$3:$K$201,0),MATCH('Buildings - Grid Electricity'!$M$6,'Emission factors'!$K$2:$V$2,0)))</f>
        <v/>
      </c>
      <c r="N118" s="496" t="str">
        <f>IF(OR(K118="",M118=""),"",SUM(BuildingsElectricityTable[[#This Row],[Direct]:[Indirect WTT]]))</f>
        <v/>
      </c>
      <c r="O118" s="268"/>
      <c r="P118" s="497"/>
      <c r="Q118" s="157" t="str" cm="1">
        <f t="array" ref="Q118">IF(OR($E118="",$I118=""),"",(INDEX('Emission factors'!$K$3:$V$201,MATCH('Buildings - Grid Electricity'!$E118&amp;$F118,'Emission factors'!$J$3:$J$201&amp;'Emission factors'!$K$3:$K$201,0),MATCH('Buildings - Grid Electricity'!Q$6,'Emission factors'!$K$2:$V$2,0)))*$K118)</f>
        <v/>
      </c>
      <c r="R118" s="157" t="str" cm="1">
        <f t="array" ref="R118">IF(OR($E118="",$I118=""),"",(INDEX('Emission factors'!$K$3:$V$201,MATCH('Buildings - Grid Electricity'!$E118&amp;$F118,'Emission factors'!$J$3:$J$201&amp;'Emission factors'!$K$3:$K$201,0),MATCH('Buildings - Grid Electricity'!R$6,'Emission factors'!$K$2:$V$2,0)))*$K118)</f>
        <v/>
      </c>
      <c r="S118" s="157" t="str" cm="1">
        <f t="array" ref="S118">IF(OR($E118="",$I118=""),"",(INDEX('Emission factors'!$K$3:$V$201,MATCH('Buildings - Grid Electricity'!$E118&amp;$F118,'Emission factors'!$J$3:$J$201&amp;'Emission factors'!$K$3:$K$201,0),MATCH('Buildings - Grid Electricity'!S$6,'Emission factors'!$K$2:$V$2,0)))*$K118)</f>
        <v/>
      </c>
      <c r="T118" s="157" t="str" cm="1">
        <f t="array" ref="T118">IF(OR($E118="",$I118=""),"",(INDEX('Emission factors'!$K$3:$V$201,MATCH('Buildings - Grid Electricity'!$E118&amp;$F118,'Emission factors'!$J$3:$J$201&amp;'Emission factors'!$K$3:$K$201,0),MATCH('Buildings - Grid Electricity'!T$6,'Emission factors'!$K$2:$V$2,0)))*$K118)</f>
        <v/>
      </c>
      <c r="U118" s="157" t="str" cm="1">
        <f t="array" ref="U118">IF(OR($E118="",$I118=""),"",(INDEX('Emission factors'!$K$3:$V$201,MATCH('Buildings - Grid Electricity'!$E118&amp;$F118,'Emission factors'!$J$3:$J$201&amp;'Emission factors'!$K$3:$K$201,0),MATCH('Buildings - Grid Electricity'!U$6,'Emission factors'!$K$2:$V$2,0)))*$K118)</f>
        <v/>
      </c>
      <c r="V118" s="269" t="str">
        <f>IF(OR($N118="",BuildingsElectricityTable[[#This Row],[RSD]]=""),"",BuildingsElectricityTable[[#This Row],[Total emissions (kgCO2e)]]*(1+BuildingsElectricityTable[[#This Row],[RSD]]))</f>
        <v/>
      </c>
      <c r="W118" s="270" t="str">
        <f>IF(OR($N118="",BuildingsElectricityTable[[#This Row],[RSD]]=""),"",BuildingsElectricityTable[[#This Row],[Total emissions (kgCO2e)]]*(1-BuildingsElectricityTable[[#This Row],[RSD]]))</f>
        <v/>
      </c>
      <c r="X118" s="271" t="str" cm="1">
        <f t="array" ref="X118">IF(OR($E118="",$I118=""),"",(INDEX('Emission factors'!$K$3:$V$201,MATCH('Buildings - Grid Electricity'!$E118&amp;$F118,'Emission factors'!$J$3:$J$201&amp;'Emission factors'!$K$3:$K$201,0),MATCH('Buildings - Grid Electricity'!X$6,'Emission factors'!$K$2:$V$2,0)))*$K118)</f>
        <v/>
      </c>
      <c r="Y118" s="30"/>
      <c r="Z118" s="1" cm="1">
        <f t="array" ref="Z118">IF(OR(ISERROR(B118:X118)),1,0)</f>
        <v>0</v>
      </c>
      <c r="AA118" s="1">
        <f t="shared" si="9"/>
        <v>0</v>
      </c>
    </row>
    <row r="119" spans="1:27" ht="15" outlineLevel="1" thickBot="1" x14ac:dyDescent="0.4">
      <c r="A119" s="319"/>
      <c r="B119" s="216"/>
      <c r="C119" s="216"/>
      <c r="D119" s="489" t="str">
        <f>IFERROR(INDEX(BuildingInformationTable[Site type],MATCH(BuildingsElectricityTable[[#This Row],[Site name]],BuildingInformationTable[Site name],0)),"")</f>
        <v/>
      </c>
      <c r="E119" s="490" t="str">
        <f t="shared" si="6"/>
        <v/>
      </c>
      <c r="F119" s="490" t="str">
        <f t="shared" si="7"/>
        <v/>
      </c>
      <c r="G119" s="491"/>
      <c r="H119" s="492" t="str">
        <f>IF(G119="","",INDEX(Lists!$BA$4:$BC$31,MATCH(E119,Lists!$AZ$4:$AZ$31,0),MATCH(G119,Lists!$BA$3:$BC$3,0)))</f>
        <v/>
      </c>
      <c r="I119" s="267"/>
      <c r="J119" s="490" t="str">
        <f t="shared" si="8"/>
        <v/>
      </c>
      <c r="K119" s="493" t="str" cm="1">
        <f t="array" ref="K119">IF(OR($E119="",$D119="",$I119="",$J119=""),"",IF(J119=L119,I119,(INDEX('Emission factors'!$K$3:$V$201,MATCH(E119&amp;F119,'Emission factors'!$J$3:$J$201&amp;'Emission factors'!$K$3:$K$201,0),MATCH(K$6,'Emission factors'!$K$2:$V$2,0)))*I119))</f>
        <v/>
      </c>
      <c r="L119" s="494" t="str">
        <f>IF(OR($E119="",$D119="",$I119="",$J119=""),"",INDEX('Emission factors'!$K$3:$V$201,MATCH('Buildings - Grid Electricity'!$E119,'Emission factors'!$J$3:$J$201,0),MATCH($L$6,'Emission factors'!$K$2:$V$2,0)))</f>
        <v/>
      </c>
      <c r="M119" s="495" t="str" cm="1">
        <f t="array" ref="M119">IF(OR(E119="",I119="",BuildingsElectricityTable[[#This Row],[Units]]=""),"",INDEX('Emission factors'!$K$3:$V$201,MATCH('Buildings - Grid Electricity'!$E119&amp;F119,'Emission factors'!$J$3:$J$201&amp;'Emission factors'!$K$3:$K$201,0),MATCH('Buildings - Grid Electricity'!$M$6,'Emission factors'!$K$2:$V$2,0)))</f>
        <v/>
      </c>
      <c r="N119" s="496" t="str">
        <f>IF(OR(K119="",M119=""),"",SUM(BuildingsElectricityTable[[#This Row],[Direct]:[Indirect WTT]]))</f>
        <v/>
      </c>
      <c r="O119" s="268"/>
      <c r="P119" s="497"/>
      <c r="Q119" s="157" t="str" cm="1">
        <f t="array" ref="Q119">IF(OR($E119="",$I119=""),"",(INDEX('Emission factors'!$K$3:$V$201,MATCH('Buildings - Grid Electricity'!$E119&amp;$F119,'Emission factors'!$J$3:$J$201&amp;'Emission factors'!$K$3:$K$201,0),MATCH('Buildings - Grid Electricity'!Q$6,'Emission factors'!$K$2:$V$2,0)))*$K119)</f>
        <v/>
      </c>
      <c r="R119" s="157" t="str" cm="1">
        <f t="array" ref="R119">IF(OR($E119="",$I119=""),"",(INDEX('Emission factors'!$K$3:$V$201,MATCH('Buildings - Grid Electricity'!$E119&amp;$F119,'Emission factors'!$J$3:$J$201&amp;'Emission factors'!$K$3:$K$201,0),MATCH('Buildings - Grid Electricity'!R$6,'Emission factors'!$K$2:$V$2,0)))*$K119)</f>
        <v/>
      </c>
      <c r="S119" s="157" t="str" cm="1">
        <f t="array" ref="S119">IF(OR($E119="",$I119=""),"",(INDEX('Emission factors'!$K$3:$V$201,MATCH('Buildings - Grid Electricity'!$E119&amp;$F119,'Emission factors'!$J$3:$J$201&amp;'Emission factors'!$K$3:$K$201,0),MATCH('Buildings - Grid Electricity'!S$6,'Emission factors'!$K$2:$V$2,0)))*$K119)</f>
        <v/>
      </c>
      <c r="T119" s="157" t="str" cm="1">
        <f t="array" ref="T119">IF(OR($E119="",$I119=""),"",(INDEX('Emission factors'!$K$3:$V$201,MATCH('Buildings - Grid Electricity'!$E119&amp;$F119,'Emission factors'!$J$3:$J$201&amp;'Emission factors'!$K$3:$K$201,0),MATCH('Buildings - Grid Electricity'!T$6,'Emission factors'!$K$2:$V$2,0)))*$K119)</f>
        <v/>
      </c>
      <c r="U119" s="157" t="str" cm="1">
        <f t="array" ref="U119">IF(OR($E119="",$I119=""),"",(INDEX('Emission factors'!$K$3:$V$201,MATCH('Buildings - Grid Electricity'!$E119&amp;$F119,'Emission factors'!$J$3:$J$201&amp;'Emission factors'!$K$3:$K$201,0),MATCH('Buildings - Grid Electricity'!U$6,'Emission factors'!$K$2:$V$2,0)))*$K119)</f>
        <v/>
      </c>
      <c r="V119" s="269" t="str">
        <f>IF(OR($N119="",BuildingsElectricityTable[[#This Row],[RSD]]=""),"",BuildingsElectricityTable[[#This Row],[Total emissions (kgCO2e)]]*(1+BuildingsElectricityTable[[#This Row],[RSD]]))</f>
        <v/>
      </c>
      <c r="W119" s="270" t="str">
        <f>IF(OR($N119="",BuildingsElectricityTable[[#This Row],[RSD]]=""),"",BuildingsElectricityTable[[#This Row],[Total emissions (kgCO2e)]]*(1-BuildingsElectricityTable[[#This Row],[RSD]]))</f>
        <v/>
      </c>
      <c r="X119" s="271" t="str" cm="1">
        <f t="array" ref="X119">IF(OR($E119="",$I119=""),"",(INDEX('Emission factors'!$K$3:$V$201,MATCH('Buildings - Grid Electricity'!$E119&amp;$F119,'Emission factors'!$J$3:$J$201&amp;'Emission factors'!$K$3:$K$201,0),MATCH('Buildings - Grid Electricity'!X$6,'Emission factors'!$K$2:$V$2,0)))*$K119)</f>
        <v/>
      </c>
      <c r="Y119" s="30"/>
      <c r="Z119" s="1" cm="1">
        <f t="array" ref="Z119">IF(OR(ISERROR(B119:X119)),1,0)</f>
        <v>0</v>
      </c>
      <c r="AA119" s="1">
        <f t="shared" si="9"/>
        <v>0</v>
      </c>
    </row>
    <row r="120" spans="1:27" ht="15" outlineLevel="1" thickBot="1" x14ac:dyDescent="0.4">
      <c r="A120" s="319"/>
      <c r="B120" s="216"/>
      <c r="C120" s="216"/>
      <c r="D120" s="489" t="str">
        <f>IFERROR(INDEX(BuildingInformationTable[Site type],MATCH(BuildingsElectricityTable[[#This Row],[Site name]],BuildingInformationTable[Site name],0)),"")</f>
        <v/>
      </c>
      <c r="E120" s="490" t="str">
        <f t="shared" si="6"/>
        <v/>
      </c>
      <c r="F120" s="490" t="str">
        <f t="shared" si="7"/>
        <v/>
      </c>
      <c r="G120" s="491"/>
      <c r="H120" s="492" t="str">
        <f>IF(G120="","",INDEX(Lists!$BA$4:$BC$31,MATCH(E120,Lists!$AZ$4:$AZ$31,0),MATCH(G120,Lists!$BA$3:$BC$3,0)))</f>
        <v/>
      </c>
      <c r="I120" s="267"/>
      <c r="J120" s="490" t="str">
        <f t="shared" si="8"/>
        <v/>
      </c>
      <c r="K120" s="493" t="str" cm="1">
        <f t="array" ref="K120">IF(OR($E120="",$D120="",$I120="",$J120=""),"",IF(J120=L120,I120,(INDEX('Emission factors'!$K$3:$V$201,MATCH(E120&amp;F120,'Emission factors'!$J$3:$J$201&amp;'Emission factors'!$K$3:$K$201,0),MATCH(K$6,'Emission factors'!$K$2:$V$2,0)))*I120))</f>
        <v/>
      </c>
      <c r="L120" s="494" t="str">
        <f>IF(OR($E120="",$D120="",$I120="",$J120=""),"",INDEX('Emission factors'!$K$3:$V$201,MATCH('Buildings - Grid Electricity'!$E120,'Emission factors'!$J$3:$J$201,0),MATCH($L$6,'Emission factors'!$K$2:$V$2,0)))</f>
        <v/>
      </c>
      <c r="M120" s="495" t="str" cm="1">
        <f t="array" ref="M120">IF(OR(E120="",I120="",BuildingsElectricityTable[[#This Row],[Units]]=""),"",INDEX('Emission factors'!$K$3:$V$201,MATCH('Buildings - Grid Electricity'!$E120&amp;F120,'Emission factors'!$J$3:$J$201&amp;'Emission factors'!$K$3:$K$201,0),MATCH('Buildings - Grid Electricity'!$M$6,'Emission factors'!$K$2:$V$2,0)))</f>
        <v/>
      </c>
      <c r="N120" s="496" t="str">
        <f>IF(OR(K120="",M120=""),"",SUM(BuildingsElectricityTable[[#This Row],[Direct]:[Indirect WTT]]))</f>
        <v/>
      </c>
      <c r="O120" s="268"/>
      <c r="P120" s="497"/>
      <c r="Q120" s="157" t="str" cm="1">
        <f t="array" ref="Q120">IF(OR($E120="",$I120=""),"",(INDEX('Emission factors'!$K$3:$V$201,MATCH('Buildings - Grid Electricity'!$E120&amp;$F120,'Emission factors'!$J$3:$J$201&amp;'Emission factors'!$K$3:$K$201,0),MATCH('Buildings - Grid Electricity'!Q$6,'Emission factors'!$K$2:$V$2,0)))*$K120)</f>
        <v/>
      </c>
      <c r="R120" s="157" t="str" cm="1">
        <f t="array" ref="R120">IF(OR($E120="",$I120=""),"",(INDEX('Emission factors'!$K$3:$V$201,MATCH('Buildings - Grid Electricity'!$E120&amp;$F120,'Emission factors'!$J$3:$J$201&amp;'Emission factors'!$K$3:$K$201,0),MATCH('Buildings - Grid Electricity'!R$6,'Emission factors'!$K$2:$V$2,0)))*$K120)</f>
        <v/>
      </c>
      <c r="S120" s="157" t="str" cm="1">
        <f t="array" ref="S120">IF(OR($E120="",$I120=""),"",(INDEX('Emission factors'!$K$3:$V$201,MATCH('Buildings - Grid Electricity'!$E120&amp;$F120,'Emission factors'!$J$3:$J$201&amp;'Emission factors'!$K$3:$K$201,0),MATCH('Buildings - Grid Electricity'!S$6,'Emission factors'!$K$2:$V$2,0)))*$K120)</f>
        <v/>
      </c>
      <c r="T120" s="157" t="str" cm="1">
        <f t="array" ref="T120">IF(OR($E120="",$I120=""),"",(INDEX('Emission factors'!$K$3:$V$201,MATCH('Buildings - Grid Electricity'!$E120&amp;$F120,'Emission factors'!$J$3:$J$201&amp;'Emission factors'!$K$3:$K$201,0),MATCH('Buildings - Grid Electricity'!T$6,'Emission factors'!$K$2:$V$2,0)))*$K120)</f>
        <v/>
      </c>
      <c r="U120" s="157" t="str" cm="1">
        <f t="array" ref="U120">IF(OR($E120="",$I120=""),"",(INDEX('Emission factors'!$K$3:$V$201,MATCH('Buildings - Grid Electricity'!$E120&amp;$F120,'Emission factors'!$J$3:$J$201&amp;'Emission factors'!$K$3:$K$201,0),MATCH('Buildings - Grid Electricity'!U$6,'Emission factors'!$K$2:$V$2,0)))*$K120)</f>
        <v/>
      </c>
      <c r="V120" s="269" t="str">
        <f>IF(OR($N120="",BuildingsElectricityTable[[#This Row],[RSD]]=""),"",BuildingsElectricityTable[[#This Row],[Total emissions (kgCO2e)]]*(1+BuildingsElectricityTable[[#This Row],[RSD]]))</f>
        <v/>
      </c>
      <c r="W120" s="270" t="str">
        <f>IF(OR($N120="",BuildingsElectricityTable[[#This Row],[RSD]]=""),"",BuildingsElectricityTable[[#This Row],[Total emissions (kgCO2e)]]*(1-BuildingsElectricityTable[[#This Row],[RSD]]))</f>
        <v/>
      </c>
      <c r="X120" s="271" t="str" cm="1">
        <f t="array" ref="X120">IF(OR($E120="",$I120=""),"",(INDEX('Emission factors'!$K$3:$V$201,MATCH('Buildings - Grid Electricity'!$E120&amp;$F120,'Emission factors'!$J$3:$J$201&amp;'Emission factors'!$K$3:$K$201,0),MATCH('Buildings - Grid Electricity'!X$6,'Emission factors'!$K$2:$V$2,0)))*$K120)</f>
        <v/>
      </c>
      <c r="Y120" s="30"/>
      <c r="Z120" s="1" cm="1">
        <f t="array" ref="Z120">IF(OR(ISERROR(B120:X120)),1,0)</f>
        <v>0</v>
      </c>
      <c r="AA120" s="1">
        <f t="shared" si="9"/>
        <v>0</v>
      </c>
    </row>
    <row r="121" spans="1:27" ht="15" outlineLevel="1" thickBot="1" x14ac:dyDescent="0.4">
      <c r="A121" s="319"/>
      <c r="B121" s="216"/>
      <c r="C121" s="216"/>
      <c r="D121" s="489" t="str">
        <f>IFERROR(INDEX(BuildingInformationTable[Site type],MATCH(BuildingsElectricityTable[[#This Row],[Site name]],BuildingInformationTable[Site name],0)),"")</f>
        <v/>
      </c>
      <c r="E121" s="490" t="str">
        <f t="shared" si="6"/>
        <v/>
      </c>
      <c r="F121" s="490" t="str">
        <f t="shared" si="7"/>
        <v/>
      </c>
      <c r="G121" s="491"/>
      <c r="H121" s="492" t="str">
        <f>IF(G121="","",INDEX(Lists!$BA$4:$BC$31,MATCH(E121,Lists!$AZ$4:$AZ$31,0),MATCH(G121,Lists!$BA$3:$BC$3,0)))</f>
        <v/>
      </c>
      <c r="I121" s="267"/>
      <c r="J121" s="490" t="str">
        <f t="shared" si="8"/>
        <v/>
      </c>
      <c r="K121" s="493" t="str" cm="1">
        <f t="array" ref="K121">IF(OR($E121="",$D121="",$I121="",$J121=""),"",IF(J121=L121,I121,(INDEX('Emission factors'!$K$3:$V$201,MATCH(E121&amp;F121,'Emission factors'!$J$3:$J$201&amp;'Emission factors'!$K$3:$K$201,0),MATCH(K$6,'Emission factors'!$K$2:$V$2,0)))*I121))</f>
        <v/>
      </c>
      <c r="L121" s="494" t="str">
        <f>IF(OR($E121="",$D121="",$I121="",$J121=""),"",INDEX('Emission factors'!$K$3:$V$201,MATCH('Buildings - Grid Electricity'!$E121,'Emission factors'!$J$3:$J$201,0),MATCH($L$6,'Emission factors'!$K$2:$V$2,0)))</f>
        <v/>
      </c>
      <c r="M121" s="495" t="str" cm="1">
        <f t="array" ref="M121">IF(OR(E121="",I121="",BuildingsElectricityTable[[#This Row],[Units]]=""),"",INDEX('Emission factors'!$K$3:$V$201,MATCH('Buildings - Grid Electricity'!$E121&amp;F121,'Emission factors'!$J$3:$J$201&amp;'Emission factors'!$K$3:$K$201,0),MATCH('Buildings - Grid Electricity'!$M$6,'Emission factors'!$K$2:$V$2,0)))</f>
        <v/>
      </c>
      <c r="N121" s="496" t="str">
        <f>IF(OR(K121="",M121=""),"",SUM(BuildingsElectricityTable[[#This Row],[Direct]:[Indirect WTT]]))</f>
        <v/>
      </c>
      <c r="O121" s="268"/>
      <c r="P121" s="497"/>
      <c r="Q121" s="157" t="str" cm="1">
        <f t="array" ref="Q121">IF(OR($E121="",$I121=""),"",(INDEX('Emission factors'!$K$3:$V$201,MATCH('Buildings - Grid Electricity'!$E121&amp;$F121,'Emission factors'!$J$3:$J$201&amp;'Emission factors'!$K$3:$K$201,0),MATCH('Buildings - Grid Electricity'!Q$6,'Emission factors'!$K$2:$V$2,0)))*$K121)</f>
        <v/>
      </c>
      <c r="R121" s="157" t="str" cm="1">
        <f t="array" ref="R121">IF(OR($E121="",$I121=""),"",(INDEX('Emission factors'!$K$3:$V$201,MATCH('Buildings - Grid Electricity'!$E121&amp;$F121,'Emission factors'!$J$3:$J$201&amp;'Emission factors'!$K$3:$K$201,0),MATCH('Buildings - Grid Electricity'!R$6,'Emission factors'!$K$2:$V$2,0)))*$K121)</f>
        <v/>
      </c>
      <c r="S121" s="157" t="str" cm="1">
        <f t="array" ref="S121">IF(OR($E121="",$I121=""),"",(INDEX('Emission factors'!$K$3:$V$201,MATCH('Buildings - Grid Electricity'!$E121&amp;$F121,'Emission factors'!$J$3:$J$201&amp;'Emission factors'!$K$3:$K$201,0),MATCH('Buildings - Grid Electricity'!S$6,'Emission factors'!$K$2:$V$2,0)))*$K121)</f>
        <v/>
      </c>
      <c r="T121" s="157" t="str" cm="1">
        <f t="array" ref="T121">IF(OR($E121="",$I121=""),"",(INDEX('Emission factors'!$K$3:$V$201,MATCH('Buildings - Grid Electricity'!$E121&amp;$F121,'Emission factors'!$J$3:$J$201&amp;'Emission factors'!$K$3:$K$201,0),MATCH('Buildings - Grid Electricity'!T$6,'Emission factors'!$K$2:$V$2,0)))*$K121)</f>
        <v/>
      </c>
      <c r="U121" s="157" t="str" cm="1">
        <f t="array" ref="U121">IF(OR($E121="",$I121=""),"",(INDEX('Emission factors'!$K$3:$V$201,MATCH('Buildings - Grid Electricity'!$E121&amp;$F121,'Emission factors'!$J$3:$J$201&amp;'Emission factors'!$K$3:$K$201,0),MATCH('Buildings - Grid Electricity'!U$6,'Emission factors'!$K$2:$V$2,0)))*$K121)</f>
        <v/>
      </c>
      <c r="V121" s="269" t="str">
        <f>IF(OR($N121="",BuildingsElectricityTable[[#This Row],[RSD]]=""),"",BuildingsElectricityTable[[#This Row],[Total emissions (kgCO2e)]]*(1+BuildingsElectricityTable[[#This Row],[RSD]]))</f>
        <v/>
      </c>
      <c r="W121" s="270" t="str">
        <f>IF(OR($N121="",BuildingsElectricityTable[[#This Row],[RSD]]=""),"",BuildingsElectricityTable[[#This Row],[Total emissions (kgCO2e)]]*(1-BuildingsElectricityTable[[#This Row],[RSD]]))</f>
        <v/>
      </c>
      <c r="X121" s="271" t="str" cm="1">
        <f t="array" ref="X121">IF(OR($E121="",$I121=""),"",(INDEX('Emission factors'!$K$3:$V$201,MATCH('Buildings - Grid Electricity'!$E121&amp;$F121,'Emission factors'!$J$3:$J$201&amp;'Emission factors'!$K$3:$K$201,0),MATCH('Buildings - Grid Electricity'!X$6,'Emission factors'!$K$2:$V$2,0)))*$K121)</f>
        <v/>
      </c>
      <c r="Y121" s="30"/>
      <c r="Z121" s="1" cm="1">
        <f t="array" ref="Z121">IF(OR(ISERROR(B121:X121)),1,0)</f>
        <v>0</v>
      </c>
      <c r="AA121" s="1">
        <f t="shared" si="9"/>
        <v>0</v>
      </c>
    </row>
    <row r="122" spans="1:27" ht="15" outlineLevel="1" thickBot="1" x14ac:dyDescent="0.4">
      <c r="A122" s="319"/>
      <c r="B122" s="216"/>
      <c r="C122" s="216"/>
      <c r="D122" s="489" t="str">
        <f>IFERROR(INDEX(BuildingInformationTable[Site type],MATCH(BuildingsElectricityTable[[#This Row],[Site name]],BuildingInformationTable[Site name],0)),"")</f>
        <v/>
      </c>
      <c r="E122" s="490" t="str">
        <f t="shared" si="6"/>
        <v/>
      </c>
      <c r="F122" s="490" t="str">
        <f t="shared" si="7"/>
        <v/>
      </c>
      <c r="G122" s="491"/>
      <c r="H122" s="492" t="str">
        <f>IF(G122="","",INDEX(Lists!$BA$4:$BC$31,MATCH(E122,Lists!$AZ$4:$AZ$31,0),MATCH(G122,Lists!$BA$3:$BC$3,0)))</f>
        <v/>
      </c>
      <c r="I122" s="267"/>
      <c r="J122" s="490" t="str">
        <f t="shared" si="8"/>
        <v/>
      </c>
      <c r="K122" s="493" t="str" cm="1">
        <f t="array" ref="K122">IF(OR($E122="",$D122="",$I122="",$J122=""),"",IF(J122=L122,I122,(INDEX('Emission factors'!$K$3:$V$201,MATCH(E122&amp;F122,'Emission factors'!$J$3:$J$201&amp;'Emission factors'!$K$3:$K$201,0),MATCH(K$6,'Emission factors'!$K$2:$V$2,0)))*I122))</f>
        <v/>
      </c>
      <c r="L122" s="494" t="str">
        <f>IF(OR($E122="",$D122="",$I122="",$J122=""),"",INDEX('Emission factors'!$K$3:$V$201,MATCH('Buildings - Grid Electricity'!$E122,'Emission factors'!$J$3:$J$201,0),MATCH($L$6,'Emission factors'!$K$2:$V$2,0)))</f>
        <v/>
      </c>
      <c r="M122" s="495" t="str" cm="1">
        <f t="array" ref="M122">IF(OR(E122="",I122="",BuildingsElectricityTable[[#This Row],[Units]]=""),"",INDEX('Emission factors'!$K$3:$V$201,MATCH('Buildings - Grid Electricity'!$E122&amp;F122,'Emission factors'!$J$3:$J$201&amp;'Emission factors'!$K$3:$K$201,0),MATCH('Buildings - Grid Electricity'!$M$6,'Emission factors'!$K$2:$V$2,0)))</f>
        <v/>
      </c>
      <c r="N122" s="496" t="str">
        <f>IF(OR(K122="",M122=""),"",SUM(BuildingsElectricityTable[[#This Row],[Direct]:[Indirect WTT]]))</f>
        <v/>
      </c>
      <c r="O122" s="268"/>
      <c r="P122" s="497"/>
      <c r="Q122" s="157" t="str" cm="1">
        <f t="array" ref="Q122">IF(OR($E122="",$I122=""),"",(INDEX('Emission factors'!$K$3:$V$201,MATCH('Buildings - Grid Electricity'!$E122&amp;$F122,'Emission factors'!$J$3:$J$201&amp;'Emission factors'!$K$3:$K$201,0),MATCH('Buildings - Grid Electricity'!Q$6,'Emission factors'!$K$2:$V$2,0)))*$K122)</f>
        <v/>
      </c>
      <c r="R122" s="157" t="str" cm="1">
        <f t="array" ref="R122">IF(OR($E122="",$I122=""),"",(INDEX('Emission factors'!$K$3:$V$201,MATCH('Buildings - Grid Electricity'!$E122&amp;$F122,'Emission factors'!$J$3:$J$201&amp;'Emission factors'!$K$3:$K$201,0),MATCH('Buildings - Grid Electricity'!R$6,'Emission factors'!$K$2:$V$2,0)))*$K122)</f>
        <v/>
      </c>
      <c r="S122" s="157" t="str" cm="1">
        <f t="array" ref="S122">IF(OR($E122="",$I122=""),"",(INDEX('Emission factors'!$K$3:$V$201,MATCH('Buildings - Grid Electricity'!$E122&amp;$F122,'Emission factors'!$J$3:$J$201&amp;'Emission factors'!$K$3:$K$201,0),MATCH('Buildings - Grid Electricity'!S$6,'Emission factors'!$K$2:$V$2,0)))*$K122)</f>
        <v/>
      </c>
      <c r="T122" s="157" t="str" cm="1">
        <f t="array" ref="T122">IF(OR($E122="",$I122=""),"",(INDEX('Emission factors'!$K$3:$V$201,MATCH('Buildings - Grid Electricity'!$E122&amp;$F122,'Emission factors'!$J$3:$J$201&amp;'Emission factors'!$K$3:$K$201,0),MATCH('Buildings - Grid Electricity'!T$6,'Emission factors'!$K$2:$V$2,0)))*$K122)</f>
        <v/>
      </c>
      <c r="U122" s="157" t="str" cm="1">
        <f t="array" ref="U122">IF(OR($E122="",$I122=""),"",(INDEX('Emission factors'!$K$3:$V$201,MATCH('Buildings - Grid Electricity'!$E122&amp;$F122,'Emission factors'!$J$3:$J$201&amp;'Emission factors'!$K$3:$K$201,0),MATCH('Buildings - Grid Electricity'!U$6,'Emission factors'!$K$2:$V$2,0)))*$K122)</f>
        <v/>
      </c>
      <c r="V122" s="269" t="str">
        <f>IF(OR($N122="",BuildingsElectricityTable[[#This Row],[RSD]]=""),"",BuildingsElectricityTable[[#This Row],[Total emissions (kgCO2e)]]*(1+BuildingsElectricityTable[[#This Row],[RSD]]))</f>
        <v/>
      </c>
      <c r="W122" s="270" t="str">
        <f>IF(OR($N122="",BuildingsElectricityTable[[#This Row],[RSD]]=""),"",BuildingsElectricityTable[[#This Row],[Total emissions (kgCO2e)]]*(1-BuildingsElectricityTable[[#This Row],[RSD]]))</f>
        <v/>
      </c>
      <c r="X122" s="271" t="str" cm="1">
        <f t="array" ref="X122">IF(OR($E122="",$I122=""),"",(INDEX('Emission factors'!$K$3:$V$201,MATCH('Buildings - Grid Electricity'!$E122&amp;$F122,'Emission factors'!$J$3:$J$201&amp;'Emission factors'!$K$3:$K$201,0),MATCH('Buildings - Grid Electricity'!X$6,'Emission factors'!$K$2:$V$2,0)))*$K122)</f>
        <v/>
      </c>
      <c r="Y122" s="30"/>
      <c r="Z122" s="1" cm="1">
        <f t="array" ref="Z122">IF(OR(ISERROR(B122:X122)),1,0)</f>
        <v>0</v>
      </c>
      <c r="AA122" s="1">
        <f t="shared" si="9"/>
        <v>0</v>
      </c>
    </row>
    <row r="123" spans="1:27" ht="15" outlineLevel="1" thickBot="1" x14ac:dyDescent="0.4">
      <c r="A123" s="319"/>
      <c r="B123" s="216"/>
      <c r="C123" s="216"/>
      <c r="D123" s="489" t="str">
        <f>IFERROR(INDEX(BuildingInformationTable[Site type],MATCH(BuildingsElectricityTable[[#This Row],[Site name]],BuildingInformationTable[Site name],0)),"")</f>
        <v/>
      </c>
      <c r="E123" s="490" t="str">
        <f t="shared" si="6"/>
        <v/>
      </c>
      <c r="F123" s="490" t="str">
        <f t="shared" si="7"/>
        <v/>
      </c>
      <c r="G123" s="491"/>
      <c r="H123" s="492" t="str">
        <f>IF(G123="","",INDEX(Lists!$BA$4:$BC$31,MATCH(E123,Lists!$AZ$4:$AZ$31,0),MATCH(G123,Lists!$BA$3:$BC$3,0)))</f>
        <v/>
      </c>
      <c r="I123" s="267"/>
      <c r="J123" s="490" t="str">
        <f t="shared" si="8"/>
        <v/>
      </c>
      <c r="K123" s="493" t="str" cm="1">
        <f t="array" ref="K123">IF(OR($E123="",$D123="",$I123="",$J123=""),"",IF(J123=L123,I123,(INDEX('Emission factors'!$K$3:$V$201,MATCH(E123&amp;F123,'Emission factors'!$J$3:$J$201&amp;'Emission factors'!$K$3:$K$201,0),MATCH(K$6,'Emission factors'!$K$2:$V$2,0)))*I123))</f>
        <v/>
      </c>
      <c r="L123" s="494" t="str">
        <f>IF(OR($E123="",$D123="",$I123="",$J123=""),"",INDEX('Emission factors'!$K$3:$V$201,MATCH('Buildings - Grid Electricity'!$E123,'Emission factors'!$J$3:$J$201,0),MATCH($L$6,'Emission factors'!$K$2:$V$2,0)))</f>
        <v/>
      </c>
      <c r="M123" s="495" t="str" cm="1">
        <f t="array" ref="M123">IF(OR(E123="",I123="",BuildingsElectricityTable[[#This Row],[Units]]=""),"",INDEX('Emission factors'!$K$3:$V$201,MATCH('Buildings - Grid Electricity'!$E123&amp;F123,'Emission factors'!$J$3:$J$201&amp;'Emission factors'!$K$3:$K$201,0),MATCH('Buildings - Grid Electricity'!$M$6,'Emission factors'!$K$2:$V$2,0)))</f>
        <v/>
      </c>
      <c r="N123" s="496" t="str">
        <f>IF(OR(K123="",M123=""),"",SUM(BuildingsElectricityTable[[#This Row],[Direct]:[Indirect WTT]]))</f>
        <v/>
      </c>
      <c r="O123" s="268"/>
      <c r="P123" s="497"/>
      <c r="Q123" s="157" t="str" cm="1">
        <f t="array" ref="Q123">IF(OR($E123="",$I123=""),"",(INDEX('Emission factors'!$K$3:$V$201,MATCH('Buildings - Grid Electricity'!$E123&amp;$F123,'Emission factors'!$J$3:$J$201&amp;'Emission factors'!$K$3:$K$201,0),MATCH('Buildings - Grid Electricity'!Q$6,'Emission factors'!$K$2:$V$2,0)))*$K123)</f>
        <v/>
      </c>
      <c r="R123" s="157" t="str" cm="1">
        <f t="array" ref="R123">IF(OR($E123="",$I123=""),"",(INDEX('Emission factors'!$K$3:$V$201,MATCH('Buildings - Grid Electricity'!$E123&amp;$F123,'Emission factors'!$J$3:$J$201&amp;'Emission factors'!$K$3:$K$201,0),MATCH('Buildings - Grid Electricity'!R$6,'Emission factors'!$K$2:$V$2,0)))*$K123)</f>
        <v/>
      </c>
      <c r="S123" s="157" t="str" cm="1">
        <f t="array" ref="S123">IF(OR($E123="",$I123=""),"",(INDEX('Emission factors'!$K$3:$V$201,MATCH('Buildings - Grid Electricity'!$E123&amp;$F123,'Emission factors'!$J$3:$J$201&amp;'Emission factors'!$K$3:$K$201,0),MATCH('Buildings - Grid Electricity'!S$6,'Emission factors'!$K$2:$V$2,0)))*$K123)</f>
        <v/>
      </c>
      <c r="T123" s="157" t="str" cm="1">
        <f t="array" ref="T123">IF(OR($E123="",$I123=""),"",(INDEX('Emission factors'!$K$3:$V$201,MATCH('Buildings - Grid Electricity'!$E123&amp;$F123,'Emission factors'!$J$3:$J$201&amp;'Emission factors'!$K$3:$K$201,0),MATCH('Buildings - Grid Electricity'!T$6,'Emission factors'!$K$2:$V$2,0)))*$K123)</f>
        <v/>
      </c>
      <c r="U123" s="157" t="str" cm="1">
        <f t="array" ref="U123">IF(OR($E123="",$I123=""),"",(INDEX('Emission factors'!$K$3:$V$201,MATCH('Buildings - Grid Electricity'!$E123&amp;$F123,'Emission factors'!$J$3:$J$201&amp;'Emission factors'!$K$3:$K$201,0),MATCH('Buildings - Grid Electricity'!U$6,'Emission factors'!$K$2:$V$2,0)))*$K123)</f>
        <v/>
      </c>
      <c r="V123" s="269" t="str">
        <f>IF(OR($N123="",BuildingsElectricityTable[[#This Row],[RSD]]=""),"",BuildingsElectricityTable[[#This Row],[Total emissions (kgCO2e)]]*(1+BuildingsElectricityTable[[#This Row],[RSD]]))</f>
        <v/>
      </c>
      <c r="W123" s="270" t="str">
        <f>IF(OR($N123="",BuildingsElectricityTable[[#This Row],[RSD]]=""),"",BuildingsElectricityTable[[#This Row],[Total emissions (kgCO2e)]]*(1-BuildingsElectricityTable[[#This Row],[RSD]]))</f>
        <v/>
      </c>
      <c r="X123" s="271" t="str" cm="1">
        <f t="array" ref="X123">IF(OR($E123="",$I123=""),"",(INDEX('Emission factors'!$K$3:$V$201,MATCH('Buildings - Grid Electricity'!$E123&amp;$F123,'Emission factors'!$J$3:$J$201&amp;'Emission factors'!$K$3:$K$201,0),MATCH('Buildings - Grid Electricity'!X$6,'Emission factors'!$K$2:$V$2,0)))*$K123)</f>
        <v/>
      </c>
      <c r="Y123" s="30"/>
      <c r="Z123" s="1" cm="1">
        <f t="array" ref="Z123">IF(OR(ISERROR(B123:X123)),1,0)</f>
        <v>0</v>
      </c>
      <c r="AA123" s="1">
        <f t="shared" si="9"/>
        <v>0</v>
      </c>
    </row>
    <row r="124" spans="1:27" ht="15" outlineLevel="1" thickBot="1" x14ac:dyDescent="0.4">
      <c r="A124" s="319"/>
      <c r="B124" s="216"/>
      <c r="C124" s="216"/>
      <c r="D124" s="489" t="str">
        <f>IFERROR(INDEX(BuildingInformationTable[Site type],MATCH(BuildingsElectricityTable[[#This Row],[Site name]],BuildingInformationTable[Site name],0)),"")</f>
        <v/>
      </c>
      <c r="E124" s="490" t="str">
        <f t="shared" si="6"/>
        <v/>
      </c>
      <c r="F124" s="490" t="str">
        <f t="shared" si="7"/>
        <v/>
      </c>
      <c r="G124" s="491"/>
      <c r="H124" s="492" t="str">
        <f>IF(G124="","",INDEX(Lists!$BA$4:$BC$31,MATCH(E124,Lists!$AZ$4:$AZ$31,0),MATCH(G124,Lists!$BA$3:$BC$3,0)))</f>
        <v/>
      </c>
      <c r="I124" s="267"/>
      <c r="J124" s="490" t="str">
        <f t="shared" si="8"/>
        <v/>
      </c>
      <c r="K124" s="493" t="str" cm="1">
        <f t="array" ref="K124">IF(OR($E124="",$D124="",$I124="",$J124=""),"",IF(J124=L124,I124,(INDEX('Emission factors'!$K$3:$V$201,MATCH(E124&amp;F124,'Emission factors'!$J$3:$J$201&amp;'Emission factors'!$K$3:$K$201,0),MATCH(K$6,'Emission factors'!$K$2:$V$2,0)))*I124))</f>
        <v/>
      </c>
      <c r="L124" s="494" t="str">
        <f>IF(OR($E124="",$D124="",$I124="",$J124=""),"",INDEX('Emission factors'!$K$3:$V$201,MATCH('Buildings - Grid Electricity'!$E124,'Emission factors'!$J$3:$J$201,0),MATCH($L$6,'Emission factors'!$K$2:$V$2,0)))</f>
        <v/>
      </c>
      <c r="M124" s="495" t="str" cm="1">
        <f t="array" ref="M124">IF(OR(E124="",I124="",BuildingsElectricityTable[[#This Row],[Units]]=""),"",INDEX('Emission factors'!$K$3:$V$201,MATCH('Buildings - Grid Electricity'!$E124&amp;F124,'Emission factors'!$J$3:$J$201&amp;'Emission factors'!$K$3:$K$201,0),MATCH('Buildings - Grid Electricity'!$M$6,'Emission factors'!$K$2:$V$2,0)))</f>
        <v/>
      </c>
      <c r="N124" s="496" t="str">
        <f>IF(OR(K124="",M124=""),"",SUM(BuildingsElectricityTable[[#This Row],[Direct]:[Indirect WTT]]))</f>
        <v/>
      </c>
      <c r="O124" s="268"/>
      <c r="P124" s="497"/>
      <c r="Q124" s="157" t="str" cm="1">
        <f t="array" ref="Q124">IF(OR($E124="",$I124=""),"",(INDEX('Emission factors'!$K$3:$V$201,MATCH('Buildings - Grid Electricity'!$E124&amp;$F124,'Emission factors'!$J$3:$J$201&amp;'Emission factors'!$K$3:$K$201,0),MATCH('Buildings - Grid Electricity'!Q$6,'Emission factors'!$K$2:$V$2,0)))*$K124)</f>
        <v/>
      </c>
      <c r="R124" s="157" t="str" cm="1">
        <f t="array" ref="R124">IF(OR($E124="",$I124=""),"",(INDEX('Emission factors'!$K$3:$V$201,MATCH('Buildings - Grid Electricity'!$E124&amp;$F124,'Emission factors'!$J$3:$J$201&amp;'Emission factors'!$K$3:$K$201,0),MATCH('Buildings - Grid Electricity'!R$6,'Emission factors'!$K$2:$V$2,0)))*$K124)</f>
        <v/>
      </c>
      <c r="S124" s="157" t="str" cm="1">
        <f t="array" ref="S124">IF(OR($E124="",$I124=""),"",(INDEX('Emission factors'!$K$3:$V$201,MATCH('Buildings - Grid Electricity'!$E124&amp;$F124,'Emission factors'!$J$3:$J$201&amp;'Emission factors'!$K$3:$K$201,0),MATCH('Buildings - Grid Electricity'!S$6,'Emission factors'!$K$2:$V$2,0)))*$K124)</f>
        <v/>
      </c>
      <c r="T124" s="157" t="str" cm="1">
        <f t="array" ref="T124">IF(OR($E124="",$I124=""),"",(INDEX('Emission factors'!$K$3:$V$201,MATCH('Buildings - Grid Electricity'!$E124&amp;$F124,'Emission factors'!$J$3:$J$201&amp;'Emission factors'!$K$3:$K$201,0),MATCH('Buildings - Grid Electricity'!T$6,'Emission factors'!$K$2:$V$2,0)))*$K124)</f>
        <v/>
      </c>
      <c r="U124" s="157" t="str" cm="1">
        <f t="array" ref="U124">IF(OR($E124="",$I124=""),"",(INDEX('Emission factors'!$K$3:$V$201,MATCH('Buildings - Grid Electricity'!$E124&amp;$F124,'Emission factors'!$J$3:$J$201&amp;'Emission factors'!$K$3:$K$201,0),MATCH('Buildings - Grid Electricity'!U$6,'Emission factors'!$K$2:$V$2,0)))*$K124)</f>
        <v/>
      </c>
      <c r="V124" s="269" t="str">
        <f>IF(OR($N124="",BuildingsElectricityTable[[#This Row],[RSD]]=""),"",BuildingsElectricityTable[[#This Row],[Total emissions (kgCO2e)]]*(1+BuildingsElectricityTable[[#This Row],[RSD]]))</f>
        <v/>
      </c>
      <c r="W124" s="270" t="str">
        <f>IF(OR($N124="",BuildingsElectricityTable[[#This Row],[RSD]]=""),"",BuildingsElectricityTable[[#This Row],[Total emissions (kgCO2e)]]*(1-BuildingsElectricityTable[[#This Row],[RSD]]))</f>
        <v/>
      </c>
      <c r="X124" s="271" t="str" cm="1">
        <f t="array" ref="X124">IF(OR($E124="",$I124=""),"",(INDEX('Emission factors'!$K$3:$V$201,MATCH('Buildings - Grid Electricity'!$E124&amp;$F124,'Emission factors'!$J$3:$J$201&amp;'Emission factors'!$K$3:$K$201,0),MATCH('Buildings - Grid Electricity'!X$6,'Emission factors'!$K$2:$V$2,0)))*$K124)</f>
        <v/>
      </c>
      <c r="Y124" s="30"/>
      <c r="Z124" s="1" cm="1">
        <f t="array" ref="Z124">IF(OR(ISERROR(B124:X124)),1,0)</f>
        <v>0</v>
      </c>
      <c r="AA124" s="1">
        <f t="shared" si="9"/>
        <v>0</v>
      </c>
    </row>
    <row r="125" spans="1:27" ht="15" outlineLevel="1" thickBot="1" x14ac:dyDescent="0.4">
      <c r="A125" s="319"/>
      <c r="B125" s="216"/>
      <c r="C125" s="216"/>
      <c r="D125" s="489" t="str">
        <f>IFERROR(INDEX(BuildingInformationTable[Site type],MATCH(BuildingsElectricityTable[[#This Row],[Site name]],BuildingInformationTable[Site name],0)),"")</f>
        <v/>
      </c>
      <c r="E125" s="490" t="str">
        <f t="shared" si="6"/>
        <v/>
      </c>
      <c r="F125" s="490" t="str">
        <f t="shared" si="7"/>
        <v/>
      </c>
      <c r="G125" s="491"/>
      <c r="H125" s="492" t="str">
        <f>IF(G125="","",INDEX(Lists!$BA$4:$BC$31,MATCH(E125,Lists!$AZ$4:$AZ$31,0),MATCH(G125,Lists!$BA$3:$BC$3,0)))</f>
        <v/>
      </c>
      <c r="I125" s="267"/>
      <c r="J125" s="490" t="str">
        <f t="shared" si="8"/>
        <v/>
      </c>
      <c r="K125" s="493" t="str" cm="1">
        <f t="array" ref="K125">IF(OR($E125="",$D125="",$I125="",$J125=""),"",IF(J125=L125,I125,(INDEX('Emission factors'!$K$3:$V$201,MATCH(E125&amp;F125,'Emission factors'!$J$3:$J$201&amp;'Emission factors'!$K$3:$K$201,0),MATCH(K$6,'Emission factors'!$K$2:$V$2,0)))*I125))</f>
        <v/>
      </c>
      <c r="L125" s="494" t="str">
        <f>IF(OR($E125="",$D125="",$I125="",$J125=""),"",INDEX('Emission factors'!$K$3:$V$201,MATCH('Buildings - Grid Electricity'!$E125,'Emission factors'!$J$3:$J$201,0),MATCH($L$6,'Emission factors'!$K$2:$V$2,0)))</f>
        <v/>
      </c>
      <c r="M125" s="495" t="str" cm="1">
        <f t="array" ref="M125">IF(OR(E125="",I125="",BuildingsElectricityTable[[#This Row],[Units]]=""),"",INDEX('Emission factors'!$K$3:$V$201,MATCH('Buildings - Grid Electricity'!$E125&amp;F125,'Emission factors'!$J$3:$J$201&amp;'Emission factors'!$K$3:$K$201,0),MATCH('Buildings - Grid Electricity'!$M$6,'Emission factors'!$K$2:$V$2,0)))</f>
        <v/>
      </c>
      <c r="N125" s="496" t="str">
        <f>IF(OR(K125="",M125=""),"",SUM(BuildingsElectricityTable[[#This Row],[Direct]:[Indirect WTT]]))</f>
        <v/>
      </c>
      <c r="O125" s="268"/>
      <c r="P125" s="497"/>
      <c r="Q125" s="157" t="str" cm="1">
        <f t="array" ref="Q125">IF(OR($E125="",$I125=""),"",(INDEX('Emission factors'!$K$3:$V$201,MATCH('Buildings - Grid Electricity'!$E125&amp;$F125,'Emission factors'!$J$3:$J$201&amp;'Emission factors'!$K$3:$K$201,0),MATCH('Buildings - Grid Electricity'!Q$6,'Emission factors'!$K$2:$V$2,0)))*$K125)</f>
        <v/>
      </c>
      <c r="R125" s="157" t="str" cm="1">
        <f t="array" ref="R125">IF(OR($E125="",$I125=""),"",(INDEX('Emission factors'!$K$3:$V$201,MATCH('Buildings - Grid Electricity'!$E125&amp;$F125,'Emission factors'!$J$3:$J$201&amp;'Emission factors'!$K$3:$K$201,0),MATCH('Buildings - Grid Electricity'!R$6,'Emission factors'!$K$2:$V$2,0)))*$K125)</f>
        <v/>
      </c>
      <c r="S125" s="157" t="str" cm="1">
        <f t="array" ref="S125">IF(OR($E125="",$I125=""),"",(INDEX('Emission factors'!$K$3:$V$201,MATCH('Buildings - Grid Electricity'!$E125&amp;$F125,'Emission factors'!$J$3:$J$201&amp;'Emission factors'!$K$3:$K$201,0),MATCH('Buildings - Grid Electricity'!S$6,'Emission factors'!$K$2:$V$2,0)))*$K125)</f>
        <v/>
      </c>
      <c r="T125" s="157" t="str" cm="1">
        <f t="array" ref="T125">IF(OR($E125="",$I125=""),"",(INDEX('Emission factors'!$K$3:$V$201,MATCH('Buildings - Grid Electricity'!$E125&amp;$F125,'Emission factors'!$J$3:$J$201&amp;'Emission factors'!$K$3:$K$201,0),MATCH('Buildings - Grid Electricity'!T$6,'Emission factors'!$K$2:$V$2,0)))*$K125)</f>
        <v/>
      </c>
      <c r="U125" s="157" t="str" cm="1">
        <f t="array" ref="U125">IF(OR($E125="",$I125=""),"",(INDEX('Emission factors'!$K$3:$V$201,MATCH('Buildings - Grid Electricity'!$E125&amp;$F125,'Emission factors'!$J$3:$J$201&amp;'Emission factors'!$K$3:$K$201,0),MATCH('Buildings - Grid Electricity'!U$6,'Emission factors'!$K$2:$V$2,0)))*$K125)</f>
        <v/>
      </c>
      <c r="V125" s="269" t="str">
        <f>IF(OR($N125="",BuildingsElectricityTable[[#This Row],[RSD]]=""),"",BuildingsElectricityTable[[#This Row],[Total emissions (kgCO2e)]]*(1+BuildingsElectricityTable[[#This Row],[RSD]]))</f>
        <v/>
      </c>
      <c r="W125" s="270" t="str">
        <f>IF(OR($N125="",BuildingsElectricityTable[[#This Row],[RSD]]=""),"",BuildingsElectricityTable[[#This Row],[Total emissions (kgCO2e)]]*(1-BuildingsElectricityTable[[#This Row],[RSD]]))</f>
        <v/>
      </c>
      <c r="X125" s="271" t="str" cm="1">
        <f t="array" ref="X125">IF(OR($E125="",$I125=""),"",(INDEX('Emission factors'!$K$3:$V$201,MATCH('Buildings - Grid Electricity'!$E125&amp;$F125,'Emission factors'!$J$3:$J$201&amp;'Emission factors'!$K$3:$K$201,0),MATCH('Buildings - Grid Electricity'!X$6,'Emission factors'!$K$2:$V$2,0)))*$K125)</f>
        <v/>
      </c>
      <c r="Y125" s="30"/>
      <c r="Z125" s="1" cm="1">
        <f t="array" ref="Z125">IF(OR(ISERROR(B125:X125)),1,0)</f>
        <v>0</v>
      </c>
      <c r="AA125" s="1">
        <f t="shared" si="9"/>
        <v>0</v>
      </c>
    </row>
    <row r="126" spans="1:27" ht="15" outlineLevel="1" thickBot="1" x14ac:dyDescent="0.4">
      <c r="A126" s="319"/>
      <c r="B126" s="216"/>
      <c r="C126" s="216"/>
      <c r="D126" s="489" t="str">
        <f>IFERROR(INDEX(BuildingInformationTable[Site type],MATCH(BuildingsElectricityTable[[#This Row],[Site name]],BuildingInformationTable[Site name],0)),"")</f>
        <v/>
      </c>
      <c r="E126" s="490" t="str">
        <f t="shared" si="6"/>
        <v/>
      </c>
      <c r="F126" s="490" t="str">
        <f t="shared" si="7"/>
        <v/>
      </c>
      <c r="G126" s="491"/>
      <c r="H126" s="492" t="str">
        <f>IF(G126="","",INDEX(Lists!$BA$4:$BC$31,MATCH(E126,Lists!$AZ$4:$AZ$31,0),MATCH(G126,Lists!$BA$3:$BC$3,0)))</f>
        <v/>
      </c>
      <c r="I126" s="267"/>
      <c r="J126" s="490" t="str">
        <f t="shared" si="8"/>
        <v/>
      </c>
      <c r="K126" s="493" t="str" cm="1">
        <f t="array" ref="K126">IF(OR($E126="",$D126="",$I126="",$J126=""),"",IF(J126=L126,I126,(INDEX('Emission factors'!$K$3:$V$201,MATCH(E126&amp;F126,'Emission factors'!$J$3:$J$201&amp;'Emission factors'!$K$3:$K$201,0),MATCH(K$6,'Emission factors'!$K$2:$V$2,0)))*I126))</f>
        <v/>
      </c>
      <c r="L126" s="494" t="str">
        <f>IF(OR($E126="",$D126="",$I126="",$J126=""),"",INDEX('Emission factors'!$K$3:$V$201,MATCH('Buildings - Grid Electricity'!$E126,'Emission factors'!$J$3:$J$201,0),MATCH($L$6,'Emission factors'!$K$2:$V$2,0)))</f>
        <v/>
      </c>
      <c r="M126" s="495" t="str" cm="1">
        <f t="array" ref="M126">IF(OR(E126="",I126="",BuildingsElectricityTable[[#This Row],[Units]]=""),"",INDEX('Emission factors'!$K$3:$V$201,MATCH('Buildings - Grid Electricity'!$E126&amp;F126,'Emission factors'!$J$3:$J$201&amp;'Emission factors'!$K$3:$K$201,0),MATCH('Buildings - Grid Electricity'!$M$6,'Emission factors'!$K$2:$V$2,0)))</f>
        <v/>
      </c>
      <c r="N126" s="496" t="str">
        <f>IF(OR(K126="",M126=""),"",SUM(BuildingsElectricityTable[[#This Row],[Direct]:[Indirect WTT]]))</f>
        <v/>
      </c>
      <c r="O126" s="268"/>
      <c r="P126" s="497"/>
      <c r="Q126" s="157" t="str" cm="1">
        <f t="array" ref="Q126">IF(OR($E126="",$I126=""),"",(INDEX('Emission factors'!$K$3:$V$201,MATCH('Buildings - Grid Electricity'!$E126&amp;$F126,'Emission factors'!$J$3:$J$201&amp;'Emission factors'!$K$3:$K$201,0),MATCH('Buildings - Grid Electricity'!Q$6,'Emission factors'!$K$2:$V$2,0)))*$K126)</f>
        <v/>
      </c>
      <c r="R126" s="157" t="str" cm="1">
        <f t="array" ref="R126">IF(OR($E126="",$I126=""),"",(INDEX('Emission factors'!$K$3:$V$201,MATCH('Buildings - Grid Electricity'!$E126&amp;$F126,'Emission factors'!$J$3:$J$201&amp;'Emission factors'!$K$3:$K$201,0),MATCH('Buildings - Grid Electricity'!R$6,'Emission factors'!$K$2:$V$2,0)))*$K126)</f>
        <v/>
      </c>
      <c r="S126" s="157" t="str" cm="1">
        <f t="array" ref="S126">IF(OR($E126="",$I126=""),"",(INDEX('Emission factors'!$K$3:$V$201,MATCH('Buildings - Grid Electricity'!$E126&amp;$F126,'Emission factors'!$J$3:$J$201&amp;'Emission factors'!$K$3:$K$201,0),MATCH('Buildings - Grid Electricity'!S$6,'Emission factors'!$K$2:$V$2,0)))*$K126)</f>
        <v/>
      </c>
      <c r="T126" s="157" t="str" cm="1">
        <f t="array" ref="T126">IF(OR($E126="",$I126=""),"",(INDEX('Emission factors'!$K$3:$V$201,MATCH('Buildings - Grid Electricity'!$E126&amp;$F126,'Emission factors'!$J$3:$J$201&amp;'Emission factors'!$K$3:$K$201,0),MATCH('Buildings - Grid Electricity'!T$6,'Emission factors'!$K$2:$V$2,0)))*$K126)</f>
        <v/>
      </c>
      <c r="U126" s="157" t="str" cm="1">
        <f t="array" ref="U126">IF(OR($E126="",$I126=""),"",(INDEX('Emission factors'!$K$3:$V$201,MATCH('Buildings - Grid Electricity'!$E126&amp;$F126,'Emission factors'!$J$3:$J$201&amp;'Emission factors'!$K$3:$K$201,0),MATCH('Buildings - Grid Electricity'!U$6,'Emission factors'!$K$2:$V$2,0)))*$K126)</f>
        <v/>
      </c>
      <c r="V126" s="269" t="str">
        <f>IF(OR($N126="",BuildingsElectricityTable[[#This Row],[RSD]]=""),"",BuildingsElectricityTable[[#This Row],[Total emissions (kgCO2e)]]*(1+BuildingsElectricityTable[[#This Row],[RSD]]))</f>
        <v/>
      </c>
      <c r="W126" s="270" t="str">
        <f>IF(OR($N126="",BuildingsElectricityTable[[#This Row],[RSD]]=""),"",BuildingsElectricityTable[[#This Row],[Total emissions (kgCO2e)]]*(1-BuildingsElectricityTable[[#This Row],[RSD]]))</f>
        <v/>
      </c>
      <c r="X126" s="271" t="str" cm="1">
        <f t="array" ref="X126">IF(OR($E126="",$I126=""),"",(INDEX('Emission factors'!$K$3:$V$201,MATCH('Buildings - Grid Electricity'!$E126&amp;$F126,'Emission factors'!$J$3:$J$201&amp;'Emission factors'!$K$3:$K$201,0),MATCH('Buildings - Grid Electricity'!X$6,'Emission factors'!$K$2:$V$2,0)))*$K126)</f>
        <v/>
      </c>
      <c r="Y126" s="30"/>
      <c r="Z126" s="1" cm="1">
        <f t="array" ref="Z126">IF(OR(ISERROR(B126:X126)),1,0)</f>
        <v>0</v>
      </c>
      <c r="AA126" s="1">
        <f t="shared" si="9"/>
        <v>0</v>
      </c>
    </row>
    <row r="127" spans="1:27" ht="15" outlineLevel="1" thickBot="1" x14ac:dyDescent="0.4">
      <c r="A127" s="319"/>
      <c r="B127" s="216"/>
      <c r="C127" s="216"/>
      <c r="D127" s="489" t="str">
        <f>IFERROR(INDEX(BuildingInformationTable[Site type],MATCH(BuildingsElectricityTable[[#This Row],[Site name]],BuildingInformationTable[Site name],0)),"")</f>
        <v/>
      </c>
      <c r="E127" s="490" t="str">
        <f t="shared" si="6"/>
        <v/>
      </c>
      <c r="F127" s="490" t="str">
        <f t="shared" si="7"/>
        <v/>
      </c>
      <c r="G127" s="491"/>
      <c r="H127" s="492" t="str">
        <f>IF(G127="","",INDEX(Lists!$BA$4:$BC$31,MATCH(E127,Lists!$AZ$4:$AZ$31,0),MATCH(G127,Lists!$BA$3:$BC$3,0)))</f>
        <v/>
      </c>
      <c r="I127" s="267"/>
      <c r="J127" s="490" t="str">
        <f t="shared" si="8"/>
        <v/>
      </c>
      <c r="K127" s="493" t="str" cm="1">
        <f t="array" ref="K127">IF(OR($E127="",$D127="",$I127="",$J127=""),"",IF(J127=L127,I127,(INDEX('Emission factors'!$K$3:$V$201,MATCH(E127&amp;F127,'Emission factors'!$J$3:$J$201&amp;'Emission factors'!$K$3:$K$201,0),MATCH(K$6,'Emission factors'!$K$2:$V$2,0)))*I127))</f>
        <v/>
      </c>
      <c r="L127" s="494" t="str">
        <f>IF(OR($E127="",$D127="",$I127="",$J127=""),"",INDEX('Emission factors'!$K$3:$V$201,MATCH('Buildings - Grid Electricity'!$E127,'Emission factors'!$J$3:$J$201,0),MATCH($L$6,'Emission factors'!$K$2:$V$2,0)))</f>
        <v/>
      </c>
      <c r="M127" s="495" t="str" cm="1">
        <f t="array" ref="M127">IF(OR(E127="",I127="",BuildingsElectricityTable[[#This Row],[Units]]=""),"",INDEX('Emission factors'!$K$3:$V$201,MATCH('Buildings - Grid Electricity'!$E127&amp;F127,'Emission factors'!$J$3:$J$201&amp;'Emission factors'!$K$3:$K$201,0),MATCH('Buildings - Grid Electricity'!$M$6,'Emission factors'!$K$2:$V$2,0)))</f>
        <v/>
      </c>
      <c r="N127" s="496" t="str">
        <f>IF(OR(K127="",M127=""),"",SUM(BuildingsElectricityTable[[#This Row],[Direct]:[Indirect WTT]]))</f>
        <v/>
      </c>
      <c r="O127" s="268"/>
      <c r="P127" s="497"/>
      <c r="Q127" s="157" t="str" cm="1">
        <f t="array" ref="Q127">IF(OR($E127="",$I127=""),"",(INDEX('Emission factors'!$K$3:$V$201,MATCH('Buildings - Grid Electricity'!$E127&amp;$F127,'Emission factors'!$J$3:$J$201&amp;'Emission factors'!$K$3:$K$201,0),MATCH('Buildings - Grid Electricity'!Q$6,'Emission factors'!$K$2:$V$2,0)))*$K127)</f>
        <v/>
      </c>
      <c r="R127" s="157" t="str" cm="1">
        <f t="array" ref="R127">IF(OR($E127="",$I127=""),"",(INDEX('Emission factors'!$K$3:$V$201,MATCH('Buildings - Grid Electricity'!$E127&amp;$F127,'Emission factors'!$J$3:$J$201&amp;'Emission factors'!$K$3:$K$201,0),MATCH('Buildings - Grid Electricity'!R$6,'Emission factors'!$K$2:$V$2,0)))*$K127)</f>
        <v/>
      </c>
      <c r="S127" s="157" t="str" cm="1">
        <f t="array" ref="S127">IF(OR($E127="",$I127=""),"",(INDEX('Emission factors'!$K$3:$V$201,MATCH('Buildings - Grid Electricity'!$E127&amp;$F127,'Emission factors'!$J$3:$J$201&amp;'Emission factors'!$K$3:$K$201,0),MATCH('Buildings - Grid Electricity'!S$6,'Emission factors'!$K$2:$V$2,0)))*$K127)</f>
        <v/>
      </c>
      <c r="T127" s="157" t="str" cm="1">
        <f t="array" ref="T127">IF(OR($E127="",$I127=""),"",(INDEX('Emission factors'!$K$3:$V$201,MATCH('Buildings - Grid Electricity'!$E127&amp;$F127,'Emission factors'!$J$3:$J$201&amp;'Emission factors'!$K$3:$K$201,0),MATCH('Buildings - Grid Electricity'!T$6,'Emission factors'!$K$2:$V$2,0)))*$K127)</f>
        <v/>
      </c>
      <c r="U127" s="157" t="str" cm="1">
        <f t="array" ref="U127">IF(OR($E127="",$I127=""),"",(INDEX('Emission factors'!$K$3:$V$201,MATCH('Buildings - Grid Electricity'!$E127&amp;$F127,'Emission factors'!$J$3:$J$201&amp;'Emission factors'!$K$3:$K$201,0),MATCH('Buildings - Grid Electricity'!U$6,'Emission factors'!$K$2:$V$2,0)))*$K127)</f>
        <v/>
      </c>
      <c r="V127" s="269" t="str">
        <f>IF(OR($N127="",BuildingsElectricityTable[[#This Row],[RSD]]=""),"",BuildingsElectricityTable[[#This Row],[Total emissions (kgCO2e)]]*(1+BuildingsElectricityTable[[#This Row],[RSD]]))</f>
        <v/>
      </c>
      <c r="W127" s="270" t="str">
        <f>IF(OR($N127="",BuildingsElectricityTable[[#This Row],[RSD]]=""),"",BuildingsElectricityTable[[#This Row],[Total emissions (kgCO2e)]]*(1-BuildingsElectricityTable[[#This Row],[RSD]]))</f>
        <v/>
      </c>
      <c r="X127" s="271" t="str" cm="1">
        <f t="array" ref="X127">IF(OR($E127="",$I127=""),"",(INDEX('Emission factors'!$K$3:$V$201,MATCH('Buildings - Grid Electricity'!$E127&amp;$F127,'Emission factors'!$J$3:$J$201&amp;'Emission factors'!$K$3:$K$201,0),MATCH('Buildings - Grid Electricity'!X$6,'Emission factors'!$K$2:$V$2,0)))*$K127)</f>
        <v/>
      </c>
      <c r="Y127" s="30"/>
      <c r="Z127" s="1" cm="1">
        <f t="array" ref="Z127">IF(OR(ISERROR(B127:X127)),1,0)</f>
        <v>0</v>
      </c>
      <c r="AA127" s="1">
        <f t="shared" si="9"/>
        <v>0</v>
      </c>
    </row>
    <row r="128" spans="1:27" ht="15" outlineLevel="1" thickBot="1" x14ac:dyDescent="0.4">
      <c r="A128" s="319"/>
      <c r="B128" s="216"/>
      <c r="C128" s="216"/>
      <c r="D128" s="489" t="str">
        <f>IFERROR(INDEX(BuildingInformationTable[Site type],MATCH(BuildingsElectricityTable[[#This Row],[Site name]],BuildingInformationTable[Site name],0)),"")</f>
        <v/>
      </c>
      <c r="E128" s="490" t="str">
        <f t="shared" si="6"/>
        <v/>
      </c>
      <c r="F128" s="490" t="str">
        <f t="shared" si="7"/>
        <v/>
      </c>
      <c r="G128" s="491"/>
      <c r="H128" s="492" t="str">
        <f>IF(G128="","",INDEX(Lists!$BA$4:$BC$31,MATCH(E128,Lists!$AZ$4:$AZ$31,0),MATCH(G128,Lists!$BA$3:$BC$3,0)))</f>
        <v/>
      </c>
      <c r="I128" s="267"/>
      <c r="J128" s="490" t="str">
        <f t="shared" si="8"/>
        <v/>
      </c>
      <c r="K128" s="493" t="str" cm="1">
        <f t="array" ref="K128">IF(OR($E128="",$D128="",$I128="",$J128=""),"",IF(J128=L128,I128,(INDEX('Emission factors'!$K$3:$V$201,MATCH(E128&amp;F128,'Emission factors'!$J$3:$J$201&amp;'Emission factors'!$K$3:$K$201,0),MATCH(K$6,'Emission factors'!$K$2:$V$2,0)))*I128))</f>
        <v/>
      </c>
      <c r="L128" s="494" t="str">
        <f>IF(OR($E128="",$D128="",$I128="",$J128=""),"",INDEX('Emission factors'!$K$3:$V$201,MATCH('Buildings - Grid Electricity'!$E128,'Emission factors'!$J$3:$J$201,0),MATCH($L$6,'Emission factors'!$K$2:$V$2,0)))</f>
        <v/>
      </c>
      <c r="M128" s="495" t="str" cm="1">
        <f t="array" ref="M128">IF(OR(E128="",I128="",BuildingsElectricityTable[[#This Row],[Units]]=""),"",INDEX('Emission factors'!$K$3:$V$201,MATCH('Buildings - Grid Electricity'!$E128&amp;F128,'Emission factors'!$J$3:$J$201&amp;'Emission factors'!$K$3:$K$201,0),MATCH('Buildings - Grid Electricity'!$M$6,'Emission factors'!$K$2:$V$2,0)))</f>
        <v/>
      </c>
      <c r="N128" s="496" t="str">
        <f>IF(OR(K128="",M128=""),"",SUM(BuildingsElectricityTable[[#This Row],[Direct]:[Indirect WTT]]))</f>
        <v/>
      </c>
      <c r="O128" s="268"/>
      <c r="P128" s="497"/>
      <c r="Q128" s="157" t="str" cm="1">
        <f t="array" ref="Q128">IF(OR($E128="",$I128=""),"",(INDEX('Emission factors'!$K$3:$V$201,MATCH('Buildings - Grid Electricity'!$E128&amp;$F128,'Emission factors'!$J$3:$J$201&amp;'Emission factors'!$K$3:$K$201,0),MATCH('Buildings - Grid Electricity'!Q$6,'Emission factors'!$K$2:$V$2,0)))*$K128)</f>
        <v/>
      </c>
      <c r="R128" s="157" t="str" cm="1">
        <f t="array" ref="R128">IF(OR($E128="",$I128=""),"",(INDEX('Emission factors'!$K$3:$V$201,MATCH('Buildings - Grid Electricity'!$E128&amp;$F128,'Emission factors'!$J$3:$J$201&amp;'Emission factors'!$K$3:$K$201,0),MATCH('Buildings - Grid Electricity'!R$6,'Emission factors'!$K$2:$V$2,0)))*$K128)</f>
        <v/>
      </c>
      <c r="S128" s="157" t="str" cm="1">
        <f t="array" ref="S128">IF(OR($E128="",$I128=""),"",(INDEX('Emission factors'!$K$3:$V$201,MATCH('Buildings - Grid Electricity'!$E128&amp;$F128,'Emission factors'!$J$3:$J$201&amp;'Emission factors'!$K$3:$K$201,0),MATCH('Buildings - Grid Electricity'!S$6,'Emission factors'!$K$2:$V$2,0)))*$K128)</f>
        <v/>
      </c>
      <c r="T128" s="157" t="str" cm="1">
        <f t="array" ref="T128">IF(OR($E128="",$I128=""),"",(INDEX('Emission factors'!$K$3:$V$201,MATCH('Buildings - Grid Electricity'!$E128&amp;$F128,'Emission factors'!$J$3:$J$201&amp;'Emission factors'!$K$3:$K$201,0),MATCH('Buildings - Grid Electricity'!T$6,'Emission factors'!$K$2:$V$2,0)))*$K128)</f>
        <v/>
      </c>
      <c r="U128" s="157" t="str" cm="1">
        <f t="array" ref="U128">IF(OR($E128="",$I128=""),"",(INDEX('Emission factors'!$K$3:$V$201,MATCH('Buildings - Grid Electricity'!$E128&amp;$F128,'Emission factors'!$J$3:$J$201&amp;'Emission factors'!$K$3:$K$201,0),MATCH('Buildings - Grid Electricity'!U$6,'Emission factors'!$K$2:$V$2,0)))*$K128)</f>
        <v/>
      </c>
      <c r="V128" s="269" t="str">
        <f>IF(OR($N128="",BuildingsElectricityTable[[#This Row],[RSD]]=""),"",BuildingsElectricityTable[[#This Row],[Total emissions (kgCO2e)]]*(1+BuildingsElectricityTable[[#This Row],[RSD]]))</f>
        <v/>
      </c>
      <c r="W128" s="270" t="str">
        <f>IF(OR($N128="",BuildingsElectricityTable[[#This Row],[RSD]]=""),"",BuildingsElectricityTable[[#This Row],[Total emissions (kgCO2e)]]*(1-BuildingsElectricityTable[[#This Row],[RSD]]))</f>
        <v/>
      </c>
      <c r="X128" s="271" t="str" cm="1">
        <f t="array" ref="X128">IF(OR($E128="",$I128=""),"",(INDEX('Emission factors'!$K$3:$V$201,MATCH('Buildings - Grid Electricity'!$E128&amp;$F128,'Emission factors'!$J$3:$J$201&amp;'Emission factors'!$K$3:$K$201,0),MATCH('Buildings - Grid Electricity'!X$6,'Emission factors'!$K$2:$V$2,0)))*$K128)</f>
        <v/>
      </c>
      <c r="Y128" s="30"/>
      <c r="Z128" s="1" cm="1">
        <f t="array" ref="Z128">IF(OR(ISERROR(B128:X128)),1,0)</f>
        <v>0</v>
      </c>
      <c r="AA128" s="1">
        <f t="shared" si="9"/>
        <v>0</v>
      </c>
    </row>
    <row r="129" spans="1:27" ht="15" outlineLevel="1" thickBot="1" x14ac:dyDescent="0.4">
      <c r="A129" s="319"/>
      <c r="B129" s="216"/>
      <c r="C129" s="216"/>
      <c r="D129" s="489" t="str">
        <f>IFERROR(INDEX(BuildingInformationTable[Site type],MATCH(BuildingsElectricityTable[[#This Row],[Site name]],BuildingInformationTable[Site name],0)),"")</f>
        <v/>
      </c>
      <c r="E129" s="490" t="str">
        <f t="shared" si="6"/>
        <v/>
      </c>
      <c r="F129" s="490" t="str">
        <f t="shared" si="7"/>
        <v/>
      </c>
      <c r="G129" s="491"/>
      <c r="H129" s="492" t="str">
        <f>IF(G129="","",INDEX(Lists!$BA$4:$BC$31,MATCH(E129,Lists!$AZ$4:$AZ$31,0),MATCH(G129,Lists!$BA$3:$BC$3,0)))</f>
        <v/>
      </c>
      <c r="I129" s="267"/>
      <c r="J129" s="490" t="str">
        <f t="shared" si="8"/>
        <v/>
      </c>
      <c r="K129" s="493" t="str" cm="1">
        <f t="array" ref="K129">IF(OR($E129="",$D129="",$I129="",$J129=""),"",IF(J129=L129,I129,(INDEX('Emission factors'!$K$3:$V$201,MATCH(E129&amp;F129,'Emission factors'!$J$3:$J$201&amp;'Emission factors'!$K$3:$K$201,0),MATCH(K$6,'Emission factors'!$K$2:$V$2,0)))*I129))</f>
        <v/>
      </c>
      <c r="L129" s="494" t="str">
        <f>IF(OR($E129="",$D129="",$I129="",$J129=""),"",INDEX('Emission factors'!$K$3:$V$201,MATCH('Buildings - Grid Electricity'!$E129,'Emission factors'!$J$3:$J$201,0),MATCH($L$6,'Emission factors'!$K$2:$V$2,0)))</f>
        <v/>
      </c>
      <c r="M129" s="495" t="str" cm="1">
        <f t="array" ref="M129">IF(OR(E129="",I129="",BuildingsElectricityTable[[#This Row],[Units]]=""),"",INDEX('Emission factors'!$K$3:$V$201,MATCH('Buildings - Grid Electricity'!$E129&amp;F129,'Emission factors'!$J$3:$J$201&amp;'Emission factors'!$K$3:$K$201,0),MATCH('Buildings - Grid Electricity'!$M$6,'Emission factors'!$K$2:$V$2,0)))</f>
        <v/>
      </c>
      <c r="N129" s="496" t="str">
        <f>IF(OR(K129="",M129=""),"",SUM(BuildingsElectricityTable[[#This Row],[Direct]:[Indirect WTT]]))</f>
        <v/>
      </c>
      <c r="O129" s="268"/>
      <c r="P129" s="497"/>
      <c r="Q129" s="157" t="str" cm="1">
        <f t="array" ref="Q129">IF(OR($E129="",$I129=""),"",(INDEX('Emission factors'!$K$3:$V$201,MATCH('Buildings - Grid Electricity'!$E129&amp;$F129,'Emission factors'!$J$3:$J$201&amp;'Emission factors'!$K$3:$K$201,0),MATCH('Buildings - Grid Electricity'!Q$6,'Emission factors'!$K$2:$V$2,0)))*$K129)</f>
        <v/>
      </c>
      <c r="R129" s="157" t="str" cm="1">
        <f t="array" ref="R129">IF(OR($E129="",$I129=""),"",(INDEX('Emission factors'!$K$3:$V$201,MATCH('Buildings - Grid Electricity'!$E129&amp;$F129,'Emission factors'!$J$3:$J$201&amp;'Emission factors'!$K$3:$K$201,0),MATCH('Buildings - Grid Electricity'!R$6,'Emission factors'!$K$2:$V$2,0)))*$K129)</f>
        <v/>
      </c>
      <c r="S129" s="157" t="str" cm="1">
        <f t="array" ref="S129">IF(OR($E129="",$I129=""),"",(INDEX('Emission factors'!$K$3:$V$201,MATCH('Buildings - Grid Electricity'!$E129&amp;$F129,'Emission factors'!$J$3:$J$201&amp;'Emission factors'!$K$3:$K$201,0),MATCH('Buildings - Grid Electricity'!S$6,'Emission factors'!$K$2:$V$2,0)))*$K129)</f>
        <v/>
      </c>
      <c r="T129" s="157" t="str" cm="1">
        <f t="array" ref="T129">IF(OR($E129="",$I129=""),"",(INDEX('Emission factors'!$K$3:$V$201,MATCH('Buildings - Grid Electricity'!$E129&amp;$F129,'Emission factors'!$J$3:$J$201&amp;'Emission factors'!$K$3:$K$201,0),MATCH('Buildings - Grid Electricity'!T$6,'Emission factors'!$K$2:$V$2,0)))*$K129)</f>
        <v/>
      </c>
      <c r="U129" s="157" t="str" cm="1">
        <f t="array" ref="U129">IF(OR($E129="",$I129=""),"",(INDEX('Emission factors'!$K$3:$V$201,MATCH('Buildings - Grid Electricity'!$E129&amp;$F129,'Emission factors'!$J$3:$J$201&amp;'Emission factors'!$K$3:$K$201,0),MATCH('Buildings - Grid Electricity'!U$6,'Emission factors'!$K$2:$V$2,0)))*$K129)</f>
        <v/>
      </c>
      <c r="V129" s="269" t="str">
        <f>IF(OR($N129="",BuildingsElectricityTable[[#This Row],[RSD]]=""),"",BuildingsElectricityTable[[#This Row],[Total emissions (kgCO2e)]]*(1+BuildingsElectricityTable[[#This Row],[RSD]]))</f>
        <v/>
      </c>
      <c r="W129" s="270" t="str">
        <f>IF(OR($N129="",BuildingsElectricityTable[[#This Row],[RSD]]=""),"",BuildingsElectricityTable[[#This Row],[Total emissions (kgCO2e)]]*(1-BuildingsElectricityTable[[#This Row],[RSD]]))</f>
        <v/>
      </c>
      <c r="X129" s="271" t="str" cm="1">
        <f t="array" ref="X129">IF(OR($E129="",$I129=""),"",(INDEX('Emission factors'!$K$3:$V$201,MATCH('Buildings - Grid Electricity'!$E129&amp;$F129,'Emission factors'!$J$3:$J$201&amp;'Emission factors'!$K$3:$K$201,0),MATCH('Buildings - Grid Electricity'!X$6,'Emission factors'!$K$2:$V$2,0)))*$K129)</f>
        <v/>
      </c>
      <c r="Y129" s="30"/>
      <c r="Z129" s="1" cm="1">
        <f t="array" ref="Z129">IF(OR(ISERROR(B129:X129)),1,0)</f>
        <v>0</v>
      </c>
      <c r="AA129" s="1">
        <f t="shared" si="9"/>
        <v>0</v>
      </c>
    </row>
    <row r="130" spans="1:27" ht="15" outlineLevel="1" thickBot="1" x14ac:dyDescent="0.4">
      <c r="A130" s="319"/>
      <c r="B130" s="216"/>
      <c r="C130" s="216"/>
      <c r="D130" s="489" t="str">
        <f>IFERROR(INDEX(BuildingInformationTable[Site type],MATCH(BuildingsElectricityTable[[#This Row],[Site name]],BuildingInformationTable[Site name],0)),"")</f>
        <v/>
      </c>
      <c r="E130" s="490" t="str">
        <f t="shared" si="6"/>
        <v/>
      </c>
      <c r="F130" s="490" t="str">
        <f t="shared" si="7"/>
        <v/>
      </c>
      <c r="G130" s="491"/>
      <c r="H130" s="492" t="str">
        <f>IF(G130="","",INDEX(Lists!$BA$4:$BC$31,MATCH(E130,Lists!$AZ$4:$AZ$31,0),MATCH(G130,Lists!$BA$3:$BC$3,0)))</f>
        <v/>
      </c>
      <c r="I130" s="267"/>
      <c r="J130" s="490" t="str">
        <f t="shared" si="8"/>
        <v/>
      </c>
      <c r="K130" s="493" t="str" cm="1">
        <f t="array" ref="K130">IF(OR($E130="",$D130="",$I130="",$J130=""),"",IF(J130=L130,I130,(INDEX('Emission factors'!$K$3:$V$201,MATCH(E130&amp;F130,'Emission factors'!$J$3:$J$201&amp;'Emission factors'!$K$3:$K$201,0),MATCH(K$6,'Emission factors'!$K$2:$V$2,0)))*I130))</f>
        <v/>
      </c>
      <c r="L130" s="494" t="str">
        <f>IF(OR($E130="",$D130="",$I130="",$J130=""),"",INDEX('Emission factors'!$K$3:$V$201,MATCH('Buildings - Grid Electricity'!$E130,'Emission factors'!$J$3:$J$201,0),MATCH($L$6,'Emission factors'!$K$2:$V$2,0)))</f>
        <v/>
      </c>
      <c r="M130" s="495" t="str" cm="1">
        <f t="array" ref="M130">IF(OR(E130="",I130="",BuildingsElectricityTable[[#This Row],[Units]]=""),"",INDEX('Emission factors'!$K$3:$V$201,MATCH('Buildings - Grid Electricity'!$E130&amp;F130,'Emission factors'!$J$3:$J$201&amp;'Emission factors'!$K$3:$K$201,0),MATCH('Buildings - Grid Electricity'!$M$6,'Emission factors'!$K$2:$V$2,0)))</f>
        <v/>
      </c>
      <c r="N130" s="496" t="str">
        <f>IF(OR(K130="",M130=""),"",SUM(BuildingsElectricityTable[[#This Row],[Direct]:[Indirect WTT]]))</f>
        <v/>
      </c>
      <c r="O130" s="268"/>
      <c r="P130" s="497"/>
      <c r="Q130" s="157" t="str" cm="1">
        <f t="array" ref="Q130">IF(OR($E130="",$I130=""),"",(INDEX('Emission factors'!$K$3:$V$201,MATCH('Buildings - Grid Electricity'!$E130&amp;$F130,'Emission factors'!$J$3:$J$201&amp;'Emission factors'!$K$3:$K$201,0),MATCH('Buildings - Grid Electricity'!Q$6,'Emission factors'!$K$2:$V$2,0)))*$K130)</f>
        <v/>
      </c>
      <c r="R130" s="157" t="str" cm="1">
        <f t="array" ref="R130">IF(OR($E130="",$I130=""),"",(INDEX('Emission factors'!$K$3:$V$201,MATCH('Buildings - Grid Electricity'!$E130&amp;$F130,'Emission factors'!$J$3:$J$201&amp;'Emission factors'!$K$3:$K$201,0),MATCH('Buildings - Grid Electricity'!R$6,'Emission factors'!$K$2:$V$2,0)))*$K130)</f>
        <v/>
      </c>
      <c r="S130" s="157" t="str" cm="1">
        <f t="array" ref="S130">IF(OR($E130="",$I130=""),"",(INDEX('Emission factors'!$K$3:$V$201,MATCH('Buildings - Grid Electricity'!$E130&amp;$F130,'Emission factors'!$J$3:$J$201&amp;'Emission factors'!$K$3:$K$201,0),MATCH('Buildings - Grid Electricity'!S$6,'Emission factors'!$K$2:$V$2,0)))*$K130)</f>
        <v/>
      </c>
      <c r="T130" s="157" t="str" cm="1">
        <f t="array" ref="T130">IF(OR($E130="",$I130=""),"",(INDEX('Emission factors'!$K$3:$V$201,MATCH('Buildings - Grid Electricity'!$E130&amp;$F130,'Emission factors'!$J$3:$J$201&amp;'Emission factors'!$K$3:$K$201,0),MATCH('Buildings - Grid Electricity'!T$6,'Emission factors'!$K$2:$V$2,0)))*$K130)</f>
        <v/>
      </c>
      <c r="U130" s="157" t="str" cm="1">
        <f t="array" ref="U130">IF(OR($E130="",$I130=""),"",(INDEX('Emission factors'!$K$3:$V$201,MATCH('Buildings - Grid Electricity'!$E130&amp;$F130,'Emission factors'!$J$3:$J$201&amp;'Emission factors'!$K$3:$K$201,0),MATCH('Buildings - Grid Electricity'!U$6,'Emission factors'!$K$2:$V$2,0)))*$K130)</f>
        <v/>
      </c>
      <c r="V130" s="269" t="str">
        <f>IF(OR($N130="",BuildingsElectricityTable[[#This Row],[RSD]]=""),"",BuildingsElectricityTable[[#This Row],[Total emissions (kgCO2e)]]*(1+BuildingsElectricityTable[[#This Row],[RSD]]))</f>
        <v/>
      </c>
      <c r="W130" s="270" t="str">
        <f>IF(OR($N130="",BuildingsElectricityTable[[#This Row],[RSD]]=""),"",BuildingsElectricityTable[[#This Row],[Total emissions (kgCO2e)]]*(1-BuildingsElectricityTable[[#This Row],[RSD]]))</f>
        <v/>
      </c>
      <c r="X130" s="271" t="str" cm="1">
        <f t="array" ref="X130">IF(OR($E130="",$I130=""),"",(INDEX('Emission factors'!$K$3:$V$201,MATCH('Buildings - Grid Electricity'!$E130&amp;$F130,'Emission factors'!$J$3:$J$201&amp;'Emission factors'!$K$3:$K$201,0),MATCH('Buildings - Grid Electricity'!X$6,'Emission factors'!$K$2:$V$2,0)))*$K130)</f>
        <v/>
      </c>
      <c r="Y130" s="30"/>
      <c r="Z130" s="1" cm="1">
        <f t="array" ref="Z130">IF(OR(ISERROR(B130:X130)),1,0)</f>
        <v>0</v>
      </c>
      <c r="AA130" s="1">
        <f t="shared" si="9"/>
        <v>0</v>
      </c>
    </row>
    <row r="131" spans="1:27" ht="15" outlineLevel="1" thickBot="1" x14ac:dyDescent="0.4">
      <c r="A131" s="319"/>
      <c r="B131" s="216"/>
      <c r="C131" s="216"/>
      <c r="D131" s="489" t="str">
        <f>IFERROR(INDEX(BuildingInformationTable[Site type],MATCH(BuildingsElectricityTable[[#This Row],[Site name]],BuildingInformationTable[Site name],0)),"")</f>
        <v/>
      </c>
      <c r="E131" s="490" t="str">
        <f t="shared" si="6"/>
        <v/>
      </c>
      <c r="F131" s="490" t="str">
        <f t="shared" si="7"/>
        <v/>
      </c>
      <c r="G131" s="491"/>
      <c r="H131" s="492" t="str">
        <f>IF(G131="","",INDEX(Lists!$BA$4:$BC$31,MATCH(E131,Lists!$AZ$4:$AZ$31,0),MATCH(G131,Lists!$BA$3:$BC$3,0)))</f>
        <v/>
      </c>
      <c r="I131" s="267"/>
      <c r="J131" s="490" t="str">
        <f t="shared" si="8"/>
        <v/>
      </c>
      <c r="K131" s="493" t="str" cm="1">
        <f t="array" ref="K131">IF(OR($E131="",$D131="",$I131="",$J131=""),"",IF(J131=L131,I131,(INDEX('Emission factors'!$K$3:$V$201,MATCH(E131&amp;F131,'Emission factors'!$J$3:$J$201&amp;'Emission factors'!$K$3:$K$201,0),MATCH(K$6,'Emission factors'!$K$2:$V$2,0)))*I131))</f>
        <v/>
      </c>
      <c r="L131" s="494" t="str">
        <f>IF(OR($E131="",$D131="",$I131="",$J131=""),"",INDEX('Emission factors'!$K$3:$V$201,MATCH('Buildings - Grid Electricity'!$E131,'Emission factors'!$J$3:$J$201,0),MATCH($L$6,'Emission factors'!$K$2:$V$2,0)))</f>
        <v/>
      </c>
      <c r="M131" s="495" t="str" cm="1">
        <f t="array" ref="M131">IF(OR(E131="",I131="",BuildingsElectricityTable[[#This Row],[Units]]=""),"",INDEX('Emission factors'!$K$3:$V$201,MATCH('Buildings - Grid Electricity'!$E131&amp;F131,'Emission factors'!$J$3:$J$201&amp;'Emission factors'!$K$3:$K$201,0),MATCH('Buildings - Grid Electricity'!$M$6,'Emission factors'!$K$2:$V$2,0)))</f>
        <v/>
      </c>
      <c r="N131" s="496" t="str">
        <f>IF(OR(K131="",M131=""),"",SUM(BuildingsElectricityTable[[#This Row],[Direct]:[Indirect WTT]]))</f>
        <v/>
      </c>
      <c r="O131" s="268"/>
      <c r="P131" s="497"/>
      <c r="Q131" s="157" t="str" cm="1">
        <f t="array" ref="Q131">IF(OR($E131="",$I131=""),"",(INDEX('Emission factors'!$K$3:$V$201,MATCH('Buildings - Grid Electricity'!$E131&amp;$F131,'Emission factors'!$J$3:$J$201&amp;'Emission factors'!$K$3:$K$201,0),MATCH('Buildings - Grid Electricity'!Q$6,'Emission factors'!$K$2:$V$2,0)))*$K131)</f>
        <v/>
      </c>
      <c r="R131" s="157" t="str" cm="1">
        <f t="array" ref="R131">IF(OR($E131="",$I131=""),"",(INDEX('Emission factors'!$K$3:$V$201,MATCH('Buildings - Grid Electricity'!$E131&amp;$F131,'Emission factors'!$J$3:$J$201&amp;'Emission factors'!$K$3:$K$201,0),MATCH('Buildings - Grid Electricity'!R$6,'Emission factors'!$K$2:$V$2,0)))*$K131)</f>
        <v/>
      </c>
      <c r="S131" s="157" t="str" cm="1">
        <f t="array" ref="S131">IF(OR($E131="",$I131=""),"",(INDEX('Emission factors'!$K$3:$V$201,MATCH('Buildings - Grid Electricity'!$E131&amp;$F131,'Emission factors'!$J$3:$J$201&amp;'Emission factors'!$K$3:$K$201,0),MATCH('Buildings - Grid Electricity'!S$6,'Emission factors'!$K$2:$V$2,0)))*$K131)</f>
        <v/>
      </c>
      <c r="T131" s="157" t="str" cm="1">
        <f t="array" ref="T131">IF(OR($E131="",$I131=""),"",(INDEX('Emission factors'!$K$3:$V$201,MATCH('Buildings - Grid Electricity'!$E131&amp;$F131,'Emission factors'!$J$3:$J$201&amp;'Emission factors'!$K$3:$K$201,0),MATCH('Buildings - Grid Electricity'!T$6,'Emission factors'!$K$2:$V$2,0)))*$K131)</f>
        <v/>
      </c>
      <c r="U131" s="157" t="str" cm="1">
        <f t="array" ref="U131">IF(OR($E131="",$I131=""),"",(INDEX('Emission factors'!$K$3:$V$201,MATCH('Buildings - Grid Electricity'!$E131&amp;$F131,'Emission factors'!$J$3:$J$201&amp;'Emission factors'!$K$3:$K$201,0),MATCH('Buildings - Grid Electricity'!U$6,'Emission factors'!$K$2:$V$2,0)))*$K131)</f>
        <v/>
      </c>
      <c r="V131" s="269" t="str">
        <f>IF(OR($N131="",BuildingsElectricityTable[[#This Row],[RSD]]=""),"",BuildingsElectricityTable[[#This Row],[Total emissions (kgCO2e)]]*(1+BuildingsElectricityTable[[#This Row],[RSD]]))</f>
        <v/>
      </c>
      <c r="W131" s="270" t="str">
        <f>IF(OR($N131="",BuildingsElectricityTable[[#This Row],[RSD]]=""),"",BuildingsElectricityTable[[#This Row],[Total emissions (kgCO2e)]]*(1-BuildingsElectricityTable[[#This Row],[RSD]]))</f>
        <v/>
      </c>
      <c r="X131" s="271" t="str" cm="1">
        <f t="array" ref="X131">IF(OR($E131="",$I131=""),"",(INDEX('Emission factors'!$K$3:$V$201,MATCH('Buildings - Grid Electricity'!$E131&amp;$F131,'Emission factors'!$J$3:$J$201&amp;'Emission factors'!$K$3:$K$201,0),MATCH('Buildings - Grid Electricity'!X$6,'Emission factors'!$K$2:$V$2,0)))*$K131)</f>
        <v/>
      </c>
      <c r="Y131" s="30"/>
      <c r="Z131" s="1" cm="1">
        <f t="array" ref="Z131">IF(OR(ISERROR(B131:X131)),1,0)</f>
        <v>0</v>
      </c>
      <c r="AA131" s="1">
        <f t="shared" si="9"/>
        <v>0</v>
      </c>
    </row>
    <row r="132" spans="1:27" ht="15" outlineLevel="1" thickBot="1" x14ac:dyDescent="0.4">
      <c r="A132" s="319"/>
      <c r="B132" s="216"/>
      <c r="C132" s="216"/>
      <c r="D132" s="489" t="str">
        <f>IFERROR(INDEX(BuildingInformationTable[Site type],MATCH(BuildingsElectricityTable[[#This Row],[Site name]],BuildingInformationTable[Site name],0)),"")</f>
        <v/>
      </c>
      <c r="E132" s="490" t="str">
        <f t="shared" si="6"/>
        <v/>
      </c>
      <c r="F132" s="490" t="str">
        <f t="shared" si="7"/>
        <v/>
      </c>
      <c r="G132" s="491"/>
      <c r="H132" s="492" t="str">
        <f>IF(G132="","",INDEX(Lists!$BA$4:$BC$31,MATCH(E132,Lists!$AZ$4:$AZ$31,0),MATCH(G132,Lists!$BA$3:$BC$3,0)))</f>
        <v/>
      </c>
      <c r="I132" s="267"/>
      <c r="J132" s="490" t="str">
        <f t="shared" si="8"/>
        <v/>
      </c>
      <c r="K132" s="493" t="str" cm="1">
        <f t="array" ref="K132">IF(OR($E132="",$D132="",$I132="",$J132=""),"",IF(J132=L132,I132,(INDEX('Emission factors'!$K$3:$V$201,MATCH(E132&amp;F132,'Emission factors'!$J$3:$J$201&amp;'Emission factors'!$K$3:$K$201,0),MATCH(K$6,'Emission factors'!$K$2:$V$2,0)))*I132))</f>
        <v/>
      </c>
      <c r="L132" s="494" t="str">
        <f>IF(OR($E132="",$D132="",$I132="",$J132=""),"",INDEX('Emission factors'!$K$3:$V$201,MATCH('Buildings - Grid Electricity'!$E132,'Emission factors'!$J$3:$J$201,0),MATCH($L$6,'Emission factors'!$K$2:$V$2,0)))</f>
        <v/>
      </c>
      <c r="M132" s="495" t="str" cm="1">
        <f t="array" ref="M132">IF(OR(E132="",I132="",BuildingsElectricityTable[[#This Row],[Units]]=""),"",INDEX('Emission factors'!$K$3:$V$201,MATCH('Buildings - Grid Electricity'!$E132&amp;F132,'Emission factors'!$J$3:$J$201&amp;'Emission factors'!$K$3:$K$201,0),MATCH('Buildings - Grid Electricity'!$M$6,'Emission factors'!$K$2:$V$2,0)))</f>
        <v/>
      </c>
      <c r="N132" s="496" t="str">
        <f>IF(OR(K132="",M132=""),"",SUM(BuildingsElectricityTable[[#This Row],[Direct]:[Indirect WTT]]))</f>
        <v/>
      </c>
      <c r="O132" s="268"/>
      <c r="P132" s="497"/>
      <c r="Q132" s="157" t="str" cm="1">
        <f t="array" ref="Q132">IF(OR($E132="",$I132=""),"",(INDEX('Emission factors'!$K$3:$V$201,MATCH('Buildings - Grid Electricity'!$E132&amp;$F132,'Emission factors'!$J$3:$J$201&amp;'Emission factors'!$K$3:$K$201,0),MATCH('Buildings - Grid Electricity'!Q$6,'Emission factors'!$K$2:$V$2,0)))*$K132)</f>
        <v/>
      </c>
      <c r="R132" s="157" t="str" cm="1">
        <f t="array" ref="R132">IF(OR($E132="",$I132=""),"",(INDEX('Emission factors'!$K$3:$V$201,MATCH('Buildings - Grid Electricity'!$E132&amp;$F132,'Emission factors'!$J$3:$J$201&amp;'Emission factors'!$K$3:$K$201,0),MATCH('Buildings - Grid Electricity'!R$6,'Emission factors'!$K$2:$V$2,0)))*$K132)</f>
        <v/>
      </c>
      <c r="S132" s="157" t="str" cm="1">
        <f t="array" ref="S132">IF(OR($E132="",$I132=""),"",(INDEX('Emission factors'!$K$3:$V$201,MATCH('Buildings - Grid Electricity'!$E132&amp;$F132,'Emission factors'!$J$3:$J$201&amp;'Emission factors'!$K$3:$K$201,0),MATCH('Buildings - Grid Electricity'!S$6,'Emission factors'!$K$2:$V$2,0)))*$K132)</f>
        <v/>
      </c>
      <c r="T132" s="157" t="str" cm="1">
        <f t="array" ref="T132">IF(OR($E132="",$I132=""),"",(INDEX('Emission factors'!$K$3:$V$201,MATCH('Buildings - Grid Electricity'!$E132&amp;$F132,'Emission factors'!$J$3:$J$201&amp;'Emission factors'!$K$3:$K$201,0),MATCH('Buildings - Grid Electricity'!T$6,'Emission factors'!$K$2:$V$2,0)))*$K132)</f>
        <v/>
      </c>
      <c r="U132" s="157" t="str" cm="1">
        <f t="array" ref="U132">IF(OR($E132="",$I132=""),"",(INDEX('Emission factors'!$K$3:$V$201,MATCH('Buildings - Grid Electricity'!$E132&amp;$F132,'Emission factors'!$J$3:$J$201&amp;'Emission factors'!$K$3:$K$201,0),MATCH('Buildings - Grid Electricity'!U$6,'Emission factors'!$K$2:$V$2,0)))*$K132)</f>
        <v/>
      </c>
      <c r="V132" s="269" t="str">
        <f>IF(OR($N132="",BuildingsElectricityTable[[#This Row],[RSD]]=""),"",BuildingsElectricityTable[[#This Row],[Total emissions (kgCO2e)]]*(1+BuildingsElectricityTable[[#This Row],[RSD]]))</f>
        <v/>
      </c>
      <c r="W132" s="270" t="str">
        <f>IF(OR($N132="",BuildingsElectricityTable[[#This Row],[RSD]]=""),"",BuildingsElectricityTable[[#This Row],[Total emissions (kgCO2e)]]*(1-BuildingsElectricityTable[[#This Row],[RSD]]))</f>
        <v/>
      </c>
      <c r="X132" s="271" t="str" cm="1">
        <f t="array" ref="X132">IF(OR($E132="",$I132=""),"",(INDEX('Emission factors'!$K$3:$V$201,MATCH('Buildings - Grid Electricity'!$E132&amp;$F132,'Emission factors'!$J$3:$J$201&amp;'Emission factors'!$K$3:$K$201,0),MATCH('Buildings - Grid Electricity'!X$6,'Emission factors'!$K$2:$V$2,0)))*$K132)</f>
        <v/>
      </c>
      <c r="Y132" s="30"/>
      <c r="Z132" s="1" cm="1">
        <f t="array" ref="Z132">IF(OR(ISERROR(B132:X132)),1,0)</f>
        <v>0</v>
      </c>
      <c r="AA132" s="1">
        <f t="shared" si="9"/>
        <v>0</v>
      </c>
    </row>
    <row r="133" spans="1:27" ht="15" outlineLevel="1" thickBot="1" x14ac:dyDescent="0.4">
      <c r="A133" s="319"/>
      <c r="B133" s="216"/>
      <c r="C133" s="216"/>
      <c r="D133" s="489" t="str">
        <f>IFERROR(INDEX(BuildingInformationTable[Site type],MATCH(BuildingsElectricityTable[[#This Row],[Site name]],BuildingInformationTable[Site name],0)),"")</f>
        <v/>
      </c>
      <c r="E133" s="490" t="str">
        <f t="shared" si="6"/>
        <v/>
      </c>
      <c r="F133" s="490" t="str">
        <f t="shared" si="7"/>
        <v/>
      </c>
      <c r="G133" s="491"/>
      <c r="H133" s="492" t="str">
        <f>IF(G133="","",INDEX(Lists!$BA$4:$BC$31,MATCH(E133,Lists!$AZ$4:$AZ$31,0),MATCH(G133,Lists!$BA$3:$BC$3,0)))</f>
        <v/>
      </c>
      <c r="I133" s="267"/>
      <c r="J133" s="490" t="str">
        <f t="shared" si="8"/>
        <v/>
      </c>
      <c r="K133" s="493" t="str" cm="1">
        <f t="array" ref="K133">IF(OR($E133="",$D133="",$I133="",$J133=""),"",IF(J133=L133,I133,(INDEX('Emission factors'!$K$3:$V$201,MATCH(E133&amp;F133,'Emission factors'!$J$3:$J$201&amp;'Emission factors'!$K$3:$K$201,0),MATCH(K$6,'Emission factors'!$K$2:$V$2,0)))*I133))</f>
        <v/>
      </c>
      <c r="L133" s="494" t="str">
        <f>IF(OR($E133="",$D133="",$I133="",$J133=""),"",INDEX('Emission factors'!$K$3:$V$201,MATCH('Buildings - Grid Electricity'!$E133,'Emission factors'!$J$3:$J$201,0),MATCH($L$6,'Emission factors'!$K$2:$V$2,0)))</f>
        <v/>
      </c>
      <c r="M133" s="495" t="str" cm="1">
        <f t="array" ref="M133">IF(OR(E133="",I133="",BuildingsElectricityTable[[#This Row],[Units]]=""),"",INDEX('Emission factors'!$K$3:$V$201,MATCH('Buildings - Grid Electricity'!$E133&amp;F133,'Emission factors'!$J$3:$J$201&amp;'Emission factors'!$K$3:$K$201,0),MATCH('Buildings - Grid Electricity'!$M$6,'Emission factors'!$K$2:$V$2,0)))</f>
        <v/>
      </c>
      <c r="N133" s="496" t="str">
        <f>IF(OR(K133="",M133=""),"",SUM(BuildingsElectricityTable[[#This Row],[Direct]:[Indirect WTT]]))</f>
        <v/>
      </c>
      <c r="O133" s="268"/>
      <c r="P133" s="497"/>
      <c r="Q133" s="157" t="str" cm="1">
        <f t="array" ref="Q133">IF(OR($E133="",$I133=""),"",(INDEX('Emission factors'!$K$3:$V$201,MATCH('Buildings - Grid Electricity'!$E133&amp;$F133,'Emission factors'!$J$3:$J$201&amp;'Emission factors'!$K$3:$K$201,0),MATCH('Buildings - Grid Electricity'!Q$6,'Emission factors'!$K$2:$V$2,0)))*$K133)</f>
        <v/>
      </c>
      <c r="R133" s="157" t="str" cm="1">
        <f t="array" ref="R133">IF(OR($E133="",$I133=""),"",(INDEX('Emission factors'!$K$3:$V$201,MATCH('Buildings - Grid Electricity'!$E133&amp;$F133,'Emission factors'!$J$3:$J$201&amp;'Emission factors'!$K$3:$K$201,0),MATCH('Buildings - Grid Electricity'!R$6,'Emission factors'!$K$2:$V$2,0)))*$K133)</f>
        <v/>
      </c>
      <c r="S133" s="157" t="str" cm="1">
        <f t="array" ref="S133">IF(OR($E133="",$I133=""),"",(INDEX('Emission factors'!$K$3:$V$201,MATCH('Buildings - Grid Electricity'!$E133&amp;$F133,'Emission factors'!$J$3:$J$201&amp;'Emission factors'!$K$3:$K$201,0),MATCH('Buildings - Grid Electricity'!S$6,'Emission factors'!$K$2:$V$2,0)))*$K133)</f>
        <v/>
      </c>
      <c r="T133" s="157" t="str" cm="1">
        <f t="array" ref="T133">IF(OR($E133="",$I133=""),"",(INDEX('Emission factors'!$K$3:$V$201,MATCH('Buildings - Grid Electricity'!$E133&amp;$F133,'Emission factors'!$J$3:$J$201&amp;'Emission factors'!$K$3:$K$201,0),MATCH('Buildings - Grid Electricity'!T$6,'Emission factors'!$K$2:$V$2,0)))*$K133)</f>
        <v/>
      </c>
      <c r="U133" s="157" t="str" cm="1">
        <f t="array" ref="U133">IF(OR($E133="",$I133=""),"",(INDEX('Emission factors'!$K$3:$V$201,MATCH('Buildings - Grid Electricity'!$E133&amp;$F133,'Emission factors'!$J$3:$J$201&amp;'Emission factors'!$K$3:$K$201,0),MATCH('Buildings - Grid Electricity'!U$6,'Emission factors'!$K$2:$V$2,0)))*$K133)</f>
        <v/>
      </c>
      <c r="V133" s="269" t="str">
        <f>IF(OR($N133="",BuildingsElectricityTable[[#This Row],[RSD]]=""),"",BuildingsElectricityTable[[#This Row],[Total emissions (kgCO2e)]]*(1+BuildingsElectricityTable[[#This Row],[RSD]]))</f>
        <v/>
      </c>
      <c r="W133" s="270" t="str">
        <f>IF(OR($N133="",BuildingsElectricityTable[[#This Row],[RSD]]=""),"",BuildingsElectricityTable[[#This Row],[Total emissions (kgCO2e)]]*(1-BuildingsElectricityTable[[#This Row],[RSD]]))</f>
        <v/>
      </c>
      <c r="X133" s="271" t="str" cm="1">
        <f t="array" ref="X133">IF(OR($E133="",$I133=""),"",(INDEX('Emission factors'!$K$3:$V$201,MATCH('Buildings - Grid Electricity'!$E133&amp;$F133,'Emission factors'!$J$3:$J$201&amp;'Emission factors'!$K$3:$K$201,0),MATCH('Buildings - Grid Electricity'!X$6,'Emission factors'!$K$2:$V$2,0)))*$K133)</f>
        <v/>
      </c>
      <c r="Y133" s="30"/>
      <c r="Z133" s="1" cm="1">
        <f t="array" ref="Z133">IF(OR(ISERROR(B133:X133)),1,0)</f>
        <v>0</v>
      </c>
      <c r="AA133" s="1">
        <f t="shared" si="9"/>
        <v>0</v>
      </c>
    </row>
    <row r="134" spans="1:27" ht="15" outlineLevel="1" thickBot="1" x14ac:dyDescent="0.4">
      <c r="A134" s="319"/>
      <c r="B134" s="216"/>
      <c r="C134" s="216"/>
      <c r="D134" s="489" t="str">
        <f>IFERROR(INDEX(BuildingInformationTable[Site type],MATCH(BuildingsElectricityTable[[#This Row],[Site name]],BuildingInformationTable[Site name],0)),"")</f>
        <v/>
      </c>
      <c r="E134" s="490" t="str">
        <f t="shared" si="6"/>
        <v/>
      </c>
      <c r="F134" s="490" t="str">
        <f t="shared" si="7"/>
        <v/>
      </c>
      <c r="G134" s="491"/>
      <c r="H134" s="492" t="str">
        <f>IF(G134="","",INDEX(Lists!$BA$4:$BC$31,MATCH(E134,Lists!$AZ$4:$AZ$31,0),MATCH(G134,Lists!$BA$3:$BC$3,0)))</f>
        <v/>
      </c>
      <c r="I134" s="267"/>
      <c r="J134" s="490" t="str">
        <f t="shared" si="8"/>
        <v/>
      </c>
      <c r="K134" s="493" t="str" cm="1">
        <f t="array" ref="K134">IF(OR($E134="",$D134="",$I134="",$J134=""),"",IF(J134=L134,I134,(INDEX('Emission factors'!$K$3:$V$201,MATCH(E134&amp;F134,'Emission factors'!$J$3:$J$201&amp;'Emission factors'!$K$3:$K$201,0),MATCH(K$6,'Emission factors'!$K$2:$V$2,0)))*I134))</f>
        <v/>
      </c>
      <c r="L134" s="494" t="str">
        <f>IF(OR($E134="",$D134="",$I134="",$J134=""),"",INDEX('Emission factors'!$K$3:$V$201,MATCH('Buildings - Grid Electricity'!$E134,'Emission factors'!$J$3:$J$201,0),MATCH($L$6,'Emission factors'!$K$2:$V$2,0)))</f>
        <v/>
      </c>
      <c r="M134" s="495" t="str" cm="1">
        <f t="array" ref="M134">IF(OR(E134="",I134="",BuildingsElectricityTable[[#This Row],[Units]]=""),"",INDEX('Emission factors'!$K$3:$V$201,MATCH('Buildings - Grid Electricity'!$E134&amp;F134,'Emission factors'!$J$3:$J$201&amp;'Emission factors'!$K$3:$K$201,0),MATCH('Buildings - Grid Electricity'!$M$6,'Emission factors'!$K$2:$V$2,0)))</f>
        <v/>
      </c>
      <c r="N134" s="496" t="str">
        <f>IF(OR(K134="",M134=""),"",SUM(BuildingsElectricityTable[[#This Row],[Direct]:[Indirect WTT]]))</f>
        <v/>
      </c>
      <c r="O134" s="268"/>
      <c r="P134" s="497"/>
      <c r="Q134" s="157" t="str" cm="1">
        <f t="array" ref="Q134">IF(OR($E134="",$I134=""),"",(INDEX('Emission factors'!$K$3:$V$201,MATCH('Buildings - Grid Electricity'!$E134&amp;$F134,'Emission factors'!$J$3:$J$201&amp;'Emission factors'!$K$3:$K$201,0),MATCH('Buildings - Grid Electricity'!Q$6,'Emission factors'!$K$2:$V$2,0)))*$K134)</f>
        <v/>
      </c>
      <c r="R134" s="157" t="str" cm="1">
        <f t="array" ref="R134">IF(OR($E134="",$I134=""),"",(INDEX('Emission factors'!$K$3:$V$201,MATCH('Buildings - Grid Electricity'!$E134&amp;$F134,'Emission factors'!$J$3:$J$201&amp;'Emission factors'!$K$3:$K$201,0),MATCH('Buildings - Grid Electricity'!R$6,'Emission factors'!$K$2:$V$2,0)))*$K134)</f>
        <v/>
      </c>
      <c r="S134" s="157" t="str" cm="1">
        <f t="array" ref="S134">IF(OR($E134="",$I134=""),"",(INDEX('Emission factors'!$K$3:$V$201,MATCH('Buildings - Grid Electricity'!$E134&amp;$F134,'Emission factors'!$J$3:$J$201&amp;'Emission factors'!$K$3:$K$201,0),MATCH('Buildings - Grid Electricity'!S$6,'Emission factors'!$K$2:$V$2,0)))*$K134)</f>
        <v/>
      </c>
      <c r="T134" s="157" t="str" cm="1">
        <f t="array" ref="T134">IF(OR($E134="",$I134=""),"",(INDEX('Emission factors'!$K$3:$V$201,MATCH('Buildings - Grid Electricity'!$E134&amp;$F134,'Emission factors'!$J$3:$J$201&amp;'Emission factors'!$K$3:$K$201,0),MATCH('Buildings - Grid Electricity'!T$6,'Emission factors'!$K$2:$V$2,0)))*$K134)</f>
        <v/>
      </c>
      <c r="U134" s="157" t="str" cm="1">
        <f t="array" ref="U134">IF(OR($E134="",$I134=""),"",(INDEX('Emission factors'!$K$3:$V$201,MATCH('Buildings - Grid Electricity'!$E134&amp;$F134,'Emission factors'!$J$3:$J$201&amp;'Emission factors'!$K$3:$K$201,0),MATCH('Buildings - Grid Electricity'!U$6,'Emission factors'!$K$2:$V$2,0)))*$K134)</f>
        <v/>
      </c>
      <c r="V134" s="269" t="str">
        <f>IF(OR($N134="",BuildingsElectricityTable[[#This Row],[RSD]]=""),"",BuildingsElectricityTable[[#This Row],[Total emissions (kgCO2e)]]*(1+BuildingsElectricityTable[[#This Row],[RSD]]))</f>
        <v/>
      </c>
      <c r="W134" s="270" t="str">
        <f>IF(OR($N134="",BuildingsElectricityTable[[#This Row],[RSD]]=""),"",BuildingsElectricityTable[[#This Row],[Total emissions (kgCO2e)]]*(1-BuildingsElectricityTable[[#This Row],[RSD]]))</f>
        <v/>
      </c>
      <c r="X134" s="271" t="str" cm="1">
        <f t="array" ref="X134">IF(OR($E134="",$I134=""),"",(INDEX('Emission factors'!$K$3:$V$201,MATCH('Buildings - Grid Electricity'!$E134&amp;$F134,'Emission factors'!$J$3:$J$201&amp;'Emission factors'!$K$3:$K$201,0),MATCH('Buildings - Grid Electricity'!X$6,'Emission factors'!$K$2:$V$2,0)))*$K134)</f>
        <v/>
      </c>
      <c r="Y134" s="30"/>
      <c r="Z134" s="1" cm="1">
        <f t="array" ref="Z134">IF(OR(ISERROR(B134:X134)),1,0)</f>
        <v>0</v>
      </c>
      <c r="AA134" s="1">
        <f t="shared" si="9"/>
        <v>0</v>
      </c>
    </row>
    <row r="135" spans="1:27" ht="15" outlineLevel="1" thickBot="1" x14ac:dyDescent="0.4">
      <c r="A135" s="319"/>
      <c r="B135" s="216"/>
      <c r="C135" s="216"/>
      <c r="D135" s="489" t="str">
        <f>IFERROR(INDEX(BuildingInformationTable[Site type],MATCH(BuildingsElectricityTable[[#This Row],[Site name]],BuildingInformationTable[Site name],0)),"")</f>
        <v/>
      </c>
      <c r="E135" s="490" t="str">
        <f t="shared" si="6"/>
        <v/>
      </c>
      <c r="F135" s="490" t="str">
        <f t="shared" si="7"/>
        <v/>
      </c>
      <c r="G135" s="491"/>
      <c r="H135" s="492" t="str">
        <f>IF(G135="","",INDEX(Lists!$BA$4:$BC$31,MATCH(E135,Lists!$AZ$4:$AZ$31,0),MATCH(G135,Lists!$BA$3:$BC$3,0)))</f>
        <v/>
      </c>
      <c r="I135" s="267"/>
      <c r="J135" s="490" t="str">
        <f t="shared" si="8"/>
        <v/>
      </c>
      <c r="K135" s="493" t="str" cm="1">
        <f t="array" ref="K135">IF(OR($E135="",$D135="",$I135="",$J135=""),"",IF(J135=L135,I135,(INDEX('Emission factors'!$K$3:$V$201,MATCH(E135&amp;F135,'Emission factors'!$J$3:$J$201&amp;'Emission factors'!$K$3:$K$201,0),MATCH(K$6,'Emission factors'!$K$2:$V$2,0)))*I135))</f>
        <v/>
      </c>
      <c r="L135" s="494" t="str">
        <f>IF(OR($E135="",$D135="",$I135="",$J135=""),"",INDEX('Emission factors'!$K$3:$V$201,MATCH('Buildings - Grid Electricity'!$E135,'Emission factors'!$J$3:$J$201,0),MATCH($L$6,'Emission factors'!$K$2:$V$2,0)))</f>
        <v/>
      </c>
      <c r="M135" s="495" t="str" cm="1">
        <f t="array" ref="M135">IF(OR(E135="",I135="",BuildingsElectricityTable[[#This Row],[Units]]=""),"",INDEX('Emission factors'!$K$3:$V$201,MATCH('Buildings - Grid Electricity'!$E135&amp;F135,'Emission factors'!$J$3:$J$201&amp;'Emission factors'!$K$3:$K$201,0),MATCH('Buildings - Grid Electricity'!$M$6,'Emission factors'!$K$2:$V$2,0)))</f>
        <v/>
      </c>
      <c r="N135" s="496" t="str">
        <f>IF(OR(K135="",M135=""),"",SUM(BuildingsElectricityTable[[#This Row],[Direct]:[Indirect WTT]]))</f>
        <v/>
      </c>
      <c r="O135" s="268"/>
      <c r="P135" s="497"/>
      <c r="Q135" s="157" t="str" cm="1">
        <f t="array" ref="Q135">IF(OR($E135="",$I135=""),"",(INDEX('Emission factors'!$K$3:$V$201,MATCH('Buildings - Grid Electricity'!$E135&amp;$F135,'Emission factors'!$J$3:$J$201&amp;'Emission factors'!$K$3:$K$201,0),MATCH('Buildings - Grid Electricity'!Q$6,'Emission factors'!$K$2:$V$2,0)))*$K135)</f>
        <v/>
      </c>
      <c r="R135" s="157" t="str" cm="1">
        <f t="array" ref="R135">IF(OR($E135="",$I135=""),"",(INDEX('Emission factors'!$K$3:$V$201,MATCH('Buildings - Grid Electricity'!$E135&amp;$F135,'Emission factors'!$J$3:$J$201&amp;'Emission factors'!$K$3:$K$201,0),MATCH('Buildings - Grid Electricity'!R$6,'Emission factors'!$K$2:$V$2,0)))*$K135)</f>
        <v/>
      </c>
      <c r="S135" s="157" t="str" cm="1">
        <f t="array" ref="S135">IF(OR($E135="",$I135=""),"",(INDEX('Emission factors'!$K$3:$V$201,MATCH('Buildings - Grid Electricity'!$E135&amp;$F135,'Emission factors'!$J$3:$J$201&amp;'Emission factors'!$K$3:$K$201,0),MATCH('Buildings - Grid Electricity'!S$6,'Emission factors'!$K$2:$V$2,0)))*$K135)</f>
        <v/>
      </c>
      <c r="T135" s="157" t="str" cm="1">
        <f t="array" ref="T135">IF(OR($E135="",$I135=""),"",(INDEX('Emission factors'!$K$3:$V$201,MATCH('Buildings - Grid Electricity'!$E135&amp;$F135,'Emission factors'!$J$3:$J$201&amp;'Emission factors'!$K$3:$K$201,0),MATCH('Buildings - Grid Electricity'!T$6,'Emission factors'!$K$2:$V$2,0)))*$K135)</f>
        <v/>
      </c>
      <c r="U135" s="157" t="str" cm="1">
        <f t="array" ref="U135">IF(OR($E135="",$I135=""),"",(INDEX('Emission factors'!$K$3:$V$201,MATCH('Buildings - Grid Electricity'!$E135&amp;$F135,'Emission factors'!$J$3:$J$201&amp;'Emission factors'!$K$3:$K$201,0),MATCH('Buildings - Grid Electricity'!U$6,'Emission factors'!$K$2:$V$2,0)))*$K135)</f>
        <v/>
      </c>
      <c r="V135" s="269" t="str">
        <f>IF(OR($N135="",BuildingsElectricityTable[[#This Row],[RSD]]=""),"",BuildingsElectricityTable[[#This Row],[Total emissions (kgCO2e)]]*(1+BuildingsElectricityTable[[#This Row],[RSD]]))</f>
        <v/>
      </c>
      <c r="W135" s="270" t="str">
        <f>IF(OR($N135="",BuildingsElectricityTable[[#This Row],[RSD]]=""),"",BuildingsElectricityTable[[#This Row],[Total emissions (kgCO2e)]]*(1-BuildingsElectricityTable[[#This Row],[RSD]]))</f>
        <v/>
      </c>
      <c r="X135" s="271" t="str" cm="1">
        <f t="array" ref="X135">IF(OR($E135="",$I135=""),"",(INDEX('Emission factors'!$K$3:$V$201,MATCH('Buildings - Grid Electricity'!$E135&amp;$F135,'Emission factors'!$J$3:$J$201&amp;'Emission factors'!$K$3:$K$201,0),MATCH('Buildings - Grid Electricity'!X$6,'Emission factors'!$K$2:$V$2,0)))*$K135)</f>
        <v/>
      </c>
      <c r="Y135" s="30"/>
      <c r="Z135" s="1" cm="1">
        <f t="array" ref="Z135">IF(OR(ISERROR(B135:X135)),1,0)</f>
        <v>0</v>
      </c>
      <c r="AA135" s="1">
        <f t="shared" si="9"/>
        <v>0</v>
      </c>
    </row>
    <row r="136" spans="1:27" ht="15" outlineLevel="1" thickBot="1" x14ac:dyDescent="0.4">
      <c r="A136" s="319"/>
      <c r="B136" s="216"/>
      <c r="C136" s="216"/>
      <c r="D136" s="489" t="str">
        <f>IFERROR(INDEX(BuildingInformationTable[Site type],MATCH(BuildingsElectricityTable[[#This Row],[Site name]],BuildingInformationTable[Site name],0)),"")</f>
        <v/>
      </c>
      <c r="E136" s="490" t="str">
        <f t="shared" ref="E136:E199" si="10">IF(B136="", "", "Grid electricity")</f>
        <v/>
      </c>
      <c r="F136" s="490" t="str">
        <f t="shared" ref="F136:F199" si="11">IF(E136="Grid electricity", "Consumption based", "")</f>
        <v/>
      </c>
      <c r="G136" s="491"/>
      <c r="H136" s="492" t="str">
        <f>IF(G136="","",INDEX(Lists!$BA$4:$BC$31,MATCH(E136,Lists!$AZ$4:$AZ$31,0),MATCH(G136,Lists!$BA$3:$BC$3,0)))</f>
        <v/>
      </c>
      <c r="I136" s="267"/>
      <c r="J136" s="490" t="str">
        <f t="shared" ref="J136:J199" si="12">IF(I136="", "", "kWh")</f>
        <v/>
      </c>
      <c r="K136" s="493" t="str" cm="1">
        <f t="array" ref="K136">IF(OR($E136="",$D136="",$I136="",$J136=""),"",IF(J136=L136,I136,(INDEX('Emission factors'!$K$3:$V$201,MATCH(E136&amp;F136,'Emission factors'!$J$3:$J$201&amp;'Emission factors'!$K$3:$K$201,0),MATCH(K$6,'Emission factors'!$K$2:$V$2,0)))*I136))</f>
        <v/>
      </c>
      <c r="L136" s="494" t="str">
        <f>IF(OR($E136="",$D136="",$I136="",$J136=""),"",INDEX('Emission factors'!$K$3:$V$201,MATCH('Buildings - Grid Electricity'!$E136,'Emission factors'!$J$3:$J$201,0),MATCH($L$6,'Emission factors'!$K$2:$V$2,0)))</f>
        <v/>
      </c>
      <c r="M136" s="495" t="str" cm="1">
        <f t="array" ref="M136">IF(OR(E136="",I136="",BuildingsElectricityTable[[#This Row],[Units]]=""),"",INDEX('Emission factors'!$K$3:$V$201,MATCH('Buildings - Grid Electricity'!$E136&amp;F136,'Emission factors'!$J$3:$J$201&amp;'Emission factors'!$K$3:$K$201,0),MATCH('Buildings - Grid Electricity'!$M$6,'Emission factors'!$K$2:$V$2,0)))</f>
        <v/>
      </c>
      <c r="N136" s="496" t="str">
        <f>IF(OR(K136="",M136=""),"",SUM(BuildingsElectricityTable[[#This Row],[Direct]:[Indirect WTT]]))</f>
        <v/>
      </c>
      <c r="O136" s="268"/>
      <c r="P136" s="497"/>
      <c r="Q136" s="157" t="str" cm="1">
        <f t="array" ref="Q136">IF(OR($E136="",$I136=""),"",(INDEX('Emission factors'!$K$3:$V$201,MATCH('Buildings - Grid Electricity'!$E136&amp;$F136,'Emission factors'!$J$3:$J$201&amp;'Emission factors'!$K$3:$K$201,0),MATCH('Buildings - Grid Electricity'!Q$6,'Emission factors'!$K$2:$V$2,0)))*$K136)</f>
        <v/>
      </c>
      <c r="R136" s="157" t="str" cm="1">
        <f t="array" ref="R136">IF(OR($E136="",$I136=""),"",(INDEX('Emission factors'!$K$3:$V$201,MATCH('Buildings - Grid Electricity'!$E136&amp;$F136,'Emission factors'!$J$3:$J$201&amp;'Emission factors'!$K$3:$K$201,0),MATCH('Buildings - Grid Electricity'!R$6,'Emission factors'!$K$2:$V$2,0)))*$K136)</f>
        <v/>
      </c>
      <c r="S136" s="157" t="str" cm="1">
        <f t="array" ref="S136">IF(OR($E136="",$I136=""),"",(INDEX('Emission factors'!$K$3:$V$201,MATCH('Buildings - Grid Electricity'!$E136&amp;$F136,'Emission factors'!$J$3:$J$201&amp;'Emission factors'!$K$3:$K$201,0),MATCH('Buildings - Grid Electricity'!S$6,'Emission factors'!$K$2:$V$2,0)))*$K136)</f>
        <v/>
      </c>
      <c r="T136" s="157" t="str" cm="1">
        <f t="array" ref="T136">IF(OR($E136="",$I136=""),"",(INDEX('Emission factors'!$K$3:$V$201,MATCH('Buildings - Grid Electricity'!$E136&amp;$F136,'Emission factors'!$J$3:$J$201&amp;'Emission factors'!$K$3:$K$201,0),MATCH('Buildings - Grid Electricity'!T$6,'Emission factors'!$K$2:$V$2,0)))*$K136)</f>
        <v/>
      </c>
      <c r="U136" s="157" t="str" cm="1">
        <f t="array" ref="U136">IF(OR($E136="",$I136=""),"",(INDEX('Emission factors'!$K$3:$V$201,MATCH('Buildings - Grid Electricity'!$E136&amp;$F136,'Emission factors'!$J$3:$J$201&amp;'Emission factors'!$K$3:$K$201,0),MATCH('Buildings - Grid Electricity'!U$6,'Emission factors'!$K$2:$V$2,0)))*$K136)</f>
        <v/>
      </c>
      <c r="V136" s="269" t="str">
        <f>IF(OR($N136="",BuildingsElectricityTable[[#This Row],[RSD]]=""),"",BuildingsElectricityTable[[#This Row],[Total emissions (kgCO2e)]]*(1+BuildingsElectricityTable[[#This Row],[RSD]]))</f>
        <v/>
      </c>
      <c r="W136" s="270" t="str">
        <f>IF(OR($N136="",BuildingsElectricityTable[[#This Row],[RSD]]=""),"",BuildingsElectricityTable[[#This Row],[Total emissions (kgCO2e)]]*(1-BuildingsElectricityTable[[#This Row],[RSD]]))</f>
        <v/>
      </c>
      <c r="X136" s="271" t="str" cm="1">
        <f t="array" ref="X136">IF(OR($E136="",$I136=""),"",(INDEX('Emission factors'!$K$3:$V$201,MATCH('Buildings - Grid Electricity'!$E136&amp;$F136,'Emission factors'!$J$3:$J$201&amp;'Emission factors'!$K$3:$K$201,0),MATCH('Buildings - Grid Electricity'!X$6,'Emission factors'!$K$2:$V$2,0)))*$K136)</f>
        <v/>
      </c>
      <c r="Y136" s="30"/>
      <c r="Z136" s="1" cm="1">
        <f t="array" ref="Z136">IF(OR(ISERROR(B136:X136)),1,0)</f>
        <v>0</v>
      </c>
      <c r="AA136" s="1">
        <f t="shared" ref="AA136:AA199" si="13">IF(AND(B136="",E136="",I136="",J136=""),0,1)</f>
        <v>0</v>
      </c>
    </row>
    <row r="137" spans="1:27" ht="15" outlineLevel="1" thickBot="1" x14ac:dyDescent="0.4">
      <c r="A137" s="319"/>
      <c r="B137" s="216"/>
      <c r="C137" s="216"/>
      <c r="D137" s="489" t="str">
        <f>IFERROR(INDEX(BuildingInformationTable[Site type],MATCH(BuildingsElectricityTable[[#This Row],[Site name]],BuildingInformationTable[Site name],0)),"")</f>
        <v/>
      </c>
      <c r="E137" s="490" t="str">
        <f t="shared" si="10"/>
        <v/>
      </c>
      <c r="F137" s="490" t="str">
        <f t="shared" si="11"/>
        <v/>
      </c>
      <c r="G137" s="491"/>
      <c r="H137" s="492" t="str">
        <f>IF(G137="","",INDEX(Lists!$BA$4:$BC$31,MATCH(E137,Lists!$AZ$4:$AZ$31,0),MATCH(G137,Lists!$BA$3:$BC$3,0)))</f>
        <v/>
      </c>
      <c r="I137" s="267"/>
      <c r="J137" s="490" t="str">
        <f t="shared" si="12"/>
        <v/>
      </c>
      <c r="K137" s="493" t="str" cm="1">
        <f t="array" ref="K137">IF(OR($E137="",$D137="",$I137="",$J137=""),"",IF(J137=L137,I137,(INDEX('Emission factors'!$K$3:$V$201,MATCH(E137&amp;F137,'Emission factors'!$J$3:$J$201&amp;'Emission factors'!$K$3:$K$201,0),MATCH(K$6,'Emission factors'!$K$2:$V$2,0)))*I137))</f>
        <v/>
      </c>
      <c r="L137" s="494" t="str">
        <f>IF(OR($E137="",$D137="",$I137="",$J137=""),"",INDEX('Emission factors'!$K$3:$V$201,MATCH('Buildings - Grid Electricity'!$E137,'Emission factors'!$J$3:$J$201,0),MATCH($L$6,'Emission factors'!$K$2:$V$2,0)))</f>
        <v/>
      </c>
      <c r="M137" s="495" t="str" cm="1">
        <f t="array" ref="M137">IF(OR(E137="",I137="",BuildingsElectricityTable[[#This Row],[Units]]=""),"",INDEX('Emission factors'!$K$3:$V$201,MATCH('Buildings - Grid Electricity'!$E137&amp;F137,'Emission factors'!$J$3:$J$201&amp;'Emission factors'!$K$3:$K$201,0),MATCH('Buildings - Grid Electricity'!$M$6,'Emission factors'!$K$2:$V$2,0)))</f>
        <v/>
      </c>
      <c r="N137" s="496" t="str">
        <f>IF(OR(K137="",M137=""),"",SUM(BuildingsElectricityTable[[#This Row],[Direct]:[Indirect WTT]]))</f>
        <v/>
      </c>
      <c r="O137" s="268"/>
      <c r="P137" s="497"/>
      <c r="Q137" s="157" t="str" cm="1">
        <f t="array" ref="Q137">IF(OR($E137="",$I137=""),"",(INDEX('Emission factors'!$K$3:$V$201,MATCH('Buildings - Grid Electricity'!$E137&amp;$F137,'Emission factors'!$J$3:$J$201&amp;'Emission factors'!$K$3:$K$201,0),MATCH('Buildings - Grid Electricity'!Q$6,'Emission factors'!$K$2:$V$2,0)))*$K137)</f>
        <v/>
      </c>
      <c r="R137" s="157" t="str" cm="1">
        <f t="array" ref="R137">IF(OR($E137="",$I137=""),"",(INDEX('Emission factors'!$K$3:$V$201,MATCH('Buildings - Grid Electricity'!$E137&amp;$F137,'Emission factors'!$J$3:$J$201&amp;'Emission factors'!$K$3:$K$201,0),MATCH('Buildings - Grid Electricity'!R$6,'Emission factors'!$K$2:$V$2,0)))*$K137)</f>
        <v/>
      </c>
      <c r="S137" s="157" t="str" cm="1">
        <f t="array" ref="S137">IF(OR($E137="",$I137=""),"",(INDEX('Emission factors'!$K$3:$V$201,MATCH('Buildings - Grid Electricity'!$E137&amp;$F137,'Emission factors'!$J$3:$J$201&amp;'Emission factors'!$K$3:$K$201,0),MATCH('Buildings - Grid Electricity'!S$6,'Emission factors'!$K$2:$V$2,0)))*$K137)</f>
        <v/>
      </c>
      <c r="T137" s="157" t="str" cm="1">
        <f t="array" ref="T137">IF(OR($E137="",$I137=""),"",(INDEX('Emission factors'!$K$3:$V$201,MATCH('Buildings - Grid Electricity'!$E137&amp;$F137,'Emission factors'!$J$3:$J$201&amp;'Emission factors'!$K$3:$K$201,0),MATCH('Buildings - Grid Electricity'!T$6,'Emission factors'!$K$2:$V$2,0)))*$K137)</f>
        <v/>
      </c>
      <c r="U137" s="157" t="str" cm="1">
        <f t="array" ref="U137">IF(OR($E137="",$I137=""),"",(INDEX('Emission factors'!$K$3:$V$201,MATCH('Buildings - Grid Electricity'!$E137&amp;$F137,'Emission factors'!$J$3:$J$201&amp;'Emission factors'!$K$3:$K$201,0),MATCH('Buildings - Grid Electricity'!U$6,'Emission factors'!$K$2:$V$2,0)))*$K137)</f>
        <v/>
      </c>
      <c r="V137" s="269" t="str">
        <f>IF(OR($N137="",BuildingsElectricityTable[[#This Row],[RSD]]=""),"",BuildingsElectricityTable[[#This Row],[Total emissions (kgCO2e)]]*(1+BuildingsElectricityTable[[#This Row],[RSD]]))</f>
        <v/>
      </c>
      <c r="W137" s="270" t="str">
        <f>IF(OR($N137="",BuildingsElectricityTable[[#This Row],[RSD]]=""),"",BuildingsElectricityTable[[#This Row],[Total emissions (kgCO2e)]]*(1-BuildingsElectricityTable[[#This Row],[RSD]]))</f>
        <v/>
      </c>
      <c r="X137" s="271" t="str" cm="1">
        <f t="array" ref="X137">IF(OR($E137="",$I137=""),"",(INDEX('Emission factors'!$K$3:$V$201,MATCH('Buildings - Grid Electricity'!$E137&amp;$F137,'Emission factors'!$J$3:$J$201&amp;'Emission factors'!$K$3:$K$201,0),MATCH('Buildings - Grid Electricity'!X$6,'Emission factors'!$K$2:$V$2,0)))*$K137)</f>
        <v/>
      </c>
      <c r="Y137" s="30"/>
      <c r="Z137" s="1" cm="1">
        <f t="array" ref="Z137">IF(OR(ISERROR(B137:X137)),1,0)</f>
        <v>0</v>
      </c>
      <c r="AA137" s="1">
        <f t="shared" si="13"/>
        <v>0</v>
      </c>
    </row>
    <row r="138" spans="1:27" ht="15" outlineLevel="1" thickBot="1" x14ac:dyDescent="0.4">
      <c r="A138" s="319"/>
      <c r="B138" s="216"/>
      <c r="C138" s="216"/>
      <c r="D138" s="489" t="str">
        <f>IFERROR(INDEX(BuildingInformationTable[Site type],MATCH(BuildingsElectricityTable[[#This Row],[Site name]],BuildingInformationTable[Site name],0)),"")</f>
        <v/>
      </c>
      <c r="E138" s="490" t="str">
        <f t="shared" si="10"/>
        <v/>
      </c>
      <c r="F138" s="490" t="str">
        <f t="shared" si="11"/>
        <v/>
      </c>
      <c r="G138" s="491"/>
      <c r="H138" s="492" t="str">
        <f>IF(G138="","",INDEX(Lists!$BA$4:$BC$31,MATCH(E138,Lists!$AZ$4:$AZ$31,0),MATCH(G138,Lists!$BA$3:$BC$3,0)))</f>
        <v/>
      </c>
      <c r="I138" s="267"/>
      <c r="J138" s="490" t="str">
        <f t="shared" si="12"/>
        <v/>
      </c>
      <c r="K138" s="493" t="str" cm="1">
        <f t="array" ref="K138">IF(OR($E138="",$D138="",$I138="",$J138=""),"",IF(J138=L138,I138,(INDEX('Emission factors'!$K$3:$V$201,MATCH(E138&amp;F138,'Emission factors'!$J$3:$J$201&amp;'Emission factors'!$K$3:$K$201,0),MATCH(K$6,'Emission factors'!$K$2:$V$2,0)))*I138))</f>
        <v/>
      </c>
      <c r="L138" s="494" t="str">
        <f>IF(OR($E138="",$D138="",$I138="",$J138=""),"",INDEX('Emission factors'!$K$3:$V$201,MATCH('Buildings - Grid Electricity'!$E138,'Emission factors'!$J$3:$J$201,0),MATCH($L$6,'Emission factors'!$K$2:$V$2,0)))</f>
        <v/>
      </c>
      <c r="M138" s="495" t="str" cm="1">
        <f t="array" ref="M138">IF(OR(E138="",I138="",BuildingsElectricityTable[[#This Row],[Units]]=""),"",INDEX('Emission factors'!$K$3:$V$201,MATCH('Buildings - Grid Electricity'!$E138&amp;F138,'Emission factors'!$J$3:$J$201&amp;'Emission factors'!$K$3:$K$201,0),MATCH('Buildings - Grid Electricity'!$M$6,'Emission factors'!$K$2:$V$2,0)))</f>
        <v/>
      </c>
      <c r="N138" s="496" t="str">
        <f>IF(OR(K138="",M138=""),"",SUM(BuildingsElectricityTable[[#This Row],[Direct]:[Indirect WTT]]))</f>
        <v/>
      </c>
      <c r="O138" s="268"/>
      <c r="P138" s="497"/>
      <c r="Q138" s="157" t="str" cm="1">
        <f t="array" ref="Q138">IF(OR($E138="",$I138=""),"",(INDEX('Emission factors'!$K$3:$V$201,MATCH('Buildings - Grid Electricity'!$E138&amp;$F138,'Emission factors'!$J$3:$J$201&amp;'Emission factors'!$K$3:$K$201,0),MATCH('Buildings - Grid Electricity'!Q$6,'Emission factors'!$K$2:$V$2,0)))*$K138)</f>
        <v/>
      </c>
      <c r="R138" s="157" t="str" cm="1">
        <f t="array" ref="R138">IF(OR($E138="",$I138=""),"",(INDEX('Emission factors'!$K$3:$V$201,MATCH('Buildings - Grid Electricity'!$E138&amp;$F138,'Emission factors'!$J$3:$J$201&amp;'Emission factors'!$K$3:$K$201,0),MATCH('Buildings - Grid Electricity'!R$6,'Emission factors'!$K$2:$V$2,0)))*$K138)</f>
        <v/>
      </c>
      <c r="S138" s="157" t="str" cm="1">
        <f t="array" ref="S138">IF(OR($E138="",$I138=""),"",(INDEX('Emission factors'!$K$3:$V$201,MATCH('Buildings - Grid Electricity'!$E138&amp;$F138,'Emission factors'!$J$3:$J$201&amp;'Emission factors'!$K$3:$K$201,0),MATCH('Buildings - Grid Electricity'!S$6,'Emission factors'!$K$2:$V$2,0)))*$K138)</f>
        <v/>
      </c>
      <c r="T138" s="157" t="str" cm="1">
        <f t="array" ref="T138">IF(OR($E138="",$I138=""),"",(INDEX('Emission factors'!$K$3:$V$201,MATCH('Buildings - Grid Electricity'!$E138&amp;$F138,'Emission factors'!$J$3:$J$201&amp;'Emission factors'!$K$3:$K$201,0),MATCH('Buildings - Grid Electricity'!T$6,'Emission factors'!$K$2:$V$2,0)))*$K138)</f>
        <v/>
      </c>
      <c r="U138" s="157" t="str" cm="1">
        <f t="array" ref="U138">IF(OR($E138="",$I138=""),"",(INDEX('Emission factors'!$K$3:$V$201,MATCH('Buildings - Grid Electricity'!$E138&amp;$F138,'Emission factors'!$J$3:$J$201&amp;'Emission factors'!$K$3:$K$201,0),MATCH('Buildings - Grid Electricity'!U$6,'Emission factors'!$K$2:$V$2,0)))*$K138)</f>
        <v/>
      </c>
      <c r="V138" s="269" t="str">
        <f>IF(OR($N138="",BuildingsElectricityTable[[#This Row],[RSD]]=""),"",BuildingsElectricityTable[[#This Row],[Total emissions (kgCO2e)]]*(1+BuildingsElectricityTable[[#This Row],[RSD]]))</f>
        <v/>
      </c>
      <c r="W138" s="270" t="str">
        <f>IF(OR($N138="",BuildingsElectricityTable[[#This Row],[RSD]]=""),"",BuildingsElectricityTable[[#This Row],[Total emissions (kgCO2e)]]*(1-BuildingsElectricityTable[[#This Row],[RSD]]))</f>
        <v/>
      </c>
      <c r="X138" s="271" t="str" cm="1">
        <f t="array" ref="X138">IF(OR($E138="",$I138=""),"",(INDEX('Emission factors'!$K$3:$V$201,MATCH('Buildings - Grid Electricity'!$E138&amp;$F138,'Emission factors'!$J$3:$J$201&amp;'Emission factors'!$K$3:$K$201,0),MATCH('Buildings - Grid Electricity'!X$6,'Emission factors'!$K$2:$V$2,0)))*$K138)</f>
        <v/>
      </c>
      <c r="Y138" s="30"/>
      <c r="Z138" s="1" cm="1">
        <f t="array" ref="Z138">IF(OR(ISERROR(B138:X138)),1,0)</f>
        <v>0</v>
      </c>
      <c r="AA138" s="1">
        <f t="shared" si="13"/>
        <v>0</v>
      </c>
    </row>
    <row r="139" spans="1:27" ht="15" outlineLevel="1" thickBot="1" x14ac:dyDescent="0.4">
      <c r="A139" s="319"/>
      <c r="B139" s="216"/>
      <c r="C139" s="216"/>
      <c r="D139" s="489" t="str">
        <f>IFERROR(INDEX(BuildingInformationTable[Site type],MATCH(BuildingsElectricityTable[[#This Row],[Site name]],BuildingInformationTable[Site name],0)),"")</f>
        <v/>
      </c>
      <c r="E139" s="490" t="str">
        <f t="shared" si="10"/>
        <v/>
      </c>
      <c r="F139" s="490" t="str">
        <f t="shared" si="11"/>
        <v/>
      </c>
      <c r="G139" s="491"/>
      <c r="H139" s="492" t="str">
        <f>IF(G139="","",INDEX(Lists!$BA$4:$BC$31,MATCH(E139,Lists!$AZ$4:$AZ$31,0),MATCH(G139,Lists!$BA$3:$BC$3,0)))</f>
        <v/>
      </c>
      <c r="I139" s="267"/>
      <c r="J139" s="490" t="str">
        <f t="shared" si="12"/>
        <v/>
      </c>
      <c r="K139" s="493" t="str" cm="1">
        <f t="array" ref="K139">IF(OR($E139="",$D139="",$I139="",$J139=""),"",IF(J139=L139,I139,(INDEX('Emission factors'!$K$3:$V$201,MATCH(E139&amp;F139,'Emission factors'!$J$3:$J$201&amp;'Emission factors'!$K$3:$K$201,0),MATCH(K$6,'Emission factors'!$K$2:$V$2,0)))*I139))</f>
        <v/>
      </c>
      <c r="L139" s="494" t="str">
        <f>IF(OR($E139="",$D139="",$I139="",$J139=""),"",INDEX('Emission factors'!$K$3:$V$201,MATCH('Buildings - Grid Electricity'!$E139,'Emission factors'!$J$3:$J$201,0),MATCH($L$6,'Emission factors'!$K$2:$V$2,0)))</f>
        <v/>
      </c>
      <c r="M139" s="495" t="str" cm="1">
        <f t="array" ref="M139">IF(OR(E139="",I139="",BuildingsElectricityTable[[#This Row],[Units]]=""),"",INDEX('Emission factors'!$K$3:$V$201,MATCH('Buildings - Grid Electricity'!$E139&amp;F139,'Emission factors'!$J$3:$J$201&amp;'Emission factors'!$K$3:$K$201,0),MATCH('Buildings - Grid Electricity'!$M$6,'Emission factors'!$K$2:$V$2,0)))</f>
        <v/>
      </c>
      <c r="N139" s="496" t="str">
        <f>IF(OR(K139="",M139=""),"",SUM(BuildingsElectricityTable[[#This Row],[Direct]:[Indirect WTT]]))</f>
        <v/>
      </c>
      <c r="O139" s="268"/>
      <c r="P139" s="497"/>
      <c r="Q139" s="157" t="str" cm="1">
        <f t="array" ref="Q139">IF(OR($E139="",$I139=""),"",(INDEX('Emission factors'!$K$3:$V$201,MATCH('Buildings - Grid Electricity'!$E139&amp;$F139,'Emission factors'!$J$3:$J$201&amp;'Emission factors'!$K$3:$K$201,0),MATCH('Buildings - Grid Electricity'!Q$6,'Emission factors'!$K$2:$V$2,0)))*$K139)</f>
        <v/>
      </c>
      <c r="R139" s="157" t="str" cm="1">
        <f t="array" ref="R139">IF(OR($E139="",$I139=""),"",(INDEX('Emission factors'!$K$3:$V$201,MATCH('Buildings - Grid Electricity'!$E139&amp;$F139,'Emission factors'!$J$3:$J$201&amp;'Emission factors'!$K$3:$K$201,0),MATCH('Buildings - Grid Electricity'!R$6,'Emission factors'!$K$2:$V$2,0)))*$K139)</f>
        <v/>
      </c>
      <c r="S139" s="157" t="str" cm="1">
        <f t="array" ref="S139">IF(OR($E139="",$I139=""),"",(INDEX('Emission factors'!$K$3:$V$201,MATCH('Buildings - Grid Electricity'!$E139&amp;$F139,'Emission factors'!$J$3:$J$201&amp;'Emission factors'!$K$3:$K$201,0),MATCH('Buildings - Grid Electricity'!S$6,'Emission factors'!$K$2:$V$2,0)))*$K139)</f>
        <v/>
      </c>
      <c r="T139" s="157" t="str" cm="1">
        <f t="array" ref="T139">IF(OR($E139="",$I139=""),"",(INDEX('Emission factors'!$K$3:$V$201,MATCH('Buildings - Grid Electricity'!$E139&amp;$F139,'Emission factors'!$J$3:$J$201&amp;'Emission factors'!$K$3:$K$201,0),MATCH('Buildings - Grid Electricity'!T$6,'Emission factors'!$K$2:$V$2,0)))*$K139)</f>
        <v/>
      </c>
      <c r="U139" s="157" t="str" cm="1">
        <f t="array" ref="U139">IF(OR($E139="",$I139=""),"",(INDEX('Emission factors'!$K$3:$V$201,MATCH('Buildings - Grid Electricity'!$E139&amp;$F139,'Emission factors'!$J$3:$J$201&amp;'Emission factors'!$K$3:$K$201,0),MATCH('Buildings - Grid Electricity'!U$6,'Emission factors'!$K$2:$V$2,0)))*$K139)</f>
        <v/>
      </c>
      <c r="V139" s="269" t="str">
        <f>IF(OR($N139="",BuildingsElectricityTable[[#This Row],[RSD]]=""),"",BuildingsElectricityTable[[#This Row],[Total emissions (kgCO2e)]]*(1+BuildingsElectricityTable[[#This Row],[RSD]]))</f>
        <v/>
      </c>
      <c r="W139" s="270" t="str">
        <f>IF(OR($N139="",BuildingsElectricityTable[[#This Row],[RSD]]=""),"",BuildingsElectricityTable[[#This Row],[Total emissions (kgCO2e)]]*(1-BuildingsElectricityTable[[#This Row],[RSD]]))</f>
        <v/>
      </c>
      <c r="X139" s="271" t="str" cm="1">
        <f t="array" ref="X139">IF(OR($E139="",$I139=""),"",(INDEX('Emission factors'!$K$3:$V$201,MATCH('Buildings - Grid Electricity'!$E139&amp;$F139,'Emission factors'!$J$3:$J$201&amp;'Emission factors'!$K$3:$K$201,0),MATCH('Buildings - Grid Electricity'!X$6,'Emission factors'!$K$2:$V$2,0)))*$K139)</f>
        <v/>
      </c>
      <c r="Y139" s="30"/>
      <c r="Z139" s="1" cm="1">
        <f t="array" ref="Z139">IF(OR(ISERROR(B139:X139)),1,0)</f>
        <v>0</v>
      </c>
      <c r="AA139" s="1">
        <f t="shared" si="13"/>
        <v>0</v>
      </c>
    </row>
    <row r="140" spans="1:27" ht="15" outlineLevel="1" thickBot="1" x14ac:dyDescent="0.4">
      <c r="A140" s="319"/>
      <c r="B140" s="216"/>
      <c r="C140" s="216"/>
      <c r="D140" s="489" t="str">
        <f>IFERROR(INDEX(BuildingInformationTable[Site type],MATCH(BuildingsElectricityTable[[#This Row],[Site name]],BuildingInformationTable[Site name],0)),"")</f>
        <v/>
      </c>
      <c r="E140" s="490" t="str">
        <f t="shared" si="10"/>
        <v/>
      </c>
      <c r="F140" s="490" t="str">
        <f t="shared" si="11"/>
        <v/>
      </c>
      <c r="G140" s="491"/>
      <c r="H140" s="492" t="str">
        <f>IF(G140="","",INDEX(Lists!$BA$4:$BC$31,MATCH(E140,Lists!$AZ$4:$AZ$31,0),MATCH(G140,Lists!$BA$3:$BC$3,0)))</f>
        <v/>
      </c>
      <c r="I140" s="267"/>
      <c r="J140" s="490" t="str">
        <f t="shared" si="12"/>
        <v/>
      </c>
      <c r="K140" s="493" t="str" cm="1">
        <f t="array" ref="K140">IF(OR($E140="",$D140="",$I140="",$J140=""),"",IF(J140=L140,I140,(INDEX('Emission factors'!$K$3:$V$201,MATCH(E140&amp;F140,'Emission factors'!$J$3:$J$201&amp;'Emission factors'!$K$3:$K$201,0),MATCH(K$6,'Emission factors'!$K$2:$V$2,0)))*I140))</f>
        <v/>
      </c>
      <c r="L140" s="494" t="str">
        <f>IF(OR($E140="",$D140="",$I140="",$J140=""),"",INDEX('Emission factors'!$K$3:$V$201,MATCH('Buildings - Grid Electricity'!$E140,'Emission factors'!$J$3:$J$201,0),MATCH($L$6,'Emission factors'!$K$2:$V$2,0)))</f>
        <v/>
      </c>
      <c r="M140" s="495" t="str" cm="1">
        <f t="array" ref="M140">IF(OR(E140="",I140="",BuildingsElectricityTable[[#This Row],[Units]]=""),"",INDEX('Emission factors'!$K$3:$V$201,MATCH('Buildings - Grid Electricity'!$E140&amp;F140,'Emission factors'!$J$3:$J$201&amp;'Emission factors'!$K$3:$K$201,0),MATCH('Buildings - Grid Electricity'!$M$6,'Emission factors'!$K$2:$V$2,0)))</f>
        <v/>
      </c>
      <c r="N140" s="496" t="str">
        <f>IF(OR(K140="",M140=""),"",SUM(BuildingsElectricityTable[[#This Row],[Direct]:[Indirect WTT]]))</f>
        <v/>
      </c>
      <c r="O140" s="268"/>
      <c r="P140" s="497"/>
      <c r="Q140" s="157" t="str" cm="1">
        <f t="array" ref="Q140">IF(OR($E140="",$I140=""),"",(INDEX('Emission factors'!$K$3:$V$201,MATCH('Buildings - Grid Electricity'!$E140&amp;$F140,'Emission factors'!$J$3:$J$201&amp;'Emission factors'!$K$3:$K$201,0),MATCH('Buildings - Grid Electricity'!Q$6,'Emission factors'!$K$2:$V$2,0)))*$K140)</f>
        <v/>
      </c>
      <c r="R140" s="157" t="str" cm="1">
        <f t="array" ref="R140">IF(OR($E140="",$I140=""),"",(INDEX('Emission factors'!$K$3:$V$201,MATCH('Buildings - Grid Electricity'!$E140&amp;$F140,'Emission factors'!$J$3:$J$201&amp;'Emission factors'!$K$3:$K$201,0),MATCH('Buildings - Grid Electricity'!R$6,'Emission factors'!$K$2:$V$2,0)))*$K140)</f>
        <v/>
      </c>
      <c r="S140" s="157" t="str" cm="1">
        <f t="array" ref="S140">IF(OR($E140="",$I140=""),"",(INDEX('Emission factors'!$K$3:$V$201,MATCH('Buildings - Grid Electricity'!$E140&amp;$F140,'Emission factors'!$J$3:$J$201&amp;'Emission factors'!$K$3:$K$201,0),MATCH('Buildings - Grid Electricity'!S$6,'Emission factors'!$K$2:$V$2,0)))*$K140)</f>
        <v/>
      </c>
      <c r="T140" s="157" t="str" cm="1">
        <f t="array" ref="T140">IF(OR($E140="",$I140=""),"",(INDEX('Emission factors'!$K$3:$V$201,MATCH('Buildings - Grid Electricity'!$E140&amp;$F140,'Emission factors'!$J$3:$J$201&amp;'Emission factors'!$K$3:$K$201,0),MATCH('Buildings - Grid Electricity'!T$6,'Emission factors'!$K$2:$V$2,0)))*$K140)</f>
        <v/>
      </c>
      <c r="U140" s="157" t="str" cm="1">
        <f t="array" ref="U140">IF(OR($E140="",$I140=""),"",(INDEX('Emission factors'!$K$3:$V$201,MATCH('Buildings - Grid Electricity'!$E140&amp;$F140,'Emission factors'!$J$3:$J$201&amp;'Emission factors'!$K$3:$K$201,0),MATCH('Buildings - Grid Electricity'!U$6,'Emission factors'!$K$2:$V$2,0)))*$K140)</f>
        <v/>
      </c>
      <c r="V140" s="269" t="str">
        <f>IF(OR($N140="",BuildingsElectricityTable[[#This Row],[RSD]]=""),"",BuildingsElectricityTable[[#This Row],[Total emissions (kgCO2e)]]*(1+BuildingsElectricityTable[[#This Row],[RSD]]))</f>
        <v/>
      </c>
      <c r="W140" s="270" t="str">
        <f>IF(OR($N140="",BuildingsElectricityTable[[#This Row],[RSD]]=""),"",BuildingsElectricityTable[[#This Row],[Total emissions (kgCO2e)]]*(1-BuildingsElectricityTable[[#This Row],[RSD]]))</f>
        <v/>
      </c>
      <c r="X140" s="271" t="str" cm="1">
        <f t="array" ref="X140">IF(OR($E140="",$I140=""),"",(INDEX('Emission factors'!$K$3:$V$201,MATCH('Buildings - Grid Electricity'!$E140&amp;$F140,'Emission factors'!$J$3:$J$201&amp;'Emission factors'!$K$3:$K$201,0),MATCH('Buildings - Grid Electricity'!X$6,'Emission factors'!$K$2:$V$2,0)))*$K140)</f>
        <v/>
      </c>
      <c r="Y140" s="30"/>
      <c r="Z140" s="1" cm="1">
        <f t="array" ref="Z140">IF(OR(ISERROR(B140:X140)),1,0)</f>
        <v>0</v>
      </c>
      <c r="AA140" s="1">
        <f t="shared" si="13"/>
        <v>0</v>
      </c>
    </row>
    <row r="141" spans="1:27" ht="15" outlineLevel="1" thickBot="1" x14ac:dyDescent="0.4">
      <c r="A141" s="319"/>
      <c r="B141" s="216"/>
      <c r="C141" s="216"/>
      <c r="D141" s="489" t="str">
        <f>IFERROR(INDEX(BuildingInformationTable[Site type],MATCH(BuildingsElectricityTable[[#This Row],[Site name]],BuildingInformationTable[Site name],0)),"")</f>
        <v/>
      </c>
      <c r="E141" s="490" t="str">
        <f t="shared" si="10"/>
        <v/>
      </c>
      <c r="F141" s="490" t="str">
        <f t="shared" si="11"/>
        <v/>
      </c>
      <c r="G141" s="491"/>
      <c r="H141" s="492" t="str">
        <f>IF(G141="","",INDEX(Lists!$BA$4:$BC$31,MATCH(E141,Lists!$AZ$4:$AZ$31,0),MATCH(G141,Lists!$BA$3:$BC$3,0)))</f>
        <v/>
      </c>
      <c r="I141" s="267"/>
      <c r="J141" s="490" t="str">
        <f t="shared" si="12"/>
        <v/>
      </c>
      <c r="K141" s="493" t="str" cm="1">
        <f t="array" ref="K141">IF(OR($E141="",$D141="",$I141="",$J141=""),"",IF(J141=L141,I141,(INDEX('Emission factors'!$K$3:$V$201,MATCH(E141&amp;F141,'Emission factors'!$J$3:$J$201&amp;'Emission factors'!$K$3:$K$201,0),MATCH(K$6,'Emission factors'!$K$2:$V$2,0)))*I141))</f>
        <v/>
      </c>
      <c r="L141" s="494" t="str">
        <f>IF(OR($E141="",$D141="",$I141="",$J141=""),"",INDEX('Emission factors'!$K$3:$V$201,MATCH('Buildings - Grid Electricity'!$E141,'Emission factors'!$J$3:$J$201,0),MATCH($L$6,'Emission factors'!$K$2:$V$2,0)))</f>
        <v/>
      </c>
      <c r="M141" s="495" t="str" cm="1">
        <f t="array" ref="M141">IF(OR(E141="",I141="",BuildingsElectricityTable[[#This Row],[Units]]=""),"",INDEX('Emission factors'!$K$3:$V$201,MATCH('Buildings - Grid Electricity'!$E141&amp;F141,'Emission factors'!$J$3:$J$201&amp;'Emission factors'!$K$3:$K$201,0),MATCH('Buildings - Grid Electricity'!$M$6,'Emission factors'!$K$2:$V$2,0)))</f>
        <v/>
      </c>
      <c r="N141" s="496" t="str">
        <f>IF(OR(K141="",M141=""),"",SUM(BuildingsElectricityTable[[#This Row],[Direct]:[Indirect WTT]]))</f>
        <v/>
      </c>
      <c r="O141" s="268"/>
      <c r="P141" s="497"/>
      <c r="Q141" s="157" t="str" cm="1">
        <f t="array" ref="Q141">IF(OR($E141="",$I141=""),"",(INDEX('Emission factors'!$K$3:$V$201,MATCH('Buildings - Grid Electricity'!$E141&amp;$F141,'Emission factors'!$J$3:$J$201&amp;'Emission factors'!$K$3:$K$201,0),MATCH('Buildings - Grid Electricity'!Q$6,'Emission factors'!$K$2:$V$2,0)))*$K141)</f>
        <v/>
      </c>
      <c r="R141" s="157" t="str" cm="1">
        <f t="array" ref="R141">IF(OR($E141="",$I141=""),"",(INDEX('Emission factors'!$K$3:$V$201,MATCH('Buildings - Grid Electricity'!$E141&amp;$F141,'Emission factors'!$J$3:$J$201&amp;'Emission factors'!$K$3:$K$201,0),MATCH('Buildings - Grid Electricity'!R$6,'Emission factors'!$K$2:$V$2,0)))*$K141)</f>
        <v/>
      </c>
      <c r="S141" s="157" t="str" cm="1">
        <f t="array" ref="S141">IF(OR($E141="",$I141=""),"",(INDEX('Emission factors'!$K$3:$V$201,MATCH('Buildings - Grid Electricity'!$E141&amp;$F141,'Emission factors'!$J$3:$J$201&amp;'Emission factors'!$K$3:$K$201,0),MATCH('Buildings - Grid Electricity'!S$6,'Emission factors'!$K$2:$V$2,0)))*$K141)</f>
        <v/>
      </c>
      <c r="T141" s="157" t="str" cm="1">
        <f t="array" ref="T141">IF(OR($E141="",$I141=""),"",(INDEX('Emission factors'!$K$3:$V$201,MATCH('Buildings - Grid Electricity'!$E141&amp;$F141,'Emission factors'!$J$3:$J$201&amp;'Emission factors'!$K$3:$K$201,0),MATCH('Buildings - Grid Electricity'!T$6,'Emission factors'!$K$2:$V$2,0)))*$K141)</f>
        <v/>
      </c>
      <c r="U141" s="157" t="str" cm="1">
        <f t="array" ref="U141">IF(OR($E141="",$I141=""),"",(INDEX('Emission factors'!$K$3:$V$201,MATCH('Buildings - Grid Electricity'!$E141&amp;$F141,'Emission factors'!$J$3:$J$201&amp;'Emission factors'!$K$3:$K$201,0),MATCH('Buildings - Grid Electricity'!U$6,'Emission factors'!$K$2:$V$2,0)))*$K141)</f>
        <v/>
      </c>
      <c r="V141" s="269" t="str">
        <f>IF(OR($N141="",BuildingsElectricityTable[[#This Row],[RSD]]=""),"",BuildingsElectricityTable[[#This Row],[Total emissions (kgCO2e)]]*(1+BuildingsElectricityTable[[#This Row],[RSD]]))</f>
        <v/>
      </c>
      <c r="W141" s="270" t="str">
        <f>IF(OR($N141="",BuildingsElectricityTable[[#This Row],[RSD]]=""),"",BuildingsElectricityTable[[#This Row],[Total emissions (kgCO2e)]]*(1-BuildingsElectricityTable[[#This Row],[RSD]]))</f>
        <v/>
      </c>
      <c r="X141" s="271" t="str" cm="1">
        <f t="array" ref="X141">IF(OR($E141="",$I141=""),"",(INDEX('Emission factors'!$K$3:$V$201,MATCH('Buildings - Grid Electricity'!$E141&amp;$F141,'Emission factors'!$J$3:$J$201&amp;'Emission factors'!$K$3:$K$201,0),MATCH('Buildings - Grid Electricity'!X$6,'Emission factors'!$K$2:$V$2,0)))*$K141)</f>
        <v/>
      </c>
      <c r="Y141" s="30"/>
      <c r="Z141" s="1" cm="1">
        <f t="array" ref="Z141">IF(OR(ISERROR(B141:X141)),1,0)</f>
        <v>0</v>
      </c>
      <c r="AA141" s="1">
        <f t="shared" si="13"/>
        <v>0</v>
      </c>
    </row>
    <row r="142" spans="1:27" ht="15" outlineLevel="1" thickBot="1" x14ac:dyDescent="0.4">
      <c r="A142" s="319"/>
      <c r="B142" s="216"/>
      <c r="C142" s="216"/>
      <c r="D142" s="489" t="str">
        <f>IFERROR(INDEX(BuildingInformationTable[Site type],MATCH(BuildingsElectricityTable[[#This Row],[Site name]],BuildingInformationTable[Site name],0)),"")</f>
        <v/>
      </c>
      <c r="E142" s="490" t="str">
        <f t="shared" si="10"/>
        <v/>
      </c>
      <c r="F142" s="490" t="str">
        <f t="shared" si="11"/>
        <v/>
      </c>
      <c r="G142" s="491"/>
      <c r="H142" s="492" t="str">
        <f>IF(G142="","",INDEX(Lists!$BA$4:$BC$31,MATCH(E142,Lists!$AZ$4:$AZ$31,0),MATCH(G142,Lists!$BA$3:$BC$3,0)))</f>
        <v/>
      </c>
      <c r="I142" s="267"/>
      <c r="J142" s="490" t="str">
        <f t="shared" si="12"/>
        <v/>
      </c>
      <c r="K142" s="493" t="str" cm="1">
        <f t="array" ref="K142">IF(OR($E142="",$D142="",$I142="",$J142=""),"",IF(J142=L142,I142,(INDEX('Emission factors'!$K$3:$V$201,MATCH(E142&amp;F142,'Emission factors'!$J$3:$J$201&amp;'Emission factors'!$K$3:$K$201,0),MATCH(K$6,'Emission factors'!$K$2:$V$2,0)))*I142))</f>
        <v/>
      </c>
      <c r="L142" s="494" t="str">
        <f>IF(OR($E142="",$D142="",$I142="",$J142=""),"",INDEX('Emission factors'!$K$3:$V$201,MATCH('Buildings - Grid Electricity'!$E142,'Emission factors'!$J$3:$J$201,0),MATCH($L$6,'Emission factors'!$K$2:$V$2,0)))</f>
        <v/>
      </c>
      <c r="M142" s="495" t="str" cm="1">
        <f t="array" ref="M142">IF(OR(E142="",I142="",BuildingsElectricityTable[[#This Row],[Units]]=""),"",INDEX('Emission factors'!$K$3:$V$201,MATCH('Buildings - Grid Electricity'!$E142&amp;F142,'Emission factors'!$J$3:$J$201&amp;'Emission factors'!$K$3:$K$201,0),MATCH('Buildings - Grid Electricity'!$M$6,'Emission factors'!$K$2:$V$2,0)))</f>
        <v/>
      </c>
      <c r="N142" s="496" t="str">
        <f>IF(OR(K142="",M142=""),"",SUM(BuildingsElectricityTable[[#This Row],[Direct]:[Indirect WTT]]))</f>
        <v/>
      </c>
      <c r="O142" s="268"/>
      <c r="P142" s="497"/>
      <c r="Q142" s="157" t="str" cm="1">
        <f t="array" ref="Q142">IF(OR($E142="",$I142=""),"",(INDEX('Emission factors'!$K$3:$V$201,MATCH('Buildings - Grid Electricity'!$E142&amp;$F142,'Emission factors'!$J$3:$J$201&amp;'Emission factors'!$K$3:$K$201,0),MATCH('Buildings - Grid Electricity'!Q$6,'Emission factors'!$K$2:$V$2,0)))*$K142)</f>
        <v/>
      </c>
      <c r="R142" s="157" t="str" cm="1">
        <f t="array" ref="R142">IF(OR($E142="",$I142=""),"",(INDEX('Emission factors'!$K$3:$V$201,MATCH('Buildings - Grid Electricity'!$E142&amp;$F142,'Emission factors'!$J$3:$J$201&amp;'Emission factors'!$K$3:$K$201,0),MATCH('Buildings - Grid Electricity'!R$6,'Emission factors'!$K$2:$V$2,0)))*$K142)</f>
        <v/>
      </c>
      <c r="S142" s="157" t="str" cm="1">
        <f t="array" ref="S142">IF(OR($E142="",$I142=""),"",(INDEX('Emission factors'!$K$3:$V$201,MATCH('Buildings - Grid Electricity'!$E142&amp;$F142,'Emission factors'!$J$3:$J$201&amp;'Emission factors'!$K$3:$K$201,0),MATCH('Buildings - Grid Electricity'!S$6,'Emission factors'!$K$2:$V$2,0)))*$K142)</f>
        <v/>
      </c>
      <c r="T142" s="157" t="str" cm="1">
        <f t="array" ref="T142">IF(OR($E142="",$I142=""),"",(INDEX('Emission factors'!$K$3:$V$201,MATCH('Buildings - Grid Electricity'!$E142&amp;$F142,'Emission factors'!$J$3:$J$201&amp;'Emission factors'!$K$3:$K$201,0),MATCH('Buildings - Grid Electricity'!T$6,'Emission factors'!$K$2:$V$2,0)))*$K142)</f>
        <v/>
      </c>
      <c r="U142" s="157" t="str" cm="1">
        <f t="array" ref="U142">IF(OR($E142="",$I142=""),"",(INDEX('Emission factors'!$K$3:$V$201,MATCH('Buildings - Grid Electricity'!$E142&amp;$F142,'Emission factors'!$J$3:$J$201&amp;'Emission factors'!$K$3:$K$201,0),MATCH('Buildings - Grid Electricity'!U$6,'Emission factors'!$K$2:$V$2,0)))*$K142)</f>
        <v/>
      </c>
      <c r="V142" s="269" t="str">
        <f>IF(OR($N142="",BuildingsElectricityTable[[#This Row],[RSD]]=""),"",BuildingsElectricityTable[[#This Row],[Total emissions (kgCO2e)]]*(1+BuildingsElectricityTable[[#This Row],[RSD]]))</f>
        <v/>
      </c>
      <c r="W142" s="270" t="str">
        <f>IF(OR($N142="",BuildingsElectricityTable[[#This Row],[RSD]]=""),"",BuildingsElectricityTable[[#This Row],[Total emissions (kgCO2e)]]*(1-BuildingsElectricityTable[[#This Row],[RSD]]))</f>
        <v/>
      </c>
      <c r="X142" s="271" t="str" cm="1">
        <f t="array" ref="X142">IF(OR($E142="",$I142=""),"",(INDEX('Emission factors'!$K$3:$V$201,MATCH('Buildings - Grid Electricity'!$E142&amp;$F142,'Emission factors'!$J$3:$J$201&amp;'Emission factors'!$K$3:$K$201,0),MATCH('Buildings - Grid Electricity'!X$6,'Emission factors'!$K$2:$V$2,0)))*$K142)</f>
        <v/>
      </c>
      <c r="Y142" s="30"/>
      <c r="Z142" s="1" cm="1">
        <f t="array" ref="Z142">IF(OR(ISERROR(B142:X142)),1,0)</f>
        <v>0</v>
      </c>
      <c r="AA142" s="1">
        <f t="shared" si="13"/>
        <v>0</v>
      </c>
    </row>
    <row r="143" spans="1:27" ht="15" outlineLevel="1" thickBot="1" x14ac:dyDescent="0.4">
      <c r="A143" s="319"/>
      <c r="B143" s="216"/>
      <c r="C143" s="216"/>
      <c r="D143" s="489" t="str">
        <f>IFERROR(INDEX(BuildingInformationTable[Site type],MATCH(BuildingsElectricityTable[[#This Row],[Site name]],BuildingInformationTable[Site name],0)),"")</f>
        <v/>
      </c>
      <c r="E143" s="490" t="str">
        <f t="shared" si="10"/>
        <v/>
      </c>
      <c r="F143" s="490" t="str">
        <f t="shared" si="11"/>
        <v/>
      </c>
      <c r="G143" s="491"/>
      <c r="H143" s="492" t="str">
        <f>IF(G143="","",INDEX(Lists!$BA$4:$BC$31,MATCH(E143,Lists!$AZ$4:$AZ$31,0),MATCH(G143,Lists!$BA$3:$BC$3,0)))</f>
        <v/>
      </c>
      <c r="I143" s="267"/>
      <c r="J143" s="490" t="str">
        <f t="shared" si="12"/>
        <v/>
      </c>
      <c r="K143" s="493" t="str" cm="1">
        <f t="array" ref="K143">IF(OR($E143="",$D143="",$I143="",$J143=""),"",IF(J143=L143,I143,(INDEX('Emission factors'!$K$3:$V$201,MATCH(E143&amp;F143,'Emission factors'!$J$3:$J$201&amp;'Emission factors'!$K$3:$K$201,0),MATCH(K$6,'Emission factors'!$K$2:$V$2,0)))*I143))</f>
        <v/>
      </c>
      <c r="L143" s="494" t="str">
        <f>IF(OR($E143="",$D143="",$I143="",$J143=""),"",INDEX('Emission factors'!$K$3:$V$201,MATCH('Buildings - Grid Electricity'!$E143,'Emission factors'!$J$3:$J$201,0),MATCH($L$6,'Emission factors'!$K$2:$V$2,0)))</f>
        <v/>
      </c>
      <c r="M143" s="495" t="str" cm="1">
        <f t="array" ref="M143">IF(OR(E143="",I143="",BuildingsElectricityTable[[#This Row],[Units]]=""),"",INDEX('Emission factors'!$K$3:$V$201,MATCH('Buildings - Grid Electricity'!$E143&amp;F143,'Emission factors'!$J$3:$J$201&amp;'Emission factors'!$K$3:$K$201,0),MATCH('Buildings - Grid Electricity'!$M$6,'Emission factors'!$K$2:$V$2,0)))</f>
        <v/>
      </c>
      <c r="N143" s="496" t="str">
        <f>IF(OR(K143="",M143=""),"",SUM(BuildingsElectricityTable[[#This Row],[Direct]:[Indirect WTT]]))</f>
        <v/>
      </c>
      <c r="O143" s="268"/>
      <c r="P143" s="497"/>
      <c r="Q143" s="157" t="str" cm="1">
        <f t="array" ref="Q143">IF(OR($E143="",$I143=""),"",(INDEX('Emission factors'!$K$3:$V$201,MATCH('Buildings - Grid Electricity'!$E143&amp;$F143,'Emission factors'!$J$3:$J$201&amp;'Emission factors'!$K$3:$K$201,0),MATCH('Buildings - Grid Electricity'!Q$6,'Emission factors'!$K$2:$V$2,0)))*$K143)</f>
        <v/>
      </c>
      <c r="R143" s="157" t="str" cm="1">
        <f t="array" ref="R143">IF(OR($E143="",$I143=""),"",(INDEX('Emission factors'!$K$3:$V$201,MATCH('Buildings - Grid Electricity'!$E143&amp;$F143,'Emission factors'!$J$3:$J$201&amp;'Emission factors'!$K$3:$K$201,0),MATCH('Buildings - Grid Electricity'!R$6,'Emission factors'!$K$2:$V$2,0)))*$K143)</f>
        <v/>
      </c>
      <c r="S143" s="157" t="str" cm="1">
        <f t="array" ref="S143">IF(OR($E143="",$I143=""),"",(INDEX('Emission factors'!$K$3:$V$201,MATCH('Buildings - Grid Electricity'!$E143&amp;$F143,'Emission factors'!$J$3:$J$201&amp;'Emission factors'!$K$3:$K$201,0),MATCH('Buildings - Grid Electricity'!S$6,'Emission factors'!$K$2:$V$2,0)))*$K143)</f>
        <v/>
      </c>
      <c r="T143" s="157" t="str" cm="1">
        <f t="array" ref="T143">IF(OR($E143="",$I143=""),"",(INDEX('Emission factors'!$K$3:$V$201,MATCH('Buildings - Grid Electricity'!$E143&amp;$F143,'Emission factors'!$J$3:$J$201&amp;'Emission factors'!$K$3:$K$201,0),MATCH('Buildings - Grid Electricity'!T$6,'Emission factors'!$K$2:$V$2,0)))*$K143)</f>
        <v/>
      </c>
      <c r="U143" s="157" t="str" cm="1">
        <f t="array" ref="U143">IF(OR($E143="",$I143=""),"",(INDEX('Emission factors'!$K$3:$V$201,MATCH('Buildings - Grid Electricity'!$E143&amp;$F143,'Emission factors'!$J$3:$J$201&amp;'Emission factors'!$K$3:$K$201,0),MATCH('Buildings - Grid Electricity'!U$6,'Emission factors'!$K$2:$V$2,0)))*$K143)</f>
        <v/>
      </c>
      <c r="V143" s="269" t="str">
        <f>IF(OR($N143="",BuildingsElectricityTable[[#This Row],[RSD]]=""),"",BuildingsElectricityTable[[#This Row],[Total emissions (kgCO2e)]]*(1+BuildingsElectricityTable[[#This Row],[RSD]]))</f>
        <v/>
      </c>
      <c r="W143" s="270" t="str">
        <f>IF(OR($N143="",BuildingsElectricityTable[[#This Row],[RSD]]=""),"",BuildingsElectricityTable[[#This Row],[Total emissions (kgCO2e)]]*(1-BuildingsElectricityTable[[#This Row],[RSD]]))</f>
        <v/>
      </c>
      <c r="X143" s="271" t="str" cm="1">
        <f t="array" ref="X143">IF(OR($E143="",$I143=""),"",(INDEX('Emission factors'!$K$3:$V$201,MATCH('Buildings - Grid Electricity'!$E143&amp;$F143,'Emission factors'!$J$3:$J$201&amp;'Emission factors'!$K$3:$K$201,0),MATCH('Buildings - Grid Electricity'!X$6,'Emission factors'!$K$2:$V$2,0)))*$K143)</f>
        <v/>
      </c>
      <c r="Y143" s="30"/>
      <c r="Z143" s="1" cm="1">
        <f t="array" ref="Z143">IF(OR(ISERROR(B143:X143)),1,0)</f>
        <v>0</v>
      </c>
      <c r="AA143" s="1">
        <f t="shared" si="13"/>
        <v>0</v>
      </c>
    </row>
    <row r="144" spans="1:27" ht="15" outlineLevel="1" thickBot="1" x14ac:dyDescent="0.4">
      <c r="A144" s="319"/>
      <c r="B144" s="216"/>
      <c r="C144" s="216"/>
      <c r="D144" s="489" t="str">
        <f>IFERROR(INDEX(BuildingInformationTable[Site type],MATCH(BuildingsElectricityTable[[#This Row],[Site name]],BuildingInformationTable[Site name],0)),"")</f>
        <v/>
      </c>
      <c r="E144" s="490" t="str">
        <f t="shared" si="10"/>
        <v/>
      </c>
      <c r="F144" s="490" t="str">
        <f t="shared" si="11"/>
        <v/>
      </c>
      <c r="G144" s="491"/>
      <c r="H144" s="492" t="str">
        <f>IF(G144="","",INDEX(Lists!$BA$4:$BC$31,MATCH(E144,Lists!$AZ$4:$AZ$31,0),MATCH(G144,Lists!$BA$3:$BC$3,0)))</f>
        <v/>
      </c>
      <c r="I144" s="267"/>
      <c r="J144" s="490" t="str">
        <f t="shared" si="12"/>
        <v/>
      </c>
      <c r="K144" s="493" t="str" cm="1">
        <f t="array" ref="K144">IF(OR($E144="",$D144="",$I144="",$J144=""),"",IF(J144=L144,I144,(INDEX('Emission factors'!$K$3:$V$201,MATCH(E144&amp;F144,'Emission factors'!$J$3:$J$201&amp;'Emission factors'!$K$3:$K$201,0),MATCH(K$6,'Emission factors'!$K$2:$V$2,0)))*I144))</f>
        <v/>
      </c>
      <c r="L144" s="494" t="str">
        <f>IF(OR($E144="",$D144="",$I144="",$J144=""),"",INDEX('Emission factors'!$K$3:$V$201,MATCH('Buildings - Grid Electricity'!$E144,'Emission factors'!$J$3:$J$201,0),MATCH($L$6,'Emission factors'!$K$2:$V$2,0)))</f>
        <v/>
      </c>
      <c r="M144" s="495" t="str" cm="1">
        <f t="array" ref="M144">IF(OR(E144="",I144="",BuildingsElectricityTable[[#This Row],[Units]]=""),"",INDEX('Emission factors'!$K$3:$V$201,MATCH('Buildings - Grid Electricity'!$E144&amp;F144,'Emission factors'!$J$3:$J$201&amp;'Emission factors'!$K$3:$K$201,0),MATCH('Buildings - Grid Electricity'!$M$6,'Emission factors'!$K$2:$V$2,0)))</f>
        <v/>
      </c>
      <c r="N144" s="496" t="str">
        <f>IF(OR(K144="",M144=""),"",SUM(BuildingsElectricityTable[[#This Row],[Direct]:[Indirect WTT]]))</f>
        <v/>
      </c>
      <c r="O144" s="268"/>
      <c r="P144" s="497"/>
      <c r="Q144" s="157" t="str" cm="1">
        <f t="array" ref="Q144">IF(OR($E144="",$I144=""),"",(INDEX('Emission factors'!$K$3:$V$201,MATCH('Buildings - Grid Electricity'!$E144&amp;$F144,'Emission factors'!$J$3:$J$201&amp;'Emission factors'!$K$3:$K$201,0),MATCH('Buildings - Grid Electricity'!Q$6,'Emission factors'!$K$2:$V$2,0)))*$K144)</f>
        <v/>
      </c>
      <c r="R144" s="157" t="str" cm="1">
        <f t="array" ref="R144">IF(OR($E144="",$I144=""),"",(INDEX('Emission factors'!$K$3:$V$201,MATCH('Buildings - Grid Electricity'!$E144&amp;$F144,'Emission factors'!$J$3:$J$201&amp;'Emission factors'!$K$3:$K$201,0),MATCH('Buildings - Grid Electricity'!R$6,'Emission factors'!$K$2:$V$2,0)))*$K144)</f>
        <v/>
      </c>
      <c r="S144" s="157" t="str" cm="1">
        <f t="array" ref="S144">IF(OR($E144="",$I144=""),"",(INDEX('Emission factors'!$K$3:$V$201,MATCH('Buildings - Grid Electricity'!$E144&amp;$F144,'Emission factors'!$J$3:$J$201&amp;'Emission factors'!$K$3:$K$201,0),MATCH('Buildings - Grid Electricity'!S$6,'Emission factors'!$K$2:$V$2,0)))*$K144)</f>
        <v/>
      </c>
      <c r="T144" s="157" t="str" cm="1">
        <f t="array" ref="T144">IF(OR($E144="",$I144=""),"",(INDEX('Emission factors'!$K$3:$V$201,MATCH('Buildings - Grid Electricity'!$E144&amp;$F144,'Emission factors'!$J$3:$J$201&amp;'Emission factors'!$K$3:$K$201,0),MATCH('Buildings - Grid Electricity'!T$6,'Emission factors'!$K$2:$V$2,0)))*$K144)</f>
        <v/>
      </c>
      <c r="U144" s="157" t="str" cm="1">
        <f t="array" ref="U144">IF(OR($E144="",$I144=""),"",(INDEX('Emission factors'!$K$3:$V$201,MATCH('Buildings - Grid Electricity'!$E144&amp;$F144,'Emission factors'!$J$3:$J$201&amp;'Emission factors'!$K$3:$K$201,0),MATCH('Buildings - Grid Electricity'!U$6,'Emission factors'!$K$2:$V$2,0)))*$K144)</f>
        <v/>
      </c>
      <c r="V144" s="269" t="str">
        <f>IF(OR($N144="",BuildingsElectricityTable[[#This Row],[RSD]]=""),"",BuildingsElectricityTable[[#This Row],[Total emissions (kgCO2e)]]*(1+BuildingsElectricityTable[[#This Row],[RSD]]))</f>
        <v/>
      </c>
      <c r="W144" s="270" t="str">
        <f>IF(OR($N144="",BuildingsElectricityTable[[#This Row],[RSD]]=""),"",BuildingsElectricityTable[[#This Row],[Total emissions (kgCO2e)]]*(1-BuildingsElectricityTable[[#This Row],[RSD]]))</f>
        <v/>
      </c>
      <c r="X144" s="271" t="str" cm="1">
        <f t="array" ref="X144">IF(OR($E144="",$I144=""),"",(INDEX('Emission factors'!$K$3:$V$201,MATCH('Buildings - Grid Electricity'!$E144&amp;$F144,'Emission factors'!$J$3:$J$201&amp;'Emission factors'!$K$3:$K$201,0),MATCH('Buildings - Grid Electricity'!X$6,'Emission factors'!$K$2:$V$2,0)))*$K144)</f>
        <v/>
      </c>
      <c r="Y144" s="30"/>
      <c r="Z144" s="1" cm="1">
        <f t="array" ref="Z144">IF(OR(ISERROR(B144:X144)),1,0)</f>
        <v>0</v>
      </c>
      <c r="AA144" s="1">
        <f t="shared" si="13"/>
        <v>0</v>
      </c>
    </row>
    <row r="145" spans="1:27" ht="15" outlineLevel="1" thickBot="1" x14ac:dyDescent="0.4">
      <c r="A145" s="319"/>
      <c r="B145" s="216"/>
      <c r="C145" s="216"/>
      <c r="D145" s="489" t="str">
        <f>IFERROR(INDEX(BuildingInformationTable[Site type],MATCH(BuildingsElectricityTable[[#This Row],[Site name]],BuildingInformationTable[Site name],0)),"")</f>
        <v/>
      </c>
      <c r="E145" s="490" t="str">
        <f t="shared" si="10"/>
        <v/>
      </c>
      <c r="F145" s="490" t="str">
        <f t="shared" si="11"/>
        <v/>
      </c>
      <c r="G145" s="491"/>
      <c r="H145" s="492" t="str">
        <f>IF(G145="","",INDEX(Lists!$BA$4:$BC$31,MATCH(E145,Lists!$AZ$4:$AZ$31,0),MATCH(G145,Lists!$BA$3:$BC$3,0)))</f>
        <v/>
      </c>
      <c r="I145" s="267"/>
      <c r="J145" s="490" t="str">
        <f t="shared" si="12"/>
        <v/>
      </c>
      <c r="K145" s="493" t="str" cm="1">
        <f t="array" ref="K145">IF(OR($E145="",$D145="",$I145="",$J145=""),"",IF(J145=L145,I145,(INDEX('Emission factors'!$K$3:$V$201,MATCH(E145&amp;F145,'Emission factors'!$J$3:$J$201&amp;'Emission factors'!$K$3:$K$201,0),MATCH(K$6,'Emission factors'!$K$2:$V$2,0)))*I145))</f>
        <v/>
      </c>
      <c r="L145" s="494" t="str">
        <f>IF(OR($E145="",$D145="",$I145="",$J145=""),"",INDEX('Emission factors'!$K$3:$V$201,MATCH('Buildings - Grid Electricity'!$E145,'Emission factors'!$J$3:$J$201,0),MATCH($L$6,'Emission factors'!$K$2:$V$2,0)))</f>
        <v/>
      </c>
      <c r="M145" s="495" t="str" cm="1">
        <f t="array" ref="M145">IF(OR(E145="",I145="",BuildingsElectricityTable[[#This Row],[Units]]=""),"",INDEX('Emission factors'!$K$3:$V$201,MATCH('Buildings - Grid Electricity'!$E145&amp;F145,'Emission factors'!$J$3:$J$201&amp;'Emission factors'!$K$3:$K$201,0),MATCH('Buildings - Grid Electricity'!$M$6,'Emission factors'!$K$2:$V$2,0)))</f>
        <v/>
      </c>
      <c r="N145" s="496" t="str">
        <f>IF(OR(K145="",M145=""),"",SUM(BuildingsElectricityTable[[#This Row],[Direct]:[Indirect WTT]]))</f>
        <v/>
      </c>
      <c r="O145" s="268"/>
      <c r="P145" s="497"/>
      <c r="Q145" s="157" t="str" cm="1">
        <f t="array" ref="Q145">IF(OR($E145="",$I145=""),"",(INDEX('Emission factors'!$K$3:$V$201,MATCH('Buildings - Grid Electricity'!$E145&amp;$F145,'Emission factors'!$J$3:$J$201&amp;'Emission factors'!$K$3:$K$201,0),MATCH('Buildings - Grid Electricity'!Q$6,'Emission factors'!$K$2:$V$2,0)))*$K145)</f>
        <v/>
      </c>
      <c r="R145" s="157" t="str" cm="1">
        <f t="array" ref="R145">IF(OR($E145="",$I145=""),"",(INDEX('Emission factors'!$K$3:$V$201,MATCH('Buildings - Grid Electricity'!$E145&amp;$F145,'Emission factors'!$J$3:$J$201&amp;'Emission factors'!$K$3:$K$201,0),MATCH('Buildings - Grid Electricity'!R$6,'Emission factors'!$K$2:$V$2,0)))*$K145)</f>
        <v/>
      </c>
      <c r="S145" s="157" t="str" cm="1">
        <f t="array" ref="S145">IF(OR($E145="",$I145=""),"",(INDEX('Emission factors'!$K$3:$V$201,MATCH('Buildings - Grid Electricity'!$E145&amp;$F145,'Emission factors'!$J$3:$J$201&amp;'Emission factors'!$K$3:$K$201,0),MATCH('Buildings - Grid Electricity'!S$6,'Emission factors'!$K$2:$V$2,0)))*$K145)</f>
        <v/>
      </c>
      <c r="T145" s="157" t="str" cm="1">
        <f t="array" ref="T145">IF(OR($E145="",$I145=""),"",(INDEX('Emission factors'!$K$3:$V$201,MATCH('Buildings - Grid Electricity'!$E145&amp;$F145,'Emission factors'!$J$3:$J$201&amp;'Emission factors'!$K$3:$K$201,0),MATCH('Buildings - Grid Electricity'!T$6,'Emission factors'!$K$2:$V$2,0)))*$K145)</f>
        <v/>
      </c>
      <c r="U145" s="157" t="str" cm="1">
        <f t="array" ref="U145">IF(OR($E145="",$I145=""),"",(INDEX('Emission factors'!$K$3:$V$201,MATCH('Buildings - Grid Electricity'!$E145&amp;$F145,'Emission factors'!$J$3:$J$201&amp;'Emission factors'!$K$3:$K$201,0),MATCH('Buildings - Grid Electricity'!U$6,'Emission factors'!$K$2:$V$2,0)))*$K145)</f>
        <v/>
      </c>
      <c r="V145" s="269" t="str">
        <f>IF(OR($N145="",BuildingsElectricityTable[[#This Row],[RSD]]=""),"",BuildingsElectricityTable[[#This Row],[Total emissions (kgCO2e)]]*(1+BuildingsElectricityTable[[#This Row],[RSD]]))</f>
        <v/>
      </c>
      <c r="W145" s="270" t="str">
        <f>IF(OR($N145="",BuildingsElectricityTable[[#This Row],[RSD]]=""),"",BuildingsElectricityTable[[#This Row],[Total emissions (kgCO2e)]]*(1-BuildingsElectricityTable[[#This Row],[RSD]]))</f>
        <v/>
      </c>
      <c r="X145" s="271" t="str" cm="1">
        <f t="array" ref="X145">IF(OR($E145="",$I145=""),"",(INDEX('Emission factors'!$K$3:$V$201,MATCH('Buildings - Grid Electricity'!$E145&amp;$F145,'Emission factors'!$J$3:$J$201&amp;'Emission factors'!$K$3:$K$201,0),MATCH('Buildings - Grid Electricity'!X$6,'Emission factors'!$K$2:$V$2,0)))*$K145)</f>
        <v/>
      </c>
      <c r="Y145" s="30"/>
      <c r="Z145" s="1" cm="1">
        <f t="array" ref="Z145">IF(OR(ISERROR(B145:X145)),1,0)</f>
        <v>0</v>
      </c>
      <c r="AA145" s="1">
        <f t="shared" si="13"/>
        <v>0</v>
      </c>
    </row>
    <row r="146" spans="1:27" ht="15" outlineLevel="1" thickBot="1" x14ac:dyDescent="0.4">
      <c r="A146" s="319"/>
      <c r="B146" s="216"/>
      <c r="C146" s="216"/>
      <c r="D146" s="489" t="str">
        <f>IFERROR(INDEX(BuildingInformationTable[Site type],MATCH(BuildingsElectricityTable[[#This Row],[Site name]],BuildingInformationTable[Site name],0)),"")</f>
        <v/>
      </c>
      <c r="E146" s="490" t="str">
        <f t="shared" si="10"/>
        <v/>
      </c>
      <c r="F146" s="490" t="str">
        <f t="shared" si="11"/>
        <v/>
      </c>
      <c r="G146" s="491"/>
      <c r="H146" s="492" t="str">
        <f>IF(G146="","",INDEX(Lists!$BA$4:$BC$31,MATCH(E146,Lists!$AZ$4:$AZ$31,0),MATCH(G146,Lists!$BA$3:$BC$3,0)))</f>
        <v/>
      </c>
      <c r="I146" s="267"/>
      <c r="J146" s="490" t="str">
        <f t="shared" si="12"/>
        <v/>
      </c>
      <c r="K146" s="493" t="str" cm="1">
        <f t="array" ref="K146">IF(OR($E146="",$D146="",$I146="",$J146=""),"",IF(J146=L146,I146,(INDEX('Emission factors'!$K$3:$V$201,MATCH(E146&amp;F146,'Emission factors'!$J$3:$J$201&amp;'Emission factors'!$K$3:$K$201,0),MATCH(K$6,'Emission factors'!$K$2:$V$2,0)))*I146))</f>
        <v/>
      </c>
      <c r="L146" s="494" t="str">
        <f>IF(OR($E146="",$D146="",$I146="",$J146=""),"",INDEX('Emission factors'!$K$3:$V$201,MATCH('Buildings - Grid Electricity'!$E146,'Emission factors'!$J$3:$J$201,0),MATCH($L$6,'Emission factors'!$K$2:$V$2,0)))</f>
        <v/>
      </c>
      <c r="M146" s="495" t="str" cm="1">
        <f t="array" ref="M146">IF(OR(E146="",I146="",BuildingsElectricityTable[[#This Row],[Units]]=""),"",INDEX('Emission factors'!$K$3:$V$201,MATCH('Buildings - Grid Electricity'!$E146&amp;F146,'Emission factors'!$J$3:$J$201&amp;'Emission factors'!$K$3:$K$201,0),MATCH('Buildings - Grid Electricity'!$M$6,'Emission factors'!$K$2:$V$2,0)))</f>
        <v/>
      </c>
      <c r="N146" s="496" t="str">
        <f>IF(OR(K146="",M146=""),"",SUM(BuildingsElectricityTable[[#This Row],[Direct]:[Indirect WTT]]))</f>
        <v/>
      </c>
      <c r="O146" s="268"/>
      <c r="P146" s="497"/>
      <c r="Q146" s="157" t="str" cm="1">
        <f t="array" ref="Q146">IF(OR($E146="",$I146=""),"",(INDEX('Emission factors'!$K$3:$V$201,MATCH('Buildings - Grid Electricity'!$E146&amp;$F146,'Emission factors'!$J$3:$J$201&amp;'Emission factors'!$K$3:$K$201,0),MATCH('Buildings - Grid Electricity'!Q$6,'Emission factors'!$K$2:$V$2,0)))*$K146)</f>
        <v/>
      </c>
      <c r="R146" s="157" t="str" cm="1">
        <f t="array" ref="R146">IF(OR($E146="",$I146=""),"",(INDEX('Emission factors'!$K$3:$V$201,MATCH('Buildings - Grid Electricity'!$E146&amp;$F146,'Emission factors'!$J$3:$J$201&amp;'Emission factors'!$K$3:$K$201,0),MATCH('Buildings - Grid Electricity'!R$6,'Emission factors'!$K$2:$V$2,0)))*$K146)</f>
        <v/>
      </c>
      <c r="S146" s="157" t="str" cm="1">
        <f t="array" ref="S146">IF(OR($E146="",$I146=""),"",(INDEX('Emission factors'!$K$3:$V$201,MATCH('Buildings - Grid Electricity'!$E146&amp;$F146,'Emission factors'!$J$3:$J$201&amp;'Emission factors'!$K$3:$K$201,0),MATCH('Buildings - Grid Electricity'!S$6,'Emission factors'!$K$2:$V$2,0)))*$K146)</f>
        <v/>
      </c>
      <c r="T146" s="157" t="str" cm="1">
        <f t="array" ref="T146">IF(OR($E146="",$I146=""),"",(INDEX('Emission factors'!$K$3:$V$201,MATCH('Buildings - Grid Electricity'!$E146&amp;$F146,'Emission factors'!$J$3:$J$201&amp;'Emission factors'!$K$3:$K$201,0),MATCH('Buildings - Grid Electricity'!T$6,'Emission factors'!$K$2:$V$2,0)))*$K146)</f>
        <v/>
      </c>
      <c r="U146" s="157" t="str" cm="1">
        <f t="array" ref="U146">IF(OR($E146="",$I146=""),"",(INDEX('Emission factors'!$K$3:$V$201,MATCH('Buildings - Grid Electricity'!$E146&amp;$F146,'Emission factors'!$J$3:$J$201&amp;'Emission factors'!$K$3:$K$201,0),MATCH('Buildings - Grid Electricity'!U$6,'Emission factors'!$K$2:$V$2,0)))*$K146)</f>
        <v/>
      </c>
      <c r="V146" s="269" t="str">
        <f>IF(OR($N146="",BuildingsElectricityTable[[#This Row],[RSD]]=""),"",BuildingsElectricityTable[[#This Row],[Total emissions (kgCO2e)]]*(1+BuildingsElectricityTable[[#This Row],[RSD]]))</f>
        <v/>
      </c>
      <c r="W146" s="270" t="str">
        <f>IF(OR($N146="",BuildingsElectricityTable[[#This Row],[RSD]]=""),"",BuildingsElectricityTable[[#This Row],[Total emissions (kgCO2e)]]*(1-BuildingsElectricityTable[[#This Row],[RSD]]))</f>
        <v/>
      </c>
      <c r="X146" s="271" t="str" cm="1">
        <f t="array" ref="X146">IF(OR($E146="",$I146=""),"",(INDEX('Emission factors'!$K$3:$V$201,MATCH('Buildings - Grid Electricity'!$E146&amp;$F146,'Emission factors'!$J$3:$J$201&amp;'Emission factors'!$K$3:$K$201,0),MATCH('Buildings - Grid Electricity'!X$6,'Emission factors'!$K$2:$V$2,0)))*$K146)</f>
        <v/>
      </c>
      <c r="Y146" s="30"/>
      <c r="Z146" s="1" cm="1">
        <f t="array" ref="Z146">IF(OR(ISERROR(B146:X146)),1,0)</f>
        <v>0</v>
      </c>
      <c r="AA146" s="1">
        <f t="shared" si="13"/>
        <v>0</v>
      </c>
    </row>
    <row r="147" spans="1:27" ht="15" outlineLevel="1" thickBot="1" x14ac:dyDescent="0.4">
      <c r="A147" s="319"/>
      <c r="B147" s="216"/>
      <c r="C147" s="216"/>
      <c r="D147" s="489" t="str">
        <f>IFERROR(INDEX(BuildingInformationTable[Site type],MATCH(BuildingsElectricityTable[[#This Row],[Site name]],BuildingInformationTable[Site name],0)),"")</f>
        <v/>
      </c>
      <c r="E147" s="490" t="str">
        <f t="shared" si="10"/>
        <v/>
      </c>
      <c r="F147" s="490" t="str">
        <f t="shared" si="11"/>
        <v/>
      </c>
      <c r="G147" s="491"/>
      <c r="H147" s="492" t="str">
        <f>IF(G147="","",INDEX(Lists!$BA$4:$BC$31,MATCH(E147,Lists!$AZ$4:$AZ$31,0),MATCH(G147,Lists!$BA$3:$BC$3,0)))</f>
        <v/>
      </c>
      <c r="I147" s="267"/>
      <c r="J147" s="490" t="str">
        <f t="shared" si="12"/>
        <v/>
      </c>
      <c r="K147" s="493" t="str" cm="1">
        <f t="array" ref="K147">IF(OR($E147="",$D147="",$I147="",$J147=""),"",IF(J147=L147,I147,(INDEX('Emission factors'!$K$3:$V$201,MATCH(E147&amp;F147,'Emission factors'!$J$3:$J$201&amp;'Emission factors'!$K$3:$K$201,0),MATCH(K$6,'Emission factors'!$K$2:$V$2,0)))*I147))</f>
        <v/>
      </c>
      <c r="L147" s="494" t="str">
        <f>IF(OR($E147="",$D147="",$I147="",$J147=""),"",INDEX('Emission factors'!$K$3:$V$201,MATCH('Buildings - Grid Electricity'!$E147,'Emission factors'!$J$3:$J$201,0),MATCH($L$6,'Emission factors'!$K$2:$V$2,0)))</f>
        <v/>
      </c>
      <c r="M147" s="495" t="str" cm="1">
        <f t="array" ref="M147">IF(OR(E147="",I147="",BuildingsElectricityTable[[#This Row],[Units]]=""),"",INDEX('Emission factors'!$K$3:$V$201,MATCH('Buildings - Grid Electricity'!$E147&amp;F147,'Emission factors'!$J$3:$J$201&amp;'Emission factors'!$K$3:$K$201,0),MATCH('Buildings - Grid Electricity'!$M$6,'Emission factors'!$K$2:$V$2,0)))</f>
        <v/>
      </c>
      <c r="N147" s="496" t="str">
        <f>IF(OR(K147="",M147=""),"",SUM(BuildingsElectricityTable[[#This Row],[Direct]:[Indirect WTT]]))</f>
        <v/>
      </c>
      <c r="O147" s="268"/>
      <c r="P147" s="497"/>
      <c r="Q147" s="157" t="str" cm="1">
        <f t="array" ref="Q147">IF(OR($E147="",$I147=""),"",(INDEX('Emission factors'!$K$3:$V$201,MATCH('Buildings - Grid Electricity'!$E147&amp;$F147,'Emission factors'!$J$3:$J$201&amp;'Emission factors'!$K$3:$K$201,0),MATCH('Buildings - Grid Electricity'!Q$6,'Emission factors'!$K$2:$V$2,0)))*$K147)</f>
        <v/>
      </c>
      <c r="R147" s="157" t="str" cm="1">
        <f t="array" ref="R147">IF(OR($E147="",$I147=""),"",(INDEX('Emission factors'!$K$3:$V$201,MATCH('Buildings - Grid Electricity'!$E147&amp;$F147,'Emission factors'!$J$3:$J$201&amp;'Emission factors'!$K$3:$K$201,0),MATCH('Buildings - Grid Electricity'!R$6,'Emission factors'!$K$2:$V$2,0)))*$K147)</f>
        <v/>
      </c>
      <c r="S147" s="157" t="str" cm="1">
        <f t="array" ref="S147">IF(OR($E147="",$I147=""),"",(INDEX('Emission factors'!$K$3:$V$201,MATCH('Buildings - Grid Electricity'!$E147&amp;$F147,'Emission factors'!$J$3:$J$201&amp;'Emission factors'!$K$3:$K$201,0),MATCH('Buildings - Grid Electricity'!S$6,'Emission factors'!$K$2:$V$2,0)))*$K147)</f>
        <v/>
      </c>
      <c r="T147" s="157" t="str" cm="1">
        <f t="array" ref="T147">IF(OR($E147="",$I147=""),"",(INDEX('Emission factors'!$K$3:$V$201,MATCH('Buildings - Grid Electricity'!$E147&amp;$F147,'Emission factors'!$J$3:$J$201&amp;'Emission factors'!$K$3:$K$201,0),MATCH('Buildings - Grid Electricity'!T$6,'Emission factors'!$K$2:$V$2,0)))*$K147)</f>
        <v/>
      </c>
      <c r="U147" s="157" t="str" cm="1">
        <f t="array" ref="U147">IF(OR($E147="",$I147=""),"",(INDEX('Emission factors'!$K$3:$V$201,MATCH('Buildings - Grid Electricity'!$E147&amp;$F147,'Emission factors'!$J$3:$J$201&amp;'Emission factors'!$K$3:$K$201,0),MATCH('Buildings - Grid Electricity'!U$6,'Emission factors'!$K$2:$V$2,0)))*$K147)</f>
        <v/>
      </c>
      <c r="V147" s="269" t="str">
        <f>IF(OR($N147="",BuildingsElectricityTable[[#This Row],[RSD]]=""),"",BuildingsElectricityTable[[#This Row],[Total emissions (kgCO2e)]]*(1+BuildingsElectricityTable[[#This Row],[RSD]]))</f>
        <v/>
      </c>
      <c r="W147" s="270" t="str">
        <f>IF(OR($N147="",BuildingsElectricityTable[[#This Row],[RSD]]=""),"",BuildingsElectricityTable[[#This Row],[Total emissions (kgCO2e)]]*(1-BuildingsElectricityTable[[#This Row],[RSD]]))</f>
        <v/>
      </c>
      <c r="X147" s="271" t="str" cm="1">
        <f t="array" ref="X147">IF(OR($E147="",$I147=""),"",(INDEX('Emission factors'!$K$3:$V$201,MATCH('Buildings - Grid Electricity'!$E147&amp;$F147,'Emission factors'!$J$3:$J$201&amp;'Emission factors'!$K$3:$K$201,0),MATCH('Buildings - Grid Electricity'!X$6,'Emission factors'!$K$2:$V$2,0)))*$K147)</f>
        <v/>
      </c>
      <c r="Y147" s="30"/>
      <c r="Z147" s="1" cm="1">
        <f t="array" ref="Z147">IF(OR(ISERROR(B147:X147)),1,0)</f>
        <v>0</v>
      </c>
      <c r="AA147" s="1">
        <f t="shared" si="13"/>
        <v>0</v>
      </c>
    </row>
    <row r="148" spans="1:27" ht="15" outlineLevel="1" thickBot="1" x14ac:dyDescent="0.4">
      <c r="A148" s="319"/>
      <c r="B148" s="216"/>
      <c r="C148" s="216"/>
      <c r="D148" s="489" t="str">
        <f>IFERROR(INDEX(BuildingInformationTable[Site type],MATCH(BuildingsElectricityTable[[#This Row],[Site name]],BuildingInformationTable[Site name],0)),"")</f>
        <v/>
      </c>
      <c r="E148" s="490" t="str">
        <f t="shared" si="10"/>
        <v/>
      </c>
      <c r="F148" s="490" t="str">
        <f t="shared" si="11"/>
        <v/>
      </c>
      <c r="G148" s="491"/>
      <c r="H148" s="492" t="str">
        <f>IF(G148="","",INDEX(Lists!$BA$4:$BC$31,MATCH(E148,Lists!$AZ$4:$AZ$31,0),MATCH(G148,Lists!$BA$3:$BC$3,0)))</f>
        <v/>
      </c>
      <c r="I148" s="267"/>
      <c r="J148" s="490" t="str">
        <f t="shared" si="12"/>
        <v/>
      </c>
      <c r="K148" s="493" t="str" cm="1">
        <f t="array" ref="K148">IF(OR($E148="",$D148="",$I148="",$J148=""),"",IF(J148=L148,I148,(INDEX('Emission factors'!$K$3:$V$201,MATCH(E148&amp;F148,'Emission factors'!$J$3:$J$201&amp;'Emission factors'!$K$3:$K$201,0),MATCH(K$6,'Emission factors'!$K$2:$V$2,0)))*I148))</f>
        <v/>
      </c>
      <c r="L148" s="494" t="str">
        <f>IF(OR($E148="",$D148="",$I148="",$J148=""),"",INDEX('Emission factors'!$K$3:$V$201,MATCH('Buildings - Grid Electricity'!$E148,'Emission factors'!$J$3:$J$201,0),MATCH($L$6,'Emission factors'!$K$2:$V$2,0)))</f>
        <v/>
      </c>
      <c r="M148" s="495" t="str" cm="1">
        <f t="array" ref="M148">IF(OR(E148="",I148="",BuildingsElectricityTable[[#This Row],[Units]]=""),"",INDEX('Emission factors'!$K$3:$V$201,MATCH('Buildings - Grid Electricity'!$E148&amp;F148,'Emission factors'!$J$3:$J$201&amp;'Emission factors'!$K$3:$K$201,0),MATCH('Buildings - Grid Electricity'!$M$6,'Emission factors'!$K$2:$V$2,0)))</f>
        <v/>
      </c>
      <c r="N148" s="496" t="str">
        <f>IF(OR(K148="",M148=""),"",SUM(BuildingsElectricityTable[[#This Row],[Direct]:[Indirect WTT]]))</f>
        <v/>
      </c>
      <c r="O148" s="268"/>
      <c r="P148" s="497"/>
      <c r="Q148" s="157" t="str" cm="1">
        <f t="array" ref="Q148">IF(OR($E148="",$I148=""),"",(INDEX('Emission factors'!$K$3:$V$201,MATCH('Buildings - Grid Electricity'!$E148&amp;$F148,'Emission factors'!$J$3:$J$201&amp;'Emission factors'!$K$3:$K$201,0),MATCH('Buildings - Grid Electricity'!Q$6,'Emission factors'!$K$2:$V$2,0)))*$K148)</f>
        <v/>
      </c>
      <c r="R148" s="157" t="str" cm="1">
        <f t="array" ref="R148">IF(OR($E148="",$I148=""),"",(INDEX('Emission factors'!$K$3:$V$201,MATCH('Buildings - Grid Electricity'!$E148&amp;$F148,'Emission factors'!$J$3:$J$201&amp;'Emission factors'!$K$3:$K$201,0),MATCH('Buildings - Grid Electricity'!R$6,'Emission factors'!$K$2:$V$2,0)))*$K148)</f>
        <v/>
      </c>
      <c r="S148" s="157" t="str" cm="1">
        <f t="array" ref="S148">IF(OR($E148="",$I148=""),"",(INDEX('Emission factors'!$K$3:$V$201,MATCH('Buildings - Grid Electricity'!$E148&amp;$F148,'Emission factors'!$J$3:$J$201&amp;'Emission factors'!$K$3:$K$201,0),MATCH('Buildings - Grid Electricity'!S$6,'Emission factors'!$K$2:$V$2,0)))*$K148)</f>
        <v/>
      </c>
      <c r="T148" s="157" t="str" cm="1">
        <f t="array" ref="T148">IF(OR($E148="",$I148=""),"",(INDEX('Emission factors'!$K$3:$V$201,MATCH('Buildings - Grid Electricity'!$E148&amp;$F148,'Emission factors'!$J$3:$J$201&amp;'Emission factors'!$K$3:$K$201,0),MATCH('Buildings - Grid Electricity'!T$6,'Emission factors'!$K$2:$V$2,0)))*$K148)</f>
        <v/>
      </c>
      <c r="U148" s="157" t="str" cm="1">
        <f t="array" ref="U148">IF(OR($E148="",$I148=""),"",(INDEX('Emission factors'!$K$3:$V$201,MATCH('Buildings - Grid Electricity'!$E148&amp;$F148,'Emission factors'!$J$3:$J$201&amp;'Emission factors'!$K$3:$K$201,0),MATCH('Buildings - Grid Electricity'!U$6,'Emission factors'!$K$2:$V$2,0)))*$K148)</f>
        <v/>
      </c>
      <c r="V148" s="269" t="str">
        <f>IF(OR($N148="",BuildingsElectricityTable[[#This Row],[RSD]]=""),"",BuildingsElectricityTable[[#This Row],[Total emissions (kgCO2e)]]*(1+BuildingsElectricityTable[[#This Row],[RSD]]))</f>
        <v/>
      </c>
      <c r="W148" s="270" t="str">
        <f>IF(OR($N148="",BuildingsElectricityTable[[#This Row],[RSD]]=""),"",BuildingsElectricityTable[[#This Row],[Total emissions (kgCO2e)]]*(1-BuildingsElectricityTable[[#This Row],[RSD]]))</f>
        <v/>
      </c>
      <c r="X148" s="271" t="str" cm="1">
        <f t="array" ref="X148">IF(OR($E148="",$I148=""),"",(INDEX('Emission factors'!$K$3:$V$201,MATCH('Buildings - Grid Electricity'!$E148&amp;$F148,'Emission factors'!$J$3:$J$201&amp;'Emission factors'!$K$3:$K$201,0),MATCH('Buildings - Grid Electricity'!X$6,'Emission factors'!$K$2:$V$2,0)))*$K148)</f>
        <v/>
      </c>
      <c r="Y148" s="30"/>
      <c r="Z148" s="1" cm="1">
        <f t="array" ref="Z148">IF(OR(ISERROR(B148:X148)),1,0)</f>
        <v>0</v>
      </c>
      <c r="AA148" s="1">
        <f t="shared" si="13"/>
        <v>0</v>
      </c>
    </row>
    <row r="149" spans="1:27" ht="15" outlineLevel="1" thickBot="1" x14ac:dyDescent="0.4">
      <c r="A149" s="319"/>
      <c r="B149" s="216"/>
      <c r="C149" s="216"/>
      <c r="D149" s="489" t="str">
        <f>IFERROR(INDEX(BuildingInformationTable[Site type],MATCH(BuildingsElectricityTable[[#This Row],[Site name]],BuildingInformationTable[Site name],0)),"")</f>
        <v/>
      </c>
      <c r="E149" s="490" t="str">
        <f t="shared" si="10"/>
        <v/>
      </c>
      <c r="F149" s="490" t="str">
        <f t="shared" si="11"/>
        <v/>
      </c>
      <c r="G149" s="491"/>
      <c r="H149" s="492" t="str">
        <f>IF(G149="","",INDEX(Lists!$BA$4:$BC$31,MATCH(E149,Lists!$AZ$4:$AZ$31,0),MATCH(G149,Lists!$BA$3:$BC$3,0)))</f>
        <v/>
      </c>
      <c r="I149" s="267"/>
      <c r="J149" s="490" t="str">
        <f t="shared" si="12"/>
        <v/>
      </c>
      <c r="K149" s="493" t="str" cm="1">
        <f t="array" ref="K149">IF(OR($E149="",$D149="",$I149="",$J149=""),"",IF(J149=L149,I149,(INDEX('Emission factors'!$K$3:$V$201,MATCH(E149&amp;F149,'Emission factors'!$J$3:$J$201&amp;'Emission factors'!$K$3:$K$201,0),MATCH(K$6,'Emission factors'!$K$2:$V$2,0)))*I149))</f>
        <v/>
      </c>
      <c r="L149" s="494" t="str">
        <f>IF(OR($E149="",$D149="",$I149="",$J149=""),"",INDEX('Emission factors'!$K$3:$V$201,MATCH('Buildings - Grid Electricity'!$E149,'Emission factors'!$J$3:$J$201,0),MATCH($L$6,'Emission factors'!$K$2:$V$2,0)))</f>
        <v/>
      </c>
      <c r="M149" s="495" t="str" cm="1">
        <f t="array" ref="M149">IF(OR(E149="",I149="",BuildingsElectricityTable[[#This Row],[Units]]=""),"",INDEX('Emission factors'!$K$3:$V$201,MATCH('Buildings - Grid Electricity'!$E149&amp;F149,'Emission factors'!$J$3:$J$201&amp;'Emission factors'!$K$3:$K$201,0),MATCH('Buildings - Grid Electricity'!$M$6,'Emission factors'!$K$2:$V$2,0)))</f>
        <v/>
      </c>
      <c r="N149" s="496" t="str">
        <f>IF(OR(K149="",M149=""),"",SUM(BuildingsElectricityTable[[#This Row],[Direct]:[Indirect WTT]]))</f>
        <v/>
      </c>
      <c r="O149" s="268"/>
      <c r="P149" s="497"/>
      <c r="Q149" s="157" t="str" cm="1">
        <f t="array" ref="Q149">IF(OR($E149="",$I149=""),"",(INDEX('Emission factors'!$K$3:$V$201,MATCH('Buildings - Grid Electricity'!$E149&amp;$F149,'Emission factors'!$J$3:$J$201&amp;'Emission factors'!$K$3:$K$201,0),MATCH('Buildings - Grid Electricity'!Q$6,'Emission factors'!$K$2:$V$2,0)))*$K149)</f>
        <v/>
      </c>
      <c r="R149" s="157" t="str" cm="1">
        <f t="array" ref="R149">IF(OR($E149="",$I149=""),"",(INDEX('Emission factors'!$K$3:$V$201,MATCH('Buildings - Grid Electricity'!$E149&amp;$F149,'Emission factors'!$J$3:$J$201&amp;'Emission factors'!$K$3:$K$201,0),MATCH('Buildings - Grid Electricity'!R$6,'Emission factors'!$K$2:$V$2,0)))*$K149)</f>
        <v/>
      </c>
      <c r="S149" s="157" t="str" cm="1">
        <f t="array" ref="S149">IF(OR($E149="",$I149=""),"",(INDEX('Emission factors'!$K$3:$V$201,MATCH('Buildings - Grid Electricity'!$E149&amp;$F149,'Emission factors'!$J$3:$J$201&amp;'Emission factors'!$K$3:$K$201,0),MATCH('Buildings - Grid Electricity'!S$6,'Emission factors'!$K$2:$V$2,0)))*$K149)</f>
        <v/>
      </c>
      <c r="T149" s="157" t="str" cm="1">
        <f t="array" ref="T149">IF(OR($E149="",$I149=""),"",(INDEX('Emission factors'!$K$3:$V$201,MATCH('Buildings - Grid Electricity'!$E149&amp;$F149,'Emission factors'!$J$3:$J$201&amp;'Emission factors'!$K$3:$K$201,0),MATCH('Buildings - Grid Electricity'!T$6,'Emission factors'!$K$2:$V$2,0)))*$K149)</f>
        <v/>
      </c>
      <c r="U149" s="157" t="str" cm="1">
        <f t="array" ref="U149">IF(OR($E149="",$I149=""),"",(INDEX('Emission factors'!$K$3:$V$201,MATCH('Buildings - Grid Electricity'!$E149&amp;$F149,'Emission factors'!$J$3:$J$201&amp;'Emission factors'!$K$3:$K$201,0),MATCH('Buildings - Grid Electricity'!U$6,'Emission factors'!$K$2:$V$2,0)))*$K149)</f>
        <v/>
      </c>
      <c r="V149" s="269" t="str">
        <f>IF(OR($N149="",BuildingsElectricityTable[[#This Row],[RSD]]=""),"",BuildingsElectricityTable[[#This Row],[Total emissions (kgCO2e)]]*(1+BuildingsElectricityTable[[#This Row],[RSD]]))</f>
        <v/>
      </c>
      <c r="W149" s="270" t="str">
        <f>IF(OR($N149="",BuildingsElectricityTable[[#This Row],[RSD]]=""),"",BuildingsElectricityTable[[#This Row],[Total emissions (kgCO2e)]]*(1-BuildingsElectricityTable[[#This Row],[RSD]]))</f>
        <v/>
      </c>
      <c r="X149" s="271" t="str" cm="1">
        <f t="array" ref="X149">IF(OR($E149="",$I149=""),"",(INDEX('Emission factors'!$K$3:$V$201,MATCH('Buildings - Grid Electricity'!$E149&amp;$F149,'Emission factors'!$J$3:$J$201&amp;'Emission factors'!$K$3:$K$201,0),MATCH('Buildings - Grid Electricity'!X$6,'Emission factors'!$K$2:$V$2,0)))*$K149)</f>
        <v/>
      </c>
      <c r="Y149" s="30"/>
      <c r="Z149" s="1" cm="1">
        <f t="array" ref="Z149">IF(OR(ISERROR(B149:X149)),1,0)</f>
        <v>0</v>
      </c>
      <c r="AA149" s="1">
        <f t="shared" si="13"/>
        <v>0</v>
      </c>
    </row>
    <row r="150" spans="1:27" ht="15" outlineLevel="1" thickBot="1" x14ac:dyDescent="0.4">
      <c r="A150" s="319"/>
      <c r="B150" s="216"/>
      <c r="C150" s="216"/>
      <c r="D150" s="489" t="str">
        <f>IFERROR(INDEX(BuildingInformationTable[Site type],MATCH(BuildingsElectricityTable[[#This Row],[Site name]],BuildingInformationTable[Site name],0)),"")</f>
        <v/>
      </c>
      <c r="E150" s="490" t="str">
        <f t="shared" si="10"/>
        <v/>
      </c>
      <c r="F150" s="490" t="str">
        <f t="shared" si="11"/>
        <v/>
      </c>
      <c r="G150" s="491"/>
      <c r="H150" s="492" t="str">
        <f>IF(G150="","",INDEX(Lists!$BA$4:$BC$31,MATCH(E150,Lists!$AZ$4:$AZ$31,0),MATCH(G150,Lists!$BA$3:$BC$3,0)))</f>
        <v/>
      </c>
      <c r="I150" s="267"/>
      <c r="J150" s="490" t="str">
        <f t="shared" si="12"/>
        <v/>
      </c>
      <c r="K150" s="493" t="str" cm="1">
        <f t="array" ref="K150">IF(OR($E150="",$D150="",$I150="",$J150=""),"",IF(J150=L150,I150,(INDEX('Emission factors'!$K$3:$V$201,MATCH(E150&amp;F150,'Emission factors'!$J$3:$J$201&amp;'Emission factors'!$K$3:$K$201,0),MATCH(K$6,'Emission factors'!$K$2:$V$2,0)))*I150))</f>
        <v/>
      </c>
      <c r="L150" s="494" t="str">
        <f>IF(OR($E150="",$D150="",$I150="",$J150=""),"",INDEX('Emission factors'!$K$3:$V$201,MATCH('Buildings - Grid Electricity'!$E150,'Emission factors'!$J$3:$J$201,0),MATCH($L$6,'Emission factors'!$K$2:$V$2,0)))</f>
        <v/>
      </c>
      <c r="M150" s="495" t="str" cm="1">
        <f t="array" ref="M150">IF(OR(E150="",I150="",BuildingsElectricityTable[[#This Row],[Units]]=""),"",INDEX('Emission factors'!$K$3:$V$201,MATCH('Buildings - Grid Electricity'!$E150&amp;F150,'Emission factors'!$J$3:$J$201&amp;'Emission factors'!$K$3:$K$201,0),MATCH('Buildings - Grid Electricity'!$M$6,'Emission factors'!$K$2:$V$2,0)))</f>
        <v/>
      </c>
      <c r="N150" s="496" t="str">
        <f>IF(OR(K150="",M150=""),"",SUM(BuildingsElectricityTable[[#This Row],[Direct]:[Indirect WTT]]))</f>
        <v/>
      </c>
      <c r="O150" s="268"/>
      <c r="P150" s="497"/>
      <c r="Q150" s="157" t="str" cm="1">
        <f t="array" ref="Q150">IF(OR($E150="",$I150=""),"",(INDEX('Emission factors'!$K$3:$V$201,MATCH('Buildings - Grid Electricity'!$E150&amp;$F150,'Emission factors'!$J$3:$J$201&amp;'Emission factors'!$K$3:$K$201,0),MATCH('Buildings - Grid Electricity'!Q$6,'Emission factors'!$K$2:$V$2,0)))*$K150)</f>
        <v/>
      </c>
      <c r="R150" s="157" t="str" cm="1">
        <f t="array" ref="R150">IF(OR($E150="",$I150=""),"",(INDEX('Emission factors'!$K$3:$V$201,MATCH('Buildings - Grid Electricity'!$E150&amp;$F150,'Emission factors'!$J$3:$J$201&amp;'Emission factors'!$K$3:$K$201,0),MATCH('Buildings - Grid Electricity'!R$6,'Emission factors'!$K$2:$V$2,0)))*$K150)</f>
        <v/>
      </c>
      <c r="S150" s="157" t="str" cm="1">
        <f t="array" ref="S150">IF(OR($E150="",$I150=""),"",(INDEX('Emission factors'!$K$3:$V$201,MATCH('Buildings - Grid Electricity'!$E150&amp;$F150,'Emission factors'!$J$3:$J$201&amp;'Emission factors'!$K$3:$K$201,0),MATCH('Buildings - Grid Electricity'!S$6,'Emission factors'!$K$2:$V$2,0)))*$K150)</f>
        <v/>
      </c>
      <c r="T150" s="157" t="str" cm="1">
        <f t="array" ref="T150">IF(OR($E150="",$I150=""),"",(INDEX('Emission factors'!$K$3:$V$201,MATCH('Buildings - Grid Electricity'!$E150&amp;$F150,'Emission factors'!$J$3:$J$201&amp;'Emission factors'!$K$3:$K$201,0),MATCH('Buildings - Grid Electricity'!T$6,'Emission factors'!$K$2:$V$2,0)))*$K150)</f>
        <v/>
      </c>
      <c r="U150" s="157" t="str" cm="1">
        <f t="array" ref="U150">IF(OR($E150="",$I150=""),"",(INDEX('Emission factors'!$K$3:$V$201,MATCH('Buildings - Grid Electricity'!$E150&amp;$F150,'Emission factors'!$J$3:$J$201&amp;'Emission factors'!$K$3:$K$201,0),MATCH('Buildings - Grid Electricity'!U$6,'Emission factors'!$K$2:$V$2,0)))*$K150)</f>
        <v/>
      </c>
      <c r="V150" s="269" t="str">
        <f>IF(OR($N150="",BuildingsElectricityTable[[#This Row],[RSD]]=""),"",BuildingsElectricityTable[[#This Row],[Total emissions (kgCO2e)]]*(1+BuildingsElectricityTable[[#This Row],[RSD]]))</f>
        <v/>
      </c>
      <c r="W150" s="270" t="str">
        <f>IF(OR($N150="",BuildingsElectricityTable[[#This Row],[RSD]]=""),"",BuildingsElectricityTable[[#This Row],[Total emissions (kgCO2e)]]*(1-BuildingsElectricityTable[[#This Row],[RSD]]))</f>
        <v/>
      </c>
      <c r="X150" s="271" t="str" cm="1">
        <f t="array" ref="X150">IF(OR($E150="",$I150=""),"",(INDEX('Emission factors'!$K$3:$V$201,MATCH('Buildings - Grid Electricity'!$E150&amp;$F150,'Emission factors'!$J$3:$J$201&amp;'Emission factors'!$K$3:$K$201,0),MATCH('Buildings - Grid Electricity'!X$6,'Emission factors'!$K$2:$V$2,0)))*$K150)</f>
        <v/>
      </c>
      <c r="Y150" s="30"/>
      <c r="Z150" s="1" cm="1">
        <f t="array" ref="Z150">IF(OR(ISERROR(B150:X150)),1,0)</f>
        <v>0</v>
      </c>
      <c r="AA150" s="1">
        <f t="shared" si="13"/>
        <v>0</v>
      </c>
    </row>
    <row r="151" spans="1:27" ht="15" outlineLevel="1" thickBot="1" x14ac:dyDescent="0.4">
      <c r="A151" s="319"/>
      <c r="B151" s="216"/>
      <c r="C151" s="216"/>
      <c r="D151" s="489" t="str">
        <f>IFERROR(INDEX(BuildingInformationTable[Site type],MATCH(BuildingsElectricityTable[[#This Row],[Site name]],BuildingInformationTable[Site name],0)),"")</f>
        <v/>
      </c>
      <c r="E151" s="490" t="str">
        <f t="shared" si="10"/>
        <v/>
      </c>
      <c r="F151" s="490" t="str">
        <f t="shared" si="11"/>
        <v/>
      </c>
      <c r="G151" s="491"/>
      <c r="H151" s="492" t="str">
        <f>IF(G151="","",INDEX(Lists!$BA$4:$BC$31,MATCH(E151,Lists!$AZ$4:$AZ$31,0),MATCH(G151,Lists!$BA$3:$BC$3,0)))</f>
        <v/>
      </c>
      <c r="I151" s="267"/>
      <c r="J151" s="490" t="str">
        <f t="shared" si="12"/>
        <v/>
      </c>
      <c r="K151" s="493" t="str" cm="1">
        <f t="array" ref="K151">IF(OR($E151="",$D151="",$I151="",$J151=""),"",IF(J151=L151,I151,(INDEX('Emission factors'!$K$3:$V$201,MATCH(E151&amp;F151,'Emission factors'!$J$3:$J$201&amp;'Emission factors'!$K$3:$K$201,0),MATCH(K$6,'Emission factors'!$K$2:$V$2,0)))*I151))</f>
        <v/>
      </c>
      <c r="L151" s="494" t="str">
        <f>IF(OR($E151="",$D151="",$I151="",$J151=""),"",INDEX('Emission factors'!$K$3:$V$201,MATCH('Buildings - Grid Electricity'!$E151,'Emission factors'!$J$3:$J$201,0),MATCH($L$6,'Emission factors'!$K$2:$V$2,0)))</f>
        <v/>
      </c>
      <c r="M151" s="495" t="str" cm="1">
        <f t="array" ref="M151">IF(OR(E151="",I151="",BuildingsElectricityTable[[#This Row],[Units]]=""),"",INDEX('Emission factors'!$K$3:$V$201,MATCH('Buildings - Grid Electricity'!$E151&amp;F151,'Emission factors'!$J$3:$J$201&amp;'Emission factors'!$K$3:$K$201,0),MATCH('Buildings - Grid Electricity'!$M$6,'Emission factors'!$K$2:$V$2,0)))</f>
        <v/>
      </c>
      <c r="N151" s="496" t="str">
        <f>IF(OR(K151="",M151=""),"",SUM(BuildingsElectricityTable[[#This Row],[Direct]:[Indirect WTT]]))</f>
        <v/>
      </c>
      <c r="O151" s="268"/>
      <c r="P151" s="497"/>
      <c r="Q151" s="157" t="str" cm="1">
        <f t="array" ref="Q151">IF(OR($E151="",$I151=""),"",(INDEX('Emission factors'!$K$3:$V$201,MATCH('Buildings - Grid Electricity'!$E151&amp;$F151,'Emission factors'!$J$3:$J$201&amp;'Emission factors'!$K$3:$K$201,0),MATCH('Buildings - Grid Electricity'!Q$6,'Emission factors'!$K$2:$V$2,0)))*$K151)</f>
        <v/>
      </c>
      <c r="R151" s="157" t="str" cm="1">
        <f t="array" ref="R151">IF(OR($E151="",$I151=""),"",(INDEX('Emission factors'!$K$3:$V$201,MATCH('Buildings - Grid Electricity'!$E151&amp;$F151,'Emission factors'!$J$3:$J$201&amp;'Emission factors'!$K$3:$K$201,0),MATCH('Buildings - Grid Electricity'!R$6,'Emission factors'!$K$2:$V$2,0)))*$K151)</f>
        <v/>
      </c>
      <c r="S151" s="157" t="str" cm="1">
        <f t="array" ref="S151">IF(OR($E151="",$I151=""),"",(INDEX('Emission factors'!$K$3:$V$201,MATCH('Buildings - Grid Electricity'!$E151&amp;$F151,'Emission factors'!$J$3:$J$201&amp;'Emission factors'!$K$3:$K$201,0),MATCH('Buildings - Grid Electricity'!S$6,'Emission factors'!$K$2:$V$2,0)))*$K151)</f>
        <v/>
      </c>
      <c r="T151" s="157" t="str" cm="1">
        <f t="array" ref="T151">IF(OR($E151="",$I151=""),"",(INDEX('Emission factors'!$K$3:$V$201,MATCH('Buildings - Grid Electricity'!$E151&amp;$F151,'Emission factors'!$J$3:$J$201&amp;'Emission factors'!$K$3:$K$201,0),MATCH('Buildings - Grid Electricity'!T$6,'Emission factors'!$K$2:$V$2,0)))*$K151)</f>
        <v/>
      </c>
      <c r="U151" s="157" t="str" cm="1">
        <f t="array" ref="U151">IF(OR($E151="",$I151=""),"",(INDEX('Emission factors'!$K$3:$V$201,MATCH('Buildings - Grid Electricity'!$E151&amp;$F151,'Emission factors'!$J$3:$J$201&amp;'Emission factors'!$K$3:$K$201,0),MATCH('Buildings - Grid Electricity'!U$6,'Emission factors'!$K$2:$V$2,0)))*$K151)</f>
        <v/>
      </c>
      <c r="V151" s="269" t="str">
        <f>IF(OR($N151="",BuildingsElectricityTable[[#This Row],[RSD]]=""),"",BuildingsElectricityTable[[#This Row],[Total emissions (kgCO2e)]]*(1+BuildingsElectricityTable[[#This Row],[RSD]]))</f>
        <v/>
      </c>
      <c r="W151" s="270" t="str">
        <f>IF(OR($N151="",BuildingsElectricityTable[[#This Row],[RSD]]=""),"",BuildingsElectricityTable[[#This Row],[Total emissions (kgCO2e)]]*(1-BuildingsElectricityTable[[#This Row],[RSD]]))</f>
        <v/>
      </c>
      <c r="X151" s="271" t="str" cm="1">
        <f t="array" ref="X151">IF(OR($E151="",$I151=""),"",(INDEX('Emission factors'!$K$3:$V$201,MATCH('Buildings - Grid Electricity'!$E151&amp;$F151,'Emission factors'!$J$3:$J$201&amp;'Emission factors'!$K$3:$K$201,0),MATCH('Buildings - Grid Electricity'!X$6,'Emission factors'!$K$2:$V$2,0)))*$K151)</f>
        <v/>
      </c>
      <c r="Y151" s="30"/>
      <c r="Z151" s="1" cm="1">
        <f t="array" ref="Z151">IF(OR(ISERROR(B151:X151)),1,0)</f>
        <v>0</v>
      </c>
      <c r="AA151" s="1">
        <f t="shared" si="13"/>
        <v>0</v>
      </c>
    </row>
    <row r="152" spans="1:27" ht="15" outlineLevel="1" thickBot="1" x14ac:dyDescent="0.4">
      <c r="A152" s="319"/>
      <c r="B152" s="216"/>
      <c r="C152" s="216"/>
      <c r="D152" s="489" t="str">
        <f>IFERROR(INDEX(BuildingInformationTable[Site type],MATCH(BuildingsElectricityTable[[#This Row],[Site name]],BuildingInformationTable[Site name],0)),"")</f>
        <v/>
      </c>
      <c r="E152" s="490" t="str">
        <f t="shared" si="10"/>
        <v/>
      </c>
      <c r="F152" s="490" t="str">
        <f t="shared" si="11"/>
        <v/>
      </c>
      <c r="G152" s="491"/>
      <c r="H152" s="492" t="str">
        <f>IF(G152="","",INDEX(Lists!$BA$4:$BC$31,MATCH(E152,Lists!$AZ$4:$AZ$31,0),MATCH(G152,Lists!$BA$3:$BC$3,0)))</f>
        <v/>
      </c>
      <c r="I152" s="267"/>
      <c r="J152" s="490" t="str">
        <f t="shared" si="12"/>
        <v/>
      </c>
      <c r="K152" s="493" t="str" cm="1">
        <f t="array" ref="K152">IF(OR($E152="",$D152="",$I152="",$J152=""),"",IF(J152=L152,I152,(INDEX('Emission factors'!$K$3:$V$201,MATCH(E152&amp;F152,'Emission factors'!$J$3:$J$201&amp;'Emission factors'!$K$3:$K$201,0),MATCH(K$6,'Emission factors'!$K$2:$V$2,0)))*I152))</f>
        <v/>
      </c>
      <c r="L152" s="494" t="str">
        <f>IF(OR($E152="",$D152="",$I152="",$J152=""),"",INDEX('Emission factors'!$K$3:$V$201,MATCH('Buildings - Grid Electricity'!$E152,'Emission factors'!$J$3:$J$201,0),MATCH($L$6,'Emission factors'!$K$2:$V$2,0)))</f>
        <v/>
      </c>
      <c r="M152" s="495" t="str" cm="1">
        <f t="array" ref="M152">IF(OR(E152="",I152="",BuildingsElectricityTable[[#This Row],[Units]]=""),"",INDEX('Emission factors'!$K$3:$V$201,MATCH('Buildings - Grid Electricity'!$E152&amp;F152,'Emission factors'!$J$3:$J$201&amp;'Emission factors'!$K$3:$K$201,0),MATCH('Buildings - Grid Electricity'!$M$6,'Emission factors'!$K$2:$V$2,0)))</f>
        <v/>
      </c>
      <c r="N152" s="496" t="str">
        <f>IF(OR(K152="",M152=""),"",SUM(BuildingsElectricityTable[[#This Row],[Direct]:[Indirect WTT]]))</f>
        <v/>
      </c>
      <c r="O152" s="268"/>
      <c r="P152" s="497"/>
      <c r="Q152" s="157" t="str" cm="1">
        <f t="array" ref="Q152">IF(OR($E152="",$I152=""),"",(INDEX('Emission factors'!$K$3:$V$201,MATCH('Buildings - Grid Electricity'!$E152&amp;$F152,'Emission factors'!$J$3:$J$201&amp;'Emission factors'!$K$3:$K$201,0),MATCH('Buildings - Grid Electricity'!Q$6,'Emission factors'!$K$2:$V$2,0)))*$K152)</f>
        <v/>
      </c>
      <c r="R152" s="157" t="str" cm="1">
        <f t="array" ref="R152">IF(OR($E152="",$I152=""),"",(INDEX('Emission factors'!$K$3:$V$201,MATCH('Buildings - Grid Electricity'!$E152&amp;$F152,'Emission factors'!$J$3:$J$201&amp;'Emission factors'!$K$3:$K$201,0),MATCH('Buildings - Grid Electricity'!R$6,'Emission factors'!$K$2:$V$2,0)))*$K152)</f>
        <v/>
      </c>
      <c r="S152" s="157" t="str" cm="1">
        <f t="array" ref="S152">IF(OR($E152="",$I152=""),"",(INDEX('Emission factors'!$K$3:$V$201,MATCH('Buildings - Grid Electricity'!$E152&amp;$F152,'Emission factors'!$J$3:$J$201&amp;'Emission factors'!$K$3:$K$201,0),MATCH('Buildings - Grid Electricity'!S$6,'Emission factors'!$K$2:$V$2,0)))*$K152)</f>
        <v/>
      </c>
      <c r="T152" s="157" t="str" cm="1">
        <f t="array" ref="T152">IF(OR($E152="",$I152=""),"",(INDEX('Emission factors'!$K$3:$V$201,MATCH('Buildings - Grid Electricity'!$E152&amp;$F152,'Emission factors'!$J$3:$J$201&amp;'Emission factors'!$K$3:$K$201,0),MATCH('Buildings - Grid Electricity'!T$6,'Emission factors'!$K$2:$V$2,0)))*$K152)</f>
        <v/>
      </c>
      <c r="U152" s="157" t="str" cm="1">
        <f t="array" ref="U152">IF(OR($E152="",$I152=""),"",(INDEX('Emission factors'!$K$3:$V$201,MATCH('Buildings - Grid Electricity'!$E152&amp;$F152,'Emission factors'!$J$3:$J$201&amp;'Emission factors'!$K$3:$K$201,0),MATCH('Buildings - Grid Electricity'!U$6,'Emission factors'!$K$2:$V$2,0)))*$K152)</f>
        <v/>
      </c>
      <c r="V152" s="269" t="str">
        <f>IF(OR($N152="",BuildingsElectricityTable[[#This Row],[RSD]]=""),"",BuildingsElectricityTable[[#This Row],[Total emissions (kgCO2e)]]*(1+BuildingsElectricityTable[[#This Row],[RSD]]))</f>
        <v/>
      </c>
      <c r="W152" s="270" t="str">
        <f>IF(OR($N152="",BuildingsElectricityTable[[#This Row],[RSD]]=""),"",BuildingsElectricityTable[[#This Row],[Total emissions (kgCO2e)]]*(1-BuildingsElectricityTable[[#This Row],[RSD]]))</f>
        <v/>
      </c>
      <c r="X152" s="271" t="str" cm="1">
        <f t="array" ref="X152">IF(OR($E152="",$I152=""),"",(INDEX('Emission factors'!$K$3:$V$201,MATCH('Buildings - Grid Electricity'!$E152&amp;$F152,'Emission factors'!$J$3:$J$201&amp;'Emission factors'!$K$3:$K$201,0),MATCH('Buildings - Grid Electricity'!X$6,'Emission factors'!$K$2:$V$2,0)))*$K152)</f>
        <v/>
      </c>
      <c r="Y152" s="30"/>
      <c r="Z152" s="1" cm="1">
        <f t="array" ref="Z152">IF(OR(ISERROR(B152:X152)),1,0)</f>
        <v>0</v>
      </c>
      <c r="AA152" s="1">
        <f t="shared" si="13"/>
        <v>0</v>
      </c>
    </row>
    <row r="153" spans="1:27" ht="15" outlineLevel="1" thickBot="1" x14ac:dyDescent="0.4">
      <c r="A153" s="319"/>
      <c r="B153" s="216"/>
      <c r="C153" s="216"/>
      <c r="D153" s="489" t="str">
        <f>IFERROR(INDEX(BuildingInformationTable[Site type],MATCH(BuildingsElectricityTable[[#This Row],[Site name]],BuildingInformationTable[Site name],0)),"")</f>
        <v/>
      </c>
      <c r="E153" s="490" t="str">
        <f t="shared" si="10"/>
        <v/>
      </c>
      <c r="F153" s="490" t="str">
        <f t="shared" si="11"/>
        <v/>
      </c>
      <c r="G153" s="491"/>
      <c r="H153" s="492" t="str">
        <f>IF(G153="","",INDEX(Lists!$BA$4:$BC$31,MATCH(E153,Lists!$AZ$4:$AZ$31,0),MATCH(G153,Lists!$BA$3:$BC$3,0)))</f>
        <v/>
      </c>
      <c r="I153" s="267"/>
      <c r="J153" s="490" t="str">
        <f t="shared" si="12"/>
        <v/>
      </c>
      <c r="K153" s="493" t="str" cm="1">
        <f t="array" ref="K153">IF(OR($E153="",$D153="",$I153="",$J153=""),"",IF(J153=L153,I153,(INDEX('Emission factors'!$K$3:$V$201,MATCH(E153&amp;F153,'Emission factors'!$J$3:$J$201&amp;'Emission factors'!$K$3:$K$201,0),MATCH(K$6,'Emission factors'!$K$2:$V$2,0)))*I153))</f>
        <v/>
      </c>
      <c r="L153" s="494" t="str">
        <f>IF(OR($E153="",$D153="",$I153="",$J153=""),"",INDEX('Emission factors'!$K$3:$V$201,MATCH('Buildings - Grid Electricity'!$E153,'Emission factors'!$J$3:$J$201,0),MATCH($L$6,'Emission factors'!$K$2:$V$2,0)))</f>
        <v/>
      </c>
      <c r="M153" s="495" t="str" cm="1">
        <f t="array" ref="M153">IF(OR(E153="",I153="",BuildingsElectricityTable[[#This Row],[Units]]=""),"",INDEX('Emission factors'!$K$3:$V$201,MATCH('Buildings - Grid Electricity'!$E153&amp;F153,'Emission factors'!$J$3:$J$201&amp;'Emission factors'!$K$3:$K$201,0),MATCH('Buildings - Grid Electricity'!$M$6,'Emission factors'!$K$2:$V$2,0)))</f>
        <v/>
      </c>
      <c r="N153" s="496" t="str">
        <f>IF(OR(K153="",M153=""),"",SUM(BuildingsElectricityTable[[#This Row],[Direct]:[Indirect WTT]]))</f>
        <v/>
      </c>
      <c r="O153" s="268"/>
      <c r="P153" s="497"/>
      <c r="Q153" s="157" t="str" cm="1">
        <f t="array" ref="Q153">IF(OR($E153="",$I153=""),"",(INDEX('Emission factors'!$K$3:$V$201,MATCH('Buildings - Grid Electricity'!$E153&amp;$F153,'Emission factors'!$J$3:$J$201&amp;'Emission factors'!$K$3:$K$201,0),MATCH('Buildings - Grid Electricity'!Q$6,'Emission factors'!$K$2:$V$2,0)))*$K153)</f>
        <v/>
      </c>
      <c r="R153" s="157" t="str" cm="1">
        <f t="array" ref="R153">IF(OR($E153="",$I153=""),"",(INDEX('Emission factors'!$K$3:$V$201,MATCH('Buildings - Grid Electricity'!$E153&amp;$F153,'Emission factors'!$J$3:$J$201&amp;'Emission factors'!$K$3:$K$201,0),MATCH('Buildings - Grid Electricity'!R$6,'Emission factors'!$K$2:$V$2,0)))*$K153)</f>
        <v/>
      </c>
      <c r="S153" s="157" t="str" cm="1">
        <f t="array" ref="S153">IF(OR($E153="",$I153=""),"",(INDEX('Emission factors'!$K$3:$V$201,MATCH('Buildings - Grid Electricity'!$E153&amp;$F153,'Emission factors'!$J$3:$J$201&amp;'Emission factors'!$K$3:$K$201,0),MATCH('Buildings - Grid Electricity'!S$6,'Emission factors'!$K$2:$V$2,0)))*$K153)</f>
        <v/>
      </c>
      <c r="T153" s="157" t="str" cm="1">
        <f t="array" ref="T153">IF(OR($E153="",$I153=""),"",(INDEX('Emission factors'!$K$3:$V$201,MATCH('Buildings - Grid Electricity'!$E153&amp;$F153,'Emission factors'!$J$3:$J$201&amp;'Emission factors'!$K$3:$K$201,0),MATCH('Buildings - Grid Electricity'!T$6,'Emission factors'!$K$2:$V$2,0)))*$K153)</f>
        <v/>
      </c>
      <c r="U153" s="157" t="str" cm="1">
        <f t="array" ref="U153">IF(OR($E153="",$I153=""),"",(INDEX('Emission factors'!$K$3:$V$201,MATCH('Buildings - Grid Electricity'!$E153&amp;$F153,'Emission factors'!$J$3:$J$201&amp;'Emission factors'!$K$3:$K$201,0),MATCH('Buildings - Grid Electricity'!U$6,'Emission factors'!$K$2:$V$2,0)))*$K153)</f>
        <v/>
      </c>
      <c r="V153" s="269" t="str">
        <f>IF(OR($N153="",BuildingsElectricityTable[[#This Row],[RSD]]=""),"",BuildingsElectricityTable[[#This Row],[Total emissions (kgCO2e)]]*(1+BuildingsElectricityTable[[#This Row],[RSD]]))</f>
        <v/>
      </c>
      <c r="W153" s="270" t="str">
        <f>IF(OR($N153="",BuildingsElectricityTable[[#This Row],[RSD]]=""),"",BuildingsElectricityTable[[#This Row],[Total emissions (kgCO2e)]]*(1-BuildingsElectricityTable[[#This Row],[RSD]]))</f>
        <v/>
      </c>
      <c r="X153" s="271" t="str" cm="1">
        <f t="array" ref="X153">IF(OR($E153="",$I153=""),"",(INDEX('Emission factors'!$K$3:$V$201,MATCH('Buildings - Grid Electricity'!$E153&amp;$F153,'Emission factors'!$J$3:$J$201&amp;'Emission factors'!$K$3:$K$201,0),MATCH('Buildings - Grid Electricity'!X$6,'Emission factors'!$K$2:$V$2,0)))*$K153)</f>
        <v/>
      </c>
      <c r="Y153" s="30"/>
      <c r="Z153" s="1" cm="1">
        <f t="array" ref="Z153">IF(OR(ISERROR(B153:X153)),1,0)</f>
        <v>0</v>
      </c>
      <c r="AA153" s="1">
        <f t="shared" si="13"/>
        <v>0</v>
      </c>
    </row>
    <row r="154" spans="1:27" ht="15" outlineLevel="1" thickBot="1" x14ac:dyDescent="0.4">
      <c r="A154" s="319"/>
      <c r="B154" s="216"/>
      <c r="C154" s="216"/>
      <c r="D154" s="489" t="str">
        <f>IFERROR(INDEX(BuildingInformationTable[Site type],MATCH(BuildingsElectricityTable[[#This Row],[Site name]],BuildingInformationTable[Site name],0)),"")</f>
        <v/>
      </c>
      <c r="E154" s="490" t="str">
        <f t="shared" si="10"/>
        <v/>
      </c>
      <c r="F154" s="490" t="str">
        <f t="shared" si="11"/>
        <v/>
      </c>
      <c r="G154" s="491"/>
      <c r="H154" s="492" t="str">
        <f>IF(G154="","",INDEX(Lists!$BA$4:$BC$31,MATCH(E154,Lists!$AZ$4:$AZ$31,0),MATCH(G154,Lists!$BA$3:$BC$3,0)))</f>
        <v/>
      </c>
      <c r="I154" s="267"/>
      <c r="J154" s="490" t="str">
        <f t="shared" si="12"/>
        <v/>
      </c>
      <c r="K154" s="493" t="str" cm="1">
        <f t="array" ref="K154">IF(OR($E154="",$D154="",$I154="",$J154=""),"",IF(J154=L154,I154,(INDEX('Emission factors'!$K$3:$V$201,MATCH(E154&amp;F154,'Emission factors'!$J$3:$J$201&amp;'Emission factors'!$K$3:$K$201,0),MATCH(K$6,'Emission factors'!$K$2:$V$2,0)))*I154))</f>
        <v/>
      </c>
      <c r="L154" s="494" t="str">
        <f>IF(OR($E154="",$D154="",$I154="",$J154=""),"",INDEX('Emission factors'!$K$3:$V$201,MATCH('Buildings - Grid Electricity'!$E154,'Emission factors'!$J$3:$J$201,0),MATCH($L$6,'Emission factors'!$K$2:$V$2,0)))</f>
        <v/>
      </c>
      <c r="M154" s="495" t="str" cm="1">
        <f t="array" ref="M154">IF(OR(E154="",I154="",BuildingsElectricityTable[[#This Row],[Units]]=""),"",INDEX('Emission factors'!$K$3:$V$201,MATCH('Buildings - Grid Electricity'!$E154&amp;F154,'Emission factors'!$J$3:$J$201&amp;'Emission factors'!$K$3:$K$201,0),MATCH('Buildings - Grid Electricity'!$M$6,'Emission factors'!$K$2:$V$2,0)))</f>
        <v/>
      </c>
      <c r="N154" s="496" t="str">
        <f>IF(OR(K154="",M154=""),"",SUM(BuildingsElectricityTable[[#This Row],[Direct]:[Indirect WTT]]))</f>
        <v/>
      </c>
      <c r="O154" s="268"/>
      <c r="P154" s="497"/>
      <c r="Q154" s="157" t="str" cm="1">
        <f t="array" ref="Q154">IF(OR($E154="",$I154=""),"",(INDEX('Emission factors'!$K$3:$V$201,MATCH('Buildings - Grid Electricity'!$E154&amp;$F154,'Emission factors'!$J$3:$J$201&amp;'Emission factors'!$K$3:$K$201,0),MATCH('Buildings - Grid Electricity'!Q$6,'Emission factors'!$K$2:$V$2,0)))*$K154)</f>
        <v/>
      </c>
      <c r="R154" s="157" t="str" cm="1">
        <f t="array" ref="R154">IF(OR($E154="",$I154=""),"",(INDEX('Emission factors'!$K$3:$V$201,MATCH('Buildings - Grid Electricity'!$E154&amp;$F154,'Emission factors'!$J$3:$J$201&amp;'Emission factors'!$K$3:$K$201,0),MATCH('Buildings - Grid Electricity'!R$6,'Emission factors'!$K$2:$V$2,0)))*$K154)</f>
        <v/>
      </c>
      <c r="S154" s="157" t="str" cm="1">
        <f t="array" ref="S154">IF(OR($E154="",$I154=""),"",(INDEX('Emission factors'!$K$3:$V$201,MATCH('Buildings - Grid Electricity'!$E154&amp;$F154,'Emission factors'!$J$3:$J$201&amp;'Emission factors'!$K$3:$K$201,0),MATCH('Buildings - Grid Electricity'!S$6,'Emission factors'!$K$2:$V$2,0)))*$K154)</f>
        <v/>
      </c>
      <c r="T154" s="157" t="str" cm="1">
        <f t="array" ref="T154">IF(OR($E154="",$I154=""),"",(INDEX('Emission factors'!$K$3:$V$201,MATCH('Buildings - Grid Electricity'!$E154&amp;$F154,'Emission factors'!$J$3:$J$201&amp;'Emission factors'!$K$3:$K$201,0),MATCH('Buildings - Grid Electricity'!T$6,'Emission factors'!$K$2:$V$2,0)))*$K154)</f>
        <v/>
      </c>
      <c r="U154" s="157" t="str" cm="1">
        <f t="array" ref="U154">IF(OR($E154="",$I154=""),"",(INDEX('Emission factors'!$K$3:$V$201,MATCH('Buildings - Grid Electricity'!$E154&amp;$F154,'Emission factors'!$J$3:$J$201&amp;'Emission factors'!$K$3:$K$201,0),MATCH('Buildings - Grid Electricity'!U$6,'Emission factors'!$K$2:$V$2,0)))*$K154)</f>
        <v/>
      </c>
      <c r="V154" s="269" t="str">
        <f>IF(OR($N154="",BuildingsElectricityTable[[#This Row],[RSD]]=""),"",BuildingsElectricityTable[[#This Row],[Total emissions (kgCO2e)]]*(1+BuildingsElectricityTable[[#This Row],[RSD]]))</f>
        <v/>
      </c>
      <c r="W154" s="270" t="str">
        <f>IF(OR($N154="",BuildingsElectricityTable[[#This Row],[RSD]]=""),"",BuildingsElectricityTable[[#This Row],[Total emissions (kgCO2e)]]*(1-BuildingsElectricityTable[[#This Row],[RSD]]))</f>
        <v/>
      </c>
      <c r="X154" s="271" t="str" cm="1">
        <f t="array" ref="X154">IF(OR($E154="",$I154=""),"",(INDEX('Emission factors'!$K$3:$V$201,MATCH('Buildings - Grid Electricity'!$E154&amp;$F154,'Emission factors'!$J$3:$J$201&amp;'Emission factors'!$K$3:$K$201,0),MATCH('Buildings - Grid Electricity'!X$6,'Emission factors'!$K$2:$V$2,0)))*$K154)</f>
        <v/>
      </c>
      <c r="Y154" s="30"/>
      <c r="Z154" s="1" cm="1">
        <f t="array" ref="Z154">IF(OR(ISERROR(B154:X154)),1,0)</f>
        <v>0</v>
      </c>
      <c r="AA154" s="1">
        <f t="shared" si="13"/>
        <v>0</v>
      </c>
    </row>
    <row r="155" spans="1:27" ht="15" outlineLevel="1" thickBot="1" x14ac:dyDescent="0.4">
      <c r="A155" s="319"/>
      <c r="B155" s="216"/>
      <c r="C155" s="216"/>
      <c r="D155" s="489" t="str">
        <f>IFERROR(INDEX(BuildingInformationTable[Site type],MATCH(BuildingsElectricityTable[[#This Row],[Site name]],BuildingInformationTable[Site name],0)),"")</f>
        <v/>
      </c>
      <c r="E155" s="490" t="str">
        <f t="shared" si="10"/>
        <v/>
      </c>
      <c r="F155" s="490" t="str">
        <f t="shared" si="11"/>
        <v/>
      </c>
      <c r="G155" s="491"/>
      <c r="H155" s="492" t="str">
        <f>IF(G155="","",INDEX(Lists!$BA$4:$BC$31,MATCH(E155,Lists!$AZ$4:$AZ$31,0),MATCH(G155,Lists!$BA$3:$BC$3,0)))</f>
        <v/>
      </c>
      <c r="I155" s="267"/>
      <c r="J155" s="490" t="str">
        <f t="shared" si="12"/>
        <v/>
      </c>
      <c r="K155" s="493" t="str" cm="1">
        <f t="array" ref="K155">IF(OR($E155="",$D155="",$I155="",$J155=""),"",IF(J155=L155,I155,(INDEX('Emission factors'!$K$3:$V$201,MATCH(E155&amp;F155,'Emission factors'!$J$3:$J$201&amp;'Emission factors'!$K$3:$K$201,0),MATCH(K$6,'Emission factors'!$K$2:$V$2,0)))*I155))</f>
        <v/>
      </c>
      <c r="L155" s="494" t="str">
        <f>IF(OR($E155="",$D155="",$I155="",$J155=""),"",INDEX('Emission factors'!$K$3:$V$201,MATCH('Buildings - Grid Electricity'!$E155,'Emission factors'!$J$3:$J$201,0),MATCH($L$6,'Emission factors'!$K$2:$V$2,0)))</f>
        <v/>
      </c>
      <c r="M155" s="495" t="str" cm="1">
        <f t="array" ref="M155">IF(OR(E155="",I155="",BuildingsElectricityTable[[#This Row],[Units]]=""),"",INDEX('Emission factors'!$K$3:$V$201,MATCH('Buildings - Grid Electricity'!$E155&amp;F155,'Emission factors'!$J$3:$J$201&amp;'Emission factors'!$K$3:$K$201,0),MATCH('Buildings - Grid Electricity'!$M$6,'Emission factors'!$K$2:$V$2,0)))</f>
        <v/>
      </c>
      <c r="N155" s="496" t="str">
        <f>IF(OR(K155="",M155=""),"",SUM(BuildingsElectricityTable[[#This Row],[Direct]:[Indirect WTT]]))</f>
        <v/>
      </c>
      <c r="O155" s="268"/>
      <c r="P155" s="497"/>
      <c r="Q155" s="157" t="str" cm="1">
        <f t="array" ref="Q155">IF(OR($E155="",$I155=""),"",(INDEX('Emission factors'!$K$3:$V$201,MATCH('Buildings - Grid Electricity'!$E155&amp;$F155,'Emission factors'!$J$3:$J$201&amp;'Emission factors'!$K$3:$K$201,0),MATCH('Buildings - Grid Electricity'!Q$6,'Emission factors'!$K$2:$V$2,0)))*$K155)</f>
        <v/>
      </c>
      <c r="R155" s="157" t="str" cm="1">
        <f t="array" ref="R155">IF(OR($E155="",$I155=""),"",(INDEX('Emission factors'!$K$3:$V$201,MATCH('Buildings - Grid Electricity'!$E155&amp;$F155,'Emission factors'!$J$3:$J$201&amp;'Emission factors'!$K$3:$K$201,0),MATCH('Buildings - Grid Electricity'!R$6,'Emission factors'!$K$2:$V$2,0)))*$K155)</f>
        <v/>
      </c>
      <c r="S155" s="157" t="str" cm="1">
        <f t="array" ref="S155">IF(OR($E155="",$I155=""),"",(INDEX('Emission factors'!$K$3:$V$201,MATCH('Buildings - Grid Electricity'!$E155&amp;$F155,'Emission factors'!$J$3:$J$201&amp;'Emission factors'!$K$3:$K$201,0),MATCH('Buildings - Grid Electricity'!S$6,'Emission factors'!$K$2:$V$2,0)))*$K155)</f>
        <v/>
      </c>
      <c r="T155" s="157" t="str" cm="1">
        <f t="array" ref="T155">IF(OR($E155="",$I155=""),"",(INDEX('Emission factors'!$K$3:$V$201,MATCH('Buildings - Grid Electricity'!$E155&amp;$F155,'Emission factors'!$J$3:$J$201&amp;'Emission factors'!$K$3:$K$201,0),MATCH('Buildings - Grid Electricity'!T$6,'Emission factors'!$K$2:$V$2,0)))*$K155)</f>
        <v/>
      </c>
      <c r="U155" s="157" t="str" cm="1">
        <f t="array" ref="U155">IF(OR($E155="",$I155=""),"",(INDEX('Emission factors'!$K$3:$V$201,MATCH('Buildings - Grid Electricity'!$E155&amp;$F155,'Emission factors'!$J$3:$J$201&amp;'Emission factors'!$K$3:$K$201,0),MATCH('Buildings - Grid Electricity'!U$6,'Emission factors'!$K$2:$V$2,0)))*$K155)</f>
        <v/>
      </c>
      <c r="V155" s="269" t="str">
        <f>IF(OR($N155="",BuildingsElectricityTable[[#This Row],[RSD]]=""),"",BuildingsElectricityTable[[#This Row],[Total emissions (kgCO2e)]]*(1+BuildingsElectricityTable[[#This Row],[RSD]]))</f>
        <v/>
      </c>
      <c r="W155" s="270" t="str">
        <f>IF(OR($N155="",BuildingsElectricityTable[[#This Row],[RSD]]=""),"",BuildingsElectricityTable[[#This Row],[Total emissions (kgCO2e)]]*(1-BuildingsElectricityTable[[#This Row],[RSD]]))</f>
        <v/>
      </c>
      <c r="X155" s="271" t="str" cm="1">
        <f t="array" ref="X155">IF(OR($E155="",$I155=""),"",(INDEX('Emission factors'!$K$3:$V$201,MATCH('Buildings - Grid Electricity'!$E155&amp;$F155,'Emission factors'!$J$3:$J$201&amp;'Emission factors'!$K$3:$K$201,0),MATCH('Buildings - Grid Electricity'!X$6,'Emission factors'!$K$2:$V$2,0)))*$K155)</f>
        <v/>
      </c>
      <c r="Y155" s="30"/>
      <c r="Z155" s="1" cm="1">
        <f t="array" ref="Z155">IF(OR(ISERROR(B155:X155)),1,0)</f>
        <v>0</v>
      </c>
      <c r="AA155" s="1">
        <f t="shared" si="13"/>
        <v>0</v>
      </c>
    </row>
    <row r="156" spans="1:27" ht="15" outlineLevel="1" thickBot="1" x14ac:dyDescent="0.4">
      <c r="A156" s="319"/>
      <c r="B156" s="216"/>
      <c r="C156" s="216"/>
      <c r="D156" s="489" t="str">
        <f>IFERROR(INDEX(BuildingInformationTable[Site type],MATCH(BuildingsElectricityTable[[#This Row],[Site name]],BuildingInformationTable[Site name],0)),"")</f>
        <v/>
      </c>
      <c r="E156" s="490" t="str">
        <f t="shared" si="10"/>
        <v/>
      </c>
      <c r="F156" s="490" t="str">
        <f t="shared" si="11"/>
        <v/>
      </c>
      <c r="G156" s="491"/>
      <c r="H156" s="492" t="str">
        <f>IF(G156="","",INDEX(Lists!$BA$4:$BC$31,MATCH(E156,Lists!$AZ$4:$AZ$31,0),MATCH(G156,Lists!$BA$3:$BC$3,0)))</f>
        <v/>
      </c>
      <c r="I156" s="267"/>
      <c r="J156" s="490" t="str">
        <f t="shared" si="12"/>
        <v/>
      </c>
      <c r="K156" s="493" t="str" cm="1">
        <f t="array" ref="K156">IF(OR($E156="",$D156="",$I156="",$J156=""),"",IF(J156=L156,I156,(INDEX('Emission factors'!$K$3:$V$201,MATCH(E156&amp;F156,'Emission factors'!$J$3:$J$201&amp;'Emission factors'!$K$3:$K$201,0),MATCH(K$6,'Emission factors'!$K$2:$V$2,0)))*I156))</f>
        <v/>
      </c>
      <c r="L156" s="494" t="str">
        <f>IF(OR($E156="",$D156="",$I156="",$J156=""),"",INDEX('Emission factors'!$K$3:$V$201,MATCH('Buildings - Grid Electricity'!$E156,'Emission factors'!$J$3:$J$201,0),MATCH($L$6,'Emission factors'!$K$2:$V$2,0)))</f>
        <v/>
      </c>
      <c r="M156" s="495" t="str" cm="1">
        <f t="array" ref="M156">IF(OR(E156="",I156="",BuildingsElectricityTable[[#This Row],[Units]]=""),"",INDEX('Emission factors'!$K$3:$V$201,MATCH('Buildings - Grid Electricity'!$E156&amp;F156,'Emission factors'!$J$3:$J$201&amp;'Emission factors'!$K$3:$K$201,0),MATCH('Buildings - Grid Electricity'!$M$6,'Emission factors'!$K$2:$V$2,0)))</f>
        <v/>
      </c>
      <c r="N156" s="496" t="str">
        <f>IF(OR(K156="",M156=""),"",SUM(BuildingsElectricityTable[[#This Row],[Direct]:[Indirect WTT]]))</f>
        <v/>
      </c>
      <c r="O156" s="268"/>
      <c r="P156" s="497"/>
      <c r="Q156" s="157" t="str" cm="1">
        <f t="array" ref="Q156">IF(OR($E156="",$I156=""),"",(INDEX('Emission factors'!$K$3:$V$201,MATCH('Buildings - Grid Electricity'!$E156&amp;$F156,'Emission factors'!$J$3:$J$201&amp;'Emission factors'!$K$3:$K$201,0),MATCH('Buildings - Grid Electricity'!Q$6,'Emission factors'!$K$2:$V$2,0)))*$K156)</f>
        <v/>
      </c>
      <c r="R156" s="157" t="str" cm="1">
        <f t="array" ref="R156">IF(OR($E156="",$I156=""),"",(INDEX('Emission factors'!$K$3:$V$201,MATCH('Buildings - Grid Electricity'!$E156&amp;$F156,'Emission factors'!$J$3:$J$201&amp;'Emission factors'!$K$3:$K$201,0),MATCH('Buildings - Grid Electricity'!R$6,'Emission factors'!$K$2:$V$2,0)))*$K156)</f>
        <v/>
      </c>
      <c r="S156" s="157" t="str" cm="1">
        <f t="array" ref="S156">IF(OR($E156="",$I156=""),"",(INDEX('Emission factors'!$K$3:$V$201,MATCH('Buildings - Grid Electricity'!$E156&amp;$F156,'Emission factors'!$J$3:$J$201&amp;'Emission factors'!$K$3:$K$201,0),MATCH('Buildings - Grid Electricity'!S$6,'Emission factors'!$K$2:$V$2,0)))*$K156)</f>
        <v/>
      </c>
      <c r="T156" s="157" t="str" cm="1">
        <f t="array" ref="T156">IF(OR($E156="",$I156=""),"",(INDEX('Emission factors'!$K$3:$V$201,MATCH('Buildings - Grid Electricity'!$E156&amp;$F156,'Emission factors'!$J$3:$J$201&amp;'Emission factors'!$K$3:$K$201,0),MATCH('Buildings - Grid Electricity'!T$6,'Emission factors'!$K$2:$V$2,0)))*$K156)</f>
        <v/>
      </c>
      <c r="U156" s="157" t="str" cm="1">
        <f t="array" ref="U156">IF(OR($E156="",$I156=""),"",(INDEX('Emission factors'!$K$3:$V$201,MATCH('Buildings - Grid Electricity'!$E156&amp;$F156,'Emission factors'!$J$3:$J$201&amp;'Emission factors'!$K$3:$K$201,0),MATCH('Buildings - Grid Electricity'!U$6,'Emission factors'!$K$2:$V$2,0)))*$K156)</f>
        <v/>
      </c>
      <c r="V156" s="269" t="str">
        <f>IF(OR($N156="",BuildingsElectricityTable[[#This Row],[RSD]]=""),"",BuildingsElectricityTable[[#This Row],[Total emissions (kgCO2e)]]*(1+BuildingsElectricityTable[[#This Row],[RSD]]))</f>
        <v/>
      </c>
      <c r="W156" s="270" t="str">
        <f>IF(OR($N156="",BuildingsElectricityTable[[#This Row],[RSD]]=""),"",BuildingsElectricityTable[[#This Row],[Total emissions (kgCO2e)]]*(1-BuildingsElectricityTable[[#This Row],[RSD]]))</f>
        <v/>
      </c>
      <c r="X156" s="271" t="str" cm="1">
        <f t="array" ref="X156">IF(OR($E156="",$I156=""),"",(INDEX('Emission factors'!$K$3:$V$201,MATCH('Buildings - Grid Electricity'!$E156&amp;$F156,'Emission factors'!$J$3:$J$201&amp;'Emission factors'!$K$3:$K$201,0),MATCH('Buildings - Grid Electricity'!X$6,'Emission factors'!$K$2:$V$2,0)))*$K156)</f>
        <v/>
      </c>
      <c r="Y156" s="30"/>
      <c r="Z156" s="1" cm="1">
        <f t="array" ref="Z156">IF(OR(ISERROR(B156:X156)),1,0)</f>
        <v>0</v>
      </c>
      <c r="AA156" s="1">
        <f t="shared" si="13"/>
        <v>0</v>
      </c>
    </row>
    <row r="157" spans="1:27" ht="15" outlineLevel="1" thickBot="1" x14ac:dyDescent="0.4">
      <c r="A157" s="319"/>
      <c r="B157" s="216"/>
      <c r="C157" s="216"/>
      <c r="D157" s="489" t="str">
        <f>IFERROR(INDEX(BuildingInformationTable[Site type],MATCH(BuildingsElectricityTable[[#This Row],[Site name]],BuildingInformationTable[Site name],0)),"")</f>
        <v/>
      </c>
      <c r="E157" s="490" t="str">
        <f t="shared" si="10"/>
        <v/>
      </c>
      <c r="F157" s="490" t="str">
        <f t="shared" si="11"/>
        <v/>
      </c>
      <c r="G157" s="491"/>
      <c r="H157" s="492" t="str">
        <f>IF(G157="","",INDEX(Lists!$BA$4:$BC$31,MATCH(E157,Lists!$AZ$4:$AZ$31,0),MATCH(G157,Lists!$BA$3:$BC$3,0)))</f>
        <v/>
      </c>
      <c r="I157" s="267"/>
      <c r="J157" s="490" t="str">
        <f t="shared" si="12"/>
        <v/>
      </c>
      <c r="K157" s="493" t="str" cm="1">
        <f t="array" ref="K157">IF(OR($E157="",$D157="",$I157="",$J157=""),"",IF(J157=L157,I157,(INDEX('Emission factors'!$K$3:$V$201,MATCH(E157&amp;F157,'Emission factors'!$J$3:$J$201&amp;'Emission factors'!$K$3:$K$201,0),MATCH(K$6,'Emission factors'!$K$2:$V$2,0)))*I157))</f>
        <v/>
      </c>
      <c r="L157" s="494" t="str">
        <f>IF(OR($E157="",$D157="",$I157="",$J157=""),"",INDEX('Emission factors'!$K$3:$V$201,MATCH('Buildings - Grid Electricity'!$E157,'Emission factors'!$J$3:$J$201,0),MATCH($L$6,'Emission factors'!$K$2:$V$2,0)))</f>
        <v/>
      </c>
      <c r="M157" s="495" t="str" cm="1">
        <f t="array" ref="M157">IF(OR(E157="",I157="",BuildingsElectricityTable[[#This Row],[Units]]=""),"",INDEX('Emission factors'!$K$3:$V$201,MATCH('Buildings - Grid Electricity'!$E157&amp;F157,'Emission factors'!$J$3:$J$201&amp;'Emission factors'!$K$3:$K$201,0),MATCH('Buildings - Grid Electricity'!$M$6,'Emission factors'!$K$2:$V$2,0)))</f>
        <v/>
      </c>
      <c r="N157" s="496" t="str">
        <f>IF(OR(K157="",M157=""),"",SUM(BuildingsElectricityTable[[#This Row],[Direct]:[Indirect WTT]]))</f>
        <v/>
      </c>
      <c r="O157" s="268"/>
      <c r="P157" s="497"/>
      <c r="Q157" s="157" t="str" cm="1">
        <f t="array" ref="Q157">IF(OR($E157="",$I157=""),"",(INDEX('Emission factors'!$K$3:$V$201,MATCH('Buildings - Grid Electricity'!$E157&amp;$F157,'Emission factors'!$J$3:$J$201&amp;'Emission factors'!$K$3:$K$201,0),MATCH('Buildings - Grid Electricity'!Q$6,'Emission factors'!$K$2:$V$2,0)))*$K157)</f>
        <v/>
      </c>
      <c r="R157" s="157" t="str" cm="1">
        <f t="array" ref="R157">IF(OR($E157="",$I157=""),"",(INDEX('Emission factors'!$K$3:$V$201,MATCH('Buildings - Grid Electricity'!$E157&amp;$F157,'Emission factors'!$J$3:$J$201&amp;'Emission factors'!$K$3:$K$201,0),MATCH('Buildings - Grid Electricity'!R$6,'Emission factors'!$K$2:$V$2,0)))*$K157)</f>
        <v/>
      </c>
      <c r="S157" s="157" t="str" cm="1">
        <f t="array" ref="S157">IF(OR($E157="",$I157=""),"",(INDEX('Emission factors'!$K$3:$V$201,MATCH('Buildings - Grid Electricity'!$E157&amp;$F157,'Emission factors'!$J$3:$J$201&amp;'Emission factors'!$K$3:$K$201,0),MATCH('Buildings - Grid Electricity'!S$6,'Emission factors'!$K$2:$V$2,0)))*$K157)</f>
        <v/>
      </c>
      <c r="T157" s="157" t="str" cm="1">
        <f t="array" ref="T157">IF(OR($E157="",$I157=""),"",(INDEX('Emission factors'!$K$3:$V$201,MATCH('Buildings - Grid Electricity'!$E157&amp;$F157,'Emission factors'!$J$3:$J$201&amp;'Emission factors'!$K$3:$K$201,0),MATCH('Buildings - Grid Electricity'!T$6,'Emission factors'!$K$2:$V$2,0)))*$K157)</f>
        <v/>
      </c>
      <c r="U157" s="157" t="str" cm="1">
        <f t="array" ref="U157">IF(OR($E157="",$I157=""),"",(INDEX('Emission factors'!$K$3:$V$201,MATCH('Buildings - Grid Electricity'!$E157&amp;$F157,'Emission factors'!$J$3:$J$201&amp;'Emission factors'!$K$3:$K$201,0),MATCH('Buildings - Grid Electricity'!U$6,'Emission factors'!$K$2:$V$2,0)))*$K157)</f>
        <v/>
      </c>
      <c r="V157" s="269" t="str">
        <f>IF(OR($N157="",BuildingsElectricityTable[[#This Row],[RSD]]=""),"",BuildingsElectricityTable[[#This Row],[Total emissions (kgCO2e)]]*(1+BuildingsElectricityTable[[#This Row],[RSD]]))</f>
        <v/>
      </c>
      <c r="W157" s="270" t="str">
        <f>IF(OR($N157="",BuildingsElectricityTable[[#This Row],[RSD]]=""),"",BuildingsElectricityTable[[#This Row],[Total emissions (kgCO2e)]]*(1-BuildingsElectricityTable[[#This Row],[RSD]]))</f>
        <v/>
      </c>
      <c r="X157" s="271" t="str" cm="1">
        <f t="array" ref="X157">IF(OR($E157="",$I157=""),"",(INDEX('Emission factors'!$K$3:$V$201,MATCH('Buildings - Grid Electricity'!$E157&amp;$F157,'Emission factors'!$J$3:$J$201&amp;'Emission factors'!$K$3:$K$201,0),MATCH('Buildings - Grid Electricity'!X$6,'Emission factors'!$K$2:$V$2,0)))*$K157)</f>
        <v/>
      </c>
      <c r="Y157" s="30"/>
      <c r="Z157" s="1" cm="1">
        <f t="array" ref="Z157">IF(OR(ISERROR(B157:X157)),1,0)</f>
        <v>0</v>
      </c>
      <c r="AA157" s="1">
        <f t="shared" si="13"/>
        <v>0</v>
      </c>
    </row>
    <row r="158" spans="1:27" ht="15" outlineLevel="1" thickBot="1" x14ac:dyDescent="0.4">
      <c r="A158" s="319"/>
      <c r="B158" s="216"/>
      <c r="C158" s="216"/>
      <c r="D158" s="489" t="str">
        <f>IFERROR(INDEX(BuildingInformationTable[Site type],MATCH(BuildingsElectricityTable[[#This Row],[Site name]],BuildingInformationTable[Site name],0)),"")</f>
        <v/>
      </c>
      <c r="E158" s="490" t="str">
        <f t="shared" si="10"/>
        <v/>
      </c>
      <c r="F158" s="490" t="str">
        <f t="shared" si="11"/>
        <v/>
      </c>
      <c r="G158" s="491"/>
      <c r="H158" s="492" t="str">
        <f>IF(G158="","",INDEX(Lists!$BA$4:$BC$31,MATCH(E158,Lists!$AZ$4:$AZ$31,0),MATCH(G158,Lists!$BA$3:$BC$3,0)))</f>
        <v/>
      </c>
      <c r="I158" s="267"/>
      <c r="J158" s="490" t="str">
        <f t="shared" si="12"/>
        <v/>
      </c>
      <c r="K158" s="493" t="str" cm="1">
        <f t="array" ref="K158">IF(OR($E158="",$D158="",$I158="",$J158=""),"",IF(J158=L158,I158,(INDEX('Emission factors'!$K$3:$V$201,MATCH(E158&amp;F158,'Emission factors'!$J$3:$J$201&amp;'Emission factors'!$K$3:$K$201,0),MATCH(K$6,'Emission factors'!$K$2:$V$2,0)))*I158))</f>
        <v/>
      </c>
      <c r="L158" s="494" t="str">
        <f>IF(OR($E158="",$D158="",$I158="",$J158=""),"",INDEX('Emission factors'!$K$3:$V$201,MATCH('Buildings - Grid Electricity'!$E158,'Emission factors'!$J$3:$J$201,0),MATCH($L$6,'Emission factors'!$K$2:$V$2,0)))</f>
        <v/>
      </c>
      <c r="M158" s="495" t="str" cm="1">
        <f t="array" ref="M158">IF(OR(E158="",I158="",BuildingsElectricityTable[[#This Row],[Units]]=""),"",INDEX('Emission factors'!$K$3:$V$201,MATCH('Buildings - Grid Electricity'!$E158&amp;F158,'Emission factors'!$J$3:$J$201&amp;'Emission factors'!$K$3:$K$201,0),MATCH('Buildings - Grid Electricity'!$M$6,'Emission factors'!$K$2:$V$2,0)))</f>
        <v/>
      </c>
      <c r="N158" s="496" t="str">
        <f>IF(OR(K158="",M158=""),"",SUM(BuildingsElectricityTable[[#This Row],[Direct]:[Indirect WTT]]))</f>
        <v/>
      </c>
      <c r="O158" s="268"/>
      <c r="P158" s="497"/>
      <c r="Q158" s="157" t="str" cm="1">
        <f t="array" ref="Q158">IF(OR($E158="",$I158=""),"",(INDEX('Emission factors'!$K$3:$V$201,MATCH('Buildings - Grid Electricity'!$E158&amp;$F158,'Emission factors'!$J$3:$J$201&amp;'Emission factors'!$K$3:$K$201,0),MATCH('Buildings - Grid Electricity'!Q$6,'Emission factors'!$K$2:$V$2,0)))*$K158)</f>
        <v/>
      </c>
      <c r="R158" s="157" t="str" cm="1">
        <f t="array" ref="R158">IF(OR($E158="",$I158=""),"",(INDEX('Emission factors'!$K$3:$V$201,MATCH('Buildings - Grid Electricity'!$E158&amp;$F158,'Emission factors'!$J$3:$J$201&amp;'Emission factors'!$K$3:$K$201,0),MATCH('Buildings - Grid Electricity'!R$6,'Emission factors'!$K$2:$V$2,0)))*$K158)</f>
        <v/>
      </c>
      <c r="S158" s="157" t="str" cm="1">
        <f t="array" ref="S158">IF(OR($E158="",$I158=""),"",(INDEX('Emission factors'!$K$3:$V$201,MATCH('Buildings - Grid Electricity'!$E158&amp;$F158,'Emission factors'!$J$3:$J$201&amp;'Emission factors'!$K$3:$K$201,0),MATCH('Buildings - Grid Electricity'!S$6,'Emission factors'!$K$2:$V$2,0)))*$K158)</f>
        <v/>
      </c>
      <c r="T158" s="157" t="str" cm="1">
        <f t="array" ref="T158">IF(OR($E158="",$I158=""),"",(INDEX('Emission factors'!$K$3:$V$201,MATCH('Buildings - Grid Electricity'!$E158&amp;$F158,'Emission factors'!$J$3:$J$201&amp;'Emission factors'!$K$3:$K$201,0),MATCH('Buildings - Grid Electricity'!T$6,'Emission factors'!$K$2:$V$2,0)))*$K158)</f>
        <v/>
      </c>
      <c r="U158" s="157" t="str" cm="1">
        <f t="array" ref="U158">IF(OR($E158="",$I158=""),"",(INDEX('Emission factors'!$K$3:$V$201,MATCH('Buildings - Grid Electricity'!$E158&amp;$F158,'Emission factors'!$J$3:$J$201&amp;'Emission factors'!$K$3:$K$201,0),MATCH('Buildings - Grid Electricity'!U$6,'Emission factors'!$K$2:$V$2,0)))*$K158)</f>
        <v/>
      </c>
      <c r="V158" s="269" t="str">
        <f>IF(OR($N158="",BuildingsElectricityTable[[#This Row],[RSD]]=""),"",BuildingsElectricityTable[[#This Row],[Total emissions (kgCO2e)]]*(1+BuildingsElectricityTable[[#This Row],[RSD]]))</f>
        <v/>
      </c>
      <c r="W158" s="270" t="str">
        <f>IF(OR($N158="",BuildingsElectricityTable[[#This Row],[RSD]]=""),"",BuildingsElectricityTable[[#This Row],[Total emissions (kgCO2e)]]*(1-BuildingsElectricityTable[[#This Row],[RSD]]))</f>
        <v/>
      </c>
      <c r="X158" s="271" t="str" cm="1">
        <f t="array" ref="X158">IF(OR($E158="",$I158=""),"",(INDEX('Emission factors'!$K$3:$V$201,MATCH('Buildings - Grid Electricity'!$E158&amp;$F158,'Emission factors'!$J$3:$J$201&amp;'Emission factors'!$K$3:$K$201,0),MATCH('Buildings - Grid Electricity'!X$6,'Emission factors'!$K$2:$V$2,0)))*$K158)</f>
        <v/>
      </c>
      <c r="Y158" s="30"/>
      <c r="Z158" s="1" cm="1">
        <f t="array" ref="Z158">IF(OR(ISERROR(B158:X158)),1,0)</f>
        <v>0</v>
      </c>
      <c r="AA158" s="1">
        <f t="shared" si="13"/>
        <v>0</v>
      </c>
    </row>
    <row r="159" spans="1:27" ht="15" outlineLevel="1" thickBot="1" x14ac:dyDescent="0.4">
      <c r="A159" s="319"/>
      <c r="B159" s="216"/>
      <c r="C159" s="216"/>
      <c r="D159" s="489" t="str">
        <f>IFERROR(INDEX(BuildingInformationTable[Site type],MATCH(BuildingsElectricityTable[[#This Row],[Site name]],BuildingInformationTable[Site name],0)),"")</f>
        <v/>
      </c>
      <c r="E159" s="490" t="str">
        <f t="shared" si="10"/>
        <v/>
      </c>
      <c r="F159" s="490" t="str">
        <f t="shared" si="11"/>
        <v/>
      </c>
      <c r="G159" s="491"/>
      <c r="H159" s="492" t="str">
        <f>IF(G159="","",INDEX(Lists!$BA$4:$BC$31,MATCH(E159,Lists!$AZ$4:$AZ$31,0),MATCH(G159,Lists!$BA$3:$BC$3,0)))</f>
        <v/>
      </c>
      <c r="I159" s="267"/>
      <c r="J159" s="490" t="str">
        <f t="shared" si="12"/>
        <v/>
      </c>
      <c r="K159" s="493" t="str" cm="1">
        <f t="array" ref="K159">IF(OR($E159="",$D159="",$I159="",$J159=""),"",IF(J159=L159,I159,(INDEX('Emission factors'!$K$3:$V$201,MATCH(E159&amp;F159,'Emission factors'!$J$3:$J$201&amp;'Emission factors'!$K$3:$K$201,0),MATCH(K$6,'Emission factors'!$K$2:$V$2,0)))*I159))</f>
        <v/>
      </c>
      <c r="L159" s="494" t="str">
        <f>IF(OR($E159="",$D159="",$I159="",$J159=""),"",INDEX('Emission factors'!$K$3:$V$201,MATCH('Buildings - Grid Electricity'!$E159,'Emission factors'!$J$3:$J$201,0),MATCH($L$6,'Emission factors'!$K$2:$V$2,0)))</f>
        <v/>
      </c>
      <c r="M159" s="495" t="str" cm="1">
        <f t="array" ref="M159">IF(OR(E159="",I159="",BuildingsElectricityTable[[#This Row],[Units]]=""),"",INDEX('Emission factors'!$K$3:$V$201,MATCH('Buildings - Grid Electricity'!$E159&amp;F159,'Emission factors'!$J$3:$J$201&amp;'Emission factors'!$K$3:$K$201,0),MATCH('Buildings - Grid Electricity'!$M$6,'Emission factors'!$K$2:$V$2,0)))</f>
        <v/>
      </c>
      <c r="N159" s="496" t="str">
        <f>IF(OR(K159="",M159=""),"",SUM(BuildingsElectricityTable[[#This Row],[Direct]:[Indirect WTT]]))</f>
        <v/>
      </c>
      <c r="O159" s="268"/>
      <c r="P159" s="497"/>
      <c r="Q159" s="157" t="str" cm="1">
        <f t="array" ref="Q159">IF(OR($E159="",$I159=""),"",(INDEX('Emission factors'!$K$3:$V$201,MATCH('Buildings - Grid Electricity'!$E159&amp;$F159,'Emission factors'!$J$3:$J$201&amp;'Emission factors'!$K$3:$K$201,0),MATCH('Buildings - Grid Electricity'!Q$6,'Emission factors'!$K$2:$V$2,0)))*$K159)</f>
        <v/>
      </c>
      <c r="R159" s="157" t="str" cm="1">
        <f t="array" ref="R159">IF(OR($E159="",$I159=""),"",(INDEX('Emission factors'!$K$3:$V$201,MATCH('Buildings - Grid Electricity'!$E159&amp;$F159,'Emission factors'!$J$3:$J$201&amp;'Emission factors'!$K$3:$K$201,0),MATCH('Buildings - Grid Electricity'!R$6,'Emission factors'!$K$2:$V$2,0)))*$K159)</f>
        <v/>
      </c>
      <c r="S159" s="157" t="str" cm="1">
        <f t="array" ref="S159">IF(OR($E159="",$I159=""),"",(INDEX('Emission factors'!$K$3:$V$201,MATCH('Buildings - Grid Electricity'!$E159&amp;$F159,'Emission factors'!$J$3:$J$201&amp;'Emission factors'!$K$3:$K$201,0),MATCH('Buildings - Grid Electricity'!S$6,'Emission factors'!$K$2:$V$2,0)))*$K159)</f>
        <v/>
      </c>
      <c r="T159" s="157" t="str" cm="1">
        <f t="array" ref="T159">IF(OR($E159="",$I159=""),"",(INDEX('Emission factors'!$K$3:$V$201,MATCH('Buildings - Grid Electricity'!$E159&amp;$F159,'Emission factors'!$J$3:$J$201&amp;'Emission factors'!$K$3:$K$201,0),MATCH('Buildings - Grid Electricity'!T$6,'Emission factors'!$K$2:$V$2,0)))*$K159)</f>
        <v/>
      </c>
      <c r="U159" s="157" t="str" cm="1">
        <f t="array" ref="U159">IF(OR($E159="",$I159=""),"",(INDEX('Emission factors'!$K$3:$V$201,MATCH('Buildings - Grid Electricity'!$E159&amp;$F159,'Emission factors'!$J$3:$J$201&amp;'Emission factors'!$K$3:$K$201,0),MATCH('Buildings - Grid Electricity'!U$6,'Emission factors'!$K$2:$V$2,0)))*$K159)</f>
        <v/>
      </c>
      <c r="V159" s="269" t="str">
        <f>IF(OR($N159="",BuildingsElectricityTable[[#This Row],[RSD]]=""),"",BuildingsElectricityTable[[#This Row],[Total emissions (kgCO2e)]]*(1+BuildingsElectricityTable[[#This Row],[RSD]]))</f>
        <v/>
      </c>
      <c r="W159" s="270" t="str">
        <f>IF(OR($N159="",BuildingsElectricityTable[[#This Row],[RSD]]=""),"",BuildingsElectricityTable[[#This Row],[Total emissions (kgCO2e)]]*(1-BuildingsElectricityTable[[#This Row],[RSD]]))</f>
        <v/>
      </c>
      <c r="X159" s="271" t="str" cm="1">
        <f t="array" ref="X159">IF(OR($E159="",$I159=""),"",(INDEX('Emission factors'!$K$3:$V$201,MATCH('Buildings - Grid Electricity'!$E159&amp;$F159,'Emission factors'!$J$3:$J$201&amp;'Emission factors'!$K$3:$K$201,0),MATCH('Buildings - Grid Electricity'!X$6,'Emission factors'!$K$2:$V$2,0)))*$K159)</f>
        <v/>
      </c>
      <c r="Y159" s="30"/>
      <c r="Z159" s="1" cm="1">
        <f t="array" ref="Z159">IF(OR(ISERROR(B159:X159)),1,0)</f>
        <v>0</v>
      </c>
      <c r="AA159" s="1">
        <f t="shared" si="13"/>
        <v>0</v>
      </c>
    </row>
    <row r="160" spans="1:27" ht="15" outlineLevel="1" thickBot="1" x14ac:dyDescent="0.4">
      <c r="A160" s="319"/>
      <c r="B160" s="216"/>
      <c r="C160" s="216"/>
      <c r="D160" s="489" t="str">
        <f>IFERROR(INDEX(BuildingInformationTable[Site type],MATCH(BuildingsElectricityTable[[#This Row],[Site name]],BuildingInformationTable[Site name],0)),"")</f>
        <v/>
      </c>
      <c r="E160" s="490" t="str">
        <f t="shared" si="10"/>
        <v/>
      </c>
      <c r="F160" s="490" t="str">
        <f t="shared" si="11"/>
        <v/>
      </c>
      <c r="G160" s="491"/>
      <c r="H160" s="492" t="str">
        <f>IF(G160="","",INDEX(Lists!$BA$4:$BC$31,MATCH(E160,Lists!$AZ$4:$AZ$31,0),MATCH(G160,Lists!$BA$3:$BC$3,0)))</f>
        <v/>
      </c>
      <c r="I160" s="267"/>
      <c r="J160" s="490" t="str">
        <f t="shared" si="12"/>
        <v/>
      </c>
      <c r="K160" s="493" t="str" cm="1">
        <f t="array" ref="K160">IF(OR($E160="",$D160="",$I160="",$J160=""),"",IF(J160=L160,I160,(INDEX('Emission factors'!$K$3:$V$201,MATCH(E160&amp;F160,'Emission factors'!$J$3:$J$201&amp;'Emission factors'!$K$3:$K$201,0),MATCH(K$6,'Emission factors'!$K$2:$V$2,0)))*I160))</f>
        <v/>
      </c>
      <c r="L160" s="494" t="str">
        <f>IF(OR($E160="",$D160="",$I160="",$J160=""),"",INDEX('Emission factors'!$K$3:$V$201,MATCH('Buildings - Grid Electricity'!$E160,'Emission factors'!$J$3:$J$201,0),MATCH($L$6,'Emission factors'!$K$2:$V$2,0)))</f>
        <v/>
      </c>
      <c r="M160" s="495" t="str" cm="1">
        <f t="array" ref="M160">IF(OR(E160="",I160="",BuildingsElectricityTable[[#This Row],[Units]]=""),"",INDEX('Emission factors'!$K$3:$V$201,MATCH('Buildings - Grid Electricity'!$E160&amp;F160,'Emission factors'!$J$3:$J$201&amp;'Emission factors'!$K$3:$K$201,0),MATCH('Buildings - Grid Electricity'!$M$6,'Emission factors'!$K$2:$V$2,0)))</f>
        <v/>
      </c>
      <c r="N160" s="496" t="str">
        <f>IF(OR(K160="",M160=""),"",SUM(BuildingsElectricityTable[[#This Row],[Direct]:[Indirect WTT]]))</f>
        <v/>
      </c>
      <c r="O160" s="268"/>
      <c r="P160" s="497"/>
      <c r="Q160" s="157" t="str" cm="1">
        <f t="array" ref="Q160">IF(OR($E160="",$I160=""),"",(INDEX('Emission factors'!$K$3:$V$201,MATCH('Buildings - Grid Electricity'!$E160&amp;$F160,'Emission factors'!$J$3:$J$201&amp;'Emission factors'!$K$3:$K$201,0),MATCH('Buildings - Grid Electricity'!Q$6,'Emission factors'!$K$2:$V$2,0)))*$K160)</f>
        <v/>
      </c>
      <c r="R160" s="157" t="str" cm="1">
        <f t="array" ref="R160">IF(OR($E160="",$I160=""),"",(INDEX('Emission factors'!$K$3:$V$201,MATCH('Buildings - Grid Electricity'!$E160&amp;$F160,'Emission factors'!$J$3:$J$201&amp;'Emission factors'!$K$3:$K$201,0),MATCH('Buildings - Grid Electricity'!R$6,'Emission factors'!$K$2:$V$2,0)))*$K160)</f>
        <v/>
      </c>
      <c r="S160" s="157" t="str" cm="1">
        <f t="array" ref="S160">IF(OR($E160="",$I160=""),"",(INDEX('Emission factors'!$K$3:$V$201,MATCH('Buildings - Grid Electricity'!$E160&amp;$F160,'Emission factors'!$J$3:$J$201&amp;'Emission factors'!$K$3:$K$201,0),MATCH('Buildings - Grid Electricity'!S$6,'Emission factors'!$K$2:$V$2,0)))*$K160)</f>
        <v/>
      </c>
      <c r="T160" s="157" t="str" cm="1">
        <f t="array" ref="T160">IF(OR($E160="",$I160=""),"",(INDEX('Emission factors'!$K$3:$V$201,MATCH('Buildings - Grid Electricity'!$E160&amp;$F160,'Emission factors'!$J$3:$J$201&amp;'Emission factors'!$K$3:$K$201,0),MATCH('Buildings - Grid Electricity'!T$6,'Emission factors'!$K$2:$V$2,0)))*$K160)</f>
        <v/>
      </c>
      <c r="U160" s="157" t="str" cm="1">
        <f t="array" ref="U160">IF(OR($E160="",$I160=""),"",(INDEX('Emission factors'!$K$3:$V$201,MATCH('Buildings - Grid Electricity'!$E160&amp;$F160,'Emission factors'!$J$3:$J$201&amp;'Emission factors'!$K$3:$K$201,0),MATCH('Buildings - Grid Electricity'!U$6,'Emission factors'!$K$2:$V$2,0)))*$K160)</f>
        <v/>
      </c>
      <c r="V160" s="269" t="str">
        <f>IF(OR($N160="",BuildingsElectricityTable[[#This Row],[RSD]]=""),"",BuildingsElectricityTable[[#This Row],[Total emissions (kgCO2e)]]*(1+BuildingsElectricityTable[[#This Row],[RSD]]))</f>
        <v/>
      </c>
      <c r="W160" s="270" t="str">
        <f>IF(OR($N160="",BuildingsElectricityTable[[#This Row],[RSD]]=""),"",BuildingsElectricityTable[[#This Row],[Total emissions (kgCO2e)]]*(1-BuildingsElectricityTable[[#This Row],[RSD]]))</f>
        <v/>
      </c>
      <c r="X160" s="271" t="str" cm="1">
        <f t="array" ref="X160">IF(OR($E160="",$I160=""),"",(INDEX('Emission factors'!$K$3:$V$201,MATCH('Buildings - Grid Electricity'!$E160&amp;$F160,'Emission factors'!$J$3:$J$201&amp;'Emission factors'!$K$3:$K$201,0),MATCH('Buildings - Grid Electricity'!X$6,'Emission factors'!$K$2:$V$2,0)))*$K160)</f>
        <v/>
      </c>
      <c r="Y160" s="30"/>
      <c r="Z160" s="1" cm="1">
        <f t="array" ref="Z160">IF(OR(ISERROR(B160:X160)),1,0)</f>
        <v>0</v>
      </c>
      <c r="AA160" s="1">
        <f t="shared" si="13"/>
        <v>0</v>
      </c>
    </row>
    <row r="161" spans="1:27" ht="15" outlineLevel="1" thickBot="1" x14ac:dyDescent="0.4">
      <c r="A161" s="319"/>
      <c r="B161" s="216"/>
      <c r="C161" s="216"/>
      <c r="D161" s="489" t="str">
        <f>IFERROR(INDEX(BuildingInformationTable[Site type],MATCH(BuildingsElectricityTable[[#This Row],[Site name]],BuildingInformationTable[Site name],0)),"")</f>
        <v/>
      </c>
      <c r="E161" s="490" t="str">
        <f t="shared" si="10"/>
        <v/>
      </c>
      <c r="F161" s="490" t="str">
        <f t="shared" si="11"/>
        <v/>
      </c>
      <c r="G161" s="491"/>
      <c r="H161" s="492" t="str">
        <f>IF(G161="","",INDEX(Lists!$BA$4:$BC$31,MATCH(E161,Lists!$AZ$4:$AZ$31,0),MATCH(G161,Lists!$BA$3:$BC$3,0)))</f>
        <v/>
      </c>
      <c r="I161" s="267"/>
      <c r="J161" s="490" t="str">
        <f t="shared" si="12"/>
        <v/>
      </c>
      <c r="K161" s="493" t="str" cm="1">
        <f t="array" ref="K161">IF(OR($E161="",$D161="",$I161="",$J161=""),"",IF(J161=L161,I161,(INDEX('Emission factors'!$K$3:$V$201,MATCH(E161&amp;F161,'Emission factors'!$J$3:$J$201&amp;'Emission factors'!$K$3:$K$201,0),MATCH(K$6,'Emission factors'!$K$2:$V$2,0)))*I161))</f>
        <v/>
      </c>
      <c r="L161" s="494" t="str">
        <f>IF(OR($E161="",$D161="",$I161="",$J161=""),"",INDEX('Emission factors'!$K$3:$V$201,MATCH('Buildings - Grid Electricity'!$E161,'Emission factors'!$J$3:$J$201,0),MATCH($L$6,'Emission factors'!$K$2:$V$2,0)))</f>
        <v/>
      </c>
      <c r="M161" s="495" t="str" cm="1">
        <f t="array" ref="M161">IF(OR(E161="",I161="",BuildingsElectricityTable[[#This Row],[Units]]=""),"",INDEX('Emission factors'!$K$3:$V$201,MATCH('Buildings - Grid Electricity'!$E161&amp;F161,'Emission factors'!$J$3:$J$201&amp;'Emission factors'!$K$3:$K$201,0),MATCH('Buildings - Grid Electricity'!$M$6,'Emission factors'!$K$2:$V$2,0)))</f>
        <v/>
      </c>
      <c r="N161" s="496" t="str">
        <f>IF(OR(K161="",M161=""),"",SUM(BuildingsElectricityTable[[#This Row],[Direct]:[Indirect WTT]]))</f>
        <v/>
      </c>
      <c r="O161" s="268"/>
      <c r="P161" s="497"/>
      <c r="Q161" s="157" t="str" cm="1">
        <f t="array" ref="Q161">IF(OR($E161="",$I161=""),"",(INDEX('Emission factors'!$K$3:$V$201,MATCH('Buildings - Grid Electricity'!$E161&amp;$F161,'Emission factors'!$J$3:$J$201&amp;'Emission factors'!$K$3:$K$201,0),MATCH('Buildings - Grid Electricity'!Q$6,'Emission factors'!$K$2:$V$2,0)))*$K161)</f>
        <v/>
      </c>
      <c r="R161" s="157" t="str" cm="1">
        <f t="array" ref="R161">IF(OR($E161="",$I161=""),"",(INDEX('Emission factors'!$K$3:$V$201,MATCH('Buildings - Grid Electricity'!$E161&amp;$F161,'Emission factors'!$J$3:$J$201&amp;'Emission factors'!$K$3:$K$201,0),MATCH('Buildings - Grid Electricity'!R$6,'Emission factors'!$K$2:$V$2,0)))*$K161)</f>
        <v/>
      </c>
      <c r="S161" s="157" t="str" cm="1">
        <f t="array" ref="S161">IF(OR($E161="",$I161=""),"",(INDEX('Emission factors'!$K$3:$V$201,MATCH('Buildings - Grid Electricity'!$E161&amp;$F161,'Emission factors'!$J$3:$J$201&amp;'Emission factors'!$K$3:$K$201,0),MATCH('Buildings - Grid Electricity'!S$6,'Emission factors'!$K$2:$V$2,0)))*$K161)</f>
        <v/>
      </c>
      <c r="T161" s="157" t="str" cm="1">
        <f t="array" ref="T161">IF(OR($E161="",$I161=""),"",(INDEX('Emission factors'!$K$3:$V$201,MATCH('Buildings - Grid Electricity'!$E161&amp;$F161,'Emission factors'!$J$3:$J$201&amp;'Emission factors'!$K$3:$K$201,0),MATCH('Buildings - Grid Electricity'!T$6,'Emission factors'!$K$2:$V$2,0)))*$K161)</f>
        <v/>
      </c>
      <c r="U161" s="157" t="str" cm="1">
        <f t="array" ref="U161">IF(OR($E161="",$I161=""),"",(INDEX('Emission factors'!$K$3:$V$201,MATCH('Buildings - Grid Electricity'!$E161&amp;$F161,'Emission factors'!$J$3:$J$201&amp;'Emission factors'!$K$3:$K$201,0),MATCH('Buildings - Grid Electricity'!U$6,'Emission factors'!$K$2:$V$2,0)))*$K161)</f>
        <v/>
      </c>
      <c r="V161" s="269" t="str">
        <f>IF(OR($N161="",BuildingsElectricityTable[[#This Row],[RSD]]=""),"",BuildingsElectricityTable[[#This Row],[Total emissions (kgCO2e)]]*(1+BuildingsElectricityTable[[#This Row],[RSD]]))</f>
        <v/>
      </c>
      <c r="W161" s="270" t="str">
        <f>IF(OR($N161="",BuildingsElectricityTable[[#This Row],[RSD]]=""),"",BuildingsElectricityTable[[#This Row],[Total emissions (kgCO2e)]]*(1-BuildingsElectricityTable[[#This Row],[RSD]]))</f>
        <v/>
      </c>
      <c r="X161" s="271" t="str" cm="1">
        <f t="array" ref="X161">IF(OR($E161="",$I161=""),"",(INDEX('Emission factors'!$K$3:$V$201,MATCH('Buildings - Grid Electricity'!$E161&amp;$F161,'Emission factors'!$J$3:$J$201&amp;'Emission factors'!$K$3:$K$201,0),MATCH('Buildings - Grid Electricity'!X$6,'Emission factors'!$K$2:$V$2,0)))*$K161)</f>
        <v/>
      </c>
      <c r="Y161" s="30"/>
      <c r="Z161" s="1" cm="1">
        <f t="array" ref="Z161">IF(OR(ISERROR(B161:X161)),1,0)</f>
        <v>0</v>
      </c>
      <c r="AA161" s="1">
        <f t="shared" si="13"/>
        <v>0</v>
      </c>
    </row>
    <row r="162" spans="1:27" ht="15" outlineLevel="1" thickBot="1" x14ac:dyDescent="0.4">
      <c r="A162" s="319"/>
      <c r="B162" s="216"/>
      <c r="C162" s="216"/>
      <c r="D162" s="489" t="str">
        <f>IFERROR(INDEX(BuildingInformationTable[Site type],MATCH(BuildingsElectricityTable[[#This Row],[Site name]],BuildingInformationTable[Site name],0)),"")</f>
        <v/>
      </c>
      <c r="E162" s="490" t="str">
        <f t="shared" si="10"/>
        <v/>
      </c>
      <c r="F162" s="490" t="str">
        <f t="shared" si="11"/>
        <v/>
      </c>
      <c r="G162" s="491"/>
      <c r="H162" s="492" t="str">
        <f>IF(G162="","",INDEX(Lists!$BA$4:$BC$31,MATCH(E162,Lists!$AZ$4:$AZ$31,0),MATCH(G162,Lists!$BA$3:$BC$3,0)))</f>
        <v/>
      </c>
      <c r="I162" s="267"/>
      <c r="J162" s="490" t="str">
        <f t="shared" si="12"/>
        <v/>
      </c>
      <c r="K162" s="493" t="str" cm="1">
        <f t="array" ref="K162">IF(OR($E162="",$D162="",$I162="",$J162=""),"",IF(J162=L162,I162,(INDEX('Emission factors'!$K$3:$V$201,MATCH(E162&amp;F162,'Emission factors'!$J$3:$J$201&amp;'Emission factors'!$K$3:$K$201,0),MATCH(K$6,'Emission factors'!$K$2:$V$2,0)))*I162))</f>
        <v/>
      </c>
      <c r="L162" s="494" t="str">
        <f>IF(OR($E162="",$D162="",$I162="",$J162=""),"",INDEX('Emission factors'!$K$3:$V$201,MATCH('Buildings - Grid Electricity'!$E162,'Emission factors'!$J$3:$J$201,0),MATCH($L$6,'Emission factors'!$K$2:$V$2,0)))</f>
        <v/>
      </c>
      <c r="M162" s="495" t="str" cm="1">
        <f t="array" ref="M162">IF(OR(E162="",I162="",BuildingsElectricityTable[[#This Row],[Units]]=""),"",INDEX('Emission factors'!$K$3:$V$201,MATCH('Buildings - Grid Electricity'!$E162&amp;F162,'Emission factors'!$J$3:$J$201&amp;'Emission factors'!$K$3:$K$201,0),MATCH('Buildings - Grid Electricity'!$M$6,'Emission factors'!$K$2:$V$2,0)))</f>
        <v/>
      </c>
      <c r="N162" s="496" t="str">
        <f>IF(OR(K162="",M162=""),"",SUM(BuildingsElectricityTable[[#This Row],[Direct]:[Indirect WTT]]))</f>
        <v/>
      </c>
      <c r="O162" s="268"/>
      <c r="P162" s="497"/>
      <c r="Q162" s="157" t="str" cm="1">
        <f t="array" ref="Q162">IF(OR($E162="",$I162=""),"",(INDEX('Emission factors'!$K$3:$V$201,MATCH('Buildings - Grid Electricity'!$E162&amp;$F162,'Emission factors'!$J$3:$J$201&amp;'Emission factors'!$K$3:$K$201,0),MATCH('Buildings - Grid Electricity'!Q$6,'Emission factors'!$K$2:$V$2,0)))*$K162)</f>
        <v/>
      </c>
      <c r="R162" s="157" t="str" cm="1">
        <f t="array" ref="R162">IF(OR($E162="",$I162=""),"",(INDEX('Emission factors'!$K$3:$V$201,MATCH('Buildings - Grid Electricity'!$E162&amp;$F162,'Emission factors'!$J$3:$J$201&amp;'Emission factors'!$K$3:$K$201,0),MATCH('Buildings - Grid Electricity'!R$6,'Emission factors'!$K$2:$V$2,0)))*$K162)</f>
        <v/>
      </c>
      <c r="S162" s="157" t="str" cm="1">
        <f t="array" ref="S162">IF(OR($E162="",$I162=""),"",(INDEX('Emission factors'!$K$3:$V$201,MATCH('Buildings - Grid Electricity'!$E162&amp;$F162,'Emission factors'!$J$3:$J$201&amp;'Emission factors'!$K$3:$K$201,0),MATCH('Buildings - Grid Electricity'!S$6,'Emission factors'!$K$2:$V$2,0)))*$K162)</f>
        <v/>
      </c>
      <c r="T162" s="157" t="str" cm="1">
        <f t="array" ref="T162">IF(OR($E162="",$I162=""),"",(INDEX('Emission factors'!$K$3:$V$201,MATCH('Buildings - Grid Electricity'!$E162&amp;$F162,'Emission factors'!$J$3:$J$201&amp;'Emission factors'!$K$3:$K$201,0),MATCH('Buildings - Grid Electricity'!T$6,'Emission factors'!$K$2:$V$2,0)))*$K162)</f>
        <v/>
      </c>
      <c r="U162" s="157" t="str" cm="1">
        <f t="array" ref="U162">IF(OR($E162="",$I162=""),"",(INDEX('Emission factors'!$K$3:$V$201,MATCH('Buildings - Grid Electricity'!$E162&amp;$F162,'Emission factors'!$J$3:$J$201&amp;'Emission factors'!$K$3:$K$201,0),MATCH('Buildings - Grid Electricity'!U$6,'Emission factors'!$K$2:$V$2,0)))*$K162)</f>
        <v/>
      </c>
      <c r="V162" s="269" t="str">
        <f>IF(OR($N162="",BuildingsElectricityTable[[#This Row],[RSD]]=""),"",BuildingsElectricityTable[[#This Row],[Total emissions (kgCO2e)]]*(1+BuildingsElectricityTable[[#This Row],[RSD]]))</f>
        <v/>
      </c>
      <c r="W162" s="270" t="str">
        <f>IF(OR($N162="",BuildingsElectricityTable[[#This Row],[RSD]]=""),"",BuildingsElectricityTable[[#This Row],[Total emissions (kgCO2e)]]*(1-BuildingsElectricityTable[[#This Row],[RSD]]))</f>
        <v/>
      </c>
      <c r="X162" s="271" t="str" cm="1">
        <f t="array" ref="X162">IF(OR($E162="",$I162=""),"",(INDEX('Emission factors'!$K$3:$V$201,MATCH('Buildings - Grid Electricity'!$E162&amp;$F162,'Emission factors'!$J$3:$J$201&amp;'Emission factors'!$K$3:$K$201,0),MATCH('Buildings - Grid Electricity'!X$6,'Emission factors'!$K$2:$V$2,0)))*$K162)</f>
        <v/>
      </c>
      <c r="Y162" s="30"/>
      <c r="Z162" s="1" cm="1">
        <f t="array" ref="Z162">IF(OR(ISERROR(B162:X162)),1,0)</f>
        <v>0</v>
      </c>
      <c r="AA162" s="1">
        <f t="shared" si="13"/>
        <v>0</v>
      </c>
    </row>
    <row r="163" spans="1:27" ht="15" outlineLevel="1" thickBot="1" x14ac:dyDescent="0.4">
      <c r="A163" s="319"/>
      <c r="B163" s="216"/>
      <c r="C163" s="216"/>
      <c r="D163" s="489" t="str">
        <f>IFERROR(INDEX(BuildingInformationTable[Site type],MATCH(BuildingsElectricityTable[[#This Row],[Site name]],BuildingInformationTable[Site name],0)),"")</f>
        <v/>
      </c>
      <c r="E163" s="490" t="str">
        <f t="shared" si="10"/>
        <v/>
      </c>
      <c r="F163" s="490" t="str">
        <f t="shared" si="11"/>
        <v/>
      </c>
      <c r="G163" s="491"/>
      <c r="H163" s="492" t="str">
        <f>IF(G163="","",INDEX(Lists!$BA$4:$BC$31,MATCH(E163,Lists!$AZ$4:$AZ$31,0),MATCH(G163,Lists!$BA$3:$BC$3,0)))</f>
        <v/>
      </c>
      <c r="I163" s="267"/>
      <c r="J163" s="490" t="str">
        <f t="shared" si="12"/>
        <v/>
      </c>
      <c r="K163" s="493" t="str" cm="1">
        <f t="array" ref="K163">IF(OR($E163="",$D163="",$I163="",$J163=""),"",IF(J163=L163,I163,(INDEX('Emission factors'!$K$3:$V$201,MATCH(E163&amp;F163,'Emission factors'!$J$3:$J$201&amp;'Emission factors'!$K$3:$K$201,0),MATCH(K$6,'Emission factors'!$K$2:$V$2,0)))*I163))</f>
        <v/>
      </c>
      <c r="L163" s="494" t="str">
        <f>IF(OR($E163="",$D163="",$I163="",$J163=""),"",INDEX('Emission factors'!$K$3:$V$201,MATCH('Buildings - Grid Electricity'!$E163,'Emission factors'!$J$3:$J$201,0),MATCH($L$6,'Emission factors'!$K$2:$V$2,0)))</f>
        <v/>
      </c>
      <c r="M163" s="495" t="str" cm="1">
        <f t="array" ref="M163">IF(OR(E163="",I163="",BuildingsElectricityTable[[#This Row],[Units]]=""),"",INDEX('Emission factors'!$K$3:$V$201,MATCH('Buildings - Grid Electricity'!$E163&amp;F163,'Emission factors'!$J$3:$J$201&amp;'Emission factors'!$K$3:$K$201,0),MATCH('Buildings - Grid Electricity'!$M$6,'Emission factors'!$K$2:$V$2,0)))</f>
        <v/>
      </c>
      <c r="N163" s="496" t="str">
        <f>IF(OR(K163="",M163=""),"",SUM(BuildingsElectricityTable[[#This Row],[Direct]:[Indirect WTT]]))</f>
        <v/>
      </c>
      <c r="O163" s="268"/>
      <c r="P163" s="497"/>
      <c r="Q163" s="157" t="str" cm="1">
        <f t="array" ref="Q163">IF(OR($E163="",$I163=""),"",(INDEX('Emission factors'!$K$3:$V$201,MATCH('Buildings - Grid Electricity'!$E163&amp;$F163,'Emission factors'!$J$3:$J$201&amp;'Emission factors'!$K$3:$K$201,0),MATCH('Buildings - Grid Electricity'!Q$6,'Emission factors'!$K$2:$V$2,0)))*$K163)</f>
        <v/>
      </c>
      <c r="R163" s="157" t="str" cm="1">
        <f t="array" ref="R163">IF(OR($E163="",$I163=""),"",(INDEX('Emission factors'!$K$3:$V$201,MATCH('Buildings - Grid Electricity'!$E163&amp;$F163,'Emission factors'!$J$3:$J$201&amp;'Emission factors'!$K$3:$K$201,0),MATCH('Buildings - Grid Electricity'!R$6,'Emission factors'!$K$2:$V$2,0)))*$K163)</f>
        <v/>
      </c>
      <c r="S163" s="157" t="str" cm="1">
        <f t="array" ref="S163">IF(OR($E163="",$I163=""),"",(INDEX('Emission factors'!$K$3:$V$201,MATCH('Buildings - Grid Electricity'!$E163&amp;$F163,'Emission factors'!$J$3:$J$201&amp;'Emission factors'!$K$3:$K$201,0),MATCH('Buildings - Grid Electricity'!S$6,'Emission factors'!$K$2:$V$2,0)))*$K163)</f>
        <v/>
      </c>
      <c r="T163" s="157" t="str" cm="1">
        <f t="array" ref="T163">IF(OR($E163="",$I163=""),"",(INDEX('Emission factors'!$K$3:$V$201,MATCH('Buildings - Grid Electricity'!$E163&amp;$F163,'Emission factors'!$J$3:$J$201&amp;'Emission factors'!$K$3:$K$201,0),MATCH('Buildings - Grid Electricity'!T$6,'Emission factors'!$K$2:$V$2,0)))*$K163)</f>
        <v/>
      </c>
      <c r="U163" s="157" t="str" cm="1">
        <f t="array" ref="U163">IF(OR($E163="",$I163=""),"",(INDEX('Emission factors'!$K$3:$V$201,MATCH('Buildings - Grid Electricity'!$E163&amp;$F163,'Emission factors'!$J$3:$J$201&amp;'Emission factors'!$K$3:$K$201,0),MATCH('Buildings - Grid Electricity'!U$6,'Emission factors'!$K$2:$V$2,0)))*$K163)</f>
        <v/>
      </c>
      <c r="V163" s="269" t="str">
        <f>IF(OR($N163="",BuildingsElectricityTable[[#This Row],[RSD]]=""),"",BuildingsElectricityTable[[#This Row],[Total emissions (kgCO2e)]]*(1+BuildingsElectricityTable[[#This Row],[RSD]]))</f>
        <v/>
      </c>
      <c r="W163" s="270" t="str">
        <f>IF(OR($N163="",BuildingsElectricityTable[[#This Row],[RSD]]=""),"",BuildingsElectricityTable[[#This Row],[Total emissions (kgCO2e)]]*(1-BuildingsElectricityTable[[#This Row],[RSD]]))</f>
        <v/>
      </c>
      <c r="X163" s="271" t="str" cm="1">
        <f t="array" ref="X163">IF(OR($E163="",$I163=""),"",(INDEX('Emission factors'!$K$3:$V$201,MATCH('Buildings - Grid Electricity'!$E163&amp;$F163,'Emission factors'!$J$3:$J$201&amp;'Emission factors'!$K$3:$K$201,0),MATCH('Buildings - Grid Electricity'!X$6,'Emission factors'!$K$2:$V$2,0)))*$K163)</f>
        <v/>
      </c>
      <c r="Y163" s="30"/>
      <c r="Z163" s="1" cm="1">
        <f t="array" ref="Z163">IF(OR(ISERROR(B163:X163)),1,0)</f>
        <v>0</v>
      </c>
      <c r="AA163" s="1">
        <f t="shared" si="13"/>
        <v>0</v>
      </c>
    </row>
    <row r="164" spans="1:27" ht="15" outlineLevel="1" thickBot="1" x14ac:dyDescent="0.4">
      <c r="A164" s="319"/>
      <c r="B164" s="216"/>
      <c r="C164" s="216"/>
      <c r="D164" s="489" t="str">
        <f>IFERROR(INDEX(BuildingInformationTable[Site type],MATCH(BuildingsElectricityTable[[#This Row],[Site name]],BuildingInformationTable[Site name],0)),"")</f>
        <v/>
      </c>
      <c r="E164" s="490" t="str">
        <f t="shared" si="10"/>
        <v/>
      </c>
      <c r="F164" s="490" t="str">
        <f t="shared" si="11"/>
        <v/>
      </c>
      <c r="G164" s="491"/>
      <c r="H164" s="492" t="str">
        <f>IF(G164="","",INDEX(Lists!$BA$4:$BC$31,MATCH(E164,Lists!$AZ$4:$AZ$31,0),MATCH(G164,Lists!$BA$3:$BC$3,0)))</f>
        <v/>
      </c>
      <c r="I164" s="267"/>
      <c r="J164" s="490" t="str">
        <f t="shared" si="12"/>
        <v/>
      </c>
      <c r="K164" s="493" t="str" cm="1">
        <f t="array" ref="K164">IF(OR($E164="",$D164="",$I164="",$J164=""),"",IF(J164=L164,I164,(INDEX('Emission factors'!$K$3:$V$201,MATCH(E164&amp;F164,'Emission factors'!$J$3:$J$201&amp;'Emission factors'!$K$3:$K$201,0),MATCH(K$6,'Emission factors'!$K$2:$V$2,0)))*I164))</f>
        <v/>
      </c>
      <c r="L164" s="494" t="str">
        <f>IF(OR($E164="",$D164="",$I164="",$J164=""),"",INDEX('Emission factors'!$K$3:$V$201,MATCH('Buildings - Grid Electricity'!$E164,'Emission factors'!$J$3:$J$201,0),MATCH($L$6,'Emission factors'!$K$2:$V$2,0)))</f>
        <v/>
      </c>
      <c r="M164" s="495" t="str" cm="1">
        <f t="array" ref="M164">IF(OR(E164="",I164="",BuildingsElectricityTable[[#This Row],[Units]]=""),"",INDEX('Emission factors'!$K$3:$V$201,MATCH('Buildings - Grid Electricity'!$E164&amp;F164,'Emission factors'!$J$3:$J$201&amp;'Emission factors'!$K$3:$K$201,0),MATCH('Buildings - Grid Electricity'!$M$6,'Emission factors'!$K$2:$V$2,0)))</f>
        <v/>
      </c>
      <c r="N164" s="496" t="str">
        <f>IF(OR(K164="",M164=""),"",SUM(BuildingsElectricityTable[[#This Row],[Direct]:[Indirect WTT]]))</f>
        <v/>
      </c>
      <c r="O164" s="268"/>
      <c r="P164" s="497"/>
      <c r="Q164" s="157" t="str" cm="1">
        <f t="array" ref="Q164">IF(OR($E164="",$I164=""),"",(INDEX('Emission factors'!$K$3:$V$201,MATCH('Buildings - Grid Electricity'!$E164&amp;$F164,'Emission factors'!$J$3:$J$201&amp;'Emission factors'!$K$3:$K$201,0),MATCH('Buildings - Grid Electricity'!Q$6,'Emission factors'!$K$2:$V$2,0)))*$K164)</f>
        <v/>
      </c>
      <c r="R164" s="157" t="str" cm="1">
        <f t="array" ref="R164">IF(OR($E164="",$I164=""),"",(INDEX('Emission factors'!$K$3:$V$201,MATCH('Buildings - Grid Electricity'!$E164&amp;$F164,'Emission factors'!$J$3:$J$201&amp;'Emission factors'!$K$3:$K$201,0),MATCH('Buildings - Grid Electricity'!R$6,'Emission factors'!$K$2:$V$2,0)))*$K164)</f>
        <v/>
      </c>
      <c r="S164" s="157" t="str" cm="1">
        <f t="array" ref="S164">IF(OR($E164="",$I164=""),"",(INDEX('Emission factors'!$K$3:$V$201,MATCH('Buildings - Grid Electricity'!$E164&amp;$F164,'Emission factors'!$J$3:$J$201&amp;'Emission factors'!$K$3:$K$201,0),MATCH('Buildings - Grid Electricity'!S$6,'Emission factors'!$K$2:$V$2,0)))*$K164)</f>
        <v/>
      </c>
      <c r="T164" s="157" t="str" cm="1">
        <f t="array" ref="T164">IF(OR($E164="",$I164=""),"",(INDEX('Emission factors'!$K$3:$V$201,MATCH('Buildings - Grid Electricity'!$E164&amp;$F164,'Emission factors'!$J$3:$J$201&amp;'Emission factors'!$K$3:$K$201,0),MATCH('Buildings - Grid Electricity'!T$6,'Emission factors'!$K$2:$V$2,0)))*$K164)</f>
        <v/>
      </c>
      <c r="U164" s="157" t="str" cm="1">
        <f t="array" ref="U164">IF(OR($E164="",$I164=""),"",(INDEX('Emission factors'!$K$3:$V$201,MATCH('Buildings - Grid Electricity'!$E164&amp;$F164,'Emission factors'!$J$3:$J$201&amp;'Emission factors'!$K$3:$K$201,0),MATCH('Buildings - Grid Electricity'!U$6,'Emission factors'!$K$2:$V$2,0)))*$K164)</f>
        <v/>
      </c>
      <c r="V164" s="269" t="str">
        <f>IF(OR($N164="",BuildingsElectricityTable[[#This Row],[RSD]]=""),"",BuildingsElectricityTable[[#This Row],[Total emissions (kgCO2e)]]*(1+BuildingsElectricityTable[[#This Row],[RSD]]))</f>
        <v/>
      </c>
      <c r="W164" s="270" t="str">
        <f>IF(OR($N164="",BuildingsElectricityTable[[#This Row],[RSD]]=""),"",BuildingsElectricityTable[[#This Row],[Total emissions (kgCO2e)]]*(1-BuildingsElectricityTable[[#This Row],[RSD]]))</f>
        <v/>
      </c>
      <c r="X164" s="271" t="str" cm="1">
        <f t="array" ref="X164">IF(OR($E164="",$I164=""),"",(INDEX('Emission factors'!$K$3:$V$201,MATCH('Buildings - Grid Electricity'!$E164&amp;$F164,'Emission factors'!$J$3:$J$201&amp;'Emission factors'!$K$3:$K$201,0),MATCH('Buildings - Grid Electricity'!X$6,'Emission factors'!$K$2:$V$2,0)))*$K164)</f>
        <v/>
      </c>
      <c r="Y164" s="30"/>
      <c r="Z164" s="1" cm="1">
        <f t="array" ref="Z164">IF(OR(ISERROR(B164:X164)),1,0)</f>
        <v>0</v>
      </c>
      <c r="AA164" s="1">
        <f t="shared" si="13"/>
        <v>0</v>
      </c>
    </row>
    <row r="165" spans="1:27" ht="15" outlineLevel="1" thickBot="1" x14ac:dyDescent="0.4">
      <c r="A165" s="319"/>
      <c r="B165" s="216"/>
      <c r="C165" s="216"/>
      <c r="D165" s="489" t="str">
        <f>IFERROR(INDEX(BuildingInformationTable[Site type],MATCH(BuildingsElectricityTable[[#This Row],[Site name]],BuildingInformationTable[Site name],0)),"")</f>
        <v/>
      </c>
      <c r="E165" s="490" t="str">
        <f t="shared" si="10"/>
        <v/>
      </c>
      <c r="F165" s="490" t="str">
        <f t="shared" si="11"/>
        <v/>
      </c>
      <c r="G165" s="491"/>
      <c r="H165" s="492" t="str">
        <f>IF(G165="","",INDEX(Lists!$BA$4:$BC$31,MATCH(E165,Lists!$AZ$4:$AZ$31,0),MATCH(G165,Lists!$BA$3:$BC$3,0)))</f>
        <v/>
      </c>
      <c r="I165" s="267"/>
      <c r="J165" s="490" t="str">
        <f t="shared" si="12"/>
        <v/>
      </c>
      <c r="K165" s="493" t="str" cm="1">
        <f t="array" ref="K165">IF(OR($E165="",$D165="",$I165="",$J165=""),"",IF(J165=L165,I165,(INDEX('Emission factors'!$K$3:$V$201,MATCH(E165&amp;F165,'Emission factors'!$J$3:$J$201&amp;'Emission factors'!$K$3:$K$201,0),MATCH(K$6,'Emission factors'!$K$2:$V$2,0)))*I165))</f>
        <v/>
      </c>
      <c r="L165" s="494" t="str">
        <f>IF(OR($E165="",$D165="",$I165="",$J165=""),"",INDEX('Emission factors'!$K$3:$V$201,MATCH('Buildings - Grid Electricity'!$E165,'Emission factors'!$J$3:$J$201,0),MATCH($L$6,'Emission factors'!$K$2:$V$2,0)))</f>
        <v/>
      </c>
      <c r="M165" s="495" t="str" cm="1">
        <f t="array" ref="M165">IF(OR(E165="",I165="",BuildingsElectricityTable[[#This Row],[Units]]=""),"",INDEX('Emission factors'!$K$3:$V$201,MATCH('Buildings - Grid Electricity'!$E165&amp;F165,'Emission factors'!$J$3:$J$201&amp;'Emission factors'!$K$3:$K$201,0),MATCH('Buildings - Grid Electricity'!$M$6,'Emission factors'!$K$2:$V$2,0)))</f>
        <v/>
      </c>
      <c r="N165" s="496" t="str">
        <f>IF(OR(K165="",M165=""),"",SUM(BuildingsElectricityTable[[#This Row],[Direct]:[Indirect WTT]]))</f>
        <v/>
      </c>
      <c r="O165" s="268"/>
      <c r="P165" s="497"/>
      <c r="Q165" s="157" t="str" cm="1">
        <f t="array" ref="Q165">IF(OR($E165="",$I165=""),"",(INDEX('Emission factors'!$K$3:$V$201,MATCH('Buildings - Grid Electricity'!$E165&amp;$F165,'Emission factors'!$J$3:$J$201&amp;'Emission factors'!$K$3:$K$201,0),MATCH('Buildings - Grid Electricity'!Q$6,'Emission factors'!$K$2:$V$2,0)))*$K165)</f>
        <v/>
      </c>
      <c r="R165" s="157" t="str" cm="1">
        <f t="array" ref="R165">IF(OR($E165="",$I165=""),"",(INDEX('Emission factors'!$K$3:$V$201,MATCH('Buildings - Grid Electricity'!$E165&amp;$F165,'Emission factors'!$J$3:$J$201&amp;'Emission factors'!$K$3:$K$201,0),MATCH('Buildings - Grid Electricity'!R$6,'Emission factors'!$K$2:$V$2,0)))*$K165)</f>
        <v/>
      </c>
      <c r="S165" s="157" t="str" cm="1">
        <f t="array" ref="S165">IF(OR($E165="",$I165=""),"",(INDEX('Emission factors'!$K$3:$V$201,MATCH('Buildings - Grid Electricity'!$E165&amp;$F165,'Emission factors'!$J$3:$J$201&amp;'Emission factors'!$K$3:$K$201,0),MATCH('Buildings - Grid Electricity'!S$6,'Emission factors'!$K$2:$V$2,0)))*$K165)</f>
        <v/>
      </c>
      <c r="T165" s="157" t="str" cm="1">
        <f t="array" ref="T165">IF(OR($E165="",$I165=""),"",(INDEX('Emission factors'!$K$3:$V$201,MATCH('Buildings - Grid Electricity'!$E165&amp;$F165,'Emission factors'!$J$3:$J$201&amp;'Emission factors'!$K$3:$K$201,0),MATCH('Buildings - Grid Electricity'!T$6,'Emission factors'!$K$2:$V$2,0)))*$K165)</f>
        <v/>
      </c>
      <c r="U165" s="157" t="str" cm="1">
        <f t="array" ref="U165">IF(OR($E165="",$I165=""),"",(INDEX('Emission factors'!$K$3:$V$201,MATCH('Buildings - Grid Electricity'!$E165&amp;$F165,'Emission factors'!$J$3:$J$201&amp;'Emission factors'!$K$3:$K$201,0),MATCH('Buildings - Grid Electricity'!U$6,'Emission factors'!$K$2:$V$2,0)))*$K165)</f>
        <v/>
      </c>
      <c r="V165" s="269" t="str">
        <f>IF(OR($N165="",BuildingsElectricityTable[[#This Row],[RSD]]=""),"",BuildingsElectricityTable[[#This Row],[Total emissions (kgCO2e)]]*(1+BuildingsElectricityTable[[#This Row],[RSD]]))</f>
        <v/>
      </c>
      <c r="W165" s="270" t="str">
        <f>IF(OR($N165="",BuildingsElectricityTable[[#This Row],[RSD]]=""),"",BuildingsElectricityTable[[#This Row],[Total emissions (kgCO2e)]]*(1-BuildingsElectricityTable[[#This Row],[RSD]]))</f>
        <v/>
      </c>
      <c r="X165" s="271" t="str" cm="1">
        <f t="array" ref="X165">IF(OR($E165="",$I165=""),"",(INDEX('Emission factors'!$K$3:$V$201,MATCH('Buildings - Grid Electricity'!$E165&amp;$F165,'Emission factors'!$J$3:$J$201&amp;'Emission factors'!$K$3:$K$201,0),MATCH('Buildings - Grid Electricity'!X$6,'Emission factors'!$K$2:$V$2,0)))*$K165)</f>
        <v/>
      </c>
      <c r="Y165" s="30"/>
      <c r="Z165" s="1" cm="1">
        <f t="array" ref="Z165">IF(OR(ISERROR(B165:X165)),1,0)</f>
        <v>0</v>
      </c>
      <c r="AA165" s="1">
        <f t="shared" si="13"/>
        <v>0</v>
      </c>
    </row>
    <row r="166" spans="1:27" ht="15" outlineLevel="1" thickBot="1" x14ac:dyDescent="0.4">
      <c r="A166" s="319"/>
      <c r="B166" s="216"/>
      <c r="C166" s="216"/>
      <c r="D166" s="489" t="str">
        <f>IFERROR(INDEX(BuildingInformationTable[Site type],MATCH(BuildingsElectricityTable[[#This Row],[Site name]],BuildingInformationTable[Site name],0)),"")</f>
        <v/>
      </c>
      <c r="E166" s="490" t="str">
        <f t="shared" si="10"/>
        <v/>
      </c>
      <c r="F166" s="490" t="str">
        <f t="shared" si="11"/>
        <v/>
      </c>
      <c r="G166" s="491"/>
      <c r="H166" s="492" t="str">
        <f>IF(G166="","",INDEX(Lists!$BA$4:$BC$31,MATCH(E166,Lists!$AZ$4:$AZ$31,0),MATCH(G166,Lists!$BA$3:$BC$3,0)))</f>
        <v/>
      </c>
      <c r="I166" s="267"/>
      <c r="J166" s="490" t="str">
        <f t="shared" si="12"/>
        <v/>
      </c>
      <c r="K166" s="493" t="str" cm="1">
        <f t="array" ref="K166">IF(OR($E166="",$D166="",$I166="",$J166=""),"",IF(J166=L166,I166,(INDEX('Emission factors'!$K$3:$V$201,MATCH(E166&amp;F166,'Emission factors'!$J$3:$J$201&amp;'Emission factors'!$K$3:$K$201,0),MATCH(K$6,'Emission factors'!$K$2:$V$2,0)))*I166))</f>
        <v/>
      </c>
      <c r="L166" s="494" t="str">
        <f>IF(OR($E166="",$D166="",$I166="",$J166=""),"",INDEX('Emission factors'!$K$3:$V$201,MATCH('Buildings - Grid Electricity'!$E166,'Emission factors'!$J$3:$J$201,0),MATCH($L$6,'Emission factors'!$K$2:$V$2,0)))</f>
        <v/>
      </c>
      <c r="M166" s="495" t="str" cm="1">
        <f t="array" ref="M166">IF(OR(E166="",I166="",BuildingsElectricityTable[[#This Row],[Units]]=""),"",INDEX('Emission factors'!$K$3:$V$201,MATCH('Buildings - Grid Electricity'!$E166&amp;F166,'Emission factors'!$J$3:$J$201&amp;'Emission factors'!$K$3:$K$201,0),MATCH('Buildings - Grid Electricity'!$M$6,'Emission factors'!$K$2:$V$2,0)))</f>
        <v/>
      </c>
      <c r="N166" s="496" t="str">
        <f>IF(OR(K166="",M166=""),"",SUM(BuildingsElectricityTable[[#This Row],[Direct]:[Indirect WTT]]))</f>
        <v/>
      </c>
      <c r="O166" s="268"/>
      <c r="P166" s="497"/>
      <c r="Q166" s="157" t="str" cm="1">
        <f t="array" ref="Q166">IF(OR($E166="",$I166=""),"",(INDEX('Emission factors'!$K$3:$V$201,MATCH('Buildings - Grid Electricity'!$E166&amp;$F166,'Emission factors'!$J$3:$J$201&amp;'Emission factors'!$K$3:$K$201,0),MATCH('Buildings - Grid Electricity'!Q$6,'Emission factors'!$K$2:$V$2,0)))*$K166)</f>
        <v/>
      </c>
      <c r="R166" s="157" t="str" cm="1">
        <f t="array" ref="R166">IF(OR($E166="",$I166=""),"",(INDEX('Emission factors'!$K$3:$V$201,MATCH('Buildings - Grid Electricity'!$E166&amp;$F166,'Emission factors'!$J$3:$J$201&amp;'Emission factors'!$K$3:$K$201,0),MATCH('Buildings - Grid Electricity'!R$6,'Emission factors'!$K$2:$V$2,0)))*$K166)</f>
        <v/>
      </c>
      <c r="S166" s="157" t="str" cm="1">
        <f t="array" ref="S166">IF(OR($E166="",$I166=""),"",(INDEX('Emission factors'!$K$3:$V$201,MATCH('Buildings - Grid Electricity'!$E166&amp;$F166,'Emission factors'!$J$3:$J$201&amp;'Emission factors'!$K$3:$K$201,0),MATCH('Buildings - Grid Electricity'!S$6,'Emission factors'!$K$2:$V$2,0)))*$K166)</f>
        <v/>
      </c>
      <c r="T166" s="157" t="str" cm="1">
        <f t="array" ref="T166">IF(OR($E166="",$I166=""),"",(INDEX('Emission factors'!$K$3:$V$201,MATCH('Buildings - Grid Electricity'!$E166&amp;$F166,'Emission factors'!$J$3:$J$201&amp;'Emission factors'!$K$3:$K$201,0),MATCH('Buildings - Grid Electricity'!T$6,'Emission factors'!$K$2:$V$2,0)))*$K166)</f>
        <v/>
      </c>
      <c r="U166" s="157" t="str" cm="1">
        <f t="array" ref="U166">IF(OR($E166="",$I166=""),"",(INDEX('Emission factors'!$K$3:$V$201,MATCH('Buildings - Grid Electricity'!$E166&amp;$F166,'Emission factors'!$J$3:$J$201&amp;'Emission factors'!$K$3:$K$201,0),MATCH('Buildings - Grid Electricity'!U$6,'Emission factors'!$K$2:$V$2,0)))*$K166)</f>
        <v/>
      </c>
      <c r="V166" s="269" t="str">
        <f>IF(OR($N166="",BuildingsElectricityTable[[#This Row],[RSD]]=""),"",BuildingsElectricityTable[[#This Row],[Total emissions (kgCO2e)]]*(1+BuildingsElectricityTable[[#This Row],[RSD]]))</f>
        <v/>
      </c>
      <c r="W166" s="270" t="str">
        <f>IF(OR($N166="",BuildingsElectricityTable[[#This Row],[RSD]]=""),"",BuildingsElectricityTable[[#This Row],[Total emissions (kgCO2e)]]*(1-BuildingsElectricityTable[[#This Row],[RSD]]))</f>
        <v/>
      </c>
      <c r="X166" s="271" t="str" cm="1">
        <f t="array" ref="X166">IF(OR($E166="",$I166=""),"",(INDEX('Emission factors'!$K$3:$V$201,MATCH('Buildings - Grid Electricity'!$E166&amp;$F166,'Emission factors'!$J$3:$J$201&amp;'Emission factors'!$K$3:$K$201,0),MATCH('Buildings - Grid Electricity'!X$6,'Emission factors'!$K$2:$V$2,0)))*$K166)</f>
        <v/>
      </c>
      <c r="Y166" s="30"/>
      <c r="Z166" s="1" cm="1">
        <f t="array" ref="Z166">IF(OR(ISERROR(B166:X166)),1,0)</f>
        <v>0</v>
      </c>
      <c r="AA166" s="1">
        <f t="shared" si="13"/>
        <v>0</v>
      </c>
    </row>
    <row r="167" spans="1:27" ht="15" outlineLevel="1" thickBot="1" x14ac:dyDescent="0.4">
      <c r="A167" s="319"/>
      <c r="B167" s="216"/>
      <c r="C167" s="216"/>
      <c r="D167" s="489" t="str">
        <f>IFERROR(INDEX(BuildingInformationTable[Site type],MATCH(BuildingsElectricityTable[[#This Row],[Site name]],BuildingInformationTable[Site name],0)),"")</f>
        <v/>
      </c>
      <c r="E167" s="490" t="str">
        <f t="shared" si="10"/>
        <v/>
      </c>
      <c r="F167" s="490" t="str">
        <f t="shared" si="11"/>
        <v/>
      </c>
      <c r="G167" s="491"/>
      <c r="H167" s="492" t="str">
        <f>IF(G167="","",INDEX(Lists!$BA$4:$BC$31,MATCH(E167,Lists!$AZ$4:$AZ$31,0),MATCH(G167,Lists!$BA$3:$BC$3,0)))</f>
        <v/>
      </c>
      <c r="I167" s="267"/>
      <c r="J167" s="490" t="str">
        <f t="shared" si="12"/>
        <v/>
      </c>
      <c r="K167" s="493" t="str" cm="1">
        <f t="array" ref="K167">IF(OR($E167="",$D167="",$I167="",$J167=""),"",IF(J167=L167,I167,(INDEX('Emission factors'!$K$3:$V$201,MATCH(E167&amp;F167,'Emission factors'!$J$3:$J$201&amp;'Emission factors'!$K$3:$K$201,0),MATCH(K$6,'Emission factors'!$K$2:$V$2,0)))*I167))</f>
        <v/>
      </c>
      <c r="L167" s="494" t="str">
        <f>IF(OR($E167="",$D167="",$I167="",$J167=""),"",INDEX('Emission factors'!$K$3:$V$201,MATCH('Buildings - Grid Electricity'!$E167,'Emission factors'!$J$3:$J$201,0),MATCH($L$6,'Emission factors'!$K$2:$V$2,0)))</f>
        <v/>
      </c>
      <c r="M167" s="495" t="str" cm="1">
        <f t="array" ref="M167">IF(OR(E167="",I167="",BuildingsElectricityTable[[#This Row],[Units]]=""),"",INDEX('Emission factors'!$K$3:$V$201,MATCH('Buildings - Grid Electricity'!$E167&amp;F167,'Emission factors'!$J$3:$J$201&amp;'Emission factors'!$K$3:$K$201,0),MATCH('Buildings - Grid Electricity'!$M$6,'Emission factors'!$K$2:$V$2,0)))</f>
        <v/>
      </c>
      <c r="N167" s="496" t="str">
        <f>IF(OR(K167="",M167=""),"",SUM(BuildingsElectricityTable[[#This Row],[Direct]:[Indirect WTT]]))</f>
        <v/>
      </c>
      <c r="O167" s="268"/>
      <c r="P167" s="497"/>
      <c r="Q167" s="157" t="str" cm="1">
        <f t="array" ref="Q167">IF(OR($E167="",$I167=""),"",(INDEX('Emission factors'!$K$3:$V$201,MATCH('Buildings - Grid Electricity'!$E167&amp;$F167,'Emission factors'!$J$3:$J$201&amp;'Emission factors'!$K$3:$K$201,0),MATCH('Buildings - Grid Electricity'!Q$6,'Emission factors'!$K$2:$V$2,0)))*$K167)</f>
        <v/>
      </c>
      <c r="R167" s="157" t="str" cm="1">
        <f t="array" ref="R167">IF(OR($E167="",$I167=""),"",(INDEX('Emission factors'!$K$3:$V$201,MATCH('Buildings - Grid Electricity'!$E167&amp;$F167,'Emission factors'!$J$3:$J$201&amp;'Emission factors'!$K$3:$K$201,0),MATCH('Buildings - Grid Electricity'!R$6,'Emission factors'!$K$2:$V$2,0)))*$K167)</f>
        <v/>
      </c>
      <c r="S167" s="157" t="str" cm="1">
        <f t="array" ref="S167">IF(OR($E167="",$I167=""),"",(INDEX('Emission factors'!$K$3:$V$201,MATCH('Buildings - Grid Electricity'!$E167&amp;$F167,'Emission factors'!$J$3:$J$201&amp;'Emission factors'!$K$3:$K$201,0),MATCH('Buildings - Grid Electricity'!S$6,'Emission factors'!$K$2:$V$2,0)))*$K167)</f>
        <v/>
      </c>
      <c r="T167" s="157" t="str" cm="1">
        <f t="array" ref="T167">IF(OR($E167="",$I167=""),"",(INDEX('Emission factors'!$K$3:$V$201,MATCH('Buildings - Grid Electricity'!$E167&amp;$F167,'Emission factors'!$J$3:$J$201&amp;'Emission factors'!$K$3:$K$201,0),MATCH('Buildings - Grid Electricity'!T$6,'Emission factors'!$K$2:$V$2,0)))*$K167)</f>
        <v/>
      </c>
      <c r="U167" s="157" t="str" cm="1">
        <f t="array" ref="U167">IF(OR($E167="",$I167=""),"",(INDEX('Emission factors'!$K$3:$V$201,MATCH('Buildings - Grid Electricity'!$E167&amp;$F167,'Emission factors'!$J$3:$J$201&amp;'Emission factors'!$K$3:$K$201,0),MATCH('Buildings - Grid Electricity'!U$6,'Emission factors'!$K$2:$V$2,0)))*$K167)</f>
        <v/>
      </c>
      <c r="V167" s="269" t="str">
        <f>IF(OR($N167="",BuildingsElectricityTable[[#This Row],[RSD]]=""),"",BuildingsElectricityTable[[#This Row],[Total emissions (kgCO2e)]]*(1+BuildingsElectricityTable[[#This Row],[RSD]]))</f>
        <v/>
      </c>
      <c r="W167" s="270" t="str">
        <f>IF(OR($N167="",BuildingsElectricityTable[[#This Row],[RSD]]=""),"",BuildingsElectricityTable[[#This Row],[Total emissions (kgCO2e)]]*(1-BuildingsElectricityTable[[#This Row],[RSD]]))</f>
        <v/>
      </c>
      <c r="X167" s="271" t="str" cm="1">
        <f t="array" ref="X167">IF(OR($E167="",$I167=""),"",(INDEX('Emission factors'!$K$3:$V$201,MATCH('Buildings - Grid Electricity'!$E167&amp;$F167,'Emission factors'!$J$3:$J$201&amp;'Emission factors'!$K$3:$K$201,0),MATCH('Buildings - Grid Electricity'!X$6,'Emission factors'!$K$2:$V$2,0)))*$K167)</f>
        <v/>
      </c>
      <c r="Y167" s="30"/>
      <c r="Z167" s="1" cm="1">
        <f t="array" ref="Z167">IF(OR(ISERROR(B167:X167)),1,0)</f>
        <v>0</v>
      </c>
      <c r="AA167" s="1">
        <f t="shared" si="13"/>
        <v>0</v>
      </c>
    </row>
    <row r="168" spans="1:27" ht="15" outlineLevel="1" thickBot="1" x14ac:dyDescent="0.4">
      <c r="A168" s="319"/>
      <c r="B168" s="216"/>
      <c r="C168" s="216"/>
      <c r="D168" s="489" t="str">
        <f>IFERROR(INDEX(BuildingInformationTable[Site type],MATCH(BuildingsElectricityTable[[#This Row],[Site name]],BuildingInformationTable[Site name],0)),"")</f>
        <v/>
      </c>
      <c r="E168" s="490" t="str">
        <f t="shared" si="10"/>
        <v/>
      </c>
      <c r="F168" s="490" t="str">
        <f t="shared" si="11"/>
        <v/>
      </c>
      <c r="G168" s="491"/>
      <c r="H168" s="492" t="str">
        <f>IF(G168="","",INDEX(Lists!$BA$4:$BC$31,MATCH(E168,Lists!$AZ$4:$AZ$31,0),MATCH(G168,Lists!$BA$3:$BC$3,0)))</f>
        <v/>
      </c>
      <c r="I168" s="267"/>
      <c r="J168" s="490" t="str">
        <f t="shared" si="12"/>
        <v/>
      </c>
      <c r="K168" s="493" t="str" cm="1">
        <f t="array" ref="K168">IF(OR($E168="",$D168="",$I168="",$J168=""),"",IF(J168=L168,I168,(INDEX('Emission factors'!$K$3:$V$201,MATCH(E168&amp;F168,'Emission factors'!$J$3:$J$201&amp;'Emission factors'!$K$3:$K$201,0),MATCH(K$6,'Emission factors'!$K$2:$V$2,0)))*I168))</f>
        <v/>
      </c>
      <c r="L168" s="494" t="str">
        <f>IF(OR($E168="",$D168="",$I168="",$J168=""),"",INDEX('Emission factors'!$K$3:$V$201,MATCH('Buildings - Grid Electricity'!$E168,'Emission factors'!$J$3:$J$201,0),MATCH($L$6,'Emission factors'!$K$2:$V$2,0)))</f>
        <v/>
      </c>
      <c r="M168" s="495" t="str" cm="1">
        <f t="array" ref="M168">IF(OR(E168="",I168="",BuildingsElectricityTable[[#This Row],[Units]]=""),"",INDEX('Emission factors'!$K$3:$V$201,MATCH('Buildings - Grid Electricity'!$E168&amp;F168,'Emission factors'!$J$3:$J$201&amp;'Emission factors'!$K$3:$K$201,0),MATCH('Buildings - Grid Electricity'!$M$6,'Emission factors'!$K$2:$V$2,0)))</f>
        <v/>
      </c>
      <c r="N168" s="496" t="str">
        <f>IF(OR(K168="",M168=""),"",SUM(BuildingsElectricityTable[[#This Row],[Direct]:[Indirect WTT]]))</f>
        <v/>
      </c>
      <c r="O168" s="268"/>
      <c r="P168" s="497"/>
      <c r="Q168" s="157" t="str" cm="1">
        <f t="array" ref="Q168">IF(OR($E168="",$I168=""),"",(INDEX('Emission factors'!$K$3:$V$201,MATCH('Buildings - Grid Electricity'!$E168&amp;$F168,'Emission factors'!$J$3:$J$201&amp;'Emission factors'!$K$3:$K$201,0),MATCH('Buildings - Grid Electricity'!Q$6,'Emission factors'!$K$2:$V$2,0)))*$K168)</f>
        <v/>
      </c>
      <c r="R168" s="157" t="str" cm="1">
        <f t="array" ref="R168">IF(OR($E168="",$I168=""),"",(INDEX('Emission factors'!$K$3:$V$201,MATCH('Buildings - Grid Electricity'!$E168&amp;$F168,'Emission factors'!$J$3:$J$201&amp;'Emission factors'!$K$3:$K$201,0),MATCH('Buildings - Grid Electricity'!R$6,'Emission factors'!$K$2:$V$2,0)))*$K168)</f>
        <v/>
      </c>
      <c r="S168" s="157" t="str" cm="1">
        <f t="array" ref="S168">IF(OR($E168="",$I168=""),"",(INDEX('Emission factors'!$K$3:$V$201,MATCH('Buildings - Grid Electricity'!$E168&amp;$F168,'Emission factors'!$J$3:$J$201&amp;'Emission factors'!$K$3:$K$201,0),MATCH('Buildings - Grid Electricity'!S$6,'Emission factors'!$K$2:$V$2,0)))*$K168)</f>
        <v/>
      </c>
      <c r="T168" s="157" t="str" cm="1">
        <f t="array" ref="T168">IF(OR($E168="",$I168=""),"",(INDEX('Emission factors'!$K$3:$V$201,MATCH('Buildings - Grid Electricity'!$E168&amp;$F168,'Emission factors'!$J$3:$J$201&amp;'Emission factors'!$K$3:$K$201,0),MATCH('Buildings - Grid Electricity'!T$6,'Emission factors'!$K$2:$V$2,0)))*$K168)</f>
        <v/>
      </c>
      <c r="U168" s="157" t="str" cm="1">
        <f t="array" ref="U168">IF(OR($E168="",$I168=""),"",(INDEX('Emission factors'!$K$3:$V$201,MATCH('Buildings - Grid Electricity'!$E168&amp;$F168,'Emission factors'!$J$3:$J$201&amp;'Emission factors'!$K$3:$K$201,0),MATCH('Buildings - Grid Electricity'!U$6,'Emission factors'!$K$2:$V$2,0)))*$K168)</f>
        <v/>
      </c>
      <c r="V168" s="269" t="str">
        <f>IF(OR($N168="",BuildingsElectricityTable[[#This Row],[RSD]]=""),"",BuildingsElectricityTable[[#This Row],[Total emissions (kgCO2e)]]*(1+BuildingsElectricityTable[[#This Row],[RSD]]))</f>
        <v/>
      </c>
      <c r="W168" s="270" t="str">
        <f>IF(OR($N168="",BuildingsElectricityTable[[#This Row],[RSD]]=""),"",BuildingsElectricityTable[[#This Row],[Total emissions (kgCO2e)]]*(1-BuildingsElectricityTable[[#This Row],[RSD]]))</f>
        <v/>
      </c>
      <c r="X168" s="271" t="str" cm="1">
        <f t="array" ref="X168">IF(OR($E168="",$I168=""),"",(INDEX('Emission factors'!$K$3:$V$201,MATCH('Buildings - Grid Electricity'!$E168&amp;$F168,'Emission factors'!$J$3:$J$201&amp;'Emission factors'!$K$3:$K$201,0),MATCH('Buildings - Grid Electricity'!X$6,'Emission factors'!$K$2:$V$2,0)))*$K168)</f>
        <v/>
      </c>
      <c r="Y168" s="30"/>
      <c r="Z168" s="1" cm="1">
        <f t="array" ref="Z168">IF(OR(ISERROR(B168:X168)),1,0)</f>
        <v>0</v>
      </c>
      <c r="AA168" s="1">
        <f t="shared" si="13"/>
        <v>0</v>
      </c>
    </row>
    <row r="169" spans="1:27" ht="15" outlineLevel="1" thickBot="1" x14ac:dyDescent="0.4">
      <c r="A169" s="319"/>
      <c r="B169" s="216"/>
      <c r="C169" s="216"/>
      <c r="D169" s="489" t="str">
        <f>IFERROR(INDEX(BuildingInformationTable[Site type],MATCH(BuildingsElectricityTable[[#This Row],[Site name]],BuildingInformationTable[Site name],0)),"")</f>
        <v/>
      </c>
      <c r="E169" s="490" t="str">
        <f t="shared" si="10"/>
        <v/>
      </c>
      <c r="F169" s="490" t="str">
        <f t="shared" si="11"/>
        <v/>
      </c>
      <c r="G169" s="491"/>
      <c r="H169" s="492" t="str">
        <f>IF(G169="","",INDEX(Lists!$BA$4:$BC$31,MATCH(E169,Lists!$AZ$4:$AZ$31,0),MATCH(G169,Lists!$BA$3:$BC$3,0)))</f>
        <v/>
      </c>
      <c r="I169" s="267"/>
      <c r="J169" s="490" t="str">
        <f t="shared" si="12"/>
        <v/>
      </c>
      <c r="K169" s="493" t="str" cm="1">
        <f t="array" ref="K169">IF(OR($E169="",$D169="",$I169="",$J169=""),"",IF(J169=L169,I169,(INDEX('Emission factors'!$K$3:$V$201,MATCH(E169&amp;F169,'Emission factors'!$J$3:$J$201&amp;'Emission factors'!$K$3:$K$201,0),MATCH(K$6,'Emission factors'!$K$2:$V$2,0)))*I169))</f>
        <v/>
      </c>
      <c r="L169" s="494" t="str">
        <f>IF(OR($E169="",$D169="",$I169="",$J169=""),"",INDEX('Emission factors'!$K$3:$V$201,MATCH('Buildings - Grid Electricity'!$E169,'Emission factors'!$J$3:$J$201,0),MATCH($L$6,'Emission factors'!$K$2:$V$2,0)))</f>
        <v/>
      </c>
      <c r="M169" s="495" t="str" cm="1">
        <f t="array" ref="M169">IF(OR(E169="",I169="",BuildingsElectricityTable[[#This Row],[Units]]=""),"",INDEX('Emission factors'!$K$3:$V$201,MATCH('Buildings - Grid Electricity'!$E169&amp;F169,'Emission factors'!$J$3:$J$201&amp;'Emission factors'!$K$3:$K$201,0),MATCH('Buildings - Grid Electricity'!$M$6,'Emission factors'!$K$2:$V$2,0)))</f>
        <v/>
      </c>
      <c r="N169" s="496" t="str">
        <f>IF(OR(K169="",M169=""),"",SUM(BuildingsElectricityTable[[#This Row],[Direct]:[Indirect WTT]]))</f>
        <v/>
      </c>
      <c r="O169" s="268"/>
      <c r="P169" s="497"/>
      <c r="Q169" s="157" t="str" cm="1">
        <f t="array" ref="Q169">IF(OR($E169="",$I169=""),"",(INDEX('Emission factors'!$K$3:$V$201,MATCH('Buildings - Grid Electricity'!$E169&amp;$F169,'Emission factors'!$J$3:$J$201&amp;'Emission factors'!$K$3:$K$201,0),MATCH('Buildings - Grid Electricity'!Q$6,'Emission factors'!$K$2:$V$2,0)))*$K169)</f>
        <v/>
      </c>
      <c r="R169" s="157" t="str" cm="1">
        <f t="array" ref="R169">IF(OR($E169="",$I169=""),"",(INDEX('Emission factors'!$K$3:$V$201,MATCH('Buildings - Grid Electricity'!$E169&amp;$F169,'Emission factors'!$J$3:$J$201&amp;'Emission factors'!$K$3:$K$201,0),MATCH('Buildings - Grid Electricity'!R$6,'Emission factors'!$K$2:$V$2,0)))*$K169)</f>
        <v/>
      </c>
      <c r="S169" s="157" t="str" cm="1">
        <f t="array" ref="S169">IF(OR($E169="",$I169=""),"",(INDEX('Emission factors'!$K$3:$V$201,MATCH('Buildings - Grid Electricity'!$E169&amp;$F169,'Emission factors'!$J$3:$J$201&amp;'Emission factors'!$K$3:$K$201,0),MATCH('Buildings - Grid Electricity'!S$6,'Emission factors'!$K$2:$V$2,0)))*$K169)</f>
        <v/>
      </c>
      <c r="T169" s="157" t="str" cm="1">
        <f t="array" ref="T169">IF(OR($E169="",$I169=""),"",(INDEX('Emission factors'!$K$3:$V$201,MATCH('Buildings - Grid Electricity'!$E169&amp;$F169,'Emission factors'!$J$3:$J$201&amp;'Emission factors'!$K$3:$K$201,0),MATCH('Buildings - Grid Electricity'!T$6,'Emission factors'!$K$2:$V$2,0)))*$K169)</f>
        <v/>
      </c>
      <c r="U169" s="157" t="str" cm="1">
        <f t="array" ref="U169">IF(OR($E169="",$I169=""),"",(INDEX('Emission factors'!$K$3:$V$201,MATCH('Buildings - Grid Electricity'!$E169&amp;$F169,'Emission factors'!$J$3:$J$201&amp;'Emission factors'!$K$3:$K$201,0),MATCH('Buildings - Grid Electricity'!U$6,'Emission factors'!$K$2:$V$2,0)))*$K169)</f>
        <v/>
      </c>
      <c r="V169" s="269" t="str">
        <f>IF(OR($N169="",BuildingsElectricityTable[[#This Row],[RSD]]=""),"",BuildingsElectricityTable[[#This Row],[Total emissions (kgCO2e)]]*(1+BuildingsElectricityTable[[#This Row],[RSD]]))</f>
        <v/>
      </c>
      <c r="W169" s="270" t="str">
        <f>IF(OR($N169="",BuildingsElectricityTable[[#This Row],[RSD]]=""),"",BuildingsElectricityTable[[#This Row],[Total emissions (kgCO2e)]]*(1-BuildingsElectricityTable[[#This Row],[RSD]]))</f>
        <v/>
      </c>
      <c r="X169" s="271" t="str" cm="1">
        <f t="array" ref="X169">IF(OR($E169="",$I169=""),"",(INDEX('Emission factors'!$K$3:$V$201,MATCH('Buildings - Grid Electricity'!$E169&amp;$F169,'Emission factors'!$J$3:$J$201&amp;'Emission factors'!$K$3:$K$201,0),MATCH('Buildings - Grid Electricity'!X$6,'Emission factors'!$K$2:$V$2,0)))*$K169)</f>
        <v/>
      </c>
      <c r="Y169" s="30"/>
      <c r="Z169" s="1" cm="1">
        <f t="array" ref="Z169">IF(OR(ISERROR(B169:X169)),1,0)</f>
        <v>0</v>
      </c>
      <c r="AA169" s="1">
        <f t="shared" si="13"/>
        <v>0</v>
      </c>
    </row>
    <row r="170" spans="1:27" ht="15" outlineLevel="1" thickBot="1" x14ac:dyDescent="0.4">
      <c r="A170" s="319"/>
      <c r="B170" s="216"/>
      <c r="C170" s="216"/>
      <c r="D170" s="489" t="str">
        <f>IFERROR(INDEX(BuildingInformationTable[Site type],MATCH(BuildingsElectricityTable[[#This Row],[Site name]],BuildingInformationTable[Site name],0)),"")</f>
        <v/>
      </c>
      <c r="E170" s="490" t="str">
        <f t="shared" si="10"/>
        <v/>
      </c>
      <c r="F170" s="490" t="str">
        <f t="shared" si="11"/>
        <v/>
      </c>
      <c r="G170" s="491"/>
      <c r="H170" s="492" t="str">
        <f>IF(G170="","",INDEX(Lists!$BA$4:$BC$31,MATCH(E170,Lists!$AZ$4:$AZ$31,0),MATCH(G170,Lists!$BA$3:$BC$3,0)))</f>
        <v/>
      </c>
      <c r="I170" s="267"/>
      <c r="J170" s="490" t="str">
        <f t="shared" si="12"/>
        <v/>
      </c>
      <c r="K170" s="493" t="str" cm="1">
        <f t="array" ref="K170">IF(OR($E170="",$D170="",$I170="",$J170=""),"",IF(J170=L170,I170,(INDEX('Emission factors'!$K$3:$V$201,MATCH(E170&amp;F170,'Emission factors'!$J$3:$J$201&amp;'Emission factors'!$K$3:$K$201,0),MATCH(K$6,'Emission factors'!$K$2:$V$2,0)))*I170))</f>
        <v/>
      </c>
      <c r="L170" s="494" t="str">
        <f>IF(OR($E170="",$D170="",$I170="",$J170=""),"",INDEX('Emission factors'!$K$3:$V$201,MATCH('Buildings - Grid Electricity'!$E170,'Emission factors'!$J$3:$J$201,0),MATCH($L$6,'Emission factors'!$K$2:$V$2,0)))</f>
        <v/>
      </c>
      <c r="M170" s="495" t="str" cm="1">
        <f t="array" ref="M170">IF(OR(E170="",I170="",BuildingsElectricityTable[[#This Row],[Units]]=""),"",INDEX('Emission factors'!$K$3:$V$201,MATCH('Buildings - Grid Electricity'!$E170&amp;F170,'Emission factors'!$J$3:$J$201&amp;'Emission factors'!$K$3:$K$201,0),MATCH('Buildings - Grid Electricity'!$M$6,'Emission factors'!$K$2:$V$2,0)))</f>
        <v/>
      </c>
      <c r="N170" s="496" t="str">
        <f>IF(OR(K170="",M170=""),"",SUM(BuildingsElectricityTable[[#This Row],[Direct]:[Indirect WTT]]))</f>
        <v/>
      </c>
      <c r="O170" s="268"/>
      <c r="P170" s="497"/>
      <c r="Q170" s="157" t="str" cm="1">
        <f t="array" ref="Q170">IF(OR($E170="",$I170=""),"",(INDEX('Emission factors'!$K$3:$V$201,MATCH('Buildings - Grid Electricity'!$E170&amp;$F170,'Emission factors'!$J$3:$J$201&amp;'Emission factors'!$K$3:$K$201,0),MATCH('Buildings - Grid Electricity'!Q$6,'Emission factors'!$K$2:$V$2,0)))*$K170)</f>
        <v/>
      </c>
      <c r="R170" s="157" t="str" cm="1">
        <f t="array" ref="R170">IF(OR($E170="",$I170=""),"",(INDEX('Emission factors'!$K$3:$V$201,MATCH('Buildings - Grid Electricity'!$E170&amp;$F170,'Emission factors'!$J$3:$J$201&amp;'Emission factors'!$K$3:$K$201,0),MATCH('Buildings - Grid Electricity'!R$6,'Emission factors'!$K$2:$V$2,0)))*$K170)</f>
        <v/>
      </c>
      <c r="S170" s="157" t="str" cm="1">
        <f t="array" ref="S170">IF(OR($E170="",$I170=""),"",(INDEX('Emission factors'!$K$3:$V$201,MATCH('Buildings - Grid Electricity'!$E170&amp;$F170,'Emission factors'!$J$3:$J$201&amp;'Emission factors'!$K$3:$K$201,0),MATCH('Buildings - Grid Electricity'!S$6,'Emission factors'!$K$2:$V$2,0)))*$K170)</f>
        <v/>
      </c>
      <c r="T170" s="157" t="str" cm="1">
        <f t="array" ref="T170">IF(OR($E170="",$I170=""),"",(INDEX('Emission factors'!$K$3:$V$201,MATCH('Buildings - Grid Electricity'!$E170&amp;$F170,'Emission factors'!$J$3:$J$201&amp;'Emission factors'!$K$3:$K$201,0),MATCH('Buildings - Grid Electricity'!T$6,'Emission factors'!$K$2:$V$2,0)))*$K170)</f>
        <v/>
      </c>
      <c r="U170" s="157" t="str" cm="1">
        <f t="array" ref="U170">IF(OR($E170="",$I170=""),"",(INDEX('Emission factors'!$K$3:$V$201,MATCH('Buildings - Grid Electricity'!$E170&amp;$F170,'Emission factors'!$J$3:$J$201&amp;'Emission factors'!$K$3:$K$201,0),MATCH('Buildings - Grid Electricity'!U$6,'Emission factors'!$K$2:$V$2,0)))*$K170)</f>
        <v/>
      </c>
      <c r="V170" s="269" t="str">
        <f>IF(OR($N170="",BuildingsElectricityTable[[#This Row],[RSD]]=""),"",BuildingsElectricityTable[[#This Row],[Total emissions (kgCO2e)]]*(1+BuildingsElectricityTable[[#This Row],[RSD]]))</f>
        <v/>
      </c>
      <c r="W170" s="270" t="str">
        <f>IF(OR($N170="",BuildingsElectricityTable[[#This Row],[RSD]]=""),"",BuildingsElectricityTable[[#This Row],[Total emissions (kgCO2e)]]*(1-BuildingsElectricityTable[[#This Row],[RSD]]))</f>
        <v/>
      </c>
      <c r="X170" s="271" t="str" cm="1">
        <f t="array" ref="X170">IF(OR($E170="",$I170=""),"",(INDEX('Emission factors'!$K$3:$V$201,MATCH('Buildings - Grid Electricity'!$E170&amp;$F170,'Emission factors'!$J$3:$J$201&amp;'Emission factors'!$K$3:$K$201,0),MATCH('Buildings - Grid Electricity'!X$6,'Emission factors'!$K$2:$V$2,0)))*$K170)</f>
        <v/>
      </c>
      <c r="Y170" s="30"/>
      <c r="Z170" s="1" cm="1">
        <f t="array" ref="Z170">IF(OR(ISERROR(B170:X170)),1,0)</f>
        <v>0</v>
      </c>
      <c r="AA170" s="1">
        <f t="shared" si="13"/>
        <v>0</v>
      </c>
    </row>
    <row r="171" spans="1:27" ht="15" outlineLevel="1" thickBot="1" x14ac:dyDescent="0.4">
      <c r="A171" s="319"/>
      <c r="B171" s="216"/>
      <c r="C171" s="216"/>
      <c r="D171" s="489" t="str">
        <f>IFERROR(INDEX(BuildingInformationTable[Site type],MATCH(BuildingsElectricityTable[[#This Row],[Site name]],BuildingInformationTable[Site name],0)),"")</f>
        <v/>
      </c>
      <c r="E171" s="490" t="str">
        <f t="shared" si="10"/>
        <v/>
      </c>
      <c r="F171" s="490" t="str">
        <f t="shared" si="11"/>
        <v/>
      </c>
      <c r="G171" s="491"/>
      <c r="H171" s="492" t="str">
        <f>IF(G171="","",INDEX(Lists!$BA$4:$BC$31,MATCH(E171,Lists!$AZ$4:$AZ$31,0),MATCH(G171,Lists!$BA$3:$BC$3,0)))</f>
        <v/>
      </c>
      <c r="I171" s="267"/>
      <c r="J171" s="490" t="str">
        <f t="shared" si="12"/>
        <v/>
      </c>
      <c r="K171" s="493" t="str" cm="1">
        <f t="array" ref="K171">IF(OR($E171="",$D171="",$I171="",$J171=""),"",IF(J171=L171,I171,(INDEX('Emission factors'!$K$3:$V$201,MATCH(E171&amp;F171,'Emission factors'!$J$3:$J$201&amp;'Emission factors'!$K$3:$K$201,0),MATCH(K$6,'Emission factors'!$K$2:$V$2,0)))*I171))</f>
        <v/>
      </c>
      <c r="L171" s="494" t="str">
        <f>IF(OR($E171="",$D171="",$I171="",$J171=""),"",INDEX('Emission factors'!$K$3:$V$201,MATCH('Buildings - Grid Electricity'!$E171,'Emission factors'!$J$3:$J$201,0),MATCH($L$6,'Emission factors'!$K$2:$V$2,0)))</f>
        <v/>
      </c>
      <c r="M171" s="495" t="str" cm="1">
        <f t="array" ref="M171">IF(OR(E171="",I171="",BuildingsElectricityTable[[#This Row],[Units]]=""),"",INDEX('Emission factors'!$K$3:$V$201,MATCH('Buildings - Grid Electricity'!$E171&amp;F171,'Emission factors'!$J$3:$J$201&amp;'Emission factors'!$K$3:$K$201,0),MATCH('Buildings - Grid Electricity'!$M$6,'Emission factors'!$K$2:$V$2,0)))</f>
        <v/>
      </c>
      <c r="N171" s="496" t="str">
        <f>IF(OR(K171="",M171=""),"",SUM(BuildingsElectricityTable[[#This Row],[Direct]:[Indirect WTT]]))</f>
        <v/>
      </c>
      <c r="O171" s="268"/>
      <c r="P171" s="497"/>
      <c r="Q171" s="157" t="str" cm="1">
        <f t="array" ref="Q171">IF(OR($E171="",$I171=""),"",(INDEX('Emission factors'!$K$3:$V$201,MATCH('Buildings - Grid Electricity'!$E171&amp;$F171,'Emission factors'!$J$3:$J$201&amp;'Emission factors'!$K$3:$K$201,0),MATCH('Buildings - Grid Electricity'!Q$6,'Emission factors'!$K$2:$V$2,0)))*$K171)</f>
        <v/>
      </c>
      <c r="R171" s="157" t="str" cm="1">
        <f t="array" ref="R171">IF(OR($E171="",$I171=""),"",(INDEX('Emission factors'!$K$3:$V$201,MATCH('Buildings - Grid Electricity'!$E171&amp;$F171,'Emission factors'!$J$3:$J$201&amp;'Emission factors'!$K$3:$K$201,0),MATCH('Buildings - Grid Electricity'!R$6,'Emission factors'!$K$2:$V$2,0)))*$K171)</f>
        <v/>
      </c>
      <c r="S171" s="157" t="str" cm="1">
        <f t="array" ref="S171">IF(OR($E171="",$I171=""),"",(INDEX('Emission factors'!$K$3:$V$201,MATCH('Buildings - Grid Electricity'!$E171&amp;$F171,'Emission factors'!$J$3:$J$201&amp;'Emission factors'!$K$3:$K$201,0),MATCH('Buildings - Grid Electricity'!S$6,'Emission factors'!$K$2:$V$2,0)))*$K171)</f>
        <v/>
      </c>
      <c r="T171" s="157" t="str" cm="1">
        <f t="array" ref="T171">IF(OR($E171="",$I171=""),"",(INDEX('Emission factors'!$K$3:$V$201,MATCH('Buildings - Grid Electricity'!$E171&amp;$F171,'Emission factors'!$J$3:$J$201&amp;'Emission factors'!$K$3:$K$201,0),MATCH('Buildings - Grid Electricity'!T$6,'Emission factors'!$K$2:$V$2,0)))*$K171)</f>
        <v/>
      </c>
      <c r="U171" s="157" t="str" cm="1">
        <f t="array" ref="U171">IF(OR($E171="",$I171=""),"",(INDEX('Emission factors'!$K$3:$V$201,MATCH('Buildings - Grid Electricity'!$E171&amp;$F171,'Emission factors'!$J$3:$J$201&amp;'Emission factors'!$K$3:$K$201,0),MATCH('Buildings - Grid Electricity'!U$6,'Emission factors'!$K$2:$V$2,0)))*$K171)</f>
        <v/>
      </c>
      <c r="V171" s="269" t="str">
        <f>IF(OR($N171="",BuildingsElectricityTable[[#This Row],[RSD]]=""),"",BuildingsElectricityTable[[#This Row],[Total emissions (kgCO2e)]]*(1+BuildingsElectricityTable[[#This Row],[RSD]]))</f>
        <v/>
      </c>
      <c r="W171" s="270" t="str">
        <f>IF(OR($N171="",BuildingsElectricityTable[[#This Row],[RSD]]=""),"",BuildingsElectricityTable[[#This Row],[Total emissions (kgCO2e)]]*(1-BuildingsElectricityTable[[#This Row],[RSD]]))</f>
        <v/>
      </c>
      <c r="X171" s="271" t="str" cm="1">
        <f t="array" ref="X171">IF(OR($E171="",$I171=""),"",(INDEX('Emission factors'!$K$3:$V$201,MATCH('Buildings - Grid Electricity'!$E171&amp;$F171,'Emission factors'!$J$3:$J$201&amp;'Emission factors'!$K$3:$K$201,0),MATCH('Buildings - Grid Electricity'!X$6,'Emission factors'!$K$2:$V$2,0)))*$K171)</f>
        <v/>
      </c>
      <c r="Y171" s="30"/>
      <c r="Z171" s="1" cm="1">
        <f t="array" ref="Z171">IF(OR(ISERROR(B171:X171)),1,0)</f>
        <v>0</v>
      </c>
      <c r="AA171" s="1">
        <f t="shared" si="13"/>
        <v>0</v>
      </c>
    </row>
    <row r="172" spans="1:27" ht="15" outlineLevel="1" thickBot="1" x14ac:dyDescent="0.4">
      <c r="A172" s="319"/>
      <c r="B172" s="216"/>
      <c r="C172" s="216"/>
      <c r="D172" s="489" t="str">
        <f>IFERROR(INDEX(BuildingInformationTable[Site type],MATCH(BuildingsElectricityTable[[#This Row],[Site name]],BuildingInformationTable[Site name],0)),"")</f>
        <v/>
      </c>
      <c r="E172" s="490" t="str">
        <f t="shared" si="10"/>
        <v/>
      </c>
      <c r="F172" s="490" t="str">
        <f t="shared" si="11"/>
        <v/>
      </c>
      <c r="G172" s="491"/>
      <c r="H172" s="492" t="str">
        <f>IF(G172="","",INDEX(Lists!$BA$4:$BC$31,MATCH(E172,Lists!$AZ$4:$AZ$31,0),MATCH(G172,Lists!$BA$3:$BC$3,0)))</f>
        <v/>
      </c>
      <c r="I172" s="267"/>
      <c r="J172" s="490" t="str">
        <f t="shared" si="12"/>
        <v/>
      </c>
      <c r="K172" s="493" t="str" cm="1">
        <f t="array" ref="K172">IF(OR($E172="",$D172="",$I172="",$J172=""),"",IF(J172=L172,I172,(INDEX('Emission factors'!$K$3:$V$201,MATCH(E172&amp;F172,'Emission factors'!$J$3:$J$201&amp;'Emission factors'!$K$3:$K$201,0),MATCH(K$6,'Emission factors'!$K$2:$V$2,0)))*I172))</f>
        <v/>
      </c>
      <c r="L172" s="494" t="str">
        <f>IF(OR($E172="",$D172="",$I172="",$J172=""),"",INDEX('Emission factors'!$K$3:$V$201,MATCH('Buildings - Grid Electricity'!$E172,'Emission factors'!$J$3:$J$201,0),MATCH($L$6,'Emission factors'!$K$2:$V$2,0)))</f>
        <v/>
      </c>
      <c r="M172" s="495" t="str" cm="1">
        <f t="array" ref="M172">IF(OR(E172="",I172="",BuildingsElectricityTable[[#This Row],[Units]]=""),"",INDEX('Emission factors'!$K$3:$V$201,MATCH('Buildings - Grid Electricity'!$E172&amp;F172,'Emission factors'!$J$3:$J$201&amp;'Emission factors'!$K$3:$K$201,0),MATCH('Buildings - Grid Electricity'!$M$6,'Emission factors'!$K$2:$V$2,0)))</f>
        <v/>
      </c>
      <c r="N172" s="496" t="str">
        <f>IF(OR(K172="",M172=""),"",SUM(BuildingsElectricityTable[[#This Row],[Direct]:[Indirect WTT]]))</f>
        <v/>
      </c>
      <c r="O172" s="268"/>
      <c r="P172" s="497"/>
      <c r="Q172" s="157" t="str" cm="1">
        <f t="array" ref="Q172">IF(OR($E172="",$I172=""),"",(INDEX('Emission factors'!$K$3:$V$201,MATCH('Buildings - Grid Electricity'!$E172&amp;$F172,'Emission factors'!$J$3:$J$201&amp;'Emission factors'!$K$3:$K$201,0),MATCH('Buildings - Grid Electricity'!Q$6,'Emission factors'!$K$2:$V$2,0)))*$K172)</f>
        <v/>
      </c>
      <c r="R172" s="157" t="str" cm="1">
        <f t="array" ref="R172">IF(OR($E172="",$I172=""),"",(INDEX('Emission factors'!$K$3:$V$201,MATCH('Buildings - Grid Electricity'!$E172&amp;$F172,'Emission factors'!$J$3:$J$201&amp;'Emission factors'!$K$3:$K$201,0),MATCH('Buildings - Grid Electricity'!R$6,'Emission factors'!$K$2:$V$2,0)))*$K172)</f>
        <v/>
      </c>
      <c r="S172" s="157" t="str" cm="1">
        <f t="array" ref="S172">IF(OR($E172="",$I172=""),"",(INDEX('Emission factors'!$K$3:$V$201,MATCH('Buildings - Grid Electricity'!$E172&amp;$F172,'Emission factors'!$J$3:$J$201&amp;'Emission factors'!$K$3:$K$201,0),MATCH('Buildings - Grid Electricity'!S$6,'Emission factors'!$K$2:$V$2,0)))*$K172)</f>
        <v/>
      </c>
      <c r="T172" s="157" t="str" cm="1">
        <f t="array" ref="T172">IF(OR($E172="",$I172=""),"",(INDEX('Emission factors'!$K$3:$V$201,MATCH('Buildings - Grid Electricity'!$E172&amp;$F172,'Emission factors'!$J$3:$J$201&amp;'Emission factors'!$K$3:$K$201,0),MATCH('Buildings - Grid Electricity'!T$6,'Emission factors'!$K$2:$V$2,0)))*$K172)</f>
        <v/>
      </c>
      <c r="U172" s="157" t="str" cm="1">
        <f t="array" ref="U172">IF(OR($E172="",$I172=""),"",(INDEX('Emission factors'!$K$3:$V$201,MATCH('Buildings - Grid Electricity'!$E172&amp;$F172,'Emission factors'!$J$3:$J$201&amp;'Emission factors'!$K$3:$K$201,0),MATCH('Buildings - Grid Electricity'!U$6,'Emission factors'!$K$2:$V$2,0)))*$K172)</f>
        <v/>
      </c>
      <c r="V172" s="269" t="str">
        <f>IF(OR($N172="",BuildingsElectricityTable[[#This Row],[RSD]]=""),"",BuildingsElectricityTable[[#This Row],[Total emissions (kgCO2e)]]*(1+BuildingsElectricityTable[[#This Row],[RSD]]))</f>
        <v/>
      </c>
      <c r="W172" s="270" t="str">
        <f>IF(OR($N172="",BuildingsElectricityTable[[#This Row],[RSD]]=""),"",BuildingsElectricityTable[[#This Row],[Total emissions (kgCO2e)]]*(1-BuildingsElectricityTable[[#This Row],[RSD]]))</f>
        <v/>
      </c>
      <c r="X172" s="271" t="str" cm="1">
        <f t="array" ref="X172">IF(OR($E172="",$I172=""),"",(INDEX('Emission factors'!$K$3:$V$201,MATCH('Buildings - Grid Electricity'!$E172&amp;$F172,'Emission factors'!$J$3:$J$201&amp;'Emission factors'!$K$3:$K$201,0),MATCH('Buildings - Grid Electricity'!X$6,'Emission factors'!$K$2:$V$2,0)))*$K172)</f>
        <v/>
      </c>
      <c r="Y172" s="30"/>
      <c r="Z172" s="1" cm="1">
        <f t="array" ref="Z172">IF(OR(ISERROR(B172:X172)),1,0)</f>
        <v>0</v>
      </c>
      <c r="AA172" s="1">
        <f t="shared" si="13"/>
        <v>0</v>
      </c>
    </row>
    <row r="173" spans="1:27" ht="15" outlineLevel="1" thickBot="1" x14ac:dyDescent="0.4">
      <c r="A173" s="319"/>
      <c r="B173" s="216"/>
      <c r="C173" s="216"/>
      <c r="D173" s="489" t="str">
        <f>IFERROR(INDEX(BuildingInformationTable[Site type],MATCH(BuildingsElectricityTable[[#This Row],[Site name]],BuildingInformationTable[Site name],0)),"")</f>
        <v/>
      </c>
      <c r="E173" s="490" t="str">
        <f t="shared" si="10"/>
        <v/>
      </c>
      <c r="F173" s="490" t="str">
        <f t="shared" si="11"/>
        <v/>
      </c>
      <c r="G173" s="491"/>
      <c r="H173" s="492" t="str">
        <f>IF(G173="","",INDEX(Lists!$BA$4:$BC$31,MATCH(E173,Lists!$AZ$4:$AZ$31,0),MATCH(G173,Lists!$BA$3:$BC$3,0)))</f>
        <v/>
      </c>
      <c r="I173" s="267"/>
      <c r="J173" s="490" t="str">
        <f t="shared" si="12"/>
        <v/>
      </c>
      <c r="K173" s="493" t="str" cm="1">
        <f t="array" ref="K173">IF(OR($E173="",$D173="",$I173="",$J173=""),"",IF(J173=L173,I173,(INDEX('Emission factors'!$K$3:$V$201,MATCH(E173&amp;F173,'Emission factors'!$J$3:$J$201&amp;'Emission factors'!$K$3:$K$201,0),MATCH(K$6,'Emission factors'!$K$2:$V$2,0)))*I173))</f>
        <v/>
      </c>
      <c r="L173" s="494" t="str">
        <f>IF(OR($E173="",$D173="",$I173="",$J173=""),"",INDEX('Emission factors'!$K$3:$V$201,MATCH('Buildings - Grid Electricity'!$E173,'Emission factors'!$J$3:$J$201,0),MATCH($L$6,'Emission factors'!$K$2:$V$2,0)))</f>
        <v/>
      </c>
      <c r="M173" s="495" t="str" cm="1">
        <f t="array" ref="M173">IF(OR(E173="",I173="",BuildingsElectricityTable[[#This Row],[Units]]=""),"",INDEX('Emission factors'!$K$3:$V$201,MATCH('Buildings - Grid Electricity'!$E173&amp;F173,'Emission factors'!$J$3:$J$201&amp;'Emission factors'!$K$3:$K$201,0),MATCH('Buildings - Grid Electricity'!$M$6,'Emission factors'!$K$2:$V$2,0)))</f>
        <v/>
      </c>
      <c r="N173" s="496" t="str">
        <f>IF(OR(K173="",M173=""),"",SUM(BuildingsElectricityTable[[#This Row],[Direct]:[Indirect WTT]]))</f>
        <v/>
      </c>
      <c r="O173" s="268"/>
      <c r="P173" s="497"/>
      <c r="Q173" s="157" t="str" cm="1">
        <f t="array" ref="Q173">IF(OR($E173="",$I173=""),"",(INDEX('Emission factors'!$K$3:$V$201,MATCH('Buildings - Grid Electricity'!$E173&amp;$F173,'Emission factors'!$J$3:$J$201&amp;'Emission factors'!$K$3:$K$201,0),MATCH('Buildings - Grid Electricity'!Q$6,'Emission factors'!$K$2:$V$2,0)))*$K173)</f>
        <v/>
      </c>
      <c r="R173" s="157" t="str" cm="1">
        <f t="array" ref="R173">IF(OR($E173="",$I173=""),"",(INDEX('Emission factors'!$K$3:$V$201,MATCH('Buildings - Grid Electricity'!$E173&amp;$F173,'Emission factors'!$J$3:$J$201&amp;'Emission factors'!$K$3:$K$201,0),MATCH('Buildings - Grid Electricity'!R$6,'Emission factors'!$K$2:$V$2,0)))*$K173)</f>
        <v/>
      </c>
      <c r="S173" s="157" t="str" cm="1">
        <f t="array" ref="S173">IF(OR($E173="",$I173=""),"",(INDEX('Emission factors'!$K$3:$V$201,MATCH('Buildings - Grid Electricity'!$E173&amp;$F173,'Emission factors'!$J$3:$J$201&amp;'Emission factors'!$K$3:$K$201,0),MATCH('Buildings - Grid Electricity'!S$6,'Emission factors'!$K$2:$V$2,0)))*$K173)</f>
        <v/>
      </c>
      <c r="T173" s="157" t="str" cm="1">
        <f t="array" ref="T173">IF(OR($E173="",$I173=""),"",(INDEX('Emission factors'!$K$3:$V$201,MATCH('Buildings - Grid Electricity'!$E173&amp;$F173,'Emission factors'!$J$3:$J$201&amp;'Emission factors'!$K$3:$K$201,0),MATCH('Buildings - Grid Electricity'!T$6,'Emission factors'!$K$2:$V$2,0)))*$K173)</f>
        <v/>
      </c>
      <c r="U173" s="157" t="str" cm="1">
        <f t="array" ref="U173">IF(OR($E173="",$I173=""),"",(INDEX('Emission factors'!$K$3:$V$201,MATCH('Buildings - Grid Electricity'!$E173&amp;$F173,'Emission factors'!$J$3:$J$201&amp;'Emission factors'!$K$3:$K$201,0),MATCH('Buildings - Grid Electricity'!U$6,'Emission factors'!$K$2:$V$2,0)))*$K173)</f>
        <v/>
      </c>
      <c r="V173" s="269" t="str">
        <f>IF(OR($N173="",BuildingsElectricityTable[[#This Row],[RSD]]=""),"",BuildingsElectricityTable[[#This Row],[Total emissions (kgCO2e)]]*(1+BuildingsElectricityTable[[#This Row],[RSD]]))</f>
        <v/>
      </c>
      <c r="W173" s="270" t="str">
        <f>IF(OR($N173="",BuildingsElectricityTable[[#This Row],[RSD]]=""),"",BuildingsElectricityTable[[#This Row],[Total emissions (kgCO2e)]]*(1-BuildingsElectricityTable[[#This Row],[RSD]]))</f>
        <v/>
      </c>
      <c r="X173" s="271" t="str" cm="1">
        <f t="array" ref="X173">IF(OR($E173="",$I173=""),"",(INDEX('Emission factors'!$K$3:$V$201,MATCH('Buildings - Grid Electricity'!$E173&amp;$F173,'Emission factors'!$J$3:$J$201&amp;'Emission factors'!$K$3:$K$201,0),MATCH('Buildings - Grid Electricity'!X$6,'Emission factors'!$K$2:$V$2,0)))*$K173)</f>
        <v/>
      </c>
      <c r="Y173" s="30"/>
      <c r="Z173" s="1" cm="1">
        <f t="array" ref="Z173">IF(OR(ISERROR(B173:X173)),1,0)</f>
        <v>0</v>
      </c>
      <c r="AA173" s="1">
        <f t="shared" si="13"/>
        <v>0</v>
      </c>
    </row>
    <row r="174" spans="1:27" ht="15" outlineLevel="1" thickBot="1" x14ac:dyDescent="0.4">
      <c r="A174" s="319"/>
      <c r="B174" s="216"/>
      <c r="C174" s="216"/>
      <c r="D174" s="489" t="str">
        <f>IFERROR(INDEX(BuildingInformationTable[Site type],MATCH(BuildingsElectricityTable[[#This Row],[Site name]],BuildingInformationTable[Site name],0)),"")</f>
        <v/>
      </c>
      <c r="E174" s="490" t="str">
        <f t="shared" si="10"/>
        <v/>
      </c>
      <c r="F174" s="490" t="str">
        <f t="shared" si="11"/>
        <v/>
      </c>
      <c r="G174" s="491"/>
      <c r="H174" s="492" t="str">
        <f>IF(G174="","",INDEX(Lists!$BA$4:$BC$31,MATCH(E174,Lists!$AZ$4:$AZ$31,0),MATCH(G174,Lists!$BA$3:$BC$3,0)))</f>
        <v/>
      </c>
      <c r="I174" s="267"/>
      <c r="J174" s="490" t="str">
        <f t="shared" si="12"/>
        <v/>
      </c>
      <c r="K174" s="493" t="str" cm="1">
        <f t="array" ref="K174">IF(OR($E174="",$D174="",$I174="",$J174=""),"",IF(J174=L174,I174,(INDEX('Emission factors'!$K$3:$V$201,MATCH(E174&amp;F174,'Emission factors'!$J$3:$J$201&amp;'Emission factors'!$K$3:$K$201,0),MATCH(K$6,'Emission factors'!$K$2:$V$2,0)))*I174))</f>
        <v/>
      </c>
      <c r="L174" s="494" t="str">
        <f>IF(OR($E174="",$D174="",$I174="",$J174=""),"",INDEX('Emission factors'!$K$3:$V$201,MATCH('Buildings - Grid Electricity'!$E174,'Emission factors'!$J$3:$J$201,0),MATCH($L$6,'Emission factors'!$K$2:$V$2,0)))</f>
        <v/>
      </c>
      <c r="M174" s="495" t="str" cm="1">
        <f t="array" ref="M174">IF(OR(E174="",I174="",BuildingsElectricityTable[[#This Row],[Units]]=""),"",INDEX('Emission factors'!$K$3:$V$201,MATCH('Buildings - Grid Electricity'!$E174&amp;F174,'Emission factors'!$J$3:$J$201&amp;'Emission factors'!$K$3:$K$201,0),MATCH('Buildings - Grid Electricity'!$M$6,'Emission factors'!$K$2:$V$2,0)))</f>
        <v/>
      </c>
      <c r="N174" s="496" t="str">
        <f>IF(OR(K174="",M174=""),"",SUM(BuildingsElectricityTable[[#This Row],[Direct]:[Indirect WTT]]))</f>
        <v/>
      </c>
      <c r="O174" s="268"/>
      <c r="P174" s="497"/>
      <c r="Q174" s="157" t="str" cm="1">
        <f t="array" ref="Q174">IF(OR($E174="",$I174=""),"",(INDEX('Emission factors'!$K$3:$V$201,MATCH('Buildings - Grid Electricity'!$E174&amp;$F174,'Emission factors'!$J$3:$J$201&amp;'Emission factors'!$K$3:$K$201,0),MATCH('Buildings - Grid Electricity'!Q$6,'Emission factors'!$K$2:$V$2,0)))*$K174)</f>
        <v/>
      </c>
      <c r="R174" s="157" t="str" cm="1">
        <f t="array" ref="R174">IF(OR($E174="",$I174=""),"",(INDEX('Emission factors'!$K$3:$V$201,MATCH('Buildings - Grid Electricity'!$E174&amp;$F174,'Emission factors'!$J$3:$J$201&amp;'Emission factors'!$K$3:$K$201,0),MATCH('Buildings - Grid Electricity'!R$6,'Emission factors'!$K$2:$V$2,0)))*$K174)</f>
        <v/>
      </c>
      <c r="S174" s="157" t="str" cm="1">
        <f t="array" ref="S174">IF(OR($E174="",$I174=""),"",(INDEX('Emission factors'!$K$3:$V$201,MATCH('Buildings - Grid Electricity'!$E174&amp;$F174,'Emission factors'!$J$3:$J$201&amp;'Emission factors'!$K$3:$K$201,0),MATCH('Buildings - Grid Electricity'!S$6,'Emission factors'!$K$2:$V$2,0)))*$K174)</f>
        <v/>
      </c>
      <c r="T174" s="157" t="str" cm="1">
        <f t="array" ref="T174">IF(OR($E174="",$I174=""),"",(INDEX('Emission factors'!$K$3:$V$201,MATCH('Buildings - Grid Electricity'!$E174&amp;$F174,'Emission factors'!$J$3:$J$201&amp;'Emission factors'!$K$3:$K$201,0),MATCH('Buildings - Grid Electricity'!T$6,'Emission factors'!$K$2:$V$2,0)))*$K174)</f>
        <v/>
      </c>
      <c r="U174" s="157" t="str" cm="1">
        <f t="array" ref="U174">IF(OR($E174="",$I174=""),"",(INDEX('Emission factors'!$K$3:$V$201,MATCH('Buildings - Grid Electricity'!$E174&amp;$F174,'Emission factors'!$J$3:$J$201&amp;'Emission factors'!$K$3:$K$201,0),MATCH('Buildings - Grid Electricity'!U$6,'Emission factors'!$K$2:$V$2,0)))*$K174)</f>
        <v/>
      </c>
      <c r="V174" s="269" t="str">
        <f>IF(OR($N174="",BuildingsElectricityTable[[#This Row],[RSD]]=""),"",BuildingsElectricityTable[[#This Row],[Total emissions (kgCO2e)]]*(1+BuildingsElectricityTable[[#This Row],[RSD]]))</f>
        <v/>
      </c>
      <c r="W174" s="270" t="str">
        <f>IF(OR($N174="",BuildingsElectricityTable[[#This Row],[RSD]]=""),"",BuildingsElectricityTable[[#This Row],[Total emissions (kgCO2e)]]*(1-BuildingsElectricityTable[[#This Row],[RSD]]))</f>
        <v/>
      </c>
      <c r="X174" s="271" t="str" cm="1">
        <f t="array" ref="X174">IF(OR($E174="",$I174=""),"",(INDEX('Emission factors'!$K$3:$V$201,MATCH('Buildings - Grid Electricity'!$E174&amp;$F174,'Emission factors'!$J$3:$J$201&amp;'Emission factors'!$K$3:$K$201,0),MATCH('Buildings - Grid Electricity'!X$6,'Emission factors'!$K$2:$V$2,0)))*$K174)</f>
        <v/>
      </c>
      <c r="Y174" s="30"/>
      <c r="Z174" s="1" cm="1">
        <f t="array" ref="Z174">IF(OR(ISERROR(B174:X174)),1,0)</f>
        <v>0</v>
      </c>
      <c r="AA174" s="1">
        <f t="shared" si="13"/>
        <v>0</v>
      </c>
    </row>
    <row r="175" spans="1:27" ht="15" outlineLevel="1" thickBot="1" x14ac:dyDescent="0.4">
      <c r="A175" s="319"/>
      <c r="B175" s="216"/>
      <c r="C175" s="216"/>
      <c r="D175" s="489" t="str">
        <f>IFERROR(INDEX(BuildingInformationTable[Site type],MATCH(BuildingsElectricityTable[[#This Row],[Site name]],BuildingInformationTable[Site name],0)),"")</f>
        <v/>
      </c>
      <c r="E175" s="490" t="str">
        <f t="shared" si="10"/>
        <v/>
      </c>
      <c r="F175" s="490" t="str">
        <f t="shared" si="11"/>
        <v/>
      </c>
      <c r="G175" s="491"/>
      <c r="H175" s="492" t="str">
        <f>IF(G175="","",INDEX(Lists!$BA$4:$BC$31,MATCH(E175,Lists!$AZ$4:$AZ$31,0),MATCH(G175,Lists!$BA$3:$BC$3,0)))</f>
        <v/>
      </c>
      <c r="I175" s="267"/>
      <c r="J175" s="490" t="str">
        <f t="shared" si="12"/>
        <v/>
      </c>
      <c r="K175" s="493" t="str" cm="1">
        <f t="array" ref="K175">IF(OR($E175="",$D175="",$I175="",$J175=""),"",IF(J175=L175,I175,(INDEX('Emission factors'!$K$3:$V$201,MATCH(E175&amp;F175,'Emission factors'!$J$3:$J$201&amp;'Emission factors'!$K$3:$K$201,0),MATCH(K$6,'Emission factors'!$K$2:$V$2,0)))*I175))</f>
        <v/>
      </c>
      <c r="L175" s="494" t="str">
        <f>IF(OR($E175="",$D175="",$I175="",$J175=""),"",INDEX('Emission factors'!$K$3:$V$201,MATCH('Buildings - Grid Electricity'!$E175,'Emission factors'!$J$3:$J$201,0),MATCH($L$6,'Emission factors'!$K$2:$V$2,0)))</f>
        <v/>
      </c>
      <c r="M175" s="495" t="str" cm="1">
        <f t="array" ref="M175">IF(OR(E175="",I175="",BuildingsElectricityTable[[#This Row],[Units]]=""),"",INDEX('Emission factors'!$K$3:$V$201,MATCH('Buildings - Grid Electricity'!$E175&amp;F175,'Emission factors'!$J$3:$J$201&amp;'Emission factors'!$K$3:$K$201,0),MATCH('Buildings - Grid Electricity'!$M$6,'Emission factors'!$K$2:$V$2,0)))</f>
        <v/>
      </c>
      <c r="N175" s="496" t="str">
        <f>IF(OR(K175="",M175=""),"",SUM(BuildingsElectricityTable[[#This Row],[Direct]:[Indirect WTT]]))</f>
        <v/>
      </c>
      <c r="O175" s="268"/>
      <c r="P175" s="497"/>
      <c r="Q175" s="157" t="str" cm="1">
        <f t="array" ref="Q175">IF(OR($E175="",$I175=""),"",(INDEX('Emission factors'!$K$3:$V$201,MATCH('Buildings - Grid Electricity'!$E175&amp;$F175,'Emission factors'!$J$3:$J$201&amp;'Emission factors'!$K$3:$K$201,0),MATCH('Buildings - Grid Electricity'!Q$6,'Emission factors'!$K$2:$V$2,0)))*$K175)</f>
        <v/>
      </c>
      <c r="R175" s="157" t="str" cm="1">
        <f t="array" ref="R175">IF(OR($E175="",$I175=""),"",(INDEX('Emission factors'!$K$3:$V$201,MATCH('Buildings - Grid Electricity'!$E175&amp;$F175,'Emission factors'!$J$3:$J$201&amp;'Emission factors'!$K$3:$K$201,0),MATCH('Buildings - Grid Electricity'!R$6,'Emission factors'!$K$2:$V$2,0)))*$K175)</f>
        <v/>
      </c>
      <c r="S175" s="157" t="str" cm="1">
        <f t="array" ref="S175">IF(OR($E175="",$I175=""),"",(INDEX('Emission factors'!$K$3:$V$201,MATCH('Buildings - Grid Electricity'!$E175&amp;$F175,'Emission factors'!$J$3:$J$201&amp;'Emission factors'!$K$3:$K$201,0),MATCH('Buildings - Grid Electricity'!S$6,'Emission factors'!$K$2:$V$2,0)))*$K175)</f>
        <v/>
      </c>
      <c r="T175" s="157" t="str" cm="1">
        <f t="array" ref="T175">IF(OR($E175="",$I175=""),"",(INDEX('Emission factors'!$K$3:$V$201,MATCH('Buildings - Grid Electricity'!$E175&amp;$F175,'Emission factors'!$J$3:$J$201&amp;'Emission factors'!$K$3:$K$201,0),MATCH('Buildings - Grid Electricity'!T$6,'Emission factors'!$K$2:$V$2,0)))*$K175)</f>
        <v/>
      </c>
      <c r="U175" s="157" t="str" cm="1">
        <f t="array" ref="U175">IF(OR($E175="",$I175=""),"",(INDEX('Emission factors'!$K$3:$V$201,MATCH('Buildings - Grid Electricity'!$E175&amp;$F175,'Emission factors'!$J$3:$J$201&amp;'Emission factors'!$K$3:$K$201,0),MATCH('Buildings - Grid Electricity'!U$6,'Emission factors'!$K$2:$V$2,0)))*$K175)</f>
        <v/>
      </c>
      <c r="V175" s="269" t="str">
        <f>IF(OR($N175="",BuildingsElectricityTable[[#This Row],[RSD]]=""),"",BuildingsElectricityTable[[#This Row],[Total emissions (kgCO2e)]]*(1+BuildingsElectricityTable[[#This Row],[RSD]]))</f>
        <v/>
      </c>
      <c r="W175" s="270" t="str">
        <f>IF(OR($N175="",BuildingsElectricityTable[[#This Row],[RSD]]=""),"",BuildingsElectricityTable[[#This Row],[Total emissions (kgCO2e)]]*(1-BuildingsElectricityTable[[#This Row],[RSD]]))</f>
        <v/>
      </c>
      <c r="X175" s="271" t="str" cm="1">
        <f t="array" ref="X175">IF(OR($E175="",$I175=""),"",(INDEX('Emission factors'!$K$3:$V$201,MATCH('Buildings - Grid Electricity'!$E175&amp;$F175,'Emission factors'!$J$3:$J$201&amp;'Emission factors'!$K$3:$K$201,0),MATCH('Buildings - Grid Electricity'!X$6,'Emission factors'!$K$2:$V$2,0)))*$K175)</f>
        <v/>
      </c>
      <c r="Y175" s="30"/>
      <c r="Z175" s="1" cm="1">
        <f t="array" ref="Z175">IF(OR(ISERROR(B175:X175)),1,0)</f>
        <v>0</v>
      </c>
      <c r="AA175" s="1">
        <f t="shared" si="13"/>
        <v>0</v>
      </c>
    </row>
    <row r="176" spans="1:27" ht="15" outlineLevel="1" thickBot="1" x14ac:dyDescent="0.4">
      <c r="A176" s="319"/>
      <c r="B176" s="216"/>
      <c r="C176" s="216"/>
      <c r="D176" s="489" t="str">
        <f>IFERROR(INDEX(BuildingInformationTable[Site type],MATCH(BuildingsElectricityTable[[#This Row],[Site name]],BuildingInformationTable[Site name],0)),"")</f>
        <v/>
      </c>
      <c r="E176" s="490" t="str">
        <f t="shared" si="10"/>
        <v/>
      </c>
      <c r="F176" s="490" t="str">
        <f t="shared" si="11"/>
        <v/>
      </c>
      <c r="G176" s="491"/>
      <c r="H176" s="492" t="str">
        <f>IF(G176="","",INDEX(Lists!$BA$4:$BC$31,MATCH(E176,Lists!$AZ$4:$AZ$31,0),MATCH(G176,Lists!$BA$3:$BC$3,0)))</f>
        <v/>
      </c>
      <c r="I176" s="267"/>
      <c r="J176" s="490" t="str">
        <f t="shared" si="12"/>
        <v/>
      </c>
      <c r="K176" s="493" t="str" cm="1">
        <f t="array" ref="K176">IF(OR($E176="",$D176="",$I176="",$J176=""),"",IF(J176=L176,I176,(INDEX('Emission factors'!$K$3:$V$201,MATCH(E176&amp;F176,'Emission factors'!$J$3:$J$201&amp;'Emission factors'!$K$3:$K$201,0),MATCH(K$6,'Emission factors'!$K$2:$V$2,0)))*I176))</f>
        <v/>
      </c>
      <c r="L176" s="494" t="str">
        <f>IF(OR($E176="",$D176="",$I176="",$J176=""),"",INDEX('Emission factors'!$K$3:$V$201,MATCH('Buildings - Grid Electricity'!$E176,'Emission factors'!$J$3:$J$201,0),MATCH($L$6,'Emission factors'!$K$2:$V$2,0)))</f>
        <v/>
      </c>
      <c r="M176" s="495" t="str" cm="1">
        <f t="array" ref="M176">IF(OR(E176="",I176="",BuildingsElectricityTable[[#This Row],[Units]]=""),"",INDEX('Emission factors'!$K$3:$V$201,MATCH('Buildings - Grid Electricity'!$E176&amp;F176,'Emission factors'!$J$3:$J$201&amp;'Emission factors'!$K$3:$K$201,0),MATCH('Buildings - Grid Electricity'!$M$6,'Emission factors'!$K$2:$V$2,0)))</f>
        <v/>
      </c>
      <c r="N176" s="496" t="str">
        <f>IF(OR(K176="",M176=""),"",SUM(BuildingsElectricityTable[[#This Row],[Direct]:[Indirect WTT]]))</f>
        <v/>
      </c>
      <c r="O176" s="268"/>
      <c r="P176" s="497"/>
      <c r="Q176" s="157" t="str" cm="1">
        <f t="array" ref="Q176">IF(OR($E176="",$I176=""),"",(INDEX('Emission factors'!$K$3:$V$201,MATCH('Buildings - Grid Electricity'!$E176&amp;$F176,'Emission factors'!$J$3:$J$201&amp;'Emission factors'!$K$3:$K$201,0),MATCH('Buildings - Grid Electricity'!Q$6,'Emission factors'!$K$2:$V$2,0)))*$K176)</f>
        <v/>
      </c>
      <c r="R176" s="157" t="str" cm="1">
        <f t="array" ref="R176">IF(OR($E176="",$I176=""),"",(INDEX('Emission factors'!$K$3:$V$201,MATCH('Buildings - Grid Electricity'!$E176&amp;$F176,'Emission factors'!$J$3:$J$201&amp;'Emission factors'!$K$3:$K$201,0),MATCH('Buildings - Grid Electricity'!R$6,'Emission factors'!$K$2:$V$2,0)))*$K176)</f>
        <v/>
      </c>
      <c r="S176" s="157" t="str" cm="1">
        <f t="array" ref="S176">IF(OR($E176="",$I176=""),"",(INDEX('Emission factors'!$K$3:$V$201,MATCH('Buildings - Grid Electricity'!$E176&amp;$F176,'Emission factors'!$J$3:$J$201&amp;'Emission factors'!$K$3:$K$201,0),MATCH('Buildings - Grid Electricity'!S$6,'Emission factors'!$K$2:$V$2,0)))*$K176)</f>
        <v/>
      </c>
      <c r="T176" s="157" t="str" cm="1">
        <f t="array" ref="T176">IF(OR($E176="",$I176=""),"",(INDEX('Emission factors'!$K$3:$V$201,MATCH('Buildings - Grid Electricity'!$E176&amp;$F176,'Emission factors'!$J$3:$J$201&amp;'Emission factors'!$K$3:$K$201,0),MATCH('Buildings - Grid Electricity'!T$6,'Emission factors'!$K$2:$V$2,0)))*$K176)</f>
        <v/>
      </c>
      <c r="U176" s="157" t="str" cm="1">
        <f t="array" ref="U176">IF(OR($E176="",$I176=""),"",(INDEX('Emission factors'!$K$3:$V$201,MATCH('Buildings - Grid Electricity'!$E176&amp;$F176,'Emission factors'!$J$3:$J$201&amp;'Emission factors'!$K$3:$K$201,0),MATCH('Buildings - Grid Electricity'!U$6,'Emission factors'!$K$2:$V$2,0)))*$K176)</f>
        <v/>
      </c>
      <c r="V176" s="269" t="str">
        <f>IF(OR($N176="",BuildingsElectricityTable[[#This Row],[RSD]]=""),"",BuildingsElectricityTable[[#This Row],[Total emissions (kgCO2e)]]*(1+BuildingsElectricityTable[[#This Row],[RSD]]))</f>
        <v/>
      </c>
      <c r="W176" s="270" t="str">
        <f>IF(OR($N176="",BuildingsElectricityTable[[#This Row],[RSD]]=""),"",BuildingsElectricityTable[[#This Row],[Total emissions (kgCO2e)]]*(1-BuildingsElectricityTable[[#This Row],[RSD]]))</f>
        <v/>
      </c>
      <c r="X176" s="271" t="str" cm="1">
        <f t="array" ref="X176">IF(OR($E176="",$I176=""),"",(INDEX('Emission factors'!$K$3:$V$201,MATCH('Buildings - Grid Electricity'!$E176&amp;$F176,'Emission factors'!$J$3:$J$201&amp;'Emission factors'!$K$3:$K$201,0),MATCH('Buildings - Grid Electricity'!X$6,'Emission factors'!$K$2:$V$2,0)))*$K176)</f>
        <v/>
      </c>
      <c r="Y176" s="30"/>
      <c r="Z176" s="1" cm="1">
        <f t="array" ref="Z176">IF(OR(ISERROR(B176:X176)),1,0)</f>
        <v>0</v>
      </c>
      <c r="AA176" s="1">
        <f t="shared" si="13"/>
        <v>0</v>
      </c>
    </row>
    <row r="177" spans="1:27" ht="15" outlineLevel="1" thickBot="1" x14ac:dyDescent="0.4">
      <c r="A177" s="319"/>
      <c r="B177" s="216"/>
      <c r="C177" s="216"/>
      <c r="D177" s="489" t="str">
        <f>IFERROR(INDEX(BuildingInformationTable[Site type],MATCH(BuildingsElectricityTable[[#This Row],[Site name]],BuildingInformationTable[Site name],0)),"")</f>
        <v/>
      </c>
      <c r="E177" s="490" t="str">
        <f t="shared" si="10"/>
        <v/>
      </c>
      <c r="F177" s="490" t="str">
        <f t="shared" si="11"/>
        <v/>
      </c>
      <c r="G177" s="491"/>
      <c r="H177" s="492" t="str">
        <f>IF(G177="","",INDEX(Lists!$BA$4:$BC$31,MATCH(E177,Lists!$AZ$4:$AZ$31,0),MATCH(G177,Lists!$BA$3:$BC$3,0)))</f>
        <v/>
      </c>
      <c r="I177" s="267"/>
      <c r="J177" s="490" t="str">
        <f t="shared" si="12"/>
        <v/>
      </c>
      <c r="K177" s="493" t="str" cm="1">
        <f t="array" ref="K177">IF(OR($E177="",$D177="",$I177="",$J177=""),"",IF(J177=L177,I177,(INDEX('Emission factors'!$K$3:$V$201,MATCH(E177&amp;F177,'Emission factors'!$J$3:$J$201&amp;'Emission factors'!$K$3:$K$201,0),MATCH(K$6,'Emission factors'!$K$2:$V$2,0)))*I177))</f>
        <v/>
      </c>
      <c r="L177" s="494" t="str">
        <f>IF(OR($E177="",$D177="",$I177="",$J177=""),"",INDEX('Emission factors'!$K$3:$V$201,MATCH('Buildings - Grid Electricity'!$E177,'Emission factors'!$J$3:$J$201,0),MATCH($L$6,'Emission factors'!$K$2:$V$2,0)))</f>
        <v/>
      </c>
      <c r="M177" s="495" t="str" cm="1">
        <f t="array" ref="M177">IF(OR(E177="",I177="",BuildingsElectricityTable[[#This Row],[Units]]=""),"",INDEX('Emission factors'!$K$3:$V$201,MATCH('Buildings - Grid Electricity'!$E177&amp;F177,'Emission factors'!$J$3:$J$201&amp;'Emission factors'!$K$3:$K$201,0),MATCH('Buildings - Grid Electricity'!$M$6,'Emission factors'!$K$2:$V$2,0)))</f>
        <v/>
      </c>
      <c r="N177" s="496" t="str">
        <f>IF(OR(K177="",M177=""),"",SUM(BuildingsElectricityTable[[#This Row],[Direct]:[Indirect WTT]]))</f>
        <v/>
      </c>
      <c r="O177" s="268"/>
      <c r="P177" s="497"/>
      <c r="Q177" s="157" t="str" cm="1">
        <f t="array" ref="Q177">IF(OR($E177="",$I177=""),"",(INDEX('Emission factors'!$K$3:$V$201,MATCH('Buildings - Grid Electricity'!$E177&amp;$F177,'Emission factors'!$J$3:$J$201&amp;'Emission factors'!$K$3:$K$201,0),MATCH('Buildings - Grid Electricity'!Q$6,'Emission factors'!$K$2:$V$2,0)))*$K177)</f>
        <v/>
      </c>
      <c r="R177" s="157" t="str" cm="1">
        <f t="array" ref="R177">IF(OR($E177="",$I177=""),"",(INDEX('Emission factors'!$K$3:$V$201,MATCH('Buildings - Grid Electricity'!$E177&amp;$F177,'Emission factors'!$J$3:$J$201&amp;'Emission factors'!$K$3:$K$201,0),MATCH('Buildings - Grid Electricity'!R$6,'Emission factors'!$K$2:$V$2,0)))*$K177)</f>
        <v/>
      </c>
      <c r="S177" s="157" t="str" cm="1">
        <f t="array" ref="S177">IF(OR($E177="",$I177=""),"",(INDEX('Emission factors'!$K$3:$V$201,MATCH('Buildings - Grid Electricity'!$E177&amp;$F177,'Emission factors'!$J$3:$J$201&amp;'Emission factors'!$K$3:$K$201,0),MATCH('Buildings - Grid Electricity'!S$6,'Emission factors'!$K$2:$V$2,0)))*$K177)</f>
        <v/>
      </c>
      <c r="T177" s="157" t="str" cm="1">
        <f t="array" ref="T177">IF(OR($E177="",$I177=""),"",(INDEX('Emission factors'!$K$3:$V$201,MATCH('Buildings - Grid Electricity'!$E177&amp;$F177,'Emission factors'!$J$3:$J$201&amp;'Emission factors'!$K$3:$K$201,0),MATCH('Buildings - Grid Electricity'!T$6,'Emission factors'!$K$2:$V$2,0)))*$K177)</f>
        <v/>
      </c>
      <c r="U177" s="157" t="str" cm="1">
        <f t="array" ref="U177">IF(OR($E177="",$I177=""),"",(INDEX('Emission factors'!$K$3:$V$201,MATCH('Buildings - Grid Electricity'!$E177&amp;$F177,'Emission factors'!$J$3:$J$201&amp;'Emission factors'!$K$3:$K$201,0),MATCH('Buildings - Grid Electricity'!U$6,'Emission factors'!$K$2:$V$2,0)))*$K177)</f>
        <v/>
      </c>
      <c r="V177" s="269" t="str">
        <f>IF(OR($N177="",BuildingsElectricityTable[[#This Row],[RSD]]=""),"",BuildingsElectricityTable[[#This Row],[Total emissions (kgCO2e)]]*(1+BuildingsElectricityTable[[#This Row],[RSD]]))</f>
        <v/>
      </c>
      <c r="W177" s="270" t="str">
        <f>IF(OR($N177="",BuildingsElectricityTable[[#This Row],[RSD]]=""),"",BuildingsElectricityTable[[#This Row],[Total emissions (kgCO2e)]]*(1-BuildingsElectricityTable[[#This Row],[RSD]]))</f>
        <v/>
      </c>
      <c r="X177" s="271" t="str" cm="1">
        <f t="array" ref="X177">IF(OR($E177="",$I177=""),"",(INDEX('Emission factors'!$K$3:$V$201,MATCH('Buildings - Grid Electricity'!$E177&amp;$F177,'Emission factors'!$J$3:$J$201&amp;'Emission factors'!$K$3:$K$201,0),MATCH('Buildings - Grid Electricity'!X$6,'Emission factors'!$K$2:$V$2,0)))*$K177)</f>
        <v/>
      </c>
      <c r="Y177" s="30"/>
      <c r="Z177" s="1" cm="1">
        <f t="array" ref="Z177">IF(OR(ISERROR(B177:X177)),1,0)</f>
        <v>0</v>
      </c>
      <c r="AA177" s="1">
        <f t="shared" si="13"/>
        <v>0</v>
      </c>
    </row>
    <row r="178" spans="1:27" ht="15" outlineLevel="1" thickBot="1" x14ac:dyDescent="0.4">
      <c r="A178" s="319"/>
      <c r="B178" s="216"/>
      <c r="C178" s="216"/>
      <c r="D178" s="489" t="str">
        <f>IFERROR(INDEX(BuildingInformationTable[Site type],MATCH(BuildingsElectricityTable[[#This Row],[Site name]],BuildingInformationTable[Site name],0)),"")</f>
        <v/>
      </c>
      <c r="E178" s="490" t="str">
        <f t="shared" si="10"/>
        <v/>
      </c>
      <c r="F178" s="490" t="str">
        <f t="shared" si="11"/>
        <v/>
      </c>
      <c r="G178" s="491"/>
      <c r="H178" s="492" t="str">
        <f>IF(G178="","",INDEX(Lists!$BA$4:$BC$31,MATCH(E178,Lists!$AZ$4:$AZ$31,0),MATCH(G178,Lists!$BA$3:$BC$3,0)))</f>
        <v/>
      </c>
      <c r="I178" s="267"/>
      <c r="J178" s="490" t="str">
        <f t="shared" si="12"/>
        <v/>
      </c>
      <c r="K178" s="493" t="str" cm="1">
        <f t="array" ref="K178">IF(OR($E178="",$D178="",$I178="",$J178=""),"",IF(J178=L178,I178,(INDEX('Emission factors'!$K$3:$V$201,MATCH(E178&amp;F178,'Emission factors'!$J$3:$J$201&amp;'Emission factors'!$K$3:$K$201,0),MATCH(K$6,'Emission factors'!$K$2:$V$2,0)))*I178))</f>
        <v/>
      </c>
      <c r="L178" s="494" t="str">
        <f>IF(OR($E178="",$D178="",$I178="",$J178=""),"",INDEX('Emission factors'!$K$3:$V$201,MATCH('Buildings - Grid Electricity'!$E178,'Emission factors'!$J$3:$J$201,0),MATCH($L$6,'Emission factors'!$K$2:$V$2,0)))</f>
        <v/>
      </c>
      <c r="M178" s="495" t="str" cm="1">
        <f t="array" ref="M178">IF(OR(E178="",I178="",BuildingsElectricityTable[[#This Row],[Units]]=""),"",INDEX('Emission factors'!$K$3:$V$201,MATCH('Buildings - Grid Electricity'!$E178&amp;F178,'Emission factors'!$J$3:$J$201&amp;'Emission factors'!$K$3:$K$201,0),MATCH('Buildings - Grid Electricity'!$M$6,'Emission factors'!$K$2:$V$2,0)))</f>
        <v/>
      </c>
      <c r="N178" s="496" t="str">
        <f>IF(OR(K178="",M178=""),"",SUM(BuildingsElectricityTable[[#This Row],[Direct]:[Indirect WTT]]))</f>
        <v/>
      </c>
      <c r="O178" s="268"/>
      <c r="P178" s="497"/>
      <c r="Q178" s="157" t="str" cm="1">
        <f t="array" ref="Q178">IF(OR($E178="",$I178=""),"",(INDEX('Emission factors'!$K$3:$V$201,MATCH('Buildings - Grid Electricity'!$E178&amp;$F178,'Emission factors'!$J$3:$J$201&amp;'Emission factors'!$K$3:$K$201,0),MATCH('Buildings - Grid Electricity'!Q$6,'Emission factors'!$K$2:$V$2,0)))*$K178)</f>
        <v/>
      </c>
      <c r="R178" s="157" t="str" cm="1">
        <f t="array" ref="R178">IF(OR($E178="",$I178=""),"",(INDEX('Emission factors'!$K$3:$V$201,MATCH('Buildings - Grid Electricity'!$E178&amp;$F178,'Emission factors'!$J$3:$J$201&amp;'Emission factors'!$K$3:$K$201,0),MATCH('Buildings - Grid Electricity'!R$6,'Emission factors'!$K$2:$V$2,0)))*$K178)</f>
        <v/>
      </c>
      <c r="S178" s="157" t="str" cm="1">
        <f t="array" ref="S178">IF(OR($E178="",$I178=""),"",(INDEX('Emission factors'!$K$3:$V$201,MATCH('Buildings - Grid Electricity'!$E178&amp;$F178,'Emission factors'!$J$3:$J$201&amp;'Emission factors'!$K$3:$K$201,0),MATCH('Buildings - Grid Electricity'!S$6,'Emission factors'!$K$2:$V$2,0)))*$K178)</f>
        <v/>
      </c>
      <c r="T178" s="157" t="str" cm="1">
        <f t="array" ref="T178">IF(OR($E178="",$I178=""),"",(INDEX('Emission factors'!$K$3:$V$201,MATCH('Buildings - Grid Electricity'!$E178&amp;$F178,'Emission factors'!$J$3:$J$201&amp;'Emission factors'!$K$3:$K$201,0),MATCH('Buildings - Grid Electricity'!T$6,'Emission factors'!$K$2:$V$2,0)))*$K178)</f>
        <v/>
      </c>
      <c r="U178" s="157" t="str" cm="1">
        <f t="array" ref="U178">IF(OR($E178="",$I178=""),"",(INDEX('Emission factors'!$K$3:$V$201,MATCH('Buildings - Grid Electricity'!$E178&amp;$F178,'Emission factors'!$J$3:$J$201&amp;'Emission factors'!$K$3:$K$201,0),MATCH('Buildings - Grid Electricity'!U$6,'Emission factors'!$K$2:$V$2,0)))*$K178)</f>
        <v/>
      </c>
      <c r="V178" s="269" t="str">
        <f>IF(OR($N178="",BuildingsElectricityTable[[#This Row],[RSD]]=""),"",BuildingsElectricityTable[[#This Row],[Total emissions (kgCO2e)]]*(1+BuildingsElectricityTable[[#This Row],[RSD]]))</f>
        <v/>
      </c>
      <c r="W178" s="270" t="str">
        <f>IF(OR($N178="",BuildingsElectricityTable[[#This Row],[RSD]]=""),"",BuildingsElectricityTable[[#This Row],[Total emissions (kgCO2e)]]*(1-BuildingsElectricityTable[[#This Row],[RSD]]))</f>
        <v/>
      </c>
      <c r="X178" s="271" t="str" cm="1">
        <f t="array" ref="X178">IF(OR($E178="",$I178=""),"",(INDEX('Emission factors'!$K$3:$V$201,MATCH('Buildings - Grid Electricity'!$E178&amp;$F178,'Emission factors'!$J$3:$J$201&amp;'Emission factors'!$K$3:$K$201,0),MATCH('Buildings - Grid Electricity'!X$6,'Emission factors'!$K$2:$V$2,0)))*$K178)</f>
        <v/>
      </c>
      <c r="Y178" s="30"/>
      <c r="Z178" s="1" cm="1">
        <f t="array" ref="Z178">IF(OR(ISERROR(B178:X178)),1,0)</f>
        <v>0</v>
      </c>
      <c r="AA178" s="1">
        <f t="shared" si="13"/>
        <v>0</v>
      </c>
    </row>
    <row r="179" spans="1:27" ht="15" outlineLevel="1" thickBot="1" x14ac:dyDescent="0.4">
      <c r="A179" s="319"/>
      <c r="B179" s="216"/>
      <c r="C179" s="216"/>
      <c r="D179" s="489" t="str">
        <f>IFERROR(INDEX(BuildingInformationTable[Site type],MATCH(BuildingsElectricityTable[[#This Row],[Site name]],BuildingInformationTable[Site name],0)),"")</f>
        <v/>
      </c>
      <c r="E179" s="490" t="str">
        <f t="shared" si="10"/>
        <v/>
      </c>
      <c r="F179" s="490" t="str">
        <f t="shared" si="11"/>
        <v/>
      </c>
      <c r="G179" s="491"/>
      <c r="H179" s="492" t="str">
        <f>IF(G179="","",INDEX(Lists!$BA$4:$BC$31,MATCH(E179,Lists!$AZ$4:$AZ$31,0),MATCH(G179,Lists!$BA$3:$BC$3,0)))</f>
        <v/>
      </c>
      <c r="I179" s="267"/>
      <c r="J179" s="490" t="str">
        <f t="shared" si="12"/>
        <v/>
      </c>
      <c r="K179" s="493" t="str" cm="1">
        <f t="array" ref="K179">IF(OR($E179="",$D179="",$I179="",$J179=""),"",IF(J179=L179,I179,(INDEX('Emission factors'!$K$3:$V$201,MATCH(E179&amp;F179,'Emission factors'!$J$3:$J$201&amp;'Emission factors'!$K$3:$K$201,0),MATCH(K$6,'Emission factors'!$K$2:$V$2,0)))*I179))</f>
        <v/>
      </c>
      <c r="L179" s="494" t="str">
        <f>IF(OR($E179="",$D179="",$I179="",$J179=""),"",INDEX('Emission factors'!$K$3:$V$201,MATCH('Buildings - Grid Electricity'!$E179,'Emission factors'!$J$3:$J$201,0),MATCH($L$6,'Emission factors'!$K$2:$V$2,0)))</f>
        <v/>
      </c>
      <c r="M179" s="495" t="str" cm="1">
        <f t="array" ref="M179">IF(OR(E179="",I179="",BuildingsElectricityTable[[#This Row],[Units]]=""),"",INDEX('Emission factors'!$K$3:$V$201,MATCH('Buildings - Grid Electricity'!$E179&amp;F179,'Emission factors'!$J$3:$J$201&amp;'Emission factors'!$K$3:$K$201,0),MATCH('Buildings - Grid Electricity'!$M$6,'Emission factors'!$K$2:$V$2,0)))</f>
        <v/>
      </c>
      <c r="N179" s="496" t="str">
        <f>IF(OR(K179="",M179=""),"",SUM(BuildingsElectricityTable[[#This Row],[Direct]:[Indirect WTT]]))</f>
        <v/>
      </c>
      <c r="O179" s="268"/>
      <c r="P179" s="497"/>
      <c r="Q179" s="157" t="str" cm="1">
        <f t="array" ref="Q179">IF(OR($E179="",$I179=""),"",(INDEX('Emission factors'!$K$3:$V$201,MATCH('Buildings - Grid Electricity'!$E179&amp;$F179,'Emission factors'!$J$3:$J$201&amp;'Emission factors'!$K$3:$K$201,0),MATCH('Buildings - Grid Electricity'!Q$6,'Emission factors'!$K$2:$V$2,0)))*$K179)</f>
        <v/>
      </c>
      <c r="R179" s="157" t="str" cm="1">
        <f t="array" ref="R179">IF(OR($E179="",$I179=""),"",(INDEX('Emission factors'!$K$3:$V$201,MATCH('Buildings - Grid Electricity'!$E179&amp;$F179,'Emission factors'!$J$3:$J$201&amp;'Emission factors'!$K$3:$K$201,0),MATCH('Buildings - Grid Electricity'!R$6,'Emission factors'!$K$2:$V$2,0)))*$K179)</f>
        <v/>
      </c>
      <c r="S179" s="157" t="str" cm="1">
        <f t="array" ref="S179">IF(OR($E179="",$I179=""),"",(INDEX('Emission factors'!$K$3:$V$201,MATCH('Buildings - Grid Electricity'!$E179&amp;$F179,'Emission factors'!$J$3:$J$201&amp;'Emission factors'!$K$3:$K$201,0),MATCH('Buildings - Grid Electricity'!S$6,'Emission factors'!$K$2:$V$2,0)))*$K179)</f>
        <v/>
      </c>
      <c r="T179" s="157" t="str" cm="1">
        <f t="array" ref="T179">IF(OR($E179="",$I179=""),"",(INDEX('Emission factors'!$K$3:$V$201,MATCH('Buildings - Grid Electricity'!$E179&amp;$F179,'Emission factors'!$J$3:$J$201&amp;'Emission factors'!$K$3:$K$201,0),MATCH('Buildings - Grid Electricity'!T$6,'Emission factors'!$K$2:$V$2,0)))*$K179)</f>
        <v/>
      </c>
      <c r="U179" s="157" t="str" cm="1">
        <f t="array" ref="U179">IF(OR($E179="",$I179=""),"",(INDEX('Emission factors'!$K$3:$V$201,MATCH('Buildings - Grid Electricity'!$E179&amp;$F179,'Emission factors'!$J$3:$J$201&amp;'Emission factors'!$K$3:$K$201,0),MATCH('Buildings - Grid Electricity'!U$6,'Emission factors'!$K$2:$V$2,0)))*$K179)</f>
        <v/>
      </c>
      <c r="V179" s="269" t="str">
        <f>IF(OR($N179="",BuildingsElectricityTable[[#This Row],[RSD]]=""),"",BuildingsElectricityTable[[#This Row],[Total emissions (kgCO2e)]]*(1+BuildingsElectricityTable[[#This Row],[RSD]]))</f>
        <v/>
      </c>
      <c r="W179" s="270" t="str">
        <f>IF(OR($N179="",BuildingsElectricityTable[[#This Row],[RSD]]=""),"",BuildingsElectricityTable[[#This Row],[Total emissions (kgCO2e)]]*(1-BuildingsElectricityTable[[#This Row],[RSD]]))</f>
        <v/>
      </c>
      <c r="X179" s="271" t="str" cm="1">
        <f t="array" ref="X179">IF(OR($E179="",$I179=""),"",(INDEX('Emission factors'!$K$3:$V$201,MATCH('Buildings - Grid Electricity'!$E179&amp;$F179,'Emission factors'!$J$3:$J$201&amp;'Emission factors'!$K$3:$K$201,0),MATCH('Buildings - Grid Electricity'!X$6,'Emission factors'!$K$2:$V$2,0)))*$K179)</f>
        <v/>
      </c>
      <c r="Y179" s="30"/>
      <c r="Z179" s="1" cm="1">
        <f t="array" ref="Z179">IF(OR(ISERROR(B179:X179)),1,0)</f>
        <v>0</v>
      </c>
      <c r="AA179" s="1">
        <f t="shared" si="13"/>
        <v>0</v>
      </c>
    </row>
    <row r="180" spans="1:27" ht="15" outlineLevel="1" thickBot="1" x14ac:dyDescent="0.4">
      <c r="A180" s="319"/>
      <c r="B180" s="216"/>
      <c r="C180" s="216"/>
      <c r="D180" s="489" t="str">
        <f>IFERROR(INDEX(BuildingInformationTable[Site type],MATCH(BuildingsElectricityTable[[#This Row],[Site name]],BuildingInformationTable[Site name],0)),"")</f>
        <v/>
      </c>
      <c r="E180" s="490" t="str">
        <f t="shared" si="10"/>
        <v/>
      </c>
      <c r="F180" s="490" t="str">
        <f t="shared" si="11"/>
        <v/>
      </c>
      <c r="G180" s="491"/>
      <c r="H180" s="492" t="str">
        <f>IF(G180="","",INDEX(Lists!$BA$4:$BC$31,MATCH(E180,Lists!$AZ$4:$AZ$31,0),MATCH(G180,Lists!$BA$3:$BC$3,0)))</f>
        <v/>
      </c>
      <c r="I180" s="267"/>
      <c r="J180" s="490" t="str">
        <f t="shared" si="12"/>
        <v/>
      </c>
      <c r="K180" s="493" t="str" cm="1">
        <f t="array" ref="K180">IF(OR($E180="",$D180="",$I180="",$J180=""),"",IF(J180=L180,I180,(INDEX('Emission factors'!$K$3:$V$201,MATCH(E180&amp;F180,'Emission factors'!$J$3:$J$201&amp;'Emission factors'!$K$3:$K$201,0),MATCH(K$6,'Emission factors'!$K$2:$V$2,0)))*I180))</f>
        <v/>
      </c>
      <c r="L180" s="494" t="str">
        <f>IF(OR($E180="",$D180="",$I180="",$J180=""),"",INDEX('Emission factors'!$K$3:$V$201,MATCH('Buildings - Grid Electricity'!$E180,'Emission factors'!$J$3:$J$201,0),MATCH($L$6,'Emission factors'!$K$2:$V$2,0)))</f>
        <v/>
      </c>
      <c r="M180" s="495" t="str" cm="1">
        <f t="array" ref="M180">IF(OR(E180="",I180="",BuildingsElectricityTable[[#This Row],[Units]]=""),"",INDEX('Emission factors'!$K$3:$V$201,MATCH('Buildings - Grid Electricity'!$E180&amp;F180,'Emission factors'!$J$3:$J$201&amp;'Emission factors'!$K$3:$K$201,0),MATCH('Buildings - Grid Electricity'!$M$6,'Emission factors'!$K$2:$V$2,0)))</f>
        <v/>
      </c>
      <c r="N180" s="496" t="str">
        <f>IF(OR(K180="",M180=""),"",SUM(BuildingsElectricityTable[[#This Row],[Direct]:[Indirect WTT]]))</f>
        <v/>
      </c>
      <c r="O180" s="268"/>
      <c r="P180" s="497"/>
      <c r="Q180" s="157" t="str" cm="1">
        <f t="array" ref="Q180">IF(OR($E180="",$I180=""),"",(INDEX('Emission factors'!$K$3:$V$201,MATCH('Buildings - Grid Electricity'!$E180&amp;$F180,'Emission factors'!$J$3:$J$201&amp;'Emission factors'!$K$3:$K$201,0),MATCH('Buildings - Grid Electricity'!Q$6,'Emission factors'!$K$2:$V$2,0)))*$K180)</f>
        <v/>
      </c>
      <c r="R180" s="157" t="str" cm="1">
        <f t="array" ref="R180">IF(OR($E180="",$I180=""),"",(INDEX('Emission factors'!$K$3:$V$201,MATCH('Buildings - Grid Electricity'!$E180&amp;$F180,'Emission factors'!$J$3:$J$201&amp;'Emission factors'!$K$3:$K$201,0),MATCH('Buildings - Grid Electricity'!R$6,'Emission factors'!$K$2:$V$2,0)))*$K180)</f>
        <v/>
      </c>
      <c r="S180" s="157" t="str" cm="1">
        <f t="array" ref="S180">IF(OR($E180="",$I180=""),"",(INDEX('Emission factors'!$K$3:$V$201,MATCH('Buildings - Grid Electricity'!$E180&amp;$F180,'Emission factors'!$J$3:$J$201&amp;'Emission factors'!$K$3:$K$201,0),MATCH('Buildings - Grid Electricity'!S$6,'Emission factors'!$K$2:$V$2,0)))*$K180)</f>
        <v/>
      </c>
      <c r="T180" s="157" t="str" cm="1">
        <f t="array" ref="T180">IF(OR($E180="",$I180=""),"",(INDEX('Emission factors'!$K$3:$V$201,MATCH('Buildings - Grid Electricity'!$E180&amp;$F180,'Emission factors'!$J$3:$J$201&amp;'Emission factors'!$K$3:$K$201,0),MATCH('Buildings - Grid Electricity'!T$6,'Emission factors'!$K$2:$V$2,0)))*$K180)</f>
        <v/>
      </c>
      <c r="U180" s="157" t="str" cm="1">
        <f t="array" ref="U180">IF(OR($E180="",$I180=""),"",(INDEX('Emission factors'!$K$3:$V$201,MATCH('Buildings - Grid Electricity'!$E180&amp;$F180,'Emission factors'!$J$3:$J$201&amp;'Emission factors'!$K$3:$K$201,0),MATCH('Buildings - Grid Electricity'!U$6,'Emission factors'!$K$2:$V$2,0)))*$K180)</f>
        <v/>
      </c>
      <c r="V180" s="269" t="str">
        <f>IF(OR($N180="",BuildingsElectricityTable[[#This Row],[RSD]]=""),"",BuildingsElectricityTable[[#This Row],[Total emissions (kgCO2e)]]*(1+BuildingsElectricityTable[[#This Row],[RSD]]))</f>
        <v/>
      </c>
      <c r="W180" s="270" t="str">
        <f>IF(OR($N180="",BuildingsElectricityTable[[#This Row],[RSD]]=""),"",BuildingsElectricityTable[[#This Row],[Total emissions (kgCO2e)]]*(1-BuildingsElectricityTable[[#This Row],[RSD]]))</f>
        <v/>
      </c>
      <c r="X180" s="271" t="str" cm="1">
        <f t="array" ref="X180">IF(OR($E180="",$I180=""),"",(INDEX('Emission factors'!$K$3:$V$201,MATCH('Buildings - Grid Electricity'!$E180&amp;$F180,'Emission factors'!$J$3:$J$201&amp;'Emission factors'!$K$3:$K$201,0),MATCH('Buildings - Grid Electricity'!X$6,'Emission factors'!$K$2:$V$2,0)))*$K180)</f>
        <v/>
      </c>
      <c r="Y180" s="30"/>
      <c r="Z180" s="1" cm="1">
        <f t="array" ref="Z180">IF(OR(ISERROR(B180:X180)),1,0)</f>
        <v>0</v>
      </c>
      <c r="AA180" s="1">
        <f t="shared" si="13"/>
        <v>0</v>
      </c>
    </row>
    <row r="181" spans="1:27" ht="15" outlineLevel="1" thickBot="1" x14ac:dyDescent="0.4">
      <c r="A181" s="319"/>
      <c r="B181" s="216"/>
      <c r="C181" s="216"/>
      <c r="D181" s="489" t="str">
        <f>IFERROR(INDEX(BuildingInformationTable[Site type],MATCH(BuildingsElectricityTable[[#This Row],[Site name]],BuildingInformationTable[Site name],0)),"")</f>
        <v/>
      </c>
      <c r="E181" s="490" t="str">
        <f t="shared" si="10"/>
        <v/>
      </c>
      <c r="F181" s="490" t="str">
        <f t="shared" si="11"/>
        <v/>
      </c>
      <c r="G181" s="491"/>
      <c r="H181" s="492" t="str">
        <f>IF(G181="","",INDEX(Lists!$BA$4:$BC$31,MATCH(E181,Lists!$AZ$4:$AZ$31,0),MATCH(G181,Lists!$BA$3:$BC$3,0)))</f>
        <v/>
      </c>
      <c r="I181" s="267"/>
      <c r="J181" s="490" t="str">
        <f t="shared" si="12"/>
        <v/>
      </c>
      <c r="K181" s="493" t="str" cm="1">
        <f t="array" ref="K181">IF(OR($E181="",$D181="",$I181="",$J181=""),"",IF(J181=L181,I181,(INDEX('Emission factors'!$K$3:$V$201,MATCH(E181&amp;F181,'Emission factors'!$J$3:$J$201&amp;'Emission factors'!$K$3:$K$201,0),MATCH(K$6,'Emission factors'!$K$2:$V$2,0)))*I181))</f>
        <v/>
      </c>
      <c r="L181" s="494" t="str">
        <f>IF(OR($E181="",$D181="",$I181="",$J181=""),"",INDEX('Emission factors'!$K$3:$V$201,MATCH('Buildings - Grid Electricity'!$E181,'Emission factors'!$J$3:$J$201,0),MATCH($L$6,'Emission factors'!$K$2:$V$2,0)))</f>
        <v/>
      </c>
      <c r="M181" s="495" t="str" cm="1">
        <f t="array" ref="M181">IF(OR(E181="",I181="",BuildingsElectricityTable[[#This Row],[Units]]=""),"",INDEX('Emission factors'!$K$3:$V$201,MATCH('Buildings - Grid Electricity'!$E181&amp;F181,'Emission factors'!$J$3:$J$201&amp;'Emission factors'!$K$3:$K$201,0),MATCH('Buildings - Grid Electricity'!$M$6,'Emission factors'!$K$2:$V$2,0)))</f>
        <v/>
      </c>
      <c r="N181" s="496" t="str">
        <f>IF(OR(K181="",M181=""),"",SUM(BuildingsElectricityTable[[#This Row],[Direct]:[Indirect WTT]]))</f>
        <v/>
      </c>
      <c r="O181" s="268"/>
      <c r="P181" s="497"/>
      <c r="Q181" s="157" t="str" cm="1">
        <f t="array" ref="Q181">IF(OR($E181="",$I181=""),"",(INDEX('Emission factors'!$K$3:$V$201,MATCH('Buildings - Grid Electricity'!$E181&amp;$F181,'Emission factors'!$J$3:$J$201&amp;'Emission factors'!$K$3:$K$201,0),MATCH('Buildings - Grid Electricity'!Q$6,'Emission factors'!$K$2:$V$2,0)))*$K181)</f>
        <v/>
      </c>
      <c r="R181" s="157" t="str" cm="1">
        <f t="array" ref="R181">IF(OR($E181="",$I181=""),"",(INDEX('Emission factors'!$K$3:$V$201,MATCH('Buildings - Grid Electricity'!$E181&amp;$F181,'Emission factors'!$J$3:$J$201&amp;'Emission factors'!$K$3:$K$201,0),MATCH('Buildings - Grid Electricity'!R$6,'Emission factors'!$K$2:$V$2,0)))*$K181)</f>
        <v/>
      </c>
      <c r="S181" s="157" t="str" cm="1">
        <f t="array" ref="S181">IF(OR($E181="",$I181=""),"",(INDEX('Emission factors'!$K$3:$V$201,MATCH('Buildings - Grid Electricity'!$E181&amp;$F181,'Emission factors'!$J$3:$J$201&amp;'Emission factors'!$K$3:$K$201,0),MATCH('Buildings - Grid Electricity'!S$6,'Emission factors'!$K$2:$V$2,0)))*$K181)</f>
        <v/>
      </c>
      <c r="T181" s="157" t="str" cm="1">
        <f t="array" ref="T181">IF(OR($E181="",$I181=""),"",(INDEX('Emission factors'!$K$3:$V$201,MATCH('Buildings - Grid Electricity'!$E181&amp;$F181,'Emission factors'!$J$3:$J$201&amp;'Emission factors'!$K$3:$K$201,0),MATCH('Buildings - Grid Electricity'!T$6,'Emission factors'!$K$2:$V$2,0)))*$K181)</f>
        <v/>
      </c>
      <c r="U181" s="157" t="str" cm="1">
        <f t="array" ref="U181">IF(OR($E181="",$I181=""),"",(INDEX('Emission factors'!$K$3:$V$201,MATCH('Buildings - Grid Electricity'!$E181&amp;$F181,'Emission factors'!$J$3:$J$201&amp;'Emission factors'!$K$3:$K$201,0),MATCH('Buildings - Grid Electricity'!U$6,'Emission factors'!$K$2:$V$2,0)))*$K181)</f>
        <v/>
      </c>
      <c r="V181" s="269" t="str">
        <f>IF(OR($N181="",BuildingsElectricityTable[[#This Row],[RSD]]=""),"",BuildingsElectricityTable[[#This Row],[Total emissions (kgCO2e)]]*(1+BuildingsElectricityTable[[#This Row],[RSD]]))</f>
        <v/>
      </c>
      <c r="W181" s="270" t="str">
        <f>IF(OR($N181="",BuildingsElectricityTable[[#This Row],[RSD]]=""),"",BuildingsElectricityTable[[#This Row],[Total emissions (kgCO2e)]]*(1-BuildingsElectricityTable[[#This Row],[RSD]]))</f>
        <v/>
      </c>
      <c r="X181" s="271" t="str" cm="1">
        <f t="array" ref="X181">IF(OR($E181="",$I181=""),"",(INDEX('Emission factors'!$K$3:$V$201,MATCH('Buildings - Grid Electricity'!$E181&amp;$F181,'Emission factors'!$J$3:$J$201&amp;'Emission factors'!$K$3:$K$201,0),MATCH('Buildings - Grid Electricity'!X$6,'Emission factors'!$K$2:$V$2,0)))*$K181)</f>
        <v/>
      </c>
      <c r="Y181" s="30"/>
      <c r="Z181" s="1" cm="1">
        <f t="array" ref="Z181">IF(OR(ISERROR(B181:X181)),1,0)</f>
        <v>0</v>
      </c>
      <c r="AA181" s="1">
        <f t="shared" si="13"/>
        <v>0</v>
      </c>
    </row>
    <row r="182" spans="1:27" ht="15" outlineLevel="1" thickBot="1" x14ac:dyDescent="0.4">
      <c r="A182" s="319"/>
      <c r="B182" s="216"/>
      <c r="C182" s="216"/>
      <c r="D182" s="489" t="str">
        <f>IFERROR(INDEX(BuildingInformationTable[Site type],MATCH(BuildingsElectricityTable[[#This Row],[Site name]],BuildingInformationTable[Site name],0)),"")</f>
        <v/>
      </c>
      <c r="E182" s="490" t="str">
        <f t="shared" si="10"/>
        <v/>
      </c>
      <c r="F182" s="490" t="str">
        <f t="shared" si="11"/>
        <v/>
      </c>
      <c r="G182" s="491"/>
      <c r="H182" s="492" t="str">
        <f>IF(G182="","",INDEX(Lists!$BA$4:$BC$31,MATCH(E182,Lists!$AZ$4:$AZ$31,0),MATCH(G182,Lists!$BA$3:$BC$3,0)))</f>
        <v/>
      </c>
      <c r="I182" s="267"/>
      <c r="J182" s="490" t="str">
        <f t="shared" si="12"/>
        <v/>
      </c>
      <c r="K182" s="493" t="str" cm="1">
        <f t="array" ref="K182">IF(OR($E182="",$D182="",$I182="",$J182=""),"",IF(J182=L182,I182,(INDEX('Emission factors'!$K$3:$V$201,MATCH(E182&amp;F182,'Emission factors'!$J$3:$J$201&amp;'Emission factors'!$K$3:$K$201,0),MATCH(K$6,'Emission factors'!$K$2:$V$2,0)))*I182))</f>
        <v/>
      </c>
      <c r="L182" s="494" t="str">
        <f>IF(OR($E182="",$D182="",$I182="",$J182=""),"",INDEX('Emission factors'!$K$3:$V$201,MATCH('Buildings - Grid Electricity'!$E182,'Emission factors'!$J$3:$J$201,0),MATCH($L$6,'Emission factors'!$K$2:$V$2,0)))</f>
        <v/>
      </c>
      <c r="M182" s="495" t="str" cm="1">
        <f t="array" ref="M182">IF(OR(E182="",I182="",BuildingsElectricityTable[[#This Row],[Units]]=""),"",INDEX('Emission factors'!$K$3:$V$201,MATCH('Buildings - Grid Electricity'!$E182&amp;F182,'Emission factors'!$J$3:$J$201&amp;'Emission factors'!$K$3:$K$201,0),MATCH('Buildings - Grid Electricity'!$M$6,'Emission factors'!$K$2:$V$2,0)))</f>
        <v/>
      </c>
      <c r="N182" s="496" t="str">
        <f>IF(OR(K182="",M182=""),"",SUM(BuildingsElectricityTable[[#This Row],[Direct]:[Indirect WTT]]))</f>
        <v/>
      </c>
      <c r="O182" s="268"/>
      <c r="P182" s="497"/>
      <c r="Q182" s="157" t="str" cm="1">
        <f t="array" ref="Q182">IF(OR($E182="",$I182=""),"",(INDEX('Emission factors'!$K$3:$V$201,MATCH('Buildings - Grid Electricity'!$E182&amp;$F182,'Emission factors'!$J$3:$J$201&amp;'Emission factors'!$K$3:$K$201,0),MATCH('Buildings - Grid Electricity'!Q$6,'Emission factors'!$K$2:$V$2,0)))*$K182)</f>
        <v/>
      </c>
      <c r="R182" s="157" t="str" cm="1">
        <f t="array" ref="R182">IF(OR($E182="",$I182=""),"",(INDEX('Emission factors'!$K$3:$V$201,MATCH('Buildings - Grid Electricity'!$E182&amp;$F182,'Emission factors'!$J$3:$J$201&amp;'Emission factors'!$K$3:$K$201,0),MATCH('Buildings - Grid Electricity'!R$6,'Emission factors'!$K$2:$V$2,0)))*$K182)</f>
        <v/>
      </c>
      <c r="S182" s="157" t="str" cm="1">
        <f t="array" ref="S182">IF(OR($E182="",$I182=""),"",(INDEX('Emission factors'!$K$3:$V$201,MATCH('Buildings - Grid Electricity'!$E182&amp;$F182,'Emission factors'!$J$3:$J$201&amp;'Emission factors'!$K$3:$K$201,0),MATCH('Buildings - Grid Electricity'!S$6,'Emission factors'!$K$2:$V$2,0)))*$K182)</f>
        <v/>
      </c>
      <c r="T182" s="157" t="str" cm="1">
        <f t="array" ref="T182">IF(OR($E182="",$I182=""),"",(INDEX('Emission factors'!$K$3:$V$201,MATCH('Buildings - Grid Electricity'!$E182&amp;$F182,'Emission factors'!$J$3:$J$201&amp;'Emission factors'!$K$3:$K$201,0),MATCH('Buildings - Grid Electricity'!T$6,'Emission factors'!$K$2:$V$2,0)))*$K182)</f>
        <v/>
      </c>
      <c r="U182" s="157" t="str" cm="1">
        <f t="array" ref="U182">IF(OR($E182="",$I182=""),"",(INDEX('Emission factors'!$K$3:$V$201,MATCH('Buildings - Grid Electricity'!$E182&amp;$F182,'Emission factors'!$J$3:$J$201&amp;'Emission factors'!$K$3:$K$201,0),MATCH('Buildings - Grid Electricity'!U$6,'Emission factors'!$K$2:$V$2,0)))*$K182)</f>
        <v/>
      </c>
      <c r="V182" s="269" t="str">
        <f>IF(OR($N182="",BuildingsElectricityTable[[#This Row],[RSD]]=""),"",BuildingsElectricityTable[[#This Row],[Total emissions (kgCO2e)]]*(1+BuildingsElectricityTable[[#This Row],[RSD]]))</f>
        <v/>
      </c>
      <c r="W182" s="270" t="str">
        <f>IF(OR($N182="",BuildingsElectricityTable[[#This Row],[RSD]]=""),"",BuildingsElectricityTable[[#This Row],[Total emissions (kgCO2e)]]*(1-BuildingsElectricityTable[[#This Row],[RSD]]))</f>
        <v/>
      </c>
      <c r="X182" s="271" t="str" cm="1">
        <f t="array" ref="X182">IF(OR($E182="",$I182=""),"",(INDEX('Emission factors'!$K$3:$V$201,MATCH('Buildings - Grid Electricity'!$E182&amp;$F182,'Emission factors'!$J$3:$J$201&amp;'Emission factors'!$K$3:$K$201,0),MATCH('Buildings - Grid Electricity'!X$6,'Emission factors'!$K$2:$V$2,0)))*$K182)</f>
        <v/>
      </c>
      <c r="Y182" s="30"/>
      <c r="Z182" s="1" cm="1">
        <f t="array" ref="Z182">IF(OR(ISERROR(B182:X182)),1,0)</f>
        <v>0</v>
      </c>
      <c r="AA182" s="1">
        <f t="shared" si="13"/>
        <v>0</v>
      </c>
    </row>
    <row r="183" spans="1:27" ht="15" outlineLevel="1" thickBot="1" x14ac:dyDescent="0.4">
      <c r="A183" s="319"/>
      <c r="B183" s="216"/>
      <c r="C183" s="216"/>
      <c r="D183" s="489" t="str">
        <f>IFERROR(INDEX(BuildingInformationTable[Site type],MATCH(BuildingsElectricityTable[[#This Row],[Site name]],BuildingInformationTable[Site name],0)),"")</f>
        <v/>
      </c>
      <c r="E183" s="490" t="str">
        <f t="shared" si="10"/>
        <v/>
      </c>
      <c r="F183" s="490" t="str">
        <f t="shared" si="11"/>
        <v/>
      </c>
      <c r="G183" s="491"/>
      <c r="H183" s="492" t="str">
        <f>IF(G183="","",INDEX(Lists!$BA$4:$BC$31,MATCH(E183,Lists!$AZ$4:$AZ$31,0),MATCH(G183,Lists!$BA$3:$BC$3,0)))</f>
        <v/>
      </c>
      <c r="I183" s="267"/>
      <c r="J183" s="490" t="str">
        <f t="shared" si="12"/>
        <v/>
      </c>
      <c r="K183" s="493" t="str" cm="1">
        <f t="array" ref="K183">IF(OR($E183="",$D183="",$I183="",$J183=""),"",IF(J183=L183,I183,(INDEX('Emission factors'!$K$3:$V$201,MATCH(E183&amp;F183,'Emission factors'!$J$3:$J$201&amp;'Emission factors'!$K$3:$K$201,0),MATCH(K$6,'Emission factors'!$K$2:$V$2,0)))*I183))</f>
        <v/>
      </c>
      <c r="L183" s="494" t="str">
        <f>IF(OR($E183="",$D183="",$I183="",$J183=""),"",INDEX('Emission factors'!$K$3:$V$201,MATCH('Buildings - Grid Electricity'!$E183,'Emission factors'!$J$3:$J$201,0),MATCH($L$6,'Emission factors'!$K$2:$V$2,0)))</f>
        <v/>
      </c>
      <c r="M183" s="495" t="str" cm="1">
        <f t="array" ref="M183">IF(OR(E183="",I183="",BuildingsElectricityTable[[#This Row],[Units]]=""),"",INDEX('Emission factors'!$K$3:$V$201,MATCH('Buildings - Grid Electricity'!$E183&amp;F183,'Emission factors'!$J$3:$J$201&amp;'Emission factors'!$K$3:$K$201,0),MATCH('Buildings - Grid Electricity'!$M$6,'Emission factors'!$K$2:$V$2,0)))</f>
        <v/>
      </c>
      <c r="N183" s="496" t="str">
        <f>IF(OR(K183="",M183=""),"",SUM(BuildingsElectricityTable[[#This Row],[Direct]:[Indirect WTT]]))</f>
        <v/>
      </c>
      <c r="O183" s="268"/>
      <c r="P183" s="497"/>
      <c r="Q183" s="157" t="str" cm="1">
        <f t="array" ref="Q183">IF(OR($E183="",$I183=""),"",(INDEX('Emission factors'!$K$3:$V$201,MATCH('Buildings - Grid Electricity'!$E183&amp;$F183,'Emission factors'!$J$3:$J$201&amp;'Emission factors'!$K$3:$K$201,0),MATCH('Buildings - Grid Electricity'!Q$6,'Emission factors'!$K$2:$V$2,0)))*$K183)</f>
        <v/>
      </c>
      <c r="R183" s="157" t="str" cm="1">
        <f t="array" ref="R183">IF(OR($E183="",$I183=""),"",(INDEX('Emission factors'!$K$3:$V$201,MATCH('Buildings - Grid Electricity'!$E183&amp;$F183,'Emission factors'!$J$3:$J$201&amp;'Emission factors'!$K$3:$K$201,0),MATCH('Buildings - Grid Electricity'!R$6,'Emission factors'!$K$2:$V$2,0)))*$K183)</f>
        <v/>
      </c>
      <c r="S183" s="157" t="str" cm="1">
        <f t="array" ref="S183">IF(OR($E183="",$I183=""),"",(INDEX('Emission factors'!$K$3:$V$201,MATCH('Buildings - Grid Electricity'!$E183&amp;$F183,'Emission factors'!$J$3:$J$201&amp;'Emission factors'!$K$3:$K$201,0),MATCH('Buildings - Grid Electricity'!S$6,'Emission factors'!$K$2:$V$2,0)))*$K183)</f>
        <v/>
      </c>
      <c r="T183" s="157" t="str" cm="1">
        <f t="array" ref="T183">IF(OR($E183="",$I183=""),"",(INDEX('Emission factors'!$K$3:$V$201,MATCH('Buildings - Grid Electricity'!$E183&amp;$F183,'Emission factors'!$J$3:$J$201&amp;'Emission factors'!$K$3:$K$201,0),MATCH('Buildings - Grid Electricity'!T$6,'Emission factors'!$K$2:$V$2,0)))*$K183)</f>
        <v/>
      </c>
      <c r="U183" s="157" t="str" cm="1">
        <f t="array" ref="U183">IF(OR($E183="",$I183=""),"",(INDEX('Emission factors'!$K$3:$V$201,MATCH('Buildings - Grid Electricity'!$E183&amp;$F183,'Emission factors'!$J$3:$J$201&amp;'Emission factors'!$K$3:$K$201,0),MATCH('Buildings - Grid Electricity'!U$6,'Emission factors'!$K$2:$V$2,0)))*$K183)</f>
        <v/>
      </c>
      <c r="V183" s="269" t="str">
        <f>IF(OR($N183="",BuildingsElectricityTable[[#This Row],[RSD]]=""),"",BuildingsElectricityTable[[#This Row],[Total emissions (kgCO2e)]]*(1+BuildingsElectricityTable[[#This Row],[RSD]]))</f>
        <v/>
      </c>
      <c r="W183" s="270" t="str">
        <f>IF(OR($N183="",BuildingsElectricityTable[[#This Row],[RSD]]=""),"",BuildingsElectricityTable[[#This Row],[Total emissions (kgCO2e)]]*(1-BuildingsElectricityTable[[#This Row],[RSD]]))</f>
        <v/>
      </c>
      <c r="X183" s="271" t="str" cm="1">
        <f t="array" ref="X183">IF(OR($E183="",$I183=""),"",(INDEX('Emission factors'!$K$3:$V$201,MATCH('Buildings - Grid Electricity'!$E183&amp;$F183,'Emission factors'!$J$3:$J$201&amp;'Emission factors'!$K$3:$K$201,0),MATCH('Buildings - Grid Electricity'!X$6,'Emission factors'!$K$2:$V$2,0)))*$K183)</f>
        <v/>
      </c>
      <c r="Y183" s="30"/>
      <c r="Z183" s="1" cm="1">
        <f t="array" ref="Z183">IF(OR(ISERROR(B183:X183)),1,0)</f>
        <v>0</v>
      </c>
      <c r="AA183" s="1">
        <f t="shared" si="13"/>
        <v>0</v>
      </c>
    </row>
    <row r="184" spans="1:27" ht="15" outlineLevel="1" thickBot="1" x14ac:dyDescent="0.4">
      <c r="A184" s="319"/>
      <c r="B184" s="216"/>
      <c r="C184" s="216"/>
      <c r="D184" s="489" t="str">
        <f>IFERROR(INDEX(BuildingInformationTable[Site type],MATCH(BuildingsElectricityTable[[#This Row],[Site name]],BuildingInformationTable[Site name],0)),"")</f>
        <v/>
      </c>
      <c r="E184" s="490" t="str">
        <f t="shared" si="10"/>
        <v/>
      </c>
      <c r="F184" s="490" t="str">
        <f t="shared" si="11"/>
        <v/>
      </c>
      <c r="G184" s="491"/>
      <c r="H184" s="492" t="str">
        <f>IF(G184="","",INDEX(Lists!$BA$4:$BC$31,MATCH(E184,Lists!$AZ$4:$AZ$31,0),MATCH(G184,Lists!$BA$3:$BC$3,0)))</f>
        <v/>
      </c>
      <c r="I184" s="267"/>
      <c r="J184" s="490" t="str">
        <f t="shared" si="12"/>
        <v/>
      </c>
      <c r="K184" s="493" t="str" cm="1">
        <f t="array" ref="K184">IF(OR($E184="",$D184="",$I184="",$J184=""),"",IF(J184=L184,I184,(INDEX('Emission factors'!$K$3:$V$201,MATCH(E184&amp;F184,'Emission factors'!$J$3:$J$201&amp;'Emission factors'!$K$3:$K$201,0),MATCH(K$6,'Emission factors'!$K$2:$V$2,0)))*I184))</f>
        <v/>
      </c>
      <c r="L184" s="494" t="str">
        <f>IF(OR($E184="",$D184="",$I184="",$J184=""),"",INDEX('Emission factors'!$K$3:$V$201,MATCH('Buildings - Grid Electricity'!$E184,'Emission factors'!$J$3:$J$201,0),MATCH($L$6,'Emission factors'!$K$2:$V$2,0)))</f>
        <v/>
      </c>
      <c r="M184" s="495" t="str" cm="1">
        <f t="array" ref="M184">IF(OR(E184="",I184="",BuildingsElectricityTable[[#This Row],[Units]]=""),"",INDEX('Emission factors'!$K$3:$V$201,MATCH('Buildings - Grid Electricity'!$E184&amp;F184,'Emission factors'!$J$3:$J$201&amp;'Emission factors'!$K$3:$K$201,0),MATCH('Buildings - Grid Electricity'!$M$6,'Emission factors'!$K$2:$V$2,0)))</f>
        <v/>
      </c>
      <c r="N184" s="496" t="str">
        <f>IF(OR(K184="",M184=""),"",SUM(BuildingsElectricityTable[[#This Row],[Direct]:[Indirect WTT]]))</f>
        <v/>
      </c>
      <c r="O184" s="268"/>
      <c r="P184" s="497"/>
      <c r="Q184" s="157" t="str" cm="1">
        <f t="array" ref="Q184">IF(OR($E184="",$I184=""),"",(INDEX('Emission factors'!$K$3:$V$201,MATCH('Buildings - Grid Electricity'!$E184&amp;$F184,'Emission factors'!$J$3:$J$201&amp;'Emission factors'!$K$3:$K$201,0),MATCH('Buildings - Grid Electricity'!Q$6,'Emission factors'!$K$2:$V$2,0)))*$K184)</f>
        <v/>
      </c>
      <c r="R184" s="157" t="str" cm="1">
        <f t="array" ref="R184">IF(OR($E184="",$I184=""),"",(INDEX('Emission factors'!$K$3:$V$201,MATCH('Buildings - Grid Electricity'!$E184&amp;$F184,'Emission factors'!$J$3:$J$201&amp;'Emission factors'!$K$3:$K$201,0),MATCH('Buildings - Grid Electricity'!R$6,'Emission factors'!$K$2:$V$2,0)))*$K184)</f>
        <v/>
      </c>
      <c r="S184" s="157" t="str" cm="1">
        <f t="array" ref="S184">IF(OR($E184="",$I184=""),"",(INDEX('Emission factors'!$K$3:$V$201,MATCH('Buildings - Grid Electricity'!$E184&amp;$F184,'Emission factors'!$J$3:$J$201&amp;'Emission factors'!$K$3:$K$201,0),MATCH('Buildings - Grid Electricity'!S$6,'Emission factors'!$K$2:$V$2,0)))*$K184)</f>
        <v/>
      </c>
      <c r="T184" s="157" t="str" cm="1">
        <f t="array" ref="T184">IF(OR($E184="",$I184=""),"",(INDEX('Emission factors'!$K$3:$V$201,MATCH('Buildings - Grid Electricity'!$E184&amp;$F184,'Emission factors'!$J$3:$J$201&amp;'Emission factors'!$K$3:$K$201,0),MATCH('Buildings - Grid Electricity'!T$6,'Emission factors'!$K$2:$V$2,0)))*$K184)</f>
        <v/>
      </c>
      <c r="U184" s="157" t="str" cm="1">
        <f t="array" ref="U184">IF(OR($E184="",$I184=""),"",(INDEX('Emission factors'!$K$3:$V$201,MATCH('Buildings - Grid Electricity'!$E184&amp;$F184,'Emission factors'!$J$3:$J$201&amp;'Emission factors'!$K$3:$K$201,0),MATCH('Buildings - Grid Electricity'!U$6,'Emission factors'!$K$2:$V$2,0)))*$K184)</f>
        <v/>
      </c>
      <c r="V184" s="269" t="str">
        <f>IF(OR($N184="",BuildingsElectricityTable[[#This Row],[RSD]]=""),"",BuildingsElectricityTable[[#This Row],[Total emissions (kgCO2e)]]*(1+BuildingsElectricityTable[[#This Row],[RSD]]))</f>
        <v/>
      </c>
      <c r="W184" s="270" t="str">
        <f>IF(OR($N184="",BuildingsElectricityTable[[#This Row],[RSD]]=""),"",BuildingsElectricityTable[[#This Row],[Total emissions (kgCO2e)]]*(1-BuildingsElectricityTable[[#This Row],[RSD]]))</f>
        <v/>
      </c>
      <c r="X184" s="271" t="str" cm="1">
        <f t="array" ref="X184">IF(OR($E184="",$I184=""),"",(INDEX('Emission factors'!$K$3:$V$201,MATCH('Buildings - Grid Electricity'!$E184&amp;$F184,'Emission factors'!$J$3:$J$201&amp;'Emission factors'!$K$3:$K$201,0),MATCH('Buildings - Grid Electricity'!X$6,'Emission factors'!$K$2:$V$2,0)))*$K184)</f>
        <v/>
      </c>
      <c r="Y184" s="30"/>
      <c r="Z184" s="1" cm="1">
        <f t="array" ref="Z184">IF(OR(ISERROR(B184:X184)),1,0)</f>
        <v>0</v>
      </c>
      <c r="AA184" s="1">
        <f t="shared" si="13"/>
        <v>0</v>
      </c>
    </row>
    <row r="185" spans="1:27" ht="15" outlineLevel="1" thickBot="1" x14ac:dyDescent="0.4">
      <c r="A185" s="319"/>
      <c r="B185" s="216"/>
      <c r="C185" s="216"/>
      <c r="D185" s="489" t="str">
        <f>IFERROR(INDEX(BuildingInformationTable[Site type],MATCH(BuildingsElectricityTable[[#This Row],[Site name]],BuildingInformationTable[Site name],0)),"")</f>
        <v/>
      </c>
      <c r="E185" s="490" t="str">
        <f t="shared" si="10"/>
        <v/>
      </c>
      <c r="F185" s="490" t="str">
        <f t="shared" si="11"/>
        <v/>
      </c>
      <c r="G185" s="491"/>
      <c r="H185" s="492" t="str">
        <f>IF(G185="","",INDEX(Lists!$BA$4:$BC$31,MATCH(E185,Lists!$AZ$4:$AZ$31,0),MATCH(G185,Lists!$BA$3:$BC$3,0)))</f>
        <v/>
      </c>
      <c r="I185" s="267"/>
      <c r="J185" s="490" t="str">
        <f t="shared" si="12"/>
        <v/>
      </c>
      <c r="K185" s="493" t="str" cm="1">
        <f t="array" ref="K185">IF(OR($E185="",$D185="",$I185="",$J185=""),"",IF(J185=L185,I185,(INDEX('Emission factors'!$K$3:$V$201,MATCH(E185&amp;F185,'Emission factors'!$J$3:$J$201&amp;'Emission factors'!$K$3:$K$201,0),MATCH(K$6,'Emission factors'!$K$2:$V$2,0)))*I185))</f>
        <v/>
      </c>
      <c r="L185" s="494" t="str">
        <f>IF(OR($E185="",$D185="",$I185="",$J185=""),"",INDEX('Emission factors'!$K$3:$V$201,MATCH('Buildings - Grid Electricity'!$E185,'Emission factors'!$J$3:$J$201,0),MATCH($L$6,'Emission factors'!$K$2:$V$2,0)))</f>
        <v/>
      </c>
      <c r="M185" s="495" t="str" cm="1">
        <f t="array" ref="M185">IF(OR(E185="",I185="",BuildingsElectricityTable[[#This Row],[Units]]=""),"",INDEX('Emission factors'!$K$3:$V$201,MATCH('Buildings - Grid Electricity'!$E185&amp;F185,'Emission factors'!$J$3:$J$201&amp;'Emission factors'!$K$3:$K$201,0),MATCH('Buildings - Grid Electricity'!$M$6,'Emission factors'!$K$2:$V$2,0)))</f>
        <v/>
      </c>
      <c r="N185" s="496" t="str">
        <f>IF(OR(K185="",M185=""),"",SUM(BuildingsElectricityTable[[#This Row],[Direct]:[Indirect WTT]]))</f>
        <v/>
      </c>
      <c r="O185" s="268"/>
      <c r="P185" s="497"/>
      <c r="Q185" s="157" t="str" cm="1">
        <f t="array" ref="Q185">IF(OR($E185="",$I185=""),"",(INDEX('Emission factors'!$K$3:$V$201,MATCH('Buildings - Grid Electricity'!$E185&amp;$F185,'Emission factors'!$J$3:$J$201&amp;'Emission factors'!$K$3:$K$201,0),MATCH('Buildings - Grid Electricity'!Q$6,'Emission factors'!$K$2:$V$2,0)))*$K185)</f>
        <v/>
      </c>
      <c r="R185" s="157" t="str" cm="1">
        <f t="array" ref="R185">IF(OR($E185="",$I185=""),"",(INDEX('Emission factors'!$K$3:$V$201,MATCH('Buildings - Grid Electricity'!$E185&amp;$F185,'Emission factors'!$J$3:$J$201&amp;'Emission factors'!$K$3:$K$201,0),MATCH('Buildings - Grid Electricity'!R$6,'Emission factors'!$K$2:$V$2,0)))*$K185)</f>
        <v/>
      </c>
      <c r="S185" s="157" t="str" cm="1">
        <f t="array" ref="S185">IF(OR($E185="",$I185=""),"",(INDEX('Emission factors'!$K$3:$V$201,MATCH('Buildings - Grid Electricity'!$E185&amp;$F185,'Emission factors'!$J$3:$J$201&amp;'Emission factors'!$K$3:$K$201,0),MATCH('Buildings - Grid Electricity'!S$6,'Emission factors'!$K$2:$V$2,0)))*$K185)</f>
        <v/>
      </c>
      <c r="T185" s="157" t="str" cm="1">
        <f t="array" ref="T185">IF(OR($E185="",$I185=""),"",(INDEX('Emission factors'!$K$3:$V$201,MATCH('Buildings - Grid Electricity'!$E185&amp;$F185,'Emission factors'!$J$3:$J$201&amp;'Emission factors'!$K$3:$K$201,0),MATCH('Buildings - Grid Electricity'!T$6,'Emission factors'!$K$2:$V$2,0)))*$K185)</f>
        <v/>
      </c>
      <c r="U185" s="157" t="str" cm="1">
        <f t="array" ref="U185">IF(OR($E185="",$I185=""),"",(INDEX('Emission factors'!$K$3:$V$201,MATCH('Buildings - Grid Electricity'!$E185&amp;$F185,'Emission factors'!$J$3:$J$201&amp;'Emission factors'!$K$3:$K$201,0),MATCH('Buildings - Grid Electricity'!U$6,'Emission factors'!$K$2:$V$2,0)))*$K185)</f>
        <v/>
      </c>
      <c r="V185" s="269" t="str">
        <f>IF(OR($N185="",BuildingsElectricityTable[[#This Row],[RSD]]=""),"",BuildingsElectricityTable[[#This Row],[Total emissions (kgCO2e)]]*(1+BuildingsElectricityTable[[#This Row],[RSD]]))</f>
        <v/>
      </c>
      <c r="W185" s="270" t="str">
        <f>IF(OR($N185="",BuildingsElectricityTable[[#This Row],[RSD]]=""),"",BuildingsElectricityTable[[#This Row],[Total emissions (kgCO2e)]]*(1-BuildingsElectricityTable[[#This Row],[RSD]]))</f>
        <v/>
      </c>
      <c r="X185" s="271" t="str" cm="1">
        <f t="array" ref="X185">IF(OR($E185="",$I185=""),"",(INDEX('Emission factors'!$K$3:$V$201,MATCH('Buildings - Grid Electricity'!$E185&amp;$F185,'Emission factors'!$J$3:$J$201&amp;'Emission factors'!$K$3:$K$201,0),MATCH('Buildings - Grid Electricity'!X$6,'Emission factors'!$K$2:$V$2,0)))*$K185)</f>
        <v/>
      </c>
      <c r="Y185" s="30"/>
      <c r="Z185" s="1" cm="1">
        <f t="array" ref="Z185">IF(OR(ISERROR(B185:X185)),1,0)</f>
        <v>0</v>
      </c>
      <c r="AA185" s="1">
        <f t="shared" si="13"/>
        <v>0</v>
      </c>
    </row>
    <row r="186" spans="1:27" ht="15" outlineLevel="1" thickBot="1" x14ac:dyDescent="0.4">
      <c r="A186" s="319"/>
      <c r="B186" s="216"/>
      <c r="C186" s="216"/>
      <c r="D186" s="489" t="str">
        <f>IFERROR(INDEX(BuildingInformationTable[Site type],MATCH(BuildingsElectricityTable[[#This Row],[Site name]],BuildingInformationTable[Site name],0)),"")</f>
        <v/>
      </c>
      <c r="E186" s="490" t="str">
        <f t="shared" si="10"/>
        <v/>
      </c>
      <c r="F186" s="490" t="str">
        <f t="shared" si="11"/>
        <v/>
      </c>
      <c r="G186" s="491"/>
      <c r="H186" s="492" t="str">
        <f>IF(G186="","",INDEX(Lists!$BA$4:$BC$31,MATCH(E186,Lists!$AZ$4:$AZ$31,0),MATCH(G186,Lists!$BA$3:$BC$3,0)))</f>
        <v/>
      </c>
      <c r="I186" s="267"/>
      <c r="J186" s="490" t="str">
        <f t="shared" si="12"/>
        <v/>
      </c>
      <c r="K186" s="493" t="str" cm="1">
        <f t="array" ref="K186">IF(OR($E186="",$D186="",$I186="",$J186=""),"",IF(J186=L186,I186,(INDEX('Emission factors'!$K$3:$V$201,MATCH(E186&amp;F186,'Emission factors'!$J$3:$J$201&amp;'Emission factors'!$K$3:$K$201,0),MATCH(K$6,'Emission factors'!$K$2:$V$2,0)))*I186))</f>
        <v/>
      </c>
      <c r="L186" s="494" t="str">
        <f>IF(OR($E186="",$D186="",$I186="",$J186=""),"",INDEX('Emission factors'!$K$3:$V$201,MATCH('Buildings - Grid Electricity'!$E186,'Emission factors'!$J$3:$J$201,0),MATCH($L$6,'Emission factors'!$K$2:$V$2,0)))</f>
        <v/>
      </c>
      <c r="M186" s="495" t="str" cm="1">
        <f t="array" ref="M186">IF(OR(E186="",I186="",BuildingsElectricityTable[[#This Row],[Units]]=""),"",INDEX('Emission factors'!$K$3:$V$201,MATCH('Buildings - Grid Electricity'!$E186&amp;F186,'Emission factors'!$J$3:$J$201&amp;'Emission factors'!$K$3:$K$201,0),MATCH('Buildings - Grid Electricity'!$M$6,'Emission factors'!$K$2:$V$2,0)))</f>
        <v/>
      </c>
      <c r="N186" s="496" t="str">
        <f>IF(OR(K186="",M186=""),"",SUM(BuildingsElectricityTable[[#This Row],[Direct]:[Indirect WTT]]))</f>
        <v/>
      </c>
      <c r="O186" s="268"/>
      <c r="P186" s="497"/>
      <c r="Q186" s="157" t="str" cm="1">
        <f t="array" ref="Q186">IF(OR($E186="",$I186=""),"",(INDEX('Emission factors'!$K$3:$V$201,MATCH('Buildings - Grid Electricity'!$E186&amp;$F186,'Emission factors'!$J$3:$J$201&amp;'Emission factors'!$K$3:$K$201,0),MATCH('Buildings - Grid Electricity'!Q$6,'Emission factors'!$K$2:$V$2,0)))*$K186)</f>
        <v/>
      </c>
      <c r="R186" s="157" t="str" cm="1">
        <f t="array" ref="R186">IF(OR($E186="",$I186=""),"",(INDEX('Emission factors'!$K$3:$V$201,MATCH('Buildings - Grid Electricity'!$E186&amp;$F186,'Emission factors'!$J$3:$J$201&amp;'Emission factors'!$K$3:$K$201,0),MATCH('Buildings - Grid Electricity'!R$6,'Emission factors'!$K$2:$V$2,0)))*$K186)</f>
        <v/>
      </c>
      <c r="S186" s="157" t="str" cm="1">
        <f t="array" ref="S186">IF(OR($E186="",$I186=""),"",(INDEX('Emission factors'!$K$3:$V$201,MATCH('Buildings - Grid Electricity'!$E186&amp;$F186,'Emission factors'!$J$3:$J$201&amp;'Emission factors'!$K$3:$K$201,0),MATCH('Buildings - Grid Electricity'!S$6,'Emission factors'!$K$2:$V$2,0)))*$K186)</f>
        <v/>
      </c>
      <c r="T186" s="157" t="str" cm="1">
        <f t="array" ref="T186">IF(OR($E186="",$I186=""),"",(INDEX('Emission factors'!$K$3:$V$201,MATCH('Buildings - Grid Electricity'!$E186&amp;$F186,'Emission factors'!$J$3:$J$201&amp;'Emission factors'!$K$3:$K$201,0),MATCH('Buildings - Grid Electricity'!T$6,'Emission factors'!$K$2:$V$2,0)))*$K186)</f>
        <v/>
      </c>
      <c r="U186" s="157" t="str" cm="1">
        <f t="array" ref="U186">IF(OR($E186="",$I186=""),"",(INDEX('Emission factors'!$K$3:$V$201,MATCH('Buildings - Grid Electricity'!$E186&amp;$F186,'Emission factors'!$J$3:$J$201&amp;'Emission factors'!$K$3:$K$201,0),MATCH('Buildings - Grid Electricity'!U$6,'Emission factors'!$K$2:$V$2,0)))*$K186)</f>
        <v/>
      </c>
      <c r="V186" s="269" t="str">
        <f>IF(OR($N186="",BuildingsElectricityTable[[#This Row],[RSD]]=""),"",BuildingsElectricityTable[[#This Row],[Total emissions (kgCO2e)]]*(1+BuildingsElectricityTable[[#This Row],[RSD]]))</f>
        <v/>
      </c>
      <c r="W186" s="270" t="str">
        <f>IF(OR($N186="",BuildingsElectricityTable[[#This Row],[RSD]]=""),"",BuildingsElectricityTable[[#This Row],[Total emissions (kgCO2e)]]*(1-BuildingsElectricityTable[[#This Row],[RSD]]))</f>
        <v/>
      </c>
      <c r="X186" s="271" t="str" cm="1">
        <f t="array" ref="X186">IF(OR($E186="",$I186=""),"",(INDEX('Emission factors'!$K$3:$V$201,MATCH('Buildings - Grid Electricity'!$E186&amp;$F186,'Emission factors'!$J$3:$J$201&amp;'Emission factors'!$K$3:$K$201,0),MATCH('Buildings - Grid Electricity'!X$6,'Emission factors'!$K$2:$V$2,0)))*$K186)</f>
        <v/>
      </c>
      <c r="Y186" s="30"/>
      <c r="Z186" s="1" cm="1">
        <f t="array" ref="Z186">IF(OR(ISERROR(B186:X186)),1,0)</f>
        <v>0</v>
      </c>
      <c r="AA186" s="1">
        <f t="shared" si="13"/>
        <v>0</v>
      </c>
    </row>
    <row r="187" spans="1:27" ht="15" outlineLevel="1" thickBot="1" x14ac:dyDescent="0.4">
      <c r="A187" s="319"/>
      <c r="B187" s="216"/>
      <c r="C187" s="216"/>
      <c r="D187" s="489" t="str">
        <f>IFERROR(INDEX(BuildingInformationTable[Site type],MATCH(BuildingsElectricityTable[[#This Row],[Site name]],BuildingInformationTable[Site name],0)),"")</f>
        <v/>
      </c>
      <c r="E187" s="490" t="str">
        <f t="shared" si="10"/>
        <v/>
      </c>
      <c r="F187" s="490" t="str">
        <f t="shared" si="11"/>
        <v/>
      </c>
      <c r="G187" s="491"/>
      <c r="H187" s="492" t="str">
        <f>IF(G187="","",INDEX(Lists!$BA$4:$BC$31,MATCH(E187,Lists!$AZ$4:$AZ$31,0),MATCH(G187,Lists!$BA$3:$BC$3,0)))</f>
        <v/>
      </c>
      <c r="I187" s="267"/>
      <c r="J187" s="490" t="str">
        <f t="shared" si="12"/>
        <v/>
      </c>
      <c r="K187" s="493" t="str" cm="1">
        <f t="array" ref="K187">IF(OR($E187="",$D187="",$I187="",$J187=""),"",IF(J187=L187,I187,(INDEX('Emission factors'!$K$3:$V$201,MATCH(E187&amp;F187,'Emission factors'!$J$3:$J$201&amp;'Emission factors'!$K$3:$K$201,0),MATCH(K$6,'Emission factors'!$K$2:$V$2,0)))*I187))</f>
        <v/>
      </c>
      <c r="L187" s="494" t="str">
        <f>IF(OR($E187="",$D187="",$I187="",$J187=""),"",INDEX('Emission factors'!$K$3:$V$201,MATCH('Buildings - Grid Electricity'!$E187,'Emission factors'!$J$3:$J$201,0),MATCH($L$6,'Emission factors'!$K$2:$V$2,0)))</f>
        <v/>
      </c>
      <c r="M187" s="495" t="str" cm="1">
        <f t="array" ref="M187">IF(OR(E187="",I187="",BuildingsElectricityTable[[#This Row],[Units]]=""),"",INDEX('Emission factors'!$K$3:$V$201,MATCH('Buildings - Grid Electricity'!$E187&amp;F187,'Emission factors'!$J$3:$J$201&amp;'Emission factors'!$K$3:$K$201,0),MATCH('Buildings - Grid Electricity'!$M$6,'Emission factors'!$K$2:$V$2,0)))</f>
        <v/>
      </c>
      <c r="N187" s="496" t="str">
        <f>IF(OR(K187="",M187=""),"",SUM(BuildingsElectricityTable[[#This Row],[Direct]:[Indirect WTT]]))</f>
        <v/>
      </c>
      <c r="O187" s="268"/>
      <c r="P187" s="497"/>
      <c r="Q187" s="157" t="str" cm="1">
        <f t="array" ref="Q187">IF(OR($E187="",$I187=""),"",(INDEX('Emission factors'!$K$3:$V$201,MATCH('Buildings - Grid Electricity'!$E187&amp;$F187,'Emission factors'!$J$3:$J$201&amp;'Emission factors'!$K$3:$K$201,0),MATCH('Buildings - Grid Electricity'!Q$6,'Emission factors'!$K$2:$V$2,0)))*$K187)</f>
        <v/>
      </c>
      <c r="R187" s="157" t="str" cm="1">
        <f t="array" ref="R187">IF(OR($E187="",$I187=""),"",(INDEX('Emission factors'!$K$3:$V$201,MATCH('Buildings - Grid Electricity'!$E187&amp;$F187,'Emission factors'!$J$3:$J$201&amp;'Emission factors'!$K$3:$K$201,0),MATCH('Buildings - Grid Electricity'!R$6,'Emission factors'!$K$2:$V$2,0)))*$K187)</f>
        <v/>
      </c>
      <c r="S187" s="157" t="str" cm="1">
        <f t="array" ref="S187">IF(OR($E187="",$I187=""),"",(INDEX('Emission factors'!$K$3:$V$201,MATCH('Buildings - Grid Electricity'!$E187&amp;$F187,'Emission factors'!$J$3:$J$201&amp;'Emission factors'!$K$3:$K$201,0),MATCH('Buildings - Grid Electricity'!S$6,'Emission factors'!$K$2:$V$2,0)))*$K187)</f>
        <v/>
      </c>
      <c r="T187" s="157" t="str" cm="1">
        <f t="array" ref="T187">IF(OR($E187="",$I187=""),"",(INDEX('Emission factors'!$K$3:$V$201,MATCH('Buildings - Grid Electricity'!$E187&amp;$F187,'Emission factors'!$J$3:$J$201&amp;'Emission factors'!$K$3:$K$201,0),MATCH('Buildings - Grid Electricity'!T$6,'Emission factors'!$K$2:$V$2,0)))*$K187)</f>
        <v/>
      </c>
      <c r="U187" s="157" t="str" cm="1">
        <f t="array" ref="U187">IF(OR($E187="",$I187=""),"",(INDEX('Emission factors'!$K$3:$V$201,MATCH('Buildings - Grid Electricity'!$E187&amp;$F187,'Emission factors'!$J$3:$J$201&amp;'Emission factors'!$K$3:$K$201,0),MATCH('Buildings - Grid Electricity'!U$6,'Emission factors'!$K$2:$V$2,0)))*$K187)</f>
        <v/>
      </c>
      <c r="V187" s="269" t="str">
        <f>IF(OR($N187="",BuildingsElectricityTable[[#This Row],[RSD]]=""),"",BuildingsElectricityTable[[#This Row],[Total emissions (kgCO2e)]]*(1+BuildingsElectricityTable[[#This Row],[RSD]]))</f>
        <v/>
      </c>
      <c r="W187" s="270" t="str">
        <f>IF(OR($N187="",BuildingsElectricityTable[[#This Row],[RSD]]=""),"",BuildingsElectricityTable[[#This Row],[Total emissions (kgCO2e)]]*(1-BuildingsElectricityTable[[#This Row],[RSD]]))</f>
        <v/>
      </c>
      <c r="X187" s="271" t="str" cm="1">
        <f t="array" ref="X187">IF(OR($E187="",$I187=""),"",(INDEX('Emission factors'!$K$3:$V$201,MATCH('Buildings - Grid Electricity'!$E187&amp;$F187,'Emission factors'!$J$3:$J$201&amp;'Emission factors'!$K$3:$K$201,0),MATCH('Buildings - Grid Electricity'!X$6,'Emission factors'!$K$2:$V$2,0)))*$K187)</f>
        <v/>
      </c>
      <c r="Y187" s="30"/>
      <c r="Z187" s="1" cm="1">
        <f t="array" ref="Z187">IF(OR(ISERROR(B187:X187)),1,0)</f>
        <v>0</v>
      </c>
      <c r="AA187" s="1">
        <f t="shared" si="13"/>
        <v>0</v>
      </c>
    </row>
    <row r="188" spans="1:27" ht="15" outlineLevel="1" thickBot="1" x14ac:dyDescent="0.4">
      <c r="A188" s="319"/>
      <c r="B188" s="216"/>
      <c r="C188" s="216"/>
      <c r="D188" s="489" t="str">
        <f>IFERROR(INDEX(BuildingInformationTable[Site type],MATCH(BuildingsElectricityTable[[#This Row],[Site name]],BuildingInformationTable[Site name],0)),"")</f>
        <v/>
      </c>
      <c r="E188" s="490" t="str">
        <f t="shared" si="10"/>
        <v/>
      </c>
      <c r="F188" s="490" t="str">
        <f t="shared" si="11"/>
        <v/>
      </c>
      <c r="G188" s="491"/>
      <c r="H188" s="492" t="str">
        <f>IF(G188="","",INDEX(Lists!$BA$4:$BC$31,MATCH(E188,Lists!$AZ$4:$AZ$31,0),MATCH(G188,Lists!$BA$3:$BC$3,0)))</f>
        <v/>
      </c>
      <c r="I188" s="267"/>
      <c r="J188" s="490" t="str">
        <f t="shared" si="12"/>
        <v/>
      </c>
      <c r="K188" s="493" t="str" cm="1">
        <f t="array" ref="K188">IF(OR($E188="",$D188="",$I188="",$J188=""),"",IF(J188=L188,I188,(INDEX('Emission factors'!$K$3:$V$201,MATCH(E188&amp;F188,'Emission factors'!$J$3:$J$201&amp;'Emission factors'!$K$3:$K$201,0),MATCH(K$6,'Emission factors'!$K$2:$V$2,0)))*I188))</f>
        <v/>
      </c>
      <c r="L188" s="494" t="str">
        <f>IF(OR($E188="",$D188="",$I188="",$J188=""),"",INDEX('Emission factors'!$K$3:$V$201,MATCH('Buildings - Grid Electricity'!$E188,'Emission factors'!$J$3:$J$201,0),MATCH($L$6,'Emission factors'!$K$2:$V$2,0)))</f>
        <v/>
      </c>
      <c r="M188" s="495" t="str" cm="1">
        <f t="array" ref="M188">IF(OR(E188="",I188="",BuildingsElectricityTable[[#This Row],[Units]]=""),"",INDEX('Emission factors'!$K$3:$V$201,MATCH('Buildings - Grid Electricity'!$E188&amp;F188,'Emission factors'!$J$3:$J$201&amp;'Emission factors'!$K$3:$K$201,0),MATCH('Buildings - Grid Electricity'!$M$6,'Emission factors'!$K$2:$V$2,0)))</f>
        <v/>
      </c>
      <c r="N188" s="496" t="str">
        <f>IF(OR(K188="",M188=""),"",SUM(BuildingsElectricityTable[[#This Row],[Direct]:[Indirect WTT]]))</f>
        <v/>
      </c>
      <c r="O188" s="268"/>
      <c r="P188" s="497"/>
      <c r="Q188" s="157" t="str" cm="1">
        <f t="array" ref="Q188">IF(OR($E188="",$I188=""),"",(INDEX('Emission factors'!$K$3:$V$201,MATCH('Buildings - Grid Electricity'!$E188&amp;$F188,'Emission factors'!$J$3:$J$201&amp;'Emission factors'!$K$3:$K$201,0),MATCH('Buildings - Grid Electricity'!Q$6,'Emission factors'!$K$2:$V$2,0)))*$K188)</f>
        <v/>
      </c>
      <c r="R188" s="157" t="str" cm="1">
        <f t="array" ref="R188">IF(OR($E188="",$I188=""),"",(INDEX('Emission factors'!$K$3:$V$201,MATCH('Buildings - Grid Electricity'!$E188&amp;$F188,'Emission factors'!$J$3:$J$201&amp;'Emission factors'!$K$3:$K$201,0),MATCH('Buildings - Grid Electricity'!R$6,'Emission factors'!$K$2:$V$2,0)))*$K188)</f>
        <v/>
      </c>
      <c r="S188" s="157" t="str" cm="1">
        <f t="array" ref="S188">IF(OR($E188="",$I188=""),"",(INDEX('Emission factors'!$K$3:$V$201,MATCH('Buildings - Grid Electricity'!$E188&amp;$F188,'Emission factors'!$J$3:$J$201&amp;'Emission factors'!$K$3:$K$201,0),MATCH('Buildings - Grid Electricity'!S$6,'Emission factors'!$K$2:$V$2,0)))*$K188)</f>
        <v/>
      </c>
      <c r="T188" s="157" t="str" cm="1">
        <f t="array" ref="T188">IF(OR($E188="",$I188=""),"",(INDEX('Emission factors'!$K$3:$V$201,MATCH('Buildings - Grid Electricity'!$E188&amp;$F188,'Emission factors'!$J$3:$J$201&amp;'Emission factors'!$K$3:$K$201,0),MATCH('Buildings - Grid Electricity'!T$6,'Emission factors'!$K$2:$V$2,0)))*$K188)</f>
        <v/>
      </c>
      <c r="U188" s="157" t="str" cm="1">
        <f t="array" ref="U188">IF(OR($E188="",$I188=""),"",(INDEX('Emission factors'!$K$3:$V$201,MATCH('Buildings - Grid Electricity'!$E188&amp;$F188,'Emission factors'!$J$3:$J$201&amp;'Emission factors'!$K$3:$K$201,0),MATCH('Buildings - Grid Electricity'!U$6,'Emission factors'!$K$2:$V$2,0)))*$K188)</f>
        <v/>
      </c>
      <c r="V188" s="269" t="str">
        <f>IF(OR($N188="",BuildingsElectricityTable[[#This Row],[RSD]]=""),"",BuildingsElectricityTable[[#This Row],[Total emissions (kgCO2e)]]*(1+BuildingsElectricityTable[[#This Row],[RSD]]))</f>
        <v/>
      </c>
      <c r="W188" s="270" t="str">
        <f>IF(OR($N188="",BuildingsElectricityTable[[#This Row],[RSD]]=""),"",BuildingsElectricityTable[[#This Row],[Total emissions (kgCO2e)]]*(1-BuildingsElectricityTable[[#This Row],[RSD]]))</f>
        <v/>
      </c>
      <c r="X188" s="271" t="str" cm="1">
        <f t="array" ref="X188">IF(OR($E188="",$I188=""),"",(INDEX('Emission factors'!$K$3:$V$201,MATCH('Buildings - Grid Electricity'!$E188&amp;$F188,'Emission factors'!$J$3:$J$201&amp;'Emission factors'!$K$3:$K$201,0),MATCH('Buildings - Grid Electricity'!X$6,'Emission factors'!$K$2:$V$2,0)))*$K188)</f>
        <v/>
      </c>
      <c r="Y188" s="30"/>
      <c r="Z188" s="1" cm="1">
        <f t="array" ref="Z188">IF(OR(ISERROR(B188:X188)),1,0)</f>
        <v>0</v>
      </c>
      <c r="AA188" s="1">
        <f t="shared" si="13"/>
        <v>0</v>
      </c>
    </row>
    <row r="189" spans="1:27" ht="15" outlineLevel="1" thickBot="1" x14ac:dyDescent="0.4">
      <c r="A189" s="319"/>
      <c r="B189" s="216"/>
      <c r="C189" s="216"/>
      <c r="D189" s="489" t="str">
        <f>IFERROR(INDEX(BuildingInformationTable[Site type],MATCH(BuildingsElectricityTable[[#This Row],[Site name]],BuildingInformationTable[Site name],0)),"")</f>
        <v/>
      </c>
      <c r="E189" s="490" t="str">
        <f t="shared" si="10"/>
        <v/>
      </c>
      <c r="F189" s="490" t="str">
        <f t="shared" si="11"/>
        <v/>
      </c>
      <c r="G189" s="491"/>
      <c r="H189" s="492" t="str">
        <f>IF(G189="","",INDEX(Lists!$BA$4:$BC$31,MATCH(E189,Lists!$AZ$4:$AZ$31,0),MATCH(G189,Lists!$BA$3:$BC$3,0)))</f>
        <v/>
      </c>
      <c r="I189" s="267"/>
      <c r="J189" s="490" t="str">
        <f t="shared" si="12"/>
        <v/>
      </c>
      <c r="K189" s="493" t="str" cm="1">
        <f t="array" ref="K189">IF(OR($E189="",$D189="",$I189="",$J189=""),"",IF(J189=L189,I189,(INDEX('Emission factors'!$K$3:$V$201,MATCH(E189&amp;F189,'Emission factors'!$J$3:$J$201&amp;'Emission factors'!$K$3:$K$201,0),MATCH(K$6,'Emission factors'!$K$2:$V$2,0)))*I189))</f>
        <v/>
      </c>
      <c r="L189" s="494" t="str">
        <f>IF(OR($E189="",$D189="",$I189="",$J189=""),"",INDEX('Emission factors'!$K$3:$V$201,MATCH('Buildings - Grid Electricity'!$E189,'Emission factors'!$J$3:$J$201,0),MATCH($L$6,'Emission factors'!$K$2:$V$2,0)))</f>
        <v/>
      </c>
      <c r="M189" s="495" t="str" cm="1">
        <f t="array" ref="M189">IF(OR(E189="",I189="",BuildingsElectricityTable[[#This Row],[Units]]=""),"",INDEX('Emission factors'!$K$3:$V$201,MATCH('Buildings - Grid Electricity'!$E189&amp;F189,'Emission factors'!$J$3:$J$201&amp;'Emission factors'!$K$3:$K$201,0),MATCH('Buildings - Grid Electricity'!$M$6,'Emission factors'!$K$2:$V$2,0)))</f>
        <v/>
      </c>
      <c r="N189" s="496" t="str">
        <f>IF(OR(K189="",M189=""),"",SUM(BuildingsElectricityTable[[#This Row],[Direct]:[Indirect WTT]]))</f>
        <v/>
      </c>
      <c r="O189" s="268"/>
      <c r="P189" s="497"/>
      <c r="Q189" s="157" t="str" cm="1">
        <f t="array" ref="Q189">IF(OR($E189="",$I189=""),"",(INDEX('Emission factors'!$K$3:$V$201,MATCH('Buildings - Grid Electricity'!$E189&amp;$F189,'Emission factors'!$J$3:$J$201&amp;'Emission factors'!$K$3:$K$201,0),MATCH('Buildings - Grid Electricity'!Q$6,'Emission factors'!$K$2:$V$2,0)))*$K189)</f>
        <v/>
      </c>
      <c r="R189" s="157" t="str" cm="1">
        <f t="array" ref="R189">IF(OR($E189="",$I189=""),"",(INDEX('Emission factors'!$K$3:$V$201,MATCH('Buildings - Grid Electricity'!$E189&amp;$F189,'Emission factors'!$J$3:$J$201&amp;'Emission factors'!$K$3:$K$201,0),MATCH('Buildings - Grid Electricity'!R$6,'Emission factors'!$K$2:$V$2,0)))*$K189)</f>
        <v/>
      </c>
      <c r="S189" s="157" t="str" cm="1">
        <f t="array" ref="S189">IF(OR($E189="",$I189=""),"",(INDEX('Emission factors'!$K$3:$V$201,MATCH('Buildings - Grid Electricity'!$E189&amp;$F189,'Emission factors'!$J$3:$J$201&amp;'Emission factors'!$K$3:$K$201,0),MATCH('Buildings - Grid Electricity'!S$6,'Emission factors'!$K$2:$V$2,0)))*$K189)</f>
        <v/>
      </c>
      <c r="T189" s="157" t="str" cm="1">
        <f t="array" ref="T189">IF(OR($E189="",$I189=""),"",(INDEX('Emission factors'!$K$3:$V$201,MATCH('Buildings - Grid Electricity'!$E189&amp;$F189,'Emission factors'!$J$3:$J$201&amp;'Emission factors'!$K$3:$K$201,0),MATCH('Buildings - Grid Electricity'!T$6,'Emission factors'!$K$2:$V$2,0)))*$K189)</f>
        <v/>
      </c>
      <c r="U189" s="157" t="str" cm="1">
        <f t="array" ref="U189">IF(OR($E189="",$I189=""),"",(INDEX('Emission factors'!$K$3:$V$201,MATCH('Buildings - Grid Electricity'!$E189&amp;$F189,'Emission factors'!$J$3:$J$201&amp;'Emission factors'!$K$3:$K$201,0),MATCH('Buildings - Grid Electricity'!U$6,'Emission factors'!$K$2:$V$2,0)))*$K189)</f>
        <v/>
      </c>
      <c r="V189" s="269" t="str">
        <f>IF(OR($N189="",BuildingsElectricityTable[[#This Row],[RSD]]=""),"",BuildingsElectricityTable[[#This Row],[Total emissions (kgCO2e)]]*(1+BuildingsElectricityTable[[#This Row],[RSD]]))</f>
        <v/>
      </c>
      <c r="W189" s="270" t="str">
        <f>IF(OR($N189="",BuildingsElectricityTable[[#This Row],[RSD]]=""),"",BuildingsElectricityTable[[#This Row],[Total emissions (kgCO2e)]]*(1-BuildingsElectricityTable[[#This Row],[RSD]]))</f>
        <v/>
      </c>
      <c r="X189" s="271" t="str" cm="1">
        <f t="array" ref="X189">IF(OR($E189="",$I189=""),"",(INDEX('Emission factors'!$K$3:$V$201,MATCH('Buildings - Grid Electricity'!$E189&amp;$F189,'Emission factors'!$J$3:$J$201&amp;'Emission factors'!$K$3:$K$201,0),MATCH('Buildings - Grid Electricity'!X$6,'Emission factors'!$K$2:$V$2,0)))*$K189)</f>
        <v/>
      </c>
      <c r="Y189" s="30"/>
      <c r="Z189" s="1" cm="1">
        <f t="array" ref="Z189">IF(OR(ISERROR(B189:X189)),1,0)</f>
        <v>0</v>
      </c>
      <c r="AA189" s="1">
        <f t="shared" si="13"/>
        <v>0</v>
      </c>
    </row>
    <row r="190" spans="1:27" ht="15" outlineLevel="1" thickBot="1" x14ac:dyDescent="0.4">
      <c r="A190" s="319"/>
      <c r="B190" s="216"/>
      <c r="C190" s="216"/>
      <c r="D190" s="489" t="str">
        <f>IFERROR(INDEX(BuildingInformationTable[Site type],MATCH(BuildingsElectricityTable[[#This Row],[Site name]],BuildingInformationTable[Site name],0)),"")</f>
        <v/>
      </c>
      <c r="E190" s="490" t="str">
        <f t="shared" si="10"/>
        <v/>
      </c>
      <c r="F190" s="490" t="str">
        <f t="shared" si="11"/>
        <v/>
      </c>
      <c r="G190" s="491"/>
      <c r="H190" s="492" t="str">
        <f>IF(G190="","",INDEX(Lists!$BA$4:$BC$31,MATCH(E190,Lists!$AZ$4:$AZ$31,0),MATCH(G190,Lists!$BA$3:$BC$3,0)))</f>
        <v/>
      </c>
      <c r="I190" s="267"/>
      <c r="J190" s="490" t="str">
        <f t="shared" si="12"/>
        <v/>
      </c>
      <c r="K190" s="493" t="str" cm="1">
        <f t="array" ref="K190">IF(OR($E190="",$D190="",$I190="",$J190=""),"",IF(J190=L190,I190,(INDEX('Emission factors'!$K$3:$V$201,MATCH(E190&amp;F190,'Emission factors'!$J$3:$J$201&amp;'Emission factors'!$K$3:$K$201,0),MATCH(K$6,'Emission factors'!$K$2:$V$2,0)))*I190))</f>
        <v/>
      </c>
      <c r="L190" s="494" t="str">
        <f>IF(OR($E190="",$D190="",$I190="",$J190=""),"",INDEX('Emission factors'!$K$3:$V$201,MATCH('Buildings - Grid Electricity'!$E190,'Emission factors'!$J$3:$J$201,0),MATCH($L$6,'Emission factors'!$K$2:$V$2,0)))</f>
        <v/>
      </c>
      <c r="M190" s="495" t="str" cm="1">
        <f t="array" ref="M190">IF(OR(E190="",I190="",BuildingsElectricityTable[[#This Row],[Units]]=""),"",INDEX('Emission factors'!$K$3:$V$201,MATCH('Buildings - Grid Electricity'!$E190&amp;F190,'Emission factors'!$J$3:$J$201&amp;'Emission factors'!$K$3:$K$201,0),MATCH('Buildings - Grid Electricity'!$M$6,'Emission factors'!$K$2:$V$2,0)))</f>
        <v/>
      </c>
      <c r="N190" s="496" t="str">
        <f>IF(OR(K190="",M190=""),"",SUM(BuildingsElectricityTable[[#This Row],[Direct]:[Indirect WTT]]))</f>
        <v/>
      </c>
      <c r="O190" s="268"/>
      <c r="P190" s="497"/>
      <c r="Q190" s="157" t="str" cm="1">
        <f t="array" ref="Q190">IF(OR($E190="",$I190=""),"",(INDEX('Emission factors'!$K$3:$V$201,MATCH('Buildings - Grid Electricity'!$E190&amp;$F190,'Emission factors'!$J$3:$J$201&amp;'Emission factors'!$K$3:$K$201,0),MATCH('Buildings - Grid Electricity'!Q$6,'Emission factors'!$K$2:$V$2,0)))*$K190)</f>
        <v/>
      </c>
      <c r="R190" s="157" t="str" cm="1">
        <f t="array" ref="R190">IF(OR($E190="",$I190=""),"",(INDEX('Emission factors'!$K$3:$V$201,MATCH('Buildings - Grid Electricity'!$E190&amp;$F190,'Emission factors'!$J$3:$J$201&amp;'Emission factors'!$K$3:$K$201,0),MATCH('Buildings - Grid Electricity'!R$6,'Emission factors'!$K$2:$V$2,0)))*$K190)</f>
        <v/>
      </c>
      <c r="S190" s="157" t="str" cm="1">
        <f t="array" ref="S190">IF(OR($E190="",$I190=""),"",(INDEX('Emission factors'!$K$3:$V$201,MATCH('Buildings - Grid Electricity'!$E190&amp;$F190,'Emission factors'!$J$3:$J$201&amp;'Emission factors'!$K$3:$K$201,0),MATCH('Buildings - Grid Electricity'!S$6,'Emission factors'!$K$2:$V$2,0)))*$K190)</f>
        <v/>
      </c>
      <c r="T190" s="157" t="str" cm="1">
        <f t="array" ref="T190">IF(OR($E190="",$I190=""),"",(INDEX('Emission factors'!$K$3:$V$201,MATCH('Buildings - Grid Electricity'!$E190&amp;$F190,'Emission factors'!$J$3:$J$201&amp;'Emission factors'!$K$3:$K$201,0),MATCH('Buildings - Grid Electricity'!T$6,'Emission factors'!$K$2:$V$2,0)))*$K190)</f>
        <v/>
      </c>
      <c r="U190" s="157" t="str" cm="1">
        <f t="array" ref="U190">IF(OR($E190="",$I190=""),"",(INDEX('Emission factors'!$K$3:$V$201,MATCH('Buildings - Grid Electricity'!$E190&amp;$F190,'Emission factors'!$J$3:$J$201&amp;'Emission factors'!$K$3:$K$201,0),MATCH('Buildings - Grid Electricity'!U$6,'Emission factors'!$K$2:$V$2,0)))*$K190)</f>
        <v/>
      </c>
      <c r="V190" s="269" t="str">
        <f>IF(OR($N190="",BuildingsElectricityTable[[#This Row],[RSD]]=""),"",BuildingsElectricityTable[[#This Row],[Total emissions (kgCO2e)]]*(1+BuildingsElectricityTable[[#This Row],[RSD]]))</f>
        <v/>
      </c>
      <c r="W190" s="270" t="str">
        <f>IF(OR($N190="",BuildingsElectricityTable[[#This Row],[RSD]]=""),"",BuildingsElectricityTable[[#This Row],[Total emissions (kgCO2e)]]*(1-BuildingsElectricityTable[[#This Row],[RSD]]))</f>
        <v/>
      </c>
      <c r="X190" s="271" t="str" cm="1">
        <f t="array" ref="X190">IF(OR($E190="",$I190=""),"",(INDEX('Emission factors'!$K$3:$V$201,MATCH('Buildings - Grid Electricity'!$E190&amp;$F190,'Emission factors'!$J$3:$J$201&amp;'Emission factors'!$K$3:$K$201,0),MATCH('Buildings - Grid Electricity'!X$6,'Emission factors'!$K$2:$V$2,0)))*$K190)</f>
        <v/>
      </c>
      <c r="Y190" s="30"/>
      <c r="Z190" s="1" cm="1">
        <f t="array" ref="Z190">IF(OR(ISERROR(B190:X190)),1,0)</f>
        <v>0</v>
      </c>
      <c r="AA190" s="1">
        <f t="shared" si="13"/>
        <v>0</v>
      </c>
    </row>
    <row r="191" spans="1:27" ht="15" outlineLevel="1" thickBot="1" x14ac:dyDescent="0.4">
      <c r="A191" s="319"/>
      <c r="B191" s="216"/>
      <c r="C191" s="216"/>
      <c r="D191" s="489" t="str">
        <f>IFERROR(INDEX(BuildingInformationTable[Site type],MATCH(BuildingsElectricityTable[[#This Row],[Site name]],BuildingInformationTable[Site name],0)),"")</f>
        <v/>
      </c>
      <c r="E191" s="490" t="str">
        <f t="shared" si="10"/>
        <v/>
      </c>
      <c r="F191" s="490" t="str">
        <f t="shared" si="11"/>
        <v/>
      </c>
      <c r="G191" s="491"/>
      <c r="H191" s="492" t="str">
        <f>IF(G191="","",INDEX(Lists!$BA$4:$BC$31,MATCH(E191,Lists!$AZ$4:$AZ$31,0),MATCH(G191,Lists!$BA$3:$BC$3,0)))</f>
        <v/>
      </c>
      <c r="I191" s="267"/>
      <c r="J191" s="490" t="str">
        <f t="shared" si="12"/>
        <v/>
      </c>
      <c r="K191" s="493" t="str" cm="1">
        <f t="array" ref="K191">IF(OR($E191="",$D191="",$I191="",$J191=""),"",IF(J191=L191,I191,(INDEX('Emission factors'!$K$3:$V$201,MATCH(E191&amp;F191,'Emission factors'!$J$3:$J$201&amp;'Emission factors'!$K$3:$K$201,0),MATCH(K$6,'Emission factors'!$K$2:$V$2,0)))*I191))</f>
        <v/>
      </c>
      <c r="L191" s="494" t="str">
        <f>IF(OR($E191="",$D191="",$I191="",$J191=""),"",INDEX('Emission factors'!$K$3:$V$201,MATCH('Buildings - Grid Electricity'!$E191,'Emission factors'!$J$3:$J$201,0),MATCH($L$6,'Emission factors'!$K$2:$V$2,0)))</f>
        <v/>
      </c>
      <c r="M191" s="495" t="str" cm="1">
        <f t="array" ref="M191">IF(OR(E191="",I191="",BuildingsElectricityTable[[#This Row],[Units]]=""),"",INDEX('Emission factors'!$K$3:$V$201,MATCH('Buildings - Grid Electricity'!$E191&amp;F191,'Emission factors'!$J$3:$J$201&amp;'Emission factors'!$K$3:$K$201,0),MATCH('Buildings - Grid Electricity'!$M$6,'Emission factors'!$K$2:$V$2,0)))</f>
        <v/>
      </c>
      <c r="N191" s="496" t="str">
        <f>IF(OR(K191="",M191=""),"",SUM(BuildingsElectricityTable[[#This Row],[Direct]:[Indirect WTT]]))</f>
        <v/>
      </c>
      <c r="O191" s="268"/>
      <c r="P191" s="497"/>
      <c r="Q191" s="157" t="str" cm="1">
        <f t="array" ref="Q191">IF(OR($E191="",$I191=""),"",(INDEX('Emission factors'!$K$3:$V$201,MATCH('Buildings - Grid Electricity'!$E191&amp;$F191,'Emission factors'!$J$3:$J$201&amp;'Emission factors'!$K$3:$K$201,0),MATCH('Buildings - Grid Electricity'!Q$6,'Emission factors'!$K$2:$V$2,0)))*$K191)</f>
        <v/>
      </c>
      <c r="R191" s="157" t="str" cm="1">
        <f t="array" ref="R191">IF(OR($E191="",$I191=""),"",(INDEX('Emission factors'!$K$3:$V$201,MATCH('Buildings - Grid Electricity'!$E191&amp;$F191,'Emission factors'!$J$3:$J$201&amp;'Emission factors'!$K$3:$K$201,0),MATCH('Buildings - Grid Electricity'!R$6,'Emission factors'!$K$2:$V$2,0)))*$K191)</f>
        <v/>
      </c>
      <c r="S191" s="157" t="str" cm="1">
        <f t="array" ref="S191">IF(OR($E191="",$I191=""),"",(INDEX('Emission factors'!$K$3:$V$201,MATCH('Buildings - Grid Electricity'!$E191&amp;$F191,'Emission factors'!$J$3:$J$201&amp;'Emission factors'!$K$3:$K$201,0),MATCH('Buildings - Grid Electricity'!S$6,'Emission factors'!$K$2:$V$2,0)))*$K191)</f>
        <v/>
      </c>
      <c r="T191" s="157" t="str" cm="1">
        <f t="array" ref="T191">IF(OR($E191="",$I191=""),"",(INDEX('Emission factors'!$K$3:$V$201,MATCH('Buildings - Grid Electricity'!$E191&amp;$F191,'Emission factors'!$J$3:$J$201&amp;'Emission factors'!$K$3:$K$201,0),MATCH('Buildings - Grid Electricity'!T$6,'Emission factors'!$K$2:$V$2,0)))*$K191)</f>
        <v/>
      </c>
      <c r="U191" s="157" t="str" cm="1">
        <f t="array" ref="U191">IF(OR($E191="",$I191=""),"",(INDEX('Emission factors'!$K$3:$V$201,MATCH('Buildings - Grid Electricity'!$E191&amp;$F191,'Emission factors'!$J$3:$J$201&amp;'Emission factors'!$K$3:$K$201,0),MATCH('Buildings - Grid Electricity'!U$6,'Emission factors'!$K$2:$V$2,0)))*$K191)</f>
        <v/>
      </c>
      <c r="V191" s="269" t="str">
        <f>IF(OR($N191="",BuildingsElectricityTable[[#This Row],[RSD]]=""),"",BuildingsElectricityTable[[#This Row],[Total emissions (kgCO2e)]]*(1+BuildingsElectricityTable[[#This Row],[RSD]]))</f>
        <v/>
      </c>
      <c r="W191" s="270" t="str">
        <f>IF(OR($N191="",BuildingsElectricityTable[[#This Row],[RSD]]=""),"",BuildingsElectricityTable[[#This Row],[Total emissions (kgCO2e)]]*(1-BuildingsElectricityTable[[#This Row],[RSD]]))</f>
        <v/>
      </c>
      <c r="X191" s="271" t="str" cm="1">
        <f t="array" ref="X191">IF(OR($E191="",$I191=""),"",(INDEX('Emission factors'!$K$3:$V$201,MATCH('Buildings - Grid Electricity'!$E191&amp;$F191,'Emission factors'!$J$3:$J$201&amp;'Emission factors'!$K$3:$K$201,0),MATCH('Buildings - Grid Electricity'!X$6,'Emission factors'!$K$2:$V$2,0)))*$K191)</f>
        <v/>
      </c>
      <c r="Y191" s="30"/>
      <c r="Z191" s="1" cm="1">
        <f t="array" ref="Z191">IF(OR(ISERROR(B191:X191)),1,0)</f>
        <v>0</v>
      </c>
      <c r="AA191" s="1">
        <f t="shared" si="13"/>
        <v>0</v>
      </c>
    </row>
    <row r="192" spans="1:27" ht="15" outlineLevel="1" thickBot="1" x14ac:dyDescent="0.4">
      <c r="A192" s="319"/>
      <c r="B192" s="216"/>
      <c r="C192" s="216"/>
      <c r="D192" s="489" t="str">
        <f>IFERROR(INDEX(BuildingInformationTable[Site type],MATCH(BuildingsElectricityTable[[#This Row],[Site name]],BuildingInformationTable[Site name],0)),"")</f>
        <v/>
      </c>
      <c r="E192" s="490" t="str">
        <f t="shared" si="10"/>
        <v/>
      </c>
      <c r="F192" s="490" t="str">
        <f t="shared" si="11"/>
        <v/>
      </c>
      <c r="G192" s="491"/>
      <c r="H192" s="492" t="str">
        <f>IF(G192="","",INDEX(Lists!$BA$4:$BC$31,MATCH(E192,Lists!$AZ$4:$AZ$31,0),MATCH(G192,Lists!$BA$3:$BC$3,0)))</f>
        <v/>
      </c>
      <c r="I192" s="267"/>
      <c r="J192" s="490" t="str">
        <f t="shared" si="12"/>
        <v/>
      </c>
      <c r="K192" s="493" t="str" cm="1">
        <f t="array" ref="K192">IF(OR($E192="",$D192="",$I192="",$J192=""),"",IF(J192=L192,I192,(INDEX('Emission factors'!$K$3:$V$201,MATCH(E192&amp;F192,'Emission factors'!$J$3:$J$201&amp;'Emission factors'!$K$3:$K$201,0),MATCH(K$6,'Emission factors'!$K$2:$V$2,0)))*I192))</f>
        <v/>
      </c>
      <c r="L192" s="494" t="str">
        <f>IF(OR($E192="",$D192="",$I192="",$J192=""),"",INDEX('Emission factors'!$K$3:$V$201,MATCH('Buildings - Grid Electricity'!$E192,'Emission factors'!$J$3:$J$201,0),MATCH($L$6,'Emission factors'!$K$2:$V$2,0)))</f>
        <v/>
      </c>
      <c r="M192" s="495" t="str" cm="1">
        <f t="array" ref="M192">IF(OR(E192="",I192="",BuildingsElectricityTable[[#This Row],[Units]]=""),"",INDEX('Emission factors'!$K$3:$V$201,MATCH('Buildings - Grid Electricity'!$E192&amp;F192,'Emission factors'!$J$3:$J$201&amp;'Emission factors'!$K$3:$K$201,0),MATCH('Buildings - Grid Electricity'!$M$6,'Emission factors'!$K$2:$V$2,0)))</f>
        <v/>
      </c>
      <c r="N192" s="496" t="str">
        <f>IF(OR(K192="",M192=""),"",SUM(BuildingsElectricityTable[[#This Row],[Direct]:[Indirect WTT]]))</f>
        <v/>
      </c>
      <c r="O192" s="268"/>
      <c r="P192" s="497"/>
      <c r="Q192" s="157" t="str" cm="1">
        <f t="array" ref="Q192">IF(OR($E192="",$I192=""),"",(INDEX('Emission factors'!$K$3:$V$201,MATCH('Buildings - Grid Electricity'!$E192&amp;$F192,'Emission factors'!$J$3:$J$201&amp;'Emission factors'!$K$3:$K$201,0),MATCH('Buildings - Grid Electricity'!Q$6,'Emission factors'!$K$2:$V$2,0)))*$K192)</f>
        <v/>
      </c>
      <c r="R192" s="157" t="str" cm="1">
        <f t="array" ref="R192">IF(OR($E192="",$I192=""),"",(INDEX('Emission factors'!$K$3:$V$201,MATCH('Buildings - Grid Electricity'!$E192&amp;$F192,'Emission factors'!$J$3:$J$201&amp;'Emission factors'!$K$3:$K$201,0),MATCH('Buildings - Grid Electricity'!R$6,'Emission factors'!$K$2:$V$2,0)))*$K192)</f>
        <v/>
      </c>
      <c r="S192" s="157" t="str" cm="1">
        <f t="array" ref="S192">IF(OR($E192="",$I192=""),"",(INDEX('Emission factors'!$K$3:$V$201,MATCH('Buildings - Grid Electricity'!$E192&amp;$F192,'Emission factors'!$J$3:$J$201&amp;'Emission factors'!$K$3:$K$201,0),MATCH('Buildings - Grid Electricity'!S$6,'Emission factors'!$K$2:$V$2,0)))*$K192)</f>
        <v/>
      </c>
      <c r="T192" s="157" t="str" cm="1">
        <f t="array" ref="T192">IF(OR($E192="",$I192=""),"",(INDEX('Emission factors'!$K$3:$V$201,MATCH('Buildings - Grid Electricity'!$E192&amp;$F192,'Emission factors'!$J$3:$J$201&amp;'Emission factors'!$K$3:$K$201,0),MATCH('Buildings - Grid Electricity'!T$6,'Emission factors'!$K$2:$V$2,0)))*$K192)</f>
        <v/>
      </c>
      <c r="U192" s="157" t="str" cm="1">
        <f t="array" ref="U192">IF(OR($E192="",$I192=""),"",(INDEX('Emission factors'!$K$3:$V$201,MATCH('Buildings - Grid Electricity'!$E192&amp;$F192,'Emission factors'!$J$3:$J$201&amp;'Emission factors'!$K$3:$K$201,0),MATCH('Buildings - Grid Electricity'!U$6,'Emission factors'!$K$2:$V$2,0)))*$K192)</f>
        <v/>
      </c>
      <c r="V192" s="269" t="str">
        <f>IF(OR($N192="",BuildingsElectricityTable[[#This Row],[RSD]]=""),"",BuildingsElectricityTable[[#This Row],[Total emissions (kgCO2e)]]*(1+BuildingsElectricityTable[[#This Row],[RSD]]))</f>
        <v/>
      </c>
      <c r="W192" s="270" t="str">
        <f>IF(OR($N192="",BuildingsElectricityTable[[#This Row],[RSD]]=""),"",BuildingsElectricityTable[[#This Row],[Total emissions (kgCO2e)]]*(1-BuildingsElectricityTable[[#This Row],[RSD]]))</f>
        <v/>
      </c>
      <c r="X192" s="271" t="str" cm="1">
        <f t="array" ref="X192">IF(OR($E192="",$I192=""),"",(INDEX('Emission factors'!$K$3:$V$201,MATCH('Buildings - Grid Electricity'!$E192&amp;$F192,'Emission factors'!$J$3:$J$201&amp;'Emission factors'!$K$3:$K$201,0),MATCH('Buildings - Grid Electricity'!X$6,'Emission factors'!$K$2:$V$2,0)))*$K192)</f>
        <v/>
      </c>
      <c r="Y192" s="30"/>
      <c r="Z192" s="1" cm="1">
        <f t="array" ref="Z192">IF(OR(ISERROR(B192:X192)),1,0)</f>
        <v>0</v>
      </c>
      <c r="AA192" s="1">
        <f t="shared" si="13"/>
        <v>0</v>
      </c>
    </row>
    <row r="193" spans="1:27" ht="15" outlineLevel="1" thickBot="1" x14ac:dyDescent="0.4">
      <c r="A193" s="319"/>
      <c r="B193" s="216"/>
      <c r="C193" s="216"/>
      <c r="D193" s="489" t="str">
        <f>IFERROR(INDEX(BuildingInformationTable[Site type],MATCH(BuildingsElectricityTable[[#This Row],[Site name]],BuildingInformationTable[Site name],0)),"")</f>
        <v/>
      </c>
      <c r="E193" s="490" t="str">
        <f t="shared" si="10"/>
        <v/>
      </c>
      <c r="F193" s="490" t="str">
        <f t="shared" si="11"/>
        <v/>
      </c>
      <c r="G193" s="491"/>
      <c r="H193" s="492" t="str">
        <f>IF(G193="","",INDEX(Lists!$BA$4:$BC$31,MATCH(E193,Lists!$AZ$4:$AZ$31,0),MATCH(G193,Lists!$BA$3:$BC$3,0)))</f>
        <v/>
      </c>
      <c r="I193" s="267"/>
      <c r="J193" s="490" t="str">
        <f t="shared" si="12"/>
        <v/>
      </c>
      <c r="K193" s="493" t="str" cm="1">
        <f t="array" ref="K193">IF(OR($E193="",$D193="",$I193="",$J193=""),"",IF(J193=L193,I193,(INDEX('Emission factors'!$K$3:$V$201,MATCH(E193&amp;F193,'Emission factors'!$J$3:$J$201&amp;'Emission factors'!$K$3:$K$201,0),MATCH(K$6,'Emission factors'!$K$2:$V$2,0)))*I193))</f>
        <v/>
      </c>
      <c r="L193" s="494" t="str">
        <f>IF(OR($E193="",$D193="",$I193="",$J193=""),"",INDEX('Emission factors'!$K$3:$V$201,MATCH('Buildings - Grid Electricity'!$E193,'Emission factors'!$J$3:$J$201,0),MATCH($L$6,'Emission factors'!$K$2:$V$2,0)))</f>
        <v/>
      </c>
      <c r="M193" s="495" t="str" cm="1">
        <f t="array" ref="M193">IF(OR(E193="",I193="",BuildingsElectricityTable[[#This Row],[Units]]=""),"",INDEX('Emission factors'!$K$3:$V$201,MATCH('Buildings - Grid Electricity'!$E193&amp;F193,'Emission factors'!$J$3:$J$201&amp;'Emission factors'!$K$3:$K$201,0),MATCH('Buildings - Grid Electricity'!$M$6,'Emission factors'!$K$2:$V$2,0)))</f>
        <v/>
      </c>
      <c r="N193" s="496" t="str">
        <f>IF(OR(K193="",M193=""),"",SUM(BuildingsElectricityTable[[#This Row],[Direct]:[Indirect WTT]]))</f>
        <v/>
      </c>
      <c r="O193" s="268"/>
      <c r="P193" s="497"/>
      <c r="Q193" s="157" t="str" cm="1">
        <f t="array" ref="Q193">IF(OR($E193="",$I193=""),"",(INDEX('Emission factors'!$K$3:$V$201,MATCH('Buildings - Grid Electricity'!$E193&amp;$F193,'Emission factors'!$J$3:$J$201&amp;'Emission factors'!$K$3:$K$201,0),MATCH('Buildings - Grid Electricity'!Q$6,'Emission factors'!$K$2:$V$2,0)))*$K193)</f>
        <v/>
      </c>
      <c r="R193" s="157" t="str" cm="1">
        <f t="array" ref="R193">IF(OR($E193="",$I193=""),"",(INDEX('Emission factors'!$K$3:$V$201,MATCH('Buildings - Grid Electricity'!$E193&amp;$F193,'Emission factors'!$J$3:$J$201&amp;'Emission factors'!$K$3:$K$201,0),MATCH('Buildings - Grid Electricity'!R$6,'Emission factors'!$K$2:$V$2,0)))*$K193)</f>
        <v/>
      </c>
      <c r="S193" s="157" t="str" cm="1">
        <f t="array" ref="S193">IF(OR($E193="",$I193=""),"",(INDEX('Emission factors'!$K$3:$V$201,MATCH('Buildings - Grid Electricity'!$E193&amp;$F193,'Emission factors'!$J$3:$J$201&amp;'Emission factors'!$K$3:$K$201,0),MATCH('Buildings - Grid Electricity'!S$6,'Emission factors'!$K$2:$V$2,0)))*$K193)</f>
        <v/>
      </c>
      <c r="T193" s="157" t="str" cm="1">
        <f t="array" ref="T193">IF(OR($E193="",$I193=""),"",(INDEX('Emission factors'!$K$3:$V$201,MATCH('Buildings - Grid Electricity'!$E193&amp;$F193,'Emission factors'!$J$3:$J$201&amp;'Emission factors'!$K$3:$K$201,0),MATCH('Buildings - Grid Electricity'!T$6,'Emission factors'!$K$2:$V$2,0)))*$K193)</f>
        <v/>
      </c>
      <c r="U193" s="157" t="str" cm="1">
        <f t="array" ref="U193">IF(OR($E193="",$I193=""),"",(INDEX('Emission factors'!$K$3:$V$201,MATCH('Buildings - Grid Electricity'!$E193&amp;$F193,'Emission factors'!$J$3:$J$201&amp;'Emission factors'!$K$3:$K$201,0),MATCH('Buildings - Grid Electricity'!U$6,'Emission factors'!$K$2:$V$2,0)))*$K193)</f>
        <v/>
      </c>
      <c r="V193" s="269" t="str">
        <f>IF(OR($N193="",BuildingsElectricityTable[[#This Row],[RSD]]=""),"",BuildingsElectricityTable[[#This Row],[Total emissions (kgCO2e)]]*(1+BuildingsElectricityTable[[#This Row],[RSD]]))</f>
        <v/>
      </c>
      <c r="W193" s="270" t="str">
        <f>IF(OR($N193="",BuildingsElectricityTable[[#This Row],[RSD]]=""),"",BuildingsElectricityTable[[#This Row],[Total emissions (kgCO2e)]]*(1-BuildingsElectricityTable[[#This Row],[RSD]]))</f>
        <v/>
      </c>
      <c r="X193" s="271" t="str" cm="1">
        <f t="array" ref="X193">IF(OR($E193="",$I193=""),"",(INDEX('Emission factors'!$K$3:$V$201,MATCH('Buildings - Grid Electricity'!$E193&amp;$F193,'Emission factors'!$J$3:$J$201&amp;'Emission factors'!$K$3:$K$201,0),MATCH('Buildings - Grid Electricity'!X$6,'Emission factors'!$K$2:$V$2,0)))*$K193)</f>
        <v/>
      </c>
      <c r="Y193" s="30"/>
      <c r="Z193" s="1" cm="1">
        <f t="array" ref="Z193">IF(OR(ISERROR(B193:X193)),1,0)</f>
        <v>0</v>
      </c>
      <c r="AA193" s="1">
        <f t="shared" si="13"/>
        <v>0</v>
      </c>
    </row>
    <row r="194" spans="1:27" ht="15" outlineLevel="1" thickBot="1" x14ac:dyDescent="0.4">
      <c r="A194" s="319"/>
      <c r="B194" s="216"/>
      <c r="C194" s="216"/>
      <c r="D194" s="489" t="str">
        <f>IFERROR(INDEX(BuildingInformationTable[Site type],MATCH(BuildingsElectricityTable[[#This Row],[Site name]],BuildingInformationTable[Site name],0)),"")</f>
        <v/>
      </c>
      <c r="E194" s="490" t="str">
        <f t="shared" si="10"/>
        <v/>
      </c>
      <c r="F194" s="490" t="str">
        <f t="shared" si="11"/>
        <v/>
      </c>
      <c r="G194" s="491"/>
      <c r="H194" s="492" t="str">
        <f>IF(G194="","",INDEX(Lists!$BA$4:$BC$31,MATCH(E194,Lists!$AZ$4:$AZ$31,0),MATCH(G194,Lists!$BA$3:$BC$3,0)))</f>
        <v/>
      </c>
      <c r="I194" s="267"/>
      <c r="J194" s="490" t="str">
        <f t="shared" si="12"/>
        <v/>
      </c>
      <c r="K194" s="493" t="str" cm="1">
        <f t="array" ref="K194">IF(OR($E194="",$D194="",$I194="",$J194=""),"",IF(J194=L194,I194,(INDEX('Emission factors'!$K$3:$V$201,MATCH(E194&amp;F194,'Emission factors'!$J$3:$J$201&amp;'Emission factors'!$K$3:$K$201,0),MATCH(K$6,'Emission factors'!$K$2:$V$2,0)))*I194))</f>
        <v/>
      </c>
      <c r="L194" s="494" t="str">
        <f>IF(OR($E194="",$D194="",$I194="",$J194=""),"",INDEX('Emission factors'!$K$3:$V$201,MATCH('Buildings - Grid Electricity'!$E194,'Emission factors'!$J$3:$J$201,0),MATCH($L$6,'Emission factors'!$K$2:$V$2,0)))</f>
        <v/>
      </c>
      <c r="M194" s="495" t="str" cm="1">
        <f t="array" ref="M194">IF(OR(E194="",I194="",BuildingsElectricityTable[[#This Row],[Units]]=""),"",INDEX('Emission factors'!$K$3:$V$201,MATCH('Buildings - Grid Electricity'!$E194&amp;F194,'Emission factors'!$J$3:$J$201&amp;'Emission factors'!$K$3:$K$201,0),MATCH('Buildings - Grid Electricity'!$M$6,'Emission factors'!$K$2:$V$2,0)))</f>
        <v/>
      </c>
      <c r="N194" s="496" t="str">
        <f>IF(OR(K194="",M194=""),"",SUM(BuildingsElectricityTable[[#This Row],[Direct]:[Indirect WTT]]))</f>
        <v/>
      </c>
      <c r="O194" s="268"/>
      <c r="P194" s="497"/>
      <c r="Q194" s="157" t="str" cm="1">
        <f t="array" ref="Q194">IF(OR($E194="",$I194=""),"",(INDEX('Emission factors'!$K$3:$V$201,MATCH('Buildings - Grid Electricity'!$E194&amp;$F194,'Emission factors'!$J$3:$J$201&amp;'Emission factors'!$K$3:$K$201,0),MATCH('Buildings - Grid Electricity'!Q$6,'Emission factors'!$K$2:$V$2,0)))*$K194)</f>
        <v/>
      </c>
      <c r="R194" s="157" t="str" cm="1">
        <f t="array" ref="R194">IF(OR($E194="",$I194=""),"",(INDEX('Emission factors'!$K$3:$V$201,MATCH('Buildings - Grid Electricity'!$E194&amp;$F194,'Emission factors'!$J$3:$J$201&amp;'Emission factors'!$K$3:$K$201,0),MATCH('Buildings - Grid Electricity'!R$6,'Emission factors'!$K$2:$V$2,0)))*$K194)</f>
        <v/>
      </c>
      <c r="S194" s="157" t="str" cm="1">
        <f t="array" ref="S194">IF(OR($E194="",$I194=""),"",(INDEX('Emission factors'!$K$3:$V$201,MATCH('Buildings - Grid Electricity'!$E194&amp;$F194,'Emission factors'!$J$3:$J$201&amp;'Emission factors'!$K$3:$K$201,0),MATCH('Buildings - Grid Electricity'!S$6,'Emission factors'!$K$2:$V$2,0)))*$K194)</f>
        <v/>
      </c>
      <c r="T194" s="157" t="str" cm="1">
        <f t="array" ref="T194">IF(OR($E194="",$I194=""),"",(INDEX('Emission factors'!$K$3:$V$201,MATCH('Buildings - Grid Electricity'!$E194&amp;$F194,'Emission factors'!$J$3:$J$201&amp;'Emission factors'!$K$3:$K$201,0),MATCH('Buildings - Grid Electricity'!T$6,'Emission factors'!$K$2:$V$2,0)))*$K194)</f>
        <v/>
      </c>
      <c r="U194" s="157" t="str" cm="1">
        <f t="array" ref="U194">IF(OR($E194="",$I194=""),"",(INDEX('Emission factors'!$K$3:$V$201,MATCH('Buildings - Grid Electricity'!$E194&amp;$F194,'Emission factors'!$J$3:$J$201&amp;'Emission factors'!$K$3:$K$201,0),MATCH('Buildings - Grid Electricity'!U$6,'Emission factors'!$K$2:$V$2,0)))*$K194)</f>
        <v/>
      </c>
      <c r="V194" s="269" t="str">
        <f>IF(OR($N194="",BuildingsElectricityTable[[#This Row],[RSD]]=""),"",BuildingsElectricityTable[[#This Row],[Total emissions (kgCO2e)]]*(1+BuildingsElectricityTable[[#This Row],[RSD]]))</f>
        <v/>
      </c>
      <c r="W194" s="270" t="str">
        <f>IF(OR($N194="",BuildingsElectricityTable[[#This Row],[RSD]]=""),"",BuildingsElectricityTable[[#This Row],[Total emissions (kgCO2e)]]*(1-BuildingsElectricityTable[[#This Row],[RSD]]))</f>
        <v/>
      </c>
      <c r="X194" s="271" t="str" cm="1">
        <f t="array" ref="X194">IF(OR($E194="",$I194=""),"",(INDEX('Emission factors'!$K$3:$V$201,MATCH('Buildings - Grid Electricity'!$E194&amp;$F194,'Emission factors'!$J$3:$J$201&amp;'Emission factors'!$K$3:$K$201,0),MATCH('Buildings - Grid Electricity'!X$6,'Emission factors'!$K$2:$V$2,0)))*$K194)</f>
        <v/>
      </c>
      <c r="Y194" s="30"/>
      <c r="Z194" s="1" cm="1">
        <f t="array" ref="Z194">IF(OR(ISERROR(B194:X194)),1,0)</f>
        <v>0</v>
      </c>
      <c r="AA194" s="1">
        <f t="shared" si="13"/>
        <v>0</v>
      </c>
    </row>
    <row r="195" spans="1:27" ht="15" outlineLevel="1" thickBot="1" x14ac:dyDescent="0.4">
      <c r="A195" s="319"/>
      <c r="B195" s="216"/>
      <c r="C195" s="216"/>
      <c r="D195" s="489" t="str">
        <f>IFERROR(INDEX(BuildingInformationTable[Site type],MATCH(BuildingsElectricityTable[[#This Row],[Site name]],BuildingInformationTable[Site name],0)),"")</f>
        <v/>
      </c>
      <c r="E195" s="490" t="str">
        <f t="shared" si="10"/>
        <v/>
      </c>
      <c r="F195" s="490" t="str">
        <f t="shared" si="11"/>
        <v/>
      </c>
      <c r="G195" s="491"/>
      <c r="H195" s="492" t="str">
        <f>IF(G195="","",INDEX(Lists!$BA$4:$BC$31,MATCH(E195,Lists!$AZ$4:$AZ$31,0),MATCH(G195,Lists!$BA$3:$BC$3,0)))</f>
        <v/>
      </c>
      <c r="I195" s="267"/>
      <c r="J195" s="490" t="str">
        <f t="shared" si="12"/>
        <v/>
      </c>
      <c r="K195" s="493" t="str" cm="1">
        <f t="array" ref="K195">IF(OR($E195="",$D195="",$I195="",$J195=""),"",IF(J195=L195,I195,(INDEX('Emission factors'!$K$3:$V$201,MATCH(E195&amp;F195,'Emission factors'!$J$3:$J$201&amp;'Emission factors'!$K$3:$K$201,0),MATCH(K$6,'Emission factors'!$K$2:$V$2,0)))*I195))</f>
        <v/>
      </c>
      <c r="L195" s="494" t="str">
        <f>IF(OR($E195="",$D195="",$I195="",$J195=""),"",INDEX('Emission factors'!$K$3:$V$201,MATCH('Buildings - Grid Electricity'!$E195,'Emission factors'!$J$3:$J$201,0),MATCH($L$6,'Emission factors'!$K$2:$V$2,0)))</f>
        <v/>
      </c>
      <c r="M195" s="495" t="str" cm="1">
        <f t="array" ref="M195">IF(OR(E195="",I195="",BuildingsElectricityTable[[#This Row],[Units]]=""),"",INDEX('Emission factors'!$K$3:$V$201,MATCH('Buildings - Grid Electricity'!$E195&amp;F195,'Emission factors'!$J$3:$J$201&amp;'Emission factors'!$K$3:$K$201,0),MATCH('Buildings - Grid Electricity'!$M$6,'Emission factors'!$K$2:$V$2,0)))</f>
        <v/>
      </c>
      <c r="N195" s="496" t="str">
        <f>IF(OR(K195="",M195=""),"",SUM(BuildingsElectricityTable[[#This Row],[Direct]:[Indirect WTT]]))</f>
        <v/>
      </c>
      <c r="O195" s="268"/>
      <c r="P195" s="497"/>
      <c r="Q195" s="157" t="str" cm="1">
        <f t="array" ref="Q195">IF(OR($E195="",$I195=""),"",(INDEX('Emission factors'!$K$3:$V$201,MATCH('Buildings - Grid Electricity'!$E195&amp;$F195,'Emission factors'!$J$3:$J$201&amp;'Emission factors'!$K$3:$K$201,0),MATCH('Buildings - Grid Electricity'!Q$6,'Emission factors'!$K$2:$V$2,0)))*$K195)</f>
        <v/>
      </c>
      <c r="R195" s="157" t="str" cm="1">
        <f t="array" ref="R195">IF(OR($E195="",$I195=""),"",(INDEX('Emission factors'!$K$3:$V$201,MATCH('Buildings - Grid Electricity'!$E195&amp;$F195,'Emission factors'!$J$3:$J$201&amp;'Emission factors'!$K$3:$K$201,0),MATCH('Buildings - Grid Electricity'!R$6,'Emission factors'!$K$2:$V$2,0)))*$K195)</f>
        <v/>
      </c>
      <c r="S195" s="157" t="str" cm="1">
        <f t="array" ref="S195">IF(OR($E195="",$I195=""),"",(INDEX('Emission factors'!$K$3:$V$201,MATCH('Buildings - Grid Electricity'!$E195&amp;$F195,'Emission factors'!$J$3:$J$201&amp;'Emission factors'!$K$3:$K$201,0),MATCH('Buildings - Grid Electricity'!S$6,'Emission factors'!$K$2:$V$2,0)))*$K195)</f>
        <v/>
      </c>
      <c r="T195" s="157" t="str" cm="1">
        <f t="array" ref="T195">IF(OR($E195="",$I195=""),"",(INDEX('Emission factors'!$K$3:$V$201,MATCH('Buildings - Grid Electricity'!$E195&amp;$F195,'Emission factors'!$J$3:$J$201&amp;'Emission factors'!$K$3:$K$201,0),MATCH('Buildings - Grid Electricity'!T$6,'Emission factors'!$K$2:$V$2,0)))*$K195)</f>
        <v/>
      </c>
      <c r="U195" s="157" t="str" cm="1">
        <f t="array" ref="U195">IF(OR($E195="",$I195=""),"",(INDEX('Emission factors'!$K$3:$V$201,MATCH('Buildings - Grid Electricity'!$E195&amp;$F195,'Emission factors'!$J$3:$J$201&amp;'Emission factors'!$K$3:$K$201,0),MATCH('Buildings - Grid Electricity'!U$6,'Emission factors'!$K$2:$V$2,0)))*$K195)</f>
        <v/>
      </c>
      <c r="V195" s="269" t="str">
        <f>IF(OR($N195="",BuildingsElectricityTable[[#This Row],[RSD]]=""),"",BuildingsElectricityTable[[#This Row],[Total emissions (kgCO2e)]]*(1+BuildingsElectricityTable[[#This Row],[RSD]]))</f>
        <v/>
      </c>
      <c r="W195" s="270" t="str">
        <f>IF(OR($N195="",BuildingsElectricityTable[[#This Row],[RSD]]=""),"",BuildingsElectricityTable[[#This Row],[Total emissions (kgCO2e)]]*(1-BuildingsElectricityTable[[#This Row],[RSD]]))</f>
        <v/>
      </c>
      <c r="X195" s="271" t="str" cm="1">
        <f t="array" ref="X195">IF(OR($E195="",$I195=""),"",(INDEX('Emission factors'!$K$3:$V$201,MATCH('Buildings - Grid Electricity'!$E195&amp;$F195,'Emission factors'!$J$3:$J$201&amp;'Emission factors'!$K$3:$K$201,0),MATCH('Buildings - Grid Electricity'!X$6,'Emission factors'!$K$2:$V$2,0)))*$K195)</f>
        <v/>
      </c>
      <c r="Y195" s="30"/>
      <c r="Z195" s="1" cm="1">
        <f t="array" ref="Z195">IF(OR(ISERROR(B195:X195)),1,0)</f>
        <v>0</v>
      </c>
      <c r="AA195" s="1">
        <f t="shared" si="13"/>
        <v>0</v>
      </c>
    </row>
    <row r="196" spans="1:27" ht="15" outlineLevel="1" thickBot="1" x14ac:dyDescent="0.4">
      <c r="A196" s="319"/>
      <c r="B196" s="216"/>
      <c r="C196" s="216"/>
      <c r="D196" s="489" t="str">
        <f>IFERROR(INDEX(BuildingInformationTable[Site type],MATCH(BuildingsElectricityTable[[#This Row],[Site name]],BuildingInformationTable[Site name],0)),"")</f>
        <v/>
      </c>
      <c r="E196" s="490" t="str">
        <f t="shared" si="10"/>
        <v/>
      </c>
      <c r="F196" s="490" t="str">
        <f t="shared" si="11"/>
        <v/>
      </c>
      <c r="G196" s="491"/>
      <c r="H196" s="492" t="str">
        <f>IF(G196="","",INDEX(Lists!$BA$4:$BC$31,MATCH(E196,Lists!$AZ$4:$AZ$31,0),MATCH(G196,Lists!$BA$3:$BC$3,0)))</f>
        <v/>
      </c>
      <c r="I196" s="267"/>
      <c r="J196" s="490" t="str">
        <f t="shared" si="12"/>
        <v/>
      </c>
      <c r="K196" s="493" t="str" cm="1">
        <f t="array" ref="K196">IF(OR($E196="",$D196="",$I196="",$J196=""),"",IF(J196=L196,I196,(INDEX('Emission factors'!$K$3:$V$201,MATCH(E196&amp;F196,'Emission factors'!$J$3:$J$201&amp;'Emission factors'!$K$3:$K$201,0),MATCH(K$6,'Emission factors'!$K$2:$V$2,0)))*I196))</f>
        <v/>
      </c>
      <c r="L196" s="494" t="str">
        <f>IF(OR($E196="",$D196="",$I196="",$J196=""),"",INDEX('Emission factors'!$K$3:$V$201,MATCH('Buildings - Grid Electricity'!$E196,'Emission factors'!$J$3:$J$201,0),MATCH($L$6,'Emission factors'!$K$2:$V$2,0)))</f>
        <v/>
      </c>
      <c r="M196" s="495" t="str" cm="1">
        <f t="array" ref="M196">IF(OR(E196="",I196="",BuildingsElectricityTable[[#This Row],[Units]]=""),"",INDEX('Emission factors'!$K$3:$V$201,MATCH('Buildings - Grid Electricity'!$E196&amp;F196,'Emission factors'!$J$3:$J$201&amp;'Emission factors'!$K$3:$K$201,0),MATCH('Buildings - Grid Electricity'!$M$6,'Emission factors'!$K$2:$V$2,0)))</f>
        <v/>
      </c>
      <c r="N196" s="496" t="str">
        <f>IF(OR(K196="",M196=""),"",SUM(BuildingsElectricityTable[[#This Row],[Direct]:[Indirect WTT]]))</f>
        <v/>
      </c>
      <c r="O196" s="268"/>
      <c r="P196" s="497"/>
      <c r="Q196" s="157" t="str" cm="1">
        <f t="array" ref="Q196">IF(OR($E196="",$I196=""),"",(INDEX('Emission factors'!$K$3:$V$201,MATCH('Buildings - Grid Electricity'!$E196&amp;$F196,'Emission factors'!$J$3:$J$201&amp;'Emission factors'!$K$3:$K$201,0),MATCH('Buildings - Grid Electricity'!Q$6,'Emission factors'!$K$2:$V$2,0)))*$K196)</f>
        <v/>
      </c>
      <c r="R196" s="157" t="str" cm="1">
        <f t="array" ref="R196">IF(OR($E196="",$I196=""),"",(INDEX('Emission factors'!$K$3:$V$201,MATCH('Buildings - Grid Electricity'!$E196&amp;$F196,'Emission factors'!$J$3:$J$201&amp;'Emission factors'!$K$3:$K$201,0),MATCH('Buildings - Grid Electricity'!R$6,'Emission factors'!$K$2:$V$2,0)))*$K196)</f>
        <v/>
      </c>
      <c r="S196" s="157" t="str" cm="1">
        <f t="array" ref="S196">IF(OR($E196="",$I196=""),"",(INDEX('Emission factors'!$K$3:$V$201,MATCH('Buildings - Grid Electricity'!$E196&amp;$F196,'Emission factors'!$J$3:$J$201&amp;'Emission factors'!$K$3:$K$201,0),MATCH('Buildings - Grid Electricity'!S$6,'Emission factors'!$K$2:$V$2,0)))*$K196)</f>
        <v/>
      </c>
      <c r="T196" s="157" t="str" cm="1">
        <f t="array" ref="T196">IF(OR($E196="",$I196=""),"",(INDEX('Emission factors'!$K$3:$V$201,MATCH('Buildings - Grid Electricity'!$E196&amp;$F196,'Emission factors'!$J$3:$J$201&amp;'Emission factors'!$K$3:$K$201,0),MATCH('Buildings - Grid Electricity'!T$6,'Emission factors'!$K$2:$V$2,0)))*$K196)</f>
        <v/>
      </c>
      <c r="U196" s="157" t="str" cm="1">
        <f t="array" ref="U196">IF(OR($E196="",$I196=""),"",(INDEX('Emission factors'!$K$3:$V$201,MATCH('Buildings - Grid Electricity'!$E196&amp;$F196,'Emission factors'!$J$3:$J$201&amp;'Emission factors'!$K$3:$K$201,0),MATCH('Buildings - Grid Electricity'!U$6,'Emission factors'!$K$2:$V$2,0)))*$K196)</f>
        <v/>
      </c>
      <c r="V196" s="269" t="str">
        <f>IF(OR($N196="",BuildingsElectricityTable[[#This Row],[RSD]]=""),"",BuildingsElectricityTable[[#This Row],[Total emissions (kgCO2e)]]*(1+BuildingsElectricityTable[[#This Row],[RSD]]))</f>
        <v/>
      </c>
      <c r="W196" s="270" t="str">
        <f>IF(OR($N196="",BuildingsElectricityTable[[#This Row],[RSD]]=""),"",BuildingsElectricityTable[[#This Row],[Total emissions (kgCO2e)]]*(1-BuildingsElectricityTable[[#This Row],[RSD]]))</f>
        <v/>
      </c>
      <c r="X196" s="271" t="str" cm="1">
        <f t="array" ref="X196">IF(OR($E196="",$I196=""),"",(INDEX('Emission factors'!$K$3:$V$201,MATCH('Buildings - Grid Electricity'!$E196&amp;$F196,'Emission factors'!$J$3:$J$201&amp;'Emission factors'!$K$3:$K$201,0),MATCH('Buildings - Grid Electricity'!X$6,'Emission factors'!$K$2:$V$2,0)))*$K196)</f>
        <v/>
      </c>
      <c r="Y196" s="30"/>
      <c r="Z196" s="1" cm="1">
        <f t="array" ref="Z196">IF(OR(ISERROR(B196:X196)),1,0)</f>
        <v>0</v>
      </c>
      <c r="AA196" s="1">
        <f t="shared" si="13"/>
        <v>0</v>
      </c>
    </row>
    <row r="197" spans="1:27" ht="15" outlineLevel="1" thickBot="1" x14ac:dyDescent="0.4">
      <c r="A197" s="319"/>
      <c r="B197" s="216"/>
      <c r="C197" s="216"/>
      <c r="D197" s="489" t="str">
        <f>IFERROR(INDEX(BuildingInformationTable[Site type],MATCH(BuildingsElectricityTable[[#This Row],[Site name]],BuildingInformationTable[Site name],0)),"")</f>
        <v/>
      </c>
      <c r="E197" s="490" t="str">
        <f t="shared" si="10"/>
        <v/>
      </c>
      <c r="F197" s="490" t="str">
        <f t="shared" si="11"/>
        <v/>
      </c>
      <c r="G197" s="491"/>
      <c r="H197" s="492" t="str">
        <f>IF(G197="","",INDEX(Lists!$BA$4:$BC$31,MATCH(E197,Lists!$AZ$4:$AZ$31,0),MATCH(G197,Lists!$BA$3:$BC$3,0)))</f>
        <v/>
      </c>
      <c r="I197" s="267"/>
      <c r="J197" s="490" t="str">
        <f t="shared" si="12"/>
        <v/>
      </c>
      <c r="K197" s="493" t="str" cm="1">
        <f t="array" ref="K197">IF(OR($E197="",$D197="",$I197="",$J197=""),"",IF(J197=L197,I197,(INDEX('Emission factors'!$K$3:$V$201,MATCH(E197&amp;F197,'Emission factors'!$J$3:$J$201&amp;'Emission factors'!$K$3:$K$201,0),MATCH(K$6,'Emission factors'!$K$2:$V$2,0)))*I197))</f>
        <v/>
      </c>
      <c r="L197" s="494" t="str">
        <f>IF(OR($E197="",$D197="",$I197="",$J197=""),"",INDEX('Emission factors'!$K$3:$V$201,MATCH('Buildings - Grid Electricity'!$E197,'Emission factors'!$J$3:$J$201,0),MATCH($L$6,'Emission factors'!$K$2:$V$2,0)))</f>
        <v/>
      </c>
      <c r="M197" s="495" t="str" cm="1">
        <f t="array" ref="M197">IF(OR(E197="",I197="",BuildingsElectricityTable[[#This Row],[Units]]=""),"",INDEX('Emission factors'!$K$3:$V$201,MATCH('Buildings - Grid Electricity'!$E197&amp;F197,'Emission factors'!$J$3:$J$201&amp;'Emission factors'!$K$3:$K$201,0),MATCH('Buildings - Grid Electricity'!$M$6,'Emission factors'!$K$2:$V$2,0)))</f>
        <v/>
      </c>
      <c r="N197" s="496" t="str">
        <f>IF(OR(K197="",M197=""),"",SUM(BuildingsElectricityTable[[#This Row],[Direct]:[Indirect WTT]]))</f>
        <v/>
      </c>
      <c r="O197" s="268"/>
      <c r="P197" s="497"/>
      <c r="Q197" s="157" t="str" cm="1">
        <f t="array" ref="Q197">IF(OR($E197="",$I197=""),"",(INDEX('Emission factors'!$K$3:$V$201,MATCH('Buildings - Grid Electricity'!$E197&amp;$F197,'Emission factors'!$J$3:$J$201&amp;'Emission factors'!$K$3:$K$201,0),MATCH('Buildings - Grid Electricity'!Q$6,'Emission factors'!$K$2:$V$2,0)))*$K197)</f>
        <v/>
      </c>
      <c r="R197" s="157" t="str" cm="1">
        <f t="array" ref="R197">IF(OR($E197="",$I197=""),"",(INDEX('Emission factors'!$K$3:$V$201,MATCH('Buildings - Grid Electricity'!$E197&amp;$F197,'Emission factors'!$J$3:$J$201&amp;'Emission factors'!$K$3:$K$201,0),MATCH('Buildings - Grid Electricity'!R$6,'Emission factors'!$K$2:$V$2,0)))*$K197)</f>
        <v/>
      </c>
      <c r="S197" s="157" t="str" cm="1">
        <f t="array" ref="S197">IF(OR($E197="",$I197=""),"",(INDEX('Emission factors'!$K$3:$V$201,MATCH('Buildings - Grid Electricity'!$E197&amp;$F197,'Emission factors'!$J$3:$J$201&amp;'Emission factors'!$K$3:$K$201,0),MATCH('Buildings - Grid Electricity'!S$6,'Emission factors'!$K$2:$V$2,0)))*$K197)</f>
        <v/>
      </c>
      <c r="T197" s="157" t="str" cm="1">
        <f t="array" ref="T197">IF(OR($E197="",$I197=""),"",(INDEX('Emission factors'!$K$3:$V$201,MATCH('Buildings - Grid Electricity'!$E197&amp;$F197,'Emission factors'!$J$3:$J$201&amp;'Emission factors'!$K$3:$K$201,0),MATCH('Buildings - Grid Electricity'!T$6,'Emission factors'!$K$2:$V$2,0)))*$K197)</f>
        <v/>
      </c>
      <c r="U197" s="157" t="str" cm="1">
        <f t="array" ref="U197">IF(OR($E197="",$I197=""),"",(INDEX('Emission factors'!$K$3:$V$201,MATCH('Buildings - Grid Electricity'!$E197&amp;$F197,'Emission factors'!$J$3:$J$201&amp;'Emission factors'!$K$3:$K$201,0),MATCH('Buildings - Grid Electricity'!U$6,'Emission factors'!$K$2:$V$2,0)))*$K197)</f>
        <v/>
      </c>
      <c r="V197" s="269" t="str">
        <f>IF(OR($N197="",BuildingsElectricityTable[[#This Row],[RSD]]=""),"",BuildingsElectricityTable[[#This Row],[Total emissions (kgCO2e)]]*(1+BuildingsElectricityTable[[#This Row],[RSD]]))</f>
        <v/>
      </c>
      <c r="W197" s="270" t="str">
        <f>IF(OR($N197="",BuildingsElectricityTable[[#This Row],[RSD]]=""),"",BuildingsElectricityTable[[#This Row],[Total emissions (kgCO2e)]]*(1-BuildingsElectricityTable[[#This Row],[RSD]]))</f>
        <v/>
      </c>
      <c r="X197" s="271" t="str" cm="1">
        <f t="array" ref="X197">IF(OR($E197="",$I197=""),"",(INDEX('Emission factors'!$K$3:$V$201,MATCH('Buildings - Grid Electricity'!$E197&amp;$F197,'Emission factors'!$J$3:$J$201&amp;'Emission factors'!$K$3:$K$201,0),MATCH('Buildings - Grid Electricity'!X$6,'Emission factors'!$K$2:$V$2,0)))*$K197)</f>
        <v/>
      </c>
      <c r="Y197" s="30"/>
      <c r="Z197" s="1" cm="1">
        <f t="array" ref="Z197">IF(OR(ISERROR(B197:X197)),1,0)</f>
        <v>0</v>
      </c>
      <c r="AA197" s="1">
        <f t="shared" si="13"/>
        <v>0</v>
      </c>
    </row>
    <row r="198" spans="1:27" ht="15" outlineLevel="1" thickBot="1" x14ac:dyDescent="0.4">
      <c r="A198" s="319"/>
      <c r="B198" s="216"/>
      <c r="C198" s="216"/>
      <c r="D198" s="489" t="str">
        <f>IFERROR(INDEX(BuildingInformationTable[Site type],MATCH(BuildingsElectricityTable[[#This Row],[Site name]],BuildingInformationTable[Site name],0)),"")</f>
        <v/>
      </c>
      <c r="E198" s="490" t="str">
        <f t="shared" si="10"/>
        <v/>
      </c>
      <c r="F198" s="490" t="str">
        <f t="shared" si="11"/>
        <v/>
      </c>
      <c r="G198" s="491"/>
      <c r="H198" s="492" t="str">
        <f>IF(G198="","",INDEX(Lists!$BA$4:$BC$31,MATCH(E198,Lists!$AZ$4:$AZ$31,0),MATCH(G198,Lists!$BA$3:$BC$3,0)))</f>
        <v/>
      </c>
      <c r="I198" s="267"/>
      <c r="J198" s="490" t="str">
        <f t="shared" si="12"/>
        <v/>
      </c>
      <c r="K198" s="493" t="str" cm="1">
        <f t="array" ref="K198">IF(OR($E198="",$D198="",$I198="",$J198=""),"",IF(J198=L198,I198,(INDEX('Emission factors'!$K$3:$V$201,MATCH(E198&amp;F198,'Emission factors'!$J$3:$J$201&amp;'Emission factors'!$K$3:$K$201,0),MATCH(K$6,'Emission factors'!$K$2:$V$2,0)))*I198))</f>
        <v/>
      </c>
      <c r="L198" s="494" t="str">
        <f>IF(OR($E198="",$D198="",$I198="",$J198=""),"",INDEX('Emission factors'!$K$3:$V$201,MATCH('Buildings - Grid Electricity'!$E198,'Emission factors'!$J$3:$J$201,0),MATCH($L$6,'Emission factors'!$K$2:$V$2,0)))</f>
        <v/>
      </c>
      <c r="M198" s="495" t="str" cm="1">
        <f t="array" ref="M198">IF(OR(E198="",I198="",BuildingsElectricityTable[[#This Row],[Units]]=""),"",INDEX('Emission factors'!$K$3:$V$201,MATCH('Buildings - Grid Electricity'!$E198&amp;F198,'Emission factors'!$J$3:$J$201&amp;'Emission factors'!$K$3:$K$201,0),MATCH('Buildings - Grid Electricity'!$M$6,'Emission factors'!$K$2:$V$2,0)))</f>
        <v/>
      </c>
      <c r="N198" s="496" t="str">
        <f>IF(OR(K198="",M198=""),"",SUM(BuildingsElectricityTable[[#This Row],[Direct]:[Indirect WTT]]))</f>
        <v/>
      </c>
      <c r="O198" s="268"/>
      <c r="P198" s="497"/>
      <c r="Q198" s="157" t="str" cm="1">
        <f t="array" ref="Q198">IF(OR($E198="",$I198=""),"",(INDEX('Emission factors'!$K$3:$V$201,MATCH('Buildings - Grid Electricity'!$E198&amp;$F198,'Emission factors'!$J$3:$J$201&amp;'Emission factors'!$K$3:$K$201,0),MATCH('Buildings - Grid Electricity'!Q$6,'Emission factors'!$K$2:$V$2,0)))*$K198)</f>
        <v/>
      </c>
      <c r="R198" s="157" t="str" cm="1">
        <f t="array" ref="R198">IF(OR($E198="",$I198=""),"",(INDEX('Emission factors'!$K$3:$V$201,MATCH('Buildings - Grid Electricity'!$E198&amp;$F198,'Emission factors'!$J$3:$J$201&amp;'Emission factors'!$K$3:$K$201,0),MATCH('Buildings - Grid Electricity'!R$6,'Emission factors'!$K$2:$V$2,0)))*$K198)</f>
        <v/>
      </c>
      <c r="S198" s="157" t="str" cm="1">
        <f t="array" ref="S198">IF(OR($E198="",$I198=""),"",(INDEX('Emission factors'!$K$3:$V$201,MATCH('Buildings - Grid Electricity'!$E198&amp;$F198,'Emission factors'!$J$3:$J$201&amp;'Emission factors'!$K$3:$K$201,0),MATCH('Buildings - Grid Electricity'!S$6,'Emission factors'!$K$2:$V$2,0)))*$K198)</f>
        <v/>
      </c>
      <c r="T198" s="157" t="str" cm="1">
        <f t="array" ref="T198">IF(OR($E198="",$I198=""),"",(INDEX('Emission factors'!$K$3:$V$201,MATCH('Buildings - Grid Electricity'!$E198&amp;$F198,'Emission factors'!$J$3:$J$201&amp;'Emission factors'!$K$3:$K$201,0),MATCH('Buildings - Grid Electricity'!T$6,'Emission factors'!$K$2:$V$2,0)))*$K198)</f>
        <v/>
      </c>
      <c r="U198" s="157" t="str" cm="1">
        <f t="array" ref="U198">IF(OR($E198="",$I198=""),"",(INDEX('Emission factors'!$K$3:$V$201,MATCH('Buildings - Grid Electricity'!$E198&amp;$F198,'Emission factors'!$J$3:$J$201&amp;'Emission factors'!$K$3:$K$201,0),MATCH('Buildings - Grid Electricity'!U$6,'Emission factors'!$K$2:$V$2,0)))*$K198)</f>
        <v/>
      </c>
      <c r="V198" s="269" t="str">
        <f>IF(OR($N198="",BuildingsElectricityTable[[#This Row],[RSD]]=""),"",BuildingsElectricityTable[[#This Row],[Total emissions (kgCO2e)]]*(1+BuildingsElectricityTable[[#This Row],[RSD]]))</f>
        <v/>
      </c>
      <c r="W198" s="270" t="str">
        <f>IF(OR($N198="",BuildingsElectricityTable[[#This Row],[RSD]]=""),"",BuildingsElectricityTable[[#This Row],[Total emissions (kgCO2e)]]*(1-BuildingsElectricityTable[[#This Row],[RSD]]))</f>
        <v/>
      </c>
      <c r="X198" s="271" t="str" cm="1">
        <f t="array" ref="X198">IF(OR($E198="",$I198=""),"",(INDEX('Emission factors'!$K$3:$V$201,MATCH('Buildings - Grid Electricity'!$E198&amp;$F198,'Emission factors'!$J$3:$J$201&amp;'Emission factors'!$K$3:$K$201,0),MATCH('Buildings - Grid Electricity'!X$6,'Emission factors'!$K$2:$V$2,0)))*$K198)</f>
        <v/>
      </c>
      <c r="Y198" s="30"/>
      <c r="Z198" s="1" cm="1">
        <f t="array" ref="Z198">IF(OR(ISERROR(B198:X198)),1,0)</f>
        <v>0</v>
      </c>
      <c r="AA198" s="1">
        <f t="shared" si="13"/>
        <v>0</v>
      </c>
    </row>
    <row r="199" spans="1:27" ht="15" outlineLevel="1" thickBot="1" x14ac:dyDescent="0.4">
      <c r="A199" s="319"/>
      <c r="B199" s="216"/>
      <c r="C199" s="216"/>
      <c r="D199" s="489" t="str">
        <f>IFERROR(INDEX(BuildingInformationTable[Site type],MATCH(BuildingsElectricityTable[[#This Row],[Site name]],BuildingInformationTable[Site name],0)),"")</f>
        <v/>
      </c>
      <c r="E199" s="490" t="str">
        <f t="shared" si="10"/>
        <v/>
      </c>
      <c r="F199" s="490" t="str">
        <f t="shared" si="11"/>
        <v/>
      </c>
      <c r="G199" s="491"/>
      <c r="H199" s="492" t="str">
        <f>IF(G199="","",INDEX(Lists!$BA$4:$BC$31,MATCH(E199,Lists!$AZ$4:$AZ$31,0),MATCH(G199,Lists!$BA$3:$BC$3,0)))</f>
        <v/>
      </c>
      <c r="I199" s="267"/>
      <c r="J199" s="490" t="str">
        <f t="shared" si="12"/>
        <v/>
      </c>
      <c r="K199" s="493" t="str" cm="1">
        <f t="array" ref="K199">IF(OR($E199="",$D199="",$I199="",$J199=""),"",IF(J199=L199,I199,(INDEX('Emission factors'!$K$3:$V$201,MATCH(E199&amp;F199,'Emission factors'!$J$3:$J$201&amp;'Emission factors'!$K$3:$K$201,0),MATCH(K$6,'Emission factors'!$K$2:$V$2,0)))*I199))</f>
        <v/>
      </c>
      <c r="L199" s="494" t="str">
        <f>IF(OR($E199="",$D199="",$I199="",$J199=""),"",INDEX('Emission factors'!$K$3:$V$201,MATCH('Buildings - Grid Electricity'!$E199,'Emission factors'!$J$3:$J$201,0),MATCH($L$6,'Emission factors'!$K$2:$V$2,0)))</f>
        <v/>
      </c>
      <c r="M199" s="495" t="str" cm="1">
        <f t="array" ref="M199">IF(OR(E199="",I199="",BuildingsElectricityTable[[#This Row],[Units]]=""),"",INDEX('Emission factors'!$K$3:$V$201,MATCH('Buildings - Grid Electricity'!$E199&amp;F199,'Emission factors'!$J$3:$J$201&amp;'Emission factors'!$K$3:$K$201,0),MATCH('Buildings - Grid Electricity'!$M$6,'Emission factors'!$K$2:$V$2,0)))</f>
        <v/>
      </c>
      <c r="N199" s="496" t="str">
        <f>IF(OR(K199="",M199=""),"",SUM(BuildingsElectricityTable[[#This Row],[Direct]:[Indirect WTT]]))</f>
        <v/>
      </c>
      <c r="O199" s="268"/>
      <c r="P199" s="497"/>
      <c r="Q199" s="157" t="str" cm="1">
        <f t="array" ref="Q199">IF(OR($E199="",$I199=""),"",(INDEX('Emission factors'!$K$3:$V$201,MATCH('Buildings - Grid Electricity'!$E199&amp;$F199,'Emission factors'!$J$3:$J$201&amp;'Emission factors'!$K$3:$K$201,0),MATCH('Buildings - Grid Electricity'!Q$6,'Emission factors'!$K$2:$V$2,0)))*$K199)</f>
        <v/>
      </c>
      <c r="R199" s="157" t="str" cm="1">
        <f t="array" ref="R199">IF(OR($E199="",$I199=""),"",(INDEX('Emission factors'!$K$3:$V$201,MATCH('Buildings - Grid Electricity'!$E199&amp;$F199,'Emission factors'!$J$3:$J$201&amp;'Emission factors'!$K$3:$K$201,0),MATCH('Buildings - Grid Electricity'!R$6,'Emission factors'!$K$2:$V$2,0)))*$K199)</f>
        <v/>
      </c>
      <c r="S199" s="157" t="str" cm="1">
        <f t="array" ref="S199">IF(OR($E199="",$I199=""),"",(INDEX('Emission factors'!$K$3:$V$201,MATCH('Buildings - Grid Electricity'!$E199&amp;$F199,'Emission factors'!$J$3:$J$201&amp;'Emission factors'!$K$3:$K$201,0),MATCH('Buildings - Grid Electricity'!S$6,'Emission factors'!$K$2:$V$2,0)))*$K199)</f>
        <v/>
      </c>
      <c r="T199" s="157" t="str" cm="1">
        <f t="array" ref="T199">IF(OR($E199="",$I199=""),"",(INDEX('Emission factors'!$K$3:$V$201,MATCH('Buildings - Grid Electricity'!$E199&amp;$F199,'Emission factors'!$J$3:$J$201&amp;'Emission factors'!$K$3:$K$201,0),MATCH('Buildings - Grid Electricity'!T$6,'Emission factors'!$K$2:$V$2,0)))*$K199)</f>
        <v/>
      </c>
      <c r="U199" s="157" t="str" cm="1">
        <f t="array" ref="U199">IF(OR($E199="",$I199=""),"",(INDEX('Emission factors'!$K$3:$V$201,MATCH('Buildings - Grid Electricity'!$E199&amp;$F199,'Emission factors'!$J$3:$J$201&amp;'Emission factors'!$K$3:$K$201,0),MATCH('Buildings - Grid Electricity'!U$6,'Emission factors'!$K$2:$V$2,0)))*$K199)</f>
        <v/>
      </c>
      <c r="V199" s="269" t="str">
        <f>IF(OR($N199="",BuildingsElectricityTable[[#This Row],[RSD]]=""),"",BuildingsElectricityTable[[#This Row],[Total emissions (kgCO2e)]]*(1+BuildingsElectricityTable[[#This Row],[RSD]]))</f>
        <v/>
      </c>
      <c r="W199" s="270" t="str">
        <f>IF(OR($N199="",BuildingsElectricityTable[[#This Row],[RSD]]=""),"",BuildingsElectricityTable[[#This Row],[Total emissions (kgCO2e)]]*(1-BuildingsElectricityTable[[#This Row],[RSD]]))</f>
        <v/>
      </c>
      <c r="X199" s="271" t="str" cm="1">
        <f t="array" ref="X199">IF(OR($E199="",$I199=""),"",(INDEX('Emission factors'!$K$3:$V$201,MATCH('Buildings - Grid Electricity'!$E199&amp;$F199,'Emission factors'!$J$3:$J$201&amp;'Emission factors'!$K$3:$K$201,0),MATCH('Buildings - Grid Electricity'!X$6,'Emission factors'!$K$2:$V$2,0)))*$K199)</f>
        <v/>
      </c>
      <c r="Y199" s="30"/>
      <c r="Z199" s="1" cm="1">
        <f t="array" ref="Z199">IF(OR(ISERROR(B199:X199)),1,0)</f>
        <v>0</v>
      </c>
      <c r="AA199" s="1">
        <f t="shared" si="13"/>
        <v>0</v>
      </c>
    </row>
    <row r="200" spans="1:27" ht="15" outlineLevel="1" thickBot="1" x14ac:dyDescent="0.4">
      <c r="A200" s="319"/>
      <c r="B200" s="216"/>
      <c r="C200" s="216"/>
      <c r="D200" s="489" t="str">
        <f>IFERROR(INDEX(BuildingInformationTable[Site type],MATCH(BuildingsElectricityTable[[#This Row],[Site name]],BuildingInformationTable[Site name],0)),"")</f>
        <v/>
      </c>
      <c r="E200" s="490" t="str">
        <f t="shared" ref="E200:E229" si="14">IF(B200="", "", "Grid electricity")</f>
        <v/>
      </c>
      <c r="F200" s="490" t="str">
        <f t="shared" ref="F200:F229" si="15">IF(E200="Grid electricity", "Consumption based", "")</f>
        <v/>
      </c>
      <c r="G200" s="491"/>
      <c r="H200" s="492" t="str">
        <f>IF(G200="","",INDEX(Lists!$BA$4:$BC$31,MATCH(E200,Lists!$AZ$4:$AZ$31,0),MATCH(G200,Lists!$BA$3:$BC$3,0)))</f>
        <v/>
      </c>
      <c r="I200" s="267"/>
      <c r="J200" s="490" t="str">
        <f t="shared" ref="J200:J229" si="16">IF(I200="", "", "kWh")</f>
        <v/>
      </c>
      <c r="K200" s="493" t="str" cm="1">
        <f t="array" ref="K200">IF(OR($E200="",$D200="",$I200="",$J200=""),"",IF(J200=L200,I200,(INDEX('Emission factors'!$K$3:$V$201,MATCH(E200&amp;F200,'Emission factors'!$J$3:$J$201&amp;'Emission factors'!$K$3:$K$201,0),MATCH(K$6,'Emission factors'!$K$2:$V$2,0)))*I200))</f>
        <v/>
      </c>
      <c r="L200" s="494" t="str">
        <f>IF(OR($E200="",$D200="",$I200="",$J200=""),"",INDEX('Emission factors'!$K$3:$V$201,MATCH('Buildings - Grid Electricity'!$E200,'Emission factors'!$J$3:$J$201,0),MATCH($L$6,'Emission factors'!$K$2:$V$2,0)))</f>
        <v/>
      </c>
      <c r="M200" s="495" t="str" cm="1">
        <f t="array" ref="M200">IF(OR(E200="",I200="",BuildingsElectricityTable[[#This Row],[Units]]=""),"",INDEX('Emission factors'!$K$3:$V$201,MATCH('Buildings - Grid Electricity'!$E200&amp;F200,'Emission factors'!$J$3:$J$201&amp;'Emission factors'!$K$3:$K$201,0),MATCH('Buildings - Grid Electricity'!$M$6,'Emission factors'!$K$2:$V$2,0)))</f>
        <v/>
      </c>
      <c r="N200" s="496" t="str">
        <f>IF(OR(K200="",M200=""),"",SUM(BuildingsElectricityTable[[#This Row],[Direct]:[Indirect WTT]]))</f>
        <v/>
      </c>
      <c r="O200" s="268"/>
      <c r="P200" s="497"/>
      <c r="Q200" s="157" t="str" cm="1">
        <f t="array" ref="Q200">IF(OR($E200="",$I200=""),"",(INDEX('Emission factors'!$K$3:$V$201,MATCH('Buildings - Grid Electricity'!$E200&amp;$F200,'Emission factors'!$J$3:$J$201&amp;'Emission factors'!$K$3:$K$201,0),MATCH('Buildings - Grid Electricity'!Q$6,'Emission factors'!$K$2:$V$2,0)))*$K200)</f>
        <v/>
      </c>
      <c r="R200" s="157" t="str" cm="1">
        <f t="array" ref="R200">IF(OR($E200="",$I200=""),"",(INDEX('Emission factors'!$K$3:$V$201,MATCH('Buildings - Grid Electricity'!$E200&amp;$F200,'Emission factors'!$J$3:$J$201&amp;'Emission factors'!$K$3:$K$201,0),MATCH('Buildings - Grid Electricity'!R$6,'Emission factors'!$K$2:$V$2,0)))*$K200)</f>
        <v/>
      </c>
      <c r="S200" s="157" t="str" cm="1">
        <f t="array" ref="S200">IF(OR($E200="",$I200=""),"",(INDEX('Emission factors'!$K$3:$V$201,MATCH('Buildings - Grid Electricity'!$E200&amp;$F200,'Emission factors'!$J$3:$J$201&amp;'Emission factors'!$K$3:$K$201,0),MATCH('Buildings - Grid Electricity'!S$6,'Emission factors'!$K$2:$V$2,0)))*$K200)</f>
        <v/>
      </c>
      <c r="T200" s="157" t="str" cm="1">
        <f t="array" ref="T200">IF(OR($E200="",$I200=""),"",(INDEX('Emission factors'!$K$3:$V$201,MATCH('Buildings - Grid Electricity'!$E200&amp;$F200,'Emission factors'!$J$3:$J$201&amp;'Emission factors'!$K$3:$K$201,0),MATCH('Buildings - Grid Electricity'!T$6,'Emission factors'!$K$2:$V$2,0)))*$K200)</f>
        <v/>
      </c>
      <c r="U200" s="157" t="str" cm="1">
        <f t="array" ref="U200">IF(OR($E200="",$I200=""),"",(INDEX('Emission factors'!$K$3:$V$201,MATCH('Buildings - Grid Electricity'!$E200&amp;$F200,'Emission factors'!$J$3:$J$201&amp;'Emission factors'!$K$3:$K$201,0),MATCH('Buildings - Grid Electricity'!U$6,'Emission factors'!$K$2:$V$2,0)))*$K200)</f>
        <v/>
      </c>
      <c r="V200" s="269" t="str">
        <f>IF(OR($N200="",BuildingsElectricityTable[[#This Row],[RSD]]=""),"",BuildingsElectricityTable[[#This Row],[Total emissions (kgCO2e)]]*(1+BuildingsElectricityTable[[#This Row],[RSD]]))</f>
        <v/>
      </c>
      <c r="W200" s="270" t="str">
        <f>IF(OR($N200="",BuildingsElectricityTable[[#This Row],[RSD]]=""),"",BuildingsElectricityTable[[#This Row],[Total emissions (kgCO2e)]]*(1-BuildingsElectricityTable[[#This Row],[RSD]]))</f>
        <v/>
      </c>
      <c r="X200" s="271" t="str" cm="1">
        <f t="array" ref="X200">IF(OR($E200="",$I200=""),"",(INDEX('Emission factors'!$K$3:$V$201,MATCH('Buildings - Grid Electricity'!$E200&amp;$F200,'Emission factors'!$J$3:$J$201&amp;'Emission factors'!$K$3:$K$201,0),MATCH('Buildings - Grid Electricity'!X$6,'Emission factors'!$K$2:$V$2,0)))*$K200)</f>
        <v/>
      </c>
      <c r="Y200" s="30"/>
      <c r="Z200" s="1" cm="1">
        <f t="array" ref="Z200">IF(OR(ISERROR(B200:X200)),1,0)</f>
        <v>0</v>
      </c>
      <c r="AA200" s="1">
        <f t="shared" ref="AA200:AA263" si="17">IF(AND(B200="",E200="",I200="",J200=""),0,1)</f>
        <v>0</v>
      </c>
    </row>
    <row r="201" spans="1:27" ht="15" outlineLevel="1" thickBot="1" x14ac:dyDescent="0.4">
      <c r="A201" s="319"/>
      <c r="B201" s="216"/>
      <c r="C201" s="216"/>
      <c r="D201" s="489" t="str">
        <f>IFERROR(INDEX(BuildingInformationTable[Site type],MATCH(BuildingsElectricityTable[[#This Row],[Site name]],BuildingInformationTable[Site name],0)),"")</f>
        <v/>
      </c>
      <c r="E201" s="490" t="str">
        <f t="shared" si="14"/>
        <v/>
      </c>
      <c r="F201" s="490" t="str">
        <f t="shared" si="15"/>
        <v/>
      </c>
      <c r="G201" s="491"/>
      <c r="H201" s="492" t="str">
        <f>IF(G201="","",INDEX(Lists!$BA$4:$BC$31,MATCH(E201,Lists!$AZ$4:$AZ$31,0),MATCH(G201,Lists!$BA$3:$BC$3,0)))</f>
        <v/>
      </c>
      <c r="I201" s="267"/>
      <c r="J201" s="490" t="str">
        <f t="shared" si="16"/>
        <v/>
      </c>
      <c r="K201" s="493" t="str" cm="1">
        <f t="array" ref="K201">IF(OR($E201="",$D201="",$I201="",$J201=""),"",IF(J201=L201,I201,(INDEX('Emission factors'!$K$3:$V$201,MATCH(E201&amp;F201,'Emission factors'!$J$3:$J$201&amp;'Emission factors'!$K$3:$K$201,0),MATCH(K$6,'Emission factors'!$K$2:$V$2,0)))*I201))</f>
        <v/>
      </c>
      <c r="L201" s="494" t="str">
        <f>IF(OR($E201="",$D201="",$I201="",$J201=""),"",INDEX('Emission factors'!$K$3:$V$201,MATCH('Buildings - Grid Electricity'!$E201,'Emission factors'!$J$3:$J$201,0),MATCH($L$6,'Emission factors'!$K$2:$V$2,0)))</f>
        <v/>
      </c>
      <c r="M201" s="495" t="str" cm="1">
        <f t="array" ref="M201">IF(OR(E201="",I201="",BuildingsElectricityTable[[#This Row],[Units]]=""),"",INDEX('Emission factors'!$K$3:$V$201,MATCH('Buildings - Grid Electricity'!$E201&amp;F201,'Emission factors'!$J$3:$J$201&amp;'Emission factors'!$K$3:$K$201,0),MATCH('Buildings - Grid Electricity'!$M$6,'Emission factors'!$K$2:$V$2,0)))</f>
        <v/>
      </c>
      <c r="N201" s="496" t="str">
        <f>IF(OR(K201="",M201=""),"",SUM(BuildingsElectricityTable[[#This Row],[Direct]:[Indirect WTT]]))</f>
        <v/>
      </c>
      <c r="O201" s="268"/>
      <c r="P201" s="497"/>
      <c r="Q201" s="157" t="str" cm="1">
        <f t="array" ref="Q201">IF(OR($E201="",$I201=""),"",(INDEX('Emission factors'!$K$3:$V$201,MATCH('Buildings - Grid Electricity'!$E201&amp;$F201,'Emission factors'!$J$3:$J$201&amp;'Emission factors'!$K$3:$K$201,0),MATCH('Buildings - Grid Electricity'!Q$6,'Emission factors'!$K$2:$V$2,0)))*$K201)</f>
        <v/>
      </c>
      <c r="R201" s="157" t="str" cm="1">
        <f t="array" ref="R201">IF(OR($E201="",$I201=""),"",(INDEX('Emission factors'!$K$3:$V$201,MATCH('Buildings - Grid Electricity'!$E201&amp;$F201,'Emission factors'!$J$3:$J$201&amp;'Emission factors'!$K$3:$K$201,0),MATCH('Buildings - Grid Electricity'!R$6,'Emission factors'!$K$2:$V$2,0)))*$K201)</f>
        <v/>
      </c>
      <c r="S201" s="157" t="str" cm="1">
        <f t="array" ref="S201">IF(OR($E201="",$I201=""),"",(INDEX('Emission factors'!$K$3:$V$201,MATCH('Buildings - Grid Electricity'!$E201&amp;$F201,'Emission factors'!$J$3:$J$201&amp;'Emission factors'!$K$3:$K$201,0),MATCH('Buildings - Grid Electricity'!S$6,'Emission factors'!$K$2:$V$2,0)))*$K201)</f>
        <v/>
      </c>
      <c r="T201" s="157" t="str" cm="1">
        <f t="array" ref="T201">IF(OR($E201="",$I201=""),"",(INDEX('Emission factors'!$K$3:$V$201,MATCH('Buildings - Grid Electricity'!$E201&amp;$F201,'Emission factors'!$J$3:$J$201&amp;'Emission factors'!$K$3:$K$201,0),MATCH('Buildings - Grid Electricity'!T$6,'Emission factors'!$K$2:$V$2,0)))*$K201)</f>
        <v/>
      </c>
      <c r="U201" s="157" t="str" cm="1">
        <f t="array" ref="U201">IF(OR($E201="",$I201=""),"",(INDEX('Emission factors'!$K$3:$V$201,MATCH('Buildings - Grid Electricity'!$E201&amp;$F201,'Emission factors'!$J$3:$J$201&amp;'Emission factors'!$K$3:$K$201,0),MATCH('Buildings - Grid Electricity'!U$6,'Emission factors'!$K$2:$V$2,0)))*$K201)</f>
        <v/>
      </c>
      <c r="V201" s="269" t="str">
        <f>IF(OR($N201="",BuildingsElectricityTable[[#This Row],[RSD]]=""),"",BuildingsElectricityTable[[#This Row],[Total emissions (kgCO2e)]]*(1+BuildingsElectricityTable[[#This Row],[RSD]]))</f>
        <v/>
      </c>
      <c r="W201" s="270" t="str">
        <f>IF(OR($N201="",BuildingsElectricityTable[[#This Row],[RSD]]=""),"",BuildingsElectricityTable[[#This Row],[Total emissions (kgCO2e)]]*(1-BuildingsElectricityTable[[#This Row],[RSD]]))</f>
        <v/>
      </c>
      <c r="X201" s="271" t="str" cm="1">
        <f t="array" ref="X201">IF(OR($E201="",$I201=""),"",(INDEX('Emission factors'!$K$3:$V$201,MATCH('Buildings - Grid Electricity'!$E201&amp;$F201,'Emission factors'!$J$3:$J$201&amp;'Emission factors'!$K$3:$K$201,0),MATCH('Buildings - Grid Electricity'!X$6,'Emission factors'!$K$2:$V$2,0)))*$K201)</f>
        <v/>
      </c>
      <c r="Y201" s="30"/>
      <c r="Z201" s="1" cm="1">
        <f t="array" ref="Z201">IF(OR(ISERROR(B201:X201)),1,0)</f>
        <v>0</v>
      </c>
      <c r="AA201" s="1">
        <f t="shared" si="17"/>
        <v>0</v>
      </c>
    </row>
    <row r="202" spans="1:27" ht="15" outlineLevel="1" thickBot="1" x14ac:dyDescent="0.4">
      <c r="A202" s="319"/>
      <c r="B202" s="216"/>
      <c r="C202" s="216"/>
      <c r="D202" s="489" t="str">
        <f>IFERROR(INDEX(BuildingInformationTable[Site type],MATCH(BuildingsElectricityTable[[#This Row],[Site name]],BuildingInformationTable[Site name],0)),"")</f>
        <v/>
      </c>
      <c r="E202" s="490" t="str">
        <f t="shared" si="14"/>
        <v/>
      </c>
      <c r="F202" s="490" t="str">
        <f t="shared" si="15"/>
        <v/>
      </c>
      <c r="G202" s="491"/>
      <c r="H202" s="492" t="str">
        <f>IF(G202="","",INDEX(Lists!$BA$4:$BC$31,MATCH(E202,Lists!$AZ$4:$AZ$31,0),MATCH(G202,Lists!$BA$3:$BC$3,0)))</f>
        <v/>
      </c>
      <c r="I202" s="267"/>
      <c r="J202" s="490" t="str">
        <f t="shared" si="16"/>
        <v/>
      </c>
      <c r="K202" s="493" t="str" cm="1">
        <f t="array" ref="K202">IF(OR($E202="",$D202="",$I202="",$J202=""),"",IF(J202=L202,I202,(INDEX('Emission factors'!$K$3:$V$201,MATCH(E202&amp;F202,'Emission factors'!$J$3:$J$201&amp;'Emission factors'!$K$3:$K$201,0),MATCH(K$6,'Emission factors'!$K$2:$V$2,0)))*I202))</f>
        <v/>
      </c>
      <c r="L202" s="494" t="str">
        <f>IF(OR($E202="",$D202="",$I202="",$J202=""),"",INDEX('Emission factors'!$K$3:$V$201,MATCH('Buildings - Grid Electricity'!$E202,'Emission factors'!$J$3:$J$201,0),MATCH($L$6,'Emission factors'!$K$2:$V$2,0)))</f>
        <v/>
      </c>
      <c r="M202" s="495" t="str" cm="1">
        <f t="array" ref="M202">IF(OR(E202="",I202="",BuildingsElectricityTable[[#This Row],[Units]]=""),"",INDEX('Emission factors'!$K$3:$V$201,MATCH('Buildings - Grid Electricity'!$E202&amp;F202,'Emission factors'!$J$3:$J$201&amp;'Emission factors'!$K$3:$K$201,0),MATCH('Buildings - Grid Electricity'!$M$6,'Emission factors'!$K$2:$V$2,0)))</f>
        <v/>
      </c>
      <c r="N202" s="496" t="str">
        <f>IF(OR(K202="",M202=""),"",SUM(BuildingsElectricityTable[[#This Row],[Direct]:[Indirect WTT]]))</f>
        <v/>
      </c>
      <c r="O202" s="268"/>
      <c r="P202" s="497"/>
      <c r="Q202" s="157" t="str" cm="1">
        <f t="array" ref="Q202">IF(OR($E202="",$I202=""),"",(INDEX('Emission factors'!$K$3:$V$201,MATCH('Buildings - Grid Electricity'!$E202&amp;$F202,'Emission factors'!$J$3:$J$201&amp;'Emission factors'!$K$3:$K$201,0),MATCH('Buildings - Grid Electricity'!Q$6,'Emission factors'!$K$2:$V$2,0)))*$K202)</f>
        <v/>
      </c>
      <c r="R202" s="157" t="str" cm="1">
        <f t="array" ref="R202">IF(OR($E202="",$I202=""),"",(INDEX('Emission factors'!$K$3:$V$201,MATCH('Buildings - Grid Electricity'!$E202&amp;$F202,'Emission factors'!$J$3:$J$201&amp;'Emission factors'!$K$3:$K$201,0),MATCH('Buildings - Grid Electricity'!R$6,'Emission factors'!$K$2:$V$2,0)))*$K202)</f>
        <v/>
      </c>
      <c r="S202" s="157" t="str" cm="1">
        <f t="array" ref="S202">IF(OR($E202="",$I202=""),"",(INDEX('Emission factors'!$K$3:$V$201,MATCH('Buildings - Grid Electricity'!$E202&amp;$F202,'Emission factors'!$J$3:$J$201&amp;'Emission factors'!$K$3:$K$201,0),MATCH('Buildings - Grid Electricity'!S$6,'Emission factors'!$K$2:$V$2,0)))*$K202)</f>
        <v/>
      </c>
      <c r="T202" s="157" t="str" cm="1">
        <f t="array" ref="T202">IF(OR($E202="",$I202=""),"",(INDEX('Emission factors'!$K$3:$V$201,MATCH('Buildings - Grid Electricity'!$E202&amp;$F202,'Emission factors'!$J$3:$J$201&amp;'Emission factors'!$K$3:$K$201,0),MATCH('Buildings - Grid Electricity'!T$6,'Emission factors'!$K$2:$V$2,0)))*$K202)</f>
        <v/>
      </c>
      <c r="U202" s="157" t="str" cm="1">
        <f t="array" ref="U202">IF(OR($E202="",$I202=""),"",(INDEX('Emission factors'!$K$3:$V$201,MATCH('Buildings - Grid Electricity'!$E202&amp;$F202,'Emission factors'!$J$3:$J$201&amp;'Emission factors'!$K$3:$K$201,0),MATCH('Buildings - Grid Electricity'!U$6,'Emission factors'!$K$2:$V$2,0)))*$K202)</f>
        <v/>
      </c>
      <c r="V202" s="269" t="str">
        <f>IF(OR($N202="",BuildingsElectricityTable[[#This Row],[RSD]]=""),"",BuildingsElectricityTable[[#This Row],[Total emissions (kgCO2e)]]*(1+BuildingsElectricityTable[[#This Row],[RSD]]))</f>
        <v/>
      </c>
      <c r="W202" s="270" t="str">
        <f>IF(OR($N202="",BuildingsElectricityTable[[#This Row],[RSD]]=""),"",BuildingsElectricityTable[[#This Row],[Total emissions (kgCO2e)]]*(1-BuildingsElectricityTable[[#This Row],[RSD]]))</f>
        <v/>
      </c>
      <c r="X202" s="271" t="str" cm="1">
        <f t="array" ref="X202">IF(OR($E202="",$I202=""),"",(INDEX('Emission factors'!$K$3:$V$201,MATCH('Buildings - Grid Electricity'!$E202&amp;$F202,'Emission factors'!$J$3:$J$201&amp;'Emission factors'!$K$3:$K$201,0),MATCH('Buildings - Grid Electricity'!X$6,'Emission factors'!$K$2:$V$2,0)))*$K202)</f>
        <v/>
      </c>
      <c r="Y202" s="30"/>
      <c r="Z202" s="1" cm="1">
        <f t="array" ref="Z202">IF(OR(ISERROR(B202:X202)),1,0)</f>
        <v>0</v>
      </c>
      <c r="AA202" s="1">
        <f t="shared" si="17"/>
        <v>0</v>
      </c>
    </row>
    <row r="203" spans="1:27" ht="15" outlineLevel="1" thickBot="1" x14ac:dyDescent="0.4">
      <c r="A203" s="319"/>
      <c r="B203" s="216"/>
      <c r="C203" s="216"/>
      <c r="D203" s="489" t="str">
        <f>IFERROR(INDEX(BuildingInformationTable[Site type],MATCH(BuildingsElectricityTable[[#This Row],[Site name]],BuildingInformationTable[Site name],0)),"")</f>
        <v/>
      </c>
      <c r="E203" s="490" t="str">
        <f t="shared" si="14"/>
        <v/>
      </c>
      <c r="F203" s="490" t="str">
        <f t="shared" si="15"/>
        <v/>
      </c>
      <c r="G203" s="491"/>
      <c r="H203" s="492" t="str">
        <f>IF(G203="","",INDEX(Lists!$BA$4:$BC$31,MATCH(E203,Lists!$AZ$4:$AZ$31,0),MATCH(G203,Lists!$BA$3:$BC$3,0)))</f>
        <v/>
      </c>
      <c r="I203" s="267"/>
      <c r="J203" s="490" t="str">
        <f t="shared" si="16"/>
        <v/>
      </c>
      <c r="K203" s="493" t="str" cm="1">
        <f t="array" ref="K203">IF(OR($E203="",$D203="",$I203="",$J203=""),"",IF(J203=L203,I203,(INDEX('Emission factors'!$K$3:$V$201,MATCH(E203&amp;F203,'Emission factors'!$J$3:$J$201&amp;'Emission factors'!$K$3:$K$201,0),MATCH(K$6,'Emission factors'!$K$2:$V$2,0)))*I203))</f>
        <v/>
      </c>
      <c r="L203" s="494" t="str">
        <f>IF(OR($E203="",$D203="",$I203="",$J203=""),"",INDEX('Emission factors'!$K$3:$V$201,MATCH('Buildings - Grid Electricity'!$E203,'Emission factors'!$J$3:$J$201,0),MATCH($L$6,'Emission factors'!$K$2:$V$2,0)))</f>
        <v/>
      </c>
      <c r="M203" s="495" t="str" cm="1">
        <f t="array" ref="M203">IF(OR(E203="",I203="",BuildingsElectricityTable[[#This Row],[Units]]=""),"",INDEX('Emission factors'!$K$3:$V$201,MATCH('Buildings - Grid Electricity'!$E203&amp;F203,'Emission factors'!$J$3:$J$201&amp;'Emission factors'!$K$3:$K$201,0),MATCH('Buildings - Grid Electricity'!$M$6,'Emission factors'!$K$2:$V$2,0)))</f>
        <v/>
      </c>
      <c r="N203" s="496" t="str">
        <f>IF(OR(K203="",M203=""),"",SUM(BuildingsElectricityTable[[#This Row],[Direct]:[Indirect WTT]]))</f>
        <v/>
      </c>
      <c r="O203" s="268"/>
      <c r="P203" s="497"/>
      <c r="Q203" s="157" t="str" cm="1">
        <f t="array" ref="Q203">IF(OR($E203="",$I203=""),"",(INDEX('Emission factors'!$K$3:$V$201,MATCH('Buildings - Grid Electricity'!$E203&amp;$F203,'Emission factors'!$J$3:$J$201&amp;'Emission factors'!$K$3:$K$201,0),MATCH('Buildings - Grid Electricity'!Q$6,'Emission factors'!$K$2:$V$2,0)))*$K203)</f>
        <v/>
      </c>
      <c r="R203" s="157" t="str" cm="1">
        <f t="array" ref="R203">IF(OR($E203="",$I203=""),"",(INDEX('Emission factors'!$K$3:$V$201,MATCH('Buildings - Grid Electricity'!$E203&amp;$F203,'Emission factors'!$J$3:$J$201&amp;'Emission factors'!$K$3:$K$201,0),MATCH('Buildings - Grid Electricity'!R$6,'Emission factors'!$K$2:$V$2,0)))*$K203)</f>
        <v/>
      </c>
      <c r="S203" s="157" t="str" cm="1">
        <f t="array" ref="S203">IF(OR($E203="",$I203=""),"",(INDEX('Emission factors'!$K$3:$V$201,MATCH('Buildings - Grid Electricity'!$E203&amp;$F203,'Emission factors'!$J$3:$J$201&amp;'Emission factors'!$K$3:$K$201,0),MATCH('Buildings - Grid Electricity'!S$6,'Emission factors'!$K$2:$V$2,0)))*$K203)</f>
        <v/>
      </c>
      <c r="T203" s="157" t="str" cm="1">
        <f t="array" ref="T203">IF(OR($E203="",$I203=""),"",(INDEX('Emission factors'!$K$3:$V$201,MATCH('Buildings - Grid Electricity'!$E203&amp;$F203,'Emission factors'!$J$3:$J$201&amp;'Emission factors'!$K$3:$K$201,0),MATCH('Buildings - Grid Electricity'!T$6,'Emission factors'!$K$2:$V$2,0)))*$K203)</f>
        <v/>
      </c>
      <c r="U203" s="157" t="str" cm="1">
        <f t="array" ref="U203">IF(OR($E203="",$I203=""),"",(INDEX('Emission factors'!$K$3:$V$201,MATCH('Buildings - Grid Electricity'!$E203&amp;$F203,'Emission factors'!$J$3:$J$201&amp;'Emission factors'!$K$3:$K$201,0),MATCH('Buildings - Grid Electricity'!U$6,'Emission factors'!$K$2:$V$2,0)))*$K203)</f>
        <v/>
      </c>
      <c r="V203" s="269" t="str">
        <f>IF(OR($N203="",BuildingsElectricityTable[[#This Row],[RSD]]=""),"",BuildingsElectricityTable[[#This Row],[Total emissions (kgCO2e)]]*(1+BuildingsElectricityTable[[#This Row],[RSD]]))</f>
        <v/>
      </c>
      <c r="W203" s="270" t="str">
        <f>IF(OR($N203="",BuildingsElectricityTable[[#This Row],[RSD]]=""),"",BuildingsElectricityTable[[#This Row],[Total emissions (kgCO2e)]]*(1-BuildingsElectricityTable[[#This Row],[RSD]]))</f>
        <v/>
      </c>
      <c r="X203" s="271" t="str" cm="1">
        <f t="array" ref="X203">IF(OR($E203="",$I203=""),"",(INDEX('Emission factors'!$K$3:$V$201,MATCH('Buildings - Grid Electricity'!$E203&amp;$F203,'Emission factors'!$J$3:$J$201&amp;'Emission factors'!$K$3:$K$201,0),MATCH('Buildings - Grid Electricity'!X$6,'Emission factors'!$K$2:$V$2,0)))*$K203)</f>
        <v/>
      </c>
      <c r="Y203" s="30"/>
      <c r="Z203" s="1" cm="1">
        <f t="array" ref="Z203">IF(OR(ISERROR(B203:X203)),1,0)</f>
        <v>0</v>
      </c>
      <c r="AA203" s="1">
        <f t="shared" si="17"/>
        <v>0</v>
      </c>
    </row>
    <row r="204" spans="1:27" ht="15" outlineLevel="1" thickBot="1" x14ac:dyDescent="0.4">
      <c r="A204" s="319"/>
      <c r="B204" s="216"/>
      <c r="C204" s="216"/>
      <c r="D204" s="489" t="str">
        <f>IFERROR(INDEX(BuildingInformationTable[Site type],MATCH(BuildingsElectricityTable[[#This Row],[Site name]],BuildingInformationTable[Site name],0)),"")</f>
        <v/>
      </c>
      <c r="E204" s="490" t="str">
        <f t="shared" si="14"/>
        <v/>
      </c>
      <c r="F204" s="490" t="str">
        <f t="shared" si="15"/>
        <v/>
      </c>
      <c r="G204" s="491"/>
      <c r="H204" s="492" t="str">
        <f>IF(G204="","",INDEX(Lists!$BA$4:$BC$31,MATCH(E204,Lists!$AZ$4:$AZ$31,0),MATCH(G204,Lists!$BA$3:$BC$3,0)))</f>
        <v/>
      </c>
      <c r="I204" s="267"/>
      <c r="J204" s="490" t="str">
        <f t="shared" si="16"/>
        <v/>
      </c>
      <c r="K204" s="493" t="str" cm="1">
        <f t="array" ref="K204">IF(OR($E204="",$D204="",$I204="",$J204=""),"",IF(J204=L204,I204,(INDEX('Emission factors'!$K$3:$V$201,MATCH(E204&amp;F204,'Emission factors'!$J$3:$J$201&amp;'Emission factors'!$K$3:$K$201,0),MATCH(K$6,'Emission factors'!$K$2:$V$2,0)))*I204))</f>
        <v/>
      </c>
      <c r="L204" s="494" t="str">
        <f>IF(OR($E204="",$D204="",$I204="",$J204=""),"",INDEX('Emission factors'!$K$3:$V$201,MATCH('Buildings - Grid Electricity'!$E204,'Emission factors'!$J$3:$J$201,0),MATCH($L$6,'Emission factors'!$K$2:$V$2,0)))</f>
        <v/>
      </c>
      <c r="M204" s="495" t="str" cm="1">
        <f t="array" ref="M204">IF(OR(E204="",I204="",BuildingsElectricityTable[[#This Row],[Units]]=""),"",INDEX('Emission factors'!$K$3:$V$201,MATCH('Buildings - Grid Electricity'!$E204&amp;F204,'Emission factors'!$J$3:$J$201&amp;'Emission factors'!$K$3:$K$201,0),MATCH('Buildings - Grid Electricity'!$M$6,'Emission factors'!$K$2:$V$2,0)))</f>
        <v/>
      </c>
      <c r="N204" s="496" t="str">
        <f>IF(OR(K204="",M204=""),"",SUM(BuildingsElectricityTable[[#This Row],[Direct]:[Indirect WTT]]))</f>
        <v/>
      </c>
      <c r="O204" s="268"/>
      <c r="P204" s="497"/>
      <c r="Q204" s="157" t="str" cm="1">
        <f t="array" ref="Q204">IF(OR($E204="",$I204=""),"",(INDEX('Emission factors'!$K$3:$V$201,MATCH('Buildings - Grid Electricity'!$E204&amp;$F204,'Emission factors'!$J$3:$J$201&amp;'Emission factors'!$K$3:$K$201,0),MATCH('Buildings - Grid Electricity'!Q$6,'Emission factors'!$K$2:$V$2,0)))*$K204)</f>
        <v/>
      </c>
      <c r="R204" s="157" t="str" cm="1">
        <f t="array" ref="R204">IF(OR($E204="",$I204=""),"",(INDEX('Emission factors'!$K$3:$V$201,MATCH('Buildings - Grid Electricity'!$E204&amp;$F204,'Emission factors'!$J$3:$J$201&amp;'Emission factors'!$K$3:$K$201,0),MATCH('Buildings - Grid Electricity'!R$6,'Emission factors'!$K$2:$V$2,0)))*$K204)</f>
        <v/>
      </c>
      <c r="S204" s="157" t="str" cm="1">
        <f t="array" ref="S204">IF(OR($E204="",$I204=""),"",(INDEX('Emission factors'!$K$3:$V$201,MATCH('Buildings - Grid Electricity'!$E204&amp;$F204,'Emission factors'!$J$3:$J$201&amp;'Emission factors'!$K$3:$K$201,0),MATCH('Buildings - Grid Electricity'!S$6,'Emission factors'!$K$2:$V$2,0)))*$K204)</f>
        <v/>
      </c>
      <c r="T204" s="157" t="str" cm="1">
        <f t="array" ref="T204">IF(OR($E204="",$I204=""),"",(INDEX('Emission factors'!$K$3:$V$201,MATCH('Buildings - Grid Electricity'!$E204&amp;$F204,'Emission factors'!$J$3:$J$201&amp;'Emission factors'!$K$3:$K$201,0),MATCH('Buildings - Grid Electricity'!T$6,'Emission factors'!$K$2:$V$2,0)))*$K204)</f>
        <v/>
      </c>
      <c r="U204" s="157" t="str" cm="1">
        <f t="array" ref="U204">IF(OR($E204="",$I204=""),"",(INDEX('Emission factors'!$K$3:$V$201,MATCH('Buildings - Grid Electricity'!$E204&amp;$F204,'Emission factors'!$J$3:$J$201&amp;'Emission factors'!$K$3:$K$201,0),MATCH('Buildings - Grid Electricity'!U$6,'Emission factors'!$K$2:$V$2,0)))*$K204)</f>
        <v/>
      </c>
      <c r="V204" s="269" t="str">
        <f>IF(OR($N204="",BuildingsElectricityTable[[#This Row],[RSD]]=""),"",BuildingsElectricityTable[[#This Row],[Total emissions (kgCO2e)]]*(1+BuildingsElectricityTable[[#This Row],[RSD]]))</f>
        <v/>
      </c>
      <c r="W204" s="270" t="str">
        <f>IF(OR($N204="",BuildingsElectricityTable[[#This Row],[RSD]]=""),"",BuildingsElectricityTable[[#This Row],[Total emissions (kgCO2e)]]*(1-BuildingsElectricityTable[[#This Row],[RSD]]))</f>
        <v/>
      </c>
      <c r="X204" s="271" t="str" cm="1">
        <f t="array" ref="X204">IF(OR($E204="",$I204=""),"",(INDEX('Emission factors'!$K$3:$V$201,MATCH('Buildings - Grid Electricity'!$E204&amp;$F204,'Emission factors'!$J$3:$J$201&amp;'Emission factors'!$K$3:$K$201,0),MATCH('Buildings - Grid Electricity'!X$6,'Emission factors'!$K$2:$V$2,0)))*$K204)</f>
        <v/>
      </c>
      <c r="Y204" s="30"/>
      <c r="Z204" s="1" cm="1">
        <f t="array" ref="Z204">IF(OR(ISERROR(B204:X204)),1,0)</f>
        <v>0</v>
      </c>
      <c r="AA204" s="1">
        <f t="shared" si="17"/>
        <v>0</v>
      </c>
    </row>
    <row r="205" spans="1:27" ht="15" outlineLevel="1" thickBot="1" x14ac:dyDescent="0.4">
      <c r="A205" s="319"/>
      <c r="B205" s="216"/>
      <c r="C205" s="216"/>
      <c r="D205" s="489" t="str">
        <f>IFERROR(INDEX(BuildingInformationTable[Site type],MATCH(BuildingsElectricityTable[[#This Row],[Site name]],BuildingInformationTable[Site name],0)),"")</f>
        <v/>
      </c>
      <c r="E205" s="490" t="str">
        <f t="shared" si="14"/>
        <v/>
      </c>
      <c r="F205" s="490" t="str">
        <f t="shared" si="15"/>
        <v/>
      </c>
      <c r="G205" s="491"/>
      <c r="H205" s="492" t="str">
        <f>IF(G205="","",INDEX(Lists!$BA$4:$BC$31,MATCH(E205,Lists!$AZ$4:$AZ$31,0),MATCH(G205,Lists!$BA$3:$BC$3,0)))</f>
        <v/>
      </c>
      <c r="I205" s="267"/>
      <c r="J205" s="490" t="str">
        <f t="shared" si="16"/>
        <v/>
      </c>
      <c r="K205" s="493" t="str" cm="1">
        <f t="array" ref="K205">IF(OR($E205="",$D205="",$I205="",$J205=""),"",IF(J205=L205,I205,(INDEX('Emission factors'!$K$3:$V$201,MATCH(E205&amp;F205,'Emission factors'!$J$3:$J$201&amp;'Emission factors'!$K$3:$K$201,0),MATCH(K$6,'Emission factors'!$K$2:$V$2,0)))*I205))</f>
        <v/>
      </c>
      <c r="L205" s="494" t="str">
        <f>IF(OR($E205="",$D205="",$I205="",$J205=""),"",INDEX('Emission factors'!$K$3:$V$201,MATCH('Buildings - Grid Electricity'!$E205,'Emission factors'!$J$3:$J$201,0),MATCH($L$6,'Emission factors'!$K$2:$V$2,0)))</f>
        <v/>
      </c>
      <c r="M205" s="495" t="str" cm="1">
        <f t="array" ref="M205">IF(OR(E205="",I205="",BuildingsElectricityTable[[#This Row],[Units]]=""),"",INDEX('Emission factors'!$K$3:$V$201,MATCH('Buildings - Grid Electricity'!$E205&amp;F205,'Emission factors'!$J$3:$J$201&amp;'Emission factors'!$K$3:$K$201,0),MATCH('Buildings - Grid Electricity'!$M$6,'Emission factors'!$K$2:$V$2,0)))</f>
        <v/>
      </c>
      <c r="N205" s="496" t="str">
        <f>IF(OR(K205="",M205=""),"",SUM(BuildingsElectricityTable[[#This Row],[Direct]:[Indirect WTT]]))</f>
        <v/>
      </c>
      <c r="O205" s="268"/>
      <c r="P205" s="497"/>
      <c r="Q205" s="157" t="str" cm="1">
        <f t="array" ref="Q205">IF(OR($E205="",$I205=""),"",(INDEX('Emission factors'!$K$3:$V$201,MATCH('Buildings - Grid Electricity'!$E205&amp;$F205,'Emission factors'!$J$3:$J$201&amp;'Emission factors'!$K$3:$K$201,0),MATCH('Buildings - Grid Electricity'!Q$6,'Emission factors'!$K$2:$V$2,0)))*$K205)</f>
        <v/>
      </c>
      <c r="R205" s="157" t="str" cm="1">
        <f t="array" ref="R205">IF(OR($E205="",$I205=""),"",(INDEX('Emission factors'!$K$3:$V$201,MATCH('Buildings - Grid Electricity'!$E205&amp;$F205,'Emission factors'!$J$3:$J$201&amp;'Emission factors'!$K$3:$K$201,0),MATCH('Buildings - Grid Electricity'!R$6,'Emission factors'!$K$2:$V$2,0)))*$K205)</f>
        <v/>
      </c>
      <c r="S205" s="157" t="str" cm="1">
        <f t="array" ref="S205">IF(OR($E205="",$I205=""),"",(INDEX('Emission factors'!$K$3:$V$201,MATCH('Buildings - Grid Electricity'!$E205&amp;$F205,'Emission factors'!$J$3:$J$201&amp;'Emission factors'!$K$3:$K$201,0),MATCH('Buildings - Grid Electricity'!S$6,'Emission factors'!$K$2:$V$2,0)))*$K205)</f>
        <v/>
      </c>
      <c r="T205" s="157" t="str" cm="1">
        <f t="array" ref="T205">IF(OR($E205="",$I205=""),"",(INDEX('Emission factors'!$K$3:$V$201,MATCH('Buildings - Grid Electricity'!$E205&amp;$F205,'Emission factors'!$J$3:$J$201&amp;'Emission factors'!$K$3:$K$201,0),MATCH('Buildings - Grid Electricity'!T$6,'Emission factors'!$K$2:$V$2,0)))*$K205)</f>
        <v/>
      </c>
      <c r="U205" s="157" t="str" cm="1">
        <f t="array" ref="U205">IF(OR($E205="",$I205=""),"",(INDEX('Emission factors'!$K$3:$V$201,MATCH('Buildings - Grid Electricity'!$E205&amp;$F205,'Emission factors'!$J$3:$J$201&amp;'Emission factors'!$K$3:$K$201,0),MATCH('Buildings - Grid Electricity'!U$6,'Emission factors'!$K$2:$V$2,0)))*$K205)</f>
        <v/>
      </c>
      <c r="V205" s="269" t="str">
        <f>IF(OR($N205="",BuildingsElectricityTable[[#This Row],[RSD]]=""),"",BuildingsElectricityTable[[#This Row],[Total emissions (kgCO2e)]]*(1+BuildingsElectricityTable[[#This Row],[RSD]]))</f>
        <v/>
      </c>
      <c r="W205" s="270" t="str">
        <f>IF(OR($N205="",BuildingsElectricityTable[[#This Row],[RSD]]=""),"",BuildingsElectricityTable[[#This Row],[Total emissions (kgCO2e)]]*(1-BuildingsElectricityTable[[#This Row],[RSD]]))</f>
        <v/>
      </c>
      <c r="X205" s="271" t="str" cm="1">
        <f t="array" ref="X205">IF(OR($E205="",$I205=""),"",(INDEX('Emission factors'!$K$3:$V$201,MATCH('Buildings - Grid Electricity'!$E205&amp;$F205,'Emission factors'!$J$3:$J$201&amp;'Emission factors'!$K$3:$K$201,0),MATCH('Buildings - Grid Electricity'!X$6,'Emission factors'!$K$2:$V$2,0)))*$K205)</f>
        <v/>
      </c>
      <c r="Y205" s="30"/>
      <c r="Z205" s="1" cm="1">
        <f t="array" ref="Z205">IF(OR(ISERROR(B205:X205)),1,0)</f>
        <v>0</v>
      </c>
      <c r="AA205" s="1">
        <f t="shared" si="17"/>
        <v>0</v>
      </c>
    </row>
    <row r="206" spans="1:27" ht="15" outlineLevel="1" thickBot="1" x14ac:dyDescent="0.4">
      <c r="A206" s="319"/>
      <c r="B206" s="216"/>
      <c r="C206" s="216"/>
      <c r="D206" s="489" t="str">
        <f>IFERROR(INDEX(BuildingInformationTable[Site type],MATCH(BuildingsElectricityTable[[#This Row],[Site name]],BuildingInformationTable[Site name],0)),"")</f>
        <v/>
      </c>
      <c r="E206" s="490" t="str">
        <f t="shared" si="14"/>
        <v/>
      </c>
      <c r="F206" s="490" t="str">
        <f t="shared" si="15"/>
        <v/>
      </c>
      <c r="G206" s="491"/>
      <c r="H206" s="492" t="str">
        <f>IF(G206="","",INDEX(Lists!$BA$4:$BC$31,MATCH(E206,Lists!$AZ$4:$AZ$31,0),MATCH(G206,Lists!$BA$3:$BC$3,0)))</f>
        <v/>
      </c>
      <c r="I206" s="267"/>
      <c r="J206" s="490" t="str">
        <f t="shared" si="16"/>
        <v/>
      </c>
      <c r="K206" s="493" t="str" cm="1">
        <f t="array" ref="K206">IF(OR($E206="",$D206="",$I206="",$J206=""),"",IF(J206=L206,I206,(INDEX('Emission factors'!$K$3:$V$201,MATCH(E206&amp;F206,'Emission factors'!$J$3:$J$201&amp;'Emission factors'!$K$3:$K$201,0),MATCH(K$6,'Emission factors'!$K$2:$V$2,0)))*I206))</f>
        <v/>
      </c>
      <c r="L206" s="494" t="str">
        <f>IF(OR($E206="",$D206="",$I206="",$J206=""),"",INDEX('Emission factors'!$K$3:$V$201,MATCH('Buildings - Grid Electricity'!$E206,'Emission factors'!$J$3:$J$201,0),MATCH($L$6,'Emission factors'!$K$2:$V$2,0)))</f>
        <v/>
      </c>
      <c r="M206" s="495" t="str" cm="1">
        <f t="array" ref="M206">IF(OR(E206="",I206="",BuildingsElectricityTable[[#This Row],[Units]]=""),"",INDEX('Emission factors'!$K$3:$V$201,MATCH('Buildings - Grid Electricity'!$E206&amp;F206,'Emission factors'!$J$3:$J$201&amp;'Emission factors'!$K$3:$K$201,0),MATCH('Buildings - Grid Electricity'!$M$6,'Emission factors'!$K$2:$V$2,0)))</f>
        <v/>
      </c>
      <c r="N206" s="496" t="str">
        <f>IF(OR(K206="",M206=""),"",SUM(BuildingsElectricityTable[[#This Row],[Direct]:[Indirect WTT]]))</f>
        <v/>
      </c>
      <c r="O206" s="268"/>
      <c r="P206" s="497"/>
      <c r="Q206" s="157" t="str" cm="1">
        <f t="array" ref="Q206">IF(OR($E206="",$I206=""),"",(INDEX('Emission factors'!$K$3:$V$201,MATCH('Buildings - Grid Electricity'!$E206&amp;$F206,'Emission factors'!$J$3:$J$201&amp;'Emission factors'!$K$3:$K$201,0),MATCH('Buildings - Grid Electricity'!Q$6,'Emission factors'!$K$2:$V$2,0)))*$K206)</f>
        <v/>
      </c>
      <c r="R206" s="157" t="str" cm="1">
        <f t="array" ref="R206">IF(OR($E206="",$I206=""),"",(INDEX('Emission factors'!$K$3:$V$201,MATCH('Buildings - Grid Electricity'!$E206&amp;$F206,'Emission factors'!$J$3:$J$201&amp;'Emission factors'!$K$3:$K$201,0),MATCH('Buildings - Grid Electricity'!R$6,'Emission factors'!$K$2:$V$2,0)))*$K206)</f>
        <v/>
      </c>
      <c r="S206" s="157" t="str" cm="1">
        <f t="array" ref="S206">IF(OR($E206="",$I206=""),"",(INDEX('Emission factors'!$K$3:$V$201,MATCH('Buildings - Grid Electricity'!$E206&amp;$F206,'Emission factors'!$J$3:$J$201&amp;'Emission factors'!$K$3:$K$201,0),MATCH('Buildings - Grid Electricity'!S$6,'Emission factors'!$K$2:$V$2,0)))*$K206)</f>
        <v/>
      </c>
      <c r="T206" s="157" t="str" cm="1">
        <f t="array" ref="T206">IF(OR($E206="",$I206=""),"",(INDEX('Emission factors'!$K$3:$V$201,MATCH('Buildings - Grid Electricity'!$E206&amp;$F206,'Emission factors'!$J$3:$J$201&amp;'Emission factors'!$K$3:$K$201,0),MATCH('Buildings - Grid Electricity'!T$6,'Emission factors'!$K$2:$V$2,0)))*$K206)</f>
        <v/>
      </c>
      <c r="U206" s="157" t="str" cm="1">
        <f t="array" ref="U206">IF(OR($E206="",$I206=""),"",(INDEX('Emission factors'!$K$3:$V$201,MATCH('Buildings - Grid Electricity'!$E206&amp;$F206,'Emission factors'!$J$3:$J$201&amp;'Emission factors'!$K$3:$K$201,0),MATCH('Buildings - Grid Electricity'!U$6,'Emission factors'!$K$2:$V$2,0)))*$K206)</f>
        <v/>
      </c>
      <c r="V206" s="269" t="str">
        <f>IF(OR($N206="",BuildingsElectricityTable[[#This Row],[RSD]]=""),"",BuildingsElectricityTable[[#This Row],[Total emissions (kgCO2e)]]*(1+BuildingsElectricityTable[[#This Row],[RSD]]))</f>
        <v/>
      </c>
      <c r="W206" s="270" t="str">
        <f>IF(OR($N206="",BuildingsElectricityTable[[#This Row],[RSD]]=""),"",BuildingsElectricityTable[[#This Row],[Total emissions (kgCO2e)]]*(1-BuildingsElectricityTable[[#This Row],[RSD]]))</f>
        <v/>
      </c>
      <c r="X206" s="271" t="str" cm="1">
        <f t="array" ref="X206">IF(OR($E206="",$I206=""),"",(INDEX('Emission factors'!$K$3:$V$201,MATCH('Buildings - Grid Electricity'!$E206&amp;$F206,'Emission factors'!$J$3:$J$201&amp;'Emission factors'!$K$3:$K$201,0),MATCH('Buildings - Grid Electricity'!X$6,'Emission factors'!$K$2:$V$2,0)))*$K206)</f>
        <v/>
      </c>
      <c r="Y206" s="30"/>
      <c r="Z206" s="1" cm="1">
        <f t="array" ref="Z206">IF(OR(ISERROR(B206:X206)),1,0)</f>
        <v>0</v>
      </c>
      <c r="AA206" s="1">
        <f t="shared" si="17"/>
        <v>0</v>
      </c>
    </row>
    <row r="207" spans="1:27" ht="15" outlineLevel="1" thickBot="1" x14ac:dyDescent="0.4">
      <c r="A207" s="319"/>
      <c r="B207" s="216"/>
      <c r="C207" s="216"/>
      <c r="D207" s="489" t="str">
        <f>IFERROR(INDEX(BuildingInformationTable[Site type],MATCH(BuildingsElectricityTable[[#This Row],[Site name]],BuildingInformationTable[Site name],0)),"")</f>
        <v/>
      </c>
      <c r="E207" s="490" t="str">
        <f t="shared" si="14"/>
        <v/>
      </c>
      <c r="F207" s="490" t="str">
        <f t="shared" si="15"/>
        <v/>
      </c>
      <c r="G207" s="491"/>
      <c r="H207" s="492" t="str">
        <f>IF(G207="","",INDEX(Lists!$BA$4:$BC$31,MATCH(E207,Lists!$AZ$4:$AZ$31,0),MATCH(G207,Lists!$BA$3:$BC$3,0)))</f>
        <v/>
      </c>
      <c r="I207" s="267"/>
      <c r="J207" s="490" t="str">
        <f t="shared" si="16"/>
        <v/>
      </c>
      <c r="K207" s="493" t="str" cm="1">
        <f t="array" ref="K207">IF(OR($E207="",$D207="",$I207="",$J207=""),"",IF(J207=L207,I207,(INDEX('Emission factors'!$K$3:$V$201,MATCH(E207&amp;F207,'Emission factors'!$J$3:$J$201&amp;'Emission factors'!$K$3:$K$201,0),MATCH(K$6,'Emission factors'!$K$2:$V$2,0)))*I207))</f>
        <v/>
      </c>
      <c r="L207" s="494" t="str">
        <f>IF(OR($E207="",$D207="",$I207="",$J207=""),"",INDEX('Emission factors'!$K$3:$V$201,MATCH('Buildings - Grid Electricity'!$E207,'Emission factors'!$J$3:$J$201,0),MATCH($L$6,'Emission factors'!$K$2:$V$2,0)))</f>
        <v/>
      </c>
      <c r="M207" s="495" t="str" cm="1">
        <f t="array" ref="M207">IF(OR(E207="",I207="",BuildingsElectricityTable[[#This Row],[Units]]=""),"",INDEX('Emission factors'!$K$3:$V$201,MATCH('Buildings - Grid Electricity'!$E207&amp;F207,'Emission factors'!$J$3:$J$201&amp;'Emission factors'!$K$3:$K$201,0),MATCH('Buildings - Grid Electricity'!$M$6,'Emission factors'!$K$2:$V$2,0)))</f>
        <v/>
      </c>
      <c r="N207" s="496" t="str">
        <f>IF(OR(K207="",M207=""),"",SUM(BuildingsElectricityTable[[#This Row],[Direct]:[Indirect WTT]]))</f>
        <v/>
      </c>
      <c r="O207" s="268"/>
      <c r="P207" s="497"/>
      <c r="Q207" s="157" t="str" cm="1">
        <f t="array" ref="Q207">IF(OR($E207="",$I207=""),"",(INDEX('Emission factors'!$K$3:$V$201,MATCH('Buildings - Grid Electricity'!$E207&amp;$F207,'Emission factors'!$J$3:$J$201&amp;'Emission factors'!$K$3:$K$201,0),MATCH('Buildings - Grid Electricity'!Q$6,'Emission factors'!$K$2:$V$2,0)))*$K207)</f>
        <v/>
      </c>
      <c r="R207" s="157" t="str" cm="1">
        <f t="array" ref="R207">IF(OR($E207="",$I207=""),"",(INDEX('Emission factors'!$K$3:$V$201,MATCH('Buildings - Grid Electricity'!$E207&amp;$F207,'Emission factors'!$J$3:$J$201&amp;'Emission factors'!$K$3:$K$201,0),MATCH('Buildings - Grid Electricity'!R$6,'Emission factors'!$K$2:$V$2,0)))*$K207)</f>
        <v/>
      </c>
      <c r="S207" s="157" t="str" cm="1">
        <f t="array" ref="S207">IF(OR($E207="",$I207=""),"",(INDEX('Emission factors'!$K$3:$V$201,MATCH('Buildings - Grid Electricity'!$E207&amp;$F207,'Emission factors'!$J$3:$J$201&amp;'Emission factors'!$K$3:$K$201,0),MATCH('Buildings - Grid Electricity'!S$6,'Emission factors'!$K$2:$V$2,0)))*$K207)</f>
        <v/>
      </c>
      <c r="T207" s="157" t="str" cm="1">
        <f t="array" ref="T207">IF(OR($E207="",$I207=""),"",(INDEX('Emission factors'!$K$3:$V$201,MATCH('Buildings - Grid Electricity'!$E207&amp;$F207,'Emission factors'!$J$3:$J$201&amp;'Emission factors'!$K$3:$K$201,0),MATCH('Buildings - Grid Electricity'!T$6,'Emission factors'!$K$2:$V$2,0)))*$K207)</f>
        <v/>
      </c>
      <c r="U207" s="157" t="str" cm="1">
        <f t="array" ref="U207">IF(OR($E207="",$I207=""),"",(INDEX('Emission factors'!$K$3:$V$201,MATCH('Buildings - Grid Electricity'!$E207&amp;$F207,'Emission factors'!$J$3:$J$201&amp;'Emission factors'!$K$3:$K$201,0),MATCH('Buildings - Grid Electricity'!U$6,'Emission factors'!$K$2:$V$2,0)))*$K207)</f>
        <v/>
      </c>
      <c r="V207" s="269" t="str">
        <f>IF(OR($N207="",BuildingsElectricityTable[[#This Row],[RSD]]=""),"",BuildingsElectricityTable[[#This Row],[Total emissions (kgCO2e)]]*(1+BuildingsElectricityTable[[#This Row],[RSD]]))</f>
        <v/>
      </c>
      <c r="W207" s="270" t="str">
        <f>IF(OR($N207="",BuildingsElectricityTable[[#This Row],[RSD]]=""),"",BuildingsElectricityTable[[#This Row],[Total emissions (kgCO2e)]]*(1-BuildingsElectricityTable[[#This Row],[RSD]]))</f>
        <v/>
      </c>
      <c r="X207" s="271" t="str" cm="1">
        <f t="array" ref="X207">IF(OR($E207="",$I207=""),"",(INDEX('Emission factors'!$K$3:$V$201,MATCH('Buildings - Grid Electricity'!$E207&amp;$F207,'Emission factors'!$J$3:$J$201&amp;'Emission factors'!$K$3:$K$201,0),MATCH('Buildings - Grid Electricity'!X$6,'Emission factors'!$K$2:$V$2,0)))*$K207)</f>
        <v/>
      </c>
      <c r="Y207" s="30"/>
      <c r="Z207" s="1" cm="1">
        <f t="array" ref="Z207">IF(OR(ISERROR(B207:X207)),1,0)</f>
        <v>0</v>
      </c>
      <c r="AA207" s="1">
        <f t="shared" si="17"/>
        <v>0</v>
      </c>
    </row>
    <row r="208" spans="1:27" ht="15" outlineLevel="1" thickBot="1" x14ac:dyDescent="0.4">
      <c r="A208" s="319"/>
      <c r="B208" s="216"/>
      <c r="C208" s="216"/>
      <c r="D208" s="489" t="str">
        <f>IFERROR(INDEX(BuildingInformationTable[Site type],MATCH(BuildingsElectricityTable[[#This Row],[Site name]],BuildingInformationTable[Site name],0)),"")</f>
        <v/>
      </c>
      <c r="E208" s="490" t="str">
        <f t="shared" si="14"/>
        <v/>
      </c>
      <c r="F208" s="490" t="str">
        <f t="shared" si="15"/>
        <v/>
      </c>
      <c r="G208" s="491"/>
      <c r="H208" s="492" t="str">
        <f>IF(G208="","",INDEX(Lists!$BA$4:$BC$31,MATCH(E208,Lists!$AZ$4:$AZ$31,0),MATCH(G208,Lists!$BA$3:$BC$3,0)))</f>
        <v/>
      </c>
      <c r="I208" s="267"/>
      <c r="J208" s="490" t="str">
        <f t="shared" si="16"/>
        <v/>
      </c>
      <c r="K208" s="493" t="str" cm="1">
        <f t="array" ref="K208">IF(OR($E208="",$D208="",$I208="",$J208=""),"",IF(J208=L208,I208,(INDEX('Emission factors'!$K$3:$V$201,MATCH(E208&amp;F208,'Emission factors'!$J$3:$J$201&amp;'Emission factors'!$K$3:$K$201,0),MATCH(K$6,'Emission factors'!$K$2:$V$2,0)))*I208))</f>
        <v/>
      </c>
      <c r="L208" s="494" t="str">
        <f>IF(OR($E208="",$D208="",$I208="",$J208=""),"",INDEX('Emission factors'!$K$3:$V$201,MATCH('Buildings - Grid Electricity'!$E208,'Emission factors'!$J$3:$J$201,0),MATCH($L$6,'Emission factors'!$K$2:$V$2,0)))</f>
        <v/>
      </c>
      <c r="M208" s="495" t="str" cm="1">
        <f t="array" ref="M208">IF(OR(E208="",I208="",BuildingsElectricityTable[[#This Row],[Units]]=""),"",INDEX('Emission factors'!$K$3:$V$201,MATCH('Buildings - Grid Electricity'!$E208&amp;F208,'Emission factors'!$J$3:$J$201&amp;'Emission factors'!$K$3:$K$201,0),MATCH('Buildings - Grid Electricity'!$M$6,'Emission factors'!$K$2:$V$2,0)))</f>
        <v/>
      </c>
      <c r="N208" s="496" t="str">
        <f>IF(OR(K208="",M208=""),"",SUM(BuildingsElectricityTable[[#This Row],[Direct]:[Indirect WTT]]))</f>
        <v/>
      </c>
      <c r="O208" s="268"/>
      <c r="P208" s="497"/>
      <c r="Q208" s="157" t="str" cm="1">
        <f t="array" ref="Q208">IF(OR($E208="",$I208=""),"",(INDEX('Emission factors'!$K$3:$V$201,MATCH('Buildings - Grid Electricity'!$E208&amp;$F208,'Emission factors'!$J$3:$J$201&amp;'Emission factors'!$K$3:$K$201,0),MATCH('Buildings - Grid Electricity'!Q$6,'Emission factors'!$K$2:$V$2,0)))*$K208)</f>
        <v/>
      </c>
      <c r="R208" s="157" t="str" cm="1">
        <f t="array" ref="R208">IF(OR($E208="",$I208=""),"",(INDEX('Emission factors'!$K$3:$V$201,MATCH('Buildings - Grid Electricity'!$E208&amp;$F208,'Emission factors'!$J$3:$J$201&amp;'Emission factors'!$K$3:$K$201,0),MATCH('Buildings - Grid Electricity'!R$6,'Emission factors'!$K$2:$V$2,0)))*$K208)</f>
        <v/>
      </c>
      <c r="S208" s="157" t="str" cm="1">
        <f t="array" ref="S208">IF(OR($E208="",$I208=""),"",(INDEX('Emission factors'!$K$3:$V$201,MATCH('Buildings - Grid Electricity'!$E208&amp;$F208,'Emission factors'!$J$3:$J$201&amp;'Emission factors'!$K$3:$K$201,0),MATCH('Buildings - Grid Electricity'!S$6,'Emission factors'!$K$2:$V$2,0)))*$K208)</f>
        <v/>
      </c>
      <c r="T208" s="157" t="str" cm="1">
        <f t="array" ref="T208">IF(OR($E208="",$I208=""),"",(INDEX('Emission factors'!$K$3:$V$201,MATCH('Buildings - Grid Electricity'!$E208&amp;$F208,'Emission factors'!$J$3:$J$201&amp;'Emission factors'!$K$3:$K$201,0),MATCH('Buildings - Grid Electricity'!T$6,'Emission factors'!$K$2:$V$2,0)))*$K208)</f>
        <v/>
      </c>
      <c r="U208" s="157" t="str" cm="1">
        <f t="array" ref="U208">IF(OR($E208="",$I208=""),"",(INDEX('Emission factors'!$K$3:$V$201,MATCH('Buildings - Grid Electricity'!$E208&amp;$F208,'Emission factors'!$J$3:$J$201&amp;'Emission factors'!$K$3:$K$201,0),MATCH('Buildings - Grid Electricity'!U$6,'Emission factors'!$K$2:$V$2,0)))*$K208)</f>
        <v/>
      </c>
      <c r="V208" s="269" t="str">
        <f>IF(OR($N208="",BuildingsElectricityTable[[#This Row],[RSD]]=""),"",BuildingsElectricityTable[[#This Row],[Total emissions (kgCO2e)]]*(1+BuildingsElectricityTable[[#This Row],[RSD]]))</f>
        <v/>
      </c>
      <c r="W208" s="270" t="str">
        <f>IF(OR($N208="",BuildingsElectricityTable[[#This Row],[RSD]]=""),"",BuildingsElectricityTable[[#This Row],[Total emissions (kgCO2e)]]*(1-BuildingsElectricityTable[[#This Row],[RSD]]))</f>
        <v/>
      </c>
      <c r="X208" s="271" t="str" cm="1">
        <f t="array" ref="X208">IF(OR($E208="",$I208=""),"",(INDEX('Emission factors'!$K$3:$V$201,MATCH('Buildings - Grid Electricity'!$E208&amp;$F208,'Emission factors'!$J$3:$J$201&amp;'Emission factors'!$K$3:$K$201,0),MATCH('Buildings - Grid Electricity'!X$6,'Emission factors'!$K$2:$V$2,0)))*$K208)</f>
        <v/>
      </c>
      <c r="Y208" s="30"/>
      <c r="Z208" s="1" cm="1">
        <f t="array" ref="Z208">IF(OR(ISERROR(B208:X208)),1,0)</f>
        <v>0</v>
      </c>
      <c r="AA208" s="1">
        <f t="shared" si="17"/>
        <v>0</v>
      </c>
    </row>
    <row r="209" spans="1:27" ht="15" outlineLevel="1" thickBot="1" x14ac:dyDescent="0.4">
      <c r="A209" s="319"/>
      <c r="B209" s="216"/>
      <c r="C209" s="216"/>
      <c r="D209" s="489" t="str">
        <f>IFERROR(INDEX(BuildingInformationTable[Site type],MATCH(BuildingsElectricityTable[[#This Row],[Site name]],BuildingInformationTable[Site name],0)),"")</f>
        <v/>
      </c>
      <c r="E209" s="490" t="str">
        <f t="shared" si="14"/>
        <v/>
      </c>
      <c r="F209" s="490" t="str">
        <f t="shared" si="15"/>
        <v/>
      </c>
      <c r="G209" s="491"/>
      <c r="H209" s="492" t="str">
        <f>IF(G209="","",INDEX(Lists!$BA$4:$BC$31,MATCH(E209,Lists!$AZ$4:$AZ$31,0),MATCH(G209,Lists!$BA$3:$BC$3,0)))</f>
        <v/>
      </c>
      <c r="I209" s="267"/>
      <c r="J209" s="490" t="str">
        <f t="shared" si="16"/>
        <v/>
      </c>
      <c r="K209" s="493" t="str" cm="1">
        <f t="array" ref="K209">IF(OR($E209="",$D209="",$I209="",$J209=""),"",IF(J209=L209,I209,(INDEX('Emission factors'!$K$3:$V$201,MATCH(E209&amp;F209,'Emission factors'!$J$3:$J$201&amp;'Emission factors'!$K$3:$K$201,0),MATCH(K$6,'Emission factors'!$K$2:$V$2,0)))*I209))</f>
        <v/>
      </c>
      <c r="L209" s="494" t="str">
        <f>IF(OR($E209="",$D209="",$I209="",$J209=""),"",INDEX('Emission factors'!$K$3:$V$201,MATCH('Buildings - Grid Electricity'!$E209,'Emission factors'!$J$3:$J$201,0),MATCH($L$6,'Emission factors'!$K$2:$V$2,0)))</f>
        <v/>
      </c>
      <c r="M209" s="495" t="str" cm="1">
        <f t="array" ref="M209">IF(OR(E209="",I209="",BuildingsElectricityTable[[#This Row],[Units]]=""),"",INDEX('Emission factors'!$K$3:$V$201,MATCH('Buildings - Grid Electricity'!$E209&amp;F209,'Emission factors'!$J$3:$J$201&amp;'Emission factors'!$K$3:$K$201,0),MATCH('Buildings - Grid Electricity'!$M$6,'Emission factors'!$K$2:$V$2,0)))</f>
        <v/>
      </c>
      <c r="N209" s="496" t="str">
        <f>IF(OR(K209="",M209=""),"",SUM(BuildingsElectricityTable[[#This Row],[Direct]:[Indirect WTT]]))</f>
        <v/>
      </c>
      <c r="O209" s="268"/>
      <c r="P209" s="497"/>
      <c r="Q209" s="157" t="str" cm="1">
        <f t="array" ref="Q209">IF(OR($E209="",$I209=""),"",(INDEX('Emission factors'!$K$3:$V$201,MATCH('Buildings - Grid Electricity'!$E209&amp;$F209,'Emission factors'!$J$3:$J$201&amp;'Emission factors'!$K$3:$K$201,0),MATCH('Buildings - Grid Electricity'!Q$6,'Emission factors'!$K$2:$V$2,0)))*$K209)</f>
        <v/>
      </c>
      <c r="R209" s="157" t="str" cm="1">
        <f t="array" ref="R209">IF(OR($E209="",$I209=""),"",(INDEX('Emission factors'!$K$3:$V$201,MATCH('Buildings - Grid Electricity'!$E209&amp;$F209,'Emission factors'!$J$3:$J$201&amp;'Emission factors'!$K$3:$K$201,0),MATCH('Buildings - Grid Electricity'!R$6,'Emission factors'!$K$2:$V$2,0)))*$K209)</f>
        <v/>
      </c>
      <c r="S209" s="157" t="str" cm="1">
        <f t="array" ref="S209">IF(OR($E209="",$I209=""),"",(INDEX('Emission factors'!$K$3:$V$201,MATCH('Buildings - Grid Electricity'!$E209&amp;$F209,'Emission factors'!$J$3:$J$201&amp;'Emission factors'!$K$3:$K$201,0),MATCH('Buildings - Grid Electricity'!S$6,'Emission factors'!$K$2:$V$2,0)))*$K209)</f>
        <v/>
      </c>
      <c r="T209" s="157" t="str" cm="1">
        <f t="array" ref="T209">IF(OR($E209="",$I209=""),"",(INDEX('Emission factors'!$K$3:$V$201,MATCH('Buildings - Grid Electricity'!$E209&amp;$F209,'Emission factors'!$J$3:$J$201&amp;'Emission factors'!$K$3:$K$201,0),MATCH('Buildings - Grid Electricity'!T$6,'Emission factors'!$K$2:$V$2,0)))*$K209)</f>
        <v/>
      </c>
      <c r="U209" s="157" t="str" cm="1">
        <f t="array" ref="U209">IF(OR($E209="",$I209=""),"",(INDEX('Emission factors'!$K$3:$V$201,MATCH('Buildings - Grid Electricity'!$E209&amp;$F209,'Emission factors'!$J$3:$J$201&amp;'Emission factors'!$K$3:$K$201,0),MATCH('Buildings - Grid Electricity'!U$6,'Emission factors'!$K$2:$V$2,0)))*$K209)</f>
        <v/>
      </c>
      <c r="V209" s="269" t="str">
        <f>IF(OR($N209="",BuildingsElectricityTable[[#This Row],[RSD]]=""),"",BuildingsElectricityTable[[#This Row],[Total emissions (kgCO2e)]]*(1+BuildingsElectricityTable[[#This Row],[RSD]]))</f>
        <v/>
      </c>
      <c r="W209" s="270" t="str">
        <f>IF(OR($N209="",BuildingsElectricityTable[[#This Row],[RSD]]=""),"",BuildingsElectricityTable[[#This Row],[Total emissions (kgCO2e)]]*(1-BuildingsElectricityTable[[#This Row],[RSD]]))</f>
        <v/>
      </c>
      <c r="X209" s="271" t="str" cm="1">
        <f t="array" ref="X209">IF(OR($E209="",$I209=""),"",(INDEX('Emission factors'!$K$3:$V$201,MATCH('Buildings - Grid Electricity'!$E209&amp;$F209,'Emission factors'!$J$3:$J$201&amp;'Emission factors'!$K$3:$K$201,0),MATCH('Buildings - Grid Electricity'!X$6,'Emission factors'!$K$2:$V$2,0)))*$K209)</f>
        <v/>
      </c>
      <c r="Y209" s="30"/>
      <c r="Z209" s="1" cm="1">
        <f t="array" ref="Z209">IF(OR(ISERROR(B209:X209)),1,0)</f>
        <v>0</v>
      </c>
      <c r="AA209" s="1">
        <f t="shared" si="17"/>
        <v>0</v>
      </c>
    </row>
    <row r="210" spans="1:27" ht="15" outlineLevel="1" thickBot="1" x14ac:dyDescent="0.4">
      <c r="A210" s="319"/>
      <c r="B210" s="216"/>
      <c r="C210" s="216"/>
      <c r="D210" s="489" t="str">
        <f>IFERROR(INDEX(BuildingInformationTable[Site type],MATCH(BuildingsElectricityTable[[#This Row],[Site name]],BuildingInformationTable[Site name],0)),"")</f>
        <v/>
      </c>
      <c r="E210" s="490" t="str">
        <f t="shared" si="14"/>
        <v/>
      </c>
      <c r="F210" s="490" t="str">
        <f t="shared" si="15"/>
        <v/>
      </c>
      <c r="G210" s="491"/>
      <c r="H210" s="492" t="str">
        <f>IF(G210="","",INDEX(Lists!$BA$4:$BC$31,MATCH(E210,Lists!$AZ$4:$AZ$31,0),MATCH(G210,Lists!$BA$3:$BC$3,0)))</f>
        <v/>
      </c>
      <c r="I210" s="267"/>
      <c r="J210" s="490" t="str">
        <f t="shared" si="16"/>
        <v/>
      </c>
      <c r="K210" s="493" t="str" cm="1">
        <f t="array" ref="K210">IF(OR($E210="",$D210="",$I210="",$J210=""),"",IF(J210=L210,I210,(INDEX('Emission factors'!$K$3:$V$201,MATCH(E210&amp;F210,'Emission factors'!$J$3:$J$201&amp;'Emission factors'!$K$3:$K$201,0),MATCH(K$6,'Emission factors'!$K$2:$V$2,0)))*I210))</f>
        <v/>
      </c>
      <c r="L210" s="494" t="str">
        <f>IF(OR($E210="",$D210="",$I210="",$J210=""),"",INDEX('Emission factors'!$K$3:$V$201,MATCH('Buildings - Grid Electricity'!$E210,'Emission factors'!$J$3:$J$201,0),MATCH($L$6,'Emission factors'!$K$2:$V$2,0)))</f>
        <v/>
      </c>
      <c r="M210" s="495" t="str" cm="1">
        <f t="array" ref="M210">IF(OR(E210="",I210="",BuildingsElectricityTable[[#This Row],[Units]]=""),"",INDEX('Emission factors'!$K$3:$V$201,MATCH('Buildings - Grid Electricity'!$E210&amp;F210,'Emission factors'!$J$3:$J$201&amp;'Emission factors'!$K$3:$K$201,0),MATCH('Buildings - Grid Electricity'!$M$6,'Emission factors'!$K$2:$V$2,0)))</f>
        <v/>
      </c>
      <c r="N210" s="496" t="str">
        <f>IF(OR(K210="",M210=""),"",SUM(BuildingsElectricityTable[[#This Row],[Direct]:[Indirect WTT]]))</f>
        <v/>
      </c>
      <c r="O210" s="268"/>
      <c r="P210" s="497"/>
      <c r="Q210" s="157" t="str" cm="1">
        <f t="array" ref="Q210">IF(OR($E210="",$I210=""),"",(INDEX('Emission factors'!$K$3:$V$201,MATCH('Buildings - Grid Electricity'!$E210&amp;$F210,'Emission factors'!$J$3:$J$201&amp;'Emission factors'!$K$3:$K$201,0),MATCH('Buildings - Grid Electricity'!Q$6,'Emission factors'!$K$2:$V$2,0)))*$K210)</f>
        <v/>
      </c>
      <c r="R210" s="157" t="str" cm="1">
        <f t="array" ref="R210">IF(OR($E210="",$I210=""),"",(INDEX('Emission factors'!$K$3:$V$201,MATCH('Buildings - Grid Electricity'!$E210&amp;$F210,'Emission factors'!$J$3:$J$201&amp;'Emission factors'!$K$3:$K$201,0),MATCH('Buildings - Grid Electricity'!R$6,'Emission factors'!$K$2:$V$2,0)))*$K210)</f>
        <v/>
      </c>
      <c r="S210" s="157" t="str" cm="1">
        <f t="array" ref="S210">IF(OR($E210="",$I210=""),"",(INDEX('Emission factors'!$K$3:$V$201,MATCH('Buildings - Grid Electricity'!$E210&amp;$F210,'Emission factors'!$J$3:$J$201&amp;'Emission factors'!$K$3:$K$201,0),MATCH('Buildings - Grid Electricity'!S$6,'Emission factors'!$K$2:$V$2,0)))*$K210)</f>
        <v/>
      </c>
      <c r="T210" s="157" t="str" cm="1">
        <f t="array" ref="T210">IF(OR($E210="",$I210=""),"",(INDEX('Emission factors'!$K$3:$V$201,MATCH('Buildings - Grid Electricity'!$E210&amp;$F210,'Emission factors'!$J$3:$J$201&amp;'Emission factors'!$K$3:$K$201,0),MATCH('Buildings - Grid Electricity'!T$6,'Emission factors'!$K$2:$V$2,0)))*$K210)</f>
        <v/>
      </c>
      <c r="U210" s="157" t="str" cm="1">
        <f t="array" ref="U210">IF(OR($E210="",$I210=""),"",(INDEX('Emission factors'!$K$3:$V$201,MATCH('Buildings - Grid Electricity'!$E210&amp;$F210,'Emission factors'!$J$3:$J$201&amp;'Emission factors'!$K$3:$K$201,0),MATCH('Buildings - Grid Electricity'!U$6,'Emission factors'!$K$2:$V$2,0)))*$K210)</f>
        <v/>
      </c>
      <c r="V210" s="269" t="str">
        <f>IF(OR($N210="",BuildingsElectricityTable[[#This Row],[RSD]]=""),"",BuildingsElectricityTable[[#This Row],[Total emissions (kgCO2e)]]*(1+BuildingsElectricityTable[[#This Row],[RSD]]))</f>
        <v/>
      </c>
      <c r="W210" s="270" t="str">
        <f>IF(OR($N210="",BuildingsElectricityTable[[#This Row],[RSD]]=""),"",BuildingsElectricityTable[[#This Row],[Total emissions (kgCO2e)]]*(1-BuildingsElectricityTable[[#This Row],[RSD]]))</f>
        <v/>
      </c>
      <c r="X210" s="271" t="str" cm="1">
        <f t="array" ref="X210">IF(OR($E210="",$I210=""),"",(INDEX('Emission factors'!$K$3:$V$201,MATCH('Buildings - Grid Electricity'!$E210&amp;$F210,'Emission factors'!$J$3:$J$201&amp;'Emission factors'!$K$3:$K$201,0),MATCH('Buildings - Grid Electricity'!X$6,'Emission factors'!$K$2:$V$2,0)))*$K210)</f>
        <v/>
      </c>
      <c r="Y210" s="30"/>
      <c r="Z210" s="1" cm="1">
        <f t="array" ref="Z210">IF(OR(ISERROR(B210:X210)),1,0)</f>
        <v>0</v>
      </c>
      <c r="AA210" s="1">
        <f t="shared" si="17"/>
        <v>0</v>
      </c>
    </row>
    <row r="211" spans="1:27" ht="15" outlineLevel="1" thickBot="1" x14ac:dyDescent="0.4">
      <c r="A211" s="319"/>
      <c r="B211" s="216"/>
      <c r="C211" s="216"/>
      <c r="D211" s="489" t="str">
        <f>IFERROR(INDEX(BuildingInformationTable[Site type],MATCH(BuildingsElectricityTable[[#This Row],[Site name]],BuildingInformationTable[Site name],0)),"")</f>
        <v/>
      </c>
      <c r="E211" s="490" t="str">
        <f t="shared" si="14"/>
        <v/>
      </c>
      <c r="F211" s="490" t="str">
        <f t="shared" si="15"/>
        <v/>
      </c>
      <c r="G211" s="491"/>
      <c r="H211" s="492" t="str">
        <f>IF(G211="","",INDEX(Lists!$BA$4:$BC$31,MATCH(E211,Lists!$AZ$4:$AZ$31,0),MATCH(G211,Lists!$BA$3:$BC$3,0)))</f>
        <v/>
      </c>
      <c r="I211" s="267"/>
      <c r="J211" s="490" t="str">
        <f t="shared" si="16"/>
        <v/>
      </c>
      <c r="K211" s="493" t="str" cm="1">
        <f t="array" ref="K211">IF(OR($E211="",$D211="",$I211="",$J211=""),"",IF(J211=L211,I211,(INDEX('Emission factors'!$K$3:$V$201,MATCH(E211&amp;F211,'Emission factors'!$J$3:$J$201&amp;'Emission factors'!$K$3:$K$201,0),MATCH(K$6,'Emission factors'!$K$2:$V$2,0)))*I211))</f>
        <v/>
      </c>
      <c r="L211" s="494" t="str">
        <f>IF(OR($E211="",$D211="",$I211="",$J211=""),"",INDEX('Emission factors'!$K$3:$V$201,MATCH('Buildings - Grid Electricity'!$E211,'Emission factors'!$J$3:$J$201,0),MATCH($L$6,'Emission factors'!$K$2:$V$2,0)))</f>
        <v/>
      </c>
      <c r="M211" s="495" t="str" cm="1">
        <f t="array" ref="M211">IF(OR(E211="",I211="",BuildingsElectricityTable[[#This Row],[Units]]=""),"",INDEX('Emission factors'!$K$3:$V$201,MATCH('Buildings - Grid Electricity'!$E211&amp;F211,'Emission factors'!$J$3:$J$201&amp;'Emission factors'!$K$3:$K$201,0),MATCH('Buildings - Grid Electricity'!$M$6,'Emission factors'!$K$2:$V$2,0)))</f>
        <v/>
      </c>
      <c r="N211" s="496" t="str">
        <f>IF(OR(K211="",M211=""),"",SUM(BuildingsElectricityTable[[#This Row],[Direct]:[Indirect WTT]]))</f>
        <v/>
      </c>
      <c r="O211" s="268"/>
      <c r="P211" s="497"/>
      <c r="Q211" s="157" t="str" cm="1">
        <f t="array" ref="Q211">IF(OR($E211="",$I211=""),"",(INDEX('Emission factors'!$K$3:$V$201,MATCH('Buildings - Grid Electricity'!$E211&amp;$F211,'Emission factors'!$J$3:$J$201&amp;'Emission factors'!$K$3:$K$201,0),MATCH('Buildings - Grid Electricity'!Q$6,'Emission factors'!$K$2:$V$2,0)))*$K211)</f>
        <v/>
      </c>
      <c r="R211" s="157" t="str" cm="1">
        <f t="array" ref="R211">IF(OR($E211="",$I211=""),"",(INDEX('Emission factors'!$K$3:$V$201,MATCH('Buildings - Grid Electricity'!$E211&amp;$F211,'Emission factors'!$J$3:$J$201&amp;'Emission factors'!$K$3:$K$201,0),MATCH('Buildings - Grid Electricity'!R$6,'Emission factors'!$K$2:$V$2,0)))*$K211)</f>
        <v/>
      </c>
      <c r="S211" s="157" t="str" cm="1">
        <f t="array" ref="S211">IF(OR($E211="",$I211=""),"",(INDEX('Emission factors'!$K$3:$V$201,MATCH('Buildings - Grid Electricity'!$E211&amp;$F211,'Emission factors'!$J$3:$J$201&amp;'Emission factors'!$K$3:$K$201,0),MATCH('Buildings - Grid Electricity'!S$6,'Emission factors'!$K$2:$V$2,0)))*$K211)</f>
        <v/>
      </c>
      <c r="T211" s="157" t="str" cm="1">
        <f t="array" ref="T211">IF(OR($E211="",$I211=""),"",(INDEX('Emission factors'!$K$3:$V$201,MATCH('Buildings - Grid Electricity'!$E211&amp;$F211,'Emission factors'!$J$3:$J$201&amp;'Emission factors'!$K$3:$K$201,0),MATCH('Buildings - Grid Electricity'!T$6,'Emission factors'!$K$2:$V$2,0)))*$K211)</f>
        <v/>
      </c>
      <c r="U211" s="157" t="str" cm="1">
        <f t="array" ref="U211">IF(OR($E211="",$I211=""),"",(INDEX('Emission factors'!$K$3:$V$201,MATCH('Buildings - Grid Electricity'!$E211&amp;$F211,'Emission factors'!$J$3:$J$201&amp;'Emission factors'!$K$3:$K$201,0),MATCH('Buildings - Grid Electricity'!U$6,'Emission factors'!$K$2:$V$2,0)))*$K211)</f>
        <v/>
      </c>
      <c r="V211" s="269" t="str">
        <f>IF(OR($N211="",BuildingsElectricityTable[[#This Row],[RSD]]=""),"",BuildingsElectricityTable[[#This Row],[Total emissions (kgCO2e)]]*(1+BuildingsElectricityTable[[#This Row],[RSD]]))</f>
        <v/>
      </c>
      <c r="W211" s="270" t="str">
        <f>IF(OR($N211="",BuildingsElectricityTable[[#This Row],[RSD]]=""),"",BuildingsElectricityTable[[#This Row],[Total emissions (kgCO2e)]]*(1-BuildingsElectricityTable[[#This Row],[RSD]]))</f>
        <v/>
      </c>
      <c r="X211" s="271" t="str" cm="1">
        <f t="array" ref="X211">IF(OR($E211="",$I211=""),"",(INDEX('Emission factors'!$K$3:$V$201,MATCH('Buildings - Grid Electricity'!$E211&amp;$F211,'Emission factors'!$J$3:$J$201&amp;'Emission factors'!$K$3:$K$201,0),MATCH('Buildings - Grid Electricity'!X$6,'Emission factors'!$K$2:$V$2,0)))*$K211)</f>
        <v/>
      </c>
      <c r="Y211" s="30"/>
      <c r="Z211" s="1" cm="1">
        <f t="array" ref="Z211">IF(OR(ISERROR(B211:X211)),1,0)</f>
        <v>0</v>
      </c>
      <c r="AA211" s="1">
        <f t="shared" si="17"/>
        <v>0</v>
      </c>
    </row>
    <row r="212" spans="1:27" ht="15" outlineLevel="1" thickBot="1" x14ac:dyDescent="0.4">
      <c r="A212" s="319"/>
      <c r="B212" s="216"/>
      <c r="C212" s="216"/>
      <c r="D212" s="489" t="str">
        <f>IFERROR(INDEX(BuildingInformationTable[Site type],MATCH(BuildingsElectricityTable[[#This Row],[Site name]],BuildingInformationTable[Site name],0)),"")</f>
        <v/>
      </c>
      <c r="E212" s="490" t="str">
        <f t="shared" si="14"/>
        <v/>
      </c>
      <c r="F212" s="490" t="str">
        <f t="shared" si="15"/>
        <v/>
      </c>
      <c r="G212" s="491"/>
      <c r="H212" s="492" t="str">
        <f>IF(G212="","",INDEX(Lists!$BA$4:$BC$31,MATCH(E212,Lists!$AZ$4:$AZ$31,0),MATCH(G212,Lists!$BA$3:$BC$3,0)))</f>
        <v/>
      </c>
      <c r="I212" s="267"/>
      <c r="J212" s="490" t="str">
        <f t="shared" si="16"/>
        <v/>
      </c>
      <c r="K212" s="493" t="str" cm="1">
        <f t="array" ref="K212">IF(OR($E212="",$D212="",$I212="",$J212=""),"",IF(J212=L212,I212,(INDEX('Emission factors'!$K$3:$V$201,MATCH(E212&amp;F212,'Emission factors'!$J$3:$J$201&amp;'Emission factors'!$K$3:$K$201,0),MATCH(K$6,'Emission factors'!$K$2:$V$2,0)))*I212))</f>
        <v/>
      </c>
      <c r="L212" s="494" t="str">
        <f>IF(OR($E212="",$D212="",$I212="",$J212=""),"",INDEX('Emission factors'!$K$3:$V$201,MATCH('Buildings - Grid Electricity'!$E212,'Emission factors'!$J$3:$J$201,0),MATCH($L$6,'Emission factors'!$K$2:$V$2,0)))</f>
        <v/>
      </c>
      <c r="M212" s="495" t="str" cm="1">
        <f t="array" ref="M212">IF(OR(E212="",I212="",BuildingsElectricityTable[[#This Row],[Units]]=""),"",INDEX('Emission factors'!$K$3:$V$201,MATCH('Buildings - Grid Electricity'!$E212&amp;F212,'Emission factors'!$J$3:$J$201&amp;'Emission factors'!$K$3:$K$201,0),MATCH('Buildings - Grid Electricity'!$M$6,'Emission factors'!$K$2:$V$2,0)))</f>
        <v/>
      </c>
      <c r="N212" s="496" t="str">
        <f>IF(OR(K212="",M212=""),"",SUM(BuildingsElectricityTable[[#This Row],[Direct]:[Indirect WTT]]))</f>
        <v/>
      </c>
      <c r="O212" s="268"/>
      <c r="P212" s="497"/>
      <c r="Q212" s="157" t="str" cm="1">
        <f t="array" ref="Q212">IF(OR($E212="",$I212=""),"",(INDEX('Emission factors'!$K$3:$V$201,MATCH('Buildings - Grid Electricity'!$E212&amp;$F212,'Emission factors'!$J$3:$J$201&amp;'Emission factors'!$K$3:$K$201,0),MATCH('Buildings - Grid Electricity'!Q$6,'Emission factors'!$K$2:$V$2,0)))*$K212)</f>
        <v/>
      </c>
      <c r="R212" s="157" t="str" cm="1">
        <f t="array" ref="R212">IF(OR($E212="",$I212=""),"",(INDEX('Emission factors'!$K$3:$V$201,MATCH('Buildings - Grid Electricity'!$E212&amp;$F212,'Emission factors'!$J$3:$J$201&amp;'Emission factors'!$K$3:$K$201,0),MATCH('Buildings - Grid Electricity'!R$6,'Emission factors'!$K$2:$V$2,0)))*$K212)</f>
        <v/>
      </c>
      <c r="S212" s="157" t="str" cm="1">
        <f t="array" ref="S212">IF(OR($E212="",$I212=""),"",(INDEX('Emission factors'!$K$3:$V$201,MATCH('Buildings - Grid Electricity'!$E212&amp;$F212,'Emission factors'!$J$3:$J$201&amp;'Emission factors'!$K$3:$K$201,0),MATCH('Buildings - Grid Electricity'!S$6,'Emission factors'!$K$2:$V$2,0)))*$K212)</f>
        <v/>
      </c>
      <c r="T212" s="157" t="str" cm="1">
        <f t="array" ref="T212">IF(OR($E212="",$I212=""),"",(INDEX('Emission factors'!$K$3:$V$201,MATCH('Buildings - Grid Electricity'!$E212&amp;$F212,'Emission factors'!$J$3:$J$201&amp;'Emission factors'!$K$3:$K$201,0),MATCH('Buildings - Grid Electricity'!T$6,'Emission factors'!$K$2:$V$2,0)))*$K212)</f>
        <v/>
      </c>
      <c r="U212" s="157" t="str" cm="1">
        <f t="array" ref="U212">IF(OR($E212="",$I212=""),"",(INDEX('Emission factors'!$K$3:$V$201,MATCH('Buildings - Grid Electricity'!$E212&amp;$F212,'Emission factors'!$J$3:$J$201&amp;'Emission factors'!$K$3:$K$201,0),MATCH('Buildings - Grid Electricity'!U$6,'Emission factors'!$K$2:$V$2,0)))*$K212)</f>
        <v/>
      </c>
      <c r="V212" s="269" t="str">
        <f>IF(OR($N212="",BuildingsElectricityTable[[#This Row],[RSD]]=""),"",BuildingsElectricityTable[[#This Row],[Total emissions (kgCO2e)]]*(1+BuildingsElectricityTable[[#This Row],[RSD]]))</f>
        <v/>
      </c>
      <c r="W212" s="270" t="str">
        <f>IF(OR($N212="",BuildingsElectricityTable[[#This Row],[RSD]]=""),"",BuildingsElectricityTable[[#This Row],[Total emissions (kgCO2e)]]*(1-BuildingsElectricityTable[[#This Row],[RSD]]))</f>
        <v/>
      </c>
      <c r="X212" s="271" t="str" cm="1">
        <f t="array" ref="X212">IF(OR($E212="",$I212=""),"",(INDEX('Emission factors'!$K$3:$V$201,MATCH('Buildings - Grid Electricity'!$E212&amp;$F212,'Emission factors'!$J$3:$J$201&amp;'Emission factors'!$K$3:$K$201,0),MATCH('Buildings - Grid Electricity'!X$6,'Emission factors'!$K$2:$V$2,0)))*$K212)</f>
        <v/>
      </c>
      <c r="Y212" s="30"/>
      <c r="Z212" s="1" cm="1">
        <f t="array" ref="Z212">IF(OR(ISERROR(B212:X212)),1,0)</f>
        <v>0</v>
      </c>
      <c r="AA212" s="1">
        <f t="shared" si="17"/>
        <v>0</v>
      </c>
    </row>
    <row r="213" spans="1:27" ht="15" outlineLevel="1" thickBot="1" x14ac:dyDescent="0.4">
      <c r="A213" s="319"/>
      <c r="B213" s="216"/>
      <c r="C213" s="216"/>
      <c r="D213" s="489" t="str">
        <f>IFERROR(INDEX(BuildingInformationTable[Site type],MATCH(BuildingsElectricityTable[[#This Row],[Site name]],BuildingInformationTable[Site name],0)),"")</f>
        <v/>
      </c>
      <c r="E213" s="490" t="str">
        <f t="shared" si="14"/>
        <v/>
      </c>
      <c r="F213" s="490" t="str">
        <f t="shared" si="15"/>
        <v/>
      </c>
      <c r="G213" s="491"/>
      <c r="H213" s="492" t="str">
        <f>IF(G213="","",INDEX(Lists!$BA$4:$BC$31,MATCH(E213,Lists!$AZ$4:$AZ$31,0),MATCH(G213,Lists!$BA$3:$BC$3,0)))</f>
        <v/>
      </c>
      <c r="I213" s="267"/>
      <c r="J213" s="490" t="str">
        <f t="shared" si="16"/>
        <v/>
      </c>
      <c r="K213" s="493" t="str" cm="1">
        <f t="array" ref="K213">IF(OR($E213="",$D213="",$I213="",$J213=""),"",IF(J213=L213,I213,(INDEX('Emission factors'!$K$3:$V$201,MATCH(E213&amp;F213,'Emission factors'!$J$3:$J$201&amp;'Emission factors'!$K$3:$K$201,0),MATCH(K$6,'Emission factors'!$K$2:$V$2,0)))*I213))</f>
        <v/>
      </c>
      <c r="L213" s="494" t="str">
        <f>IF(OR($E213="",$D213="",$I213="",$J213=""),"",INDEX('Emission factors'!$K$3:$V$201,MATCH('Buildings - Grid Electricity'!$E213,'Emission factors'!$J$3:$J$201,0),MATCH($L$6,'Emission factors'!$K$2:$V$2,0)))</f>
        <v/>
      </c>
      <c r="M213" s="495" t="str" cm="1">
        <f t="array" ref="M213">IF(OR(E213="",I213="",BuildingsElectricityTable[[#This Row],[Units]]=""),"",INDEX('Emission factors'!$K$3:$V$201,MATCH('Buildings - Grid Electricity'!$E213&amp;F213,'Emission factors'!$J$3:$J$201&amp;'Emission factors'!$K$3:$K$201,0),MATCH('Buildings - Grid Electricity'!$M$6,'Emission factors'!$K$2:$V$2,0)))</f>
        <v/>
      </c>
      <c r="N213" s="496" t="str">
        <f>IF(OR(K213="",M213=""),"",SUM(BuildingsElectricityTable[[#This Row],[Direct]:[Indirect WTT]]))</f>
        <v/>
      </c>
      <c r="O213" s="268"/>
      <c r="P213" s="497"/>
      <c r="Q213" s="157" t="str" cm="1">
        <f t="array" ref="Q213">IF(OR($E213="",$I213=""),"",(INDEX('Emission factors'!$K$3:$V$201,MATCH('Buildings - Grid Electricity'!$E213&amp;$F213,'Emission factors'!$J$3:$J$201&amp;'Emission factors'!$K$3:$K$201,0),MATCH('Buildings - Grid Electricity'!Q$6,'Emission factors'!$K$2:$V$2,0)))*$K213)</f>
        <v/>
      </c>
      <c r="R213" s="157" t="str" cm="1">
        <f t="array" ref="R213">IF(OR($E213="",$I213=""),"",(INDEX('Emission factors'!$K$3:$V$201,MATCH('Buildings - Grid Electricity'!$E213&amp;$F213,'Emission factors'!$J$3:$J$201&amp;'Emission factors'!$K$3:$K$201,0),MATCH('Buildings - Grid Electricity'!R$6,'Emission factors'!$K$2:$V$2,0)))*$K213)</f>
        <v/>
      </c>
      <c r="S213" s="157" t="str" cm="1">
        <f t="array" ref="S213">IF(OR($E213="",$I213=""),"",(INDEX('Emission factors'!$K$3:$V$201,MATCH('Buildings - Grid Electricity'!$E213&amp;$F213,'Emission factors'!$J$3:$J$201&amp;'Emission factors'!$K$3:$K$201,0),MATCH('Buildings - Grid Electricity'!S$6,'Emission factors'!$K$2:$V$2,0)))*$K213)</f>
        <v/>
      </c>
      <c r="T213" s="157" t="str" cm="1">
        <f t="array" ref="T213">IF(OR($E213="",$I213=""),"",(INDEX('Emission factors'!$K$3:$V$201,MATCH('Buildings - Grid Electricity'!$E213&amp;$F213,'Emission factors'!$J$3:$J$201&amp;'Emission factors'!$K$3:$K$201,0),MATCH('Buildings - Grid Electricity'!T$6,'Emission factors'!$K$2:$V$2,0)))*$K213)</f>
        <v/>
      </c>
      <c r="U213" s="157" t="str" cm="1">
        <f t="array" ref="U213">IF(OR($E213="",$I213=""),"",(INDEX('Emission factors'!$K$3:$V$201,MATCH('Buildings - Grid Electricity'!$E213&amp;$F213,'Emission factors'!$J$3:$J$201&amp;'Emission factors'!$K$3:$K$201,0),MATCH('Buildings - Grid Electricity'!U$6,'Emission factors'!$K$2:$V$2,0)))*$K213)</f>
        <v/>
      </c>
      <c r="V213" s="269" t="str">
        <f>IF(OR($N213="",BuildingsElectricityTable[[#This Row],[RSD]]=""),"",BuildingsElectricityTable[[#This Row],[Total emissions (kgCO2e)]]*(1+BuildingsElectricityTable[[#This Row],[RSD]]))</f>
        <v/>
      </c>
      <c r="W213" s="270" t="str">
        <f>IF(OR($N213="",BuildingsElectricityTable[[#This Row],[RSD]]=""),"",BuildingsElectricityTable[[#This Row],[Total emissions (kgCO2e)]]*(1-BuildingsElectricityTable[[#This Row],[RSD]]))</f>
        <v/>
      </c>
      <c r="X213" s="271" t="str" cm="1">
        <f t="array" ref="X213">IF(OR($E213="",$I213=""),"",(INDEX('Emission factors'!$K$3:$V$201,MATCH('Buildings - Grid Electricity'!$E213&amp;$F213,'Emission factors'!$J$3:$J$201&amp;'Emission factors'!$K$3:$K$201,0),MATCH('Buildings - Grid Electricity'!X$6,'Emission factors'!$K$2:$V$2,0)))*$K213)</f>
        <v/>
      </c>
      <c r="Y213" s="30"/>
      <c r="Z213" s="1" cm="1">
        <f t="array" ref="Z213">IF(OR(ISERROR(B213:X213)),1,0)</f>
        <v>0</v>
      </c>
      <c r="AA213" s="1">
        <f t="shared" si="17"/>
        <v>0</v>
      </c>
    </row>
    <row r="214" spans="1:27" ht="15" outlineLevel="1" thickBot="1" x14ac:dyDescent="0.4">
      <c r="A214" s="319"/>
      <c r="B214" s="216"/>
      <c r="C214" s="216"/>
      <c r="D214" s="489" t="str">
        <f>IFERROR(INDEX(BuildingInformationTable[Site type],MATCH(BuildingsElectricityTable[[#This Row],[Site name]],BuildingInformationTable[Site name],0)),"")</f>
        <v/>
      </c>
      <c r="E214" s="490" t="str">
        <f t="shared" si="14"/>
        <v/>
      </c>
      <c r="F214" s="490" t="str">
        <f t="shared" si="15"/>
        <v/>
      </c>
      <c r="G214" s="491"/>
      <c r="H214" s="492" t="str">
        <f>IF(G214="","",INDEX(Lists!$BA$4:$BC$31,MATCH(E214,Lists!$AZ$4:$AZ$31,0),MATCH(G214,Lists!$BA$3:$BC$3,0)))</f>
        <v/>
      </c>
      <c r="I214" s="267"/>
      <c r="J214" s="490" t="str">
        <f t="shared" si="16"/>
        <v/>
      </c>
      <c r="K214" s="493" t="str" cm="1">
        <f t="array" ref="K214">IF(OR($E214="",$D214="",$I214="",$J214=""),"",IF(J214=L214,I214,(INDEX('Emission factors'!$K$3:$V$201,MATCH(E214&amp;F214,'Emission factors'!$J$3:$J$201&amp;'Emission factors'!$K$3:$K$201,0),MATCH(K$6,'Emission factors'!$K$2:$V$2,0)))*I214))</f>
        <v/>
      </c>
      <c r="L214" s="494" t="str">
        <f>IF(OR($E214="",$D214="",$I214="",$J214=""),"",INDEX('Emission factors'!$K$3:$V$201,MATCH('Buildings - Grid Electricity'!$E214,'Emission factors'!$J$3:$J$201,0),MATCH($L$6,'Emission factors'!$K$2:$V$2,0)))</f>
        <v/>
      </c>
      <c r="M214" s="495" t="str" cm="1">
        <f t="array" ref="M214">IF(OR(E214="",I214="",BuildingsElectricityTable[[#This Row],[Units]]=""),"",INDEX('Emission factors'!$K$3:$V$201,MATCH('Buildings - Grid Electricity'!$E214&amp;F214,'Emission factors'!$J$3:$J$201&amp;'Emission factors'!$K$3:$K$201,0),MATCH('Buildings - Grid Electricity'!$M$6,'Emission factors'!$K$2:$V$2,0)))</f>
        <v/>
      </c>
      <c r="N214" s="496" t="str">
        <f>IF(OR(K214="",M214=""),"",SUM(BuildingsElectricityTable[[#This Row],[Direct]:[Indirect WTT]]))</f>
        <v/>
      </c>
      <c r="O214" s="268"/>
      <c r="P214" s="497"/>
      <c r="Q214" s="157" t="str" cm="1">
        <f t="array" ref="Q214">IF(OR($E214="",$I214=""),"",(INDEX('Emission factors'!$K$3:$V$201,MATCH('Buildings - Grid Electricity'!$E214&amp;$F214,'Emission factors'!$J$3:$J$201&amp;'Emission factors'!$K$3:$K$201,0),MATCH('Buildings - Grid Electricity'!Q$6,'Emission factors'!$K$2:$V$2,0)))*$K214)</f>
        <v/>
      </c>
      <c r="R214" s="157" t="str" cm="1">
        <f t="array" ref="R214">IF(OR($E214="",$I214=""),"",(INDEX('Emission factors'!$K$3:$V$201,MATCH('Buildings - Grid Electricity'!$E214&amp;$F214,'Emission factors'!$J$3:$J$201&amp;'Emission factors'!$K$3:$K$201,0),MATCH('Buildings - Grid Electricity'!R$6,'Emission factors'!$K$2:$V$2,0)))*$K214)</f>
        <v/>
      </c>
      <c r="S214" s="157" t="str" cm="1">
        <f t="array" ref="S214">IF(OR($E214="",$I214=""),"",(INDEX('Emission factors'!$K$3:$V$201,MATCH('Buildings - Grid Electricity'!$E214&amp;$F214,'Emission factors'!$J$3:$J$201&amp;'Emission factors'!$K$3:$K$201,0),MATCH('Buildings - Grid Electricity'!S$6,'Emission factors'!$K$2:$V$2,0)))*$K214)</f>
        <v/>
      </c>
      <c r="T214" s="157" t="str" cm="1">
        <f t="array" ref="T214">IF(OR($E214="",$I214=""),"",(INDEX('Emission factors'!$K$3:$V$201,MATCH('Buildings - Grid Electricity'!$E214&amp;$F214,'Emission factors'!$J$3:$J$201&amp;'Emission factors'!$K$3:$K$201,0),MATCH('Buildings - Grid Electricity'!T$6,'Emission factors'!$K$2:$V$2,0)))*$K214)</f>
        <v/>
      </c>
      <c r="U214" s="157" t="str" cm="1">
        <f t="array" ref="U214">IF(OR($E214="",$I214=""),"",(INDEX('Emission factors'!$K$3:$V$201,MATCH('Buildings - Grid Electricity'!$E214&amp;$F214,'Emission factors'!$J$3:$J$201&amp;'Emission factors'!$K$3:$K$201,0),MATCH('Buildings - Grid Electricity'!U$6,'Emission factors'!$K$2:$V$2,0)))*$K214)</f>
        <v/>
      </c>
      <c r="V214" s="269" t="str">
        <f>IF(OR($N214="",BuildingsElectricityTable[[#This Row],[RSD]]=""),"",BuildingsElectricityTable[[#This Row],[Total emissions (kgCO2e)]]*(1+BuildingsElectricityTable[[#This Row],[RSD]]))</f>
        <v/>
      </c>
      <c r="W214" s="270" t="str">
        <f>IF(OR($N214="",BuildingsElectricityTable[[#This Row],[RSD]]=""),"",BuildingsElectricityTable[[#This Row],[Total emissions (kgCO2e)]]*(1-BuildingsElectricityTable[[#This Row],[RSD]]))</f>
        <v/>
      </c>
      <c r="X214" s="271" t="str" cm="1">
        <f t="array" ref="X214">IF(OR($E214="",$I214=""),"",(INDEX('Emission factors'!$K$3:$V$201,MATCH('Buildings - Grid Electricity'!$E214&amp;$F214,'Emission factors'!$J$3:$J$201&amp;'Emission factors'!$K$3:$K$201,0),MATCH('Buildings - Grid Electricity'!X$6,'Emission factors'!$K$2:$V$2,0)))*$K214)</f>
        <v/>
      </c>
      <c r="Y214" s="30"/>
      <c r="Z214" s="1" cm="1">
        <f t="array" ref="Z214">IF(OR(ISERROR(B214:X214)),1,0)</f>
        <v>0</v>
      </c>
      <c r="AA214" s="1">
        <f t="shared" si="17"/>
        <v>0</v>
      </c>
    </row>
    <row r="215" spans="1:27" ht="15" outlineLevel="1" thickBot="1" x14ac:dyDescent="0.4">
      <c r="A215" s="319"/>
      <c r="B215" s="216"/>
      <c r="C215" s="216"/>
      <c r="D215" s="489" t="str">
        <f>IFERROR(INDEX(BuildingInformationTable[Site type],MATCH(BuildingsElectricityTable[[#This Row],[Site name]],BuildingInformationTable[Site name],0)),"")</f>
        <v/>
      </c>
      <c r="E215" s="490" t="str">
        <f t="shared" si="14"/>
        <v/>
      </c>
      <c r="F215" s="490" t="str">
        <f t="shared" si="15"/>
        <v/>
      </c>
      <c r="G215" s="491"/>
      <c r="H215" s="492" t="str">
        <f>IF(G215="","",INDEX(Lists!$BA$4:$BC$31,MATCH(E215,Lists!$AZ$4:$AZ$31,0),MATCH(G215,Lists!$BA$3:$BC$3,0)))</f>
        <v/>
      </c>
      <c r="I215" s="267"/>
      <c r="J215" s="490" t="str">
        <f t="shared" si="16"/>
        <v/>
      </c>
      <c r="K215" s="493" t="str" cm="1">
        <f t="array" ref="K215">IF(OR($E215="",$D215="",$I215="",$J215=""),"",IF(J215=L215,I215,(INDEX('Emission factors'!$K$3:$V$201,MATCH(E215&amp;F215,'Emission factors'!$J$3:$J$201&amp;'Emission factors'!$K$3:$K$201,0),MATCH(K$6,'Emission factors'!$K$2:$V$2,0)))*I215))</f>
        <v/>
      </c>
      <c r="L215" s="494" t="str">
        <f>IF(OR($E215="",$D215="",$I215="",$J215=""),"",INDEX('Emission factors'!$K$3:$V$201,MATCH('Buildings - Grid Electricity'!$E215,'Emission factors'!$J$3:$J$201,0),MATCH($L$6,'Emission factors'!$K$2:$V$2,0)))</f>
        <v/>
      </c>
      <c r="M215" s="495" t="str" cm="1">
        <f t="array" ref="M215">IF(OR(E215="",I215="",BuildingsElectricityTable[[#This Row],[Units]]=""),"",INDEX('Emission factors'!$K$3:$V$201,MATCH('Buildings - Grid Electricity'!$E215&amp;F215,'Emission factors'!$J$3:$J$201&amp;'Emission factors'!$K$3:$K$201,0),MATCH('Buildings - Grid Electricity'!$M$6,'Emission factors'!$K$2:$V$2,0)))</f>
        <v/>
      </c>
      <c r="N215" s="496" t="str">
        <f>IF(OR(K215="",M215=""),"",SUM(BuildingsElectricityTable[[#This Row],[Direct]:[Indirect WTT]]))</f>
        <v/>
      </c>
      <c r="O215" s="268"/>
      <c r="P215" s="497"/>
      <c r="Q215" s="157" t="str" cm="1">
        <f t="array" ref="Q215">IF(OR($E215="",$I215=""),"",(INDEX('Emission factors'!$K$3:$V$201,MATCH('Buildings - Grid Electricity'!$E215&amp;$F215,'Emission factors'!$J$3:$J$201&amp;'Emission factors'!$K$3:$K$201,0),MATCH('Buildings - Grid Electricity'!Q$6,'Emission factors'!$K$2:$V$2,0)))*$K215)</f>
        <v/>
      </c>
      <c r="R215" s="157" t="str" cm="1">
        <f t="array" ref="R215">IF(OR($E215="",$I215=""),"",(INDEX('Emission factors'!$K$3:$V$201,MATCH('Buildings - Grid Electricity'!$E215&amp;$F215,'Emission factors'!$J$3:$J$201&amp;'Emission factors'!$K$3:$K$201,0),MATCH('Buildings - Grid Electricity'!R$6,'Emission factors'!$K$2:$V$2,0)))*$K215)</f>
        <v/>
      </c>
      <c r="S215" s="157" t="str" cm="1">
        <f t="array" ref="S215">IF(OR($E215="",$I215=""),"",(INDEX('Emission factors'!$K$3:$V$201,MATCH('Buildings - Grid Electricity'!$E215&amp;$F215,'Emission factors'!$J$3:$J$201&amp;'Emission factors'!$K$3:$K$201,0),MATCH('Buildings - Grid Electricity'!S$6,'Emission factors'!$K$2:$V$2,0)))*$K215)</f>
        <v/>
      </c>
      <c r="T215" s="157" t="str" cm="1">
        <f t="array" ref="T215">IF(OR($E215="",$I215=""),"",(INDEX('Emission factors'!$K$3:$V$201,MATCH('Buildings - Grid Electricity'!$E215&amp;$F215,'Emission factors'!$J$3:$J$201&amp;'Emission factors'!$K$3:$K$201,0),MATCH('Buildings - Grid Electricity'!T$6,'Emission factors'!$K$2:$V$2,0)))*$K215)</f>
        <v/>
      </c>
      <c r="U215" s="157" t="str" cm="1">
        <f t="array" ref="U215">IF(OR($E215="",$I215=""),"",(INDEX('Emission factors'!$K$3:$V$201,MATCH('Buildings - Grid Electricity'!$E215&amp;$F215,'Emission factors'!$J$3:$J$201&amp;'Emission factors'!$K$3:$K$201,0),MATCH('Buildings - Grid Electricity'!U$6,'Emission factors'!$K$2:$V$2,0)))*$K215)</f>
        <v/>
      </c>
      <c r="V215" s="269" t="str">
        <f>IF(OR($N215="",BuildingsElectricityTable[[#This Row],[RSD]]=""),"",BuildingsElectricityTable[[#This Row],[Total emissions (kgCO2e)]]*(1+BuildingsElectricityTable[[#This Row],[RSD]]))</f>
        <v/>
      </c>
      <c r="W215" s="270" t="str">
        <f>IF(OR($N215="",BuildingsElectricityTable[[#This Row],[RSD]]=""),"",BuildingsElectricityTable[[#This Row],[Total emissions (kgCO2e)]]*(1-BuildingsElectricityTable[[#This Row],[RSD]]))</f>
        <v/>
      </c>
      <c r="X215" s="271" t="str" cm="1">
        <f t="array" ref="X215">IF(OR($E215="",$I215=""),"",(INDEX('Emission factors'!$K$3:$V$201,MATCH('Buildings - Grid Electricity'!$E215&amp;$F215,'Emission factors'!$J$3:$J$201&amp;'Emission factors'!$K$3:$K$201,0),MATCH('Buildings - Grid Electricity'!X$6,'Emission factors'!$K$2:$V$2,0)))*$K215)</f>
        <v/>
      </c>
      <c r="Y215" s="30"/>
      <c r="Z215" s="1" cm="1">
        <f t="array" ref="Z215">IF(OR(ISERROR(B215:X215)),1,0)</f>
        <v>0</v>
      </c>
      <c r="AA215" s="1">
        <f t="shared" si="17"/>
        <v>0</v>
      </c>
    </row>
    <row r="216" spans="1:27" ht="15" outlineLevel="1" thickBot="1" x14ac:dyDescent="0.4">
      <c r="A216" s="319"/>
      <c r="B216" s="216"/>
      <c r="C216" s="216"/>
      <c r="D216" s="489" t="str">
        <f>IFERROR(INDEX(BuildingInformationTable[Site type],MATCH(BuildingsElectricityTable[[#This Row],[Site name]],BuildingInformationTable[Site name],0)),"")</f>
        <v/>
      </c>
      <c r="E216" s="490" t="str">
        <f t="shared" si="14"/>
        <v/>
      </c>
      <c r="F216" s="490" t="str">
        <f t="shared" si="15"/>
        <v/>
      </c>
      <c r="G216" s="491"/>
      <c r="H216" s="492" t="str">
        <f>IF(G216="","",INDEX(Lists!$BA$4:$BC$31,MATCH(E216,Lists!$AZ$4:$AZ$31,0),MATCH(G216,Lists!$BA$3:$BC$3,0)))</f>
        <v/>
      </c>
      <c r="I216" s="267"/>
      <c r="J216" s="490" t="str">
        <f t="shared" si="16"/>
        <v/>
      </c>
      <c r="K216" s="493" t="str" cm="1">
        <f t="array" ref="K216">IF(OR($E216="",$D216="",$I216="",$J216=""),"",IF(J216=L216,I216,(INDEX('Emission factors'!$K$3:$V$201,MATCH(E216&amp;F216,'Emission factors'!$J$3:$J$201&amp;'Emission factors'!$K$3:$K$201,0),MATCH(K$6,'Emission factors'!$K$2:$V$2,0)))*I216))</f>
        <v/>
      </c>
      <c r="L216" s="494" t="str">
        <f>IF(OR($E216="",$D216="",$I216="",$J216=""),"",INDEX('Emission factors'!$K$3:$V$201,MATCH('Buildings - Grid Electricity'!$E216,'Emission factors'!$J$3:$J$201,0),MATCH($L$6,'Emission factors'!$K$2:$V$2,0)))</f>
        <v/>
      </c>
      <c r="M216" s="495" t="str" cm="1">
        <f t="array" ref="M216">IF(OR(E216="",I216="",BuildingsElectricityTable[[#This Row],[Units]]=""),"",INDEX('Emission factors'!$K$3:$V$201,MATCH('Buildings - Grid Electricity'!$E216&amp;F216,'Emission factors'!$J$3:$J$201&amp;'Emission factors'!$K$3:$K$201,0),MATCH('Buildings - Grid Electricity'!$M$6,'Emission factors'!$K$2:$V$2,0)))</f>
        <v/>
      </c>
      <c r="N216" s="496" t="str">
        <f>IF(OR(K216="",M216=""),"",SUM(BuildingsElectricityTable[[#This Row],[Direct]:[Indirect WTT]]))</f>
        <v/>
      </c>
      <c r="O216" s="268"/>
      <c r="P216" s="497"/>
      <c r="Q216" s="157" t="str" cm="1">
        <f t="array" ref="Q216">IF(OR($E216="",$I216=""),"",(INDEX('Emission factors'!$K$3:$V$201,MATCH('Buildings - Grid Electricity'!$E216&amp;$F216,'Emission factors'!$J$3:$J$201&amp;'Emission factors'!$K$3:$K$201,0),MATCH('Buildings - Grid Electricity'!Q$6,'Emission factors'!$K$2:$V$2,0)))*$K216)</f>
        <v/>
      </c>
      <c r="R216" s="157" t="str" cm="1">
        <f t="array" ref="R216">IF(OR($E216="",$I216=""),"",(INDEX('Emission factors'!$K$3:$V$201,MATCH('Buildings - Grid Electricity'!$E216&amp;$F216,'Emission factors'!$J$3:$J$201&amp;'Emission factors'!$K$3:$K$201,0),MATCH('Buildings - Grid Electricity'!R$6,'Emission factors'!$K$2:$V$2,0)))*$K216)</f>
        <v/>
      </c>
      <c r="S216" s="157" t="str" cm="1">
        <f t="array" ref="S216">IF(OR($E216="",$I216=""),"",(INDEX('Emission factors'!$K$3:$V$201,MATCH('Buildings - Grid Electricity'!$E216&amp;$F216,'Emission factors'!$J$3:$J$201&amp;'Emission factors'!$K$3:$K$201,0),MATCH('Buildings - Grid Electricity'!S$6,'Emission factors'!$K$2:$V$2,0)))*$K216)</f>
        <v/>
      </c>
      <c r="T216" s="157" t="str" cm="1">
        <f t="array" ref="T216">IF(OR($E216="",$I216=""),"",(INDEX('Emission factors'!$K$3:$V$201,MATCH('Buildings - Grid Electricity'!$E216&amp;$F216,'Emission factors'!$J$3:$J$201&amp;'Emission factors'!$K$3:$K$201,0),MATCH('Buildings - Grid Electricity'!T$6,'Emission factors'!$K$2:$V$2,0)))*$K216)</f>
        <v/>
      </c>
      <c r="U216" s="157" t="str" cm="1">
        <f t="array" ref="U216">IF(OR($E216="",$I216=""),"",(INDEX('Emission factors'!$K$3:$V$201,MATCH('Buildings - Grid Electricity'!$E216&amp;$F216,'Emission factors'!$J$3:$J$201&amp;'Emission factors'!$K$3:$K$201,0),MATCH('Buildings - Grid Electricity'!U$6,'Emission factors'!$K$2:$V$2,0)))*$K216)</f>
        <v/>
      </c>
      <c r="V216" s="269" t="str">
        <f>IF(OR($N216="",BuildingsElectricityTable[[#This Row],[RSD]]=""),"",BuildingsElectricityTable[[#This Row],[Total emissions (kgCO2e)]]*(1+BuildingsElectricityTable[[#This Row],[RSD]]))</f>
        <v/>
      </c>
      <c r="W216" s="270" t="str">
        <f>IF(OR($N216="",BuildingsElectricityTable[[#This Row],[RSD]]=""),"",BuildingsElectricityTable[[#This Row],[Total emissions (kgCO2e)]]*(1-BuildingsElectricityTable[[#This Row],[RSD]]))</f>
        <v/>
      </c>
      <c r="X216" s="271" t="str" cm="1">
        <f t="array" ref="X216">IF(OR($E216="",$I216=""),"",(INDEX('Emission factors'!$K$3:$V$201,MATCH('Buildings - Grid Electricity'!$E216&amp;$F216,'Emission factors'!$J$3:$J$201&amp;'Emission factors'!$K$3:$K$201,0),MATCH('Buildings - Grid Electricity'!X$6,'Emission factors'!$K$2:$V$2,0)))*$K216)</f>
        <v/>
      </c>
      <c r="Y216" s="30"/>
      <c r="Z216" s="1" cm="1">
        <f t="array" ref="Z216">IF(OR(ISERROR(B216:X216)),1,0)</f>
        <v>0</v>
      </c>
      <c r="AA216" s="1">
        <f t="shared" si="17"/>
        <v>0</v>
      </c>
    </row>
    <row r="217" spans="1:27" ht="15" outlineLevel="1" thickBot="1" x14ac:dyDescent="0.4">
      <c r="A217" s="319"/>
      <c r="B217" s="216"/>
      <c r="C217" s="216"/>
      <c r="D217" s="489" t="str">
        <f>IFERROR(INDEX(BuildingInformationTable[Site type],MATCH(BuildingsElectricityTable[[#This Row],[Site name]],BuildingInformationTable[Site name],0)),"")</f>
        <v/>
      </c>
      <c r="E217" s="490" t="str">
        <f t="shared" si="14"/>
        <v/>
      </c>
      <c r="F217" s="490" t="str">
        <f t="shared" si="15"/>
        <v/>
      </c>
      <c r="G217" s="491"/>
      <c r="H217" s="492" t="str">
        <f>IF(G217="","",INDEX(Lists!$BA$4:$BC$31,MATCH(E217,Lists!$AZ$4:$AZ$31,0),MATCH(G217,Lists!$BA$3:$BC$3,0)))</f>
        <v/>
      </c>
      <c r="I217" s="267"/>
      <c r="J217" s="490" t="str">
        <f t="shared" si="16"/>
        <v/>
      </c>
      <c r="K217" s="493" t="str" cm="1">
        <f t="array" ref="K217">IF(OR($E217="",$D217="",$I217="",$J217=""),"",IF(J217=L217,I217,(INDEX('Emission factors'!$K$3:$V$201,MATCH(E217&amp;F217,'Emission factors'!$J$3:$J$201&amp;'Emission factors'!$K$3:$K$201,0),MATCH(K$6,'Emission factors'!$K$2:$V$2,0)))*I217))</f>
        <v/>
      </c>
      <c r="L217" s="494" t="str">
        <f>IF(OR($E217="",$D217="",$I217="",$J217=""),"",INDEX('Emission factors'!$K$3:$V$201,MATCH('Buildings - Grid Electricity'!$E217,'Emission factors'!$J$3:$J$201,0),MATCH($L$6,'Emission factors'!$K$2:$V$2,0)))</f>
        <v/>
      </c>
      <c r="M217" s="495" t="str" cm="1">
        <f t="array" ref="M217">IF(OR(E217="",I217="",BuildingsElectricityTable[[#This Row],[Units]]=""),"",INDEX('Emission factors'!$K$3:$V$201,MATCH('Buildings - Grid Electricity'!$E217&amp;F217,'Emission factors'!$J$3:$J$201&amp;'Emission factors'!$K$3:$K$201,0),MATCH('Buildings - Grid Electricity'!$M$6,'Emission factors'!$K$2:$V$2,0)))</f>
        <v/>
      </c>
      <c r="N217" s="496" t="str">
        <f>IF(OR(K217="",M217=""),"",SUM(BuildingsElectricityTable[[#This Row],[Direct]:[Indirect WTT]]))</f>
        <v/>
      </c>
      <c r="O217" s="268"/>
      <c r="P217" s="497"/>
      <c r="Q217" s="157" t="str" cm="1">
        <f t="array" ref="Q217">IF(OR($E217="",$I217=""),"",(INDEX('Emission factors'!$K$3:$V$201,MATCH('Buildings - Grid Electricity'!$E217&amp;$F217,'Emission factors'!$J$3:$J$201&amp;'Emission factors'!$K$3:$K$201,0),MATCH('Buildings - Grid Electricity'!Q$6,'Emission factors'!$K$2:$V$2,0)))*$K217)</f>
        <v/>
      </c>
      <c r="R217" s="157" t="str" cm="1">
        <f t="array" ref="R217">IF(OR($E217="",$I217=""),"",(INDEX('Emission factors'!$K$3:$V$201,MATCH('Buildings - Grid Electricity'!$E217&amp;$F217,'Emission factors'!$J$3:$J$201&amp;'Emission factors'!$K$3:$K$201,0),MATCH('Buildings - Grid Electricity'!R$6,'Emission factors'!$K$2:$V$2,0)))*$K217)</f>
        <v/>
      </c>
      <c r="S217" s="157" t="str" cm="1">
        <f t="array" ref="S217">IF(OR($E217="",$I217=""),"",(INDEX('Emission factors'!$K$3:$V$201,MATCH('Buildings - Grid Electricity'!$E217&amp;$F217,'Emission factors'!$J$3:$J$201&amp;'Emission factors'!$K$3:$K$201,0),MATCH('Buildings - Grid Electricity'!S$6,'Emission factors'!$K$2:$V$2,0)))*$K217)</f>
        <v/>
      </c>
      <c r="T217" s="157" t="str" cm="1">
        <f t="array" ref="T217">IF(OR($E217="",$I217=""),"",(INDEX('Emission factors'!$K$3:$V$201,MATCH('Buildings - Grid Electricity'!$E217&amp;$F217,'Emission factors'!$J$3:$J$201&amp;'Emission factors'!$K$3:$K$201,0),MATCH('Buildings - Grid Electricity'!T$6,'Emission factors'!$K$2:$V$2,0)))*$K217)</f>
        <v/>
      </c>
      <c r="U217" s="157" t="str" cm="1">
        <f t="array" ref="U217">IF(OR($E217="",$I217=""),"",(INDEX('Emission factors'!$K$3:$V$201,MATCH('Buildings - Grid Electricity'!$E217&amp;$F217,'Emission factors'!$J$3:$J$201&amp;'Emission factors'!$K$3:$K$201,0),MATCH('Buildings - Grid Electricity'!U$6,'Emission factors'!$K$2:$V$2,0)))*$K217)</f>
        <v/>
      </c>
      <c r="V217" s="269" t="str">
        <f>IF(OR($N217="",BuildingsElectricityTable[[#This Row],[RSD]]=""),"",BuildingsElectricityTable[[#This Row],[Total emissions (kgCO2e)]]*(1+BuildingsElectricityTable[[#This Row],[RSD]]))</f>
        <v/>
      </c>
      <c r="W217" s="270" t="str">
        <f>IF(OR($N217="",BuildingsElectricityTable[[#This Row],[RSD]]=""),"",BuildingsElectricityTable[[#This Row],[Total emissions (kgCO2e)]]*(1-BuildingsElectricityTable[[#This Row],[RSD]]))</f>
        <v/>
      </c>
      <c r="X217" s="271" t="str" cm="1">
        <f t="array" ref="X217">IF(OR($E217="",$I217=""),"",(INDEX('Emission factors'!$K$3:$V$201,MATCH('Buildings - Grid Electricity'!$E217&amp;$F217,'Emission factors'!$J$3:$J$201&amp;'Emission factors'!$K$3:$K$201,0),MATCH('Buildings - Grid Electricity'!X$6,'Emission factors'!$K$2:$V$2,0)))*$K217)</f>
        <v/>
      </c>
      <c r="Y217" s="30"/>
      <c r="Z217" s="1" cm="1">
        <f t="array" ref="Z217">IF(OR(ISERROR(B217:X217)),1,0)</f>
        <v>0</v>
      </c>
      <c r="AA217" s="1">
        <f t="shared" si="17"/>
        <v>0</v>
      </c>
    </row>
    <row r="218" spans="1:27" ht="15" outlineLevel="1" thickBot="1" x14ac:dyDescent="0.4">
      <c r="A218" s="319"/>
      <c r="B218" s="216"/>
      <c r="C218" s="216"/>
      <c r="D218" s="489" t="str">
        <f>IFERROR(INDEX(BuildingInformationTable[Site type],MATCH(BuildingsElectricityTable[[#This Row],[Site name]],BuildingInformationTable[Site name],0)),"")</f>
        <v/>
      </c>
      <c r="E218" s="490" t="str">
        <f t="shared" si="14"/>
        <v/>
      </c>
      <c r="F218" s="490" t="str">
        <f t="shared" si="15"/>
        <v/>
      </c>
      <c r="G218" s="491"/>
      <c r="H218" s="492" t="str">
        <f>IF(G218="","",INDEX(Lists!$BA$4:$BC$31,MATCH(E218,Lists!$AZ$4:$AZ$31,0),MATCH(G218,Lists!$BA$3:$BC$3,0)))</f>
        <v/>
      </c>
      <c r="I218" s="267"/>
      <c r="J218" s="490" t="str">
        <f t="shared" si="16"/>
        <v/>
      </c>
      <c r="K218" s="493" t="str" cm="1">
        <f t="array" ref="K218">IF(OR($E218="",$D218="",$I218="",$J218=""),"",IF(J218=L218,I218,(INDEX('Emission factors'!$K$3:$V$201,MATCH(E218&amp;F218,'Emission factors'!$J$3:$J$201&amp;'Emission factors'!$K$3:$K$201,0),MATCH(K$6,'Emission factors'!$K$2:$V$2,0)))*I218))</f>
        <v/>
      </c>
      <c r="L218" s="494" t="str">
        <f>IF(OR($E218="",$D218="",$I218="",$J218=""),"",INDEX('Emission factors'!$K$3:$V$201,MATCH('Buildings - Grid Electricity'!$E218,'Emission factors'!$J$3:$J$201,0),MATCH($L$6,'Emission factors'!$K$2:$V$2,0)))</f>
        <v/>
      </c>
      <c r="M218" s="495" t="str" cm="1">
        <f t="array" ref="M218">IF(OR(E218="",I218="",BuildingsElectricityTable[[#This Row],[Units]]=""),"",INDEX('Emission factors'!$K$3:$V$201,MATCH('Buildings - Grid Electricity'!$E218&amp;F218,'Emission factors'!$J$3:$J$201&amp;'Emission factors'!$K$3:$K$201,0),MATCH('Buildings - Grid Electricity'!$M$6,'Emission factors'!$K$2:$V$2,0)))</f>
        <v/>
      </c>
      <c r="N218" s="496" t="str">
        <f>IF(OR(K218="",M218=""),"",SUM(BuildingsElectricityTable[[#This Row],[Direct]:[Indirect WTT]]))</f>
        <v/>
      </c>
      <c r="O218" s="268"/>
      <c r="P218" s="497"/>
      <c r="Q218" s="157" t="str" cm="1">
        <f t="array" ref="Q218">IF(OR($E218="",$I218=""),"",(INDEX('Emission factors'!$K$3:$V$201,MATCH('Buildings - Grid Electricity'!$E218&amp;$F218,'Emission factors'!$J$3:$J$201&amp;'Emission factors'!$K$3:$K$201,0),MATCH('Buildings - Grid Electricity'!Q$6,'Emission factors'!$K$2:$V$2,0)))*$K218)</f>
        <v/>
      </c>
      <c r="R218" s="157" t="str" cm="1">
        <f t="array" ref="R218">IF(OR($E218="",$I218=""),"",(INDEX('Emission factors'!$K$3:$V$201,MATCH('Buildings - Grid Electricity'!$E218&amp;$F218,'Emission factors'!$J$3:$J$201&amp;'Emission factors'!$K$3:$K$201,0),MATCH('Buildings - Grid Electricity'!R$6,'Emission factors'!$K$2:$V$2,0)))*$K218)</f>
        <v/>
      </c>
      <c r="S218" s="157" t="str" cm="1">
        <f t="array" ref="S218">IF(OR($E218="",$I218=""),"",(INDEX('Emission factors'!$K$3:$V$201,MATCH('Buildings - Grid Electricity'!$E218&amp;$F218,'Emission factors'!$J$3:$J$201&amp;'Emission factors'!$K$3:$K$201,0),MATCH('Buildings - Grid Electricity'!S$6,'Emission factors'!$K$2:$V$2,0)))*$K218)</f>
        <v/>
      </c>
      <c r="T218" s="157" t="str" cm="1">
        <f t="array" ref="T218">IF(OR($E218="",$I218=""),"",(INDEX('Emission factors'!$K$3:$V$201,MATCH('Buildings - Grid Electricity'!$E218&amp;$F218,'Emission factors'!$J$3:$J$201&amp;'Emission factors'!$K$3:$K$201,0),MATCH('Buildings - Grid Electricity'!T$6,'Emission factors'!$K$2:$V$2,0)))*$K218)</f>
        <v/>
      </c>
      <c r="U218" s="157" t="str" cm="1">
        <f t="array" ref="U218">IF(OR($E218="",$I218=""),"",(INDEX('Emission factors'!$K$3:$V$201,MATCH('Buildings - Grid Electricity'!$E218&amp;$F218,'Emission factors'!$J$3:$J$201&amp;'Emission factors'!$K$3:$K$201,0),MATCH('Buildings - Grid Electricity'!U$6,'Emission factors'!$K$2:$V$2,0)))*$K218)</f>
        <v/>
      </c>
      <c r="V218" s="269" t="str">
        <f>IF(OR($N218="",BuildingsElectricityTable[[#This Row],[RSD]]=""),"",BuildingsElectricityTable[[#This Row],[Total emissions (kgCO2e)]]*(1+BuildingsElectricityTable[[#This Row],[RSD]]))</f>
        <v/>
      </c>
      <c r="W218" s="270" t="str">
        <f>IF(OR($N218="",BuildingsElectricityTable[[#This Row],[RSD]]=""),"",BuildingsElectricityTable[[#This Row],[Total emissions (kgCO2e)]]*(1-BuildingsElectricityTable[[#This Row],[RSD]]))</f>
        <v/>
      </c>
      <c r="X218" s="271" t="str" cm="1">
        <f t="array" ref="X218">IF(OR($E218="",$I218=""),"",(INDEX('Emission factors'!$K$3:$V$201,MATCH('Buildings - Grid Electricity'!$E218&amp;$F218,'Emission factors'!$J$3:$J$201&amp;'Emission factors'!$K$3:$K$201,0),MATCH('Buildings - Grid Electricity'!X$6,'Emission factors'!$K$2:$V$2,0)))*$K218)</f>
        <v/>
      </c>
      <c r="Y218" s="30"/>
      <c r="Z218" s="1" cm="1">
        <f t="array" ref="Z218">IF(OR(ISERROR(B218:X218)),1,0)</f>
        <v>0</v>
      </c>
      <c r="AA218" s="1">
        <f t="shared" si="17"/>
        <v>0</v>
      </c>
    </row>
    <row r="219" spans="1:27" ht="15" outlineLevel="1" thickBot="1" x14ac:dyDescent="0.4">
      <c r="A219" s="319"/>
      <c r="B219" s="216"/>
      <c r="C219" s="216"/>
      <c r="D219" s="489" t="str">
        <f>IFERROR(INDEX(BuildingInformationTable[Site type],MATCH(BuildingsElectricityTable[[#This Row],[Site name]],BuildingInformationTable[Site name],0)),"")</f>
        <v/>
      </c>
      <c r="E219" s="490" t="str">
        <f t="shared" si="14"/>
        <v/>
      </c>
      <c r="F219" s="490" t="str">
        <f t="shared" si="15"/>
        <v/>
      </c>
      <c r="G219" s="491"/>
      <c r="H219" s="492" t="str">
        <f>IF(G219="","",INDEX(Lists!$BA$4:$BC$31,MATCH(E219,Lists!$AZ$4:$AZ$31,0),MATCH(G219,Lists!$BA$3:$BC$3,0)))</f>
        <v/>
      </c>
      <c r="I219" s="267"/>
      <c r="J219" s="490" t="str">
        <f t="shared" si="16"/>
        <v/>
      </c>
      <c r="K219" s="493" t="str" cm="1">
        <f t="array" ref="K219">IF(OR($E219="",$D219="",$I219="",$J219=""),"",IF(J219=L219,I219,(INDEX('Emission factors'!$K$3:$V$201,MATCH(E219&amp;F219,'Emission factors'!$J$3:$J$201&amp;'Emission factors'!$K$3:$K$201,0),MATCH(K$6,'Emission factors'!$K$2:$V$2,0)))*I219))</f>
        <v/>
      </c>
      <c r="L219" s="494" t="str">
        <f>IF(OR($E219="",$D219="",$I219="",$J219=""),"",INDEX('Emission factors'!$K$3:$V$201,MATCH('Buildings - Grid Electricity'!$E219,'Emission factors'!$J$3:$J$201,0),MATCH($L$6,'Emission factors'!$K$2:$V$2,0)))</f>
        <v/>
      </c>
      <c r="M219" s="495" t="str" cm="1">
        <f t="array" ref="M219">IF(OR(E219="",I219="",BuildingsElectricityTable[[#This Row],[Units]]=""),"",INDEX('Emission factors'!$K$3:$V$201,MATCH('Buildings - Grid Electricity'!$E219&amp;F219,'Emission factors'!$J$3:$J$201&amp;'Emission factors'!$K$3:$K$201,0),MATCH('Buildings - Grid Electricity'!$M$6,'Emission factors'!$K$2:$V$2,0)))</f>
        <v/>
      </c>
      <c r="N219" s="496" t="str">
        <f>IF(OR(K219="",M219=""),"",SUM(BuildingsElectricityTable[[#This Row],[Direct]:[Indirect WTT]]))</f>
        <v/>
      </c>
      <c r="O219" s="268"/>
      <c r="P219" s="497"/>
      <c r="Q219" s="157" t="str" cm="1">
        <f t="array" ref="Q219">IF(OR($E219="",$I219=""),"",(INDEX('Emission factors'!$K$3:$V$201,MATCH('Buildings - Grid Electricity'!$E219&amp;$F219,'Emission factors'!$J$3:$J$201&amp;'Emission factors'!$K$3:$K$201,0),MATCH('Buildings - Grid Electricity'!Q$6,'Emission factors'!$K$2:$V$2,0)))*$K219)</f>
        <v/>
      </c>
      <c r="R219" s="157" t="str" cm="1">
        <f t="array" ref="R219">IF(OR($E219="",$I219=""),"",(INDEX('Emission factors'!$K$3:$V$201,MATCH('Buildings - Grid Electricity'!$E219&amp;$F219,'Emission factors'!$J$3:$J$201&amp;'Emission factors'!$K$3:$K$201,0),MATCH('Buildings - Grid Electricity'!R$6,'Emission factors'!$K$2:$V$2,0)))*$K219)</f>
        <v/>
      </c>
      <c r="S219" s="157" t="str" cm="1">
        <f t="array" ref="S219">IF(OR($E219="",$I219=""),"",(INDEX('Emission factors'!$K$3:$V$201,MATCH('Buildings - Grid Electricity'!$E219&amp;$F219,'Emission factors'!$J$3:$J$201&amp;'Emission factors'!$K$3:$K$201,0),MATCH('Buildings - Grid Electricity'!S$6,'Emission factors'!$K$2:$V$2,0)))*$K219)</f>
        <v/>
      </c>
      <c r="T219" s="157" t="str" cm="1">
        <f t="array" ref="T219">IF(OR($E219="",$I219=""),"",(INDEX('Emission factors'!$K$3:$V$201,MATCH('Buildings - Grid Electricity'!$E219&amp;$F219,'Emission factors'!$J$3:$J$201&amp;'Emission factors'!$K$3:$K$201,0),MATCH('Buildings - Grid Electricity'!T$6,'Emission factors'!$K$2:$V$2,0)))*$K219)</f>
        <v/>
      </c>
      <c r="U219" s="157" t="str" cm="1">
        <f t="array" ref="U219">IF(OR($E219="",$I219=""),"",(INDEX('Emission factors'!$K$3:$V$201,MATCH('Buildings - Grid Electricity'!$E219&amp;$F219,'Emission factors'!$J$3:$J$201&amp;'Emission factors'!$K$3:$K$201,0),MATCH('Buildings - Grid Electricity'!U$6,'Emission factors'!$K$2:$V$2,0)))*$K219)</f>
        <v/>
      </c>
      <c r="V219" s="269" t="str">
        <f>IF(OR($N219="",BuildingsElectricityTable[[#This Row],[RSD]]=""),"",BuildingsElectricityTable[[#This Row],[Total emissions (kgCO2e)]]*(1+BuildingsElectricityTable[[#This Row],[RSD]]))</f>
        <v/>
      </c>
      <c r="W219" s="270" t="str">
        <f>IF(OR($N219="",BuildingsElectricityTable[[#This Row],[RSD]]=""),"",BuildingsElectricityTable[[#This Row],[Total emissions (kgCO2e)]]*(1-BuildingsElectricityTable[[#This Row],[RSD]]))</f>
        <v/>
      </c>
      <c r="X219" s="271" t="str" cm="1">
        <f t="array" ref="X219">IF(OR($E219="",$I219=""),"",(INDEX('Emission factors'!$K$3:$V$201,MATCH('Buildings - Grid Electricity'!$E219&amp;$F219,'Emission factors'!$J$3:$J$201&amp;'Emission factors'!$K$3:$K$201,0),MATCH('Buildings - Grid Electricity'!X$6,'Emission factors'!$K$2:$V$2,0)))*$K219)</f>
        <v/>
      </c>
      <c r="Y219" s="30"/>
      <c r="Z219" s="1" cm="1">
        <f t="array" ref="Z219">IF(OR(ISERROR(B219:X219)),1,0)</f>
        <v>0</v>
      </c>
      <c r="AA219" s="1">
        <f t="shared" si="17"/>
        <v>0</v>
      </c>
    </row>
    <row r="220" spans="1:27" ht="15" outlineLevel="1" thickBot="1" x14ac:dyDescent="0.4">
      <c r="A220" s="319"/>
      <c r="B220" s="216"/>
      <c r="C220" s="216"/>
      <c r="D220" s="489" t="str">
        <f>IFERROR(INDEX(BuildingInformationTable[Site type],MATCH(BuildingsElectricityTable[[#This Row],[Site name]],BuildingInformationTable[Site name],0)),"")</f>
        <v/>
      </c>
      <c r="E220" s="490" t="str">
        <f t="shared" si="14"/>
        <v/>
      </c>
      <c r="F220" s="490" t="str">
        <f t="shared" si="15"/>
        <v/>
      </c>
      <c r="G220" s="491"/>
      <c r="H220" s="492" t="str">
        <f>IF(G220="","",INDEX(Lists!$BA$4:$BC$31,MATCH(E220,Lists!$AZ$4:$AZ$31,0),MATCH(G220,Lists!$BA$3:$BC$3,0)))</f>
        <v/>
      </c>
      <c r="I220" s="267"/>
      <c r="J220" s="490" t="str">
        <f t="shared" si="16"/>
        <v/>
      </c>
      <c r="K220" s="493" t="str" cm="1">
        <f t="array" ref="K220">IF(OR($E220="",$D220="",$I220="",$J220=""),"",IF(J220=L220,I220,(INDEX('Emission factors'!$K$3:$V$201,MATCH(E220&amp;F220,'Emission factors'!$J$3:$J$201&amp;'Emission factors'!$K$3:$K$201,0),MATCH(K$6,'Emission factors'!$K$2:$V$2,0)))*I220))</f>
        <v/>
      </c>
      <c r="L220" s="494" t="str">
        <f>IF(OR($E220="",$D220="",$I220="",$J220=""),"",INDEX('Emission factors'!$K$3:$V$201,MATCH('Buildings - Grid Electricity'!$E220,'Emission factors'!$J$3:$J$201,0),MATCH($L$6,'Emission factors'!$K$2:$V$2,0)))</f>
        <v/>
      </c>
      <c r="M220" s="495" t="str" cm="1">
        <f t="array" ref="M220">IF(OR(E220="",I220="",BuildingsElectricityTable[[#This Row],[Units]]=""),"",INDEX('Emission factors'!$K$3:$V$201,MATCH('Buildings - Grid Electricity'!$E220&amp;F220,'Emission factors'!$J$3:$J$201&amp;'Emission factors'!$K$3:$K$201,0),MATCH('Buildings - Grid Electricity'!$M$6,'Emission factors'!$K$2:$V$2,0)))</f>
        <v/>
      </c>
      <c r="N220" s="496" t="str">
        <f>IF(OR(K220="",M220=""),"",SUM(BuildingsElectricityTable[[#This Row],[Direct]:[Indirect WTT]]))</f>
        <v/>
      </c>
      <c r="O220" s="268"/>
      <c r="P220" s="497"/>
      <c r="Q220" s="157" t="str" cm="1">
        <f t="array" ref="Q220">IF(OR($E220="",$I220=""),"",(INDEX('Emission factors'!$K$3:$V$201,MATCH('Buildings - Grid Electricity'!$E220&amp;$F220,'Emission factors'!$J$3:$J$201&amp;'Emission factors'!$K$3:$K$201,0),MATCH('Buildings - Grid Electricity'!Q$6,'Emission factors'!$K$2:$V$2,0)))*$K220)</f>
        <v/>
      </c>
      <c r="R220" s="157" t="str" cm="1">
        <f t="array" ref="R220">IF(OR($E220="",$I220=""),"",(INDEX('Emission factors'!$K$3:$V$201,MATCH('Buildings - Grid Electricity'!$E220&amp;$F220,'Emission factors'!$J$3:$J$201&amp;'Emission factors'!$K$3:$K$201,0),MATCH('Buildings - Grid Electricity'!R$6,'Emission factors'!$K$2:$V$2,0)))*$K220)</f>
        <v/>
      </c>
      <c r="S220" s="157" t="str" cm="1">
        <f t="array" ref="S220">IF(OR($E220="",$I220=""),"",(INDEX('Emission factors'!$K$3:$V$201,MATCH('Buildings - Grid Electricity'!$E220&amp;$F220,'Emission factors'!$J$3:$J$201&amp;'Emission factors'!$K$3:$K$201,0),MATCH('Buildings - Grid Electricity'!S$6,'Emission factors'!$K$2:$V$2,0)))*$K220)</f>
        <v/>
      </c>
      <c r="T220" s="157" t="str" cm="1">
        <f t="array" ref="T220">IF(OR($E220="",$I220=""),"",(INDEX('Emission factors'!$K$3:$V$201,MATCH('Buildings - Grid Electricity'!$E220&amp;$F220,'Emission factors'!$J$3:$J$201&amp;'Emission factors'!$K$3:$K$201,0),MATCH('Buildings - Grid Electricity'!T$6,'Emission factors'!$K$2:$V$2,0)))*$K220)</f>
        <v/>
      </c>
      <c r="U220" s="157" t="str" cm="1">
        <f t="array" ref="U220">IF(OR($E220="",$I220=""),"",(INDEX('Emission factors'!$K$3:$V$201,MATCH('Buildings - Grid Electricity'!$E220&amp;$F220,'Emission factors'!$J$3:$J$201&amp;'Emission factors'!$K$3:$K$201,0),MATCH('Buildings - Grid Electricity'!U$6,'Emission factors'!$K$2:$V$2,0)))*$K220)</f>
        <v/>
      </c>
      <c r="V220" s="269" t="str">
        <f>IF(OR($N220="",BuildingsElectricityTable[[#This Row],[RSD]]=""),"",BuildingsElectricityTable[[#This Row],[Total emissions (kgCO2e)]]*(1+BuildingsElectricityTable[[#This Row],[RSD]]))</f>
        <v/>
      </c>
      <c r="W220" s="270" t="str">
        <f>IF(OR($N220="",BuildingsElectricityTable[[#This Row],[RSD]]=""),"",BuildingsElectricityTable[[#This Row],[Total emissions (kgCO2e)]]*(1-BuildingsElectricityTable[[#This Row],[RSD]]))</f>
        <v/>
      </c>
      <c r="X220" s="271" t="str" cm="1">
        <f t="array" ref="X220">IF(OR($E220="",$I220=""),"",(INDEX('Emission factors'!$K$3:$V$201,MATCH('Buildings - Grid Electricity'!$E220&amp;$F220,'Emission factors'!$J$3:$J$201&amp;'Emission factors'!$K$3:$K$201,0),MATCH('Buildings - Grid Electricity'!X$6,'Emission factors'!$K$2:$V$2,0)))*$K220)</f>
        <v/>
      </c>
      <c r="Y220" s="30"/>
      <c r="Z220" s="1" cm="1">
        <f t="array" ref="Z220">IF(OR(ISERROR(B220:X220)),1,0)</f>
        <v>0</v>
      </c>
      <c r="AA220" s="1">
        <f t="shared" si="17"/>
        <v>0</v>
      </c>
    </row>
    <row r="221" spans="1:27" ht="15" outlineLevel="1" thickBot="1" x14ac:dyDescent="0.4">
      <c r="A221" s="319"/>
      <c r="B221" s="216"/>
      <c r="C221" s="216"/>
      <c r="D221" s="489" t="str">
        <f>IFERROR(INDEX(BuildingInformationTable[Site type],MATCH(BuildingsElectricityTable[[#This Row],[Site name]],BuildingInformationTable[Site name],0)),"")</f>
        <v/>
      </c>
      <c r="E221" s="490" t="str">
        <f t="shared" si="14"/>
        <v/>
      </c>
      <c r="F221" s="490" t="str">
        <f t="shared" si="15"/>
        <v/>
      </c>
      <c r="G221" s="491"/>
      <c r="H221" s="492" t="str">
        <f>IF(G221="","",INDEX(Lists!$BA$4:$BC$31,MATCH(E221,Lists!$AZ$4:$AZ$31,0),MATCH(G221,Lists!$BA$3:$BC$3,0)))</f>
        <v/>
      </c>
      <c r="I221" s="267"/>
      <c r="J221" s="490" t="str">
        <f t="shared" si="16"/>
        <v/>
      </c>
      <c r="K221" s="493" t="str" cm="1">
        <f t="array" ref="K221">IF(OR($E221="",$D221="",$I221="",$J221=""),"",IF(J221=L221,I221,(INDEX('Emission factors'!$K$3:$V$201,MATCH(E221&amp;F221,'Emission factors'!$J$3:$J$201&amp;'Emission factors'!$K$3:$K$201,0),MATCH(K$6,'Emission factors'!$K$2:$V$2,0)))*I221))</f>
        <v/>
      </c>
      <c r="L221" s="494" t="str">
        <f>IF(OR($E221="",$D221="",$I221="",$J221=""),"",INDEX('Emission factors'!$K$3:$V$201,MATCH('Buildings - Grid Electricity'!$E221,'Emission factors'!$J$3:$J$201,0),MATCH($L$6,'Emission factors'!$K$2:$V$2,0)))</f>
        <v/>
      </c>
      <c r="M221" s="495" t="str" cm="1">
        <f t="array" ref="M221">IF(OR(E221="",I221="",BuildingsElectricityTable[[#This Row],[Units]]=""),"",INDEX('Emission factors'!$K$3:$V$201,MATCH('Buildings - Grid Electricity'!$E221&amp;F221,'Emission factors'!$J$3:$J$201&amp;'Emission factors'!$K$3:$K$201,0),MATCH('Buildings - Grid Electricity'!$M$6,'Emission factors'!$K$2:$V$2,0)))</f>
        <v/>
      </c>
      <c r="N221" s="496" t="str">
        <f>IF(OR(K221="",M221=""),"",SUM(BuildingsElectricityTable[[#This Row],[Direct]:[Indirect WTT]]))</f>
        <v/>
      </c>
      <c r="O221" s="268"/>
      <c r="P221" s="497"/>
      <c r="Q221" s="157" t="str" cm="1">
        <f t="array" ref="Q221">IF(OR($E221="",$I221=""),"",(INDEX('Emission factors'!$K$3:$V$201,MATCH('Buildings - Grid Electricity'!$E221&amp;$F221,'Emission factors'!$J$3:$J$201&amp;'Emission factors'!$K$3:$K$201,0),MATCH('Buildings - Grid Electricity'!Q$6,'Emission factors'!$K$2:$V$2,0)))*$K221)</f>
        <v/>
      </c>
      <c r="R221" s="157" t="str" cm="1">
        <f t="array" ref="R221">IF(OR($E221="",$I221=""),"",(INDEX('Emission factors'!$K$3:$V$201,MATCH('Buildings - Grid Electricity'!$E221&amp;$F221,'Emission factors'!$J$3:$J$201&amp;'Emission factors'!$K$3:$K$201,0),MATCH('Buildings - Grid Electricity'!R$6,'Emission factors'!$K$2:$V$2,0)))*$K221)</f>
        <v/>
      </c>
      <c r="S221" s="157" t="str" cm="1">
        <f t="array" ref="S221">IF(OR($E221="",$I221=""),"",(INDEX('Emission factors'!$K$3:$V$201,MATCH('Buildings - Grid Electricity'!$E221&amp;$F221,'Emission factors'!$J$3:$J$201&amp;'Emission factors'!$K$3:$K$201,0),MATCH('Buildings - Grid Electricity'!S$6,'Emission factors'!$K$2:$V$2,0)))*$K221)</f>
        <v/>
      </c>
      <c r="T221" s="157" t="str" cm="1">
        <f t="array" ref="T221">IF(OR($E221="",$I221=""),"",(INDEX('Emission factors'!$K$3:$V$201,MATCH('Buildings - Grid Electricity'!$E221&amp;$F221,'Emission factors'!$J$3:$J$201&amp;'Emission factors'!$K$3:$K$201,0),MATCH('Buildings - Grid Electricity'!T$6,'Emission factors'!$K$2:$V$2,0)))*$K221)</f>
        <v/>
      </c>
      <c r="U221" s="157" t="str" cm="1">
        <f t="array" ref="U221">IF(OR($E221="",$I221=""),"",(INDEX('Emission factors'!$K$3:$V$201,MATCH('Buildings - Grid Electricity'!$E221&amp;$F221,'Emission factors'!$J$3:$J$201&amp;'Emission factors'!$K$3:$K$201,0),MATCH('Buildings - Grid Electricity'!U$6,'Emission factors'!$K$2:$V$2,0)))*$K221)</f>
        <v/>
      </c>
      <c r="V221" s="269" t="str">
        <f>IF(OR($N221="",BuildingsElectricityTable[[#This Row],[RSD]]=""),"",BuildingsElectricityTable[[#This Row],[Total emissions (kgCO2e)]]*(1+BuildingsElectricityTable[[#This Row],[RSD]]))</f>
        <v/>
      </c>
      <c r="W221" s="270" t="str">
        <f>IF(OR($N221="",BuildingsElectricityTable[[#This Row],[RSD]]=""),"",BuildingsElectricityTable[[#This Row],[Total emissions (kgCO2e)]]*(1-BuildingsElectricityTable[[#This Row],[RSD]]))</f>
        <v/>
      </c>
      <c r="X221" s="271" t="str" cm="1">
        <f t="array" ref="X221">IF(OR($E221="",$I221=""),"",(INDEX('Emission factors'!$K$3:$V$201,MATCH('Buildings - Grid Electricity'!$E221&amp;$F221,'Emission factors'!$J$3:$J$201&amp;'Emission factors'!$K$3:$K$201,0),MATCH('Buildings - Grid Electricity'!X$6,'Emission factors'!$K$2:$V$2,0)))*$K221)</f>
        <v/>
      </c>
      <c r="Y221" s="30"/>
      <c r="Z221" s="1" cm="1">
        <f t="array" ref="Z221">IF(OR(ISERROR(B221:X221)),1,0)</f>
        <v>0</v>
      </c>
      <c r="AA221" s="1">
        <f t="shared" si="17"/>
        <v>0</v>
      </c>
    </row>
    <row r="222" spans="1:27" ht="15" outlineLevel="1" thickBot="1" x14ac:dyDescent="0.4">
      <c r="A222" s="319"/>
      <c r="B222" s="216"/>
      <c r="C222" s="216"/>
      <c r="D222" s="489" t="str">
        <f>IFERROR(INDEX(BuildingInformationTable[Site type],MATCH(BuildingsElectricityTable[[#This Row],[Site name]],BuildingInformationTable[Site name],0)),"")</f>
        <v/>
      </c>
      <c r="E222" s="490" t="str">
        <f t="shared" si="14"/>
        <v/>
      </c>
      <c r="F222" s="490" t="str">
        <f t="shared" si="15"/>
        <v/>
      </c>
      <c r="G222" s="491"/>
      <c r="H222" s="492" t="str">
        <f>IF(G222="","",INDEX(Lists!$BA$4:$BC$31,MATCH(E222,Lists!$AZ$4:$AZ$31,0),MATCH(G222,Lists!$BA$3:$BC$3,0)))</f>
        <v/>
      </c>
      <c r="I222" s="267"/>
      <c r="J222" s="490" t="str">
        <f t="shared" si="16"/>
        <v/>
      </c>
      <c r="K222" s="493" t="str" cm="1">
        <f t="array" ref="K222">IF(OR($E222="",$D222="",$I222="",$J222=""),"",IF(J222=L222,I222,(INDEX('Emission factors'!$K$3:$V$201,MATCH(E222&amp;F222,'Emission factors'!$J$3:$J$201&amp;'Emission factors'!$K$3:$K$201,0),MATCH(K$6,'Emission factors'!$K$2:$V$2,0)))*I222))</f>
        <v/>
      </c>
      <c r="L222" s="494" t="str">
        <f>IF(OR($E222="",$D222="",$I222="",$J222=""),"",INDEX('Emission factors'!$K$3:$V$201,MATCH('Buildings - Grid Electricity'!$E222,'Emission factors'!$J$3:$J$201,0),MATCH($L$6,'Emission factors'!$K$2:$V$2,0)))</f>
        <v/>
      </c>
      <c r="M222" s="495" t="str" cm="1">
        <f t="array" ref="M222">IF(OR(E222="",I222="",BuildingsElectricityTable[[#This Row],[Units]]=""),"",INDEX('Emission factors'!$K$3:$V$201,MATCH('Buildings - Grid Electricity'!$E222&amp;F222,'Emission factors'!$J$3:$J$201&amp;'Emission factors'!$K$3:$K$201,0),MATCH('Buildings - Grid Electricity'!$M$6,'Emission factors'!$K$2:$V$2,0)))</f>
        <v/>
      </c>
      <c r="N222" s="496" t="str">
        <f>IF(OR(K222="",M222=""),"",SUM(BuildingsElectricityTable[[#This Row],[Direct]:[Indirect WTT]]))</f>
        <v/>
      </c>
      <c r="O222" s="268"/>
      <c r="P222" s="497"/>
      <c r="Q222" s="157" t="str" cm="1">
        <f t="array" ref="Q222">IF(OR($E222="",$I222=""),"",(INDEX('Emission factors'!$K$3:$V$201,MATCH('Buildings - Grid Electricity'!$E222&amp;$F222,'Emission factors'!$J$3:$J$201&amp;'Emission factors'!$K$3:$K$201,0),MATCH('Buildings - Grid Electricity'!Q$6,'Emission factors'!$K$2:$V$2,0)))*$K222)</f>
        <v/>
      </c>
      <c r="R222" s="157" t="str" cm="1">
        <f t="array" ref="R222">IF(OR($E222="",$I222=""),"",(INDEX('Emission factors'!$K$3:$V$201,MATCH('Buildings - Grid Electricity'!$E222&amp;$F222,'Emission factors'!$J$3:$J$201&amp;'Emission factors'!$K$3:$K$201,0),MATCH('Buildings - Grid Electricity'!R$6,'Emission factors'!$K$2:$V$2,0)))*$K222)</f>
        <v/>
      </c>
      <c r="S222" s="157" t="str" cm="1">
        <f t="array" ref="S222">IF(OR($E222="",$I222=""),"",(INDEX('Emission factors'!$K$3:$V$201,MATCH('Buildings - Grid Electricity'!$E222&amp;$F222,'Emission factors'!$J$3:$J$201&amp;'Emission factors'!$K$3:$K$201,0),MATCH('Buildings - Grid Electricity'!S$6,'Emission factors'!$K$2:$V$2,0)))*$K222)</f>
        <v/>
      </c>
      <c r="T222" s="157" t="str" cm="1">
        <f t="array" ref="T222">IF(OR($E222="",$I222=""),"",(INDEX('Emission factors'!$K$3:$V$201,MATCH('Buildings - Grid Electricity'!$E222&amp;$F222,'Emission factors'!$J$3:$J$201&amp;'Emission factors'!$K$3:$K$201,0),MATCH('Buildings - Grid Electricity'!T$6,'Emission factors'!$K$2:$V$2,0)))*$K222)</f>
        <v/>
      </c>
      <c r="U222" s="157" t="str" cm="1">
        <f t="array" ref="U222">IF(OR($E222="",$I222=""),"",(INDEX('Emission factors'!$K$3:$V$201,MATCH('Buildings - Grid Electricity'!$E222&amp;$F222,'Emission factors'!$J$3:$J$201&amp;'Emission factors'!$K$3:$K$201,0),MATCH('Buildings - Grid Electricity'!U$6,'Emission factors'!$K$2:$V$2,0)))*$K222)</f>
        <v/>
      </c>
      <c r="V222" s="269" t="str">
        <f>IF(OR($N222="",BuildingsElectricityTable[[#This Row],[RSD]]=""),"",BuildingsElectricityTable[[#This Row],[Total emissions (kgCO2e)]]*(1+BuildingsElectricityTable[[#This Row],[RSD]]))</f>
        <v/>
      </c>
      <c r="W222" s="270" t="str">
        <f>IF(OR($N222="",BuildingsElectricityTable[[#This Row],[RSD]]=""),"",BuildingsElectricityTable[[#This Row],[Total emissions (kgCO2e)]]*(1-BuildingsElectricityTable[[#This Row],[RSD]]))</f>
        <v/>
      </c>
      <c r="X222" s="271" t="str" cm="1">
        <f t="array" ref="X222">IF(OR($E222="",$I222=""),"",(INDEX('Emission factors'!$K$3:$V$201,MATCH('Buildings - Grid Electricity'!$E222&amp;$F222,'Emission factors'!$J$3:$J$201&amp;'Emission factors'!$K$3:$K$201,0),MATCH('Buildings - Grid Electricity'!X$6,'Emission factors'!$K$2:$V$2,0)))*$K222)</f>
        <v/>
      </c>
      <c r="Y222" s="30"/>
      <c r="Z222" s="1" cm="1">
        <f t="array" ref="Z222">IF(OR(ISERROR(B222:X222)),1,0)</f>
        <v>0</v>
      </c>
      <c r="AA222" s="1">
        <f t="shared" si="17"/>
        <v>0</v>
      </c>
    </row>
    <row r="223" spans="1:27" ht="15" outlineLevel="1" thickBot="1" x14ac:dyDescent="0.4">
      <c r="A223" s="319"/>
      <c r="B223" s="216"/>
      <c r="C223" s="216"/>
      <c r="D223" s="489" t="str">
        <f>IFERROR(INDEX(BuildingInformationTable[Site type],MATCH(BuildingsElectricityTable[[#This Row],[Site name]],BuildingInformationTable[Site name],0)),"")</f>
        <v/>
      </c>
      <c r="E223" s="490" t="str">
        <f t="shared" si="14"/>
        <v/>
      </c>
      <c r="F223" s="490" t="str">
        <f t="shared" si="15"/>
        <v/>
      </c>
      <c r="G223" s="491"/>
      <c r="H223" s="492" t="str">
        <f>IF(G223="","",INDEX(Lists!$BA$4:$BC$31,MATCH(E223,Lists!$AZ$4:$AZ$31,0),MATCH(G223,Lists!$BA$3:$BC$3,0)))</f>
        <v/>
      </c>
      <c r="I223" s="267"/>
      <c r="J223" s="490" t="str">
        <f t="shared" si="16"/>
        <v/>
      </c>
      <c r="K223" s="493" t="str" cm="1">
        <f t="array" ref="K223">IF(OR($E223="",$D223="",$I223="",$J223=""),"",IF(J223=L223,I223,(INDEX('Emission factors'!$K$3:$V$201,MATCH(E223&amp;F223,'Emission factors'!$J$3:$J$201&amp;'Emission factors'!$K$3:$K$201,0),MATCH(K$6,'Emission factors'!$K$2:$V$2,0)))*I223))</f>
        <v/>
      </c>
      <c r="L223" s="494" t="str">
        <f>IF(OR($E223="",$D223="",$I223="",$J223=""),"",INDEX('Emission factors'!$K$3:$V$201,MATCH('Buildings - Grid Electricity'!$E223,'Emission factors'!$J$3:$J$201,0),MATCH($L$6,'Emission factors'!$K$2:$V$2,0)))</f>
        <v/>
      </c>
      <c r="M223" s="495" t="str" cm="1">
        <f t="array" ref="M223">IF(OR(E223="",I223="",BuildingsElectricityTable[[#This Row],[Units]]=""),"",INDEX('Emission factors'!$K$3:$V$201,MATCH('Buildings - Grid Electricity'!$E223&amp;F223,'Emission factors'!$J$3:$J$201&amp;'Emission factors'!$K$3:$K$201,0),MATCH('Buildings - Grid Electricity'!$M$6,'Emission factors'!$K$2:$V$2,0)))</f>
        <v/>
      </c>
      <c r="N223" s="496" t="str">
        <f>IF(OR(K223="",M223=""),"",SUM(BuildingsElectricityTable[[#This Row],[Direct]:[Indirect WTT]]))</f>
        <v/>
      </c>
      <c r="O223" s="268"/>
      <c r="P223" s="497"/>
      <c r="Q223" s="157" t="str" cm="1">
        <f t="array" ref="Q223">IF(OR($E223="",$I223=""),"",(INDEX('Emission factors'!$K$3:$V$201,MATCH('Buildings - Grid Electricity'!$E223&amp;$F223,'Emission factors'!$J$3:$J$201&amp;'Emission factors'!$K$3:$K$201,0),MATCH('Buildings - Grid Electricity'!Q$6,'Emission factors'!$K$2:$V$2,0)))*$K223)</f>
        <v/>
      </c>
      <c r="R223" s="157" t="str" cm="1">
        <f t="array" ref="R223">IF(OR($E223="",$I223=""),"",(INDEX('Emission factors'!$K$3:$V$201,MATCH('Buildings - Grid Electricity'!$E223&amp;$F223,'Emission factors'!$J$3:$J$201&amp;'Emission factors'!$K$3:$K$201,0),MATCH('Buildings - Grid Electricity'!R$6,'Emission factors'!$K$2:$V$2,0)))*$K223)</f>
        <v/>
      </c>
      <c r="S223" s="157" t="str" cm="1">
        <f t="array" ref="S223">IF(OR($E223="",$I223=""),"",(INDEX('Emission factors'!$K$3:$V$201,MATCH('Buildings - Grid Electricity'!$E223&amp;$F223,'Emission factors'!$J$3:$J$201&amp;'Emission factors'!$K$3:$K$201,0),MATCH('Buildings - Grid Electricity'!S$6,'Emission factors'!$K$2:$V$2,0)))*$K223)</f>
        <v/>
      </c>
      <c r="T223" s="157" t="str" cm="1">
        <f t="array" ref="T223">IF(OR($E223="",$I223=""),"",(INDEX('Emission factors'!$K$3:$V$201,MATCH('Buildings - Grid Electricity'!$E223&amp;$F223,'Emission factors'!$J$3:$J$201&amp;'Emission factors'!$K$3:$K$201,0),MATCH('Buildings - Grid Electricity'!T$6,'Emission factors'!$K$2:$V$2,0)))*$K223)</f>
        <v/>
      </c>
      <c r="U223" s="157" t="str" cm="1">
        <f t="array" ref="U223">IF(OR($E223="",$I223=""),"",(INDEX('Emission factors'!$K$3:$V$201,MATCH('Buildings - Grid Electricity'!$E223&amp;$F223,'Emission factors'!$J$3:$J$201&amp;'Emission factors'!$K$3:$K$201,0),MATCH('Buildings - Grid Electricity'!U$6,'Emission factors'!$K$2:$V$2,0)))*$K223)</f>
        <v/>
      </c>
      <c r="V223" s="269" t="str">
        <f>IF(OR($N223="",BuildingsElectricityTable[[#This Row],[RSD]]=""),"",BuildingsElectricityTable[[#This Row],[Total emissions (kgCO2e)]]*(1+BuildingsElectricityTable[[#This Row],[RSD]]))</f>
        <v/>
      </c>
      <c r="W223" s="270" t="str">
        <f>IF(OR($N223="",BuildingsElectricityTable[[#This Row],[RSD]]=""),"",BuildingsElectricityTable[[#This Row],[Total emissions (kgCO2e)]]*(1-BuildingsElectricityTable[[#This Row],[RSD]]))</f>
        <v/>
      </c>
      <c r="X223" s="271" t="str" cm="1">
        <f t="array" ref="X223">IF(OR($E223="",$I223=""),"",(INDEX('Emission factors'!$K$3:$V$201,MATCH('Buildings - Grid Electricity'!$E223&amp;$F223,'Emission factors'!$J$3:$J$201&amp;'Emission factors'!$K$3:$K$201,0),MATCH('Buildings - Grid Electricity'!X$6,'Emission factors'!$K$2:$V$2,0)))*$K223)</f>
        <v/>
      </c>
      <c r="Y223" s="30"/>
      <c r="Z223" s="1" cm="1">
        <f t="array" ref="Z223">IF(OR(ISERROR(B223:X223)),1,0)</f>
        <v>0</v>
      </c>
      <c r="AA223" s="1">
        <f t="shared" si="17"/>
        <v>0</v>
      </c>
    </row>
    <row r="224" spans="1:27" ht="15" outlineLevel="1" thickBot="1" x14ac:dyDescent="0.4">
      <c r="A224" s="319"/>
      <c r="B224" s="216"/>
      <c r="C224" s="216"/>
      <c r="D224" s="489" t="str">
        <f>IFERROR(INDEX(BuildingInformationTable[Site type],MATCH(BuildingsElectricityTable[[#This Row],[Site name]],BuildingInformationTable[Site name],0)),"")</f>
        <v/>
      </c>
      <c r="E224" s="490" t="str">
        <f t="shared" si="14"/>
        <v/>
      </c>
      <c r="F224" s="490" t="str">
        <f t="shared" si="15"/>
        <v/>
      </c>
      <c r="G224" s="491"/>
      <c r="H224" s="492" t="str">
        <f>IF(G224="","",INDEX(Lists!$BA$4:$BC$31,MATCH(E224,Lists!$AZ$4:$AZ$31,0),MATCH(G224,Lists!$BA$3:$BC$3,0)))</f>
        <v/>
      </c>
      <c r="I224" s="267"/>
      <c r="J224" s="490" t="str">
        <f t="shared" si="16"/>
        <v/>
      </c>
      <c r="K224" s="493" t="str" cm="1">
        <f t="array" ref="K224">IF(OR($E224="",$D224="",$I224="",$J224=""),"",IF(J224=L224,I224,(INDEX('Emission factors'!$K$3:$V$201,MATCH(E224&amp;F224,'Emission factors'!$J$3:$J$201&amp;'Emission factors'!$K$3:$K$201,0),MATCH(K$6,'Emission factors'!$K$2:$V$2,0)))*I224))</f>
        <v/>
      </c>
      <c r="L224" s="494" t="str">
        <f>IF(OR($E224="",$D224="",$I224="",$J224=""),"",INDEX('Emission factors'!$K$3:$V$201,MATCH('Buildings - Grid Electricity'!$E224,'Emission factors'!$J$3:$J$201,0),MATCH($L$6,'Emission factors'!$K$2:$V$2,0)))</f>
        <v/>
      </c>
      <c r="M224" s="495" t="str" cm="1">
        <f t="array" ref="M224">IF(OR(E224="",I224="",BuildingsElectricityTable[[#This Row],[Units]]=""),"",INDEX('Emission factors'!$K$3:$V$201,MATCH('Buildings - Grid Electricity'!$E224&amp;F224,'Emission factors'!$J$3:$J$201&amp;'Emission factors'!$K$3:$K$201,0),MATCH('Buildings - Grid Electricity'!$M$6,'Emission factors'!$K$2:$V$2,0)))</f>
        <v/>
      </c>
      <c r="N224" s="496" t="str">
        <f>IF(OR(K224="",M224=""),"",SUM(BuildingsElectricityTable[[#This Row],[Direct]:[Indirect WTT]]))</f>
        <v/>
      </c>
      <c r="O224" s="268"/>
      <c r="P224" s="497"/>
      <c r="Q224" s="157" t="str" cm="1">
        <f t="array" ref="Q224">IF(OR($E224="",$I224=""),"",(INDEX('Emission factors'!$K$3:$V$201,MATCH('Buildings - Grid Electricity'!$E224&amp;$F224,'Emission factors'!$J$3:$J$201&amp;'Emission factors'!$K$3:$K$201,0),MATCH('Buildings - Grid Electricity'!Q$6,'Emission factors'!$K$2:$V$2,0)))*$K224)</f>
        <v/>
      </c>
      <c r="R224" s="157" t="str" cm="1">
        <f t="array" ref="R224">IF(OR($E224="",$I224=""),"",(INDEX('Emission factors'!$K$3:$V$201,MATCH('Buildings - Grid Electricity'!$E224&amp;$F224,'Emission factors'!$J$3:$J$201&amp;'Emission factors'!$K$3:$K$201,0),MATCH('Buildings - Grid Electricity'!R$6,'Emission factors'!$K$2:$V$2,0)))*$K224)</f>
        <v/>
      </c>
      <c r="S224" s="157" t="str" cm="1">
        <f t="array" ref="S224">IF(OR($E224="",$I224=""),"",(INDEX('Emission factors'!$K$3:$V$201,MATCH('Buildings - Grid Electricity'!$E224&amp;$F224,'Emission factors'!$J$3:$J$201&amp;'Emission factors'!$K$3:$K$201,0),MATCH('Buildings - Grid Electricity'!S$6,'Emission factors'!$K$2:$V$2,0)))*$K224)</f>
        <v/>
      </c>
      <c r="T224" s="157" t="str" cm="1">
        <f t="array" ref="T224">IF(OR($E224="",$I224=""),"",(INDEX('Emission factors'!$K$3:$V$201,MATCH('Buildings - Grid Electricity'!$E224&amp;$F224,'Emission factors'!$J$3:$J$201&amp;'Emission factors'!$K$3:$K$201,0),MATCH('Buildings - Grid Electricity'!T$6,'Emission factors'!$K$2:$V$2,0)))*$K224)</f>
        <v/>
      </c>
      <c r="U224" s="157" t="str" cm="1">
        <f t="array" ref="U224">IF(OR($E224="",$I224=""),"",(INDEX('Emission factors'!$K$3:$V$201,MATCH('Buildings - Grid Electricity'!$E224&amp;$F224,'Emission factors'!$J$3:$J$201&amp;'Emission factors'!$K$3:$K$201,0),MATCH('Buildings - Grid Electricity'!U$6,'Emission factors'!$K$2:$V$2,0)))*$K224)</f>
        <v/>
      </c>
      <c r="V224" s="269" t="str">
        <f>IF(OR($N224="",BuildingsElectricityTable[[#This Row],[RSD]]=""),"",BuildingsElectricityTable[[#This Row],[Total emissions (kgCO2e)]]*(1+BuildingsElectricityTable[[#This Row],[RSD]]))</f>
        <v/>
      </c>
      <c r="W224" s="270" t="str">
        <f>IF(OR($N224="",BuildingsElectricityTable[[#This Row],[RSD]]=""),"",BuildingsElectricityTable[[#This Row],[Total emissions (kgCO2e)]]*(1-BuildingsElectricityTable[[#This Row],[RSD]]))</f>
        <v/>
      </c>
      <c r="X224" s="271" t="str" cm="1">
        <f t="array" ref="X224">IF(OR($E224="",$I224=""),"",(INDEX('Emission factors'!$K$3:$V$201,MATCH('Buildings - Grid Electricity'!$E224&amp;$F224,'Emission factors'!$J$3:$J$201&amp;'Emission factors'!$K$3:$K$201,0),MATCH('Buildings - Grid Electricity'!X$6,'Emission factors'!$K$2:$V$2,0)))*$K224)</f>
        <v/>
      </c>
      <c r="Y224" s="30"/>
      <c r="Z224" s="1" cm="1">
        <f t="array" ref="Z224">IF(OR(ISERROR(B224:X224)),1,0)</f>
        <v>0</v>
      </c>
      <c r="AA224" s="1">
        <f t="shared" si="17"/>
        <v>0</v>
      </c>
    </row>
    <row r="225" spans="1:27" ht="15" outlineLevel="1" thickBot="1" x14ac:dyDescent="0.4">
      <c r="A225" s="319"/>
      <c r="B225" s="216"/>
      <c r="C225" s="216"/>
      <c r="D225" s="489" t="str">
        <f>IFERROR(INDEX(BuildingInformationTable[Site type],MATCH(BuildingsElectricityTable[[#This Row],[Site name]],BuildingInformationTable[Site name],0)),"")</f>
        <v/>
      </c>
      <c r="E225" s="490" t="str">
        <f t="shared" si="14"/>
        <v/>
      </c>
      <c r="F225" s="490" t="str">
        <f t="shared" si="15"/>
        <v/>
      </c>
      <c r="G225" s="491"/>
      <c r="H225" s="492" t="str">
        <f>IF(G225="","",INDEX(Lists!$BA$4:$BC$31,MATCH(E225,Lists!$AZ$4:$AZ$31,0),MATCH(G225,Lists!$BA$3:$BC$3,0)))</f>
        <v/>
      </c>
      <c r="I225" s="267"/>
      <c r="J225" s="490" t="str">
        <f t="shared" si="16"/>
        <v/>
      </c>
      <c r="K225" s="493" t="str" cm="1">
        <f t="array" ref="K225">IF(OR($E225="",$D225="",$I225="",$J225=""),"",IF(J225=L225,I225,(INDEX('Emission factors'!$K$3:$V$201,MATCH(E225&amp;F225,'Emission factors'!$J$3:$J$201&amp;'Emission factors'!$K$3:$K$201,0),MATCH(K$6,'Emission factors'!$K$2:$V$2,0)))*I225))</f>
        <v/>
      </c>
      <c r="L225" s="494" t="str">
        <f>IF(OR($E225="",$D225="",$I225="",$J225=""),"",INDEX('Emission factors'!$K$3:$V$201,MATCH('Buildings - Grid Electricity'!$E225,'Emission factors'!$J$3:$J$201,0),MATCH($L$6,'Emission factors'!$K$2:$V$2,0)))</f>
        <v/>
      </c>
      <c r="M225" s="495" t="str" cm="1">
        <f t="array" ref="M225">IF(OR(E225="",I225="",BuildingsElectricityTable[[#This Row],[Units]]=""),"",INDEX('Emission factors'!$K$3:$V$201,MATCH('Buildings - Grid Electricity'!$E225&amp;F225,'Emission factors'!$J$3:$J$201&amp;'Emission factors'!$K$3:$K$201,0),MATCH('Buildings - Grid Electricity'!$M$6,'Emission factors'!$K$2:$V$2,0)))</f>
        <v/>
      </c>
      <c r="N225" s="496" t="str">
        <f>IF(OR(K225="",M225=""),"",SUM(BuildingsElectricityTable[[#This Row],[Direct]:[Indirect WTT]]))</f>
        <v/>
      </c>
      <c r="O225" s="268"/>
      <c r="P225" s="497"/>
      <c r="Q225" s="157" t="str" cm="1">
        <f t="array" ref="Q225">IF(OR($E225="",$I225=""),"",(INDEX('Emission factors'!$K$3:$V$201,MATCH('Buildings - Grid Electricity'!$E225&amp;$F225,'Emission factors'!$J$3:$J$201&amp;'Emission factors'!$K$3:$K$201,0),MATCH('Buildings - Grid Electricity'!Q$6,'Emission factors'!$K$2:$V$2,0)))*$K225)</f>
        <v/>
      </c>
      <c r="R225" s="157" t="str" cm="1">
        <f t="array" ref="R225">IF(OR($E225="",$I225=""),"",(INDEX('Emission factors'!$K$3:$V$201,MATCH('Buildings - Grid Electricity'!$E225&amp;$F225,'Emission factors'!$J$3:$J$201&amp;'Emission factors'!$K$3:$K$201,0),MATCH('Buildings - Grid Electricity'!R$6,'Emission factors'!$K$2:$V$2,0)))*$K225)</f>
        <v/>
      </c>
      <c r="S225" s="157" t="str" cm="1">
        <f t="array" ref="S225">IF(OR($E225="",$I225=""),"",(INDEX('Emission factors'!$K$3:$V$201,MATCH('Buildings - Grid Electricity'!$E225&amp;$F225,'Emission factors'!$J$3:$J$201&amp;'Emission factors'!$K$3:$K$201,0),MATCH('Buildings - Grid Electricity'!S$6,'Emission factors'!$K$2:$V$2,0)))*$K225)</f>
        <v/>
      </c>
      <c r="T225" s="157" t="str" cm="1">
        <f t="array" ref="T225">IF(OR($E225="",$I225=""),"",(INDEX('Emission factors'!$K$3:$V$201,MATCH('Buildings - Grid Electricity'!$E225&amp;$F225,'Emission factors'!$J$3:$J$201&amp;'Emission factors'!$K$3:$K$201,0),MATCH('Buildings - Grid Electricity'!T$6,'Emission factors'!$K$2:$V$2,0)))*$K225)</f>
        <v/>
      </c>
      <c r="U225" s="157" t="str" cm="1">
        <f t="array" ref="U225">IF(OR($E225="",$I225=""),"",(INDEX('Emission factors'!$K$3:$V$201,MATCH('Buildings - Grid Electricity'!$E225&amp;$F225,'Emission factors'!$J$3:$J$201&amp;'Emission factors'!$K$3:$K$201,0),MATCH('Buildings - Grid Electricity'!U$6,'Emission factors'!$K$2:$V$2,0)))*$K225)</f>
        <v/>
      </c>
      <c r="V225" s="269" t="str">
        <f>IF(OR($N225="",BuildingsElectricityTable[[#This Row],[RSD]]=""),"",BuildingsElectricityTable[[#This Row],[Total emissions (kgCO2e)]]*(1+BuildingsElectricityTable[[#This Row],[RSD]]))</f>
        <v/>
      </c>
      <c r="W225" s="270" t="str">
        <f>IF(OR($N225="",BuildingsElectricityTable[[#This Row],[RSD]]=""),"",BuildingsElectricityTable[[#This Row],[Total emissions (kgCO2e)]]*(1-BuildingsElectricityTable[[#This Row],[RSD]]))</f>
        <v/>
      </c>
      <c r="X225" s="271" t="str" cm="1">
        <f t="array" ref="X225">IF(OR($E225="",$I225=""),"",(INDEX('Emission factors'!$K$3:$V$201,MATCH('Buildings - Grid Electricity'!$E225&amp;$F225,'Emission factors'!$J$3:$J$201&amp;'Emission factors'!$K$3:$K$201,0),MATCH('Buildings - Grid Electricity'!X$6,'Emission factors'!$K$2:$V$2,0)))*$K225)</f>
        <v/>
      </c>
      <c r="Y225" s="30"/>
      <c r="Z225" s="1" cm="1">
        <f t="array" ref="Z225">IF(OR(ISERROR(B225:X225)),1,0)</f>
        <v>0</v>
      </c>
      <c r="AA225" s="1">
        <f t="shared" si="17"/>
        <v>0</v>
      </c>
    </row>
    <row r="226" spans="1:27" ht="15" outlineLevel="1" thickBot="1" x14ac:dyDescent="0.4">
      <c r="A226" s="319"/>
      <c r="B226" s="216"/>
      <c r="C226" s="216"/>
      <c r="D226" s="489" t="str">
        <f>IFERROR(INDEX(BuildingInformationTable[Site type],MATCH(BuildingsElectricityTable[[#This Row],[Site name]],BuildingInformationTable[Site name],0)),"")</f>
        <v/>
      </c>
      <c r="E226" s="490" t="str">
        <f t="shared" si="14"/>
        <v/>
      </c>
      <c r="F226" s="490" t="str">
        <f t="shared" si="15"/>
        <v/>
      </c>
      <c r="G226" s="491"/>
      <c r="H226" s="492" t="str">
        <f>IF(G226="","",INDEX(Lists!$BA$4:$BC$31,MATCH(E226,Lists!$AZ$4:$AZ$31,0),MATCH(G226,Lists!$BA$3:$BC$3,0)))</f>
        <v/>
      </c>
      <c r="I226" s="267"/>
      <c r="J226" s="490" t="str">
        <f t="shared" si="16"/>
        <v/>
      </c>
      <c r="K226" s="493" t="str" cm="1">
        <f t="array" ref="K226">IF(OR($E226="",$D226="",$I226="",$J226=""),"",IF(J226=L226,I226,(INDEX('Emission factors'!$K$3:$V$201,MATCH(E226&amp;F226,'Emission factors'!$J$3:$J$201&amp;'Emission factors'!$K$3:$K$201,0),MATCH(K$6,'Emission factors'!$K$2:$V$2,0)))*I226))</f>
        <v/>
      </c>
      <c r="L226" s="494" t="str">
        <f>IF(OR($E226="",$D226="",$I226="",$J226=""),"",INDEX('Emission factors'!$K$3:$V$201,MATCH('Buildings - Grid Electricity'!$E226,'Emission factors'!$J$3:$J$201,0),MATCH($L$6,'Emission factors'!$K$2:$V$2,0)))</f>
        <v/>
      </c>
      <c r="M226" s="495" t="str" cm="1">
        <f t="array" ref="M226">IF(OR(E226="",I226="",BuildingsElectricityTable[[#This Row],[Units]]=""),"",INDEX('Emission factors'!$K$3:$V$201,MATCH('Buildings - Grid Electricity'!$E226&amp;F226,'Emission factors'!$J$3:$J$201&amp;'Emission factors'!$K$3:$K$201,0),MATCH('Buildings - Grid Electricity'!$M$6,'Emission factors'!$K$2:$V$2,0)))</f>
        <v/>
      </c>
      <c r="N226" s="496" t="str">
        <f>IF(OR(K226="",M226=""),"",SUM(BuildingsElectricityTable[[#This Row],[Direct]:[Indirect WTT]]))</f>
        <v/>
      </c>
      <c r="O226" s="268"/>
      <c r="P226" s="497"/>
      <c r="Q226" s="157" t="str" cm="1">
        <f t="array" ref="Q226">IF(OR($E226="",$I226=""),"",(INDEX('Emission factors'!$K$3:$V$201,MATCH('Buildings - Grid Electricity'!$E226&amp;$F226,'Emission factors'!$J$3:$J$201&amp;'Emission factors'!$K$3:$K$201,0),MATCH('Buildings - Grid Electricity'!Q$6,'Emission factors'!$K$2:$V$2,0)))*$K226)</f>
        <v/>
      </c>
      <c r="R226" s="157" t="str" cm="1">
        <f t="array" ref="R226">IF(OR($E226="",$I226=""),"",(INDEX('Emission factors'!$K$3:$V$201,MATCH('Buildings - Grid Electricity'!$E226&amp;$F226,'Emission factors'!$J$3:$J$201&amp;'Emission factors'!$K$3:$K$201,0),MATCH('Buildings - Grid Electricity'!R$6,'Emission factors'!$K$2:$V$2,0)))*$K226)</f>
        <v/>
      </c>
      <c r="S226" s="157" t="str" cm="1">
        <f t="array" ref="S226">IF(OR($E226="",$I226=""),"",(INDEX('Emission factors'!$K$3:$V$201,MATCH('Buildings - Grid Electricity'!$E226&amp;$F226,'Emission factors'!$J$3:$J$201&amp;'Emission factors'!$K$3:$K$201,0),MATCH('Buildings - Grid Electricity'!S$6,'Emission factors'!$K$2:$V$2,0)))*$K226)</f>
        <v/>
      </c>
      <c r="T226" s="157" t="str" cm="1">
        <f t="array" ref="T226">IF(OR($E226="",$I226=""),"",(INDEX('Emission factors'!$K$3:$V$201,MATCH('Buildings - Grid Electricity'!$E226&amp;$F226,'Emission factors'!$J$3:$J$201&amp;'Emission factors'!$K$3:$K$201,0),MATCH('Buildings - Grid Electricity'!T$6,'Emission factors'!$K$2:$V$2,0)))*$K226)</f>
        <v/>
      </c>
      <c r="U226" s="157" t="str" cm="1">
        <f t="array" ref="U226">IF(OR($E226="",$I226=""),"",(INDEX('Emission factors'!$K$3:$V$201,MATCH('Buildings - Grid Electricity'!$E226&amp;$F226,'Emission factors'!$J$3:$J$201&amp;'Emission factors'!$K$3:$K$201,0),MATCH('Buildings - Grid Electricity'!U$6,'Emission factors'!$K$2:$V$2,0)))*$K226)</f>
        <v/>
      </c>
      <c r="V226" s="269" t="str">
        <f>IF(OR($N226="",BuildingsElectricityTable[[#This Row],[RSD]]=""),"",BuildingsElectricityTable[[#This Row],[Total emissions (kgCO2e)]]*(1+BuildingsElectricityTable[[#This Row],[RSD]]))</f>
        <v/>
      </c>
      <c r="W226" s="270" t="str">
        <f>IF(OR($N226="",BuildingsElectricityTable[[#This Row],[RSD]]=""),"",BuildingsElectricityTable[[#This Row],[Total emissions (kgCO2e)]]*(1-BuildingsElectricityTable[[#This Row],[RSD]]))</f>
        <v/>
      </c>
      <c r="X226" s="271" t="str" cm="1">
        <f t="array" ref="X226">IF(OR($E226="",$I226=""),"",(INDEX('Emission factors'!$K$3:$V$201,MATCH('Buildings - Grid Electricity'!$E226&amp;$F226,'Emission factors'!$J$3:$J$201&amp;'Emission factors'!$K$3:$K$201,0),MATCH('Buildings - Grid Electricity'!X$6,'Emission factors'!$K$2:$V$2,0)))*$K226)</f>
        <v/>
      </c>
      <c r="Y226" s="30"/>
      <c r="Z226" s="1" cm="1">
        <f t="array" ref="Z226">IF(OR(ISERROR(B226:X226)),1,0)</f>
        <v>0</v>
      </c>
      <c r="AA226" s="1">
        <f t="shared" si="17"/>
        <v>0</v>
      </c>
    </row>
    <row r="227" spans="1:27" ht="15" outlineLevel="1" thickBot="1" x14ac:dyDescent="0.4">
      <c r="A227" s="319"/>
      <c r="B227" s="216"/>
      <c r="C227" s="216"/>
      <c r="D227" s="489" t="str">
        <f>IFERROR(INDEX(BuildingInformationTable[Site type],MATCH(BuildingsElectricityTable[[#This Row],[Site name]],BuildingInformationTable[Site name],0)),"")</f>
        <v/>
      </c>
      <c r="E227" s="490" t="str">
        <f t="shared" si="14"/>
        <v/>
      </c>
      <c r="F227" s="490" t="str">
        <f t="shared" si="15"/>
        <v/>
      </c>
      <c r="G227" s="491"/>
      <c r="H227" s="492" t="str">
        <f>IF(G227="","",INDEX(Lists!$BA$4:$BC$31,MATCH(E227,Lists!$AZ$4:$AZ$31,0),MATCH(G227,Lists!$BA$3:$BC$3,0)))</f>
        <v/>
      </c>
      <c r="I227" s="267"/>
      <c r="J227" s="490" t="str">
        <f t="shared" si="16"/>
        <v/>
      </c>
      <c r="K227" s="493" t="str" cm="1">
        <f t="array" ref="K227">IF(OR($E227="",$D227="",$I227="",$J227=""),"",IF(J227=L227,I227,(INDEX('Emission factors'!$K$3:$V$201,MATCH(E227&amp;F227,'Emission factors'!$J$3:$J$201&amp;'Emission factors'!$K$3:$K$201,0),MATCH(K$6,'Emission factors'!$K$2:$V$2,0)))*I227))</f>
        <v/>
      </c>
      <c r="L227" s="494" t="str">
        <f>IF(OR($E227="",$D227="",$I227="",$J227=""),"",INDEX('Emission factors'!$K$3:$V$201,MATCH('Buildings - Grid Electricity'!$E227,'Emission factors'!$J$3:$J$201,0),MATCH($L$6,'Emission factors'!$K$2:$V$2,0)))</f>
        <v/>
      </c>
      <c r="M227" s="495" t="str" cm="1">
        <f t="array" ref="M227">IF(OR(E227="",I227="",BuildingsElectricityTable[[#This Row],[Units]]=""),"",INDEX('Emission factors'!$K$3:$V$201,MATCH('Buildings - Grid Electricity'!$E227&amp;F227,'Emission factors'!$J$3:$J$201&amp;'Emission factors'!$K$3:$K$201,0),MATCH('Buildings - Grid Electricity'!$M$6,'Emission factors'!$K$2:$V$2,0)))</f>
        <v/>
      </c>
      <c r="N227" s="496" t="str">
        <f>IF(OR(K227="",M227=""),"",SUM(BuildingsElectricityTable[[#This Row],[Direct]:[Indirect WTT]]))</f>
        <v/>
      </c>
      <c r="O227" s="268"/>
      <c r="P227" s="497"/>
      <c r="Q227" s="157" t="str" cm="1">
        <f t="array" ref="Q227">IF(OR($E227="",$I227=""),"",(INDEX('Emission factors'!$K$3:$V$201,MATCH('Buildings - Grid Electricity'!$E227&amp;$F227,'Emission factors'!$J$3:$J$201&amp;'Emission factors'!$K$3:$K$201,0),MATCH('Buildings - Grid Electricity'!Q$6,'Emission factors'!$K$2:$V$2,0)))*$K227)</f>
        <v/>
      </c>
      <c r="R227" s="157" t="str" cm="1">
        <f t="array" ref="R227">IF(OR($E227="",$I227=""),"",(INDEX('Emission factors'!$K$3:$V$201,MATCH('Buildings - Grid Electricity'!$E227&amp;$F227,'Emission factors'!$J$3:$J$201&amp;'Emission factors'!$K$3:$K$201,0),MATCH('Buildings - Grid Electricity'!R$6,'Emission factors'!$K$2:$V$2,0)))*$K227)</f>
        <v/>
      </c>
      <c r="S227" s="157" t="str" cm="1">
        <f t="array" ref="S227">IF(OR($E227="",$I227=""),"",(INDEX('Emission factors'!$K$3:$V$201,MATCH('Buildings - Grid Electricity'!$E227&amp;$F227,'Emission factors'!$J$3:$J$201&amp;'Emission factors'!$K$3:$K$201,0),MATCH('Buildings - Grid Electricity'!S$6,'Emission factors'!$K$2:$V$2,0)))*$K227)</f>
        <v/>
      </c>
      <c r="T227" s="157" t="str" cm="1">
        <f t="array" ref="T227">IF(OR($E227="",$I227=""),"",(INDEX('Emission factors'!$K$3:$V$201,MATCH('Buildings - Grid Electricity'!$E227&amp;$F227,'Emission factors'!$J$3:$J$201&amp;'Emission factors'!$K$3:$K$201,0),MATCH('Buildings - Grid Electricity'!T$6,'Emission factors'!$K$2:$V$2,0)))*$K227)</f>
        <v/>
      </c>
      <c r="U227" s="157" t="str" cm="1">
        <f t="array" ref="U227">IF(OR($E227="",$I227=""),"",(INDEX('Emission factors'!$K$3:$V$201,MATCH('Buildings - Grid Electricity'!$E227&amp;$F227,'Emission factors'!$J$3:$J$201&amp;'Emission factors'!$K$3:$K$201,0),MATCH('Buildings - Grid Electricity'!U$6,'Emission factors'!$K$2:$V$2,0)))*$K227)</f>
        <v/>
      </c>
      <c r="V227" s="269" t="str">
        <f>IF(OR($N227="",BuildingsElectricityTable[[#This Row],[RSD]]=""),"",BuildingsElectricityTable[[#This Row],[Total emissions (kgCO2e)]]*(1+BuildingsElectricityTable[[#This Row],[RSD]]))</f>
        <v/>
      </c>
      <c r="W227" s="270" t="str">
        <f>IF(OR($N227="",BuildingsElectricityTable[[#This Row],[RSD]]=""),"",BuildingsElectricityTable[[#This Row],[Total emissions (kgCO2e)]]*(1-BuildingsElectricityTable[[#This Row],[RSD]]))</f>
        <v/>
      </c>
      <c r="X227" s="271" t="str" cm="1">
        <f t="array" ref="X227">IF(OR($E227="",$I227=""),"",(INDEX('Emission factors'!$K$3:$V$201,MATCH('Buildings - Grid Electricity'!$E227&amp;$F227,'Emission factors'!$J$3:$J$201&amp;'Emission factors'!$K$3:$K$201,0),MATCH('Buildings - Grid Electricity'!X$6,'Emission factors'!$K$2:$V$2,0)))*$K227)</f>
        <v/>
      </c>
      <c r="Y227" s="30"/>
      <c r="Z227" s="1" cm="1">
        <f t="array" ref="Z227">IF(OR(ISERROR(B227:X227)),1,0)</f>
        <v>0</v>
      </c>
      <c r="AA227" s="1">
        <f t="shared" si="17"/>
        <v>0</v>
      </c>
    </row>
    <row r="228" spans="1:27" ht="15" outlineLevel="1" thickBot="1" x14ac:dyDescent="0.4">
      <c r="A228" s="319"/>
      <c r="B228" s="216"/>
      <c r="C228" s="216"/>
      <c r="D228" s="489" t="str">
        <f>IFERROR(INDEX(BuildingInformationTable[Site type],MATCH(BuildingsElectricityTable[[#This Row],[Site name]],BuildingInformationTable[Site name],0)),"")</f>
        <v/>
      </c>
      <c r="E228" s="490" t="str">
        <f t="shared" si="14"/>
        <v/>
      </c>
      <c r="F228" s="490" t="str">
        <f t="shared" si="15"/>
        <v/>
      </c>
      <c r="G228" s="491"/>
      <c r="H228" s="492" t="str">
        <f>IF(G228="","",INDEX(Lists!$BA$4:$BC$31,MATCH(E228,Lists!$AZ$4:$AZ$31,0),MATCH(G228,Lists!$BA$3:$BC$3,0)))</f>
        <v/>
      </c>
      <c r="I228" s="267"/>
      <c r="J228" s="490" t="str">
        <f t="shared" si="16"/>
        <v/>
      </c>
      <c r="K228" s="493" t="str" cm="1">
        <f t="array" ref="K228">IF(OR($E228="",$D228="",$I228="",$J228=""),"",IF(J228=L228,I228,(INDEX('Emission factors'!$K$3:$V$201,MATCH(E228&amp;F228,'Emission factors'!$J$3:$J$201&amp;'Emission factors'!$K$3:$K$201,0),MATCH(K$6,'Emission factors'!$K$2:$V$2,0)))*I228))</f>
        <v/>
      </c>
      <c r="L228" s="494" t="str">
        <f>IF(OR($E228="",$D228="",$I228="",$J228=""),"",INDEX('Emission factors'!$K$3:$V$201,MATCH('Buildings - Grid Electricity'!$E228,'Emission factors'!$J$3:$J$201,0),MATCH($L$6,'Emission factors'!$K$2:$V$2,0)))</f>
        <v/>
      </c>
      <c r="M228" s="495" t="str" cm="1">
        <f t="array" ref="M228">IF(OR(E228="",I228="",BuildingsElectricityTable[[#This Row],[Units]]=""),"",INDEX('Emission factors'!$K$3:$V$201,MATCH('Buildings - Grid Electricity'!$E228&amp;F228,'Emission factors'!$J$3:$J$201&amp;'Emission factors'!$K$3:$K$201,0),MATCH('Buildings - Grid Electricity'!$M$6,'Emission factors'!$K$2:$V$2,0)))</f>
        <v/>
      </c>
      <c r="N228" s="496" t="str">
        <f>IF(OR(K228="",M228=""),"",SUM(BuildingsElectricityTable[[#This Row],[Direct]:[Indirect WTT]]))</f>
        <v/>
      </c>
      <c r="O228" s="268"/>
      <c r="P228" s="497"/>
      <c r="Q228" s="157" t="str" cm="1">
        <f t="array" ref="Q228">IF(OR($E228="",$I228=""),"",(INDEX('Emission factors'!$K$3:$V$201,MATCH('Buildings - Grid Electricity'!$E228&amp;$F228,'Emission factors'!$J$3:$J$201&amp;'Emission factors'!$K$3:$K$201,0),MATCH('Buildings - Grid Electricity'!Q$6,'Emission factors'!$K$2:$V$2,0)))*$K228)</f>
        <v/>
      </c>
      <c r="R228" s="157" t="str" cm="1">
        <f t="array" ref="R228">IF(OR($E228="",$I228=""),"",(INDEX('Emission factors'!$K$3:$V$201,MATCH('Buildings - Grid Electricity'!$E228&amp;$F228,'Emission factors'!$J$3:$J$201&amp;'Emission factors'!$K$3:$K$201,0),MATCH('Buildings - Grid Electricity'!R$6,'Emission factors'!$K$2:$V$2,0)))*$K228)</f>
        <v/>
      </c>
      <c r="S228" s="157" t="str" cm="1">
        <f t="array" ref="S228">IF(OR($E228="",$I228=""),"",(INDEX('Emission factors'!$K$3:$V$201,MATCH('Buildings - Grid Electricity'!$E228&amp;$F228,'Emission factors'!$J$3:$J$201&amp;'Emission factors'!$K$3:$K$201,0),MATCH('Buildings - Grid Electricity'!S$6,'Emission factors'!$K$2:$V$2,0)))*$K228)</f>
        <v/>
      </c>
      <c r="T228" s="157" t="str" cm="1">
        <f t="array" ref="T228">IF(OR($E228="",$I228=""),"",(INDEX('Emission factors'!$K$3:$V$201,MATCH('Buildings - Grid Electricity'!$E228&amp;$F228,'Emission factors'!$J$3:$J$201&amp;'Emission factors'!$K$3:$K$201,0),MATCH('Buildings - Grid Electricity'!T$6,'Emission factors'!$K$2:$V$2,0)))*$K228)</f>
        <v/>
      </c>
      <c r="U228" s="157" t="str" cm="1">
        <f t="array" ref="U228">IF(OR($E228="",$I228=""),"",(INDEX('Emission factors'!$K$3:$V$201,MATCH('Buildings - Grid Electricity'!$E228&amp;$F228,'Emission factors'!$J$3:$J$201&amp;'Emission factors'!$K$3:$K$201,0),MATCH('Buildings - Grid Electricity'!U$6,'Emission factors'!$K$2:$V$2,0)))*$K228)</f>
        <v/>
      </c>
      <c r="V228" s="269" t="str">
        <f>IF(OR($N228="",BuildingsElectricityTable[[#This Row],[RSD]]=""),"",BuildingsElectricityTable[[#This Row],[Total emissions (kgCO2e)]]*(1+BuildingsElectricityTable[[#This Row],[RSD]]))</f>
        <v/>
      </c>
      <c r="W228" s="270" t="str">
        <f>IF(OR($N228="",BuildingsElectricityTable[[#This Row],[RSD]]=""),"",BuildingsElectricityTable[[#This Row],[Total emissions (kgCO2e)]]*(1-BuildingsElectricityTable[[#This Row],[RSD]]))</f>
        <v/>
      </c>
      <c r="X228" s="271" t="str" cm="1">
        <f t="array" ref="X228">IF(OR($E228="",$I228=""),"",(INDEX('Emission factors'!$K$3:$V$201,MATCH('Buildings - Grid Electricity'!$E228&amp;$F228,'Emission factors'!$J$3:$J$201&amp;'Emission factors'!$K$3:$K$201,0),MATCH('Buildings - Grid Electricity'!X$6,'Emission factors'!$K$2:$V$2,0)))*$K228)</f>
        <v/>
      </c>
      <c r="Y228" s="30"/>
      <c r="Z228" s="1" cm="1">
        <f t="array" ref="Z228">IF(OR(ISERROR(B228:X228)),1,0)</f>
        <v>0</v>
      </c>
      <c r="AA228" s="1">
        <f t="shared" si="17"/>
        <v>0</v>
      </c>
    </row>
    <row r="229" spans="1:27" ht="15" outlineLevel="1" thickBot="1" x14ac:dyDescent="0.4">
      <c r="A229" s="319"/>
      <c r="B229" s="216"/>
      <c r="C229" s="216"/>
      <c r="D229" s="489" t="str">
        <f>IFERROR(INDEX(BuildingInformationTable[Site type],MATCH(BuildingsElectricityTable[[#This Row],[Site name]],BuildingInformationTable[Site name],0)),"")</f>
        <v/>
      </c>
      <c r="E229" s="490" t="str">
        <f t="shared" si="14"/>
        <v/>
      </c>
      <c r="F229" s="490" t="str">
        <f t="shared" si="15"/>
        <v/>
      </c>
      <c r="G229" s="491"/>
      <c r="H229" s="492" t="str">
        <f>IF(G229="","",INDEX(Lists!$BA$4:$BC$31,MATCH(E229,Lists!$AZ$4:$AZ$31,0),MATCH(G229,Lists!$BA$3:$BC$3,0)))</f>
        <v/>
      </c>
      <c r="I229" s="267"/>
      <c r="J229" s="490" t="str">
        <f t="shared" si="16"/>
        <v/>
      </c>
      <c r="K229" s="493" t="str" cm="1">
        <f t="array" ref="K229">IF(OR($E229="",$D229="",$I229="",$J229=""),"",IF(J229=L229,I229,(INDEX('Emission factors'!$K$3:$V$201,MATCH(E229&amp;F229,'Emission factors'!$J$3:$J$201&amp;'Emission factors'!$K$3:$K$201,0),MATCH(K$6,'Emission factors'!$K$2:$V$2,0)))*I229))</f>
        <v/>
      </c>
      <c r="L229" s="494" t="str">
        <f>IF(OR($E229="",$D229="",$I229="",$J229=""),"",INDEX('Emission factors'!$K$3:$V$201,MATCH('Buildings - Grid Electricity'!$E229,'Emission factors'!$J$3:$J$201,0),MATCH($L$6,'Emission factors'!$K$2:$V$2,0)))</f>
        <v/>
      </c>
      <c r="M229" s="495" t="str" cm="1">
        <f t="array" ref="M229">IF(OR(E229="",I229="",BuildingsElectricityTable[[#This Row],[Units]]=""),"",INDEX('Emission factors'!$K$3:$V$201,MATCH('Buildings - Grid Electricity'!$E229&amp;F229,'Emission factors'!$J$3:$J$201&amp;'Emission factors'!$K$3:$K$201,0),MATCH('Buildings - Grid Electricity'!$M$6,'Emission factors'!$K$2:$V$2,0)))</f>
        <v/>
      </c>
      <c r="N229" s="496" t="str">
        <f>IF(OR(K229="",M229=""),"",SUM(BuildingsElectricityTable[[#This Row],[Direct]:[Indirect WTT]]))</f>
        <v/>
      </c>
      <c r="O229" s="268"/>
      <c r="P229" s="497"/>
      <c r="Q229" s="157" t="str" cm="1">
        <f t="array" ref="Q229">IF(OR($E229="",$I229=""),"",(INDEX('Emission factors'!$K$3:$V$201,MATCH('Buildings - Grid Electricity'!$E229&amp;$F229,'Emission factors'!$J$3:$J$201&amp;'Emission factors'!$K$3:$K$201,0),MATCH('Buildings - Grid Electricity'!Q$6,'Emission factors'!$K$2:$V$2,0)))*$K229)</f>
        <v/>
      </c>
      <c r="R229" s="157" t="str" cm="1">
        <f t="array" ref="R229">IF(OR($E229="",$I229=""),"",(INDEX('Emission factors'!$K$3:$V$201,MATCH('Buildings - Grid Electricity'!$E229&amp;$F229,'Emission factors'!$J$3:$J$201&amp;'Emission factors'!$K$3:$K$201,0),MATCH('Buildings - Grid Electricity'!R$6,'Emission factors'!$K$2:$V$2,0)))*$K229)</f>
        <v/>
      </c>
      <c r="S229" s="157" t="str" cm="1">
        <f t="array" ref="S229">IF(OR($E229="",$I229=""),"",(INDEX('Emission factors'!$K$3:$V$201,MATCH('Buildings - Grid Electricity'!$E229&amp;$F229,'Emission factors'!$J$3:$J$201&amp;'Emission factors'!$K$3:$K$201,0),MATCH('Buildings - Grid Electricity'!S$6,'Emission factors'!$K$2:$V$2,0)))*$K229)</f>
        <v/>
      </c>
      <c r="T229" s="157" t="str" cm="1">
        <f t="array" ref="T229">IF(OR($E229="",$I229=""),"",(INDEX('Emission factors'!$K$3:$V$201,MATCH('Buildings - Grid Electricity'!$E229&amp;$F229,'Emission factors'!$J$3:$J$201&amp;'Emission factors'!$K$3:$K$201,0),MATCH('Buildings - Grid Electricity'!T$6,'Emission factors'!$K$2:$V$2,0)))*$K229)</f>
        <v/>
      </c>
      <c r="U229" s="157" t="str" cm="1">
        <f t="array" ref="U229">IF(OR($E229="",$I229=""),"",(INDEX('Emission factors'!$K$3:$V$201,MATCH('Buildings - Grid Electricity'!$E229&amp;$F229,'Emission factors'!$J$3:$J$201&amp;'Emission factors'!$K$3:$K$201,0),MATCH('Buildings - Grid Electricity'!U$6,'Emission factors'!$K$2:$V$2,0)))*$K229)</f>
        <v/>
      </c>
      <c r="V229" s="269" t="str">
        <f>IF(OR($N229="",BuildingsElectricityTable[[#This Row],[RSD]]=""),"",BuildingsElectricityTable[[#This Row],[Total emissions (kgCO2e)]]*(1+BuildingsElectricityTable[[#This Row],[RSD]]))</f>
        <v/>
      </c>
      <c r="W229" s="270" t="str">
        <f>IF(OR($N229="",BuildingsElectricityTable[[#This Row],[RSD]]=""),"",BuildingsElectricityTable[[#This Row],[Total emissions (kgCO2e)]]*(1-BuildingsElectricityTable[[#This Row],[RSD]]))</f>
        <v/>
      </c>
      <c r="X229" s="271" t="str" cm="1">
        <f t="array" ref="X229">IF(OR($E229="",$I229=""),"",(INDEX('Emission factors'!$K$3:$V$201,MATCH('Buildings - Grid Electricity'!$E229&amp;$F229,'Emission factors'!$J$3:$J$201&amp;'Emission factors'!$K$3:$K$201,0),MATCH('Buildings - Grid Electricity'!X$6,'Emission factors'!$K$2:$V$2,0)))*$K229)</f>
        <v/>
      </c>
      <c r="Y229" s="30"/>
      <c r="Z229" s="1" cm="1">
        <f t="array" ref="Z229">IF(OR(ISERROR(B229:X229)),1,0)</f>
        <v>0</v>
      </c>
      <c r="AA229" s="1">
        <f t="shared" si="17"/>
        <v>0</v>
      </c>
    </row>
    <row r="230" spans="1:27" ht="15" outlineLevel="1" thickBot="1" x14ac:dyDescent="0.4">
      <c r="A230" s="319"/>
      <c r="B230" s="216"/>
      <c r="C230" s="216"/>
      <c r="D230" s="489" t="str">
        <f>IFERROR(INDEX(BuildingInformationTable[Site type],MATCH(BuildingsElectricityTable[[#This Row],[Site name]],BuildingInformationTable[Site name],0)),"")</f>
        <v/>
      </c>
      <c r="E230" s="490" t="str">
        <f t="shared" ref="E230:E261" si="18">IF(B230="", "", "Grid electricity")</f>
        <v/>
      </c>
      <c r="F230" s="490" t="str">
        <f t="shared" ref="F230:F261" si="19">IF(E230="Grid electricity", "Consumption based", "")</f>
        <v/>
      </c>
      <c r="G230" s="491"/>
      <c r="H230" s="492" t="str">
        <f>IF(G230="","",INDEX(Lists!$BA$4:$BC$31,MATCH(E230,Lists!$AZ$4:$AZ$31,0),MATCH(G230,Lists!$BA$3:$BC$3,0)))</f>
        <v/>
      </c>
      <c r="I230" s="267"/>
      <c r="J230" s="490" t="str">
        <f t="shared" ref="J230:J261" si="20">IF(I230="", "", "kWh")</f>
        <v/>
      </c>
      <c r="K230" s="493" t="str" cm="1">
        <f t="array" ref="K230">IF(OR($E230="",$D230="",$I230="",$J230=""),"",IF(J230=L230,I230,(INDEX('Emission factors'!$K$3:$V$201,MATCH(E230&amp;F230,'Emission factors'!$J$3:$J$201&amp;'Emission factors'!$K$3:$K$201,0),MATCH(K$6,'Emission factors'!$K$2:$V$2,0)))*I230))</f>
        <v/>
      </c>
      <c r="L230" s="494" t="str">
        <f>IF(OR($E230="",$D230="",$I230="",$J230=""),"",INDEX('Emission factors'!$K$3:$V$201,MATCH('Buildings - Grid Electricity'!$E230,'Emission factors'!$J$3:$J$201,0),MATCH($L$6,'Emission factors'!$K$2:$V$2,0)))</f>
        <v/>
      </c>
      <c r="M230" s="495" t="str" cm="1">
        <f t="array" ref="M230">IF(OR(E230="",I230="",BuildingsElectricityTable[[#This Row],[Units]]=""),"",INDEX('Emission factors'!$K$3:$V$201,MATCH('Buildings - Grid Electricity'!$E230&amp;F230,'Emission factors'!$J$3:$J$201&amp;'Emission factors'!$K$3:$K$201,0),MATCH('Buildings - Grid Electricity'!$M$6,'Emission factors'!$K$2:$V$2,0)))</f>
        <v/>
      </c>
      <c r="N230" s="496" t="str">
        <f>IF(OR(K230="",M230=""),"",SUM(BuildingsElectricityTable[[#This Row],[Direct]:[Indirect WTT]]))</f>
        <v/>
      </c>
      <c r="O230" s="268"/>
      <c r="P230" s="497"/>
      <c r="Q230" s="157" t="str" cm="1">
        <f t="array" ref="Q230">IF(OR($E230="",$I230=""),"",(INDEX('Emission factors'!$K$3:$V$201,MATCH('Buildings - Grid Electricity'!$E230&amp;$F230,'Emission factors'!$J$3:$J$201&amp;'Emission factors'!$K$3:$K$201,0),MATCH('Buildings - Grid Electricity'!Q$6,'Emission factors'!$K$2:$V$2,0)))*$K230)</f>
        <v/>
      </c>
      <c r="R230" s="157" t="str" cm="1">
        <f t="array" ref="R230">IF(OR($E230="",$I230=""),"",(INDEX('Emission factors'!$K$3:$V$201,MATCH('Buildings - Grid Electricity'!$E230&amp;$F230,'Emission factors'!$J$3:$J$201&amp;'Emission factors'!$K$3:$K$201,0),MATCH('Buildings - Grid Electricity'!R$6,'Emission factors'!$K$2:$V$2,0)))*$K230)</f>
        <v/>
      </c>
      <c r="S230" s="157" t="str" cm="1">
        <f t="array" ref="S230">IF(OR($E230="",$I230=""),"",(INDEX('Emission factors'!$K$3:$V$201,MATCH('Buildings - Grid Electricity'!$E230&amp;$F230,'Emission factors'!$J$3:$J$201&amp;'Emission factors'!$K$3:$K$201,0),MATCH('Buildings - Grid Electricity'!S$6,'Emission factors'!$K$2:$V$2,0)))*$K230)</f>
        <v/>
      </c>
      <c r="T230" s="157" t="str" cm="1">
        <f t="array" ref="T230">IF(OR($E230="",$I230=""),"",(INDEX('Emission factors'!$K$3:$V$201,MATCH('Buildings - Grid Electricity'!$E230&amp;$F230,'Emission factors'!$J$3:$J$201&amp;'Emission factors'!$K$3:$K$201,0),MATCH('Buildings - Grid Electricity'!T$6,'Emission factors'!$K$2:$V$2,0)))*$K230)</f>
        <v/>
      </c>
      <c r="U230" s="157" t="str" cm="1">
        <f t="array" ref="U230">IF(OR($E230="",$I230=""),"",(INDEX('Emission factors'!$K$3:$V$201,MATCH('Buildings - Grid Electricity'!$E230&amp;$F230,'Emission factors'!$J$3:$J$201&amp;'Emission factors'!$K$3:$K$201,0),MATCH('Buildings - Grid Electricity'!U$6,'Emission factors'!$K$2:$V$2,0)))*$K230)</f>
        <v/>
      </c>
      <c r="V230" s="269" t="str">
        <f>IF(OR($N230="",BuildingsElectricityTable[[#This Row],[RSD]]=""),"",BuildingsElectricityTable[[#This Row],[Total emissions (kgCO2e)]]*(1+BuildingsElectricityTable[[#This Row],[RSD]]))</f>
        <v/>
      </c>
      <c r="W230" s="270" t="str">
        <f>IF(OR($N230="",BuildingsElectricityTable[[#This Row],[RSD]]=""),"",BuildingsElectricityTable[[#This Row],[Total emissions (kgCO2e)]]*(1-BuildingsElectricityTable[[#This Row],[RSD]]))</f>
        <v/>
      </c>
      <c r="X230" s="271" t="str" cm="1">
        <f t="array" ref="X230">IF(OR($E230="",$I230=""),"",(INDEX('Emission factors'!$K$3:$V$201,MATCH('Buildings - Grid Electricity'!$E230&amp;$F230,'Emission factors'!$J$3:$J$201&amp;'Emission factors'!$K$3:$K$201,0),MATCH('Buildings - Grid Electricity'!X$6,'Emission factors'!$K$2:$V$2,0)))*$K230)</f>
        <v/>
      </c>
      <c r="Y230" s="30"/>
      <c r="Z230" s="1" cm="1">
        <f t="array" ref="Z230">IF(OR(ISERROR(B230:X230)),1,0)</f>
        <v>0</v>
      </c>
      <c r="AA230" s="1">
        <f t="shared" si="17"/>
        <v>0</v>
      </c>
    </row>
    <row r="231" spans="1:27" ht="15" outlineLevel="1" thickBot="1" x14ac:dyDescent="0.4">
      <c r="A231" s="319"/>
      <c r="B231" s="216"/>
      <c r="C231" s="216"/>
      <c r="D231" s="489" t="str">
        <f>IFERROR(INDEX(BuildingInformationTable[Site type],MATCH(BuildingsElectricityTable[[#This Row],[Site name]],BuildingInformationTable[Site name],0)),"")</f>
        <v/>
      </c>
      <c r="E231" s="490" t="str">
        <f t="shared" si="18"/>
        <v/>
      </c>
      <c r="F231" s="490" t="str">
        <f t="shared" si="19"/>
        <v/>
      </c>
      <c r="G231" s="491"/>
      <c r="H231" s="492" t="str">
        <f>IF(G231="","",INDEX(Lists!$BA$4:$BC$31,MATCH(E231,Lists!$AZ$4:$AZ$31,0),MATCH(G231,Lists!$BA$3:$BC$3,0)))</f>
        <v/>
      </c>
      <c r="I231" s="267"/>
      <c r="J231" s="490" t="str">
        <f t="shared" si="20"/>
        <v/>
      </c>
      <c r="K231" s="493" t="str" cm="1">
        <f t="array" ref="K231">IF(OR($E231="",$D231="",$I231="",$J231=""),"",IF(J231=L231,I231,(INDEX('Emission factors'!$K$3:$V$201,MATCH(E231&amp;F231,'Emission factors'!$J$3:$J$201&amp;'Emission factors'!$K$3:$K$201,0),MATCH(K$6,'Emission factors'!$K$2:$V$2,0)))*I231))</f>
        <v/>
      </c>
      <c r="L231" s="494" t="str">
        <f>IF(OR($E231="",$D231="",$I231="",$J231=""),"",INDEX('Emission factors'!$K$3:$V$201,MATCH('Buildings - Grid Electricity'!$E231,'Emission factors'!$J$3:$J$201,0),MATCH($L$6,'Emission factors'!$K$2:$V$2,0)))</f>
        <v/>
      </c>
      <c r="M231" s="495" t="str" cm="1">
        <f t="array" ref="M231">IF(OR(E231="",I231="",BuildingsElectricityTable[[#This Row],[Units]]=""),"",INDEX('Emission factors'!$K$3:$V$201,MATCH('Buildings - Grid Electricity'!$E231&amp;F231,'Emission factors'!$J$3:$J$201&amp;'Emission factors'!$K$3:$K$201,0),MATCH('Buildings - Grid Electricity'!$M$6,'Emission factors'!$K$2:$V$2,0)))</f>
        <v/>
      </c>
      <c r="N231" s="496" t="str">
        <f>IF(OR(K231="",M231=""),"",SUM(BuildingsElectricityTable[[#This Row],[Direct]:[Indirect WTT]]))</f>
        <v/>
      </c>
      <c r="O231" s="268"/>
      <c r="P231" s="497"/>
      <c r="Q231" s="157" t="str" cm="1">
        <f t="array" ref="Q231">IF(OR($E231="",$I231=""),"",(INDEX('Emission factors'!$K$3:$V$201,MATCH('Buildings - Grid Electricity'!$E231&amp;$F231,'Emission factors'!$J$3:$J$201&amp;'Emission factors'!$K$3:$K$201,0),MATCH('Buildings - Grid Electricity'!Q$6,'Emission factors'!$K$2:$V$2,0)))*$K231)</f>
        <v/>
      </c>
      <c r="R231" s="157" t="str" cm="1">
        <f t="array" ref="R231">IF(OR($E231="",$I231=""),"",(INDEX('Emission factors'!$K$3:$V$201,MATCH('Buildings - Grid Electricity'!$E231&amp;$F231,'Emission factors'!$J$3:$J$201&amp;'Emission factors'!$K$3:$K$201,0),MATCH('Buildings - Grid Electricity'!R$6,'Emission factors'!$K$2:$V$2,0)))*$K231)</f>
        <v/>
      </c>
      <c r="S231" s="157" t="str" cm="1">
        <f t="array" ref="S231">IF(OR($E231="",$I231=""),"",(INDEX('Emission factors'!$K$3:$V$201,MATCH('Buildings - Grid Electricity'!$E231&amp;$F231,'Emission factors'!$J$3:$J$201&amp;'Emission factors'!$K$3:$K$201,0),MATCH('Buildings - Grid Electricity'!S$6,'Emission factors'!$K$2:$V$2,0)))*$K231)</f>
        <v/>
      </c>
      <c r="T231" s="157" t="str" cm="1">
        <f t="array" ref="T231">IF(OR($E231="",$I231=""),"",(INDEX('Emission factors'!$K$3:$V$201,MATCH('Buildings - Grid Electricity'!$E231&amp;$F231,'Emission factors'!$J$3:$J$201&amp;'Emission factors'!$K$3:$K$201,0),MATCH('Buildings - Grid Electricity'!T$6,'Emission factors'!$K$2:$V$2,0)))*$K231)</f>
        <v/>
      </c>
      <c r="U231" s="157" t="str" cm="1">
        <f t="array" ref="U231">IF(OR($E231="",$I231=""),"",(INDEX('Emission factors'!$K$3:$V$201,MATCH('Buildings - Grid Electricity'!$E231&amp;$F231,'Emission factors'!$J$3:$J$201&amp;'Emission factors'!$K$3:$K$201,0),MATCH('Buildings - Grid Electricity'!U$6,'Emission factors'!$K$2:$V$2,0)))*$K231)</f>
        <v/>
      </c>
      <c r="V231" s="269" t="str">
        <f>IF(OR($N231="",BuildingsElectricityTable[[#This Row],[RSD]]=""),"",BuildingsElectricityTable[[#This Row],[Total emissions (kgCO2e)]]*(1+BuildingsElectricityTable[[#This Row],[RSD]]))</f>
        <v/>
      </c>
      <c r="W231" s="270" t="str">
        <f>IF(OR($N231="",BuildingsElectricityTable[[#This Row],[RSD]]=""),"",BuildingsElectricityTable[[#This Row],[Total emissions (kgCO2e)]]*(1-BuildingsElectricityTable[[#This Row],[RSD]]))</f>
        <v/>
      </c>
      <c r="X231" s="271" t="str" cm="1">
        <f t="array" ref="X231">IF(OR($E231="",$I231=""),"",(INDEX('Emission factors'!$K$3:$V$201,MATCH('Buildings - Grid Electricity'!$E231&amp;$F231,'Emission factors'!$J$3:$J$201&amp;'Emission factors'!$K$3:$K$201,0),MATCH('Buildings - Grid Electricity'!X$6,'Emission factors'!$K$2:$V$2,0)))*$K231)</f>
        <v/>
      </c>
      <c r="Y231" s="30"/>
      <c r="Z231" s="1" cm="1">
        <f t="array" ref="Z231">IF(OR(ISERROR(B231:X231)),1,0)</f>
        <v>0</v>
      </c>
      <c r="AA231" s="1">
        <f t="shared" si="17"/>
        <v>0</v>
      </c>
    </row>
    <row r="232" spans="1:27" ht="15" outlineLevel="1" thickBot="1" x14ac:dyDescent="0.4">
      <c r="A232" s="319"/>
      <c r="B232" s="216"/>
      <c r="C232" s="216"/>
      <c r="D232" s="489" t="str">
        <f>IFERROR(INDEX(BuildingInformationTable[Site type],MATCH(BuildingsElectricityTable[[#This Row],[Site name]],BuildingInformationTable[Site name],0)),"")</f>
        <v/>
      </c>
      <c r="E232" s="490" t="str">
        <f t="shared" si="18"/>
        <v/>
      </c>
      <c r="F232" s="490" t="str">
        <f t="shared" si="19"/>
        <v/>
      </c>
      <c r="G232" s="491"/>
      <c r="H232" s="492" t="str">
        <f>IF(G232="","",INDEX(Lists!$BA$4:$BC$31,MATCH(E232,Lists!$AZ$4:$AZ$31,0),MATCH(G232,Lists!$BA$3:$BC$3,0)))</f>
        <v/>
      </c>
      <c r="I232" s="267"/>
      <c r="J232" s="490" t="str">
        <f t="shared" si="20"/>
        <v/>
      </c>
      <c r="K232" s="493" t="str" cm="1">
        <f t="array" ref="K232">IF(OR($E232="",$D232="",$I232="",$J232=""),"",IF(J232=L232,I232,(INDEX('Emission factors'!$K$3:$V$201,MATCH(E232&amp;F232,'Emission factors'!$J$3:$J$201&amp;'Emission factors'!$K$3:$K$201,0),MATCH(K$6,'Emission factors'!$K$2:$V$2,0)))*I232))</f>
        <v/>
      </c>
      <c r="L232" s="494" t="str">
        <f>IF(OR($E232="",$D232="",$I232="",$J232=""),"",INDEX('Emission factors'!$K$3:$V$201,MATCH('Buildings - Grid Electricity'!$E232,'Emission factors'!$J$3:$J$201,0),MATCH($L$6,'Emission factors'!$K$2:$V$2,0)))</f>
        <v/>
      </c>
      <c r="M232" s="495" t="str" cm="1">
        <f t="array" ref="M232">IF(OR(E232="",I232="",BuildingsElectricityTable[[#This Row],[Units]]=""),"",INDEX('Emission factors'!$K$3:$V$201,MATCH('Buildings - Grid Electricity'!$E232&amp;F232,'Emission factors'!$J$3:$J$201&amp;'Emission factors'!$K$3:$K$201,0),MATCH('Buildings - Grid Electricity'!$M$6,'Emission factors'!$K$2:$V$2,0)))</f>
        <v/>
      </c>
      <c r="N232" s="496" t="str">
        <f>IF(OR(K232="",M232=""),"",SUM(BuildingsElectricityTable[[#This Row],[Direct]:[Indirect WTT]]))</f>
        <v/>
      </c>
      <c r="O232" s="268"/>
      <c r="P232" s="497"/>
      <c r="Q232" s="157" t="str" cm="1">
        <f t="array" ref="Q232">IF(OR($E232="",$I232=""),"",(INDEX('Emission factors'!$K$3:$V$201,MATCH('Buildings - Grid Electricity'!$E232&amp;$F232,'Emission factors'!$J$3:$J$201&amp;'Emission factors'!$K$3:$K$201,0),MATCH('Buildings - Grid Electricity'!Q$6,'Emission factors'!$K$2:$V$2,0)))*$K232)</f>
        <v/>
      </c>
      <c r="R232" s="157" t="str" cm="1">
        <f t="array" ref="R232">IF(OR($E232="",$I232=""),"",(INDEX('Emission factors'!$K$3:$V$201,MATCH('Buildings - Grid Electricity'!$E232&amp;$F232,'Emission factors'!$J$3:$J$201&amp;'Emission factors'!$K$3:$K$201,0),MATCH('Buildings - Grid Electricity'!R$6,'Emission factors'!$K$2:$V$2,0)))*$K232)</f>
        <v/>
      </c>
      <c r="S232" s="157" t="str" cm="1">
        <f t="array" ref="S232">IF(OR($E232="",$I232=""),"",(INDEX('Emission factors'!$K$3:$V$201,MATCH('Buildings - Grid Electricity'!$E232&amp;$F232,'Emission factors'!$J$3:$J$201&amp;'Emission factors'!$K$3:$K$201,0),MATCH('Buildings - Grid Electricity'!S$6,'Emission factors'!$K$2:$V$2,0)))*$K232)</f>
        <v/>
      </c>
      <c r="T232" s="157" t="str" cm="1">
        <f t="array" ref="T232">IF(OR($E232="",$I232=""),"",(INDEX('Emission factors'!$K$3:$V$201,MATCH('Buildings - Grid Electricity'!$E232&amp;$F232,'Emission factors'!$J$3:$J$201&amp;'Emission factors'!$K$3:$K$201,0),MATCH('Buildings - Grid Electricity'!T$6,'Emission factors'!$K$2:$V$2,0)))*$K232)</f>
        <v/>
      </c>
      <c r="U232" s="157" t="str" cm="1">
        <f t="array" ref="U232">IF(OR($E232="",$I232=""),"",(INDEX('Emission factors'!$K$3:$V$201,MATCH('Buildings - Grid Electricity'!$E232&amp;$F232,'Emission factors'!$J$3:$J$201&amp;'Emission factors'!$K$3:$K$201,0),MATCH('Buildings - Grid Electricity'!U$6,'Emission factors'!$K$2:$V$2,0)))*$K232)</f>
        <v/>
      </c>
      <c r="V232" s="269" t="str">
        <f>IF(OR($N232="",BuildingsElectricityTable[[#This Row],[RSD]]=""),"",BuildingsElectricityTable[[#This Row],[Total emissions (kgCO2e)]]*(1+BuildingsElectricityTable[[#This Row],[RSD]]))</f>
        <v/>
      </c>
      <c r="W232" s="270" t="str">
        <f>IF(OR($N232="",BuildingsElectricityTable[[#This Row],[RSD]]=""),"",BuildingsElectricityTable[[#This Row],[Total emissions (kgCO2e)]]*(1-BuildingsElectricityTable[[#This Row],[RSD]]))</f>
        <v/>
      </c>
      <c r="X232" s="271" t="str" cm="1">
        <f t="array" ref="X232">IF(OR($E232="",$I232=""),"",(INDEX('Emission factors'!$K$3:$V$201,MATCH('Buildings - Grid Electricity'!$E232&amp;$F232,'Emission factors'!$J$3:$J$201&amp;'Emission factors'!$K$3:$K$201,0),MATCH('Buildings - Grid Electricity'!X$6,'Emission factors'!$K$2:$V$2,0)))*$K232)</f>
        <v/>
      </c>
      <c r="Y232" s="30"/>
      <c r="Z232" s="1" cm="1">
        <f t="array" ref="Z232">IF(OR(ISERROR(B232:X232)),1,0)</f>
        <v>0</v>
      </c>
      <c r="AA232" s="1">
        <f t="shared" si="17"/>
        <v>0</v>
      </c>
    </row>
    <row r="233" spans="1:27" ht="15" outlineLevel="1" thickBot="1" x14ac:dyDescent="0.4">
      <c r="A233" s="319"/>
      <c r="B233" s="216"/>
      <c r="C233" s="216"/>
      <c r="D233" s="489" t="str">
        <f>IFERROR(INDEX(BuildingInformationTable[Site type],MATCH(BuildingsElectricityTable[[#This Row],[Site name]],BuildingInformationTable[Site name],0)),"")</f>
        <v/>
      </c>
      <c r="E233" s="490" t="str">
        <f t="shared" si="18"/>
        <v/>
      </c>
      <c r="F233" s="490" t="str">
        <f t="shared" si="19"/>
        <v/>
      </c>
      <c r="G233" s="491"/>
      <c r="H233" s="492" t="str">
        <f>IF(G233="","",INDEX(Lists!$BA$4:$BC$31,MATCH(E233,Lists!$AZ$4:$AZ$31,0),MATCH(G233,Lists!$BA$3:$BC$3,0)))</f>
        <v/>
      </c>
      <c r="I233" s="267"/>
      <c r="J233" s="490" t="str">
        <f t="shared" si="20"/>
        <v/>
      </c>
      <c r="K233" s="493" t="str" cm="1">
        <f t="array" ref="K233">IF(OR($E233="",$D233="",$I233="",$J233=""),"",IF(J233=L233,I233,(INDEX('Emission factors'!$K$3:$V$201,MATCH(E233&amp;F233,'Emission factors'!$J$3:$J$201&amp;'Emission factors'!$K$3:$K$201,0),MATCH(K$6,'Emission factors'!$K$2:$V$2,0)))*I233))</f>
        <v/>
      </c>
      <c r="L233" s="494" t="str">
        <f>IF(OR($E233="",$D233="",$I233="",$J233=""),"",INDEX('Emission factors'!$K$3:$V$201,MATCH('Buildings - Grid Electricity'!$E233,'Emission factors'!$J$3:$J$201,0),MATCH($L$6,'Emission factors'!$K$2:$V$2,0)))</f>
        <v/>
      </c>
      <c r="M233" s="495" t="str" cm="1">
        <f t="array" ref="M233">IF(OR(E233="",I233="",BuildingsElectricityTable[[#This Row],[Units]]=""),"",INDEX('Emission factors'!$K$3:$V$201,MATCH('Buildings - Grid Electricity'!$E233&amp;F233,'Emission factors'!$J$3:$J$201&amp;'Emission factors'!$K$3:$K$201,0),MATCH('Buildings - Grid Electricity'!$M$6,'Emission factors'!$K$2:$V$2,0)))</f>
        <v/>
      </c>
      <c r="N233" s="496" t="str">
        <f>IF(OR(K233="",M233=""),"",SUM(BuildingsElectricityTable[[#This Row],[Direct]:[Indirect WTT]]))</f>
        <v/>
      </c>
      <c r="O233" s="268"/>
      <c r="P233" s="497"/>
      <c r="Q233" s="157" t="str" cm="1">
        <f t="array" ref="Q233">IF(OR($E233="",$I233=""),"",(INDEX('Emission factors'!$K$3:$V$201,MATCH('Buildings - Grid Electricity'!$E233&amp;$F233,'Emission factors'!$J$3:$J$201&amp;'Emission factors'!$K$3:$K$201,0),MATCH('Buildings - Grid Electricity'!Q$6,'Emission factors'!$K$2:$V$2,0)))*$K233)</f>
        <v/>
      </c>
      <c r="R233" s="157" t="str" cm="1">
        <f t="array" ref="R233">IF(OR($E233="",$I233=""),"",(INDEX('Emission factors'!$K$3:$V$201,MATCH('Buildings - Grid Electricity'!$E233&amp;$F233,'Emission factors'!$J$3:$J$201&amp;'Emission factors'!$K$3:$K$201,0),MATCH('Buildings - Grid Electricity'!R$6,'Emission factors'!$K$2:$V$2,0)))*$K233)</f>
        <v/>
      </c>
      <c r="S233" s="157" t="str" cm="1">
        <f t="array" ref="S233">IF(OR($E233="",$I233=""),"",(INDEX('Emission factors'!$K$3:$V$201,MATCH('Buildings - Grid Electricity'!$E233&amp;$F233,'Emission factors'!$J$3:$J$201&amp;'Emission factors'!$K$3:$K$201,0),MATCH('Buildings - Grid Electricity'!S$6,'Emission factors'!$K$2:$V$2,0)))*$K233)</f>
        <v/>
      </c>
      <c r="T233" s="157" t="str" cm="1">
        <f t="array" ref="T233">IF(OR($E233="",$I233=""),"",(INDEX('Emission factors'!$K$3:$V$201,MATCH('Buildings - Grid Electricity'!$E233&amp;$F233,'Emission factors'!$J$3:$J$201&amp;'Emission factors'!$K$3:$K$201,0),MATCH('Buildings - Grid Electricity'!T$6,'Emission factors'!$K$2:$V$2,0)))*$K233)</f>
        <v/>
      </c>
      <c r="U233" s="157" t="str" cm="1">
        <f t="array" ref="U233">IF(OR($E233="",$I233=""),"",(INDEX('Emission factors'!$K$3:$V$201,MATCH('Buildings - Grid Electricity'!$E233&amp;$F233,'Emission factors'!$J$3:$J$201&amp;'Emission factors'!$K$3:$K$201,0),MATCH('Buildings - Grid Electricity'!U$6,'Emission factors'!$K$2:$V$2,0)))*$K233)</f>
        <v/>
      </c>
      <c r="V233" s="269" t="str">
        <f>IF(OR($N233="",BuildingsElectricityTable[[#This Row],[RSD]]=""),"",BuildingsElectricityTable[[#This Row],[Total emissions (kgCO2e)]]*(1+BuildingsElectricityTable[[#This Row],[RSD]]))</f>
        <v/>
      </c>
      <c r="W233" s="270" t="str">
        <f>IF(OR($N233="",BuildingsElectricityTable[[#This Row],[RSD]]=""),"",BuildingsElectricityTable[[#This Row],[Total emissions (kgCO2e)]]*(1-BuildingsElectricityTable[[#This Row],[RSD]]))</f>
        <v/>
      </c>
      <c r="X233" s="271" t="str" cm="1">
        <f t="array" ref="X233">IF(OR($E233="",$I233=""),"",(INDEX('Emission factors'!$K$3:$V$201,MATCH('Buildings - Grid Electricity'!$E233&amp;$F233,'Emission factors'!$J$3:$J$201&amp;'Emission factors'!$K$3:$K$201,0),MATCH('Buildings - Grid Electricity'!X$6,'Emission factors'!$K$2:$V$2,0)))*$K233)</f>
        <v/>
      </c>
      <c r="Y233" s="30"/>
      <c r="Z233" s="1" cm="1">
        <f t="array" ref="Z233">IF(OR(ISERROR(B233:X233)),1,0)</f>
        <v>0</v>
      </c>
      <c r="AA233" s="1">
        <f t="shared" si="17"/>
        <v>0</v>
      </c>
    </row>
    <row r="234" spans="1:27" ht="15" outlineLevel="1" thickBot="1" x14ac:dyDescent="0.4">
      <c r="A234" s="319"/>
      <c r="B234" s="216"/>
      <c r="C234" s="216"/>
      <c r="D234" s="489" t="str">
        <f>IFERROR(INDEX(BuildingInformationTable[Site type],MATCH(BuildingsElectricityTable[[#This Row],[Site name]],BuildingInformationTable[Site name],0)),"")</f>
        <v/>
      </c>
      <c r="E234" s="490" t="str">
        <f t="shared" si="18"/>
        <v/>
      </c>
      <c r="F234" s="490" t="str">
        <f t="shared" si="19"/>
        <v/>
      </c>
      <c r="G234" s="491"/>
      <c r="H234" s="492" t="str">
        <f>IF(G234="","",INDEX(Lists!$BA$4:$BC$31,MATCH(E234,Lists!$AZ$4:$AZ$31,0),MATCH(G234,Lists!$BA$3:$BC$3,0)))</f>
        <v/>
      </c>
      <c r="I234" s="267"/>
      <c r="J234" s="490" t="str">
        <f t="shared" si="20"/>
        <v/>
      </c>
      <c r="K234" s="493" t="str" cm="1">
        <f t="array" ref="K234">IF(OR($E234="",$D234="",$I234="",$J234=""),"",IF(J234=L234,I234,(INDEX('Emission factors'!$K$3:$V$201,MATCH(E234&amp;F234,'Emission factors'!$J$3:$J$201&amp;'Emission factors'!$K$3:$K$201,0),MATCH(K$6,'Emission factors'!$K$2:$V$2,0)))*I234))</f>
        <v/>
      </c>
      <c r="L234" s="494" t="str">
        <f>IF(OR($E234="",$D234="",$I234="",$J234=""),"",INDEX('Emission factors'!$K$3:$V$201,MATCH('Buildings - Grid Electricity'!$E234,'Emission factors'!$J$3:$J$201,0),MATCH($L$6,'Emission factors'!$K$2:$V$2,0)))</f>
        <v/>
      </c>
      <c r="M234" s="495" t="str" cm="1">
        <f t="array" ref="M234">IF(OR(E234="",I234="",BuildingsElectricityTable[[#This Row],[Units]]=""),"",INDEX('Emission factors'!$K$3:$V$201,MATCH('Buildings - Grid Electricity'!$E234&amp;F234,'Emission factors'!$J$3:$J$201&amp;'Emission factors'!$K$3:$K$201,0),MATCH('Buildings - Grid Electricity'!$M$6,'Emission factors'!$K$2:$V$2,0)))</f>
        <v/>
      </c>
      <c r="N234" s="496" t="str">
        <f>IF(OR(K234="",M234=""),"",SUM(BuildingsElectricityTable[[#This Row],[Direct]:[Indirect WTT]]))</f>
        <v/>
      </c>
      <c r="O234" s="268"/>
      <c r="P234" s="497"/>
      <c r="Q234" s="157" t="str" cm="1">
        <f t="array" ref="Q234">IF(OR($E234="",$I234=""),"",(INDEX('Emission factors'!$K$3:$V$201,MATCH('Buildings - Grid Electricity'!$E234&amp;$F234,'Emission factors'!$J$3:$J$201&amp;'Emission factors'!$K$3:$K$201,0),MATCH('Buildings - Grid Electricity'!Q$6,'Emission factors'!$K$2:$V$2,0)))*$K234)</f>
        <v/>
      </c>
      <c r="R234" s="157" t="str" cm="1">
        <f t="array" ref="R234">IF(OR($E234="",$I234=""),"",(INDEX('Emission factors'!$K$3:$V$201,MATCH('Buildings - Grid Electricity'!$E234&amp;$F234,'Emission factors'!$J$3:$J$201&amp;'Emission factors'!$K$3:$K$201,0),MATCH('Buildings - Grid Electricity'!R$6,'Emission factors'!$K$2:$V$2,0)))*$K234)</f>
        <v/>
      </c>
      <c r="S234" s="157" t="str" cm="1">
        <f t="array" ref="S234">IF(OR($E234="",$I234=""),"",(INDEX('Emission factors'!$K$3:$V$201,MATCH('Buildings - Grid Electricity'!$E234&amp;$F234,'Emission factors'!$J$3:$J$201&amp;'Emission factors'!$K$3:$K$201,0),MATCH('Buildings - Grid Electricity'!S$6,'Emission factors'!$K$2:$V$2,0)))*$K234)</f>
        <v/>
      </c>
      <c r="T234" s="157" t="str" cm="1">
        <f t="array" ref="T234">IF(OR($E234="",$I234=""),"",(INDEX('Emission factors'!$K$3:$V$201,MATCH('Buildings - Grid Electricity'!$E234&amp;$F234,'Emission factors'!$J$3:$J$201&amp;'Emission factors'!$K$3:$K$201,0),MATCH('Buildings - Grid Electricity'!T$6,'Emission factors'!$K$2:$V$2,0)))*$K234)</f>
        <v/>
      </c>
      <c r="U234" s="157" t="str" cm="1">
        <f t="array" ref="U234">IF(OR($E234="",$I234=""),"",(INDEX('Emission factors'!$K$3:$V$201,MATCH('Buildings - Grid Electricity'!$E234&amp;$F234,'Emission factors'!$J$3:$J$201&amp;'Emission factors'!$K$3:$K$201,0),MATCH('Buildings - Grid Electricity'!U$6,'Emission factors'!$K$2:$V$2,0)))*$K234)</f>
        <v/>
      </c>
      <c r="V234" s="269" t="str">
        <f>IF(OR($N234="",BuildingsElectricityTable[[#This Row],[RSD]]=""),"",BuildingsElectricityTable[[#This Row],[Total emissions (kgCO2e)]]*(1+BuildingsElectricityTable[[#This Row],[RSD]]))</f>
        <v/>
      </c>
      <c r="W234" s="270" t="str">
        <f>IF(OR($N234="",BuildingsElectricityTable[[#This Row],[RSD]]=""),"",BuildingsElectricityTable[[#This Row],[Total emissions (kgCO2e)]]*(1-BuildingsElectricityTable[[#This Row],[RSD]]))</f>
        <v/>
      </c>
      <c r="X234" s="271" t="str" cm="1">
        <f t="array" ref="X234">IF(OR($E234="",$I234=""),"",(INDEX('Emission factors'!$K$3:$V$201,MATCH('Buildings - Grid Electricity'!$E234&amp;$F234,'Emission factors'!$J$3:$J$201&amp;'Emission factors'!$K$3:$K$201,0),MATCH('Buildings - Grid Electricity'!X$6,'Emission factors'!$K$2:$V$2,0)))*$K234)</f>
        <v/>
      </c>
      <c r="Y234" s="30"/>
      <c r="Z234" s="1" cm="1">
        <f t="array" ref="Z234">IF(OR(ISERROR(B234:X234)),1,0)</f>
        <v>0</v>
      </c>
      <c r="AA234" s="1">
        <f t="shared" si="17"/>
        <v>0</v>
      </c>
    </row>
    <row r="235" spans="1:27" ht="15" outlineLevel="1" thickBot="1" x14ac:dyDescent="0.4">
      <c r="A235" s="319"/>
      <c r="B235" s="216"/>
      <c r="C235" s="216"/>
      <c r="D235" s="489" t="str">
        <f>IFERROR(INDEX(BuildingInformationTable[Site type],MATCH(BuildingsElectricityTable[[#This Row],[Site name]],BuildingInformationTable[Site name],0)),"")</f>
        <v/>
      </c>
      <c r="E235" s="490" t="str">
        <f t="shared" si="18"/>
        <v/>
      </c>
      <c r="F235" s="490" t="str">
        <f t="shared" si="19"/>
        <v/>
      </c>
      <c r="G235" s="491"/>
      <c r="H235" s="492" t="str">
        <f>IF(G235="","",INDEX(Lists!$BA$4:$BC$31,MATCH(E235,Lists!$AZ$4:$AZ$31,0),MATCH(G235,Lists!$BA$3:$BC$3,0)))</f>
        <v/>
      </c>
      <c r="I235" s="267"/>
      <c r="J235" s="490" t="str">
        <f t="shared" si="20"/>
        <v/>
      </c>
      <c r="K235" s="493" t="str" cm="1">
        <f t="array" ref="K235">IF(OR($E235="",$D235="",$I235="",$J235=""),"",IF(J235=L235,I235,(INDEX('Emission factors'!$K$3:$V$201,MATCH(E235&amp;F235,'Emission factors'!$J$3:$J$201&amp;'Emission factors'!$K$3:$K$201,0),MATCH(K$6,'Emission factors'!$K$2:$V$2,0)))*I235))</f>
        <v/>
      </c>
      <c r="L235" s="494" t="str">
        <f>IF(OR($E235="",$D235="",$I235="",$J235=""),"",INDEX('Emission factors'!$K$3:$V$201,MATCH('Buildings - Grid Electricity'!$E235,'Emission factors'!$J$3:$J$201,0),MATCH($L$6,'Emission factors'!$K$2:$V$2,0)))</f>
        <v/>
      </c>
      <c r="M235" s="495" t="str" cm="1">
        <f t="array" ref="M235">IF(OR(E235="",I235="",BuildingsElectricityTable[[#This Row],[Units]]=""),"",INDEX('Emission factors'!$K$3:$V$201,MATCH('Buildings - Grid Electricity'!$E235&amp;F235,'Emission factors'!$J$3:$J$201&amp;'Emission factors'!$K$3:$K$201,0),MATCH('Buildings - Grid Electricity'!$M$6,'Emission factors'!$K$2:$V$2,0)))</f>
        <v/>
      </c>
      <c r="N235" s="496" t="str">
        <f>IF(OR(K235="",M235=""),"",SUM(BuildingsElectricityTable[[#This Row],[Direct]:[Indirect WTT]]))</f>
        <v/>
      </c>
      <c r="O235" s="268"/>
      <c r="P235" s="497"/>
      <c r="Q235" s="157" t="str" cm="1">
        <f t="array" ref="Q235">IF(OR($E235="",$I235=""),"",(INDEX('Emission factors'!$K$3:$V$201,MATCH('Buildings - Grid Electricity'!$E235&amp;$F235,'Emission factors'!$J$3:$J$201&amp;'Emission factors'!$K$3:$K$201,0),MATCH('Buildings - Grid Electricity'!Q$6,'Emission factors'!$K$2:$V$2,0)))*$K235)</f>
        <v/>
      </c>
      <c r="R235" s="157" t="str" cm="1">
        <f t="array" ref="R235">IF(OR($E235="",$I235=""),"",(INDEX('Emission factors'!$K$3:$V$201,MATCH('Buildings - Grid Electricity'!$E235&amp;$F235,'Emission factors'!$J$3:$J$201&amp;'Emission factors'!$K$3:$K$201,0),MATCH('Buildings - Grid Electricity'!R$6,'Emission factors'!$K$2:$V$2,0)))*$K235)</f>
        <v/>
      </c>
      <c r="S235" s="157" t="str" cm="1">
        <f t="array" ref="S235">IF(OR($E235="",$I235=""),"",(INDEX('Emission factors'!$K$3:$V$201,MATCH('Buildings - Grid Electricity'!$E235&amp;$F235,'Emission factors'!$J$3:$J$201&amp;'Emission factors'!$K$3:$K$201,0),MATCH('Buildings - Grid Electricity'!S$6,'Emission factors'!$K$2:$V$2,0)))*$K235)</f>
        <v/>
      </c>
      <c r="T235" s="157" t="str" cm="1">
        <f t="array" ref="T235">IF(OR($E235="",$I235=""),"",(INDEX('Emission factors'!$K$3:$V$201,MATCH('Buildings - Grid Electricity'!$E235&amp;$F235,'Emission factors'!$J$3:$J$201&amp;'Emission factors'!$K$3:$K$201,0),MATCH('Buildings - Grid Electricity'!T$6,'Emission factors'!$K$2:$V$2,0)))*$K235)</f>
        <v/>
      </c>
      <c r="U235" s="157" t="str" cm="1">
        <f t="array" ref="U235">IF(OR($E235="",$I235=""),"",(INDEX('Emission factors'!$K$3:$V$201,MATCH('Buildings - Grid Electricity'!$E235&amp;$F235,'Emission factors'!$J$3:$J$201&amp;'Emission factors'!$K$3:$K$201,0),MATCH('Buildings - Grid Electricity'!U$6,'Emission factors'!$K$2:$V$2,0)))*$K235)</f>
        <v/>
      </c>
      <c r="V235" s="269" t="str">
        <f>IF(OR($N235="",BuildingsElectricityTable[[#This Row],[RSD]]=""),"",BuildingsElectricityTable[[#This Row],[Total emissions (kgCO2e)]]*(1+BuildingsElectricityTable[[#This Row],[RSD]]))</f>
        <v/>
      </c>
      <c r="W235" s="270" t="str">
        <f>IF(OR($N235="",BuildingsElectricityTable[[#This Row],[RSD]]=""),"",BuildingsElectricityTable[[#This Row],[Total emissions (kgCO2e)]]*(1-BuildingsElectricityTable[[#This Row],[RSD]]))</f>
        <v/>
      </c>
      <c r="X235" s="271" t="str" cm="1">
        <f t="array" ref="X235">IF(OR($E235="",$I235=""),"",(INDEX('Emission factors'!$K$3:$V$201,MATCH('Buildings - Grid Electricity'!$E235&amp;$F235,'Emission factors'!$J$3:$J$201&amp;'Emission factors'!$K$3:$K$201,0),MATCH('Buildings - Grid Electricity'!X$6,'Emission factors'!$K$2:$V$2,0)))*$K235)</f>
        <v/>
      </c>
      <c r="Y235" s="30"/>
      <c r="Z235" s="1" cm="1">
        <f t="array" ref="Z235">IF(OR(ISERROR(B235:X235)),1,0)</f>
        <v>0</v>
      </c>
      <c r="AA235" s="1">
        <f t="shared" si="17"/>
        <v>0</v>
      </c>
    </row>
    <row r="236" spans="1:27" ht="15" outlineLevel="1" thickBot="1" x14ac:dyDescent="0.4">
      <c r="A236" s="319"/>
      <c r="B236" s="216"/>
      <c r="C236" s="216"/>
      <c r="D236" s="489" t="str">
        <f>IFERROR(INDEX(BuildingInformationTable[Site type],MATCH(BuildingsElectricityTable[[#This Row],[Site name]],BuildingInformationTable[Site name],0)),"")</f>
        <v/>
      </c>
      <c r="E236" s="490" t="str">
        <f t="shared" si="18"/>
        <v/>
      </c>
      <c r="F236" s="490" t="str">
        <f t="shared" si="19"/>
        <v/>
      </c>
      <c r="G236" s="491"/>
      <c r="H236" s="492" t="str">
        <f>IF(G236="","",INDEX(Lists!$BA$4:$BC$31,MATCH(E236,Lists!$AZ$4:$AZ$31,0),MATCH(G236,Lists!$BA$3:$BC$3,0)))</f>
        <v/>
      </c>
      <c r="I236" s="267"/>
      <c r="J236" s="490" t="str">
        <f t="shared" si="20"/>
        <v/>
      </c>
      <c r="K236" s="493" t="str" cm="1">
        <f t="array" ref="K236">IF(OR($E236="",$D236="",$I236="",$J236=""),"",IF(J236=L236,I236,(INDEX('Emission factors'!$K$3:$V$201,MATCH(E236&amp;F236,'Emission factors'!$J$3:$J$201&amp;'Emission factors'!$K$3:$K$201,0),MATCH(K$6,'Emission factors'!$K$2:$V$2,0)))*I236))</f>
        <v/>
      </c>
      <c r="L236" s="494" t="str">
        <f>IF(OR($E236="",$D236="",$I236="",$J236=""),"",INDEX('Emission factors'!$K$3:$V$201,MATCH('Buildings - Grid Electricity'!$E236,'Emission factors'!$J$3:$J$201,0),MATCH($L$6,'Emission factors'!$K$2:$V$2,0)))</f>
        <v/>
      </c>
      <c r="M236" s="495" t="str" cm="1">
        <f t="array" ref="M236">IF(OR(E236="",I236="",BuildingsElectricityTable[[#This Row],[Units]]=""),"",INDEX('Emission factors'!$K$3:$V$201,MATCH('Buildings - Grid Electricity'!$E236&amp;F236,'Emission factors'!$J$3:$J$201&amp;'Emission factors'!$K$3:$K$201,0),MATCH('Buildings - Grid Electricity'!$M$6,'Emission factors'!$K$2:$V$2,0)))</f>
        <v/>
      </c>
      <c r="N236" s="496" t="str">
        <f>IF(OR(K236="",M236=""),"",SUM(BuildingsElectricityTable[[#This Row],[Direct]:[Indirect WTT]]))</f>
        <v/>
      </c>
      <c r="O236" s="268"/>
      <c r="P236" s="497"/>
      <c r="Q236" s="157" t="str" cm="1">
        <f t="array" ref="Q236">IF(OR($E236="",$I236=""),"",(INDEX('Emission factors'!$K$3:$V$201,MATCH('Buildings - Grid Electricity'!$E236&amp;$F236,'Emission factors'!$J$3:$J$201&amp;'Emission factors'!$K$3:$K$201,0),MATCH('Buildings - Grid Electricity'!Q$6,'Emission factors'!$K$2:$V$2,0)))*$K236)</f>
        <v/>
      </c>
      <c r="R236" s="157" t="str" cm="1">
        <f t="array" ref="R236">IF(OR($E236="",$I236=""),"",(INDEX('Emission factors'!$K$3:$V$201,MATCH('Buildings - Grid Electricity'!$E236&amp;$F236,'Emission factors'!$J$3:$J$201&amp;'Emission factors'!$K$3:$K$201,0),MATCH('Buildings - Grid Electricity'!R$6,'Emission factors'!$K$2:$V$2,0)))*$K236)</f>
        <v/>
      </c>
      <c r="S236" s="157" t="str" cm="1">
        <f t="array" ref="S236">IF(OR($E236="",$I236=""),"",(INDEX('Emission factors'!$K$3:$V$201,MATCH('Buildings - Grid Electricity'!$E236&amp;$F236,'Emission factors'!$J$3:$J$201&amp;'Emission factors'!$K$3:$K$201,0),MATCH('Buildings - Grid Electricity'!S$6,'Emission factors'!$K$2:$V$2,0)))*$K236)</f>
        <v/>
      </c>
      <c r="T236" s="157" t="str" cm="1">
        <f t="array" ref="T236">IF(OR($E236="",$I236=""),"",(INDEX('Emission factors'!$K$3:$V$201,MATCH('Buildings - Grid Electricity'!$E236&amp;$F236,'Emission factors'!$J$3:$J$201&amp;'Emission factors'!$K$3:$K$201,0),MATCH('Buildings - Grid Electricity'!T$6,'Emission factors'!$K$2:$V$2,0)))*$K236)</f>
        <v/>
      </c>
      <c r="U236" s="157" t="str" cm="1">
        <f t="array" ref="U236">IF(OR($E236="",$I236=""),"",(INDEX('Emission factors'!$K$3:$V$201,MATCH('Buildings - Grid Electricity'!$E236&amp;$F236,'Emission factors'!$J$3:$J$201&amp;'Emission factors'!$K$3:$K$201,0),MATCH('Buildings - Grid Electricity'!U$6,'Emission factors'!$K$2:$V$2,0)))*$K236)</f>
        <v/>
      </c>
      <c r="V236" s="269" t="str">
        <f>IF(OR($N236="",BuildingsElectricityTable[[#This Row],[RSD]]=""),"",BuildingsElectricityTable[[#This Row],[Total emissions (kgCO2e)]]*(1+BuildingsElectricityTable[[#This Row],[RSD]]))</f>
        <v/>
      </c>
      <c r="W236" s="270" t="str">
        <f>IF(OR($N236="",BuildingsElectricityTable[[#This Row],[RSD]]=""),"",BuildingsElectricityTable[[#This Row],[Total emissions (kgCO2e)]]*(1-BuildingsElectricityTable[[#This Row],[RSD]]))</f>
        <v/>
      </c>
      <c r="X236" s="271" t="str" cm="1">
        <f t="array" ref="X236">IF(OR($E236="",$I236=""),"",(INDEX('Emission factors'!$K$3:$V$201,MATCH('Buildings - Grid Electricity'!$E236&amp;$F236,'Emission factors'!$J$3:$J$201&amp;'Emission factors'!$K$3:$K$201,0),MATCH('Buildings - Grid Electricity'!X$6,'Emission factors'!$K$2:$V$2,0)))*$K236)</f>
        <v/>
      </c>
      <c r="Y236" s="30"/>
      <c r="Z236" s="1" cm="1">
        <f t="array" ref="Z236">IF(OR(ISERROR(B236:X236)),1,0)</f>
        <v>0</v>
      </c>
      <c r="AA236" s="1">
        <f t="shared" si="17"/>
        <v>0</v>
      </c>
    </row>
    <row r="237" spans="1:27" ht="15" outlineLevel="1" thickBot="1" x14ac:dyDescent="0.4">
      <c r="A237" s="319"/>
      <c r="B237" s="216"/>
      <c r="C237" s="216"/>
      <c r="D237" s="489" t="str">
        <f>IFERROR(INDEX(BuildingInformationTable[Site type],MATCH(BuildingsElectricityTable[[#This Row],[Site name]],BuildingInformationTable[Site name],0)),"")</f>
        <v/>
      </c>
      <c r="E237" s="490" t="str">
        <f t="shared" si="18"/>
        <v/>
      </c>
      <c r="F237" s="490" t="str">
        <f t="shared" si="19"/>
        <v/>
      </c>
      <c r="G237" s="491"/>
      <c r="H237" s="492" t="str">
        <f>IF(G237="","",INDEX(Lists!$BA$4:$BC$31,MATCH(E237,Lists!$AZ$4:$AZ$31,0),MATCH(G237,Lists!$BA$3:$BC$3,0)))</f>
        <v/>
      </c>
      <c r="I237" s="267"/>
      <c r="J237" s="490" t="str">
        <f t="shared" si="20"/>
        <v/>
      </c>
      <c r="K237" s="493" t="str" cm="1">
        <f t="array" ref="K237">IF(OR($E237="",$D237="",$I237="",$J237=""),"",IF(J237=L237,I237,(INDEX('Emission factors'!$K$3:$V$201,MATCH(E237&amp;F237,'Emission factors'!$J$3:$J$201&amp;'Emission factors'!$K$3:$K$201,0),MATCH(K$6,'Emission factors'!$K$2:$V$2,0)))*I237))</f>
        <v/>
      </c>
      <c r="L237" s="494" t="str">
        <f>IF(OR($E237="",$D237="",$I237="",$J237=""),"",INDEX('Emission factors'!$K$3:$V$201,MATCH('Buildings - Grid Electricity'!$E237,'Emission factors'!$J$3:$J$201,0),MATCH($L$6,'Emission factors'!$K$2:$V$2,0)))</f>
        <v/>
      </c>
      <c r="M237" s="495" t="str" cm="1">
        <f t="array" ref="M237">IF(OR(E237="",I237="",BuildingsElectricityTable[[#This Row],[Units]]=""),"",INDEX('Emission factors'!$K$3:$V$201,MATCH('Buildings - Grid Electricity'!$E237&amp;F237,'Emission factors'!$J$3:$J$201&amp;'Emission factors'!$K$3:$K$201,0),MATCH('Buildings - Grid Electricity'!$M$6,'Emission factors'!$K$2:$V$2,0)))</f>
        <v/>
      </c>
      <c r="N237" s="496" t="str">
        <f>IF(OR(K237="",M237=""),"",SUM(BuildingsElectricityTable[[#This Row],[Direct]:[Indirect WTT]]))</f>
        <v/>
      </c>
      <c r="O237" s="268"/>
      <c r="P237" s="497"/>
      <c r="Q237" s="157" t="str" cm="1">
        <f t="array" ref="Q237">IF(OR($E237="",$I237=""),"",(INDEX('Emission factors'!$K$3:$V$201,MATCH('Buildings - Grid Electricity'!$E237&amp;$F237,'Emission factors'!$J$3:$J$201&amp;'Emission factors'!$K$3:$K$201,0),MATCH('Buildings - Grid Electricity'!Q$6,'Emission factors'!$K$2:$V$2,0)))*$K237)</f>
        <v/>
      </c>
      <c r="R237" s="157" t="str" cm="1">
        <f t="array" ref="R237">IF(OR($E237="",$I237=""),"",(INDEX('Emission factors'!$K$3:$V$201,MATCH('Buildings - Grid Electricity'!$E237&amp;$F237,'Emission factors'!$J$3:$J$201&amp;'Emission factors'!$K$3:$K$201,0),MATCH('Buildings - Grid Electricity'!R$6,'Emission factors'!$K$2:$V$2,0)))*$K237)</f>
        <v/>
      </c>
      <c r="S237" s="157" t="str" cm="1">
        <f t="array" ref="S237">IF(OR($E237="",$I237=""),"",(INDEX('Emission factors'!$K$3:$V$201,MATCH('Buildings - Grid Electricity'!$E237&amp;$F237,'Emission factors'!$J$3:$J$201&amp;'Emission factors'!$K$3:$K$201,0),MATCH('Buildings - Grid Electricity'!S$6,'Emission factors'!$K$2:$V$2,0)))*$K237)</f>
        <v/>
      </c>
      <c r="T237" s="157" t="str" cm="1">
        <f t="array" ref="T237">IF(OR($E237="",$I237=""),"",(INDEX('Emission factors'!$K$3:$V$201,MATCH('Buildings - Grid Electricity'!$E237&amp;$F237,'Emission factors'!$J$3:$J$201&amp;'Emission factors'!$K$3:$K$201,0),MATCH('Buildings - Grid Electricity'!T$6,'Emission factors'!$K$2:$V$2,0)))*$K237)</f>
        <v/>
      </c>
      <c r="U237" s="157" t="str" cm="1">
        <f t="array" ref="U237">IF(OR($E237="",$I237=""),"",(INDEX('Emission factors'!$K$3:$V$201,MATCH('Buildings - Grid Electricity'!$E237&amp;$F237,'Emission factors'!$J$3:$J$201&amp;'Emission factors'!$K$3:$K$201,0),MATCH('Buildings - Grid Electricity'!U$6,'Emission factors'!$K$2:$V$2,0)))*$K237)</f>
        <v/>
      </c>
      <c r="V237" s="269" t="str">
        <f>IF(OR($N237="",BuildingsElectricityTable[[#This Row],[RSD]]=""),"",BuildingsElectricityTable[[#This Row],[Total emissions (kgCO2e)]]*(1+BuildingsElectricityTable[[#This Row],[RSD]]))</f>
        <v/>
      </c>
      <c r="W237" s="270" t="str">
        <f>IF(OR($N237="",BuildingsElectricityTable[[#This Row],[RSD]]=""),"",BuildingsElectricityTable[[#This Row],[Total emissions (kgCO2e)]]*(1-BuildingsElectricityTable[[#This Row],[RSD]]))</f>
        <v/>
      </c>
      <c r="X237" s="271" t="str" cm="1">
        <f t="array" ref="X237">IF(OR($E237="",$I237=""),"",(INDEX('Emission factors'!$K$3:$V$201,MATCH('Buildings - Grid Electricity'!$E237&amp;$F237,'Emission factors'!$J$3:$J$201&amp;'Emission factors'!$K$3:$K$201,0),MATCH('Buildings - Grid Electricity'!X$6,'Emission factors'!$K$2:$V$2,0)))*$K237)</f>
        <v/>
      </c>
      <c r="Y237" s="30"/>
      <c r="Z237" s="1" cm="1">
        <f t="array" ref="Z237">IF(OR(ISERROR(B237:X237)),1,0)</f>
        <v>0</v>
      </c>
      <c r="AA237" s="1">
        <f t="shared" si="17"/>
        <v>0</v>
      </c>
    </row>
    <row r="238" spans="1:27" ht="15" outlineLevel="1" thickBot="1" x14ac:dyDescent="0.4">
      <c r="A238" s="319"/>
      <c r="B238" s="216"/>
      <c r="C238" s="216"/>
      <c r="D238" s="489" t="str">
        <f>IFERROR(INDEX(BuildingInformationTable[Site type],MATCH(BuildingsElectricityTable[[#This Row],[Site name]],BuildingInformationTable[Site name],0)),"")</f>
        <v/>
      </c>
      <c r="E238" s="490" t="str">
        <f t="shared" si="18"/>
        <v/>
      </c>
      <c r="F238" s="490" t="str">
        <f t="shared" si="19"/>
        <v/>
      </c>
      <c r="G238" s="491"/>
      <c r="H238" s="492" t="str">
        <f>IF(G238="","",INDEX(Lists!$BA$4:$BC$31,MATCH(E238,Lists!$AZ$4:$AZ$31,0),MATCH(G238,Lists!$BA$3:$BC$3,0)))</f>
        <v/>
      </c>
      <c r="I238" s="267"/>
      <c r="J238" s="490" t="str">
        <f t="shared" si="20"/>
        <v/>
      </c>
      <c r="K238" s="493" t="str" cm="1">
        <f t="array" ref="K238">IF(OR($E238="",$D238="",$I238="",$J238=""),"",IF(J238=L238,I238,(INDEX('Emission factors'!$K$3:$V$201,MATCH(E238&amp;F238,'Emission factors'!$J$3:$J$201&amp;'Emission factors'!$K$3:$K$201,0),MATCH(K$6,'Emission factors'!$K$2:$V$2,0)))*I238))</f>
        <v/>
      </c>
      <c r="L238" s="494" t="str">
        <f>IF(OR($E238="",$D238="",$I238="",$J238=""),"",INDEX('Emission factors'!$K$3:$V$201,MATCH('Buildings - Grid Electricity'!$E238,'Emission factors'!$J$3:$J$201,0),MATCH($L$6,'Emission factors'!$K$2:$V$2,0)))</f>
        <v/>
      </c>
      <c r="M238" s="495" t="str" cm="1">
        <f t="array" ref="M238">IF(OR(E238="",I238="",BuildingsElectricityTable[[#This Row],[Units]]=""),"",INDEX('Emission factors'!$K$3:$V$201,MATCH('Buildings - Grid Electricity'!$E238&amp;F238,'Emission factors'!$J$3:$J$201&amp;'Emission factors'!$K$3:$K$201,0),MATCH('Buildings - Grid Electricity'!$M$6,'Emission factors'!$K$2:$V$2,0)))</f>
        <v/>
      </c>
      <c r="N238" s="496" t="str">
        <f>IF(OR(K238="",M238=""),"",SUM(BuildingsElectricityTable[[#This Row],[Direct]:[Indirect WTT]]))</f>
        <v/>
      </c>
      <c r="O238" s="268"/>
      <c r="P238" s="497"/>
      <c r="Q238" s="157" t="str" cm="1">
        <f t="array" ref="Q238">IF(OR($E238="",$I238=""),"",(INDEX('Emission factors'!$K$3:$V$201,MATCH('Buildings - Grid Electricity'!$E238&amp;$F238,'Emission factors'!$J$3:$J$201&amp;'Emission factors'!$K$3:$K$201,0),MATCH('Buildings - Grid Electricity'!Q$6,'Emission factors'!$K$2:$V$2,0)))*$K238)</f>
        <v/>
      </c>
      <c r="R238" s="157" t="str" cm="1">
        <f t="array" ref="R238">IF(OR($E238="",$I238=""),"",(INDEX('Emission factors'!$K$3:$V$201,MATCH('Buildings - Grid Electricity'!$E238&amp;$F238,'Emission factors'!$J$3:$J$201&amp;'Emission factors'!$K$3:$K$201,0),MATCH('Buildings - Grid Electricity'!R$6,'Emission factors'!$K$2:$V$2,0)))*$K238)</f>
        <v/>
      </c>
      <c r="S238" s="157" t="str" cm="1">
        <f t="array" ref="S238">IF(OR($E238="",$I238=""),"",(INDEX('Emission factors'!$K$3:$V$201,MATCH('Buildings - Grid Electricity'!$E238&amp;$F238,'Emission factors'!$J$3:$J$201&amp;'Emission factors'!$K$3:$K$201,0),MATCH('Buildings - Grid Electricity'!S$6,'Emission factors'!$K$2:$V$2,0)))*$K238)</f>
        <v/>
      </c>
      <c r="T238" s="157" t="str" cm="1">
        <f t="array" ref="T238">IF(OR($E238="",$I238=""),"",(INDEX('Emission factors'!$K$3:$V$201,MATCH('Buildings - Grid Electricity'!$E238&amp;$F238,'Emission factors'!$J$3:$J$201&amp;'Emission factors'!$K$3:$K$201,0),MATCH('Buildings - Grid Electricity'!T$6,'Emission factors'!$K$2:$V$2,0)))*$K238)</f>
        <v/>
      </c>
      <c r="U238" s="157" t="str" cm="1">
        <f t="array" ref="U238">IF(OR($E238="",$I238=""),"",(INDEX('Emission factors'!$K$3:$V$201,MATCH('Buildings - Grid Electricity'!$E238&amp;$F238,'Emission factors'!$J$3:$J$201&amp;'Emission factors'!$K$3:$K$201,0),MATCH('Buildings - Grid Electricity'!U$6,'Emission factors'!$K$2:$V$2,0)))*$K238)</f>
        <v/>
      </c>
      <c r="V238" s="269" t="str">
        <f>IF(OR($N238="",BuildingsElectricityTable[[#This Row],[RSD]]=""),"",BuildingsElectricityTable[[#This Row],[Total emissions (kgCO2e)]]*(1+BuildingsElectricityTable[[#This Row],[RSD]]))</f>
        <v/>
      </c>
      <c r="W238" s="270" t="str">
        <f>IF(OR($N238="",BuildingsElectricityTable[[#This Row],[RSD]]=""),"",BuildingsElectricityTable[[#This Row],[Total emissions (kgCO2e)]]*(1-BuildingsElectricityTable[[#This Row],[RSD]]))</f>
        <v/>
      </c>
      <c r="X238" s="271" t="str" cm="1">
        <f t="array" ref="X238">IF(OR($E238="",$I238=""),"",(INDEX('Emission factors'!$K$3:$V$201,MATCH('Buildings - Grid Electricity'!$E238&amp;$F238,'Emission factors'!$J$3:$J$201&amp;'Emission factors'!$K$3:$K$201,0),MATCH('Buildings - Grid Electricity'!X$6,'Emission factors'!$K$2:$V$2,0)))*$K238)</f>
        <v/>
      </c>
      <c r="Y238" s="30"/>
      <c r="Z238" s="1" cm="1">
        <f t="array" ref="Z238">IF(OR(ISERROR(B238:X238)),1,0)</f>
        <v>0</v>
      </c>
      <c r="AA238" s="1">
        <f t="shared" si="17"/>
        <v>0</v>
      </c>
    </row>
    <row r="239" spans="1:27" ht="15" outlineLevel="1" thickBot="1" x14ac:dyDescent="0.4">
      <c r="A239" s="319"/>
      <c r="B239" s="216"/>
      <c r="C239" s="216"/>
      <c r="D239" s="489" t="str">
        <f>IFERROR(INDEX(BuildingInformationTable[Site type],MATCH(BuildingsElectricityTable[[#This Row],[Site name]],BuildingInformationTable[Site name],0)),"")</f>
        <v/>
      </c>
      <c r="E239" s="490" t="str">
        <f t="shared" si="18"/>
        <v/>
      </c>
      <c r="F239" s="490" t="str">
        <f t="shared" si="19"/>
        <v/>
      </c>
      <c r="G239" s="491"/>
      <c r="H239" s="492" t="str">
        <f>IF(G239="","",INDEX(Lists!$BA$4:$BC$31,MATCH(E239,Lists!$AZ$4:$AZ$31,0),MATCH(G239,Lists!$BA$3:$BC$3,0)))</f>
        <v/>
      </c>
      <c r="I239" s="267"/>
      <c r="J239" s="490" t="str">
        <f t="shared" si="20"/>
        <v/>
      </c>
      <c r="K239" s="493" t="str" cm="1">
        <f t="array" ref="K239">IF(OR($E239="",$D239="",$I239="",$J239=""),"",IF(J239=L239,I239,(INDEX('Emission factors'!$K$3:$V$201,MATCH(E239&amp;F239,'Emission factors'!$J$3:$J$201&amp;'Emission factors'!$K$3:$K$201,0),MATCH(K$6,'Emission factors'!$K$2:$V$2,0)))*I239))</f>
        <v/>
      </c>
      <c r="L239" s="494" t="str">
        <f>IF(OR($E239="",$D239="",$I239="",$J239=""),"",INDEX('Emission factors'!$K$3:$V$201,MATCH('Buildings - Grid Electricity'!$E239,'Emission factors'!$J$3:$J$201,0),MATCH($L$6,'Emission factors'!$K$2:$V$2,0)))</f>
        <v/>
      </c>
      <c r="M239" s="495" t="str" cm="1">
        <f t="array" ref="M239">IF(OR(E239="",I239="",BuildingsElectricityTable[[#This Row],[Units]]=""),"",INDEX('Emission factors'!$K$3:$V$201,MATCH('Buildings - Grid Electricity'!$E239&amp;F239,'Emission factors'!$J$3:$J$201&amp;'Emission factors'!$K$3:$K$201,0),MATCH('Buildings - Grid Electricity'!$M$6,'Emission factors'!$K$2:$V$2,0)))</f>
        <v/>
      </c>
      <c r="N239" s="496" t="str">
        <f>IF(OR(K239="",M239=""),"",SUM(BuildingsElectricityTable[[#This Row],[Direct]:[Indirect WTT]]))</f>
        <v/>
      </c>
      <c r="O239" s="268"/>
      <c r="P239" s="497"/>
      <c r="Q239" s="157" t="str" cm="1">
        <f t="array" ref="Q239">IF(OR($E239="",$I239=""),"",(INDEX('Emission factors'!$K$3:$V$201,MATCH('Buildings - Grid Electricity'!$E239&amp;$F239,'Emission factors'!$J$3:$J$201&amp;'Emission factors'!$K$3:$K$201,0),MATCH('Buildings - Grid Electricity'!Q$6,'Emission factors'!$K$2:$V$2,0)))*$K239)</f>
        <v/>
      </c>
      <c r="R239" s="157" t="str" cm="1">
        <f t="array" ref="R239">IF(OR($E239="",$I239=""),"",(INDEX('Emission factors'!$K$3:$V$201,MATCH('Buildings - Grid Electricity'!$E239&amp;$F239,'Emission factors'!$J$3:$J$201&amp;'Emission factors'!$K$3:$K$201,0),MATCH('Buildings - Grid Electricity'!R$6,'Emission factors'!$K$2:$V$2,0)))*$K239)</f>
        <v/>
      </c>
      <c r="S239" s="157" t="str" cm="1">
        <f t="array" ref="S239">IF(OR($E239="",$I239=""),"",(INDEX('Emission factors'!$K$3:$V$201,MATCH('Buildings - Grid Electricity'!$E239&amp;$F239,'Emission factors'!$J$3:$J$201&amp;'Emission factors'!$K$3:$K$201,0),MATCH('Buildings - Grid Electricity'!S$6,'Emission factors'!$K$2:$V$2,0)))*$K239)</f>
        <v/>
      </c>
      <c r="T239" s="157" t="str" cm="1">
        <f t="array" ref="T239">IF(OR($E239="",$I239=""),"",(INDEX('Emission factors'!$K$3:$V$201,MATCH('Buildings - Grid Electricity'!$E239&amp;$F239,'Emission factors'!$J$3:$J$201&amp;'Emission factors'!$K$3:$K$201,0),MATCH('Buildings - Grid Electricity'!T$6,'Emission factors'!$K$2:$V$2,0)))*$K239)</f>
        <v/>
      </c>
      <c r="U239" s="157" t="str" cm="1">
        <f t="array" ref="U239">IF(OR($E239="",$I239=""),"",(INDEX('Emission factors'!$K$3:$V$201,MATCH('Buildings - Grid Electricity'!$E239&amp;$F239,'Emission factors'!$J$3:$J$201&amp;'Emission factors'!$K$3:$K$201,0),MATCH('Buildings - Grid Electricity'!U$6,'Emission factors'!$K$2:$V$2,0)))*$K239)</f>
        <v/>
      </c>
      <c r="V239" s="269" t="str">
        <f>IF(OR($N239="",BuildingsElectricityTable[[#This Row],[RSD]]=""),"",BuildingsElectricityTable[[#This Row],[Total emissions (kgCO2e)]]*(1+BuildingsElectricityTable[[#This Row],[RSD]]))</f>
        <v/>
      </c>
      <c r="W239" s="270" t="str">
        <f>IF(OR($N239="",BuildingsElectricityTable[[#This Row],[RSD]]=""),"",BuildingsElectricityTable[[#This Row],[Total emissions (kgCO2e)]]*(1-BuildingsElectricityTable[[#This Row],[RSD]]))</f>
        <v/>
      </c>
      <c r="X239" s="271" t="str" cm="1">
        <f t="array" ref="X239">IF(OR($E239="",$I239=""),"",(INDEX('Emission factors'!$K$3:$V$201,MATCH('Buildings - Grid Electricity'!$E239&amp;$F239,'Emission factors'!$J$3:$J$201&amp;'Emission factors'!$K$3:$K$201,0),MATCH('Buildings - Grid Electricity'!X$6,'Emission factors'!$K$2:$V$2,0)))*$K239)</f>
        <v/>
      </c>
      <c r="Y239" s="30"/>
      <c r="Z239" s="1" cm="1">
        <f t="array" ref="Z239">IF(OR(ISERROR(B239:X239)),1,0)</f>
        <v>0</v>
      </c>
      <c r="AA239" s="1">
        <f t="shared" si="17"/>
        <v>0</v>
      </c>
    </row>
    <row r="240" spans="1:27" ht="15" outlineLevel="1" thickBot="1" x14ac:dyDescent="0.4">
      <c r="A240" s="319"/>
      <c r="B240" s="216"/>
      <c r="C240" s="216"/>
      <c r="D240" s="489" t="str">
        <f>IFERROR(INDEX(BuildingInformationTable[Site type],MATCH(BuildingsElectricityTable[[#This Row],[Site name]],BuildingInformationTable[Site name],0)),"")</f>
        <v/>
      </c>
      <c r="E240" s="490" t="str">
        <f t="shared" si="18"/>
        <v/>
      </c>
      <c r="F240" s="490" t="str">
        <f t="shared" si="19"/>
        <v/>
      </c>
      <c r="G240" s="491"/>
      <c r="H240" s="492" t="str">
        <f>IF(G240="","",INDEX(Lists!$BA$4:$BC$31,MATCH(E240,Lists!$AZ$4:$AZ$31,0),MATCH(G240,Lists!$BA$3:$BC$3,0)))</f>
        <v/>
      </c>
      <c r="I240" s="267"/>
      <c r="J240" s="490" t="str">
        <f t="shared" si="20"/>
        <v/>
      </c>
      <c r="K240" s="493" t="str" cm="1">
        <f t="array" ref="K240">IF(OR($E240="",$D240="",$I240="",$J240=""),"",IF(J240=L240,I240,(INDEX('Emission factors'!$K$3:$V$201,MATCH(E240&amp;F240,'Emission factors'!$J$3:$J$201&amp;'Emission factors'!$K$3:$K$201,0),MATCH(K$6,'Emission factors'!$K$2:$V$2,0)))*I240))</f>
        <v/>
      </c>
      <c r="L240" s="494" t="str">
        <f>IF(OR($E240="",$D240="",$I240="",$J240=""),"",INDEX('Emission factors'!$K$3:$V$201,MATCH('Buildings - Grid Electricity'!$E240,'Emission factors'!$J$3:$J$201,0),MATCH($L$6,'Emission factors'!$K$2:$V$2,0)))</f>
        <v/>
      </c>
      <c r="M240" s="495" t="str" cm="1">
        <f t="array" ref="M240">IF(OR(E240="",I240="",BuildingsElectricityTable[[#This Row],[Units]]=""),"",INDEX('Emission factors'!$K$3:$V$201,MATCH('Buildings - Grid Electricity'!$E240&amp;F240,'Emission factors'!$J$3:$J$201&amp;'Emission factors'!$K$3:$K$201,0),MATCH('Buildings - Grid Electricity'!$M$6,'Emission factors'!$K$2:$V$2,0)))</f>
        <v/>
      </c>
      <c r="N240" s="496" t="str">
        <f>IF(OR(K240="",M240=""),"",SUM(BuildingsElectricityTable[[#This Row],[Direct]:[Indirect WTT]]))</f>
        <v/>
      </c>
      <c r="O240" s="268"/>
      <c r="P240" s="497"/>
      <c r="Q240" s="157" t="str" cm="1">
        <f t="array" ref="Q240">IF(OR($E240="",$I240=""),"",(INDEX('Emission factors'!$K$3:$V$201,MATCH('Buildings - Grid Electricity'!$E240&amp;$F240,'Emission factors'!$J$3:$J$201&amp;'Emission factors'!$K$3:$K$201,0),MATCH('Buildings - Grid Electricity'!Q$6,'Emission factors'!$K$2:$V$2,0)))*$K240)</f>
        <v/>
      </c>
      <c r="R240" s="157" t="str" cm="1">
        <f t="array" ref="R240">IF(OR($E240="",$I240=""),"",(INDEX('Emission factors'!$K$3:$V$201,MATCH('Buildings - Grid Electricity'!$E240&amp;$F240,'Emission factors'!$J$3:$J$201&amp;'Emission factors'!$K$3:$K$201,0),MATCH('Buildings - Grid Electricity'!R$6,'Emission factors'!$K$2:$V$2,0)))*$K240)</f>
        <v/>
      </c>
      <c r="S240" s="157" t="str" cm="1">
        <f t="array" ref="S240">IF(OR($E240="",$I240=""),"",(INDEX('Emission factors'!$K$3:$V$201,MATCH('Buildings - Grid Electricity'!$E240&amp;$F240,'Emission factors'!$J$3:$J$201&amp;'Emission factors'!$K$3:$K$201,0),MATCH('Buildings - Grid Electricity'!S$6,'Emission factors'!$K$2:$V$2,0)))*$K240)</f>
        <v/>
      </c>
      <c r="T240" s="157" t="str" cm="1">
        <f t="array" ref="T240">IF(OR($E240="",$I240=""),"",(INDEX('Emission factors'!$K$3:$V$201,MATCH('Buildings - Grid Electricity'!$E240&amp;$F240,'Emission factors'!$J$3:$J$201&amp;'Emission factors'!$K$3:$K$201,0),MATCH('Buildings - Grid Electricity'!T$6,'Emission factors'!$K$2:$V$2,0)))*$K240)</f>
        <v/>
      </c>
      <c r="U240" s="157" t="str" cm="1">
        <f t="array" ref="U240">IF(OR($E240="",$I240=""),"",(INDEX('Emission factors'!$K$3:$V$201,MATCH('Buildings - Grid Electricity'!$E240&amp;$F240,'Emission factors'!$J$3:$J$201&amp;'Emission factors'!$K$3:$K$201,0),MATCH('Buildings - Grid Electricity'!U$6,'Emission factors'!$K$2:$V$2,0)))*$K240)</f>
        <v/>
      </c>
      <c r="V240" s="269" t="str">
        <f>IF(OR($N240="",BuildingsElectricityTable[[#This Row],[RSD]]=""),"",BuildingsElectricityTable[[#This Row],[Total emissions (kgCO2e)]]*(1+BuildingsElectricityTable[[#This Row],[RSD]]))</f>
        <v/>
      </c>
      <c r="W240" s="270" t="str">
        <f>IF(OR($N240="",BuildingsElectricityTable[[#This Row],[RSD]]=""),"",BuildingsElectricityTable[[#This Row],[Total emissions (kgCO2e)]]*(1-BuildingsElectricityTable[[#This Row],[RSD]]))</f>
        <v/>
      </c>
      <c r="X240" s="271" t="str" cm="1">
        <f t="array" ref="X240">IF(OR($E240="",$I240=""),"",(INDEX('Emission factors'!$K$3:$V$201,MATCH('Buildings - Grid Electricity'!$E240&amp;$F240,'Emission factors'!$J$3:$J$201&amp;'Emission factors'!$K$3:$K$201,0),MATCH('Buildings - Grid Electricity'!X$6,'Emission factors'!$K$2:$V$2,0)))*$K240)</f>
        <v/>
      </c>
      <c r="Y240" s="30"/>
      <c r="Z240" s="1" cm="1">
        <f t="array" ref="Z240">IF(OR(ISERROR(B240:X240)),1,0)</f>
        <v>0</v>
      </c>
      <c r="AA240" s="1">
        <f t="shared" si="17"/>
        <v>0</v>
      </c>
    </row>
    <row r="241" spans="1:27" ht="15" outlineLevel="1" thickBot="1" x14ac:dyDescent="0.4">
      <c r="A241" s="319"/>
      <c r="B241" s="216"/>
      <c r="C241" s="216"/>
      <c r="D241" s="489" t="str">
        <f>IFERROR(INDEX(BuildingInformationTable[Site type],MATCH(BuildingsElectricityTable[[#This Row],[Site name]],BuildingInformationTable[Site name],0)),"")</f>
        <v/>
      </c>
      <c r="E241" s="490" t="str">
        <f t="shared" si="18"/>
        <v/>
      </c>
      <c r="F241" s="490" t="str">
        <f t="shared" si="19"/>
        <v/>
      </c>
      <c r="G241" s="491"/>
      <c r="H241" s="492" t="str">
        <f>IF(G241="","",INDEX(Lists!$BA$4:$BC$31,MATCH(E241,Lists!$AZ$4:$AZ$31,0),MATCH(G241,Lists!$BA$3:$BC$3,0)))</f>
        <v/>
      </c>
      <c r="I241" s="267"/>
      <c r="J241" s="490" t="str">
        <f t="shared" si="20"/>
        <v/>
      </c>
      <c r="K241" s="493" t="str" cm="1">
        <f t="array" ref="K241">IF(OR($E241="",$D241="",$I241="",$J241=""),"",IF(J241=L241,I241,(INDEX('Emission factors'!$K$3:$V$201,MATCH(E241&amp;F241,'Emission factors'!$J$3:$J$201&amp;'Emission factors'!$K$3:$K$201,0),MATCH(K$6,'Emission factors'!$K$2:$V$2,0)))*I241))</f>
        <v/>
      </c>
      <c r="L241" s="494" t="str">
        <f>IF(OR($E241="",$D241="",$I241="",$J241=""),"",INDEX('Emission factors'!$K$3:$V$201,MATCH('Buildings - Grid Electricity'!$E241,'Emission factors'!$J$3:$J$201,0),MATCH($L$6,'Emission factors'!$K$2:$V$2,0)))</f>
        <v/>
      </c>
      <c r="M241" s="495" t="str" cm="1">
        <f t="array" ref="M241">IF(OR(E241="",I241="",BuildingsElectricityTable[[#This Row],[Units]]=""),"",INDEX('Emission factors'!$K$3:$V$201,MATCH('Buildings - Grid Electricity'!$E241&amp;F241,'Emission factors'!$J$3:$J$201&amp;'Emission factors'!$K$3:$K$201,0),MATCH('Buildings - Grid Electricity'!$M$6,'Emission factors'!$K$2:$V$2,0)))</f>
        <v/>
      </c>
      <c r="N241" s="496" t="str">
        <f>IF(OR(K241="",M241=""),"",SUM(BuildingsElectricityTable[[#This Row],[Direct]:[Indirect WTT]]))</f>
        <v/>
      </c>
      <c r="O241" s="268"/>
      <c r="P241" s="497"/>
      <c r="Q241" s="157" t="str" cm="1">
        <f t="array" ref="Q241">IF(OR($E241="",$I241=""),"",(INDEX('Emission factors'!$K$3:$V$201,MATCH('Buildings - Grid Electricity'!$E241&amp;$F241,'Emission factors'!$J$3:$J$201&amp;'Emission factors'!$K$3:$K$201,0),MATCH('Buildings - Grid Electricity'!Q$6,'Emission factors'!$K$2:$V$2,0)))*$K241)</f>
        <v/>
      </c>
      <c r="R241" s="157" t="str" cm="1">
        <f t="array" ref="R241">IF(OR($E241="",$I241=""),"",(INDEX('Emission factors'!$K$3:$V$201,MATCH('Buildings - Grid Electricity'!$E241&amp;$F241,'Emission factors'!$J$3:$J$201&amp;'Emission factors'!$K$3:$K$201,0),MATCH('Buildings - Grid Electricity'!R$6,'Emission factors'!$K$2:$V$2,0)))*$K241)</f>
        <v/>
      </c>
      <c r="S241" s="157" t="str" cm="1">
        <f t="array" ref="S241">IF(OR($E241="",$I241=""),"",(INDEX('Emission factors'!$K$3:$V$201,MATCH('Buildings - Grid Electricity'!$E241&amp;$F241,'Emission factors'!$J$3:$J$201&amp;'Emission factors'!$K$3:$K$201,0),MATCH('Buildings - Grid Electricity'!S$6,'Emission factors'!$K$2:$V$2,0)))*$K241)</f>
        <v/>
      </c>
      <c r="T241" s="157" t="str" cm="1">
        <f t="array" ref="T241">IF(OR($E241="",$I241=""),"",(INDEX('Emission factors'!$K$3:$V$201,MATCH('Buildings - Grid Electricity'!$E241&amp;$F241,'Emission factors'!$J$3:$J$201&amp;'Emission factors'!$K$3:$K$201,0),MATCH('Buildings - Grid Electricity'!T$6,'Emission factors'!$K$2:$V$2,0)))*$K241)</f>
        <v/>
      </c>
      <c r="U241" s="157" t="str" cm="1">
        <f t="array" ref="U241">IF(OR($E241="",$I241=""),"",(INDEX('Emission factors'!$K$3:$V$201,MATCH('Buildings - Grid Electricity'!$E241&amp;$F241,'Emission factors'!$J$3:$J$201&amp;'Emission factors'!$K$3:$K$201,0),MATCH('Buildings - Grid Electricity'!U$6,'Emission factors'!$K$2:$V$2,0)))*$K241)</f>
        <v/>
      </c>
      <c r="V241" s="269" t="str">
        <f>IF(OR($N241="",BuildingsElectricityTable[[#This Row],[RSD]]=""),"",BuildingsElectricityTable[[#This Row],[Total emissions (kgCO2e)]]*(1+BuildingsElectricityTable[[#This Row],[RSD]]))</f>
        <v/>
      </c>
      <c r="W241" s="270" t="str">
        <f>IF(OR($N241="",BuildingsElectricityTable[[#This Row],[RSD]]=""),"",BuildingsElectricityTable[[#This Row],[Total emissions (kgCO2e)]]*(1-BuildingsElectricityTable[[#This Row],[RSD]]))</f>
        <v/>
      </c>
      <c r="X241" s="271" t="str" cm="1">
        <f t="array" ref="X241">IF(OR($E241="",$I241=""),"",(INDEX('Emission factors'!$K$3:$V$201,MATCH('Buildings - Grid Electricity'!$E241&amp;$F241,'Emission factors'!$J$3:$J$201&amp;'Emission factors'!$K$3:$K$201,0),MATCH('Buildings - Grid Electricity'!X$6,'Emission factors'!$K$2:$V$2,0)))*$K241)</f>
        <v/>
      </c>
      <c r="Y241" s="30"/>
      <c r="Z241" s="1" cm="1">
        <f t="array" ref="Z241">IF(OR(ISERROR(B241:X241)),1,0)</f>
        <v>0</v>
      </c>
      <c r="AA241" s="1">
        <f t="shared" si="17"/>
        <v>0</v>
      </c>
    </row>
    <row r="242" spans="1:27" ht="15" outlineLevel="1" thickBot="1" x14ac:dyDescent="0.4">
      <c r="A242" s="319"/>
      <c r="B242" s="216"/>
      <c r="C242" s="216"/>
      <c r="D242" s="489" t="str">
        <f>IFERROR(INDEX(BuildingInformationTable[Site type],MATCH(BuildingsElectricityTable[[#This Row],[Site name]],BuildingInformationTable[Site name],0)),"")</f>
        <v/>
      </c>
      <c r="E242" s="490" t="str">
        <f t="shared" si="18"/>
        <v/>
      </c>
      <c r="F242" s="490" t="str">
        <f t="shared" si="19"/>
        <v/>
      </c>
      <c r="G242" s="491"/>
      <c r="H242" s="492" t="str">
        <f>IF(G242="","",INDEX(Lists!$BA$4:$BC$31,MATCH(E242,Lists!$AZ$4:$AZ$31,0),MATCH(G242,Lists!$BA$3:$BC$3,0)))</f>
        <v/>
      </c>
      <c r="I242" s="267"/>
      <c r="J242" s="490" t="str">
        <f t="shared" si="20"/>
        <v/>
      </c>
      <c r="K242" s="493" t="str" cm="1">
        <f t="array" ref="K242">IF(OR($E242="",$D242="",$I242="",$J242=""),"",IF(J242=L242,I242,(INDEX('Emission factors'!$K$3:$V$201,MATCH(E242&amp;F242,'Emission factors'!$J$3:$J$201&amp;'Emission factors'!$K$3:$K$201,0),MATCH(K$6,'Emission factors'!$K$2:$V$2,0)))*I242))</f>
        <v/>
      </c>
      <c r="L242" s="494" t="str">
        <f>IF(OR($E242="",$D242="",$I242="",$J242=""),"",INDEX('Emission factors'!$K$3:$V$201,MATCH('Buildings - Grid Electricity'!$E242,'Emission factors'!$J$3:$J$201,0),MATCH($L$6,'Emission factors'!$K$2:$V$2,0)))</f>
        <v/>
      </c>
      <c r="M242" s="495" t="str" cm="1">
        <f t="array" ref="M242">IF(OR(E242="",I242="",BuildingsElectricityTable[[#This Row],[Units]]=""),"",INDEX('Emission factors'!$K$3:$V$201,MATCH('Buildings - Grid Electricity'!$E242&amp;F242,'Emission factors'!$J$3:$J$201&amp;'Emission factors'!$K$3:$K$201,0),MATCH('Buildings - Grid Electricity'!$M$6,'Emission factors'!$K$2:$V$2,0)))</f>
        <v/>
      </c>
      <c r="N242" s="496" t="str">
        <f>IF(OR(K242="",M242=""),"",SUM(BuildingsElectricityTable[[#This Row],[Direct]:[Indirect WTT]]))</f>
        <v/>
      </c>
      <c r="O242" s="268"/>
      <c r="P242" s="497"/>
      <c r="Q242" s="157" t="str" cm="1">
        <f t="array" ref="Q242">IF(OR($E242="",$I242=""),"",(INDEX('Emission factors'!$K$3:$V$201,MATCH('Buildings - Grid Electricity'!$E242&amp;$F242,'Emission factors'!$J$3:$J$201&amp;'Emission factors'!$K$3:$K$201,0),MATCH('Buildings - Grid Electricity'!Q$6,'Emission factors'!$K$2:$V$2,0)))*$K242)</f>
        <v/>
      </c>
      <c r="R242" s="157" t="str" cm="1">
        <f t="array" ref="R242">IF(OR($E242="",$I242=""),"",(INDEX('Emission factors'!$K$3:$V$201,MATCH('Buildings - Grid Electricity'!$E242&amp;$F242,'Emission factors'!$J$3:$J$201&amp;'Emission factors'!$K$3:$K$201,0),MATCH('Buildings - Grid Electricity'!R$6,'Emission factors'!$K$2:$V$2,0)))*$K242)</f>
        <v/>
      </c>
      <c r="S242" s="157" t="str" cm="1">
        <f t="array" ref="S242">IF(OR($E242="",$I242=""),"",(INDEX('Emission factors'!$K$3:$V$201,MATCH('Buildings - Grid Electricity'!$E242&amp;$F242,'Emission factors'!$J$3:$J$201&amp;'Emission factors'!$K$3:$K$201,0),MATCH('Buildings - Grid Electricity'!S$6,'Emission factors'!$K$2:$V$2,0)))*$K242)</f>
        <v/>
      </c>
      <c r="T242" s="157" t="str" cm="1">
        <f t="array" ref="T242">IF(OR($E242="",$I242=""),"",(INDEX('Emission factors'!$K$3:$V$201,MATCH('Buildings - Grid Electricity'!$E242&amp;$F242,'Emission factors'!$J$3:$J$201&amp;'Emission factors'!$K$3:$K$201,0),MATCH('Buildings - Grid Electricity'!T$6,'Emission factors'!$K$2:$V$2,0)))*$K242)</f>
        <v/>
      </c>
      <c r="U242" s="157" t="str" cm="1">
        <f t="array" ref="U242">IF(OR($E242="",$I242=""),"",(INDEX('Emission factors'!$K$3:$V$201,MATCH('Buildings - Grid Electricity'!$E242&amp;$F242,'Emission factors'!$J$3:$J$201&amp;'Emission factors'!$K$3:$K$201,0),MATCH('Buildings - Grid Electricity'!U$6,'Emission factors'!$K$2:$V$2,0)))*$K242)</f>
        <v/>
      </c>
      <c r="V242" s="269" t="str">
        <f>IF(OR($N242="",BuildingsElectricityTable[[#This Row],[RSD]]=""),"",BuildingsElectricityTable[[#This Row],[Total emissions (kgCO2e)]]*(1+BuildingsElectricityTable[[#This Row],[RSD]]))</f>
        <v/>
      </c>
      <c r="W242" s="270" t="str">
        <f>IF(OR($N242="",BuildingsElectricityTable[[#This Row],[RSD]]=""),"",BuildingsElectricityTable[[#This Row],[Total emissions (kgCO2e)]]*(1-BuildingsElectricityTable[[#This Row],[RSD]]))</f>
        <v/>
      </c>
      <c r="X242" s="271" t="str" cm="1">
        <f t="array" ref="X242">IF(OR($E242="",$I242=""),"",(INDEX('Emission factors'!$K$3:$V$201,MATCH('Buildings - Grid Electricity'!$E242&amp;$F242,'Emission factors'!$J$3:$J$201&amp;'Emission factors'!$K$3:$K$201,0),MATCH('Buildings - Grid Electricity'!X$6,'Emission factors'!$K$2:$V$2,0)))*$K242)</f>
        <v/>
      </c>
      <c r="Y242" s="30"/>
      <c r="Z242" s="1" cm="1">
        <f t="array" ref="Z242">IF(OR(ISERROR(B242:X242)),1,0)</f>
        <v>0</v>
      </c>
      <c r="AA242" s="1">
        <f t="shared" si="17"/>
        <v>0</v>
      </c>
    </row>
    <row r="243" spans="1:27" ht="15" outlineLevel="1" thickBot="1" x14ac:dyDescent="0.4">
      <c r="A243" s="319"/>
      <c r="B243" s="216"/>
      <c r="C243" s="216"/>
      <c r="D243" s="489" t="str">
        <f>IFERROR(INDEX(BuildingInformationTable[Site type],MATCH(BuildingsElectricityTable[[#This Row],[Site name]],BuildingInformationTable[Site name],0)),"")</f>
        <v/>
      </c>
      <c r="E243" s="490" t="str">
        <f t="shared" si="18"/>
        <v/>
      </c>
      <c r="F243" s="490" t="str">
        <f t="shared" si="19"/>
        <v/>
      </c>
      <c r="G243" s="491"/>
      <c r="H243" s="492" t="str">
        <f>IF(G243="","",INDEX(Lists!$BA$4:$BC$31,MATCH(E243,Lists!$AZ$4:$AZ$31,0),MATCH(G243,Lists!$BA$3:$BC$3,0)))</f>
        <v/>
      </c>
      <c r="I243" s="267"/>
      <c r="J243" s="490" t="str">
        <f t="shared" si="20"/>
        <v/>
      </c>
      <c r="K243" s="493" t="str" cm="1">
        <f t="array" ref="K243">IF(OR($E243="",$D243="",$I243="",$J243=""),"",IF(J243=L243,I243,(INDEX('Emission factors'!$K$3:$V$201,MATCH(E243&amp;F243,'Emission factors'!$J$3:$J$201&amp;'Emission factors'!$K$3:$K$201,0),MATCH(K$6,'Emission factors'!$K$2:$V$2,0)))*I243))</f>
        <v/>
      </c>
      <c r="L243" s="494" t="str">
        <f>IF(OR($E243="",$D243="",$I243="",$J243=""),"",INDEX('Emission factors'!$K$3:$V$201,MATCH('Buildings - Grid Electricity'!$E243,'Emission factors'!$J$3:$J$201,0),MATCH($L$6,'Emission factors'!$K$2:$V$2,0)))</f>
        <v/>
      </c>
      <c r="M243" s="495" t="str" cm="1">
        <f t="array" ref="M243">IF(OR(E243="",I243="",BuildingsElectricityTable[[#This Row],[Units]]=""),"",INDEX('Emission factors'!$K$3:$V$201,MATCH('Buildings - Grid Electricity'!$E243&amp;F243,'Emission factors'!$J$3:$J$201&amp;'Emission factors'!$K$3:$K$201,0),MATCH('Buildings - Grid Electricity'!$M$6,'Emission factors'!$K$2:$V$2,0)))</f>
        <v/>
      </c>
      <c r="N243" s="496" t="str">
        <f>IF(OR(K243="",M243=""),"",SUM(BuildingsElectricityTable[[#This Row],[Direct]:[Indirect WTT]]))</f>
        <v/>
      </c>
      <c r="O243" s="268"/>
      <c r="P243" s="497"/>
      <c r="Q243" s="157" t="str" cm="1">
        <f t="array" ref="Q243">IF(OR($E243="",$I243=""),"",(INDEX('Emission factors'!$K$3:$V$201,MATCH('Buildings - Grid Electricity'!$E243&amp;$F243,'Emission factors'!$J$3:$J$201&amp;'Emission factors'!$K$3:$K$201,0),MATCH('Buildings - Grid Electricity'!Q$6,'Emission factors'!$K$2:$V$2,0)))*$K243)</f>
        <v/>
      </c>
      <c r="R243" s="157" t="str" cm="1">
        <f t="array" ref="R243">IF(OR($E243="",$I243=""),"",(INDEX('Emission factors'!$K$3:$V$201,MATCH('Buildings - Grid Electricity'!$E243&amp;$F243,'Emission factors'!$J$3:$J$201&amp;'Emission factors'!$K$3:$K$201,0),MATCH('Buildings - Grid Electricity'!R$6,'Emission factors'!$K$2:$V$2,0)))*$K243)</f>
        <v/>
      </c>
      <c r="S243" s="157" t="str" cm="1">
        <f t="array" ref="S243">IF(OR($E243="",$I243=""),"",(INDEX('Emission factors'!$K$3:$V$201,MATCH('Buildings - Grid Electricity'!$E243&amp;$F243,'Emission factors'!$J$3:$J$201&amp;'Emission factors'!$K$3:$K$201,0),MATCH('Buildings - Grid Electricity'!S$6,'Emission factors'!$K$2:$V$2,0)))*$K243)</f>
        <v/>
      </c>
      <c r="T243" s="157" t="str" cm="1">
        <f t="array" ref="T243">IF(OR($E243="",$I243=""),"",(INDEX('Emission factors'!$K$3:$V$201,MATCH('Buildings - Grid Electricity'!$E243&amp;$F243,'Emission factors'!$J$3:$J$201&amp;'Emission factors'!$K$3:$K$201,0),MATCH('Buildings - Grid Electricity'!T$6,'Emission factors'!$K$2:$V$2,0)))*$K243)</f>
        <v/>
      </c>
      <c r="U243" s="157" t="str" cm="1">
        <f t="array" ref="U243">IF(OR($E243="",$I243=""),"",(INDEX('Emission factors'!$K$3:$V$201,MATCH('Buildings - Grid Electricity'!$E243&amp;$F243,'Emission factors'!$J$3:$J$201&amp;'Emission factors'!$K$3:$K$201,0),MATCH('Buildings - Grid Electricity'!U$6,'Emission factors'!$K$2:$V$2,0)))*$K243)</f>
        <v/>
      </c>
      <c r="V243" s="269" t="str">
        <f>IF(OR($N243="",BuildingsElectricityTable[[#This Row],[RSD]]=""),"",BuildingsElectricityTable[[#This Row],[Total emissions (kgCO2e)]]*(1+BuildingsElectricityTable[[#This Row],[RSD]]))</f>
        <v/>
      </c>
      <c r="W243" s="270" t="str">
        <f>IF(OR($N243="",BuildingsElectricityTable[[#This Row],[RSD]]=""),"",BuildingsElectricityTable[[#This Row],[Total emissions (kgCO2e)]]*(1-BuildingsElectricityTable[[#This Row],[RSD]]))</f>
        <v/>
      </c>
      <c r="X243" s="271" t="str" cm="1">
        <f t="array" ref="X243">IF(OR($E243="",$I243=""),"",(INDEX('Emission factors'!$K$3:$V$201,MATCH('Buildings - Grid Electricity'!$E243&amp;$F243,'Emission factors'!$J$3:$J$201&amp;'Emission factors'!$K$3:$K$201,0),MATCH('Buildings - Grid Electricity'!X$6,'Emission factors'!$K$2:$V$2,0)))*$K243)</f>
        <v/>
      </c>
      <c r="Y243" s="30"/>
      <c r="Z243" s="1" cm="1">
        <f t="array" ref="Z243">IF(OR(ISERROR(B243:X243)),1,0)</f>
        <v>0</v>
      </c>
      <c r="AA243" s="1">
        <f t="shared" si="17"/>
        <v>0</v>
      </c>
    </row>
    <row r="244" spans="1:27" ht="15" outlineLevel="1" thickBot="1" x14ac:dyDescent="0.4">
      <c r="A244" s="319"/>
      <c r="B244" s="216"/>
      <c r="C244" s="216"/>
      <c r="D244" s="489" t="str">
        <f>IFERROR(INDEX(BuildingInformationTable[Site type],MATCH(BuildingsElectricityTable[[#This Row],[Site name]],BuildingInformationTable[Site name],0)),"")</f>
        <v/>
      </c>
      <c r="E244" s="490" t="str">
        <f t="shared" si="18"/>
        <v/>
      </c>
      <c r="F244" s="490" t="str">
        <f t="shared" si="19"/>
        <v/>
      </c>
      <c r="G244" s="491"/>
      <c r="H244" s="492" t="str">
        <f>IF(G244="","",INDEX(Lists!$BA$4:$BC$31,MATCH(E244,Lists!$AZ$4:$AZ$31,0),MATCH(G244,Lists!$BA$3:$BC$3,0)))</f>
        <v/>
      </c>
      <c r="I244" s="267"/>
      <c r="J244" s="490" t="str">
        <f t="shared" si="20"/>
        <v/>
      </c>
      <c r="K244" s="493" t="str" cm="1">
        <f t="array" ref="K244">IF(OR($E244="",$D244="",$I244="",$J244=""),"",IF(J244=L244,I244,(INDEX('Emission factors'!$K$3:$V$201,MATCH(E244&amp;F244,'Emission factors'!$J$3:$J$201&amp;'Emission factors'!$K$3:$K$201,0),MATCH(K$6,'Emission factors'!$K$2:$V$2,0)))*I244))</f>
        <v/>
      </c>
      <c r="L244" s="494" t="str">
        <f>IF(OR($E244="",$D244="",$I244="",$J244=""),"",INDEX('Emission factors'!$K$3:$V$201,MATCH('Buildings - Grid Electricity'!$E244,'Emission factors'!$J$3:$J$201,0),MATCH($L$6,'Emission factors'!$K$2:$V$2,0)))</f>
        <v/>
      </c>
      <c r="M244" s="495" t="str" cm="1">
        <f t="array" ref="M244">IF(OR(E244="",I244="",BuildingsElectricityTable[[#This Row],[Units]]=""),"",INDEX('Emission factors'!$K$3:$V$201,MATCH('Buildings - Grid Electricity'!$E244&amp;F244,'Emission factors'!$J$3:$J$201&amp;'Emission factors'!$K$3:$K$201,0),MATCH('Buildings - Grid Electricity'!$M$6,'Emission factors'!$K$2:$V$2,0)))</f>
        <v/>
      </c>
      <c r="N244" s="496" t="str">
        <f>IF(OR(K244="",M244=""),"",SUM(BuildingsElectricityTable[[#This Row],[Direct]:[Indirect WTT]]))</f>
        <v/>
      </c>
      <c r="O244" s="268"/>
      <c r="P244" s="497"/>
      <c r="Q244" s="157" t="str" cm="1">
        <f t="array" ref="Q244">IF(OR($E244="",$I244=""),"",(INDEX('Emission factors'!$K$3:$V$201,MATCH('Buildings - Grid Electricity'!$E244&amp;$F244,'Emission factors'!$J$3:$J$201&amp;'Emission factors'!$K$3:$K$201,0),MATCH('Buildings - Grid Electricity'!Q$6,'Emission factors'!$K$2:$V$2,0)))*$K244)</f>
        <v/>
      </c>
      <c r="R244" s="157" t="str" cm="1">
        <f t="array" ref="R244">IF(OR($E244="",$I244=""),"",(INDEX('Emission factors'!$K$3:$V$201,MATCH('Buildings - Grid Electricity'!$E244&amp;$F244,'Emission factors'!$J$3:$J$201&amp;'Emission factors'!$K$3:$K$201,0),MATCH('Buildings - Grid Electricity'!R$6,'Emission factors'!$K$2:$V$2,0)))*$K244)</f>
        <v/>
      </c>
      <c r="S244" s="157" t="str" cm="1">
        <f t="array" ref="S244">IF(OR($E244="",$I244=""),"",(INDEX('Emission factors'!$K$3:$V$201,MATCH('Buildings - Grid Electricity'!$E244&amp;$F244,'Emission factors'!$J$3:$J$201&amp;'Emission factors'!$K$3:$K$201,0),MATCH('Buildings - Grid Electricity'!S$6,'Emission factors'!$K$2:$V$2,0)))*$K244)</f>
        <v/>
      </c>
      <c r="T244" s="157" t="str" cm="1">
        <f t="array" ref="T244">IF(OR($E244="",$I244=""),"",(INDEX('Emission factors'!$K$3:$V$201,MATCH('Buildings - Grid Electricity'!$E244&amp;$F244,'Emission factors'!$J$3:$J$201&amp;'Emission factors'!$K$3:$K$201,0),MATCH('Buildings - Grid Electricity'!T$6,'Emission factors'!$K$2:$V$2,0)))*$K244)</f>
        <v/>
      </c>
      <c r="U244" s="157" t="str" cm="1">
        <f t="array" ref="U244">IF(OR($E244="",$I244=""),"",(INDEX('Emission factors'!$K$3:$V$201,MATCH('Buildings - Grid Electricity'!$E244&amp;$F244,'Emission factors'!$J$3:$J$201&amp;'Emission factors'!$K$3:$K$201,0),MATCH('Buildings - Grid Electricity'!U$6,'Emission factors'!$K$2:$V$2,0)))*$K244)</f>
        <v/>
      </c>
      <c r="V244" s="269" t="str">
        <f>IF(OR($N244="",BuildingsElectricityTable[[#This Row],[RSD]]=""),"",BuildingsElectricityTable[[#This Row],[Total emissions (kgCO2e)]]*(1+BuildingsElectricityTable[[#This Row],[RSD]]))</f>
        <v/>
      </c>
      <c r="W244" s="270" t="str">
        <f>IF(OR($N244="",BuildingsElectricityTable[[#This Row],[RSD]]=""),"",BuildingsElectricityTable[[#This Row],[Total emissions (kgCO2e)]]*(1-BuildingsElectricityTable[[#This Row],[RSD]]))</f>
        <v/>
      </c>
      <c r="X244" s="271" t="str" cm="1">
        <f t="array" ref="X244">IF(OR($E244="",$I244=""),"",(INDEX('Emission factors'!$K$3:$V$201,MATCH('Buildings - Grid Electricity'!$E244&amp;$F244,'Emission factors'!$J$3:$J$201&amp;'Emission factors'!$K$3:$K$201,0),MATCH('Buildings - Grid Electricity'!X$6,'Emission factors'!$K$2:$V$2,0)))*$K244)</f>
        <v/>
      </c>
      <c r="Y244" s="30"/>
      <c r="Z244" s="1" cm="1">
        <f t="array" ref="Z244">IF(OR(ISERROR(B244:X244)),1,0)</f>
        <v>0</v>
      </c>
      <c r="AA244" s="1">
        <f t="shared" si="17"/>
        <v>0</v>
      </c>
    </row>
    <row r="245" spans="1:27" ht="15" outlineLevel="1" thickBot="1" x14ac:dyDescent="0.4">
      <c r="A245" s="319"/>
      <c r="B245" s="216"/>
      <c r="C245" s="216"/>
      <c r="D245" s="489" t="str">
        <f>IFERROR(INDEX(BuildingInformationTable[Site type],MATCH(BuildingsElectricityTable[[#This Row],[Site name]],BuildingInformationTable[Site name],0)),"")</f>
        <v/>
      </c>
      <c r="E245" s="490" t="str">
        <f t="shared" si="18"/>
        <v/>
      </c>
      <c r="F245" s="490" t="str">
        <f t="shared" si="19"/>
        <v/>
      </c>
      <c r="G245" s="491"/>
      <c r="H245" s="492" t="str">
        <f>IF(G245="","",INDEX(Lists!$BA$4:$BC$31,MATCH(E245,Lists!$AZ$4:$AZ$31,0),MATCH(G245,Lists!$BA$3:$BC$3,0)))</f>
        <v/>
      </c>
      <c r="I245" s="267"/>
      <c r="J245" s="490" t="str">
        <f t="shared" si="20"/>
        <v/>
      </c>
      <c r="K245" s="493" t="str" cm="1">
        <f t="array" ref="K245">IF(OR($E245="",$D245="",$I245="",$J245=""),"",IF(J245=L245,I245,(INDEX('Emission factors'!$K$3:$V$201,MATCH(E245&amp;F245,'Emission factors'!$J$3:$J$201&amp;'Emission factors'!$K$3:$K$201,0),MATCH(K$6,'Emission factors'!$K$2:$V$2,0)))*I245))</f>
        <v/>
      </c>
      <c r="L245" s="494" t="str">
        <f>IF(OR($E245="",$D245="",$I245="",$J245=""),"",INDEX('Emission factors'!$K$3:$V$201,MATCH('Buildings - Grid Electricity'!$E245,'Emission factors'!$J$3:$J$201,0),MATCH($L$6,'Emission factors'!$K$2:$V$2,0)))</f>
        <v/>
      </c>
      <c r="M245" s="495" t="str" cm="1">
        <f t="array" ref="M245">IF(OR(E245="",I245="",BuildingsElectricityTable[[#This Row],[Units]]=""),"",INDEX('Emission factors'!$K$3:$V$201,MATCH('Buildings - Grid Electricity'!$E245&amp;F245,'Emission factors'!$J$3:$J$201&amp;'Emission factors'!$K$3:$K$201,0),MATCH('Buildings - Grid Electricity'!$M$6,'Emission factors'!$K$2:$V$2,0)))</f>
        <v/>
      </c>
      <c r="N245" s="496" t="str">
        <f>IF(OR(K245="",M245=""),"",SUM(BuildingsElectricityTable[[#This Row],[Direct]:[Indirect WTT]]))</f>
        <v/>
      </c>
      <c r="O245" s="268"/>
      <c r="P245" s="497"/>
      <c r="Q245" s="157" t="str" cm="1">
        <f t="array" ref="Q245">IF(OR($E245="",$I245=""),"",(INDEX('Emission factors'!$K$3:$V$201,MATCH('Buildings - Grid Electricity'!$E245&amp;$F245,'Emission factors'!$J$3:$J$201&amp;'Emission factors'!$K$3:$K$201,0),MATCH('Buildings - Grid Electricity'!Q$6,'Emission factors'!$K$2:$V$2,0)))*$K245)</f>
        <v/>
      </c>
      <c r="R245" s="157" t="str" cm="1">
        <f t="array" ref="R245">IF(OR($E245="",$I245=""),"",(INDEX('Emission factors'!$K$3:$V$201,MATCH('Buildings - Grid Electricity'!$E245&amp;$F245,'Emission factors'!$J$3:$J$201&amp;'Emission factors'!$K$3:$K$201,0),MATCH('Buildings - Grid Electricity'!R$6,'Emission factors'!$K$2:$V$2,0)))*$K245)</f>
        <v/>
      </c>
      <c r="S245" s="157" t="str" cm="1">
        <f t="array" ref="S245">IF(OR($E245="",$I245=""),"",(INDEX('Emission factors'!$K$3:$V$201,MATCH('Buildings - Grid Electricity'!$E245&amp;$F245,'Emission factors'!$J$3:$J$201&amp;'Emission factors'!$K$3:$K$201,0),MATCH('Buildings - Grid Electricity'!S$6,'Emission factors'!$K$2:$V$2,0)))*$K245)</f>
        <v/>
      </c>
      <c r="T245" s="157" t="str" cm="1">
        <f t="array" ref="T245">IF(OR($E245="",$I245=""),"",(INDEX('Emission factors'!$K$3:$V$201,MATCH('Buildings - Grid Electricity'!$E245&amp;$F245,'Emission factors'!$J$3:$J$201&amp;'Emission factors'!$K$3:$K$201,0),MATCH('Buildings - Grid Electricity'!T$6,'Emission factors'!$K$2:$V$2,0)))*$K245)</f>
        <v/>
      </c>
      <c r="U245" s="157" t="str" cm="1">
        <f t="array" ref="U245">IF(OR($E245="",$I245=""),"",(INDEX('Emission factors'!$K$3:$V$201,MATCH('Buildings - Grid Electricity'!$E245&amp;$F245,'Emission factors'!$J$3:$J$201&amp;'Emission factors'!$K$3:$K$201,0),MATCH('Buildings - Grid Electricity'!U$6,'Emission factors'!$K$2:$V$2,0)))*$K245)</f>
        <v/>
      </c>
      <c r="V245" s="269" t="str">
        <f>IF(OR($N245="",BuildingsElectricityTable[[#This Row],[RSD]]=""),"",BuildingsElectricityTable[[#This Row],[Total emissions (kgCO2e)]]*(1+BuildingsElectricityTable[[#This Row],[RSD]]))</f>
        <v/>
      </c>
      <c r="W245" s="270" t="str">
        <f>IF(OR($N245="",BuildingsElectricityTable[[#This Row],[RSD]]=""),"",BuildingsElectricityTable[[#This Row],[Total emissions (kgCO2e)]]*(1-BuildingsElectricityTable[[#This Row],[RSD]]))</f>
        <v/>
      </c>
      <c r="X245" s="271" t="str" cm="1">
        <f t="array" ref="X245">IF(OR($E245="",$I245=""),"",(INDEX('Emission factors'!$K$3:$V$201,MATCH('Buildings - Grid Electricity'!$E245&amp;$F245,'Emission factors'!$J$3:$J$201&amp;'Emission factors'!$K$3:$K$201,0),MATCH('Buildings - Grid Electricity'!X$6,'Emission factors'!$K$2:$V$2,0)))*$K245)</f>
        <v/>
      </c>
      <c r="Y245" s="30"/>
      <c r="Z245" s="1" cm="1">
        <f t="array" ref="Z245">IF(OR(ISERROR(B245:X245)),1,0)</f>
        <v>0</v>
      </c>
      <c r="AA245" s="1">
        <f t="shared" si="17"/>
        <v>0</v>
      </c>
    </row>
    <row r="246" spans="1:27" ht="15" outlineLevel="1" thickBot="1" x14ac:dyDescent="0.4">
      <c r="A246" s="319"/>
      <c r="B246" s="216"/>
      <c r="C246" s="216"/>
      <c r="D246" s="489" t="str">
        <f>IFERROR(INDEX(BuildingInformationTable[Site type],MATCH(BuildingsElectricityTable[[#This Row],[Site name]],BuildingInformationTable[Site name],0)),"")</f>
        <v/>
      </c>
      <c r="E246" s="490" t="str">
        <f t="shared" si="18"/>
        <v/>
      </c>
      <c r="F246" s="490" t="str">
        <f t="shared" si="19"/>
        <v/>
      </c>
      <c r="G246" s="491"/>
      <c r="H246" s="492" t="str">
        <f>IF(G246="","",INDEX(Lists!$BA$4:$BC$31,MATCH(E246,Lists!$AZ$4:$AZ$31,0),MATCH(G246,Lists!$BA$3:$BC$3,0)))</f>
        <v/>
      </c>
      <c r="I246" s="267"/>
      <c r="J246" s="490" t="str">
        <f t="shared" si="20"/>
        <v/>
      </c>
      <c r="K246" s="493" t="str" cm="1">
        <f t="array" ref="K246">IF(OR($E246="",$D246="",$I246="",$J246=""),"",IF(J246=L246,I246,(INDEX('Emission factors'!$K$3:$V$201,MATCH(E246&amp;F246,'Emission factors'!$J$3:$J$201&amp;'Emission factors'!$K$3:$K$201,0),MATCH(K$6,'Emission factors'!$K$2:$V$2,0)))*I246))</f>
        <v/>
      </c>
      <c r="L246" s="494" t="str">
        <f>IF(OR($E246="",$D246="",$I246="",$J246=""),"",INDEX('Emission factors'!$K$3:$V$201,MATCH('Buildings - Grid Electricity'!$E246,'Emission factors'!$J$3:$J$201,0),MATCH($L$6,'Emission factors'!$K$2:$V$2,0)))</f>
        <v/>
      </c>
      <c r="M246" s="495" t="str" cm="1">
        <f t="array" ref="M246">IF(OR(E246="",I246="",BuildingsElectricityTable[[#This Row],[Units]]=""),"",INDEX('Emission factors'!$K$3:$V$201,MATCH('Buildings - Grid Electricity'!$E246&amp;F246,'Emission factors'!$J$3:$J$201&amp;'Emission factors'!$K$3:$K$201,0),MATCH('Buildings - Grid Electricity'!$M$6,'Emission factors'!$K$2:$V$2,0)))</f>
        <v/>
      </c>
      <c r="N246" s="496" t="str">
        <f>IF(OR(K246="",M246=""),"",SUM(BuildingsElectricityTable[[#This Row],[Direct]:[Indirect WTT]]))</f>
        <v/>
      </c>
      <c r="O246" s="268"/>
      <c r="P246" s="497"/>
      <c r="Q246" s="157" t="str" cm="1">
        <f t="array" ref="Q246">IF(OR($E246="",$I246=""),"",(INDEX('Emission factors'!$K$3:$V$201,MATCH('Buildings - Grid Electricity'!$E246&amp;$F246,'Emission factors'!$J$3:$J$201&amp;'Emission factors'!$K$3:$K$201,0),MATCH('Buildings - Grid Electricity'!Q$6,'Emission factors'!$K$2:$V$2,0)))*$K246)</f>
        <v/>
      </c>
      <c r="R246" s="157" t="str" cm="1">
        <f t="array" ref="R246">IF(OR($E246="",$I246=""),"",(INDEX('Emission factors'!$K$3:$V$201,MATCH('Buildings - Grid Electricity'!$E246&amp;$F246,'Emission factors'!$J$3:$J$201&amp;'Emission factors'!$K$3:$K$201,0),MATCH('Buildings - Grid Electricity'!R$6,'Emission factors'!$K$2:$V$2,0)))*$K246)</f>
        <v/>
      </c>
      <c r="S246" s="157" t="str" cm="1">
        <f t="array" ref="S246">IF(OR($E246="",$I246=""),"",(INDEX('Emission factors'!$K$3:$V$201,MATCH('Buildings - Grid Electricity'!$E246&amp;$F246,'Emission factors'!$J$3:$J$201&amp;'Emission factors'!$K$3:$K$201,0),MATCH('Buildings - Grid Electricity'!S$6,'Emission factors'!$K$2:$V$2,0)))*$K246)</f>
        <v/>
      </c>
      <c r="T246" s="157" t="str" cm="1">
        <f t="array" ref="T246">IF(OR($E246="",$I246=""),"",(INDEX('Emission factors'!$K$3:$V$201,MATCH('Buildings - Grid Electricity'!$E246&amp;$F246,'Emission factors'!$J$3:$J$201&amp;'Emission factors'!$K$3:$K$201,0),MATCH('Buildings - Grid Electricity'!T$6,'Emission factors'!$K$2:$V$2,0)))*$K246)</f>
        <v/>
      </c>
      <c r="U246" s="157" t="str" cm="1">
        <f t="array" ref="U246">IF(OR($E246="",$I246=""),"",(INDEX('Emission factors'!$K$3:$V$201,MATCH('Buildings - Grid Electricity'!$E246&amp;$F246,'Emission factors'!$J$3:$J$201&amp;'Emission factors'!$K$3:$K$201,0),MATCH('Buildings - Grid Electricity'!U$6,'Emission factors'!$K$2:$V$2,0)))*$K246)</f>
        <v/>
      </c>
      <c r="V246" s="269" t="str">
        <f>IF(OR($N246="",BuildingsElectricityTable[[#This Row],[RSD]]=""),"",BuildingsElectricityTable[[#This Row],[Total emissions (kgCO2e)]]*(1+BuildingsElectricityTable[[#This Row],[RSD]]))</f>
        <v/>
      </c>
      <c r="W246" s="270" t="str">
        <f>IF(OR($N246="",BuildingsElectricityTable[[#This Row],[RSD]]=""),"",BuildingsElectricityTable[[#This Row],[Total emissions (kgCO2e)]]*(1-BuildingsElectricityTable[[#This Row],[RSD]]))</f>
        <v/>
      </c>
      <c r="X246" s="271" t="str" cm="1">
        <f t="array" ref="X246">IF(OR($E246="",$I246=""),"",(INDEX('Emission factors'!$K$3:$V$201,MATCH('Buildings - Grid Electricity'!$E246&amp;$F246,'Emission factors'!$J$3:$J$201&amp;'Emission factors'!$K$3:$K$201,0),MATCH('Buildings - Grid Electricity'!X$6,'Emission factors'!$K$2:$V$2,0)))*$K246)</f>
        <v/>
      </c>
      <c r="Y246" s="30"/>
      <c r="Z246" s="1" cm="1">
        <f t="array" ref="Z246">IF(OR(ISERROR(B246:X246)),1,0)</f>
        <v>0</v>
      </c>
      <c r="AA246" s="1">
        <f t="shared" si="17"/>
        <v>0</v>
      </c>
    </row>
    <row r="247" spans="1:27" ht="15" outlineLevel="1" thickBot="1" x14ac:dyDescent="0.4">
      <c r="A247" s="319"/>
      <c r="B247" s="216"/>
      <c r="C247" s="216"/>
      <c r="D247" s="489" t="str">
        <f>IFERROR(INDEX(BuildingInformationTable[Site type],MATCH(BuildingsElectricityTable[[#This Row],[Site name]],BuildingInformationTable[Site name],0)),"")</f>
        <v/>
      </c>
      <c r="E247" s="490" t="str">
        <f t="shared" si="18"/>
        <v/>
      </c>
      <c r="F247" s="490" t="str">
        <f t="shared" si="19"/>
        <v/>
      </c>
      <c r="G247" s="491"/>
      <c r="H247" s="492" t="str">
        <f>IF(G247="","",INDEX(Lists!$BA$4:$BC$31,MATCH(E247,Lists!$AZ$4:$AZ$31,0),MATCH(G247,Lists!$BA$3:$BC$3,0)))</f>
        <v/>
      </c>
      <c r="I247" s="267"/>
      <c r="J247" s="490" t="str">
        <f t="shared" si="20"/>
        <v/>
      </c>
      <c r="K247" s="493" t="str" cm="1">
        <f t="array" ref="K247">IF(OR($E247="",$D247="",$I247="",$J247=""),"",IF(J247=L247,I247,(INDEX('Emission factors'!$K$3:$V$201,MATCH(E247&amp;F247,'Emission factors'!$J$3:$J$201&amp;'Emission factors'!$K$3:$K$201,0),MATCH(K$6,'Emission factors'!$K$2:$V$2,0)))*I247))</f>
        <v/>
      </c>
      <c r="L247" s="494" t="str">
        <f>IF(OR($E247="",$D247="",$I247="",$J247=""),"",INDEX('Emission factors'!$K$3:$V$201,MATCH('Buildings - Grid Electricity'!$E247,'Emission factors'!$J$3:$J$201,0),MATCH($L$6,'Emission factors'!$K$2:$V$2,0)))</f>
        <v/>
      </c>
      <c r="M247" s="495" t="str" cm="1">
        <f t="array" ref="M247">IF(OR(E247="",I247="",BuildingsElectricityTable[[#This Row],[Units]]=""),"",INDEX('Emission factors'!$K$3:$V$201,MATCH('Buildings - Grid Electricity'!$E247&amp;F247,'Emission factors'!$J$3:$J$201&amp;'Emission factors'!$K$3:$K$201,0),MATCH('Buildings - Grid Electricity'!$M$6,'Emission factors'!$K$2:$V$2,0)))</f>
        <v/>
      </c>
      <c r="N247" s="496" t="str">
        <f>IF(OR(K247="",M247=""),"",SUM(BuildingsElectricityTable[[#This Row],[Direct]:[Indirect WTT]]))</f>
        <v/>
      </c>
      <c r="O247" s="268"/>
      <c r="P247" s="497"/>
      <c r="Q247" s="157" t="str" cm="1">
        <f t="array" ref="Q247">IF(OR($E247="",$I247=""),"",(INDEX('Emission factors'!$K$3:$V$201,MATCH('Buildings - Grid Electricity'!$E247&amp;$F247,'Emission factors'!$J$3:$J$201&amp;'Emission factors'!$K$3:$K$201,0),MATCH('Buildings - Grid Electricity'!Q$6,'Emission factors'!$K$2:$V$2,0)))*$K247)</f>
        <v/>
      </c>
      <c r="R247" s="157" t="str" cm="1">
        <f t="array" ref="R247">IF(OR($E247="",$I247=""),"",(INDEX('Emission factors'!$K$3:$V$201,MATCH('Buildings - Grid Electricity'!$E247&amp;$F247,'Emission factors'!$J$3:$J$201&amp;'Emission factors'!$K$3:$K$201,0),MATCH('Buildings - Grid Electricity'!R$6,'Emission factors'!$K$2:$V$2,0)))*$K247)</f>
        <v/>
      </c>
      <c r="S247" s="157" t="str" cm="1">
        <f t="array" ref="S247">IF(OR($E247="",$I247=""),"",(INDEX('Emission factors'!$K$3:$V$201,MATCH('Buildings - Grid Electricity'!$E247&amp;$F247,'Emission factors'!$J$3:$J$201&amp;'Emission factors'!$K$3:$K$201,0),MATCH('Buildings - Grid Electricity'!S$6,'Emission factors'!$K$2:$V$2,0)))*$K247)</f>
        <v/>
      </c>
      <c r="T247" s="157" t="str" cm="1">
        <f t="array" ref="T247">IF(OR($E247="",$I247=""),"",(INDEX('Emission factors'!$K$3:$V$201,MATCH('Buildings - Grid Electricity'!$E247&amp;$F247,'Emission factors'!$J$3:$J$201&amp;'Emission factors'!$K$3:$K$201,0),MATCH('Buildings - Grid Electricity'!T$6,'Emission factors'!$K$2:$V$2,0)))*$K247)</f>
        <v/>
      </c>
      <c r="U247" s="157" t="str" cm="1">
        <f t="array" ref="U247">IF(OR($E247="",$I247=""),"",(INDEX('Emission factors'!$K$3:$V$201,MATCH('Buildings - Grid Electricity'!$E247&amp;$F247,'Emission factors'!$J$3:$J$201&amp;'Emission factors'!$K$3:$K$201,0),MATCH('Buildings - Grid Electricity'!U$6,'Emission factors'!$K$2:$V$2,0)))*$K247)</f>
        <v/>
      </c>
      <c r="V247" s="269" t="str">
        <f>IF(OR($N247="",BuildingsElectricityTable[[#This Row],[RSD]]=""),"",BuildingsElectricityTable[[#This Row],[Total emissions (kgCO2e)]]*(1+BuildingsElectricityTable[[#This Row],[RSD]]))</f>
        <v/>
      </c>
      <c r="W247" s="270" t="str">
        <f>IF(OR($N247="",BuildingsElectricityTable[[#This Row],[RSD]]=""),"",BuildingsElectricityTable[[#This Row],[Total emissions (kgCO2e)]]*(1-BuildingsElectricityTable[[#This Row],[RSD]]))</f>
        <v/>
      </c>
      <c r="X247" s="271" t="str" cm="1">
        <f t="array" ref="X247">IF(OR($E247="",$I247=""),"",(INDEX('Emission factors'!$K$3:$V$201,MATCH('Buildings - Grid Electricity'!$E247&amp;$F247,'Emission factors'!$J$3:$J$201&amp;'Emission factors'!$K$3:$K$201,0),MATCH('Buildings - Grid Electricity'!X$6,'Emission factors'!$K$2:$V$2,0)))*$K247)</f>
        <v/>
      </c>
      <c r="Y247" s="30"/>
      <c r="Z247" s="1" cm="1">
        <f t="array" ref="Z247">IF(OR(ISERROR(B247:X247)),1,0)</f>
        <v>0</v>
      </c>
      <c r="AA247" s="1">
        <f t="shared" si="17"/>
        <v>0</v>
      </c>
    </row>
    <row r="248" spans="1:27" ht="15" outlineLevel="1" thickBot="1" x14ac:dyDescent="0.4">
      <c r="A248" s="319"/>
      <c r="B248" s="216"/>
      <c r="C248" s="216"/>
      <c r="D248" s="489" t="str">
        <f>IFERROR(INDEX(BuildingInformationTable[Site type],MATCH(BuildingsElectricityTable[[#This Row],[Site name]],BuildingInformationTable[Site name],0)),"")</f>
        <v/>
      </c>
      <c r="E248" s="490" t="str">
        <f t="shared" si="18"/>
        <v/>
      </c>
      <c r="F248" s="490" t="str">
        <f t="shared" si="19"/>
        <v/>
      </c>
      <c r="G248" s="491"/>
      <c r="H248" s="492" t="str">
        <f>IF(G248="","",INDEX(Lists!$BA$4:$BC$31,MATCH(E248,Lists!$AZ$4:$AZ$31,0),MATCH(G248,Lists!$BA$3:$BC$3,0)))</f>
        <v/>
      </c>
      <c r="I248" s="267"/>
      <c r="J248" s="490" t="str">
        <f t="shared" si="20"/>
        <v/>
      </c>
      <c r="K248" s="493" t="str" cm="1">
        <f t="array" ref="K248">IF(OR($E248="",$D248="",$I248="",$J248=""),"",IF(J248=L248,I248,(INDEX('Emission factors'!$K$3:$V$201,MATCH(E248&amp;F248,'Emission factors'!$J$3:$J$201&amp;'Emission factors'!$K$3:$K$201,0),MATCH(K$6,'Emission factors'!$K$2:$V$2,0)))*I248))</f>
        <v/>
      </c>
      <c r="L248" s="494" t="str">
        <f>IF(OR($E248="",$D248="",$I248="",$J248=""),"",INDEX('Emission factors'!$K$3:$V$201,MATCH('Buildings - Grid Electricity'!$E248,'Emission factors'!$J$3:$J$201,0),MATCH($L$6,'Emission factors'!$K$2:$V$2,0)))</f>
        <v/>
      </c>
      <c r="M248" s="495" t="str" cm="1">
        <f t="array" ref="M248">IF(OR(E248="",I248="",BuildingsElectricityTable[[#This Row],[Units]]=""),"",INDEX('Emission factors'!$K$3:$V$201,MATCH('Buildings - Grid Electricity'!$E248&amp;F248,'Emission factors'!$J$3:$J$201&amp;'Emission factors'!$K$3:$K$201,0),MATCH('Buildings - Grid Electricity'!$M$6,'Emission factors'!$K$2:$V$2,0)))</f>
        <v/>
      </c>
      <c r="N248" s="496" t="str">
        <f>IF(OR(K248="",M248=""),"",SUM(BuildingsElectricityTable[[#This Row],[Direct]:[Indirect WTT]]))</f>
        <v/>
      </c>
      <c r="O248" s="268"/>
      <c r="P248" s="497"/>
      <c r="Q248" s="157" t="str" cm="1">
        <f t="array" ref="Q248">IF(OR($E248="",$I248=""),"",(INDEX('Emission factors'!$K$3:$V$201,MATCH('Buildings - Grid Electricity'!$E248&amp;$F248,'Emission factors'!$J$3:$J$201&amp;'Emission factors'!$K$3:$K$201,0),MATCH('Buildings - Grid Electricity'!Q$6,'Emission factors'!$K$2:$V$2,0)))*$K248)</f>
        <v/>
      </c>
      <c r="R248" s="157" t="str" cm="1">
        <f t="array" ref="R248">IF(OR($E248="",$I248=""),"",(INDEX('Emission factors'!$K$3:$V$201,MATCH('Buildings - Grid Electricity'!$E248&amp;$F248,'Emission factors'!$J$3:$J$201&amp;'Emission factors'!$K$3:$K$201,0),MATCH('Buildings - Grid Electricity'!R$6,'Emission factors'!$K$2:$V$2,0)))*$K248)</f>
        <v/>
      </c>
      <c r="S248" s="157" t="str" cm="1">
        <f t="array" ref="S248">IF(OR($E248="",$I248=""),"",(INDEX('Emission factors'!$K$3:$V$201,MATCH('Buildings - Grid Electricity'!$E248&amp;$F248,'Emission factors'!$J$3:$J$201&amp;'Emission factors'!$K$3:$K$201,0),MATCH('Buildings - Grid Electricity'!S$6,'Emission factors'!$K$2:$V$2,0)))*$K248)</f>
        <v/>
      </c>
      <c r="T248" s="157" t="str" cm="1">
        <f t="array" ref="T248">IF(OR($E248="",$I248=""),"",(INDEX('Emission factors'!$K$3:$V$201,MATCH('Buildings - Grid Electricity'!$E248&amp;$F248,'Emission factors'!$J$3:$J$201&amp;'Emission factors'!$K$3:$K$201,0),MATCH('Buildings - Grid Electricity'!T$6,'Emission factors'!$K$2:$V$2,0)))*$K248)</f>
        <v/>
      </c>
      <c r="U248" s="157" t="str" cm="1">
        <f t="array" ref="U248">IF(OR($E248="",$I248=""),"",(INDEX('Emission factors'!$K$3:$V$201,MATCH('Buildings - Grid Electricity'!$E248&amp;$F248,'Emission factors'!$J$3:$J$201&amp;'Emission factors'!$K$3:$K$201,0),MATCH('Buildings - Grid Electricity'!U$6,'Emission factors'!$K$2:$V$2,0)))*$K248)</f>
        <v/>
      </c>
      <c r="V248" s="269" t="str">
        <f>IF(OR($N248="",BuildingsElectricityTable[[#This Row],[RSD]]=""),"",BuildingsElectricityTable[[#This Row],[Total emissions (kgCO2e)]]*(1+BuildingsElectricityTable[[#This Row],[RSD]]))</f>
        <v/>
      </c>
      <c r="W248" s="270" t="str">
        <f>IF(OR($N248="",BuildingsElectricityTable[[#This Row],[RSD]]=""),"",BuildingsElectricityTable[[#This Row],[Total emissions (kgCO2e)]]*(1-BuildingsElectricityTable[[#This Row],[RSD]]))</f>
        <v/>
      </c>
      <c r="X248" s="271" t="str" cm="1">
        <f t="array" ref="X248">IF(OR($E248="",$I248=""),"",(INDEX('Emission factors'!$K$3:$V$201,MATCH('Buildings - Grid Electricity'!$E248&amp;$F248,'Emission factors'!$J$3:$J$201&amp;'Emission factors'!$K$3:$K$201,0),MATCH('Buildings - Grid Electricity'!X$6,'Emission factors'!$K$2:$V$2,0)))*$K248)</f>
        <v/>
      </c>
      <c r="Y248" s="30"/>
      <c r="Z248" s="1" cm="1">
        <f t="array" ref="Z248">IF(OR(ISERROR(B248:X248)),1,0)</f>
        <v>0</v>
      </c>
      <c r="AA248" s="1">
        <f t="shared" si="17"/>
        <v>0</v>
      </c>
    </row>
    <row r="249" spans="1:27" ht="15" outlineLevel="1" thickBot="1" x14ac:dyDescent="0.4">
      <c r="A249" s="319"/>
      <c r="B249" s="216"/>
      <c r="C249" s="216"/>
      <c r="D249" s="489" t="str">
        <f>IFERROR(INDEX(BuildingInformationTable[Site type],MATCH(BuildingsElectricityTable[[#This Row],[Site name]],BuildingInformationTable[Site name],0)),"")</f>
        <v/>
      </c>
      <c r="E249" s="490" t="str">
        <f t="shared" si="18"/>
        <v/>
      </c>
      <c r="F249" s="490" t="str">
        <f t="shared" si="19"/>
        <v/>
      </c>
      <c r="G249" s="491"/>
      <c r="H249" s="492" t="str">
        <f>IF(G249="","",INDEX(Lists!$BA$4:$BC$31,MATCH(E249,Lists!$AZ$4:$AZ$31,0),MATCH(G249,Lists!$BA$3:$BC$3,0)))</f>
        <v/>
      </c>
      <c r="I249" s="267"/>
      <c r="J249" s="490" t="str">
        <f t="shared" si="20"/>
        <v/>
      </c>
      <c r="K249" s="493" t="str" cm="1">
        <f t="array" ref="K249">IF(OR($E249="",$D249="",$I249="",$J249=""),"",IF(J249=L249,I249,(INDEX('Emission factors'!$K$3:$V$201,MATCH(E249&amp;F249,'Emission factors'!$J$3:$J$201&amp;'Emission factors'!$K$3:$K$201,0),MATCH(K$6,'Emission factors'!$K$2:$V$2,0)))*I249))</f>
        <v/>
      </c>
      <c r="L249" s="494" t="str">
        <f>IF(OR($E249="",$D249="",$I249="",$J249=""),"",INDEX('Emission factors'!$K$3:$V$201,MATCH('Buildings - Grid Electricity'!$E249,'Emission factors'!$J$3:$J$201,0),MATCH($L$6,'Emission factors'!$K$2:$V$2,0)))</f>
        <v/>
      </c>
      <c r="M249" s="495" t="str" cm="1">
        <f t="array" ref="M249">IF(OR(E249="",I249="",BuildingsElectricityTable[[#This Row],[Units]]=""),"",INDEX('Emission factors'!$K$3:$V$201,MATCH('Buildings - Grid Electricity'!$E249&amp;F249,'Emission factors'!$J$3:$J$201&amp;'Emission factors'!$K$3:$K$201,0),MATCH('Buildings - Grid Electricity'!$M$6,'Emission factors'!$K$2:$V$2,0)))</f>
        <v/>
      </c>
      <c r="N249" s="496" t="str">
        <f>IF(OR(K249="",M249=""),"",SUM(BuildingsElectricityTable[[#This Row],[Direct]:[Indirect WTT]]))</f>
        <v/>
      </c>
      <c r="O249" s="268"/>
      <c r="P249" s="497"/>
      <c r="Q249" s="157" t="str" cm="1">
        <f t="array" ref="Q249">IF(OR($E249="",$I249=""),"",(INDEX('Emission factors'!$K$3:$V$201,MATCH('Buildings - Grid Electricity'!$E249&amp;$F249,'Emission factors'!$J$3:$J$201&amp;'Emission factors'!$K$3:$K$201,0),MATCH('Buildings - Grid Electricity'!Q$6,'Emission factors'!$K$2:$V$2,0)))*$K249)</f>
        <v/>
      </c>
      <c r="R249" s="157" t="str" cm="1">
        <f t="array" ref="R249">IF(OR($E249="",$I249=""),"",(INDEX('Emission factors'!$K$3:$V$201,MATCH('Buildings - Grid Electricity'!$E249&amp;$F249,'Emission factors'!$J$3:$J$201&amp;'Emission factors'!$K$3:$K$201,0),MATCH('Buildings - Grid Electricity'!R$6,'Emission factors'!$K$2:$V$2,0)))*$K249)</f>
        <v/>
      </c>
      <c r="S249" s="157" t="str" cm="1">
        <f t="array" ref="S249">IF(OR($E249="",$I249=""),"",(INDEX('Emission factors'!$K$3:$V$201,MATCH('Buildings - Grid Electricity'!$E249&amp;$F249,'Emission factors'!$J$3:$J$201&amp;'Emission factors'!$K$3:$K$201,0),MATCH('Buildings - Grid Electricity'!S$6,'Emission factors'!$K$2:$V$2,0)))*$K249)</f>
        <v/>
      </c>
      <c r="T249" s="157" t="str" cm="1">
        <f t="array" ref="T249">IF(OR($E249="",$I249=""),"",(INDEX('Emission factors'!$K$3:$V$201,MATCH('Buildings - Grid Electricity'!$E249&amp;$F249,'Emission factors'!$J$3:$J$201&amp;'Emission factors'!$K$3:$K$201,0),MATCH('Buildings - Grid Electricity'!T$6,'Emission factors'!$K$2:$V$2,0)))*$K249)</f>
        <v/>
      </c>
      <c r="U249" s="157" t="str" cm="1">
        <f t="array" ref="U249">IF(OR($E249="",$I249=""),"",(INDEX('Emission factors'!$K$3:$V$201,MATCH('Buildings - Grid Electricity'!$E249&amp;$F249,'Emission factors'!$J$3:$J$201&amp;'Emission factors'!$K$3:$K$201,0),MATCH('Buildings - Grid Electricity'!U$6,'Emission factors'!$K$2:$V$2,0)))*$K249)</f>
        <v/>
      </c>
      <c r="V249" s="269" t="str">
        <f>IF(OR($N249="",BuildingsElectricityTable[[#This Row],[RSD]]=""),"",BuildingsElectricityTable[[#This Row],[Total emissions (kgCO2e)]]*(1+BuildingsElectricityTable[[#This Row],[RSD]]))</f>
        <v/>
      </c>
      <c r="W249" s="270" t="str">
        <f>IF(OR($N249="",BuildingsElectricityTable[[#This Row],[RSD]]=""),"",BuildingsElectricityTable[[#This Row],[Total emissions (kgCO2e)]]*(1-BuildingsElectricityTable[[#This Row],[RSD]]))</f>
        <v/>
      </c>
      <c r="X249" s="271" t="str" cm="1">
        <f t="array" ref="X249">IF(OR($E249="",$I249=""),"",(INDEX('Emission factors'!$K$3:$V$201,MATCH('Buildings - Grid Electricity'!$E249&amp;$F249,'Emission factors'!$J$3:$J$201&amp;'Emission factors'!$K$3:$K$201,0),MATCH('Buildings - Grid Electricity'!X$6,'Emission factors'!$K$2:$V$2,0)))*$K249)</f>
        <v/>
      </c>
      <c r="Y249" s="30"/>
      <c r="Z249" s="1" cm="1">
        <f t="array" ref="Z249">IF(OR(ISERROR(B249:X249)),1,0)</f>
        <v>0</v>
      </c>
      <c r="AA249" s="1">
        <f t="shared" si="17"/>
        <v>0</v>
      </c>
    </row>
    <row r="250" spans="1:27" ht="15" outlineLevel="1" thickBot="1" x14ac:dyDescent="0.4">
      <c r="A250" s="319"/>
      <c r="B250" s="216"/>
      <c r="C250" s="216"/>
      <c r="D250" s="489" t="str">
        <f>IFERROR(INDEX(BuildingInformationTable[Site type],MATCH(BuildingsElectricityTable[[#This Row],[Site name]],BuildingInformationTable[Site name],0)),"")</f>
        <v/>
      </c>
      <c r="E250" s="490" t="str">
        <f t="shared" si="18"/>
        <v/>
      </c>
      <c r="F250" s="490" t="str">
        <f t="shared" si="19"/>
        <v/>
      </c>
      <c r="G250" s="491"/>
      <c r="H250" s="492" t="str">
        <f>IF(G250="","",INDEX(Lists!$BA$4:$BC$31,MATCH(E250,Lists!$AZ$4:$AZ$31,0),MATCH(G250,Lists!$BA$3:$BC$3,0)))</f>
        <v/>
      </c>
      <c r="I250" s="267"/>
      <c r="J250" s="490" t="str">
        <f t="shared" si="20"/>
        <v/>
      </c>
      <c r="K250" s="493" t="str" cm="1">
        <f t="array" ref="K250">IF(OR($E250="",$D250="",$I250="",$J250=""),"",IF(J250=L250,I250,(INDEX('Emission factors'!$K$3:$V$201,MATCH(E250&amp;F250,'Emission factors'!$J$3:$J$201&amp;'Emission factors'!$K$3:$K$201,0),MATCH(K$6,'Emission factors'!$K$2:$V$2,0)))*I250))</f>
        <v/>
      </c>
      <c r="L250" s="494" t="str">
        <f>IF(OR($E250="",$D250="",$I250="",$J250=""),"",INDEX('Emission factors'!$K$3:$V$201,MATCH('Buildings - Grid Electricity'!$E250,'Emission factors'!$J$3:$J$201,0),MATCH($L$6,'Emission factors'!$K$2:$V$2,0)))</f>
        <v/>
      </c>
      <c r="M250" s="495" t="str" cm="1">
        <f t="array" ref="M250">IF(OR(E250="",I250="",BuildingsElectricityTable[[#This Row],[Units]]=""),"",INDEX('Emission factors'!$K$3:$V$201,MATCH('Buildings - Grid Electricity'!$E250&amp;F250,'Emission factors'!$J$3:$J$201&amp;'Emission factors'!$K$3:$K$201,0),MATCH('Buildings - Grid Electricity'!$M$6,'Emission factors'!$K$2:$V$2,0)))</f>
        <v/>
      </c>
      <c r="N250" s="496" t="str">
        <f>IF(OR(K250="",M250=""),"",SUM(BuildingsElectricityTable[[#This Row],[Direct]:[Indirect WTT]]))</f>
        <v/>
      </c>
      <c r="O250" s="268"/>
      <c r="P250" s="497"/>
      <c r="Q250" s="157" t="str" cm="1">
        <f t="array" ref="Q250">IF(OR($E250="",$I250=""),"",(INDEX('Emission factors'!$K$3:$V$201,MATCH('Buildings - Grid Electricity'!$E250&amp;$F250,'Emission factors'!$J$3:$J$201&amp;'Emission factors'!$K$3:$K$201,0),MATCH('Buildings - Grid Electricity'!Q$6,'Emission factors'!$K$2:$V$2,0)))*$K250)</f>
        <v/>
      </c>
      <c r="R250" s="157" t="str" cm="1">
        <f t="array" ref="R250">IF(OR($E250="",$I250=""),"",(INDEX('Emission factors'!$K$3:$V$201,MATCH('Buildings - Grid Electricity'!$E250&amp;$F250,'Emission factors'!$J$3:$J$201&amp;'Emission factors'!$K$3:$K$201,0),MATCH('Buildings - Grid Electricity'!R$6,'Emission factors'!$K$2:$V$2,0)))*$K250)</f>
        <v/>
      </c>
      <c r="S250" s="157" t="str" cm="1">
        <f t="array" ref="S250">IF(OR($E250="",$I250=""),"",(INDEX('Emission factors'!$K$3:$V$201,MATCH('Buildings - Grid Electricity'!$E250&amp;$F250,'Emission factors'!$J$3:$J$201&amp;'Emission factors'!$K$3:$K$201,0),MATCH('Buildings - Grid Electricity'!S$6,'Emission factors'!$K$2:$V$2,0)))*$K250)</f>
        <v/>
      </c>
      <c r="T250" s="157" t="str" cm="1">
        <f t="array" ref="T250">IF(OR($E250="",$I250=""),"",(INDEX('Emission factors'!$K$3:$V$201,MATCH('Buildings - Grid Electricity'!$E250&amp;$F250,'Emission factors'!$J$3:$J$201&amp;'Emission factors'!$K$3:$K$201,0),MATCH('Buildings - Grid Electricity'!T$6,'Emission factors'!$K$2:$V$2,0)))*$K250)</f>
        <v/>
      </c>
      <c r="U250" s="157" t="str" cm="1">
        <f t="array" ref="U250">IF(OR($E250="",$I250=""),"",(INDEX('Emission factors'!$K$3:$V$201,MATCH('Buildings - Grid Electricity'!$E250&amp;$F250,'Emission factors'!$J$3:$J$201&amp;'Emission factors'!$K$3:$K$201,0),MATCH('Buildings - Grid Electricity'!U$6,'Emission factors'!$K$2:$V$2,0)))*$K250)</f>
        <v/>
      </c>
      <c r="V250" s="269" t="str">
        <f>IF(OR($N250="",BuildingsElectricityTable[[#This Row],[RSD]]=""),"",BuildingsElectricityTable[[#This Row],[Total emissions (kgCO2e)]]*(1+BuildingsElectricityTable[[#This Row],[RSD]]))</f>
        <v/>
      </c>
      <c r="W250" s="270" t="str">
        <f>IF(OR($N250="",BuildingsElectricityTable[[#This Row],[RSD]]=""),"",BuildingsElectricityTable[[#This Row],[Total emissions (kgCO2e)]]*(1-BuildingsElectricityTable[[#This Row],[RSD]]))</f>
        <v/>
      </c>
      <c r="X250" s="271" t="str" cm="1">
        <f t="array" ref="X250">IF(OR($E250="",$I250=""),"",(INDEX('Emission factors'!$K$3:$V$201,MATCH('Buildings - Grid Electricity'!$E250&amp;$F250,'Emission factors'!$J$3:$J$201&amp;'Emission factors'!$K$3:$K$201,0),MATCH('Buildings - Grid Electricity'!X$6,'Emission factors'!$K$2:$V$2,0)))*$K250)</f>
        <v/>
      </c>
      <c r="Y250" s="30"/>
      <c r="Z250" s="1" cm="1">
        <f t="array" ref="Z250">IF(OR(ISERROR(B250:X250)),1,0)</f>
        <v>0</v>
      </c>
      <c r="AA250" s="1">
        <f t="shared" si="17"/>
        <v>0</v>
      </c>
    </row>
    <row r="251" spans="1:27" ht="15" outlineLevel="1" thickBot="1" x14ac:dyDescent="0.4">
      <c r="A251" s="319"/>
      <c r="B251" s="216"/>
      <c r="C251" s="216"/>
      <c r="D251" s="489" t="str">
        <f>IFERROR(INDEX(BuildingInformationTable[Site type],MATCH(BuildingsElectricityTable[[#This Row],[Site name]],BuildingInformationTable[Site name],0)),"")</f>
        <v/>
      </c>
      <c r="E251" s="490" t="str">
        <f t="shared" si="18"/>
        <v/>
      </c>
      <c r="F251" s="490" t="str">
        <f t="shared" si="19"/>
        <v/>
      </c>
      <c r="G251" s="491"/>
      <c r="H251" s="492" t="str">
        <f>IF(G251="","",INDEX(Lists!$BA$4:$BC$31,MATCH(E251,Lists!$AZ$4:$AZ$31,0),MATCH(G251,Lists!$BA$3:$BC$3,0)))</f>
        <v/>
      </c>
      <c r="I251" s="267"/>
      <c r="J251" s="490" t="str">
        <f t="shared" si="20"/>
        <v/>
      </c>
      <c r="K251" s="493" t="str" cm="1">
        <f t="array" ref="K251">IF(OR($E251="",$D251="",$I251="",$J251=""),"",IF(J251=L251,I251,(INDEX('Emission factors'!$K$3:$V$201,MATCH(E251&amp;F251,'Emission factors'!$J$3:$J$201&amp;'Emission factors'!$K$3:$K$201,0),MATCH(K$6,'Emission factors'!$K$2:$V$2,0)))*I251))</f>
        <v/>
      </c>
      <c r="L251" s="494" t="str">
        <f>IF(OR($E251="",$D251="",$I251="",$J251=""),"",INDEX('Emission factors'!$K$3:$V$201,MATCH('Buildings - Grid Electricity'!$E251,'Emission factors'!$J$3:$J$201,0),MATCH($L$6,'Emission factors'!$K$2:$V$2,0)))</f>
        <v/>
      </c>
      <c r="M251" s="495" t="str" cm="1">
        <f t="array" ref="M251">IF(OR(E251="",I251="",BuildingsElectricityTable[[#This Row],[Units]]=""),"",INDEX('Emission factors'!$K$3:$V$201,MATCH('Buildings - Grid Electricity'!$E251&amp;F251,'Emission factors'!$J$3:$J$201&amp;'Emission factors'!$K$3:$K$201,0),MATCH('Buildings - Grid Electricity'!$M$6,'Emission factors'!$K$2:$V$2,0)))</f>
        <v/>
      </c>
      <c r="N251" s="496" t="str">
        <f>IF(OR(K251="",M251=""),"",SUM(BuildingsElectricityTable[[#This Row],[Direct]:[Indirect WTT]]))</f>
        <v/>
      </c>
      <c r="O251" s="268"/>
      <c r="P251" s="497"/>
      <c r="Q251" s="157" t="str" cm="1">
        <f t="array" ref="Q251">IF(OR($E251="",$I251=""),"",(INDEX('Emission factors'!$K$3:$V$201,MATCH('Buildings - Grid Electricity'!$E251&amp;$F251,'Emission factors'!$J$3:$J$201&amp;'Emission factors'!$K$3:$K$201,0),MATCH('Buildings - Grid Electricity'!Q$6,'Emission factors'!$K$2:$V$2,0)))*$K251)</f>
        <v/>
      </c>
      <c r="R251" s="157" t="str" cm="1">
        <f t="array" ref="R251">IF(OR($E251="",$I251=""),"",(INDEX('Emission factors'!$K$3:$V$201,MATCH('Buildings - Grid Electricity'!$E251&amp;$F251,'Emission factors'!$J$3:$J$201&amp;'Emission factors'!$K$3:$K$201,0),MATCH('Buildings - Grid Electricity'!R$6,'Emission factors'!$K$2:$V$2,0)))*$K251)</f>
        <v/>
      </c>
      <c r="S251" s="157" t="str" cm="1">
        <f t="array" ref="S251">IF(OR($E251="",$I251=""),"",(INDEX('Emission factors'!$K$3:$V$201,MATCH('Buildings - Grid Electricity'!$E251&amp;$F251,'Emission factors'!$J$3:$J$201&amp;'Emission factors'!$K$3:$K$201,0),MATCH('Buildings - Grid Electricity'!S$6,'Emission factors'!$K$2:$V$2,0)))*$K251)</f>
        <v/>
      </c>
      <c r="T251" s="157" t="str" cm="1">
        <f t="array" ref="T251">IF(OR($E251="",$I251=""),"",(INDEX('Emission factors'!$K$3:$V$201,MATCH('Buildings - Grid Electricity'!$E251&amp;$F251,'Emission factors'!$J$3:$J$201&amp;'Emission factors'!$K$3:$K$201,0),MATCH('Buildings - Grid Electricity'!T$6,'Emission factors'!$K$2:$V$2,0)))*$K251)</f>
        <v/>
      </c>
      <c r="U251" s="157" t="str" cm="1">
        <f t="array" ref="U251">IF(OR($E251="",$I251=""),"",(INDEX('Emission factors'!$K$3:$V$201,MATCH('Buildings - Grid Electricity'!$E251&amp;$F251,'Emission factors'!$J$3:$J$201&amp;'Emission factors'!$K$3:$K$201,0),MATCH('Buildings - Grid Electricity'!U$6,'Emission factors'!$K$2:$V$2,0)))*$K251)</f>
        <v/>
      </c>
      <c r="V251" s="269" t="str">
        <f>IF(OR($N251="",BuildingsElectricityTable[[#This Row],[RSD]]=""),"",BuildingsElectricityTable[[#This Row],[Total emissions (kgCO2e)]]*(1+BuildingsElectricityTable[[#This Row],[RSD]]))</f>
        <v/>
      </c>
      <c r="W251" s="270" t="str">
        <f>IF(OR($N251="",BuildingsElectricityTable[[#This Row],[RSD]]=""),"",BuildingsElectricityTable[[#This Row],[Total emissions (kgCO2e)]]*(1-BuildingsElectricityTable[[#This Row],[RSD]]))</f>
        <v/>
      </c>
      <c r="X251" s="271" t="str" cm="1">
        <f t="array" ref="X251">IF(OR($E251="",$I251=""),"",(INDEX('Emission factors'!$K$3:$V$201,MATCH('Buildings - Grid Electricity'!$E251&amp;$F251,'Emission factors'!$J$3:$J$201&amp;'Emission factors'!$K$3:$K$201,0),MATCH('Buildings - Grid Electricity'!X$6,'Emission factors'!$K$2:$V$2,0)))*$K251)</f>
        <v/>
      </c>
      <c r="Y251" s="30"/>
      <c r="Z251" s="1" cm="1">
        <f t="array" ref="Z251">IF(OR(ISERROR(B251:X251)),1,0)</f>
        <v>0</v>
      </c>
      <c r="AA251" s="1">
        <f t="shared" si="17"/>
        <v>0</v>
      </c>
    </row>
    <row r="252" spans="1:27" ht="15" outlineLevel="1" thickBot="1" x14ac:dyDescent="0.4">
      <c r="A252" s="319"/>
      <c r="B252" s="216"/>
      <c r="C252" s="216"/>
      <c r="D252" s="489" t="str">
        <f>IFERROR(INDEX(BuildingInformationTable[Site type],MATCH(BuildingsElectricityTable[[#This Row],[Site name]],BuildingInformationTable[Site name],0)),"")</f>
        <v/>
      </c>
      <c r="E252" s="490" t="str">
        <f t="shared" si="18"/>
        <v/>
      </c>
      <c r="F252" s="490" t="str">
        <f t="shared" si="19"/>
        <v/>
      </c>
      <c r="G252" s="491"/>
      <c r="H252" s="492" t="str">
        <f>IF(G252="","",INDEX(Lists!$BA$4:$BC$31,MATCH(E252,Lists!$AZ$4:$AZ$31,0),MATCH(G252,Lists!$BA$3:$BC$3,0)))</f>
        <v/>
      </c>
      <c r="I252" s="267"/>
      <c r="J252" s="490" t="str">
        <f t="shared" si="20"/>
        <v/>
      </c>
      <c r="K252" s="493" t="str" cm="1">
        <f t="array" ref="K252">IF(OR($E252="",$D252="",$I252="",$J252=""),"",IF(J252=L252,I252,(INDEX('Emission factors'!$K$3:$V$201,MATCH(E252&amp;F252,'Emission factors'!$J$3:$J$201&amp;'Emission factors'!$K$3:$K$201,0),MATCH(K$6,'Emission factors'!$K$2:$V$2,0)))*I252))</f>
        <v/>
      </c>
      <c r="L252" s="494" t="str">
        <f>IF(OR($E252="",$D252="",$I252="",$J252=""),"",INDEX('Emission factors'!$K$3:$V$201,MATCH('Buildings - Grid Electricity'!$E252,'Emission factors'!$J$3:$J$201,0),MATCH($L$6,'Emission factors'!$K$2:$V$2,0)))</f>
        <v/>
      </c>
      <c r="M252" s="495" t="str" cm="1">
        <f t="array" ref="M252">IF(OR(E252="",I252="",BuildingsElectricityTable[[#This Row],[Units]]=""),"",INDEX('Emission factors'!$K$3:$V$201,MATCH('Buildings - Grid Electricity'!$E252&amp;F252,'Emission factors'!$J$3:$J$201&amp;'Emission factors'!$K$3:$K$201,0),MATCH('Buildings - Grid Electricity'!$M$6,'Emission factors'!$K$2:$V$2,0)))</f>
        <v/>
      </c>
      <c r="N252" s="496" t="str">
        <f>IF(OR(K252="",M252=""),"",SUM(BuildingsElectricityTable[[#This Row],[Direct]:[Indirect WTT]]))</f>
        <v/>
      </c>
      <c r="O252" s="268"/>
      <c r="P252" s="497"/>
      <c r="Q252" s="157" t="str" cm="1">
        <f t="array" ref="Q252">IF(OR($E252="",$I252=""),"",(INDEX('Emission factors'!$K$3:$V$201,MATCH('Buildings - Grid Electricity'!$E252&amp;$F252,'Emission factors'!$J$3:$J$201&amp;'Emission factors'!$K$3:$K$201,0),MATCH('Buildings - Grid Electricity'!Q$6,'Emission factors'!$K$2:$V$2,0)))*$K252)</f>
        <v/>
      </c>
      <c r="R252" s="157" t="str" cm="1">
        <f t="array" ref="R252">IF(OR($E252="",$I252=""),"",(INDEX('Emission factors'!$K$3:$V$201,MATCH('Buildings - Grid Electricity'!$E252&amp;$F252,'Emission factors'!$J$3:$J$201&amp;'Emission factors'!$K$3:$K$201,0),MATCH('Buildings - Grid Electricity'!R$6,'Emission factors'!$K$2:$V$2,0)))*$K252)</f>
        <v/>
      </c>
      <c r="S252" s="157" t="str" cm="1">
        <f t="array" ref="S252">IF(OR($E252="",$I252=""),"",(INDEX('Emission factors'!$K$3:$V$201,MATCH('Buildings - Grid Electricity'!$E252&amp;$F252,'Emission factors'!$J$3:$J$201&amp;'Emission factors'!$K$3:$K$201,0),MATCH('Buildings - Grid Electricity'!S$6,'Emission factors'!$K$2:$V$2,0)))*$K252)</f>
        <v/>
      </c>
      <c r="T252" s="157" t="str" cm="1">
        <f t="array" ref="T252">IF(OR($E252="",$I252=""),"",(INDEX('Emission factors'!$K$3:$V$201,MATCH('Buildings - Grid Electricity'!$E252&amp;$F252,'Emission factors'!$J$3:$J$201&amp;'Emission factors'!$K$3:$K$201,0),MATCH('Buildings - Grid Electricity'!T$6,'Emission factors'!$K$2:$V$2,0)))*$K252)</f>
        <v/>
      </c>
      <c r="U252" s="157" t="str" cm="1">
        <f t="array" ref="U252">IF(OR($E252="",$I252=""),"",(INDEX('Emission factors'!$K$3:$V$201,MATCH('Buildings - Grid Electricity'!$E252&amp;$F252,'Emission factors'!$J$3:$J$201&amp;'Emission factors'!$K$3:$K$201,0),MATCH('Buildings - Grid Electricity'!U$6,'Emission factors'!$K$2:$V$2,0)))*$K252)</f>
        <v/>
      </c>
      <c r="V252" s="269" t="str">
        <f>IF(OR($N252="",BuildingsElectricityTable[[#This Row],[RSD]]=""),"",BuildingsElectricityTable[[#This Row],[Total emissions (kgCO2e)]]*(1+BuildingsElectricityTable[[#This Row],[RSD]]))</f>
        <v/>
      </c>
      <c r="W252" s="270" t="str">
        <f>IF(OR($N252="",BuildingsElectricityTable[[#This Row],[RSD]]=""),"",BuildingsElectricityTable[[#This Row],[Total emissions (kgCO2e)]]*(1-BuildingsElectricityTable[[#This Row],[RSD]]))</f>
        <v/>
      </c>
      <c r="X252" s="271" t="str" cm="1">
        <f t="array" ref="X252">IF(OR($E252="",$I252=""),"",(INDEX('Emission factors'!$K$3:$V$201,MATCH('Buildings - Grid Electricity'!$E252&amp;$F252,'Emission factors'!$J$3:$J$201&amp;'Emission factors'!$K$3:$K$201,0),MATCH('Buildings - Grid Electricity'!X$6,'Emission factors'!$K$2:$V$2,0)))*$K252)</f>
        <v/>
      </c>
      <c r="Y252" s="30"/>
      <c r="Z252" s="1" cm="1">
        <f t="array" ref="Z252">IF(OR(ISERROR(B252:X252)),1,0)</f>
        <v>0</v>
      </c>
      <c r="AA252" s="1">
        <f t="shared" si="17"/>
        <v>0</v>
      </c>
    </row>
    <row r="253" spans="1:27" ht="15" outlineLevel="1" thickBot="1" x14ac:dyDescent="0.4">
      <c r="A253" s="319"/>
      <c r="B253" s="216"/>
      <c r="C253" s="216"/>
      <c r="D253" s="489" t="str">
        <f>IFERROR(INDEX(BuildingInformationTable[Site type],MATCH(BuildingsElectricityTable[[#This Row],[Site name]],BuildingInformationTable[Site name],0)),"")</f>
        <v/>
      </c>
      <c r="E253" s="490" t="str">
        <f t="shared" si="18"/>
        <v/>
      </c>
      <c r="F253" s="490" t="str">
        <f t="shared" si="19"/>
        <v/>
      </c>
      <c r="G253" s="491"/>
      <c r="H253" s="492" t="str">
        <f>IF(G253="","",INDEX(Lists!$BA$4:$BC$31,MATCH(E253,Lists!$AZ$4:$AZ$31,0),MATCH(G253,Lists!$BA$3:$BC$3,0)))</f>
        <v/>
      </c>
      <c r="I253" s="267"/>
      <c r="J253" s="490" t="str">
        <f t="shared" si="20"/>
        <v/>
      </c>
      <c r="K253" s="493" t="str" cm="1">
        <f t="array" ref="K253">IF(OR($E253="",$D253="",$I253="",$J253=""),"",IF(J253=L253,I253,(INDEX('Emission factors'!$K$3:$V$201,MATCH(E253&amp;F253,'Emission factors'!$J$3:$J$201&amp;'Emission factors'!$K$3:$K$201,0),MATCH(K$6,'Emission factors'!$K$2:$V$2,0)))*I253))</f>
        <v/>
      </c>
      <c r="L253" s="494" t="str">
        <f>IF(OR($E253="",$D253="",$I253="",$J253=""),"",INDEX('Emission factors'!$K$3:$V$201,MATCH('Buildings - Grid Electricity'!$E253,'Emission factors'!$J$3:$J$201,0),MATCH($L$6,'Emission factors'!$K$2:$V$2,0)))</f>
        <v/>
      </c>
      <c r="M253" s="495" t="str" cm="1">
        <f t="array" ref="M253">IF(OR(E253="",I253="",BuildingsElectricityTable[[#This Row],[Units]]=""),"",INDEX('Emission factors'!$K$3:$V$201,MATCH('Buildings - Grid Electricity'!$E253&amp;F253,'Emission factors'!$J$3:$J$201&amp;'Emission factors'!$K$3:$K$201,0),MATCH('Buildings - Grid Electricity'!$M$6,'Emission factors'!$K$2:$V$2,0)))</f>
        <v/>
      </c>
      <c r="N253" s="496" t="str">
        <f>IF(OR(K253="",M253=""),"",SUM(BuildingsElectricityTable[[#This Row],[Direct]:[Indirect WTT]]))</f>
        <v/>
      </c>
      <c r="O253" s="268"/>
      <c r="P253" s="497"/>
      <c r="Q253" s="157" t="str" cm="1">
        <f t="array" ref="Q253">IF(OR($E253="",$I253=""),"",(INDEX('Emission factors'!$K$3:$V$201,MATCH('Buildings - Grid Electricity'!$E253&amp;$F253,'Emission factors'!$J$3:$J$201&amp;'Emission factors'!$K$3:$K$201,0),MATCH('Buildings - Grid Electricity'!Q$6,'Emission factors'!$K$2:$V$2,0)))*$K253)</f>
        <v/>
      </c>
      <c r="R253" s="157" t="str" cm="1">
        <f t="array" ref="R253">IF(OR($E253="",$I253=""),"",(INDEX('Emission factors'!$K$3:$V$201,MATCH('Buildings - Grid Electricity'!$E253&amp;$F253,'Emission factors'!$J$3:$J$201&amp;'Emission factors'!$K$3:$K$201,0),MATCH('Buildings - Grid Electricity'!R$6,'Emission factors'!$K$2:$V$2,0)))*$K253)</f>
        <v/>
      </c>
      <c r="S253" s="157" t="str" cm="1">
        <f t="array" ref="S253">IF(OR($E253="",$I253=""),"",(INDEX('Emission factors'!$K$3:$V$201,MATCH('Buildings - Grid Electricity'!$E253&amp;$F253,'Emission factors'!$J$3:$J$201&amp;'Emission factors'!$K$3:$K$201,0),MATCH('Buildings - Grid Electricity'!S$6,'Emission factors'!$K$2:$V$2,0)))*$K253)</f>
        <v/>
      </c>
      <c r="T253" s="157" t="str" cm="1">
        <f t="array" ref="T253">IF(OR($E253="",$I253=""),"",(INDEX('Emission factors'!$K$3:$V$201,MATCH('Buildings - Grid Electricity'!$E253&amp;$F253,'Emission factors'!$J$3:$J$201&amp;'Emission factors'!$K$3:$K$201,0),MATCH('Buildings - Grid Electricity'!T$6,'Emission factors'!$K$2:$V$2,0)))*$K253)</f>
        <v/>
      </c>
      <c r="U253" s="157" t="str" cm="1">
        <f t="array" ref="U253">IF(OR($E253="",$I253=""),"",(INDEX('Emission factors'!$K$3:$V$201,MATCH('Buildings - Grid Electricity'!$E253&amp;$F253,'Emission factors'!$J$3:$J$201&amp;'Emission factors'!$K$3:$K$201,0),MATCH('Buildings - Grid Electricity'!U$6,'Emission factors'!$K$2:$V$2,0)))*$K253)</f>
        <v/>
      </c>
      <c r="V253" s="269" t="str">
        <f>IF(OR($N253="",BuildingsElectricityTable[[#This Row],[RSD]]=""),"",BuildingsElectricityTable[[#This Row],[Total emissions (kgCO2e)]]*(1+BuildingsElectricityTable[[#This Row],[RSD]]))</f>
        <v/>
      </c>
      <c r="W253" s="270" t="str">
        <f>IF(OR($N253="",BuildingsElectricityTable[[#This Row],[RSD]]=""),"",BuildingsElectricityTable[[#This Row],[Total emissions (kgCO2e)]]*(1-BuildingsElectricityTable[[#This Row],[RSD]]))</f>
        <v/>
      </c>
      <c r="X253" s="271" t="str" cm="1">
        <f t="array" ref="X253">IF(OR($E253="",$I253=""),"",(INDEX('Emission factors'!$K$3:$V$201,MATCH('Buildings - Grid Electricity'!$E253&amp;$F253,'Emission factors'!$J$3:$J$201&amp;'Emission factors'!$K$3:$K$201,0),MATCH('Buildings - Grid Electricity'!X$6,'Emission factors'!$K$2:$V$2,0)))*$K253)</f>
        <v/>
      </c>
      <c r="Y253" s="30"/>
      <c r="Z253" s="1" cm="1">
        <f t="array" ref="Z253">IF(OR(ISERROR(B253:X253)),1,0)</f>
        <v>0</v>
      </c>
      <c r="AA253" s="1">
        <f t="shared" si="17"/>
        <v>0</v>
      </c>
    </row>
    <row r="254" spans="1:27" ht="15" outlineLevel="1" thickBot="1" x14ac:dyDescent="0.4">
      <c r="A254" s="319"/>
      <c r="B254" s="216"/>
      <c r="C254" s="216"/>
      <c r="D254" s="489" t="str">
        <f>IFERROR(INDEX(BuildingInformationTable[Site type],MATCH(BuildingsElectricityTable[[#This Row],[Site name]],BuildingInformationTable[Site name],0)),"")</f>
        <v/>
      </c>
      <c r="E254" s="490" t="str">
        <f t="shared" si="18"/>
        <v/>
      </c>
      <c r="F254" s="490" t="str">
        <f t="shared" si="19"/>
        <v/>
      </c>
      <c r="G254" s="491"/>
      <c r="H254" s="492" t="str">
        <f>IF(G254="","",INDEX(Lists!$BA$4:$BC$31,MATCH(E254,Lists!$AZ$4:$AZ$31,0),MATCH(G254,Lists!$BA$3:$BC$3,0)))</f>
        <v/>
      </c>
      <c r="I254" s="267"/>
      <c r="J254" s="490" t="str">
        <f t="shared" si="20"/>
        <v/>
      </c>
      <c r="K254" s="493" t="str" cm="1">
        <f t="array" ref="K254">IF(OR($E254="",$D254="",$I254="",$J254=""),"",IF(J254=L254,I254,(INDEX('Emission factors'!$K$3:$V$201,MATCH(E254&amp;F254,'Emission factors'!$J$3:$J$201&amp;'Emission factors'!$K$3:$K$201,0),MATCH(K$6,'Emission factors'!$K$2:$V$2,0)))*I254))</f>
        <v/>
      </c>
      <c r="L254" s="494" t="str">
        <f>IF(OR($E254="",$D254="",$I254="",$J254=""),"",INDEX('Emission factors'!$K$3:$V$201,MATCH('Buildings - Grid Electricity'!$E254,'Emission factors'!$J$3:$J$201,0),MATCH($L$6,'Emission factors'!$K$2:$V$2,0)))</f>
        <v/>
      </c>
      <c r="M254" s="495" t="str" cm="1">
        <f t="array" ref="M254">IF(OR(E254="",I254="",BuildingsElectricityTable[[#This Row],[Units]]=""),"",INDEX('Emission factors'!$K$3:$V$201,MATCH('Buildings - Grid Electricity'!$E254&amp;F254,'Emission factors'!$J$3:$J$201&amp;'Emission factors'!$K$3:$K$201,0),MATCH('Buildings - Grid Electricity'!$M$6,'Emission factors'!$K$2:$V$2,0)))</f>
        <v/>
      </c>
      <c r="N254" s="496" t="str">
        <f>IF(OR(K254="",M254=""),"",SUM(BuildingsElectricityTable[[#This Row],[Direct]:[Indirect WTT]]))</f>
        <v/>
      </c>
      <c r="O254" s="268"/>
      <c r="P254" s="497"/>
      <c r="Q254" s="157" t="str" cm="1">
        <f t="array" ref="Q254">IF(OR($E254="",$I254=""),"",(INDEX('Emission factors'!$K$3:$V$201,MATCH('Buildings - Grid Electricity'!$E254&amp;$F254,'Emission factors'!$J$3:$J$201&amp;'Emission factors'!$K$3:$K$201,0),MATCH('Buildings - Grid Electricity'!Q$6,'Emission factors'!$K$2:$V$2,0)))*$K254)</f>
        <v/>
      </c>
      <c r="R254" s="157" t="str" cm="1">
        <f t="array" ref="R254">IF(OR($E254="",$I254=""),"",(INDEX('Emission factors'!$K$3:$V$201,MATCH('Buildings - Grid Electricity'!$E254&amp;$F254,'Emission factors'!$J$3:$J$201&amp;'Emission factors'!$K$3:$K$201,0),MATCH('Buildings - Grid Electricity'!R$6,'Emission factors'!$K$2:$V$2,0)))*$K254)</f>
        <v/>
      </c>
      <c r="S254" s="157" t="str" cm="1">
        <f t="array" ref="S254">IF(OR($E254="",$I254=""),"",(INDEX('Emission factors'!$K$3:$V$201,MATCH('Buildings - Grid Electricity'!$E254&amp;$F254,'Emission factors'!$J$3:$J$201&amp;'Emission factors'!$K$3:$K$201,0),MATCH('Buildings - Grid Electricity'!S$6,'Emission factors'!$K$2:$V$2,0)))*$K254)</f>
        <v/>
      </c>
      <c r="T254" s="157" t="str" cm="1">
        <f t="array" ref="T254">IF(OR($E254="",$I254=""),"",(INDEX('Emission factors'!$K$3:$V$201,MATCH('Buildings - Grid Electricity'!$E254&amp;$F254,'Emission factors'!$J$3:$J$201&amp;'Emission factors'!$K$3:$K$201,0),MATCH('Buildings - Grid Electricity'!T$6,'Emission factors'!$K$2:$V$2,0)))*$K254)</f>
        <v/>
      </c>
      <c r="U254" s="157" t="str" cm="1">
        <f t="array" ref="U254">IF(OR($E254="",$I254=""),"",(INDEX('Emission factors'!$K$3:$V$201,MATCH('Buildings - Grid Electricity'!$E254&amp;$F254,'Emission factors'!$J$3:$J$201&amp;'Emission factors'!$K$3:$K$201,0),MATCH('Buildings - Grid Electricity'!U$6,'Emission factors'!$K$2:$V$2,0)))*$K254)</f>
        <v/>
      </c>
      <c r="V254" s="269" t="str">
        <f>IF(OR($N254="",BuildingsElectricityTable[[#This Row],[RSD]]=""),"",BuildingsElectricityTable[[#This Row],[Total emissions (kgCO2e)]]*(1+BuildingsElectricityTable[[#This Row],[RSD]]))</f>
        <v/>
      </c>
      <c r="W254" s="270" t="str">
        <f>IF(OR($N254="",BuildingsElectricityTable[[#This Row],[RSD]]=""),"",BuildingsElectricityTable[[#This Row],[Total emissions (kgCO2e)]]*(1-BuildingsElectricityTable[[#This Row],[RSD]]))</f>
        <v/>
      </c>
      <c r="X254" s="271" t="str" cm="1">
        <f t="array" ref="X254">IF(OR($E254="",$I254=""),"",(INDEX('Emission factors'!$K$3:$V$201,MATCH('Buildings - Grid Electricity'!$E254&amp;$F254,'Emission factors'!$J$3:$J$201&amp;'Emission factors'!$K$3:$K$201,0),MATCH('Buildings - Grid Electricity'!X$6,'Emission factors'!$K$2:$V$2,0)))*$K254)</f>
        <v/>
      </c>
      <c r="Y254" s="30"/>
      <c r="Z254" s="1" cm="1">
        <f t="array" ref="Z254">IF(OR(ISERROR(B254:X254)),1,0)</f>
        <v>0</v>
      </c>
      <c r="AA254" s="1">
        <f t="shared" si="17"/>
        <v>0</v>
      </c>
    </row>
    <row r="255" spans="1:27" ht="15" outlineLevel="1" thickBot="1" x14ac:dyDescent="0.4">
      <c r="A255" s="319"/>
      <c r="B255" s="216"/>
      <c r="C255" s="216"/>
      <c r="D255" s="489" t="str">
        <f>IFERROR(INDEX(BuildingInformationTable[Site type],MATCH(BuildingsElectricityTable[[#This Row],[Site name]],BuildingInformationTable[Site name],0)),"")</f>
        <v/>
      </c>
      <c r="E255" s="490" t="str">
        <f t="shared" si="18"/>
        <v/>
      </c>
      <c r="F255" s="490" t="str">
        <f t="shared" si="19"/>
        <v/>
      </c>
      <c r="G255" s="491"/>
      <c r="H255" s="492" t="str">
        <f>IF(G255="","",INDEX(Lists!$BA$4:$BC$31,MATCH(E255,Lists!$AZ$4:$AZ$31,0),MATCH(G255,Lists!$BA$3:$BC$3,0)))</f>
        <v/>
      </c>
      <c r="I255" s="267"/>
      <c r="J255" s="490" t="str">
        <f t="shared" si="20"/>
        <v/>
      </c>
      <c r="K255" s="493" t="str" cm="1">
        <f t="array" ref="K255">IF(OR($E255="",$D255="",$I255="",$J255=""),"",IF(J255=L255,I255,(INDEX('Emission factors'!$K$3:$V$201,MATCH(E255&amp;F255,'Emission factors'!$J$3:$J$201&amp;'Emission factors'!$K$3:$K$201,0),MATCH(K$6,'Emission factors'!$K$2:$V$2,0)))*I255))</f>
        <v/>
      </c>
      <c r="L255" s="494" t="str">
        <f>IF(OR($E255="",$D255="",$I255="",$J255=""),"",INDEX('Emission factors'!$K$3:$V$201,MATCH('Buildings - Grid Electricity'!$E255,'Emission factors'!$J$3:$J$201,0),MATCH($L$6,'Emission factors'!$K$2:$V$2,0)))</f>
        <v/>
      </c>
      <c r="M255" s="495" t="str" cm="1">
        <f t="array" ref="M255">IF(OR(E255="",I255="",BuildingsElectricityTable[[#This Row],[Units]]=""),"",INDEX('Emission factors'!$K$3:$V$201,MATCH('Buildings - Grid Electricity'!$E255&amp;F255,'Emission factors'!$J$3:$J$201&amp;'Emission factors'!$K$3:$K$201,0),MATCH('Buildings - Grid Electricity'!$M$6,'Emission factors'!$K$2:$V$2,0)))</f>
        <v/>
      </c>
      <c r="N255" s="496" t="str">
        <f>IF(OR(K255="",M255=""),"",SUM(BuildingsElectricityTable[[#This Row],[Direct]:[Indirect WTT]]))</f>
        <v/>
      </c>
      <c r="O255" s="268"/>
      <c r="P255" s="497"/>
      <c r="Q255" s="157" t="str" cm="1">
        <f t="array" ref="Q255">IF(OR($E255="",$I255=""),"",(INDEX('Emission factors'!$K$3:$V$201,MATCH('Buildings - Grid Electricity'!$E255&amp;$F255,'Emission factors'!$J$3:$J$201&amp;'Emission factors'!$K$3:$K$201,0),MATCH('Buildings - Grid Electricity'!Q$6,'Emission factors'!$K$2:$V$2,0)))*$K255)</f>
        <v/>
      </c>
      <c r="R255" s="157" t="str" cm="1">
        <f t="array" ref="R255">IF(OR($E255="",$I255=""),"",(INDEX('Emission factors'!$K$3:$V$201,MATCH('Buildings - Grid Electricity'!$E255&amp;$F255,'Emission factors'!$J$3:$J$201&amp;'Emission factors'!$K$3:$K$201,0),MATCH('Buildings - Grid Electricity'!R$6,'Emission factors'!$K$2:$V$2,0)))*$K255)</f>
        <v/>
      </c>
      <c r="S255" s="157" t="str" cm="1">
        <f t="array" ref="S255">IF(OR($E255="",$I255=""),"",(INDEX('Emission factors'!$K$3:$V$201,MATCH('Buildings - Grid Electricity'!$E255&amp;$F255,'Emission factors'!$J$3:$J$201&amp;'Emission factors'!$K$3:$K$201,0),MATCH('Buildings - Grid Electricity'!S$6,'Emission factors'!$K$2:$V$2,0)))*$K255)</f>
        <v/>
      </c>
      <c r="T255" s="157" t="str" cm="1">
        <f t="array" ref="T255">IF(OR($E255="",$I255=""),"",(INDEX('Emission factors'!$K$3:$V$201,MATCH('Buildings - Grid Electricity'!$E255&amp;$F255,'Emission factors'!$J$3:$J$201&amp;'Emission factors'!$K$3:$K$201,0),MATCH('Buildings - Grid Electricity'!T$6,'Emission factors'!$K$2:$V$2,0)))*$K255)</f>
        <v/>
      </c>
      <c r="U255" s="157" t="str" cm="1">
        <f t="array" ref="U255">IF(OR($E255="",$I255=""),"",(INDEX('Emission factors'!$K$3:$V$201,MATCH('Buildings - Grid Electricity'!$E255&amp;$F255,'Emission factors'!$J$3:$J$201&amp;'Emission factors'!$K$3:$K$201,0),MATCH('Buildings - Grid Electricity'!U$6,'Emission factors'!$K$2:$V$2,0)))*$K255)</f>
        <v/>
      </c>
      <c r="V255" s="269" t="str">
        <f>IF(OR($N255="",BuildingsElectricityTable[[#This Row],[RSD]]=""),"",BuildingsElectricityTable[[#This Row],[Total emissions (kgCO2e)]]*(1+BuildingsElectricityTable[[#This Row],[RSD]]))</f>
        <v/>
      </c>
      <c r="W255" s="270" t="str">
        <f>IF(OR($N255="",BuildingsElectricityTable[[#This Row],[RSD]]=""),"",BuildingsElectricityTable[[#This Row],[Total emissions (kgCO2e)]]*(1-BuildingsElectricityTable[[#This Row],[RSD]]))</f>
        <v/>
      </c>
      <c r="X255" s="271" t="str" cm="1">
        <f t="array" ref="X255">IF(OR($E255="",$I255=""),"",(INDEX('Emission factors'!$K$3:$V$201,MATCH('Buildings - Grid Electricity'!$E255&amp;$F255,'Emission factors'!$J$3:$J$201&amp;'Emission factors'!$K$3:$K$201,0),MATCH('Buildings - Grid Electricity'!X$6,'Emission factors'!$K$2:$V$2,0)))*$K255)</f>
        <v/>
      </c>
      <c r="Y255" s="30"/>
      <c r="Z255" s="1" cm="1">
        <f t="array" ref="Z255">IF(OR(ISERROR(B255:X255)),1,0)</f>
        <v>0</v>
      </c>
      <c r="AA255" s="1">
        <f t="shared" si="17"/>
        <v>0</v>
      </c>
    </row>
    <row r="256" spans="1:27" ht="15" outlineLevel="1" thickBot="1" x14ac:dyDescent="0.4">
      <c r="A256" s="319"/>
      <c r="B256" s="216"/>
      <c r="C256" s="216"/>
      <c r="D256" s="489" t="str">
        <f>IFERROR(INDEX(BuildingInformationTable[Site type],MATCH(BuildingsElectricityTable[[#This Row],[Site name]],BuildingInformationTable[Site name],0)),"")</f>
        <v/>
      </c>
      <c r="E256" s="490" t="str">
        <f t="shared" si="18"/>
        <v/>
      </c>
      <c r="F256" s="490" t="str">
        <f t="shared" si="19"/>
        <v/>
      </c>
      <c r="G256" s="491"/>
      <c r="H256" s="492" t="str">
        <f>IF(G256="","",INDEX(Lists!$BA$4:$BC$31,MATCH(E256,Lists!$AZ$4:$AZ$31,0),MATCH(G256,Lists!$BA$3:$BC$3,0)))</f>
        <v/>
      </c>
      <c r="I256" s="267"/>
      <c r="J256" s="490" t="str">
        <f t="shared" si="20"/>
        <v/>
      </c>
      <c r="K256" s="493" t="str" cm="1">
        <f t="array" ref="K256">IF(OR($E256="",$D256="",$I256="",$J256=""),"",IF(J256=L256,I256,(INDEX('Emission factors'!$K$3:$V$201,MATCH(E256&amp;F256,'Emission factors'!$J$3:$J$201&amp;'Emission factors'!$K$3:$K$201,0),MATCH(K$6,'Emission factors'!$K$2:$V$2,0)))*I256))</f>
        <v/>
      </c>
      <c r="L256" s="494" t="str">
        <f>IF(OR($E256="",$D256="",$I256="",$J256=""),"",INDEX('Emission factors'!$K$3:$V$201,MATCH('Buildings - Grid Electricity'!$E256,'Emission factors'!$J$3:$J$201,0),MATCH($L$6,'Emission factors'!$K$2:$V$2,0)))</f>
        <v/>
      </c>
      <c r="M256" s="495" t="str" cm="1">
        <f t="array" ref="M256">IF(OR(E256="",I256="",BuildingsElectricityTable[[#This Row],[Units]]=""),"",INDEX('Emission factors'!$K$3:$V$201,MATCH('Buildings - Grid Electricity'!$E256&amp;F256,'Emission factors'!$J$3:$J$201&amp;'Emission factors'!$K$3:$K$201,0),MATCH('Buildings - Grid Electricity'!$M$6,'Emission factors'!$K$2:$V$2,0)))</f>
        <v/>
      </c>
      <c r="N256" s="496" t="str">
        <f>IF(OR(K256="",M256=""),"",SUM(BuildingsElectricityTable[[#This Row],[Direct]:[Indirect WTT]]))</f>
        <v/>
      </c>
      <c r="O256" s="268"/>
      <c r="P256" s="497"/>
      <c r="Q256" s="157" t="str" cm="1">
        <f t="array" ref="Q256">IF(OR($E256="",$I256=""),"",(INDEX('Emission factors'!$K$3:$V$201,MATCH('Buildings - Grid Electricity'!$E256&amp;$F256,'Emission factors'!$J$3:$J$201&amp;'Emission factors'!$K$3:$K$201,0),MATCH('Buildings - Grid Electricity'!Q$6,'Emission factors'!$K$2:$V$2,0)))*$K256)</f>
        <v/>
      </c>
      <c r="R256" s="157" t="str" cm="1">
        <f t="array" ref="R256">IF(OR($E256="",$I256=""),"",(INDEX('Emission factors'!$K$3:$V$201,MATCH('Buildings - Grid Electricity'!$E256&amp;$F256,'Emission factors'!$J$3:$J$201&amp;'Emission factors'!$K$3:$K$201,0),MATCH('Buildings - Grid Electricity'!R$6,'Emission factors'!$K$2:$V$2,0)))*$K256)</f>
        <v/>
      </c>
      <c r="S256" s="157" t="str" cm="1">
        <f t="array" ref="S256">IF(OR($E256="",$I256=""),"",(INDEX('Emission factors'!$K$3:$V$201,MATCH('Buildings - Grid Electricity'!$E256&amp;$F256,'Emission factors'!$J$3:$J$201&amp;'Emission factors'!$K$3:$K$201,0),MATCH('Buildings - Grid Electricity'!S$6,'Emission factors'!$K$2:$V$2,0)))*$K256)</f>
        <v/>
      </c>
      <c r="T256" s="157" t="str" cm="1">
        <f t="array" ref="T256">IF(OR($E256="",$I256=""),"",(INDEX('Emission factors'!$K$3:$V$201,MATCH('Buildings - Grid Electricity'!$E256&amp;$F256,'Emission factors'!$J$3:$J$201&amp;'Emission factors'!$K$3:$K$201,0),MATCH('Buildings - Grid Electricity'!T$6,'Emission factors'!$K$2:$V$2,0)))*$K256)</f>
        <v/>
      </c>
      <c r="U256" s="157" t="str" cm="1">
        <f t="array" ref="U256">IF(OR($E256="",$I256=""),"",(INDEX('Emission factors'!$K$3:$V$201,MATCH('Buildings - Grid Electricity'!$E256&amp;$F256,'Emission factors'!$J$3:$J$201&amp;'Emission factors'!$K$3:$K$201,0),MATCH('Buildings - Grid Electricity'!U$6,'Emission factors'!$K$2:$V$2,0)))*$K256)</f>
        <v/>
      </c>
      <c r="V256" s="269" t="str">
        <f>IF(OR($N256="",BuildingsElectricityTable[[#This Row],[RSD]]=""),"",BuildingsElectricityTable[[#This Row],[Total emissions (kgCO2e)]]*(1+BuildingsElectricityTable[[#This Row],[RSD]]))</f>
        <v/>
      </c>
      <c r="W256" s="270" t="str">
        <f>IF(OR($N256="",BuildingsElectricityTable[[#This Row],[RSD]]=""),"",BuildingsElectricityTable[[#This Row],[Total emissions (kgCO2e)]]*(1-BuildingsElectricityTable[[#This Row],[RSD]]))</f>
        <v/>
      </c>
      <c r="X256" s="271" t="str" cm="1">
        <f t="array" ref="X256">IF(OR($E256="",$I256=""),"",(INDEX('Emission factors'!$K$3:$V$201,MATCH('Buildings - Grid Electricity'!$E256&amp;$F256,'Emission factors'!$J$3:$J$201&amp;'Emission factors'!$K$3:$K$201,0),MATCH('Buildings - Grid Electricity'!X$6,'Emission factors'!$K$2:$V$2,0)))*$K256)</f>
        <v/>
      </c>
      <c r="Y256" s="30"/>
      <c r="Z256" s="1" cm="1">
        <f t="array" ref="Z256">IF(OR(ISERROR(B256:X256)),1,0)</f>
        <v>0</v>
      </c>
      <c r="AA256" s="1">
        <f t="shared" si="17"/>
        <v>0</v>
      </c>
    </row>
    <row r="257" spans="1:27" ht="15" outlineLevel="1" thickBot="1" x14ac:dyDescent="0.4">
      <c r="A257" s="319"/>
      <c r="B257" s="216"/>
      <c r="C257" s="216"/>
      <c r="D257" s="489" t="str">
        <f>IFERROR(INDEX(BuildingInformationTable[Site type],MATCH(BuildingsElectricityTable[[#This Row],[Site name]],BuildingInformationTable[Site name],0)),"")</f>
        <v/>
      </c>
      <c r="E257" s="490" t="str">
        <f t="shared" si="18"/>
        <v/>
      </c>
      <c r="F257" s="490" t="str">
        <f t="shared" si="19"/>
        <v/>
      </c>
      <c r="G257" s="491"/>
      <c r="H257" s="492" t="str">
        <f>IF(G257="","",INDEX(Lists!$BA$4:$BC$31,MATCH(E257,Lists!$AZ$4:$AZ$31,0),MATCH(G257,Lists!$BA$3:$BC$3,0)))</f>
        <v/>
      </c>
      <c r="I257" s="267"/>
      <c r="J257" s="490" t="str">
        <f t="shared" si="20"/>
        <v/>
      </c>
      <c r="K257" s="493" t="str" cm="1">
        <f t="array" ref="K257">IF(OR($E257="",$D257="",$I257="",$J257=""),"",IF(J257=L257,I257,(INDEX('Emission factors'!$K$3:$V$201,MATCH(E257&amp;F257,'Emission factors'!$J$3:$J$201&amp;'Emission factors'!$K$3:$K$201,0),MATCH(K$6,'Emission factors'!$K$2:$V$2,0)))*I257))</f>
        <v/>
      </c>
      <c r="L257" s="494" t="str">
        <f>IF(OR($E257="",$D257="",$I257="",$J257=""),"",INDEX('Emission factors'!$K$3:$V$201,MATCH('Buildings - Grid Electricity'!$E257,'Emission factors'!$J$3:$J$201,0),MATCH($L$6,'Emission factors'!$K$2:$V$2,0)))</f>
        <v/>
      </c>
      <c r="M257" s="495" t="str" cm="1">
        <f t="array" ref="M257">IF(OR(E257="",I257="",BuildingsElectricityTable[[#This Row],[Units]]=""),"",INDEX('Emission factors'!$K$3:$V$201,MATCH('Buildings - Grid Electricity'!$E257&amp;F257,'Emission factors'!$J$3:$J$201&amp;'Emission factors'!$K$3:$K$201,0),MATCH('Buildings - Grid Electricity'!$M$6,'Emission factors'!$K$2:$V$2,0)))</f>
        <v/>
      </c>
      <c r="N257" s="496" t="str">
        <f>IF(OR(K257="",M257=""),"",SUM(BuildingsElectricityTable[[#This Row],[Direct]:[Indirect WTT]]))</f>
        <v/>
      </c>
      <c r="O257" s="268"/>
      <c r="P257" s="497"/>
      <c r="Q257" s="157" t="str" cm="1">
        <f t="array" ref="Q257">IF(OR($E257="",$I257=""),"",(INDEX('Emission factors'!$K$3:$V$201,MATCH('Buildings - Grid Electricity'!$E257&amp;$F257,'Emission factors'!$J$3:$J$201&amp;'Emission factors'!$K$3:$K$201,0),MATCH('Buildings - Grid Electricity'!Q$6,'Emission factors'!$K$2:$V$2,0)))*$K257)</f>
        <v/>
      </c>
      <c r="R257" s="157" t="str" cm="1">
        <f t="array" ref="R257">IF(OR($E257="",$I257=""),"",(INDEX('Emission factors'!$K$3:$V$201,MATCH('Buildings - Grid Electricity'!$E257&amp;$F257,'Emission factors'!$J$3:$J$201&amp;'Emission factors'!$K$3:$K$201,0),MATCH('Buildings - Grid Electricity'!R$6,'Emission factors'!$K$2:$V$2,0)))*$K257)</f>
        <v/>
      </c>
      <c r="S257" s="157" t="str" cm="1">
        <f t="array" ref="S257">IF(OR($E257="",$I257=""),"",(INDEX('Emission factors'!$K$3:$V$201,MATCH('Buildings - Grid Electricity'!$E257&amp;$F257,'Emission factors'!$J$3:$J$201&amp;'Emission factors'!$K$3:$K$201,0),MATCH('Buildings - Grid Electricity'!S$6,'Emission factors'!$K$2:$V$2,0)))*$K257)</f>
        <v/>
      </c>
      <c r="T257" s="157" t="str" cm="1">
        <f t="array" ref="T257">IF(OR($E257="",$I257=""),"",(INDEX('Emission factors'!$K$3:$V$201,MATCH('Buildings - Grid Electricity'!$E257&amp;$F257,'Emission factors'!$J$3:$J$201&amp;'Emission factors'!$K$3:$K$201,0),MATCH('Buildings - Grid Electricity'!T$6,'Emission factors'!$K$2:$V$2,0)))*$K257)</f>
        <v/>
      </c>
      <c r="U257" s="157" t="str" cm="1">
        <f t="array" ref="U257">IF(OR($E257="",$I257=""),"",(INDEX('Emission factors'!$K$3:$V$201,MATCH('Buildings - Grid Electricity'!$E257&amp;$F257,'Emission factors'!$J$3:$J$201&amp;'Emission factors'!$K$3:$K$201,0),MATCH('Buildings - Grid Electricity'!U$6,'Emission factors'!$K$2:$V$2,0)))*$K257)</f>
        <v/>
      </c>
      <c r="V257" s="269" t="str">
        <f>IF(OR($N257="",BuildingsElectricityTable[[#This Row],[RSD]]=""),"",BuildingsElectricityTable[[#This Row],[Total emissions (kgCO2e)]]*(1+BuildingsElectricityTable[[#This Row],[RSD]]))</f>
        <v/>
      </c>
      <c r="W257" s="270" t="str">
        <f>IF(OR($N257="",BuildingsElectricityTable[[#This Row],[RSD]]=""),"",BuildingsElectricityTable[[#This Row],[Total emissions (kgCO2e)]]*(1-BuildingsElectricityTable[[#This Row],[RSD]]))</f>
        <v/>
      </c>
      <c r="X257" s="271" t="str" cm="1">
        <f t="array" ref="X257">IF(OR($E257="",$I257=""),"",(INDEX('Emission factors'!$K$3:$V$201,MATCH('Buildings - Grid Electricity'!$E257&amp;$F257,'Emission factors'!$J$3:$J$201&amp;'Emission factors'!$K$3:$K$201,0),MATCH('Buildings - Grid Electricity'!X$6,'Emission factors'!$K$2:$V$2,0)))*$K257)</f>
        <v/>
      </c>
      <c r="Y257" s="30"/>
      <c r="Z257" s="1" cm="1">
        <f t="array" ref="Z257">IF(OR(ISERROR(B257:X257)),1,0)</f>
        <v>0</v>
      </c>
      <c r="AA257" s="1">
        <f t="shared" si="17"/>
        <v>0</v>
      </c>
    </row>
    <row r="258" spans="1:27" ht="15" outlineLevel="1" thickBot="1" x14ac:dyDescent="0.4">
      <c r="A258" s="319"/>
      <c r="B258" s="216"/>
      <c r="C258" s="216"/>
      <c r="D258" s="489" t="str">
        <f>IFERROR(INDEX(BuildingInformationTable[Site type],MATCH(BuildingsElectricityTable[[#This Row],[Site name]],BuildingInformationTable[Site name],0)),"")</f>
        <v/>
      </c>
      <c r="E258" s="490" t="str">
        <f t="shared" si="18"/>
        <v/>
      </c>
      <c r="F258" s="490" t="str">
        <f t="shared" si="19"/>
        <v/>
      </c>
      <c r="G258" s="491"/>
      <c r="H258" s="492" t="str">
        <f>IF(G258="","",INDEX(Lists!$BA$4:$BC$31,MATCH(E258,Lists!$AZ$4:$AZ$31,0),MATCH(G258,Lists!$BA$3:$BC$3,0)))</f>
        <v/>
      </c>
      <c r="I258" s="267"/>
      <c r="J258" s="490" t="str">
        <f t="shared" si="20"/>
        <v/>
      </c>
      <c r="K258" s="493" t="str" cm="1">
        <f t="array" ref="K258">IF(OR($E258="",$D258="",$I258="",$J258=""),"",IF(J258=L258,I258,(INDEX('Emission factors'!$K$3:$V$201,MATCH(E258&amp;F258,'Emission factors'!$J$3:$J$201&amp;'Emission factors'!$K$3:$K$201,0),MATCH(K$6,'Emission factors'!$K$2:$V$2,0)))*I258))</f>
        <v/>
      </c>
      <c r="L258" s="494" t="str">
        <f>IF(OR($E258="",$D258="",$I258="",$J258=""),"",INDEX('Emission factors'!$K$3:$V$201,MATCH('Buildings - Grid Electricity'!$E258,'Emission factors'!$J$3:$J$201,0),MATCH($L$6,'Emission factors'!$K$2:$V$2,0)))</f>
        <v/>
      </c>
      <c r="M258" s="495" t="str" cm="1">
        <f t="array" ref="M258">IF(OR(E258="",I258="",BuildingsElectricityTable[[#This Row],[Units]]=""),"",INDEX('Emission factors'!$K$3:$V$201,MATCH('Buildings - Grid Electricity'!$E258&amp;F258,'Emission factors'!$J$3:$J$201&amp;'Emission factors'!$K$3:$K$201,0),MATCH('Buildings - Grid Electricity'!$M$6,'Emission factors'!$K$2:$V$2,0)))</f>
        <v/>
      </c>
      <c r="N258" s="496" t="str">
        <f>IF(OR(K258="",M258=""),"",SUM(BuildingsElectricityTable[[#This Row],[Direct]:[Indirect WTT]]))</f>
        <v/>
      </c>
      <c r="O258" s="268"/>
      <c r="P258" s="497"/>
      <c r="Q258" s="157" t="str" cm="1">
        <f t="array" ref="Q258">IF(OR($E258="",$I258=""),"",(INDEX('Emission factors'!$K$3:$V$201,MATCH('Buildings - Grid Electricity'!$E258&amp;$F258,'Emission factors'!$J$3:$J$201&amp;'Emission factors'!$K$3:$K$201,0),MATCH('Buildings - Grid Electricity'!Q$6,'Emission factors'!$K$2:$V$2,0)))*$K258)</f>
        <v/>
      </c>
      <c r="R258" s="157" t="str" cm="1">
        <f t="array" ref="R258">IF(OR($E258="",$I258=""),"",(INDEX('Emission factors'!$K$3:$V$201,MATCH('Buildings - Grid Electricity'!$E258&amp;$F258,'Emission factors'!$J$3:$J$201&amp;'Emission factors'!$K$3:$K$201,0),MATCH('Buildings - Grid Electricity'!R$6,'Emission factors'!$K$2:$V$2,0)))*$K258)</f>
        <v/>
      </c>
      <c r="S258" s="157" t="str" cm="1">
        <f t="array" ref="S258">IF(OR($E258="",$I258=""),"",(INDEX('Emission factors'!$K$3:$V$201,MATCH('Buildings - Grid Electricity'!$E258&amp;$F258,'Emission factors'!$J$3:$J$201&amp;'Emission factors'!$K$3:$K$201,0),MATCH('Buildings - Grid Electricity'!S$6,'Emission factors'!$K$2:$V$2,0)))*$K258)</f>
        <v/>
      </c>
      <c r="T258" s="157" t="str" cm="1">
        <f t="array" ref="T258">IF(OR($E258="",$I258=""),"",(INDEX('Emission factors'!$K$3:$V$201,MATCH('Buildings - Grid Electricity'!$E258&amp;$F258,'Emission factors'!$J$3:$J$201&amp;'Emission factors'!$K$3:$K$201,0),MATCH('Buildings - Grid Electricity'!T$6,'Emission factors'!$K$2:$V$2,0)))*$K258)</f>
        <v/>
      </c>
      <c r="U258" s="157" t="str" cm="1">
        <f t="array" ref="U258">IF(OR($E258="",$I258=""),"",(INDEX('Emission factors'!$K$3:$V$201,MATCH('Buildings - Grid Electricity'!$E258&amp;$F258,'Emission factors'!$J$3:$J$201&amp;'Emission factors'!$K$3:$K$201,0),MATCH('Buildings - Grid Electricity'!U$6,'Emission factors'!$K$2:$V$2,0)))*$K258)</f>
        <v/>
      </c>
      <c r="V258" s="269" t="str">
        <f>IF(OR($N258="",BuildingsElectricityTable[[#This Row],[RSD]]=""),"",BuildingsElectricityTable[[#This Row],[Total emissions (kgCO2e)]]*(1+BuildingsElectricityTable[[#This Row],[RSD]]))</f>
        <v/>
      </c>
      <c r="W258" s="270" t="str">
        <f>IF(OR($N258="",BuildingsElectricityTable[[#This Row],[RSD]]=""),"",BuildingsElectricityTable[[#This Row],[Total emissions (kgCO2e)]]*(1-BuildingsElectricityTable[[#This Row],[RSD]]))</f>
        <v/>
      </c>
      <c r="X258" s="271" t="str" cm="1">
        <f t="array" ref="X258">IF(OR($E258="",$I258=""),"",(INDEX('Emission factors'!$K$3:$V$201,MATCH('Buildings - Grid Electricity'!$E258&amp;$F258,'Emission factors'!$J$3:$J$201&amp;'Emission factors'!$K$3:$K$201,0),MATCH('Buildings - Grid Electricity'!X$6,'Emission factors'!$K$2:$V$2,0)))*$K258)</f>
        <v/>
      </c>
      <c r="Y258" s="30"/>
      <c r="Z258" s="1" cm="1">
        <f t="array" ref="Z258">IF(OR(ISERROR(B258:X258)),1,0)</f>
        <v>0</v>
      </c>
      <c r="AA258" s="1">
        <f t="shared" si="17"/>
        <v>0</v>
      </c>
    </row>
    <row r="259" spans="1:27" ht="15" outlineLevel="1" thickBot="1" x14ac:dyDescent="0.4">
      <c r="A259" s="319"/>
      <c r="B259" s="216"/>
      <c r="C259" s="216"/>
      <c r="D259" s="489" t="str">
        <f>IFERROR(INDEX(BuildingInformationTable[Site type],MATCH(BuildingsElectricityTable[[#This Row],[Site name]],BuildingInformationTable[Site name],0)),"")</f>
        <v/>
      </c>
      <c r="E259" s="490" t="str">
        <f t="shared" si="18"/>
        <v/>
      </c>
      <c r="F259" s="490" t="str">
        <f t="shared" si="19"/>
        <v/>
      </c>
      <c r="G259" s="491"/>
      <c r="H259" s="492" t="str">
        <f>IF(G259="","",INDEX(Lists!$BA$4:$BC$31,MATCH(E259,Lists!$AZ$4:$AZ$31,0),MATCH(G259,Lists!$BA$3:$BC$3,0)))</f>
        <v/>
      </c>
      <c r="I259" s="267"/>
      <c r="J259" s="490" t="str">
        <f t="shared" si="20"/>
        <v/>
      </c>
      <c r="K259" s="493" t="str" cm="1">
        <f t="array" ref="K259">IF(OR($E259="",$D259="",$I259="",$J259=""),"",IF(J259=L259,I259,(INDEX('Emission factors'!$K$3:$V$201,MATCH(E259&amp;F259,'Emission factors'!$J$3:$J$201&amp;'Emission factors'!$K$3:$K$201,0),MATCH(K$6,'Emission factors'!$K$2:$V$2,0)))*I259))</f>
        <v/>
      </c>
      <c r="L259" s="494" t="str">
        <f>IF(OR($E259="",$D259="",$I259="",$J259=""),"",INDEX('Emission factors'!$K$3:$V$201,MATCH('Buildings - Grid Electricity'!$E259,'Emission factors'!$J$3:$J$201,0),MATCH($L$6,'Emission factors'!$K$2:$V$2,0)))</f>
        <v/>
      </c>
      <c r="M259" s="495" t="str" cm="1">
        <f t="array" ref="M259">IF(OR(E259="",I259="",BuildingsElectricityTable[[#This Row],[Units]]=""),"",INDEX('Emission factors'!$K$3:$V$201,MATCH('Buildings - Grid Electricity'!$E259&amp;F259,'Emission factors'!$J$3:$J$201&amp;'Emission factors'!$K$3:$K$201,0),MATCH('Buildings - Grid Electricity'!$M$6,'Emission factors'!$K$2:$V$2,0)))</f>
        <v/>
      </c>
      <c r="N259" s="496" t="str">
        <f>IF(OR(K259="",M259=""),"",SUM(BuildingsElectricityTable[[#This Row],[Direct]:[Indirect WTT]]))</f>
        <v/>
      </c>
      <c r="O259" s="268"/>
      <c r="P259" s="497"/>
      <c r="Q259" s="157" t="str" cm="1">
        <f t="array" ref="Q259">IF(OR($E259="",$I259=""),"",(INDEX('Emission factors'!$K$3:$V$201,MATCH('Buildings - Grid Electricity'!$E259&amp;$F259,'Emission factors'!$J$3:$J$201&amp;'Emission factors'!$K$3:$K$201,0),MATCH('Buildings - Grid Electricity'!Q$6,'Emission factors'!$K$2:$V$2,0)))*$K259)</f>
        <v/>
      </c>
      <c r="R259" s="157" t="str" cm="1">
        <f t="array" ref="R259">IF(OR($E259="",$I259=""),"",(INDEX('Emission factors'!$K$3:$V$201,MATCH('Buildings - Grid Electricity'!$E259&amp;$F259,'Emission factors'!$J$3:$J$201&amp;'Emission factors'!$K$3:$K$201,0),MATCH('Buildings - Grid Electricity'!R$6,'Emission factors'!$K$2:$V$2,0)))*$K259)</f>
        <v/>
      </c>
      <c r="S259" s="157" t="str" cm="1">
        <f t="array" ref="S259">IF(OR($E259="",$I259=""),"",(INDEX('Emission factors'!$K$3:$V$201,MATCH('Buildings - Grid Electricity'!$E259&amp;$F259,'Emission factors'!$J$3:$J$201&amp;'Emission factors'!$K$3:$K$201,0),MATCH('Buildings - Grid Electricity'!S$6,'Emission factors'!$K$2:$V$2,0)))*$K259)</f>
        <v/>
      </c>
      <c r="T259" s="157" t="str" cm="1">
        <f t="array" ref="T259">IF(OR($E259="",$I259=""),"",(INDEX('Emission factors'!$K$3:$V$201,MATCH('Buildings - Grid Electricity'!$E259&amp;$F259,'Emission factors'!$J$3:$J$201&amp;'Emission factors'!$K$3:$K$201,0),MATCH('Buildings - Grid Electricity'!T$6,'Emission factors'!$K$2:$V$2,0)))*$K259)</f>
        <v/>
      </c>
      <c r="U259" s="157" t="str" cm="1">
        <f t="array" ref="U259">IF(OR($E259="",$I259=""),"",(INDEX('Emission factors'!$K$3:$V$201,MATCH('Buildings - Grid Electricity'!$E259&amp;$F259,'Emission factors'!$J$3:$J$201&amp;'Emission factors'!$K$3:$K$201,0),MATCH('Buildings - Grid Electricity'!U$6,'Emission factors'!$K$2:$V$2,0)))*$K259)</f>
        <v/>
      </c>
      <c r="V259" s="269" t="str">
        <f>IF(OR($N259="",BuildingsElectricityTable[[#This Row],[RSD]]=""),"",BuildingsElectricityTable[[#This Row],[Total emissions (kgCO2e)]]*(1+BuildingsElectricityTable[[#This Row],[RSD]]))</f>
        <v/>
      </c>
      <c r="W259" s="270" t="str">
        <f>IF(OR($N259="",BuildingsElectricityTable[[#This Row],[RSD]]=""),"",BuildingsElectricityTable[[#This Row],[Total emissions (kgCO2e)]]*(1-BuildingsElectricityTable[[#This Row],[RSD]]))</f>
        <v/>
      </c>
      <c r="X259" s="271" t="str" cm="1">
        <f t="array" ref="X259">IF(OR($E259="",$I259=""),"",(INDEX('Emission factors'!$K$3:$V$201,MATCH('Buildings - Grid Electricity'!$E259&amp;$F259,'Emission factors'!$J$3:$J$201&amp;'Emission factors'!$K$3:$K$201,0),MATCH('Buildings - Grid Electricity'!X$6,'Emission factors'!$K$2:$V$2,0)))*$K259)</f>
        <v/>
      </c>
      <c r="Y259" s="30"/>
      <c r="Z259" s="1" cm="1">
        <f t="array" ref="Z259">IF(OR(ISERROR(B259:X259)),1,0)</f>
        <v>0</v>
      </c>
      <c r="AA259" s="1">
        <f t="shared" si="17"/>
        <v>0</v>
      </c>
    </row>
    <row r="260" spans="1:27" ht="15" outlineLevel="1" thickBot="1" x14ac:dyDescent="0.4">
      <c r="A260" s="319"/>
      <c r="B260" s="216"/>
      <c r="C260" s="216"/>
      <c r="D260" s="489" t="str">
        <f>IFERROR(INDEX(BuildingInformationTable[Site type],MATCH(BuildingsElectricityTable[[#This Row],[Site name]],BuildingInformationTable[Site name],0)),"")</f>
        <v/>
      </c>
      <c r="E260" s="490" t="str">
        <f t="shared" si="18"/>
        <v/>
      </c>
      <c r="F260" s="490" t="str">
        <f t="shared" si="19"/>
        <v/>
      </c>
      <c r="G260" s="491"/>
      <c r="H260" s="492" t="str">
        <f>IF(G260="","",INDEX(Lists!$BA$4:$BC$31,MATCH(E260,Lists!$AZ$4:$AZ$31,0),MATCH(G260,Lists!$BA$3:$BC$3,0)))</f>
        <v/>
      </c>
      <c r="I260" s="267"/>
      <c r="J260" s="490" t="str">
        <f t="shared" si="20"/>
        <v/>
      </c>
      <c r="K260" s="493" t="str" cm="1">
        <f t="array" ref="K260">IF(OR($E260="",$D260="",$I260="",$J260=""),"",IF(J260=L260,I260,(INDEX('Emission factors'!$K$3:$V$201,MATCH(E260&amp;F260,'Emission factors'!$J$3:$J$201&amp;'Emission factors'!$K$3:$K$201,0),MATCH(K$6,'Emission factors'!$K$2:$V$2,0)))*I260))</f>
        <v/>
      </c>
      <c r="L260" s="494" t="str">
        <f>IF(OR($E260="",$D260="",$I260="",$J260=""),"",INDEX('Emission factors'!$K$3:$V$201,MATCH('Buildings - Grid Electricity'!$E260,'Emission factors'!$J$3:$J$201,0),MATCH($L$6,'Emission factors'!$K$2:$V$2,0)))</f>
        <v/>
      </c>
      <c r="M260" s="495" t="str" cm="1">
        <f t="array" ref="M260">IF(OR(E260="",I260="",BuildingsElectricityTable[[#This Row],[Units]]=""),"",INDEX('Emission factors'!$K$3:$V$201,MATCH('Buildings - Grid Electricity'!$E260&amp;F260,'Emission factors'!$J$3:$J$201&amp;'Emission factors'!$K$3:$K$201,0),MATCH('Buildings - Grid Electricity'!$M$6,'Emission factors'!$K$2:$V$2,0)))</f>
        <v/>
      </c>
      <c r="N260" s="496" t="str">
        <f>IF(OR(K260="",M260=""),"",SUM(BuildingsElectricityTable[[#This Row],[Direct]:[Indirect WTT]]))</f>
        <v/>
      </c>
      <c r="O260" s="268"/>
      <c r="P260" s="497"/>
      <c r="Q260" s="157" t="str" cm="1">
        <f t="array" ref="Q260">IF(OR($E260="",$I260=""),"",(INDEX('Emission factors'!$K$3:$V$201,MATCH('Buildings - Grid Electricity'!$E260&amp;$F260,'Emission factors'!$J$3:$J$201&amp;'Emission factors'!$K$3:$K$201,0),MATCH('Buildings - Grid Electricity'!Q$6,'Emission factors'!$K$2:$V$2,0)))*$K260)</f>
        <v/>
      </c>
      <c r="R260" s="157" t="str" cm="1">
        <f t="array" ref="R260">IF(OR($E260="",$I260=""),"",(INDEX('Emission factors'!$K$3:$V$201,MATCH('Buildings - Grid Electricity'!$E260&amp;$F260,'Emission factors'!$J$3:$J$201&amp;'Emission factors'!$K$3:$K$201,0),MATCH('Buildings - Grid Electricity'!R$6,'Emission factors'!$K$2:$V$2,0)))*$K260)</f>
        <v/>
      </c>
      <c r="S260" s="157" t="str" cm="1">
        <f t="array" ref="S260">IF(OR($E260="",$I260=""),"",(INDEX('Emission factors'!$K$3:$V$201,MATCH('Buildings - Grid Electricity'!$E260&amp;$F260,'Emission factors'!$J$3:$J$201&amp;'Emission factors'!$K$3:$K$201,0),MATCH('Buildings - Grid Electricity'!S$6,'Emission factors'!$K$2:$V$2,0)))*$K260)</f>
        <v/>
      </c>
      <c r="T260" s="157" t="str" cm="1">
        <f t="array" ref="T260">IF(OR($E260="",$I260=""),"",(INDEX('Emission factors'!$K$3:$V$201,MATCH('Buildings - Grid Electricity'!$E260&amp;$F260,'Emission factors'!$J$3:$J$201&amp;'Emission factors'!$K$3:$K$201,0),MATCH('Buildings - Grid Electricity'!T$6,'Emission factors'!$K$2:$V$2,0)))*$K260)</f>
        <v/>
      </c>
      <c r="U260" s="157" t="str" cm="1">
        <f t="array" ref="U260">IF(OR($E260="",$I260=""),"",(INDEX('Emission factors'!$K$3:$V$201,MATCH('Buildings - Grid Electricity'!$E260&amp;$F260,'Emission factors'!$J$3:$J$201&amp;'Emission factors'!$K$3:$K$201,0),MATCH('Buildings - Grid Electricity'!U$6,'Emission factors'!$K$2:$V$2,0)))*$K260)</f>
        <v/>
      </c>
      <c r="V260" s="269" t="str">
        <f>IF(OR($N260="",BuildingsElectricityTable[[#This Row],[RSD]]=""),"",BuildingsElectricityTable[[#This Row],[Total emissions (kgCO2e)]]*(1+BuildingsElectricityTable[[#This Row],[RSD]]))</f>
        <v/>
      </c>
      <c r="W260" s="270" t="str">
        <f>IF(OR($N260="",BuildingsElectricityTable[[#This Row],[RSD]]=""),"",BuildingsElectricityTable[[#This Row],[Total emissions (kgCO2e)]]*(1-BuildingsElectricityTable[[#This Row],[RSD]]))</f>
        <v/>
      </c>
      <c r="X260" s="271" t="str" cm="1">
        <f t="array" ref="X260">IF(OR($E260="",$I260=""),"",(INDEX('Emission factors'!$K$3:$V$201,MATCH('Buildings - Grid Electricity'!$E260&amp;$F260,'Emission factors'!$J$3:$J$201&amp;'Emission factors'!$K$3:$K$201,0),MATCH('Buildings - Grid Electricity'!X$6,'Emission factors'!$K$2:$V$2,0)))*$K260)</f>
        <v/>
      </c>
      <c r="Y260" s="30"/>
      <c r="Z260" s="1" cm="1">
        <f t="array" ref="Z260">IF(OR(ISERROR(B260:X260)),1,0)</f>
        <v>0</v>
      </c>
      <c r="AA260" s="1">
        <f t="shared" si="17"/>
        <v>0</v>
      </c>
    </row>
    <row r="261" spans="1:27" ht="15" outlineLevel="1" thickBot="1" x14ac:dyDescent="0.4">
      <c r="A261" s="319"/>
      <c r="B261" s="216"/>
      <c r="C261" s="216"/>
      <c r="D261" s="489" t="str">
        <f>IFERROR(INDEX(BuildingInformationTable[Site type],MATCH(BuildingsElectricityTable[[#This Row],[Site name]],BuildingInformationTable[Site name],0)),"")</f>
        <v/>
      </c>
      <c r="E261" s="490" t="str">
        <f t="shared" si="18"/>
        <v/>
      </c>
      <c r="F261" s="490" t="str">
        <f t="shared" si="19"/>
        <v/>
      </c>
      <c r="G261" s="491"/>
      <c r="H261" s="492" t="str">
        <f>IF(G261="","",INDEX(Lists!$BA$4:$BC$31,MATCH(E261,Lists!$AZ$4:$AZ$31,0),MATCH(G261,Lists!$BA$3:$BC$3,0)))</f>
        <v/>
      </c>
      <c r="I261" s="267"/>
      <c r="J261" s="490" t="str">
        <f t="shared" si="20"/>
        <v/>
      </c>
      <c r="K261" s="493" t="str" cm="1">
        <f t="array" ref="K261">IF(OR($E261="",$D261="",$I261="",$J261=""),"",IF(J261=L261,I261,(INDEX('Emission factors'!$K$3:$V$201,MATCH(E261&amp;F261,'Emission factors'!$J$3:$J$201&amp;'Emission factors'!$K$3:$K$201,0),MATCH(K$6,'Emission factors'!$K$2:$V$2,0)))*I261))</f>
        <v/>
      </c>
      <c r="L261" s="494" t="str">
        <f>IF(OR($E261="",$D261="",$I261="",$J261=""),"",INDEX('Emission factors'!$K$3:$V$201,MATCH('Buildings - Grid Electricity'!$E261,'Emission factors'!$J$3:$J$201,0),MATCH($L$6,'Emission factors'!$K$2:$V$2,0)))</f>
        <v/>
      </c>
      <c r="M261" s="495" t="str" cm="1">
        <f t="array" ref="M261">IF(OR(E261="",I261="",BuildingsElectricityTable[[#This Row],[Units]]=""),"",INDEX('Emission factors'!$K$3:$V$201,MATCH('Buildings - Grid Electricity'!$E261&amp;F261,'Emission factors'!$J$3:$J$201&amp;'Emission factors'!$K$3:$K$201,0),MATCH('Buildings - Grid Electricity'!$M$6,'Emission factors'!$K$2:$V$2,0)))</f>
        <v/>
      </c>
      <c r="N261" s="496" t="str">
        <f>IF(OR(K261="",M261=""),"",SUM(BuildingsElectricityTable[[#This Row],[Direct]:[Indirect WTT]]))</f>
        <v/>
      </c>
      <c r="O261" s="268"/>
      <c r="P261" s="497"/>
      <c r="Q261" s="157" t="str" cm="1">
        <f t="array" ref="Q261">IF(OR($E261="",$I261=""),"",(INDEX('Emission factors'!$K$3:$V$201,MATCH('Buildings - Grid Electricity'!$E261&amp;$F261,'Emission factors'!$J$3:$J$201&amp;'Emission factors'!$K$3:$K$201,0),MATCH('Buildings - Grid Electricity'!Q$6,'Emission factors'!$K$2:$V$2,0)))*$K261)</f>
        <v/>
      </c>
      <c r="R261" s="157" t="str" cm="1">
        <f t="array" ref="R261">IF(OR($E261="",$I261=""),"",(INDEX('Emission factors'!$K$3:$V$201,MATCH('Buildings - Grid Electricity'!$E261&amp;$F261,'Emission factors'!$J$3:$J$201&amp;'Emission factors'!$K$3:$K$201,0),MATCH('Buildings - Grid Electricity'!R$6,'Emission factors'!$K$2:$V$2,0)))*$K261)</f>
        <v/>
      </c>
      <c r="S261" s="157" t="str" cm="1">
        <f t="array" ref="S261">IF(OR($E261="",$I261=""),"",(INDEX('Emission factors'!$K$3:$V$201,MATCH('Buildings - Grid Electricity'!$E261&amp;$F261,'Emission factors'!$J$3:$J$201&amp;'Emission factors'!$K$3:$K$201,0),MATCH('Buildings - Grid Electricity'!S$6,'Emission factors'!$K$2:$V$2,0)))*$K261)</f>
        <v/>
      </c>
      <c r="T261" s="157" t="str" cm="1">
        <f t="array" ref="T261">IF(OR($E261="",$I261=""),"",(INDEX('Emission factors'!$K$3:$V$201,MATCH('Buildings - Grid Electricity'!$E261&amp;$F261,'Emission factors'!$J$3:$J$201&amp;'Emission factors'!$K$3:$K$201,0),MATCH('Buildings - Grid Electricity'!T$6,'Emission factors'!$K$2:$V$2,0)))*$K261)</f>
        <v/>
      </c>
      <c r="U261" s="157" t="str" cm="1">
        <f t="array" ref="U261">IF(OR($E261="",$I261=""),"",(INDEX('Emission factors'!$K$3:$V$201,MATCH('Buildings - Grid Electricity'!$E261&amp;$F261,'Emission factors'!$J$3:$J$201&amp;'Emission factors'!$K$3:$K$201,0),MATCH('Buildings - Grid Electricity'!U$6,'Emission factors'!$K$2:$V$2,0)))*$K261)</f>
        <v/>
      </c>
      <c r="V261" s="269" t="str">
        <f>IF(OR($N261="",BuildingsElectricityTable[[#This Row],[RSD]]=""),"",BuildingsElectricityTable[[#This Row],[Total emissions (kgCO2e)]]*(1+BuildingsElectricityTable[[#This Row],[RSD]]))</f>
        <v/>
      </c>
      <c r="W261" s="270" t="str">
        <f>IF(OR($N261="",BuildingsElectricityTable[[#This Row],[RSD]]=""),"",BuildingsElectricityTable[[#This Row],[Total emissions (kgCO2e)]]*(1-BuildingsElectricityTable[[#This Row],[RSD]]))</f>
        <v/>
      </c>
      <c r="X261" s="271" t="str" cm="1">
        <f t="array" ref="X261">IF(OR($E261="",$I261=""),"",(INDEX('Emission factors'!$K$3:$V$201,MATCH('Buildings - Grid Electricity'!$E261&amp;$F261,'Emission factors'!$J$3:$J$201&amp;'Emission factors'!$K$3:$K$201,0),MATCH('Buildings - Grid Electricity'!X$6,'Emission factors'!$K$2:$V$2,0)))*$K261)</f>
        <v/>
      </c>
      <c r="Y261" s="30"/>
      <c r="Z261" s="1" cm="1">
        <f t="array" ref="Z261">IF(OR(ISERROR(B261:X261)),1,0)</f>
        <v>0</v>
      </c>
      <c r="AA261" s="1">
        <f t="shared" si="17"/>
        <v>0</v>
      </c>
    </row>
    <row r="262" spans="1:27" ht="15" outlineLevel="1" thickBot="1" x14ac:dyDescent="0.4">
      <c r="A262" s="319"/>
      <c r="B262" s="216"/>
      <c r="C262" s="216"/>
      <c r="D262" s="489" t="str">
        <f>IFERROR(INDEX(BuildingInformationTable[Site type],MATCH(BuildingsElectricityTable[[#This Row],[Site name]],BuildingInformationTable[Site name],0)),"")</f>
        <v/>
      </c>
      <c r="E262" s="490" t="str">
        <f t="shared" ref="E262:E293" si="21">IF(B262="", "", "Grid electricity")</f>
        <v/>
      </c>
      <c r="F262" s="490" t="str">
        <f t="shared" ref="F262:F293" si="22">IF(E262="Grid electricity", "Consumption based", "")</f>
        <v/>
      </c>
      <c r="G262" s="491"/>
      <c r="H262" s="492" t="str">
        <f>IF(G262="","",INDEX(Lists!$BA$4:$BC$31,MATCH(E262,Lists!$AZ$4:$AZ$31,0),MATCH(G262,Lists!$BA$3:$BC$3,0)))</f>
        <v/>
      </c>
      <c r="I262" s="267"/>
      <c r="J262" s="490" t="str">
        <f t="shared" ref="J262:J293" si="23">IF(I262="", "", "kWh")</f>
        <v/>
      </c>
      <c r="K262" s="493" t="str" cm="1">
        <f t="array" ref="K262">IF(OR($E262="",$D262="",$I262="",$J262=""),"",IF(J262=L262,I262,(INDEX('Emission factors'!$K$3:$V$201,MATCH(E262&amp;F262,'Emission factors'!$J$3:$J$201&amp;'Emission factors'!$K$3:$K$201,0),MATCH(K$6,'Emission factors'!$K$2:$V$2,0)))*I262))</f>
        <v/>
      </c>
      <c r="L262" s="494" t="str">
        <f>IF(OR($E262="",$D262="",$I262="",$J262=""),"",INDEX('Emission factors'!$K$3:$V$201,MATCH('Buildings - Grid Electricity'!$E262,'Emission factors'!$J$3:$J$201,0),MATCH($L$6,'Emission factors'!$K$2:$V$2,0)))</f>
        <v/>
      </c>
      <c r="M262" s="495" t="str" cm="1">
        <f t="array" ref="M262">IF(OR(E262="",I262="",BuildingsElectricityTable[[#This Row],[Units]]=""),"",INDEX('Emission factors'!$K$3:$V$201,MATCH('Buildings - Grid Electricity'!$E262&amp;F262,'Emission factors'!$J$3:$J$201&amp;'Emission factors'!$K$3:$K$201,0),MATCH('Buildings - Grid Electricity'!$M$6,'Emission factors'!$K$2:$V$2,0)))</f>
        <v/>
      </c>
      <c r="N262" s="496" t="str">
        <f>IF(OR(K262="",M262=""),"",SUM(BuildingsElectricityTable[[#This Row],[Direct]:[Indirect WTT]]))</f>
        <v/>
      </c>
      <c r="O262" s="268"/>
      <c r="P262" s="497"/>
      <c r="Q262" s="157" t="str" cm="1">
        <f t="array" ref="Q262">IF(OR($E262="",$I262=""),"",(INDEX('Emission factors'!$K$3:$V$201,MATCH('Buildings - Grid Electricity'!$E262&amp;$F262,'Emission factors'!$J$3:$J$201&amp;'Emission factors'!$K$3:$K$201,0),MATCH('Buildings - Grid Electricity'!Q$6,'Emission factors'!$K$2:$V$2,0)))*$K262)</f>
        <v/>
      </c>
      <c r="R262" s="157" t="str" cm="1">
        <f t="array" ref="R262">IF(OR($E262="",$I262=""),"",(INDEX('Emission factors'!$K$3:$V$201,MATCH('Buildings - Grid Electricity'!$E262&amp;$F262,'Emission factors'!$J$3:$J$201&amp;'Emission factors'!$K$3:$K$201,0),MATCH('Buildings - Grid Electricity'!R$6,'Emission factors'!$K$2:$V$2,0)))*$K262)</f>
        <v/>
      </c>
      <c r="S262" s="157" t="str" cm="1">
        <f t="array" ref="S262">IF(OR($E262="",$I262=""),"",(INDEX('Emission factors'!$K$3:$V$201,MATCH('Buildings - Grid Electricity'!$E262&amp;$F262,'Emission factors'!$J$3:$J$201&amp;'Emission factors'!$K$3:$K$201,0),MATCH('Buildings - Grid Electricity'!S$6,'Emission factors'!$K$2:$V$2,0)))*$K262)</f>
        <v/>
      </c>
      <c r="T262" s="157" t="str" cm="1">
        <f t="array" ref="T262">IF(OR($E262="",$I262=""),"",(INDEX('Emission factors'!$K$3:$V$201,MATCH('Buildings - Grid Electricity'!$E262&amp;$F262,'Emission factors'!$J$3:$J$201&amp;'Emission factors'!$K$3:$K$201,0),MATCH('Buildings - Grid Electricity'!T$6,'Emission factors'!$K$2:$V$2,0)))*$K262)</f>
        <v/>
      </c>
      <c r="U262" s="157" t="str" cm="1">
        <f t="array" ref="U262">IF(OR($E262="",$I262=""),"",(INDEX('Emission factors'!$K$3:$V$201,MATCH('Buildings - Grid Electricity'!$E262&amp;$F262,'Emission factors'!$J$3:$J$201&amp;'Emission factors'!$K$3:$K$201,0),MATCH('Buildings - Grid Electricity'!U$6,'Emission factors'!$K$2:$V$2,0)))*$K262)</f>
        <v/>
      </c>
      <c r="V262" s="269" t="str">
        <f>IF(OR($N262="",BuildingsElectricityTable[[#This Row],[RSD]]=""),"",BuildingsElectricityTable[[#This Row],[Total emissions (kgCO2e)]]*(1+BuildingsElectricityTable[[#This Row],[RSD]]))</f>
        <v/>
      </c>
      <c r="W262" s="270" t="str">
        <f>IF(OR($N262="",BuildingsElectricityTable[[#This Row],[RSD]]=""),"",BuildingsElectricityTable[[#This Row],[Total emissions (kgCO2e)]]*(1-BuildingsElectricityTable[[#This Row],[RSD]]))</f>
        <v/>
      </c>
      <c r="X262" s="271" t="str" cm="1">
        <f t="array" ref="X262">IF(OR($E262="",$I262=""),"",(INDEX('Emission factors'!$K$3:$V$201,MATCH('Buildings - Grid Electricity'!$E262&amp;$F262,'Emission factors'!$J$3:$J$201&amp;'Emission factors'!$K$3:$K$201,0),MATCH('Buildings - Grid Electricity'!X$6,'Emission factors'!$K$2:$V$2,0)))*$K262)</f>
        <v/>
      </c>
      <c r="Y262" s="30"/>
      <c r="Z262" s="1" cm="1">
        <f t="array" ref="Z262">IF(OR(ISERROR(B262:X262)),1,0)</f>
        <v>0</v>
      </c>
      <c r="AA262" s="1">
        <f t="shared" si="17"/>
        <v>0</v>
      </c>
    </row>
    <row r="263" spans="1:27" ht="15" outlineLevel="1" thickBot="1" x14ac:dyDescent="0.4">
      <c r="A263" s="319"/>
      <c r="B263" s="216"/>
      <c r="C263" s="216"/>
      <c r="D263" s="489" t="str">
        <f>IFERROR(INDEX(BuildingInformationTable[Site type],MATCH(BuildingsElectricityTable[[#This Row],[Site name]],BuildingInformationTable[Site name],0)),"")</f>
        <v/>
      </c>
      <c r="E263" s="490" t="str">
        <f t="shared" si="21"/>
        <v/>
      </c>
      <c r="F263" s="490" t="str">
        <f t="shared" si="22"/>
        <v/>
      </c>
      <c r="G263" s="491"/>
      <c r="H263" s="492" t="str">
        <f>IF(G263="","",INDEX(Lists!$BA$4:$BC$31,MATCH(E263,Lists!$AZ$4:$AZ$31,0),MATCH(G263,Lists!$BA$3:$BC$3,0)))</f>
        <v/>
      </c>
      <c r="I263" s="267"/>
      <c r="J263" s="490" t="str">
        <f t="shared" si="23"/>
        <v/>
      </c>
      <c r="K263" s="493" t="str" cm="1">
        <f t="array" ref="K263">IF(OR($E263="",$D263="",$I263="",$J263=""),"",IF(J263=L263,I263,(INDEX('Emission factors'!$K$3:$V$201,MATCH(E263&amp;F263,'Emission factors'!$J$3:$J$201&amp;'Emission factors'!$K$3:$K$201,0),MATCH(K$6,'Emission factors'!$K$2:$V$2,0)))*I263))</f>
        <v/>
      </c>
      <c r="L263" s="494" t="str">
        <f>IF(OR($E263="",$D263="",$I263="",$J263=""),"",INDEX('Emission factors'!$K$3:$V$201,MATCH('Buildings - Grid Electricity'!$E263,'Emission factors'!$J$3:$J$201,0),MATCH($L$6,'Emission factors'!$K$2:$V$2,0)))</f>
        <v/>
      </c>
      <c r="M263" s="495" t="str" cm="1">
        <f t="array" ref="M263">IF(OR(E263="",I263="",BuildingsElectricityTable[[#This Row],[Units]]=""),"",INDEX('Emission factors'!$K$3:$V$201,MATCH('Buildings - Grid Electricity'!$E263&amp;F263,'Emission factors'!$J$3:$J$201&amp;'Emission factors'!$K$3:$K$201,0),MATCH('Buildings - Grid Electricity'!$M$6,'Emission factors'!$K$2:$V$2,0)))</f>
        <v/>
      </c>
      <c r="N263" s="496" t="str">
        <f>IF(OR(K263="",M263=""),"",SUM(BuildingsElectricityTable[[#This Row],[Direct]:[Indirect WTT]]))</f>
        <v/>
      </c>
      <c r="O263" s="268"/>
      <c r="P263" s="497"/>
      <c r="Q263" s="157" t="str" cm="1">
        <f t="array" ref="Q263">IF(OR($E263="",$I263=""),"",(INDEX('Emission factors'!$K$3:$V$201,MATCH('Buildings - Grid Electricity'!$E263&amp;$F263,'Emission factors'!$J$3:$J$201&amp;'Emission factors'!$K$3:$K$201,0),MATCH('Buildings - Grid Electricity'!Q$6,'Emission factors'!$K$2:$V$2,0)))*$K263)</f>
        <v/>
      </c>
      <c r="R263" s="157" t="str" cm="1">
        <f t="array" ref="R263">IF(OR($E263="",$I263=""),"",(INDEX('Emission factors'!$K$3:$V$201,MATCH('Buildings - Grid Electricity'!$E263&amp;$F263,'Emission factors'!$J$3:$J$201&amp;'Emission factors'!$K$3:$K$201,0),MATCH('Buildings - Grid Electricity'!R$6,'Emission factors'!$K$2:$V$2,0)))*$K263)</f>
        <v/>
      </c>
      <c r="S263" s="157" t="str" cm="1">
        <f t="array" ref="S263">IF(OR($E263="",$I263=""),"",(INDEX('Emission factors'!$K$3:$V$201,MATCH('Buildings - Grid Electricity'!$E263&amp;$F263,'Emission factors'!$J$3:$J$201&amp;'Emission factors'!$K$3:$K$201,0),MATCH('Buildings - Grid Electricity'!S$6,'Emission factors'!$K$2:$V$2,0)))*$K263)</f>
        <v/>
      </c>
      <c r="T263" s="157" t="str" cm="1">
        <f t="array" ref="T263">IF(OR($E263="",$I263=""),"",(INDEX('Emission factors'!$K$3:$V$201,MATCH('Buildings - Grid Electricity'!$E263&amp;$F263,'Emission factors'!$J$3:$J$201&amp;'Emission factors'!$K$3:$K$201,0),MATCH('Buildings - Grid Electricity'!T$6,'Emission factors'!$K$2:$V$2,0)))*$K263)</f>
        <v/>
      </c>
      <c r="U263" s="157" t="str" cm="1">
        <f t="array" ref="U263">IF(OR($E263="",$I263=""),"",(INDEX('Emission factors'!$K$3:$V$201,MATCH('Buildings - Grid Electricity'!$E263&amp;$F263,'Emission factors'!$J$3:$J$201&amp;'Emission factors'!$K$3:$K$201,0),MATCH('Buildings - Grid Electricity'!U$6,'Emission factors'!$K$2:$V$2,0)))*$K263)</f>
        <v/>
      </c>
      <c r="V263" s="269" t="str">
        <f>IF(OR($N263="",BuildingsElectricityTable[[#This Row],[RSD]]=""),"",BuildingsElectricityTable[[#This Row],[Total emissions (kgCO2e)]]*(1+BuildingsElectricityTable[[#This Row],[RSD]]))</f>
        <v/>
      </c>
      <c r="W263" s="270" t="str">
        <f>IF(OR($N263="",BuildingsElectricityTable[[#This Row],[RSD]]=""),"",BuildingsElectricityTable[[#This Row],[Total emissions (kgCO2e)]]*(1-BuildingsElectricityTable[[#This Row],[RSD]]))</f>
        <v/>
      </c>
      <c r="X263" s="271" t="str" cm="1">
        <f t="array" ref="X263">IF(OR($E263="",$I263=""),"",(INDEX('Emission factors'!$K$3:$V$201,MATCH('Buildings - Grid Electricity'!$E263&amp;$F263,'Emission factors'!$J$3:$J$201&amp;'Emission factors'!$K$3:$K$201,0),MATCH('Buildings - Grid Electricity'!X$6,'Emission factors'!$K$2:$V$2,0)))*$K263)</f>
        <v/>
      </c>
      <c r="Y263" s="30"/>
      <c r="Z263" s="1" cm="1">
        <f t="array" ref="Z263">IF(OR(ISERROR(B263:X263)),1,0)</f>
        <v>0</v>
      </c>
      <c r="AA263" s="1">
        <f t="shared" si="17"/>
        <v>0</v>
      </c>
    </row>
    <row r="264" spans="1:27" ht="15" outlineLevel="1" thickBot="1" x14ac:dyDescent="0.4">
      <c r="A264" s="319"/>
      <c r="B264" s="216"/>
      <c r="C264" s="216"/>
      <c r="D264" s="489" t="str">
        <f>IFERROR(INDEX(BuildingInformationTable[Site type],MATCH(BuildingsElectricityTable[[#This Row],[Site name]],BuildingInformationTable[Site name],0)),"")</f>
        <v/>
      </c>
      <c r="E264" s="490" t="str">
        <f t="shared" si="21"/>
        <v/>
      </c>
      <c r="F264" s="490" t="str">
        <f t="shared" si="22"/>
        <v/>
      </c>
      <c r="G264" s="491"/>
      <c r="H264" s="492" t="str">
        <f>IF(G264="","",INDEX(Lists!$BA$4:$BC$31,MATCH(E264,Lists!$AZ$4:$AZ$31,0),MATCH(G264,Lists!$BA$3:$BC$3,0)))</f>
        <v/>
      </c>
      <c r="I264" s="267"/>
      <c r="J264" s="490" t="str">
        <f t="shared" si="23"/>
        <v/>
      </c>
      <c r="K264" s="493" t="str" cm="1">
        <f t="array" ref="K264">IF(OR($E264="",$D264="",$I264="",$J264=""),"",IF(J264=L264,I264,(INDEX('Emission factors'!$K$3:$V$201,MATCH(E264&amp;F264,'Emission factors'!$J$3:$J$201&amp;'Emission factors'!$K$3:$K$201,0),MATCH(K$6,'Emission factors'!$K$2:$V$2,0)))*I264))</f>
        <v/>
      </c>
      <c r="L264" s="494" t="str">
        <f>IF(OR($E264="",$D264="",$I264="",$J264=""),"",INDEX('Emission factors'!$K$3:$V$201,MATCH('Buildings - Grid Electricity'!$E264,'Emission factors'!$J$3:$J$201,0),MATCH($L$6,'Emission factors'!$K$2:$V$2,0)))</f>
        <v/>
      </c>
      <c r="M264" s="495" t="str" cm="1">
        <f t="array" ref="M264">IF(OR(E264="",I264="",BuildingsElectricityTable[[#This Row],[Units]]=""),"",INDEX('Emission factors'!$K$3:$V$201,MATCH('Buildings - Grid Electricity'!$E264&amp;F264,'Emission factors'!$J$3:$J$201&amp;'Emission factors'!$K$3:$K$201,0),MATCH('Buildings - Grid Electricity'!$M$6,'Emission factors'!$K$2:$V$2,0)))</f>
        <v/>
      </c>
      <c r="N264" s="496" t="str">
        <f>IF(OR(K264="",M264=""),"",SUM(BuildingsElectricityTable[[#This Row],[Direct]:[Indirect WTT]]))</f>
        <v/>
      </c>
      <c r="O264" s="268"/>
      <c r="P264" s="497"/>
      <c r="Q264" s="157" t="str" cm="1">
        <f t="array" ref="Q264">IF(OR($E264="",$I264=""),"",(INDEX('Emission factors'!$K$3:$V$201,MATCH('Buildings - Grid Electricity'!$E264&amp;$F264,'Emission factors'!$J$3:$J$201&amp;'Emission factors'!$K$3:$K$201,0),MATCH('Buildings - Grid Electricity'!Q$6,'Emission factors'!$K$2:$V$2,0)))*$K264)</f>
        <v/>
      </c>
      <c r="R264" s="157" t="str" cm="1">
        <f t="array" ref="R264">IF(OR($E264="",$I264=""),"",(INDEX('Emission factors'!$K$3:$V$201,MATCH('Buildings - Grid Electricity'!$E264&amp;$F264,'Emission factors'!$J$3:$J$201&amp;'Emission factors'!$K$3:$K$201,0),MATCH('Buildings - Grid Electricity'!R$6,'Emission factors'!$K$2:$V$2,0)))*$K264)</f>
        <v/>
      </c>
      <c r="S264" s="157" t="str" cm="1">
        <f t="array" ref="S264">IF(OR($E264="",$I264=""),"",(INDEX('Emission factors'!$K$3:$V$201,MATCH('Buildings - Grid Electricity'!$E264&amp;$F264,'Emission factors'!$J$3:$J$201&amp;'Emission factors'!$K$3:$K$201,0),MATCH('Buildings - Grid Electricity'!S$6,'Emission factors'!$K$2:$V$2,0)))*$K264)</f>
        <v/>
      </c>
      <c r="T264" s="157" t="str" cm="1">
        <f t="array" ref="T264">IF(OR($E264="",$I264=""),"",(INDEX('Emission factors'!$K$3:$V$201,MATCH('Buildings - Grid Electricity'!$E264&amp;$F264,'Emission factors'!$J$3:$J$201&amp;'Emission factors'!$K$3:$K$201,0),MATCH('Buildings - Grid Electricity'!T$6,'Emission factors'!$K$2:$V$2,0)))*$K264)</f>
        <v/>
      </c>
      <c r="U264" s="157" t="str" cm="1">
        <f t="array" ref="U264">IF(OR($E264="",$I264=""),"",(INDEX('Emission factors'!$K$3:$V$201,MATCH('Buildings - Grid Electricity'!$E264&amp;$F264,'Emission factors'!$J$3:$J$201&amp;'Emission factors'!$K$3:$K$201,0),MATCH('Buildings - Grid Electricity'!U$6,'Emission factors'!$K$2:$V$2,0)))*$K264)</f>
        <v/>
      </c>
      <c r="V264" s="269" t="str">
        <f>IF(OR($N264="",BuildingsElectricityTable[[#This Row],[RSD]]=""),"",BuildingsElectricityTable[[#This Row],[Total emissions (kgCO2e)]]*(1+BuildingsElectricityTable[[#This Row],[RSD]]))</f>
        <v/>
      </c>
      <c r="W264" s="270" t="str">
        <f>IF(OR($N264="",BuildingsElectricityTable[[#This Row],[RSD]]=""),"",BuildingsElectricityTable[[#This Row],[Total emissions (kgCO2e)]]*(1-BuildingsElectricityTable[[#This Row],[RSD]]))</f>
        <v/>
      </c>
      <c r="X264" s="271" t="str" cm="1">
        <f t="array" ref="X264">IF(OR($E264="",$I264=""),"",(INDEX('Emission factors'!$K$3:$V$201,MATCH('Buildings - Grid Electricity'!$E264&amp;$F264,'Emission factors'!$J$3:$J$201&amp;'Emission factors'!$K$3:$K$201,0),MATCH('Buildings - Grid Electricity'!X$6,'Emission factors'!$K$2:$V$2,0)))*$K264)</f>
        <v/>
      </c>
      <c r="Y264" s="30"/>
      <c r="Z264" s="1" cm="1">
        <f t="array" ref="Z264">IF(OR(ISERROR(B264:X264)),1,0)</f>
        <v>0</v>
      </c>
      <c r="AA264" s="1">
        <f t="shared" ref="AA264:AA327" si="24">IF(AND(B264="",E264="",I264="",J264=""),0,1)</f>
        <v>0</v>
      </c>
    </row>
    <row r="265" spans="1:27" ht="15" outlineLevel="1" thickBot="1" x14ac:dyDescent="0.4">
      <c r="A265" s="319"/>
      <c r="B265" s="216"/>
      <c r="C265" s="216"/>
      <c r="D265" s="489" t="str">
        <f>IFERROR(INDEX(BuildingInformationTable[Site type],MATCH(BuildingsElectricityTable[[#This Row],[Site name]],BuildingInformationTable[Site name],0)),"")</f>
        <v/>
      </c>
      <c r="E265" s="490" t="str">
        <f t="shared" si="21"/>
        <v/>
      </c>
      <c r="F265" s="490" t="str">
        <f t="shared" si="22"/>
        <v/>
      </c>
      <c r="G265" s="491"/>
      <c r="H265" s="492" t="str">
        <f>IF(G265="","",INDEX(Lists!$BA$4:$BC$31,MATCH(E265,Lists!$AZ$4:$AZ$31,0),MATCH(G265,Lists!$BA$3:$BC$3,0)))</f>
        <v/>
      </c>
      <c r="I265" s="267"/>
      <c r="J265" s="490" t="str">
        <f t="shared" si="23"/>
        <v/>
      </c>
      <c r="K265" s="493" t="str" cm="1">
        <f t="array" ref="K265">IF(OR($E265="",$D265="",$I265="",$J265=""),"",IF(J265=L265,I265,(INDEX('Emission factors'!$K$3:$V$201,MATCH(E265&amp;F265,'Emission factors'!$J$3:$J$201&amp;'Emission factors'!$K$3:$K$201,0),MATCH(K$6,'Emission factors'!$K$2:$V$2,0)))*I265))</f>
        <v/>
      </c>
      <c r="L265" s="494" t="str">
        <f>IF(OR($E265="",$D265="",$I265="",$J265=""),"",INDEX('Emission factors'!$K$3:$V$201,MATCH('Buildings - Grid Electricity'!$E265,'Emission factors'!$J$3:$J$201,0),MATCH($L$6,'Emission factors'!$K$2:$V$2,0)))</f>
        <v/>
      </c>
      <c r="M265" s="495" t="str" cm="1">
        <f t="array" ref="M265">IF(OR(E265="",I265="",BuildingsElectricityTable[[#This Row],[Units]]=""),"",INDEX('Emission factors'!$K$3:$V$201,MATCH('Buildings - Grid Electricity'!$E265&amp;F265,'Emission factors'!$J$3:$J$201&amp;'Emission factors'!$K$3:$K$201,0),MATCH('Buildings - Grid Electricity'!$M$6,'Emission factors'!$K$2:$V$2,0)))</f>
        <v/>
      </c>
      <c r="N265" s="496" t="str">
        <f>IF(OR(K265="",M265=""),"",SUM(BuildingsElectricityTable[[#This Row],[Direct]:[Indirect WTT]]))</f>
        <v/>
      </c>
      <c r="O265" s="268"/>
      <c r="P265" s="497"/>
      <c r="Q265" s="157" t="str" cm="1">
        <f t="array" ref="Q265">IF(OR($E265="",$I265=""),"",(INDEX('Emission factors'!$K$3:$V$201,MATCH('Buildings - Grid Electricity'!$E265&amp;$F265,'Emission factors'!$J$3:$J$201&amp;'Emission factors'!$K$3:$K$201,0),MATCH('Buildings - Grid Electricity'!Q$6,'Emission factors'!$K$2:$V$2,0)))*$K265)</f>
        <v/>
      </c>
      <c r="R265" s="157" t="str" cm="1">
        <f t="array" ref="R265">IF(OR($E265="",$I265=""),"",(INDEX('Emission factors'!$K$3:$V$201,MATCH('Buildings - Grid Electricity'!$E265&amp;$F265,'Emission factors'!$J$3:$J$201&amp;'Emission factors'!$K$3:$K$201,0),MATCH('Buildings - Grid Electricity'!R$6,'Emission factors'!$K$2:$V$2,0)))*$K265)</f>
        <v/>
      </c>
      <c r="S265" s="157" t="str" cm="1">
        <f t="array" ref="S265">IF(OR($E265="",$I265=""),"",(INDEX('Emission factors'!$K$3:$V$201,MATCH('Buildings - Grid Electricity'!$E265&amp;$F265,'Emission factors'!$J$3:$J$201&amp;'Emission factors'!$K$3:$K$201,0),MATCH('Buildings - Grid Electricity'!S$6,'Emission factors'!$K$2:$V$2,0)))*$K265)</f>
        <v/>
      </c>
      <c r="T265" s="157" t="str" cm="1">
        <f t="array" ref="T265">IF(OR($E265="",$I265=""),"",(INDEX('Emission factors'!$K$3:$V$201,MATCH('Buildings - Grid Electricity'!$E265&amp;$F265,'Emission factors'!$J$3:$J$201&amp;'Emission factors'!$K$3:$K$201,0),MATCH('Buildings - Grid Electricity'!T$6,'Emission factors'!$K$2:$V$2,0)))*$K265)</f>
        <v/>
      </c>
      <c r="U265" s="157" t="str" cm="1">
        <f t="array" ref="U265">IF(OR($E265="",$I265=""),"",(INDEX('Emission factors'!$K$3:$V$201,MATCH('Buildings - Grid Electricity'!$E265&amp;$F265,'Emission factors'!$J$3:$J$201&amp;'Emission factors'!$K$3:$K$201,0),MATCH('Buildings - Grid Electricity'!U$6,'Emission factors'!$K$2:$V$2,0)))*$K265)</f>
        <v/>
      </c>
      <c r="V265" s="269" t="str">
        <f>IF(OR($N265="",BuildingsElectricityTable[[#This Row],[RSD]]=""),"",BuildingsElectricityTable[[#This Row],[Total emissions (kgCO2e)]]*(1+BuildingsElectricityTable[[#This Row],[RSD]]))</f>
        <v/>
      </c>
      <c r="W265" s="270" t="str">
        <f>IF(OR($N265="",BuildingsElectricityTable[[#This Row],[RSD]]=""),"",BuildingsElectricityTable[[#This Row],[Total emissions (kgCO2e)]]*(1-BuildingsElectricityTable[[#This Row],[RSD]]))</f>
        <v/>
      </c>
      <c r="X265" s="271" t="str" cm="1">
        <f t="array" ref="X265">IF(OR($E265="",$I265=""),"",(INDEX('Emission factors'!$K$3:$V$201,MATCH('Buildings - Grid Electricity'!$E265&amp;$F265,'Emission factors'!$J$3:$J$201&amp;'Emission factors'!$K$3:$K$201,0),MATCH('Buildings - Grid Electricity'!X$6,'Emission factors'!$K$2:$V$2,0)))*$K265)</f>
        <v/>
      </c>
      <c r="Y265" s="30"/>
      <c r="Z265" s="1" cm="1">
        <f t="array" ref="Z265">IF(OR(ISERROR(B265:X265)),1,0)</f>
        <v>0</v>
      </c>
      <c r="AA265" s="1">
        <f t="shared" si="24"/>
        <v>0</v>
      </c>
    </row>
    <row r="266" spans="1:27" ht="15" outlineLevel="1" thickBot="1" x14ac:dyDescent="0.4">
      <c r="A266" s="319"/>
      <c r="B266" s="216"/>
      <c r="C266" s="216"/>
      <c r="D266" s="489" t="str">
        <f>IFERROR(INDEX(BuildingInformationTable[Site type],MATCH(BuildingsElectricityTable[[#This Row],[Site name]],BuildingInformationTable[Site name],0)),"")</f>
        <v/>
      </c>
      <c r="E266" s="490" t="str">
        <f t="shared" si="21"/>
        <v/>
      </c>
      <c r="F266" s="490" t="str">
        <f t="shared" si="22"/>
        <v/>
      </c>
      <c r="G266" s="491"/>
      <c r="H266" s="492" t="str">
        <f>IF(G266="","",INDEX(Lists!$BA$4:$BC$31,MATCH(E266,Lists!$AZ$4:$AZ$31,0),MATCH(G266,Lists!$BA$3:$BC$3,0)))</f>
        <v/>
      </c>
      <c r="I266" s="267"/>
      <c r="J266" s="490" t="str">
        <f t="shared" si="23"/>
        <v/>
      </c>
      <c r="K266" s="493" t="str" cm="1">
        <f t="array" ref="K266">IF(OR($E266="",$D266="",$I266="",$J266=""),"",IF(J266=L266,I266,(INDEX('Emission factors'!$K$3:$V$201,MATCH(E266&amp;F266,'Emission factors'!$J$3:$J$201&amp;'Emission factors'!$K$3:$K$201,0),MATCH(K$6,'Emission factors'!$K$2:$V$2,0)))*I266))</f>
        <v/>
      </c>
      <c r="L266" s="494" t="str">
        <f>IF(OR($E266="",$D266="",$I266="",$J266=""),"",INDEX('Emission factors'!$K$3:$V$201,MATCH('Buildings - Grid Electricity'!$E266,'Emission factors'!$J$3:$J$201,0),MATCH($L$6,'Emission factors'!$K$2:$V$2,0)))</f>
        <v/>
      </c>
      <c r="M266" s="495" t="str" cm="1">
        <f t="array" ref="M266">IF(OR(E266="",I266="",BuildingsElectricityTable[[#This Row],[Units]]=""),"",INDEX('Emission factors'!$K$3:$V$201,MATCH('Buildings - Grid Electricity'!$E266&amp;F266,'Emission factors'!$J$3:$J$201&amp;'Emission factors'!$K$3:$K$201,0),MATCH('Buildings - Grid Electricity'!$M$6,'Emission factors'!$K$2:$V$2,0)))</f>
        <v/>
      </c>
      <c r="N266" s="496" t="str">
        <f>IF(OR(K266="",M266=""),"",SUM(BuildingsElectricityTable[[#This Row],[Direct]:[Indirect WTT]]))</f>
        <v/>
      </c>
      <c r="O266" s="268"/>
      <c r="P266" s="497"/>
      <c r="Q266" s="157" t="str" cm="1">
        <f t="array" ref="Q266">IF(OR($E266="",$I266=""),"",(INDEX('Emission factors'!$K$3:$V$201,MATCH('Buildings - Grid Electricity'!$E266&amp;$F266,'Emission factors'!$J$3:$J$201&amp;'Emission factors'!$K$3:$K$201,0),MATCH('Buildings - Grid Electricity'!Q$6,'Emission factors'!$K$2:$V$2,0)))*$K266)</f>
        <v/>
      </c>
      <c r="R266" s="157" t="str" cm="1">
        <f t="array" ref="R266">IF(OR($E266="",$I266=""),"",(INDEX('Emission factors'!$K$3:$V$201,MATCH('Buildings - Grid Electricity'!$E266&amp;$F266,'Emission factors'!$J$3:$J$201&amp;'Emission factors'!$K$3:$K$201,0),MATCH('Buildings - Grid Electricity'!R$6,'Emission factors'!$K$2:$V$2,0)))*$K266)</f>
        <v/>
      </c>
      <c r="S266" s="157" t="str" cm="1">
        <f t="array" ref="S266">IF(OR($E266="",$I266=""),"",(INDEX('Emission factors'!$K$3:$V$201,MATCH('Buildings - Grid Electricity'!$E266&amp;$F266,'Emission factors'!$J$3:$J$201&amp;'Emission factors'!$K$3:$K$201,0),MATCH('Buildings - Grid Electricity'!S$6,'Emission factors'!$K$2:$V$2,0)))*$K266)</f>
        <v/>
      </c>
      <c r="T266" s="157" t="str" cm="1">
        <f t="array" ref="T266">IF(OR($E266="",$I266=""),"",(INDEX('Emission factors'!$K$3:$V$201,MATCH('Buildings - Grid Electricity'!$E266&amp;$F266,'Emission factors'!$J$3:$J$201&amp;'Emission factors'!$K$3:$K$201,0),MATCH('Buildings - Grid Electricity'!T$6,'Emission factors'!$K$2:$V$2,0)))*$K266)</f>
        <v/>
      </c>
      <c r="U266" s="157" t="str" cm="1">
        <f t="array" ref="U266">IF(OR($E266="",$I266=""),"",(INDEX('Emission factors'!$K$3:$V$201,MATCH('Buildings - Grid Electricity'!$E266&amp;$F266,'Emission factors'!$J$3:$J$201&amp;'Emission factors'!$K$3:$K$201,0),MATCH('Buildings - Grid Electricity'!U$6,'Emission factors'!$K$2:$V$2,0)))*$K266)</f>
        <v/>
      </c>
      <c r="V266" s="269" t="str">
        <f>IF(OR($N266="",BuildingsElectricityTable[[#This Row],[RSD]]=""),"",BuildingsElectricityTable[[#This Row],[Total emissions (kgCO2e)]]*(1+BuildingsElectricityTable[[#This Row],[RSD]]))</f>
        <v/>
      </c>
      <c r="W266" s="270" t="str">
        <f>IF(OR($N266="",BuildingsElectricityTable[[#This Row],[RSD]]=""),"",BuildingsElectricityTable[[#This Row],[Total emissions (kgCO2e)]]*(1-BuildingsElectricityTable[[#This Row],[RSD]]))</f>
        <v/>
      </c>
      <c r="X266" s="271" t="str" cm="1">
        <f t="array" ref="X266">IF(OR($E266="",$I266=""),"",(INDEX('Emission factors'!$K$3:$V$201,MATCH('Buildings - Grid Electricity'!$E266&amp;$F266,'Emission factors'!$J$3:$J$201&amp;'Emission factors'!$K$3:$K$201,0),MATCH('Buildings - Grid Electricity'!X$6,'Emission factors'!$K$2:$V$2,0)))*$K266)</f>
        <v/>
      </c>
      <c r="Y266" s="30"/>
      <c r="Z266" s="1" cm="1">
        <f t="array" ref="Z266">IF(OR(ISERROR(B266:X266)),1,0)</f>
        <v>0</v>
      </c>
      <c r="AA266" s="1">
        <f t="shared" si="24"/>
        <v>0</v>
      </c>
    </row>
    <row r="267" spans="1:27" ht="15" outlineLevel="1" thickBot="1" x14ac:dyDescent="0.4">
      <c r="A267" s="319"/>
      <c r="B267" s="216"/>
      <c r="C267" s="216"/>
      <c r="D267" s="489" t="str">
        <f>IFERROR(INDEX(BuildingInformationTable[Site type],MATCH(BuildingsElectricityTable[[#This Row],[Site name]],BuildingInformationTable[Site name],0)),"")</f>
        <v/>
      </c>
      <c r="E267" s="490" t="str">
        <f t="shared" si="21"/>
        <v/>
      </c>
      <c r="F267" s="490" t="str">
        <f t="shared" si="22"/>
        <v/>
      </c>
      <c r="G267" s="491"/>
      <c r="H267" s="492" t="str">
        <f>IF(G267="","",INDEX(Lists!$BA$4:$BC$31,MATCH(E267,Lists!$AZ$4:$AZ$31,0),MATCH(G267,Lists!$BA$3:$BC$3,0)))</f>
        <v/>
      </c>
      <c r="I267" s="267"/>
      <c r="J267" s="490" t="str">
        <f t="shared" si="23"/>
        <v/>
      </c>
      <c r="K267" s="493" t="str" cm="1">
        <f t="array" ref="K267">IF(OR($E267="",$D267="",$I267="",$J267=""),"",IF(J267=L267,I267,(INDEX('Emission factors'!$K$3:$V$201,MATCH(E267&amp;F267,'Emission factors'!$J$3:$J$201&amp;'Emission factors'!$K$3:$K$201,0),MATCH(K$6,'Emission factors'!$K$2:$V$2,0)))*I267))</f>
        <v/>
      </c>
      <c r="L267" s="494" t="str">
        <f>IF(OR($E267="",$D267="",$I267="",$J267=""),"",INDEX('Emission factors'!$K$3:$V$201,MATCH('Buildings - Grid Electricity'!$E267,'Emission factors'!$J$3:$J$201,0),MATCH($L$6,'Emission factors'!$K$2:$V$2,0)))</f>
        <v/>
      </c>
      <c r="M267" s="495" t="str" cm="1">
        <f t="array" ref="M267">IF(OR(E267="",I267="",BuildingsElectricityTable[[#This Row],[Units]]=""),"",INDEX('Emission factors'!$K$3:$V$201,MATCH('Buildings - Grid Electricity'!$E267&amp;F267,'Emission factors'!$J$3:$J$201&amp;'Emission factors'!$K$3:$K$201,0),MATCH('Buildings - Grid Electricity'!$M$6,'Emission factors'!$K$2:$V$2,0)))</f>
        <v/>
      </c>
      <c r="N267" s="496" t="str">
        <f>IF(OR(K267="",M267=""),"",SUM(BuildingsElectricityTable[[#This Row],[Direct]:[Indirect WTT]]))</f>
        <v/>
      </c>
      <c r="O267" s="268"/>
      <c r="P267" s="497"/>
      <c r="Q267" s="157" t="str" cm="1">
        <f t="array" ref="Q267">IF(OR($E267="",$I267=""),"",(INDEX('Emission factors'!$K$3:$V$201,MATCH('Buildings - Grid Electricity'!$E267&amp;$F267,'Emission factors'!$J$3:$J$201&amp;'Emission factors'!$K$3:$K$201,0),MATCH('Buildings - Grid Electricity'!Q$6,'Emission factors'!$K$2:$V$2,0)))*$K267)</f>
        <v/>
      </c>
      <c r="R267" s="157" t="str" cm="1">
        <f t="array" ref="R267">IF(OR($E267="",$I267=""),"",(INDEX('Emission factors'!$K$3:$V$201,MATCH('Buildings - Grid Electricity'!$E267&amp;$F267,'Emission factors'!$J$3:$J$201&amp;'Emission factors'!$K$3:$K$201,0),MATCH('Buildings - Grid Electricity'!R$6,'Emission factors'!$K$2:$V$2,0)))*$K267)</f>
        <v/>
      </c>
      <c r="S267" s="157" t="str" cm="1">
        <f t="array" ref="S267">IF(OR($E267="",$I267=""),"",(INDEX('Emission factors'!$K$3:$V$201,MATCH('Buildings - Grid Electricity'!$E267&amp;$F267,'Emission factors'!$J$3:$J$201&amp;'Emission factors'!$K$3:$K$201,0),MATCH('Buildings - Grid Electricity'!S$6,'Emission factors'!$K$2:$V$2,0)))*$K267)</f>
        <v/>
      </c>
      <c r="T267" s="157" t="str" cm="1">
        <f t="array" ref="T267">IF(OR($E267="",$I267=""),"",(INDEX('Emission factors'!$K$3:$V$201,MATCH('Buildings - Grid Electricity'!$E267&amp;$F267,'Emission factors'!$J$3:$J$201&amp;'Emission factors'!$K$3:$K$201,0),MATCH('Buildings - Grid Electricity'!T$6,'Emission factors'!$K$2:$V$2,0)))*$K267)</f>
        <v/>
      </c>
      <c r="U267" s="157" t="str" cm="1">
        <f t="array" ref="U267">IF(OR($E267="",$I267=""),"",(INDEX('Emission factors'!$K$3:$V$201,MATCH('Buildings - Grid Electricity'!$E267&amp;$F267,'Emission factors'!$J$3:$J$201&amp;'Emission factors'!$K$3:$K$201,0),MATCH('Buildings - Grid Electricity'!U$6,'Emission factors'!$K$2:$V$2,0)))*$K267)</f>
        <v/>
      </c>
      <c r="V267" s="269" t="str">
        <f>IF(OR($N267="",BuildingsElectricityTable[[#This Row],[RSD]]=""),"",BuildingsElectricityTable[[#This Row],[Total emissions (kgCO2e)]]*(1+BuildingsElectricityTable[[#This Row],[RSD]]))</f>
        <v/>
      </c>
      <c r="W267" s="270" t="str">
        <f>IF(OR($N267="",BuildingsElectricityTable[[#This Row],[RSD]]=""),"",BuildingsElectricityTable[[#This Row],[Total emissions (kgCO2e)]]*(1-BuildingsElectricityTable[[#This Row],[RSD]]))</f>
        <v/>
      </c>
      <c r="X267" s="271" t="str" cm="1">
        <f t="array" ref="X267">IF(OR($E267="",$I267=""),"",(INDEX('Emission factors'!$K$3:$V$201,MATCH('Buildings - Grid Electricity'!$E267&amp;$F267,'Emission factors'!$J$3:$J$201&amp;'Emission factors'!$K$3:$K$201,0),MATCH('Buildings - Grid Electricity'!X$6,'Emission factors'!$K$2:$V$2,0)))*$K267)</f>
        <v/>
      </c>
      <c r="Y267" s="30"/>
      <c r="Z267" s="1" cm="1">
        <f t="array" ref="Z267">IF(OR(ISERROR(B267:X267)),1,0)</f>
        <v>0</v>
      </c>
      <c r="AA267" s="1">
        <f t="shared" si="24"/>
        <v>0</v>
      </c>
    </row>
    <row r="268" spans="1:27" ht="15" outlineLevel="1" thickBot="1" x14ac:dyDescent="0.4">
      <c r="A268" s="319"/>
      <c r="B268" s="216"/>
      <c r="C268" s="216"/>
      <c r="D268" s="489" t="str">
        <f>IFERROR(INDEX(BuildingInformationTable[Site type],MATCH(BuildingsElectricityTable[[#This Row],[Site name]],BuildingInformationTable[Site name],0)),"")</f>
        <v/>
      </c>
      <c r="E268" s="490" t="str">
        <f t="shared" si="21"/>
        <v/>
      </c>
      <c r="F268" s="490" t="str">
        <f t="shared" si="22"/>
        <v/>
      </c>
      <c r="G268" s="491"/>
      <c r="H268" s="492" t="str">
        <f>IF(G268="","",INDEX(Lists!$BA$4:$BC$31,MATCH(E268,Lists!$AZ$4:$AZ$31,0),MATCH(G268,Lists!$BA$3:$BC$3,0)))</f>
        <v/>
      </c>
      <c r="I268" s="267"/>
      <c r="J268" s="490" t="str">
        <f t="shared" si="23"/>
        <v/>
      </c>
      <c r="K268" s="493" t="str" cm="1">
        <f t="array" ref="K268">IF(OR($E268="",$D268="",$I268="",$J268=""),"",IF(J268=L268,I268,(INDEX('Emission factors'!$K$3:$V$201,MATCH(E268&amp;F268,'Emission factors'!$J$3:$J$201&amp;'Emission factors'!$K$3:$K$201,0),MATCH(K$6,'Emission factors'!$K$2:$V$2,0)))*I268))</f>
        <v/>
      </c>
      <c r="L268" s="494" t="str">
        <f>IF(OR($E268="",$D268="",$I268="",$J268=""),"",INDEX('Emission factors'!$K$3:$V$201,MATCH('Buildings - Grid Electricity'!$E268,'Emission factors'!$J$3:$J$201,0),MATCH($L$6,'Emission factors'!$K$2:$V$2,0)))</f>
        <v/>
      </c>
      <c r="M268" s="495" t="str" cm="1">
        <f t="array" ref="M268">IF(OR(E268="",I268="",BuildingsElectricityTable[[#This Row],[Units]]=""),"",INDEX('Emission factors'!$K$3:$V$201,MATCH('Buildings - Grid Electricity'!$E268&amp;F268,'Emission factors'!$J$3:$J$201&amp;'Emission factors'!$K$3:$K$201,0),MATCH('Buildings - Grid Electricity'!$M$6,'Emission factors'!$K$2:$V$2,0)))</f>
        <v/>
      </c>
      <c r="N268" s="496" t="str">
        <f>IF(OR(K268="",M268=""),"",SUM(BuildingsElectricityTable[[#This Row],[Direct]:[Indirect WTT]]))</f>
        <v/>
      </c>
      <c r="O268" s="268"/>
      <c r="P268" s="497"/>
      <c r="Q268" s="157" t="str" cm="1">
        <f t="array" ref="Q268">IF(OR($E268="",$I268=""),"",(INDEX('Emission factors'!$K$3:$V$201,MATCH('Buildings - Grid Electricity'!$E268&amp;$F268,'Emission factors'!$J$3:$J$201&amp;'Emission factors'!$K$3:$K$201,0),MATCH('Buildings - Grid Electricity'!Q$6,'Emission factors'!$K$2:$V$2,0)))*$K268)</f>
        <v/>
      </c>
      <c r="R268" s="157" t="str" cm="1">
        <f t="array" ref="R268">IF(OR($E268="",$I268=""),"",(INDEX('Emission factors'!$K$3:$V$201,MATCH('Buildings - Grid Electricity'!$E268&amp;$F268,'Emission factors'!$J$3:$J$201&amp;'Emission factors'!$K$3:$K$201,0),MATCH('Buildings - Grid Electricity'!R$6,'Emission factors'!$K$2:$V$2,0)))*$K268)</f>
        <v/>
      </c>
      <c r="S268" s="157" t="str" cm="1">
        <f t="array" ref="S268">IF(OR($E268="",$I268=""),"",(INDEX('Emission factors'!$K$3:$V$201,MATCH('Buildings - Grid Electricity'!$E268&amp;$F268,'Emission factors'!$J$3:$J$201&amp;'Emission factors'!$K$3:$K$201,0),MATCH('Buildings - Grid Electricity'!S$6,'Emission factors'!$K$2:$V$2,0)))*$K268)</f>
        <v/>
      </c>
      <c r="T268" s="157" t="str" cm="1">
        <f t="array" ref="T268">IF(OR($E268="",$I268=""),"",(INDEX('Emission factors'!$K$3:$V$201,MATCH('Buildings - Grid Electricity'!$E268&amp;$F268,'Emission factors'!$J$3:$J$201&amp;'Emission factors'!$K$3:$K$201,0),MATCH('Buildings - Grid Electricity'!T$6,'Emission factors'!$K$2:$V$2,0)))*$K268)</f>
        <v/>
      </c>
      <c r="U268" s="157" t="str" cm="1">
        <f t="array" ref="U268">IF(OR($E268="",$I268=""),"",(INDEX('Emission factors'!$K$3:$V$201,MATCH('Buildings - Grid Electricity'!$E268&amp;$F268,'Emission factors'!$J$3:$J$201&amp;'Emission factors'!$K$3:$K$201,0),MATCH('Buildings - Grid Electricity'!U$6,'Emission factors'!$K$2:$V$2,0)))*$K268)</f>
        <v/>
      </c>
      <c r="V268" s="269" t="str">
        <f>IF(OR($N268="",BuildingsElectricityTable[[#This Row],[RSD]]=""),"",BuildingsElectricityTable[[#This Row],[Total emissions (kgCO2e)]]*(1+BuildingsElectricityTable[[#This Row],[RSD]]))</f>
        <v/>
      </c>
      <c r="W268" s="270" t="str">
        <f>IF(OR($N268="",BuildingsElectricityTable[[#This Row],[RSD]]=""),"",BuildingsElectricityTable[[#This Row],[Total emissions (kgCO2e)]]*(1-BuildingsElectricityTable[[#This Row],[RSD]]))</f>
        <v/>
      </c>
      <c r="X268" s="271" t="str" cm="1">
        <f t="array" ref="X268">IF(OR($E268="",$I268=""),"",(INDEX('Emission factors'!$K$3:$V$201,MATCH('Buildings - Grid Electricity'!$E268&amp;$F268,'Emission factors'!$J$3:$J$201&amp;'Emission factors'!$K$3:$K$201,0),MATCH('Buildings - Grid Electricity'!X$6,'Emission factors'!$K$2:$V$2,0)))*$K268)</f>
        <v/>
      </c>
      <c r="Y268" s="30"/>
      <c r="Z268" s="1" cm="1">
        <f t="array" ref="Z268">IF(OR(ISERROR(B268:X268)),1,0)</f>
        <v>0</v>
      </c>
      <c r="AA268" s="1">
        <f t="shared" si="24"/>
        <v>0</v>
      </c>
    </row>
    <row r="269" spans="1:27" ht="15" outlineLevel="1" thickBot="1" x14ac:dyDescent="0.4">
      <c r="A269" s="319"/>
      <c r="B269" s="216"/>
      <c r="C269" s="216"/>
      <c r="D269" s="489" t="str">
        <f>IFERROR(INDEX(BuildingInformationTable[Site type],MATCH(BuildingsElectricityTable[[#This Row],[Site name]],BuildingInformationTable[Site name],0)),"")</f>
        <v/>
      </c>
      <c r="E269" s="490" t="str">
        <f t="shared" si="21"/>
        <v/>
      </c>
      <c r="F269" s="490" t="str">
        <f t="shared" si="22"/>
        <v/>
      </c>
      <c r="G269" s="491"/>
      <c r="H269" s="492" t="str">
        <f>IF(G269="","",INDEX(Lists!$BA$4:$BC$31,MATCH(E269,Lists!$AZ$4:$AZ$31,0),MATCH(G269,Lists!$BA$3:$BC$3,0)))</f>
        <v/>
      </c>
      <c r="I269" s="267"/>
      <c r="J269" s="490" t="str">
        <f t="shared" si="23"/>
        <v/>
      </c>
      <c r="K269" s="493" t="str" cm="1">
        <f t="array" ref="K269">IF(OR($E269="",$D269="",$I269="",$J269=""),"",IF(J269=L269,I269,(INDEX('Emission factors'!$K$3:$V$201,MATCH(E269&amp;F269,'Emission factors'!$J$3:$J$201&amp;'Emission factors'!$K$3:$K$201,0),MATCH(K$6,'Emission factors'!$K$2:$V$2,0)))*I269))</f>
        <v/>
      </c>
      <c r="L269" s="494" t="str">
        <f>IF(OR($E269="",$D269="",$I269="",$J269=""),"",INDEX('Emission factors'!$K$3:$V$201,MATCH('Buildings - Grid Electricity'!$E269,'Emission factors'!$J$3:$J$201,0),MATCH($L$6,'Emission factors'!$K$2:$V$2,0)))</f>
        <v/>
      </c>
      <c r="M269" s="495" t="str" cm="1">
        <f t="array" ref="M269">IF(OR(E269="",I269="",BuildingsElectricityTable[[#This Row],[Units]]=""),"",INDEX('Emission factors'!$K$3:$V$201,MATCH('Buildings - Grid Electricity'!$E269&amp;F269,'Emission factors'!$J$3:$J$201&amp;'Emission factors'!$K$3:$K$201,0),MATCH('Buildings - Grid Electricity'!$M$6,'Emission factors'!$K$2:$V$2,0)))</f>
        <v/>
      </c>
      <c r="N269" s="496" t="str">
        <f>IF(OR(K269="",M269=""),"",SUM(BuildingsElectricityTable[[#This Row],[Direct]:[Indirect WTT]]))</f>
        <v/>
      </c>
      <c r="O269" s="268"/>
      <c r="P269" s="497"/>
      <c r="Q269" s="157" t="str" cm="1">
        <f t="array" ref="Q269">IF(OR($E269="",$I269=""),"",(INDEX('Emission factors'!$K$3:$V$201,MATCH('Buildings - Grid Electricity'!$E269&amp;$F269,'Emission factors'!$J$3:$J$201&amp;'Emission factors'!$K$3:$K$201,0),MATCH('Buildings - Grid Electricity'!Q$6,'Emission factors'!$K$2:$V$2,0)))*$K269)</f>
        <v/>
      </c>
      <c r="R269" s="157" t="str" cm="1">
        <f t="array" ref="R269">IF(OR($E269="",$I269=""),"",(INDEX('Emission factors'!$K$3:$V$201,MATCH('Buildings - Grid Electricity'!$E269&amp;$F269,'Emission factors'!$J$3:$J$201&amp;'Emission factors'!$K$3:$K$201,0),MATCH('Buildings - Grid Electricity'!R$6,'Emission factors'!$K$2:$V$2,0)))*$K269)</f>
        <v/>
      </c>
      <c r="S269" s="157" t="str" cm="1">
        <f t="array" ref="S269">IF(OR($E269="",$I269=""),"",(INDEX('Emission factors'!$K$3:$V$201,MATCH('Buildings - Grid Electricity'!$E269&amp;$F269,'Emission factors'!$J$3:$J$201&amp;'Emission factors'!$K$3:$K$201,0),MATCH('Buildings - Grid Electricity'!S$6,'Emission factors'!$K$2:$V$2,0)))*$K269)</f>
        <v/>
      </c>
      <c r="T269" s="157" t="str" cm="1">
        <f t="array" ref="T269">IF(OR($E269="",$I269=""),"",(INDEX('Emission factors'!$K$3:$V$201,MATCH('Buildings - Grid Electricity'!$E269&amp;$F269,'Emission factors'!$J$3:$J$201&amp;'Emission factors'!$K$3:$K$201,0),MATCH('Buildings - Grid Electricity'!T$6,'Emission factors'!$K$2:$V$2,0)))*$K269)</f>
        <v/>
      </c>
      <c r="U269" s="157" t="str" cm="1">
        <f t="array" ref="U269">IF(OR($E269="",$I269=""),"",(INDEX('Emission factors'!$K$3:$V$201,MATCH('Buildings - Grid Electricity'!$E269&amp;$F269,'Emission factors'!$J$3:$J$201&amp;'Emission factors'!$K$3:$K$201,0),MATCH('Buildings - Grid Electricity'!U$6,'Emission factors'!$K$2:$V$2,0)))*$K269)</f>
        <v/>
      </c>
      <c r="V269" s="269" t="str">
        <f>IF(OR($N269="",BuildingsElectricityTable[[#This Row],[RSD]]=""),"",BuildingsElectricityTable[[#This Row],[Total emissions (kgCO2e)]]*(1+BuildingsElectricityTable[[#This Row],[RSD]]))</f>
        <v/>
      </c>
      <c r="W269" s="270" t="str">
        <f>IF(OR($N269="",BuildingsElectricityTable[[#This Row],[RSD]]=""),"",BuildingsElectricityTable[[#This Row],[Total emissions (kgCO2e)]]*(1-BuildingsElectricityTable[[#This Row],[RSD]]))</f>
        <v/>
      </c>
      <c r="X269" s="271" t="str" cm="1">
        <f t="array" ref="X269">IF(OR($E269="",$I269=""),"",(INDEX('Emission factors'!$K$3:$V$201,MATCH('Buildings - Grid Electricity'!$E269&amp;$F269,'Emission factors'!$J$3:$J$201&amp;'Emission factors'!$K$3:$K$201,0),MATCH('Buildings - Grid Electricity'!X$6,'Emission factors'!$K$2:$V$2,0)))*$K269)</f>
        <v/>
      </c>
      <c r="Y269" s="30"/>
      <c r="Z269" s="1" cm="1">
        <f t="array" ref="Z269">IF(OR(ISERROR(B269:X269)),1,0)</f>
        <v>0</v>
      </c>
      <c r="AA269" s="1">
        <f t="shared" si="24"/>
        <v>0</v>
      </c>
    </row>
    <row r="270" spans="1:27" ht="15" outlineLevel="1" thickBot="1" x14ac:dyDescent="0.4">
      <c r="A270" s="319"/>
      <c r="B270" s="216"/>
      <c r="C270" s="216"/>
      <c r="D270" s="489" t="str">
        <f>IFERROR(INDEX(BuildingInformationTable[Site type],MATCH(BuildingsElectricityTable[[#This Row],[Site name]],BuildingInformationTable[Site name],0)),"")</f>
        <v/>
      </c>
      <c r="E270" s="490" t="str">
        <f t="shared" si="21"/>
        <v/>
      </c>
      <c r="F270" s="490" t="str">
        <f t="shared" si="22"/>
        <v/>
      </c>
      <c r="G270" s="491"/>
      <c r="H270" s="492" t="str">
        <f>IF(G270="","",INDEX(Lists!$BA$4:$BC$31,MATCH(E270,Lists!$AZ$4:$AZ$31,0),MATCH(G270,Lists!$BA$3:$BC$3,0)))</f>
        <v/>
      </c>
      <c r="I270" s="267"/>
      <c r="J270" s="490" t="str">
        <f t="shared" si="23"/>
        <v/>
      </c>
      <c r="K270" s="493" t="str" cm="1">
        <f t="array" ref="K270">IF(OR($E270="",$D270="",$I270="",$J270=""),"",IF(J270=L270,I270,(INDEX('Emission factors'!$K$3:$V$201,MATCH(E270&amp;F270,'Emission factors'!$J$3:$J$201&amp;'Emission factors'!$K$3:$K$201,0),MATCH(K$6,'Emission factors'!$K$2:$V$2,0)))*I270))</f>
        <v/>
      </c>
      <c r="L270" s="494" t="str">
        <f>IF(OR($E270="",$D270="",$I270="",$J270=""),"",INDEX('Emission factors'!$K$3:$V$201,MATCH('Buildings - Grid Electricity'!$E270,'Emission factors'!$J$3:$J$201,0),MATCH($L$6,'Emission factors'!$K$2:$V$2,0)))</f>
        <v/>
      </c>
      <c r="M270" s="495" t="str" cm="1">
        <f t="array" ref="M270">IF(OR(E270="",I270="",BuildingsElectricityTable[[#This Row],[Units]]=""),"",INDEX('Emission factors'!$K$3:$V$201,MATCH('Buildings - Grid Electricity'!$E270&amp;F270,'Emission factors'!$J$3:$J$201&amp;'Emission factors'!$K$3:$K$201,0),MATCH('Buildings - Grid Electricity'!$M$6,'Emission factors'!$K$2:$V$2,0)))</f>
        <v/>
      </c>
      <c r="N270" s="496" t="str">
        <f>IF(OR(K270="",M270=""),"",SUM(BuildingsElectricityTable[[#This Row],[Direct]:[Indirect WTT]]))</f>
        <v/>
      </c>
      <c r="O270" s="268"/>
      <c r="P270" s="497"/>
      <c r="Q270" s="157" t="str" cm="1">
        <f t="array" ref="Q270">IF(OR($E270="",$I270=""),"",(INDEX('Emission factors'!$K$3:$V$201,MATCH('Buildings - Grid Electricity'!$E270&amp;$F270,'Emission factors'!$J$3:$J$201&amp;'Emission factors'!$K$3:$K$201,0),MATCH('Buildings - Grid Electricity'!Q$6,'Emission factors'!$K$2:$V$2,0)))*$K270)</f>
        <v/>
      </c>
      <c r="R270" s="157" t="str" cm="1">
        <f t="array" ref="R270">IF(OR($E270="",$I270=""),"",(INDEX('Emission factors'!$K$3:$V$201,MATCH('Buildings - Grid Electricity'!$E270&amp;$F270,'Emission factors'!$J$3:$J$201&amp;'Emission factors'!$K$3:$K$201,0),MATCH('Buildings - Grid Electricity'!R$6,'Emission factors'!$K$2:$V$2,0)))*$K270)</f>
        <v/>
      </c>
      <c r="S270" s="157" t="str" cm="1">
        <f t="array" ref="S270">IF(OR($E270="",$I270=""),"",(INDEX('Emission factors'!$K$3:$V$201,MATCH('Buildings - Grid Electricity'!$E270&amp;$F270,'Emission factors'!$J$3:$J$201&amp;'Emission factors'!$K$3:$K$201,0),MATCH('Buildings - Grid Electricity'!S$6,'Emission factors'!$K$2:$V$2,0)))*$K270)</f>
        <v/>
      </c>
      <c r="T270" s="157" t="str" cm="1">
        <f t="array" ref="T270">IF(OR($E270="",$I270=""),"",(INDEX('Emission factors'!$K$3:$V$201,MATCH('Buildings - Grid Electricity'!$E270&amp;$F270,'Emission factors'!$J$3:$J$201&amp;'Emission factors'!$K$3:$K$201,0),MATCH('Buildings - Grid Electricity'!T$6,'Emission factors'!$K$2:$V$2,0)))*$K270)</f>
        <v/>
      </c>
      <c r="U270" s="157" t="str" cm="1">
        <f t="array" ref="U270">IF(OR($E270="",$I270=""),"",(INDEX('Emission factors'!$K$3:$V$201,MATCH('Buildings - Grid Electricity'!$E270&amp;$F270,'Emission factors'!$J$3:$J$201&amp;'Emission factors'!$K$3:$K$201,0),MATCH('Buildings - Grid Electricity'!U$6,'Emission factors'!$K$2:$V$2,0)))*$K270)</f>
        <v/>
      </c>
      <c r="V270" s="269" t="str">
        <f>IF(OR($N270="",BuildingsElectricityTable[[#This Row],[RSD]]=""),"",BuildingsElectricityTable[[#This Row],[Total emissions (kgCO2e)]]*(1+BuildingsElectricityTable[[#This Row],[RSD]]))</f>
        <v/>
      </c>
      <c r="W270" s="270" t="str">
        <f>IF(OR($N270="",BuildingsElectricityTable[[#This Row],[RSD]]=""),"",BuildingsElectricityTable[[#This Row],[Total emissions (kgCO2e)]]*(1-BuildingsElectricityTable[[#This Row],[RSD]]))</f>
        <v/>
      </c>
      <c r="X270" s="271" t="str" cm="1">
        <f t="array" ref="X270">IF(OR($E270="",$I270=""),"",(INDEX('Emission factors'!$K$3:$V$201,MATCH('Buildings - Grid Electricity'!$E270&amp;$F270,'Emission factors'!$J$3:$J$201&amp;'Emission factors'!$K$3:$K$201,0),MATCH('Buildings - Grid Electricity'!X$6,'Emission factors'!$K$2:$V$2,0)))*$K270)</f>
        <v/>
      </c>
      <c r="Y270" s="30"/>
      <c r="Z270" s="1" cm="1">
        <f t="array" ref="Z270">IF(OR(ISERROR(B270:X270)),1,0)</f>
        <v>0</v>
      </c>
      <c r="AA270" s="1">
        <f t="shared" si="24"/>
        <v>0</v>
      </c>
    </row>
    <row r="271" spans="1:27" ht="15" outlineLevel="1" thickBot="1" x14ac:dyDescent="0.4">
      <c r="A271" s="319"/>
      <c r="B271" s="216"/>
      <c r="C271" s="216"/>
      <c r="D271" s="489" t="str">
        <f>IFERROR(INDEX(BuildingInformationTable[Site type],MATCH(BuildingsElectricityTable[[#This Row],[Site name]],BuildingInformationTable[Site name],0)),"")</f>
        <v/>
      </c>
      <c r="E271" s="490" t="str">
        <f t="shared" si="21"/>
        <v/>
      </c>
      <c r="F271" s="490" t="str">
        <f t="shared" si="22"/>
        <v/>
      </c>
      <c r="G271" s="491"/>
      <c r="H271" s="492" t="str">
        <f>IF(G271="","",INDEX(Lists!$BA$4:$BC$31,MATCH(E271,Lists!$AZ$4:$AZ$31,0),MATCH(G271,Lists!$BA$3:$BC$3,0)))</f>
        <v/>
      </c>
      <c r="I271" s="267"/>
      <c r="J271" s="490" t="str">
        <f t="shared" si="23"/>
        <v/>
      </c>
      <c r="K271" s="493" t="str" cm="1">
        <f t="array" ref="K271">IF(OR($E271="",$D271="",$I271="",$J271=""),"",IF(J271=L271,I271,(INDEX('Emission factors'!$K$3:$V$201,MATCH(E271&amp;F271,'Emission factors'!$J$3:$J$201&amp;'Emission factors'!$K$3:$K$201,0),MATCH(K$6,'Emission factors'!$K$2:$V$2,0)))*I271))</f>
        <v/>
      </c>
      <c r="L271" s="494" t="str">
        <f>IF(OR($E271="",$D271="",$I271="",$J271=""),"",INDEX('Emission factors'!$K$3:$V$201,MATCH('Buildings - Grid Electricity'!$E271,'Emission factors'!$J$3:$J$201,0),MATCH($L$6,'Emission factors'!$K$2:$V$2,0)))</f>
        <v/>
      </c>
      <c r="M271" s="495" t="str" cm="1">
        <f t="array" ref="M271">IF(OR(E271="",I271="",BuildingsElectricityTable[[#This Row],[Units]]=""),"",INDEX('Emission factors'!$K$3:$V$201,MATCH('Buildings - Grid Electricity'!$E271&amp;F271,'Emission factors'!$J$3:$J$201&amp;'Emission factors'!$K$3:$K$201,0),MATCH('Buildings - Grid Electricity'!$M$6,'Emission factors'!$K$2:$V$2,0)))</f>
        <v/>
      </c>
      <c r="N271" s="496" t="str">
        <f>IF(OR(K271="",M271=""),"",SUM(BuildingsElectricityTable[[#This Row],[Direct]:[Indirect WTT]]))</f>
        <v/>
      </c>
      <c r="O271" s="268"/>
      <c r="P271" s="497"/>
      <c r="Q271" s="157" t="str" cm="1">
        <f t="array" ref="Q271">IF(OR($E271="",$I271=""),"",(INDEX('Emission factors'!$K$3:$V$201,MATCH('Buildings - Grid Electricity'!$E271&amp;$F271,'Emission factors'!$J$3:$J$201&amp;'Emission factors'!$K$3:$K$201,0),MATCH('Buildings - Grid Electricity'!Q$6,'Emission factors'!$K$2:$V$2,0)))*$K271)</f>
        <v/>
      </c>
      <c r="R271" s="157" t="str" cm="1">
        <f t="array" ref="R271">IF(OR($E271="",$I271=""),"",(INDEX('Emission factors'!$K$3:$V$201,MATCH('Buildings - Grid Electricity'!$E271&amp;$F271,'Emission factors'!$J$3:$J$201&amp;'Emission factors'!$K$3:$K$201,0),MATCH('Buildings - Grid Electricity'!R$6,'Emission factors'!$K$2:$V$2,0)))*$K271)</f>
        <v/>
      </c>
      <c r="S271" s="157" t="str" cm="1">
        <f t="array" ref="S271">IF(OR($E271="",$I271=""),"",(INDEX('Emission factors'!$K$3:$V$201,MATCH('Buildings - Grid Electricity'!$E271&amp;$F271,'Emission factors'!$J$3:$J$201&amp;'Emission factors'!$K$3:$K$201,0),MATCH('Buildings - Grid Electricity'!S$6,'Emission factors'!$K$2:$V$2,0)))*$K271)</f>
        <v/>
      </c>
      <c r="T271" s="157" t="str" cm="1">
        <f t="array" ref="T271">IF(OR($E271="",$I271=""),"",(INDEX('Emission factors'!$K$3:$V$201,MATCH('Buildings - Grid Electricity'!$E271&amp;$F271,'Emission factors'!$J$3:$J$201&amp;'Emission factors'!$K$3:$K$201,0),MATCH('Buildings - Grid Electricity'!T$6,'Emission factors'!$K$2:$V$2,0)))*$K271)</f>
        <v/>
      </c>
      <c r="U271" s="157" t="str" cm="1">
        <f t="array" ref="U271">IF(OR($E271="",$I271=""),"",(INDEX('Emission factors'!$K$3:$V$201,MATCH('Buildings - Grid Electricity'!$E271&amp;$F271,'Emission factors'!$J$3:$J$201&amp;'Emission factors'!$K$3:$K$201,0),MATCH('Buildings - Grid Electricity'!U$6,'Emission factors'!$K$2:$V$2,0)))*$K271)</f>
        <v/>
      </c>
      <c r="V271" s="269" t="str">
        <f>IF(OR($N271="",BuildingsElectricityTable[[#This Row],[RSD]]=""),"",BuildingsElectricityTable[[#This Row],[Total emissions (kgCO2e)]]*(1+BuildingsElectricityTable[[#This Row],[RSD]]))</f>
        <v/>
      </c>
      <c r="W271" s="270" t="str">
        <f>IF(OR($N271="",BuildingsElectricityTable[[#This Row],[RSD]]=""),"",BuildingsElectricityTable[[#This Row],[Total emissions (kgCO2e)]]*(1-BuildingsElectricityTable[[#This Row],[RSD]]))</f>
        <v/>
      </c>
      <c r="X271" s="271" t="str" cm="1">
        <f t="array" ref="X271">IF(OR($E271="",$I271=""),"",(INDEX('Emission factors'!$K$3:$V$201,MATCH('Buildings - Grid Electricity'!$E271&amp;$F271,'Emission factors'!$J$3:$J$201&amp;'Emission factors'!$K$3:$K$201,0),MATCH('Buildings - Grid Electricity'!X$6,'Emission factors'!$K$2:$V$2,0)))*$K271)</f>
        <v/>
      </c>
      <c r="Y271" s="30"/>
      <c r="Z271" s="1" cm="1">
        <f t="array" ref="Z271">IF(OR(ISERROR(B271:X271)),1,0)</f>
        <v>0</v>
      </c>
      <c r="AA271" s="1">
        <f t="shared" si="24"/>
        <v>0</v>
      </c>
    </row>
    <row r="272" spans="1:27" ht="15" outlineLevel="1" thickBot="1" x14ac:dyDescent="0.4">
      <c r="A272" s="319"/>
      <c r="B272" s="216"/>
      <c r="C272" s="216"/>
      <c r="D272" s="489" t="str">
        <f>IFERROR(INDEX(BuildingInformationTable[Site type],MATCH(BuildingsElectricityTable[[#This Row],[Site name]],BuildingInformationTable[Site name],0)),"")</f>
        <v/>
      </c>
      <c r="E272" s="490" t="str">
        <f t="shared" si="21"/>
        <v/>
      </c>
      <c r="F272" s="490" t="str">
        <f t="shared" si="22"/>
        <v/>
      </c>
      <c r="G272" s="491"/>
      <c r="H272" s="492" t="str">
        <f>IF(G272="","",INDEX(Lists!$BA$4:$BC$31,MATCH(E272,Lists!$AZ$4:$AZ$31,0),MATCH(G272,Lists!$BA$3:$BC$3,0)))</f>
        <v/>
      </c>
      <c r="I272" s="267"/>
      <c r="J272" s="490" t="str">
        <f t="shared" si="23"/>
        <v/>
      </c>
      <c r="K272" s="493" t="str" cm="1">
        <f t="array" ref="K272">IF(OR($E272="",$D272="",$I272="",$J272=""),"",IF(J272=L272,I272,(INDEX('Emission factors'!$K$3:$V$201,MATCH(E272&amp;F272,'Emission factors'!$J$3:$J$201&amp;'Emission factors'!$K$3:$K$201,0),MATCH(K$6,'Emission factors'!$K$2:$V$2,0)))*I272))</f>
        <v/>
      </c>
      <c r="L272" s="494" t="str">
        <f>IF(OR($E272="",$D272="",$I272="",$J272=""),"",INDEX('Emission factors'!$K$3:$V$201,MATCH('Buildings - Grid Electricity'!$E272,'Emission factors'!$J$3:$J$201,0),MATCH($L$6,'Emission factors'!$K$2:$V$2,0)))</f>
        <v/>
      </c>
      <c r="M272" s="495" t="str" cm="1">
        <f t="array" ref="M272">IF(OR(E272="",I272="",BuildingsElectricityTable[[#This Row],[Units]]=""),"",INDEX('Emission factors'!$K$3:$V$201,MATCH('Buildings - Grid Electricity'!$E272&amp;F272,'Emission factors'!$J$3:$J$201&amp;'Emission factors'!$K$3:$K$201,0),MATCH('Buildings - Grid Electricity'!$M$6,'Emission factors'!$K$2:$V$2,0)))</f>
        <v/>
      </c>
      <c r="N272" s="496" t="str">
        <f>IF(OR(K272="",M272=""),"",SUM(BuildingsElectricityTable[[#This Row],[Direct]:[Indirect WTT]]))</f>
        <v/>
      </c>
      <c r="O272" s="268"/>
      <c r="P272" s="497"/>
      <c r="Q272" s="157" t="str" cm="1">
        <f t="array" ref="Q272">IF(OR($E272="",$I272=""),"",(INDEX('Emission factors'!$K$3:$V$201,MATCH('Buildings - Grid Electricity'!$E272&amp;$F272,'Emission factors'!$J$3:$J$201&amp;'Emission factors'!$K$3:$K$201,0),MATCH('Buildings - Grid Electricity'!Q$6,'Emission factors'!$K$2:$V$2,0)))*$K272)</f>
        <v/>
      </c>
      <c r="R272" s="157" t="str" cm="1">
        <f t="array" ref="R272">IF(OR($E272="",$I272=""),"",(INDEX('Emission factors'!$K$3:$V$201,MATCH('Buildings - Grid Electricity'!$E272&amp;$F272,'Emission factors'!$J$3:$J$201&amp;'Emission factors'!$K$3:$K$201,0),MATCH('Buildings - Grid Electricity'!R$6,'Emission factors'!$K$2:$V$2,0)))*$K272)</f>
        <v/>
      </c>
      <c r="S272" s="157" t="str" cm="1">
        <f t="array" ref="S272">IF(OR($E272="",$I272=""),"",(INDEX('Emission factors'!$K$3:$V$201,MATCH('Buildings - Grid Electricity'!$E272&amp;$F272,'Emission factors'!$J$3:$J$201&amp;'Emission factors'!$K$3:$K$201,0),MATCH('Buildings - Grid Electricity'!S$6,'Emission factors'!$K$2:$V$2,0)))*$K272)</f>
        <v/>
      </c>
      <c r="T272" s="157" t="str" cm="1">
        <f t="array" ref="T272">IF(OR($E272="",$I272=""),"",(INDEX('Emission factors'!$K$3:$V$201,MATCH('Buildings - Grid Electricity'!$E272&amp;$F272,'Emission factors'!$J$3:$J$201&amp;'Emission factors'!$K$3:$K$201,0),MATCH('Buildings - Grid Electricity'!T$6,'Emission factors'!$K$2:$V$2,0)))*$K272)</f>
        <v/>
      </c>
      <c r="U272" s="157" t="str" cm="1">
        <f t="array" ref="U272">IF(OR($E272="",$I272=""),"",(INDEX('Emission factors'!$K$3:$V$201,MATCH('Buildings - Grid Electricity'!$E272&amp;$F272,'Emission factors'!$J$3:$J$201&amp;'Emission factors'!$K$3:$K$201,0),MATCH('Buildings - Grid Electricity'!U$6,'Emission factors'!$K$2:$V$2,0)))*$K272)</f>
        <v/>
      </c>
      <c r="V272" s="269" t="str">
        <f>IF(OR($N272="",BuildingsElectricityTable[[#This Row],[RSD]]=""),"",BuildingsElectricityTable[[#This Row],[Total emissions (kgCO2e)]]*(1+BuildingsElectricityTable[[#This Row],[RSD]]))</f>
        <v/>
      </c>
      <c r="W272" s="270" t="str">
        <f>IF(OR($N272="",BuildingsElectricityTable[[#This Row],[RSD]]=""),"",BuildingsElectricityTable[[#This Row],[Total emissions (kgCO2e)]]*(1-BuildingsElectricityTable[[#This Row],[RSD]]))</f>
        <v/>
      </c>
      <c r="X272" s="271" t="str" cm="1">
        <f t="array" ref="X272">IF(OR($E272="",$I272=""),"",(INDEX('Emission factors'!$K$3:$V$201,MATCH('Buildings - Grid Electricity'!$E272&amp;$F272,'Emission factors'!$J$3:$J$201&amp;'Emission factors'!$K$3:$K$201,0),MATCH('Buildings - Grid Electricity'!X$6,'Emission factors'!$K$2:$V$2,0)))*$K272)</f>
        <v/>
      </c>
      <c r="Y272" s="30"/>
      <c r="Z272" s="1" cm="1">
        <f t="array" ref="Z272">IF(OR(ISERROR(B272:X272)),1,0)</f>
        <v>0</v>
      </c>
      <c r="AA272" s="1">
        <f t="shared" si="24"/>
        <v>0</v>
      </c>
    </row>
    <row r="273" spans="1:27" ht="15" outlineLevel="1" thickBot="1" x14ac:dyDescent="0.4">
      <c r="A273" s="319"/>
      <c r="B273" s="216"/>
      <c r="C273" s="216"/>
      <c r="D273" s="489" t="str">
        <f>IFERROR(INDEX(BuildingInformationTable[Site type],MATCH(BuildingsElectricityTable[[#This Row],[Site name]],BuildingInformationTable[Site name],0)),"")</f>
        <v/>
      </c>
      <c r="E273" s="490" t="str">
        <f t="shared" si="21"/>
        <v/>
      </c>
      <c r="F273" s="490" t="str">
        <f t="shared" si="22"/>
        <v/>
      </c>
      <c r="G273" s="491"/>
      <c r="H273" s="492" t="str">
        <f>IF(G273="","",INDEX(Lists!$BA$4:$BC$31,MATCH(E273,Lists!$AZ$4:$AZ$31,0),MATCH(G273,Lists!$BA$3:$BC$3,0)))</f>
        <v/>
      </c>
      <c r="I273" s="267"/>
      <c r="J273" s="490" t="str">
        <f t="shared" si="23"/>
        <v/>
      </c>
      <c r="K273" s="493" t="str" cm="1">
        <f t="array" ref="K273">IF(OR($E273="",$D273="",$I273="",$J273=""),"",IF(J273=L273,I273,(INDEX('Emission factors'!$K$3:$V$201,MATCH(E273&amp;F273,'Emission factors'!$J$3:$J$201&amp;'Emission factors'!$K$3:$K$201,0),MATCH(K$6,'Emission factors'!$K$2:$V$2,0)))*I273))</f>
        <v/>
      </c>
      <c r="L273" s="494" t="str">
        <f>IF(OR($E273="",$D273="",$I273="",$J273=""),"",INDEX('Emission factors'!$K$3:$V$201,MATCH('Buildings - Grid Electricity'!$E273,'Emission factors'!$J$3:$J$201,0),MATCH($L$6,'Emission factors'!$K$2:$V$2,0)))</f>
        <v/>
      </c>
      <c r="M273" s="495" t="str" cm="1">
        <f t="array" ref="M273">IF(OR(E273="",I273="",BuildingsElectricityTable[[#This Row],[Units]]=""),"",INDEX('Emission factors'!$K$3:$V$201,MATCH('Buildings - Grid Electricity'!$E273&amp;F273,'Emission factors'!$J$3:$J$201&amp;'Emission factors'!$K$3:$K$201,0),MATCH('Buildings - Grid Electricity'!$M$6,'Emission factors'!$K$2:$V$2,0)))</f>
        <v/>
      </c>
      <c r="N273" s="496" t="str">
        <f>IF(OR(K273="",M273=""),"",SUM(BuildingsElectricityTable[[#This Row],[Direct]:[Indirect WTT]]))</f>
        <v/>
      </c>
      <c r="O273" s="268"/>
      <c r="P273" s="497"/>
      <c r="Q273" s="157" t="str" cm="1">
        <f t="array" ref="Q273">IF(OR($E273="",$I273=""),"",(INDEX('Emission factors'!$K$3:$V$201,MATCH('Buildings - Grid Electricity'!$E273&amp;$F273,'Emission factors'!$J$3:$J$201&amp;'Emission factors'!$K$3:$K$201,0),MATCH('Buildings - Grid Electricity'!Q$6,'Emission factors'!$K$2:$V$2,0)))*$K273)</f>
        <v/>
      </c>
      <c r="R273" s="157" t="str" cm="1">
        <f t="array" ref="R273">IF(OR($E273="",$I273=""),"",(INDEX('Emission factors'!$K$3:$V$201,MATCH('Buildings - Grid Electricity'!$E273&amp;$F273,'Emission factors'!$J$3:$J$201&amp;'Emission factors'!$K$3:$K$201,0),MATCH('Buildings - Grid Electricity'!R$6,'Emission factors'!$K$2:$V$2,0)))*$K273)</f>
        <v/>
      </c>
      <c r="S273" s="157" t="str" cm="1">
        <f t="array" ref="S273">IF(OR($E273="",$I273=""),"",(INDEX('Emission factors'!$K$3:$V$201,MATCH('Buildings - Grid Electricity'!$E273&amp;$F273,'Emission factors'!$J$3:$J$201&amp;'Emission factors'!$K$3:$K$201,0),MATCH('Buildings - Grid Electricity'!S$6,'Emission factors'!$K$2:$V$2,0)))*$K273)</f>
        <v/>
      </c>
      <c r="T273" s="157" t="str" cm="1">
        <f t="array" ref="T273">IF(OR($E273="",$I273=""),"",(INDEX('Emission factors'!$K$3:$V$201,MATCH('Buildings - Grid Electricity'!$E273&amp;$F273,'Emission factors'!$J$3:$J$201&amp;'Emission factors'!$K$3:$K$201,0),MATCH('Buildings - Grid Electricity'!T$6,'Emission factors'!$K$2:$V$2,0)))*$K273)</f>
        <v/>
      </c>
      <c r="U273" s="157" t="str" cm="1">
        <f t="array" ref="U273">IF(OR($E273="",$I273=""),"",(INDEX('Emission factors'!$K$3:$V$201,MATCH('Buildings - Grid Electricity'!$E273&amp;$F273,'Emission factors'!$J$3:$J$201&amp;'Emission factors'!$K$3:$K$201,0),MATCH('Buildings - Grid Electricity'!U$6,'Emission factors'!$K$2:$V$2,0)))*$K273)</f>
        <v/>
      </c>
      <c r="V273" s="269" t="str">
        <f>IF(OR($N273="",BuildingsElectricityTable[[#This Row],[RSD]]=""),"",BuildingsElectricityTable[[#This Row],[Total emissions (kgCO2e)]]*(1+BuildingsElectricityTable[[#This Row],[RSD]]))</f>
        <v/>
      </c>
      <c r="W273" s="270" t="str">
        <f>IF(OR($N273="",BuildingsElectricityTable[[#This Row],[RSD]]=""),"",BuildingsElectricityTable[[#This Row],[Total emissions (kgCO2e)]]*(1-BuildingsElectricityTable[[#This Row],[RSD]]))</f>
        <v/>
      </c>
      <c r="X273" s="271" t="str" cm="1">
        <f t="array" ref="X273">IF(OR($E273="",$I273=""),"",(INDEX('Emission factors'!$K$3:$V$201,MATCH('Buildings - Grid Electricity'!$E273&amp;$F273,'Emission factors'!$J$3:$J$201&amp;'Emission factors'!$K$3:$K$201,0),MATCH('Buildings - Grid Electricity'!X$6,'Emission factors'!$K$2:$V$2,0)))*$K273)</f>
        <v/>
      </c>
      <c r="Y273" s="30"/>
      <c r="Z273" s="1" cm="1">
        <f t="array" ref="Z273">IF(OR(ISERROR(B273:X273)),1,0)</f>
        <v>0</v>
      </c>
      <c r="AA273" s="1">
        <f t="shared" si="24"/>
        <v>0</v>
      </c>
    </row>
    <row r="274" spans="1:27" ht="15" outlineLevel="1" thickBot="1" x14ac:dyDescent="0.4">
      <c r="A274" s="319"/>
      <c r="B274" s="216"/>
      <c r="C274" s="216"/>
      <c r="D274" s="489" t="str">
        <f>IFERROR(INDEX(BuildingInformationTable[Site type],MATCH(BuildingsElectricityTable[[#This Row],[Site name]],BuildingInformationTable[Site name],0)),"")</f>
        <v/>
      </c>
      <c r="E274" s="490" t="str">
        <f t="shared" si="21"/>
        <v/>
      </c>
      <c r="F274" s="490" t="str">
        <f t="shared" si="22"/>
        <v/>
      </c>
      <c r="G274" s="491"/>
      <c r="H274" s="492" t="str">
        <f>IF(G274="","",INDEX(Lists!$BA$4:$BC$31,MATCH(E274,Lists!$AZ$4:$AZ$31,0),MATCH(G274,Lists!$BA$3:$BC$3,0)))</f>
        <v/>
      </c>
      <c r="I274" s="267"/>
      <c r="J274" s="490" t="str">
        <f t="shared" si="23"/>
        <v/>
      </c>
      <c r="K274" s="493" t="str" cm="1">
        <f t="array" ref="K274">IF(OR($E274="",$D274="",$I274="",$J274=""),"",IF(J274=L274,I274,(INDEX('Emission factors'!$K$3:$V$201,MATCH(E274&amp;F274,'Emission factors'!$J$3:$J$201&amp;'Emission factors'!$K$3:$K$201,0),MATCH(K$6,'Emission factors'!$K$2:$V$2,0)))*I274))</f>
        <v/>
      </c>
      <c r="L274" s="494" t="str">
        <f>IF(OR($E274="",$D274="",$I274="",$J274=""),"",INDEX('Emission factors'!$K$3:$V$201,MATCH('Buildings - Grid Electricity'!$E274,'Emission factors'!$J$3:$J$201,0),MATCH($L$6,'Emission factors'!$K$2:$V$2,0)))</f>
        <v/>
      </c>
      <c r="M274" s="495" t="str" cm="1">
        <f t="array" ref="M274">IF(OR(E274="",I274="",BuildingsElectricityTable[[#This Row],[Units]]=""),"",INDEX('Emission factors'!$K$3:$V$201,MATCH('Buildings - Grid Electricity'!$E274&amp;F274,'Emission factors'!$J$3:$J$201&amp;'Emission factors'!$K$3:$K$201,0),MATCH('Buildings - Grid Electricity'!$M$6,'Emission factors'!$K$2:$V$2,0)))</f>
        <v/>
      </c>
      <c r="N274" s="496" t="str">
        <f>IF(OR(K274="",M274=""),"",SUM(BuildingsElectricityTable[[#This Row],[Direct]:[Indirect WTT]]))</f>
        <v/>
      </c>
      <c r="O274" s="268"/>
      <c r="P274" s="497"/>
      <c r="Q274" s="157" t="str" cm="1">
        <f t="array" ref="Q274">IF(OR($E274="",$I274=""),"",(INDEX('Emission factors'!$K$3:$V$201,MATCH('Buildings - Grid Electricity'!$E274&amp;$F274,'Emission factors'!$J$3:$J$201&amp;'Emission factors'!$K$3:$K$201,0),MATCH('Buildings - Grid Electricity'!Q$6,'Emission factors'!$K$2:$V$2,0)))*$K274)</f>
        <v/>
      </c>
      <c r="R274" s="157" t="str" cm="1">
        <f t="array" ref="R274">IF(OR($E274="",$I274=""),"",(INDEX('Emission factors'!$K$3:$V$201,MATCH('Buildings - Grid Electricity'!$E274&amp;$F274,'Emission factors'!$J$3:$J$201&amp;'Emission factors'!$K$3:$K$201,0),MATCH('Buildings - Grid Electricity'!R$6,'Emission factors'!$K$2:$V$2,0)))*$K274)</f>
        <v/>
      </c>
      <c r="S274" s="157" t="str" cm="1">
        <f t="array" ref="S274">IF(OR($E274="",$I274=""),"",(INDEX('Emission factors'!$K$3:$V$201,MATCH('Buildings - Grid Electricity'!$E274&amp;$F274,'Emission factors'!$J$3:$J$201&amp;'Emission factors'!$K$3:$K$201,0),MATCH('Buildings - Grid Electricity'!S$6,'Emission factors'!$K$2:$V$2,0)))*$K274)</f>
        <v/>
      </c>
      <c r="T274" s="157" t="str" cm="1">
        <f t="array" ref="T274">IF(OR($E274="",$I274=""),"",(INDEX('Emission factors'!$K$3:$V$201,MATCH('Buildings - Grid Electricity'!$E274&amp;$F274,'Emission factors'!$J$3:$J$201&amp;'Emission factors'!$K$3:$K$201,0),MATCH('Buildings - Grid Electricity'!T$6,'Emission factors'!$K$2:$V$2,0)))*$K274)</f>
        <v/>
      </c>
      <c r="U274" s="157" t="str" cm="1">
        <f t="array" ref="U274">IF(OR($E274="",$I274=""),"",(INDEX('Emission factors'!$K$3:$V$201,MATCH('Buildings - Grid Electricity'!$E274&amp;$F274,'Emission factors'!$J$3:$J$201&amp;'Emission factors'!$K$3:$K$201,0),MATCH('Buildings - Grid Electricity'!U$6,'Emission factors'!$K$2:$V$2,0)))*$K274)</f>
        <v/>
      </c>
      <c r="V274" s="269" t="str">
        <f>IF(OR($N274="",BuildingsElectricityTable[[#This Row],[RSD]]=""),"",BuildingsElectricityTable[[#This Row],[Total emissions (kgCO2e)]]*(1+BuildingsElectricityTable[[#This Row],[RSD]]))</f>
        <v/>
      </c>
      <c r="W274" s="270" t="str">
        <f>IF(OR($N274="",BuildingsElectricityTable[[#This Row],[RSD]]=""),"",BuildingsElectricityTable[[#This Row],[Total emissions (kgCO2e)]]*(1-BuildingsElectricityTable[[#This Row],[RSD]]))</f>
        <v/>
      </c>
      <c r="X274" s="271" t="str" cm="1">
        <f t="array" ref="X274">IF(OR($E274="",$I274=""),"",(INDEX('Emission factors'!$K$3:$V$201,MATCH('Buildings - Grid Electricity'!$E274&amp;$F274,'Emission factors'!$J$3:$J$201&amp;'Emission factors'!$K$3:$K$201,0),MATCH('Buildings - Grid Electricity'!X$6,'Emission factors'!$K$2:$V$2,0)))*$K274)</f>
        <v/>
      </c>
      <c r="Y274" s="30"/>
      <c r="Z274" s="1" cm="1">
        <f t="array" ref="Z274">IF(OR(ISERROR(B274:X274)),1,0)</f>
        <v>0</v>
      </c>
      <c r="AA274" s="1">
        <f t="shared" si="24"/>
        <v>0</v>
      </c>
    </row>
    <row r="275" spans="1:27" ht="15" outlineLevel="1" thickBot="1" x14ac:dyDescent="0.4">
      <c r="A275" s="319"/>
      <c r="B275" s="216"/>
      <c r="C275" s="216"/>
      <c r="D275" s="489" t="str">
        <f>IFERROR(INDEX(BuildingInformationTable[Site type],MATCH(BuildingsElectricityTable[[#This Row],[Site name]],BuildingInformationTable[Site name],0)),"")</f>
        <v/>
      </c>
      <c r="E275" s="490" t="str">
        <f t="shared" si="21"/>
        <v/>
      </c>
      <c r="F275" s="490" t="str">
        <f t="shared" si="22"/>
        <v/>
      </c>
      <c r="G275" s="491"/>
      <c r="H275" s="492" t="str">
        <f>IF(G275="","",INDEX(Lists!$BA$4:$BC$31,MATCH(E275,Lists!$AZ$4:$AZ$31,0),MATCH(G275,Lists!$BA$3:$BC$3,0)))</f>
        <v/>
      </c>
      <c r="I275" s="267"/>
      <c r="J275" s="490" t="str">
        <f t="shared" si="23"/>
        <v/>
      </c>
      <c r="K275" s="493" t="str" cm="1">
        <f t="array" ref="K275">IF(OR($E275="",$D275="",$I275="",$J275=""),"",IF(J275=L275,I275,(INDEX('Emission factors'!$K$3:$V$201,MATCH(E275&amp;F275,'Emission factors'!$J$3:$J$201&amp;'Emission factors'!$K$3:$K$201,0),MATCH(K$6,'Emission factors'!$K$2:$V$2,0)))*I275))</f>
        <v/>
      </c>
      <c r="L275" s="494" t="str">
        <f>IF(OR($E275="",$D275="",$I275="",$J275=""),"",INDEX('Emission factors'!$K$3:$V$201,MATCH('Buildings - Grid Electricity'!$E275,'Emission factors'!$J$3:$J$201,0),MATCH($L$6,'Emission factors'!$K$2:$V$2,0)))</f>
        <v/>
      </c>
      <c r="M275" s="495" t="str" cm="1">
        <f t="array" ref="M275">IF(OR(E275="",I275="",BuildingsElectricityTable[[#This Row],[Units]]=""),"",INDEX('Emission factors'!$K$3:$V$201,MATCH('Buildings - Grid Electricity'!$E275&amp;F275,'Emission factors'!$J$3:$J$201&amp;'Emission factors'!$K$3:$K$201,0),MATCH('Buildings - Grid Electricity'!$M$6,'Emission factors'!$K$2:$V$2,0)))</f>
        <v/>
      </c>
      <c r="N275" s="496" t="str">
        <f>IF(OR(K275="",M275=""),"",SUM(BuildingsElectricityTable[[#This Row],[Direct]:[Indirect WTT]]))</f>
        <v/>
      </c>
      <c r="O275" s="268"/>
      <c r="P275" s="497"/>
      <c r="Q275" s="157" t="str" cm="1">
        <f t="array" ref="Q275">IF(OR($E275="",$I275=""),"",(INDEX('Emission factors'!$K$3:$V$201,MATCH('Buildings - Grid Electricity'!$E275&amp;$F275,'Emission factors'!$J$3:$J$201&amp;'Emission factors'!$K$3:$K$201,0),MATCH('Buildings - Grid Electricity'!Q$6,'Emission factors'!$K$2:$V$2,0)))*$K275)</f>
        <v/>
      </c>
      <c r="R275" s="157" t="str" cm="1">
        <f t="array" ref="R275">IF(OR($E275="",$I275=""),"",(INDEX('Emission factors'!$K$3:$V$201,MATCH('Buildings - Grid Electricity'!$E275&amp;$F275,'Emission factors'!$J$3:$J$201&amp;'Emission factors'!$K$3:$K$201,0),MATCH('Buildings - Grid Electricity'!R$6,'Emission factors'!$K$2:$V$2,0)))*$K275)</f>
        <v/>
      </c>
      <c r="S275" s="157" t="str" cm="1">
        <f t="array" ref="S275">IF(OR($E275="",$I275=""),"",(INDEX('Emission factors'!$K$3:$V$201,MATCH('Buildings - Grid Electricity'!$E275&amp;$F275,'Emission factors'!$J$3:$J$201&amp;'Emission factors'!$K$3:$K$201,0),MATCH('Buildings - Grid Electricity'!S$6,'Emission factors'!$K$2:$V$2,0)))*$K275)</f>
        <v/>
      </c>
      <c r="T275" s="157" t="str" cm="1">
        <f t="array" ref="T275">IF(OR($E275="",$I275=""),"",(INDEX('Emission factors'!$K$3:$V$201,MATCH('Buildings - Grid Electricity'!$E275&amp;$F275,'Emission factors'!$J$3:$J$201&amp;'Emission factors'!$K$3:$K$201,0),MATCH('Buildings - Grid Electricity'!T$6,'Emission factors'!$K$2:$V$2,0)))*$K275)</f>
        <v/>
      </c>
      <c r="U275" s="157" t="str" cm="1">
        <f t="array" ref="U275">IF(OR($E275="",$I275=""),"",(INDEX('Emission factors'!$K$3:$V$201,MATCH('Buildings - Grid Electricity'!$E275&amp;$F275,'Emission factors'!$J$3:$J$201&amp;'Emission factors'!$K$3:$K$201,0),MATCH('Buildings - Grid Electricity'!U$6,'Emission factors'!$K$2:$V$2,0)))*$K275)</f>
        <v/>
      </c>
      <c r="V275" s="269" t="str">
        <f>IF(OR($N275="",BuildingsElectricityTable[[#This Row],[RSD]]=""),"",BuildingsElectricityTable[[#This Row],[Total emissions (kgCO2e)]]*(1+BuildingsElectricityTable[[#This Row],[RSD]]))</f>
        <v/>
      </c>
      <c r="W275" s="270" t="str">
        <f>IF(OR($N275="",BuildingsElectricityTable[[#This Row],[RSD]]=""),"",BuildingsElectricityTable[[#This Row],[Total emissions (kgCO2e)]]*(1-BuildingsElectricityTable[[#This Row],[RSD]]))</f>
        <v/>
      </c>
      <c r="X275" s="271" t="str" cm="1">
        <f t="array" ref="X275">IF(OR($E275="",$I275=""),"",(INDEX('Emission factors'!$K$3:$V$201,MATCH('Buildings - Grid Electricity'!$E275&amp;$F275,'Emission factors'!$J$3:$J$201&amp;'Emission factors'!$K$3:$K$201,0),MATCH('Buildings - Grid Electricity'!X$6,'Emission factors'!$K$2:$V$2,0)))*$K275)</f>
        <v/>
      </c>
      <c r="Y275" s="30"/>
      <c r="Z275" s="1" cm="1">
        <f t="array" ref="Z275">IF(OR(ISERROR(B275:X275)),1,0)</f>
        <v>0</v>
      </c>
      <c r="AA275" s="1">
        <f t="shared" si="24"/>
        <v>0</v>
      </c>
    </row>
    <row r="276" spans="1:27" ht="15" outlineLevel="1" thickBot="1" x14ac:dyDescent="0.4">
      <c r="A276" s="319"/>
      <c r="B276" s="216"/>
      <c r="C276" s="216"/>
      <c r="D276" s="489" t="str">
        <f>IFERROR(INDEX(BuildingInformationTable[Site type],MATCH(BuildingsElectricityTable[[#This Row],[Site name]],BuildingInformationTable[Site name],0)),"")</f>
        <v/>
      </c>
      <c r="E276" s="490" t="str">
        <f t="shared" si="21"/>
        <v/>
      </c>
      <c r="F276" s="490" t="str">
        <f t="shared" si="22"/>
        <v/>
      </c>
      <c r="G276" s="491"/>
      <c r="H276" s="492" t="str">
        <f>IF(G276="","",INDEX(Lists!$BA$4:$BC$31,MATCH(E276,Lists!$AZ$4:$AZ$31,0),MATCH(G276,Lists!$BA$3:$BC$3,0)))</f>
        <v/>
      </c>
      <c r="I276" s="267"/>
      <c r="J276" s="490" t="str">
        <f t="shared" si="23"/>
        <v/>
      </c>
      <c r="K276" s="493" t="str" cm="1">
        <f t="array" ref="K276">IF(OR($E276="",$D276="",$I276="",$J276=""),"",IF(J276=L276,I276,(INDEX('Emission factors'!$K$3:$V$201,MATCH(E276&amp;F276,'Emission factors'!$J$3:$J$201&amp;'Emission factors'!$K$3:$K$201,0),MATCH(K$6,'Emission factors'!$K$2:$V$2,0)))*I276))</f>
        <v/>
      </c>
      <c r="L276" s="494" t="str">
        <f>IF(OR($E276="",$D276="",$I276="",$J276=""),"",INDEX('Emission factors'!$K$3:$V$201,MATCH('Buildings - Grid Electricity'!$E276,'Emission factors'!$J$3:$J$201,0),MATCH($L$6,'Emission factors'!$K$2:$V$2,0)))</f>
        <v/>
      </c>
      <c r="M276" s="495" t="str" cm="1">
        <f t="array" ref="M276">IF(OR(E276="",I276="",BuildingsElectricityTable[[#This Row],[Units]]=""),"",INDEX('Emission factors'!$K$3:$V$201,MATCH('Buildings - Grid Electricity'!$E276&amp;F276,'Emission factors'!$J$3:$J$201&amp;'Emission factors'!$K$3:$K$201,0),MATCH('Buildings - Grid Electricity'!$M$6,'Emission factors'!$K$2:$V$2,0)))</f>
        <v/>
      </c>
      <c r="N276" s="496" t="str">
        <f>IF(OR(K276="",M276=""),"",SUM(BuildingsElectricityTable[[#This Row],[Direct]:[Indirect WTT]]))</f>
        <v/>
      </c>
      <c r="O276" s="268"/>
      <c r="P276" s="497"/>
      <c r="Q276" s="157" t="str" cm="1">
        <f t="array" ref="Q276">IF(OR($E276="",$I276=""),"",(INDEX('Emission factors'!$K$3:$V$201,MATCH('Buildings - Grid Electricity'!$E276&amp;$F276,'Emission factors'!$J$3:$J$201&amp;'Emission factors'!$K$3:$K$201,0),MATCH('Buildings - Grid Electricity'!Q$6,'Emission factors'!$K$2:$V$2,0)))*$K276)</f>
        <v/>
      </c>
      <c r="R276" s="157" t="str" cm="1">
        <f t="array" ref="R276">IF(OR($E276="",$I276=""),"",(INDEX('Emission factors'!$K$3:$V$201,MATCH('Buildings - Grid Electricity'!$E276&amp;$F276,'Emission factors'!$J$3:$J$201&amp;'Emission factors'!$K$3:$K$201,0),MATCH('Buildings - Grid Electricity'!R$6,'Emission factors'!$K$2:$V$2,0)))*$K276)</f>
        <v/>
      </c>
      <c r="S276" s="157" t="str" cm="1">
        <f t="array" ref="S276">IF(OR($E276="",$I276=""),"",(INDEX('Emission factors'!$K$3:$V$201,MATCH('Buildings - Grid Electricity'!$E276&amp;$F276,'Emission factors'!$J$3:$J$201&amp;'Emission factors'!$K$3:$K$201,0),MATCH('Buildings - Grid Electricity'!S$6,'Emission factors'!$K$2:$V$2,0)))*$K276)</f>
        <v/>
      </c>
      <c r="T276" s="157" t="str" cm="1">
        <f t="array" ref="T276">IF(OR($E276="",$I276=""),"",(INDEX('Emission factors'!$K$3:$V$201,MATCH('Buildings - Grid Electricity'!$E276&amp;$F276,'Emission factors'!$J$3:$J$201&amp;'Emission factors'!$K$3:$K$201,0),MATCH('Buildings - Grid Electricity'!T$6,'Emission factors'!$K$2:$V$2,0)))*$K276)</f>
        <v/>
      </c>
      <c r="U276" s="157" t="str" cm="1">
        <f t="array" ref="U276">IF(OR($E276="",$I276=""),"",(INDEX('Emission factors'!$K$3:$V$201,MATCH('Buildings - Grid Electricity'!$E276&amp;$F276,'Emission factors'!$J$3:$J$201&amp;'Emission factors'!$K$3:$K$201,0),MATCH('Buildings - Grid Electricity'!U$6,'Emission factors'!$K$2:$V$2,0)))*$K276)</f>
        <v/>
      </c>
      <c r="V276" s="269" t="str">
        <f>IF(OR($N276="",BuildingsElectricityTable[[#This Row],[RSD]]=""),"",BuildingsElectricityTable[[#This Row],[Total emissions (kgCO2e)]]*(1+BuildingsElectricityTable[[#This Row],[RSD]]))</f>
        <v/>
      </c>
      <c r="W276" s="270" t="str">
        <f>IF(OR($N276="",BuildingsElectricityTable[[#This Row],[RSD]]=""),"",BuildingsElectricityTable[[#This Row],[Total emissions (kgCO2e)]]*(1-BuildingsElectricityTable[[#This Row],[RSD]]))</f>
        <v/>
      </c>
      <c r="X276" s="271" t="str" cm="1">
        <f t="array" ref="X276">IF(OR($E276="",$I276=""),"",(INDEX('Emission factors'!$K$3:$V$201,MATCH('Buildings - Grid Electricity'!$E276&amp;$F276,'Emission factors'!$J$3:$J$201&amp;'Emission factors'!$K$3:$K$201,0),MATCH('Buildings - Grid Electricity'!X$6,'Emission factors'!$K$2:$V$2,0)))*$K276)</f>
        <v/>
      </c>
      <c r="Y276" s="30"/>
      <c r="Z276" s="1" cm="1">
        <f t="array" ref="Z276">IF(OR(ISERROR(B276:X276)),1,0)</f>
        <v>0</v>
      </c>
      <c r="AA276" s="1">
        <f t="shared" si="24"/>
        <v>0</v>
      </c>
    </row>
    <row r="277" spans="1:27" ht="15" outlineLevel="1" thickBot="1" x14ac:dyDescent="0.4">
      <c r="A277" s="319"/>
      <c r="B277" s="216"/>
      <c r="C277" s="216"/>
      <c r="D277" s="489" t="str">
        <f>IFERROR(INDEX(BuildingInformationTable[Site type],MATCH(BuildingsElectricityTable[[#This Row],[Site name]],BuildingInformationTable[Site name],0)),"")</f>
        <v/>
      </c>
      <c r="E277" s="490" t="str">
        <f t="shared" si="21"/>
        <v/>
      </c>
      <c r="F277" s="490" t="str">
        <f t="shared" si="22"/>
        <v/>
      </c>
      <c r="G277" s="491"/>
      <c r="H277" s="492" t="str">
        <f>IF(G277="","",INDEX(Lists!$BA$4:$BC$31,MATCH(E277,Lists!$AZ$4:$AZ$31,0),MATCH(G277,Lists!$BA$3:$BC$3,0)))</f>
        <v/>
      </c>
      <c r="I277" s="267"/>
      <c r="J277" s="490" t="str">
        <f t="shared" si="23"/>
        <v/>
      </c>
      <c r="K277" s="493" t="str" cm="1">
        <f t="array" ref="K277">IF(OR($E277="",$D277="",$I277="",$J277=""),"",IF(J277=L277,I277,(INDEX('Emission factors'!$K$3:$V$201,MATCH(E277&amp;F277,'Emission factors'!$J$3:$J$201&amp;'Emission factors'!$K$3:$K$201,0),MATCH(K$6,'Emission factors'!$K$2:$V$2,0)))*I277))</f>
        <v/>
      </c>
      <c r="L277" s="494" t="str">
        <f>IF(OR($E277="",$D277="",$I277="",$J277=""),"",INDEX('Emission factors'!$K$3:$V$201,MATCH('Buildings - Grid Electricity'!$E277,'Emission factors'!$J$3:$J$201,0),MATCH($L$6,'Emission factors'!$K$2:$V$2,0)))</f>
        <v/>
      </c>
      <c r="M277" s="495" t="str" cm="1">
        <f t="array" ref="M277">IF(OR(E277="",I277="",BuildingsElectricityTable[[#This Row],[Units]]=""),"",INDEX('Emission factors'!$K$3:$V$201,MATCH('Buildings - Grid Electricity'!$E277&amp;F277,'Emission factors'!$J$3:$J$201&amp;'Emission factors'!$K$3:$K$201,0),MATCH('Buildings - Grid Electricity'!$M$6,'Emission factors'!$K$2:$V$2,0)))</f>
        <v/>
      </c>
      <c r="N277" s="496" t="str">
        <f>IF(OR(K277="",M277=""),"",SUM(BuildingsElectricityTable[[#This Row],[Direct]:[Indirect WTT]]))</f>
        <v/>
      </c>
      <c r="O277" s="268"/>
      <c r="P277" s="497"/>
      <c r="Q277" s="157" t="str" cm="1">
        <f t="array" ref="Q277">IF(OR($E277="",$I277=""),"",(INDEX('Emission factors'!$K$3:$V$201,MATCH('Buildings - Grid Electricity'!$E277&amp;$F277,'Emission factors'!$J$3:$J$201&amp;'Emission factors'!$K$3:$K$201,0),MATCH('Buildings - Grid Electricity'!Q$6,'Emission factors'!$K$2:$V$2,0)))*$K277)</f>
        <v/>
      </c>
      <c r="R277" s="157" t="str" cm="1">
        <f t="array" ref="R277">IF(OR($E277="",$I277=""),"",(INDEX('Emission factors'!$K$3:$V$201,MATCH('Buildings - Grid Electricity'!$E277&amp;$F277,'Emission factors'!$J$3:$J$201&amp;'Emission factors'!$K$3:$K$201,0),MATCH('Buildings - Grid Electricity'!R$6,'Emission factors'!$K$2:$V$2,0)))*$K277)</f>
        <v/>
      </c>
      <c r="S277" s="157" t="str" cm="1">
        <f t="array" ref="S277">IF(OR($E277="",$I277=""),"",(INDEX('Emission factors'!$K$3:$V$201,MATCH('Buildings - Grid Electricity'!$E277&amp;$F277,'Emission factors'!$J$3:$J$201&amp;'Emission factors'!$K$3:$K$201,0),MATCH('Buildings - Grid Electricity'!S$6,'Emission factors'!$K$2:$V$2,0)))*$K277)</f>
        <v/>
      </c>
      <c r="T277" s="157" t="str" cm="1">
        <f t="array" ref="T277">IF(OR($E277="",$I277=""),"",(INDEX('Emission factors'!$K$3:$V$201,MATCH('Buildings - Grid Electricity'!$E277&amp;$F277,'Emission factors'!$J$3:$J$201&amp;'Emission factors'!$K$3:$K$201,0),MATCH('Buildings - Grid Electricity'!T$6,'Emission factors'!$K$2:$V$2,0)))*$K277)</f>
        <v/>
      </c>
      <c r="U277" s="157" t="str" cm="1">
        <f t="array" ref="U277">IF(OR($E277="",$I277=""),"",(INDEX('Emission factors'!$K$3:$V$201,MATCH('Buildings - Grid Electricity'!$E277&amp;$F277,'Emission factors'!$J$3:$J$201&amp;'Emission factors'!$K$3:$K$201,0),MATCH('Buildings - Grid Electricity'!U$6,'Emission factors'!$K$2:$V$2,0)))*$K277)</f>
        <v/>
      </c>
      <c r="V277" s="269" t="str">
        <f>IF(OR($N277="",BuildingsElectricityTable[[#This Row],[RSD]]=""),"",BuildingsElectricityTable[[#This Row],[Total emissions (kgCO2e)]]*(1+BuildingsElectricityTable[[#This Row],[RSD]]))</f>
        <v/>
      </c>
      <c r="W277" s="270" t="str">
        <f>IF(OR($N277="",BuildingsElectricityTable[[#This Row],[RSD]]=""),"",BuildingsElectricityTable[[#This Row],[Total emissions (kgCO2e)]]*(1-BuildingsElectricityTable[[#This Row],[RSD]]))</f>
        <v/>
      </c>
      <c r="X277" s="271" t="str" cm="1">
        <f t="array" ref="X277">IF(OR($E277="",$I277=""),"",(INDEX('Emission factors'!$K$3:$V$201,MATCH('Buildings - Grid Electricity'!$E277&amp;$F277,'Emission factors'!$J$3:$J$201&amp;'Emission factors'!$K$3:$K$201,0),MATCH('Buildings - Grid Electricity'!X$6,'Emission factors'!$K$2:$V$2,0)))*$K277)</f>
        <v/>
      </c>
      <c r="Y277" s="30"/>
      <c r="Z277" s="1" cm="1">
        <f t="array" ref="Z277">IF(OR(ISERROR(B277:X277)),1,0)</f>
        <v>0</v>
      </c>
      <c r="AA277" s="1">
        <f t="shared" si="24"/>
        <v>0</v>
      </c>
    </row>
    <row r="278" spans="1:27" ht="15" outlineLevel="1" thickBot="1" x14ac:dyDescent="0.4">
      <c r="A278" s="319"/>
      <c r="B278" s="216"/>
      <c r="C278" s="216"/>
      <c r="D278" s="489" t="str">
        <f>IFERROR(INDEX(BuildingInformationTable[Site type],MATCH(BuildingsElectricityTable[[#This Row],[Site name]],BuildingInformationTable[Site name],0)),"")</f>
        <v/>
      </c>
      <c r="E278" s="490" t="str">
        <f t="shared" si="21"/>
        <v/>
      </c>
      <c r="F278" s="490" t="str">
        <f t="shared" si="22"/>
        <v/>
      </c>
      <c r="G278" s="491"/>
      <c r="H278" s="492" t="str">
        <f>IF(G278="","",INDEX(Lists!$BA$4:$BC$31,MATCH(E278,Lists!$AZ$4:$AZ$31,0),MATCH(G278,Lists!$BA$3:$BC$3,0)))</f>
        <v/>
      </c>
      <c r="I278" s="267"/>
      <c r="J278" s="490" t="str">
        <f t="shared" si="23"/>
        <v/>
      </c>
      <c r="K278" s="493" t="str" cm="1">
        <f t="array" ref="K278">IF(OR($E278="",$D278="",$I278="",$J278=""),"",IF(J278=L278,I278,(INDEX('Emission factors'!$K$3:$V$201,MATCH(E278&amp;F278,'Emission factors'!$J$3:$J$201&amp;'Emission factors'!$K$3:$K$201,0),MATCH(K$6,'Emission factors'!$K$2:$V$2,0)))*I278))</f>
        <v/>
      </c>
      <c r="L278" s="494" t="str">
        <f>IF(OR($E278="",$D278="",$I278="",$J278=""),"",INDEX('Emission factors'!$K$3:$V$201,MATCH('Buildings - Grid Electricity'!$E278,'Emission factors'!$J$3:$J$201,0),MATCH($L$6,'Emission factors'!$K$2:$V$2,0)))</f>
        <v/>
      </c>
      <c r="M278" s="495" t="str" cm="1">
        <f t="array" ref="M278">IF(OR(E278="",I278="",BuildingsElectricityTable[[#This Row],[Units]]=""),"",INDEX('Emission factors'!$K$3:$V$201,MATCH('Buildings - Grid Electricity'!$E278&amp;F278,'Emission factors'!$J$3:$J$201&amp;'Emission factors'!$K$3:$K$201,0),MATCH('Buildings - Grid Electricity'!$M$6,'Emission factors'!$K$2:$V$2,0)))</f>
        <v/>
      </c>
      <c r="N278" s="496" t="str">
        <f>IF(OR(K278="",M278=""),"",SUM(BuildingsElectricityTable[[#This Row],[Direct]:[Indirect WTT]]))</f>
        <v/>
      </c>
      <c r="O278" s="268"/>
      <c r="P278" s="497"/>
      <c r="Q278" s="157" t="str" cm="1">
        <f t="array" ref="Q278">IF(OR($E278="",$I278=""),"",(INDEX('Emission factors'!$K$3:$V$201,MATCH('Buildings - Grid Electricity'!$E278&amp;$F278,'Emission factors'!$J$3:$J$201&amp;'Emission factors'!$K$3:$K$201,0),MATCH('Buildings - Grid Electricity'!Q$6,'Emission factors'!$K$2:$V$2,0)))*$K278)</f>
        <v/>
      </c>
      <c r="R278" s="157" t="str" cm="1">
        <f t="array" ref="R278">IF(OR($E278="",$I278=""),"",(INDEX('Emission factors'!$K$3:$V$201,MATCH('Buildings - Grid Electricity'!$E278&amp;$F278,'Emission factors'!$J$3:$J$201&amp;'Emission factors'!$K$3:$K$201,0),MATCH('Buildings - Grid Electricity'!R$6,'Emission factors'!$K$2:$V$2,0)))*$K278)</f>
        <v/>
      </c>
      <c r="S278" s="157" t="str" cm="1">
        <f t="array" ref="S278">IF(OR($E278="",$I278=""),"",(INDEX('Emission factors'!$K$3:$V$201,MATCH('Buildings - Grid Electricity'!$E278&amp;$F278,'Emission factors'!$J$3:$J$201&amp;'Emission factors'!$K$3:$K$201,0),MATCH('Buildings - Grid Electricity'!S$6,'Emission factors'!$K$2:$V$2,0)))*$K278)</f>
        <v/>
      </c>
      <c r="T278" s="157" t="str" cm="1">
        <f t="array" ref="T278">IF(OR($E278="",$I278=""),"",(INDEX('Emission factors'!$K$3:$V$201,MATCH('Buildings - Grid Electricity'!$E278&amp;$F278,'Emission factors'!$J$3:$J$201&amp;'Emission factors'!$K$3:$K$201,0),MATCH('Buildings - Grid Electricity'!T$6,'Emission factors'!$K$2:$V$2,0)))*$K278)</f>
        <v/>
      </c>
      <c r="U278" s="157" t="str" cm="1">
        <f t="array" ref="U278">IF(OR($E278="",$I278=""),"",(INDEX('Emission factors'!$K$3:$V$201,MATCH('Buildings - Grid Electricity'!$E278&amp;$F278,'Emission factors'!$J$3:$J$201&amp;'Emission factors'!$K$3:$K$201,0),MATCH('Buildings - Grid Electricity'!U$6,'Emission factors'!$K$2:$V$2,0)))*$K278)</f>
        <v/>
      </c>
      <c r="V278" s="269" t="str">
        <f>IF(OR($N278="",BuildingsElectricityTable[[#This Row],[RSD]]=""),"",BuildingsElectricityTable[[#This Row],[Total emissions (kgCO2e)]]*(1+BuildingsElectricityTable[[#This Row],[RSD]]))</f>
        <v/>
      </c>
      <c r="W278" s="270" t="str">
        <f>IF(OR($N278="",BuildingsElectricityTable[[#This Row],[RSD]]=""),"",BuildingsElectricityTable[[#This Row],[Total emissions (kgCO2e)]]*(1-BuildingsElectricityTable[[#This Row],[RSD]]))</f>
        <v/>
      </c>
      <c r="X278" s="271" t="str" cm="1">
        <f t="array" ref="X278">IF(OR($E278="",$I278=""),"",(INDEX('Emission factors'!$K$3:$V$201,MATCH('Buildings - Grid Electricity'!$E278&amp;$F278,'Emission factors'!$J$3:$J$201&amp;'Emission factors'!$K$3:$K$201,0),MATCH('Buildings - Grid Electricity'!X$6,'Emission factors'!$K$2:$V$2,0)))*$K278)</f>
        <v/>
      </c>
      <c r="Y278" s="30"/>
      <c r="Z278" s="1" cm="1">
        <f t="array" ref="Z278">IF(OR(ISERROR(B278:X278)),1,0)</f>
        <v>0</v>
      </c>
      <c r="AA278" s="1">
        <f t="shared" si="24"/>
        <v>0</v>
      </c>
    </row>
    <row r="279" spans="1:27" ht="15" outlineLevel="1" thickBot="1" x14ac:dyDescent="0.4">
      <c r="A279" s="319"/>
      <c r="B279" s="216"/>
      <c r="C279" s="216"/>
      <c r="D279" s="489" t="str">
        <f>IFERROR(INDEX(BuildingInformationTable[Site type],MATCH(BuildingsElectricityTable[[#This Row],[Site name]],BuildingInformationTable[Site name],0)),"")</f>
        <v/>
      </c>
      <c r="E279" s="490" t="str">
        <f t="shared" si="21"/>
        <v/>
      </c>
      <c r="F279" s="490" t="str">
        <f t="shared" si="22"/>
        <v/>
      </c>
      <c r="G279" s="491"/>
      <c r="H279" s="492" t="str">
        <f>IF(G279="","",INDEX(Lists!$BA$4:$BC$31,MATCH(E279,Lists!$AZ$4:$AZ$31,0),MATCH(G279,Lists!$BA$3:$BC$3,0)))</f>
        <v/>
      </c>
      <c r="I279" s="267"/>
      <c r="J279" s="490" t="str">
        <f t="shared" si="23"/>
        <v/>
      </c>
      <c r="K279" s="493" t="str" cm="1">
        <f t="array" ref="K279">IF(OR($E279="",$D279="",$I279="",$J279=""),"",IF(J279=L279,I279,(INDEX('Emission factors'!$K$3:$V$201,MATCH(E279&amp;F279,'Emission factors'!$J$3:$J$201&amp;'Emission factors'!$K$3:$K$201,0),MATCH(K$6,'Emission factors'!$K$2:$V$2,0)))*I279))</f>
        <v/>
      </c>
      <c r="L279" s="494" t="str">
        <f>IF(OR($E279="",$D279="",$I279="",$J279=""),"",INDEX('Emission factors'!$K$3:$V$201,MATCH('Buildings - Grid Electricity'!$E279,'Emission factors'!$J$3:$J$201,0),MATCH($L$6,'Emission factors'!$K$2:$V$2,0)))</f>
        <v/>
      </c>
      <c r="M279" s="495" t="str" cm="1">
        <f t="array" ref="M279">IF(OR(E279="",I279="",BuildingsElectricityTable[[#This Row],[Units]]=""),"",INDEX('Emission factors'!$K$3:$V$201,MATCH('Buildings - Grid Electricity'!$E279&amp;F279,'Emission factors'!$J$3:$J$201&amp;'Emission factors'!$K$3:$K$201,0),MATCH('Buildings - Grid Electricity'!$M$6,'Emission factors'!$K$2:$V$2,0)))</f>
        <v/>
      </c>
      <c r="N279" s="496" t="str">
        <f>IF(OR(K279="",M279=""),"",SUM(BuildingsElectricityTable[[#This Row],[Direct]:[Indirect WTT]]))</f>
        <v/>
      </c>
      <c r="O279" s="268"/>
      <c r="P279" s="497"/>
      <c r="Q279" s="157" t="str" cm="1">
        <f t="array" ref="Q279">IF(OR($E279="",$I279=""),"",(INDEX('Emission factors'!$K$3:$V$201,MATCH('Buildings - Grid Electricity'!$E279&amp;$F279,'Emission factors'!$J$3:$J$201&amp;'Emission factors'!$K$3:$K$201,0),MATCH('Buildings - Grid Electricity'!Q$6,'Emission factors'!$K$2:$V$2,0)))*$K279)</f>
        <v/>
      </c>
      <c r="R279" s="157" t="str" cm="1">
        <f t="array" ref="R279">IF(OR($E279="",$I279=""),"",(INDEX('Emission factors'!$K$3:$V$201,MATCH('Buildings - Grid Electricity'!$E279&amp;$F279,'Emission factors'!$J$3:$J$201&amp;'Emission factors'!$K$3:$K$201,0),MATCH('Buildings - Grid Electricity'!R$6,'Emission factors'!$K$2:$V$2,0)))*$K279)</f>
        <v/>
      </c>
      <c r="S279" s="157" t="str" cm="1">
        <f t="array" ref="S279">IF(OR($E279="",$I279=""),"",(INDEX('Emission factors'!$K$3:$V$201,MATCH('Buildings - Grid Electricity'!$E279&amp;$F279,'Emission factors'!$J$3:$J$201&amp;'Emission factors'!$K$3:$K$201,0),MATCH('Buildings - Grid Electricity'!S$6,'Emission factors'!$K$2:$V$2,0)))*$K279)</f>
        <v/>
      </c>
      <c r="T279" s="157" t="str" cm="1">
        <f t="array" ref="T279">IF(OR($E279="",$I279=""),"",(INDEX('Emission factors'!$K$3:$V$201,MATCH('Buildings - Grid Electricity'!$E279&amp;$F279,'Emission factors'!$J$3:$J$201&amp;'Emission factors'!$K$3:$K$201,0),MATCH('Buildings - Grid Electricity'!T$6,'Emission factors'!$K$2:$V$2,0)))*$K279)</f>
        <v/>
      </c>
      <c r="U279" s="157" t="str" cm="1">
        <f t="array" ref="U279">IF(OR($E279="",$I279=""),"",(INDEX('Emission factors'!$K$3:$V$201,MATCH('Buildings - Grid Electricity'!$E279&amp;$F279,'Emission factors'!$J$3:$J$201&amp;'Emission factors'!$K$3:$K$201,0),MATCH('Buildings - Grid Electricity'!U$6,'Emission factors'!$K$2:$V$2,0)))*$K279)</f>
        <v/>
      </c>
      <c r="V279" s="269" t="str">
        <f>IF(OR($N279="",BuildingsElectricityTable[[#This Row],[RSD]]=""),"",BuildingsElectricityTable[[#This Row],[Total emissions (kgCO2e)]]*(1+BuildingsElectricityTable[[#This Row],[RSD]]))</f>
        <v/>
      </c>
      <c r="W279" s="270" t="str">
        <f>IF(OR($N279="",BuildingsElectricityTable[[#This Row],[RSD]]=""),"",BuildingsElectricityTable[[#This Row],[Total emissions (kgCO2e)]]*(1-BuildingsElectricityTable[[#This Row],[RSD]]))</f>
        <v/>
      </c>
      <c r="X279" s="271" t="str" cm="1">
        <f t="array" ref="X279">IF(OR($E279="",$I279=""),"",(INDEX('Emission factors'!$K$3:$V$201,MATCH('Buildings - Grid Electricity'!$E279&amp;$F279,'Emission factors'!$J$3:$J$201&amp;'Emission factors'!$K$3:$K$201,0),MATCH('Buildings - Grid Electricity'!X$6,'Emission factors'!$K$2:$V$2,0)))*$K279)</f>
        <v/>
      </c>
      <c r="Y279" s="30"/>
      <c r="Z279" s="1" cm="1">
        <f t="array" ref="Z279">IF(OR(ISERROR(B279:X279)),1,0)</f>
        <v>0</v>
      </c>
      <c r="AA279" s="1">
        <f t="shared" si="24"/>
        <v>0</v>
      </c>
    </row>
    <row r="280" spans="1:27" ht="15" outlineLevel="1" thickBot="1" x14ac:dyDescent="0.4">
      <c r="A280" s="319"/>
      <c r="B280" s="216"/>
      <c r="C280" s="216"/>
      <c r="D280" s="489" t="str">
        <f>IFERROR(INDEX(BuildingInformationTable[Site type],MATCH(BuildingsElectricityTable[[#This Row],[Site name]],BuildingInformationTable[Site name],0)),"")</f>
        <v/>
      </c>
      <c r="E280" s="490" t="str">
        <f t="shared" si="21"/>
        <v/>
      </c>
      <c r="F280" s="490" t="str">
        <f t="shared" si="22"/>
        <v/>
      </c>
      <c r="G280" s="491"/>
      <c r="H280" s="492" t="str">
        <f>IF(G280="","",INDEX(Lists!$BA$4:$BC$31,MATCH(E280,Lists!$AZ$4:$AZ$31,0),MATCH(G280,Lists!$BA$3:$BC$3,0)))</f>
        <v/>
      </c>
      <c r="I280" s="267"/>
      <c r="J280" s="490" t="str">
        <f t="shared" si="23"/>
        <v/>
      </c>
      <c r="K280" s="493" t="str" cm="1">
        <f t="array" ref="K280">IF(OR($E280="",$D280="",$I280="",$J280=""),"",IF(J280=L280,I280,(INDEX('Emission factors'!$K$3:$V$201,MATCH(E280&amp;F280,'Emission factors'!$J$3:$J$201&amp;'Emission factors'!$K$3:$K$201,0),MATCH(K$6,'Emission factors'!$K$2:$V$2,0)))*I280))</f>
        <v/>
      </c>
      <c r="L280" s="494" t="str">
        <f>IF(OR($E280="",$D280="",$I280="",$J280=""),"",INDEX('Emission factors'!$K$3:$V$201,MATCH('Buildings - Grid Electricity'!$E280,'Emission factors'!$J$3:$J$201,0),MATCH($L$6,'Emission factors'!$K$2:$V$2,0)))</f>
        <v/>
      </c>
      <c r="M280" s="495" t="str" cm="1">
        <f t="array" ref="M280">IF(OR(E280="",I280="",BuildingsElectricityTable[[#This Row],[Units]]=""),"",INDEX('Emission factors'!$K$3:$V$201,MATCH('Buildings - Grid Electricity'!$E280&amp;F280,'Emission factors'!$J$3:$J$201&amp;'Emission factors'!$K$3:$K$201,0),MATCH('Buildings - Grid Electricity'!$M$6,'Emission factors'!$K$2:$V$2,0)))</f>
        <v/>
      </c>
      <c r="N280" s="496" t="str">
        <f>IF(OR(K280="",M280=""),"",SUM(BuildingsElectricityTable[[#This Row],[Direct]:[Indirect WTT]]))</f>
        <v/>
      </c>
      <c r="O280" s="268"/>
      <c r="P280" s="497"/>
      <c r="Q280" s="157" t="str" cm="1">
        <f t="array" ref="Q280">IF(OR($E280="",$I280=""),"",(INDEX('Emission factors'!$K$3:$V$201,MATCH('Buildings - Grid Electricity'!$E280&amp;$F280,'Emission factors'!$J$3:$J$201&amp;'Emission factors'!$K$3:$K$201,0),MATCH('Buildings - Grid Electricity'!Q$6,'Emission factors'!$K$2:$V$2,0)))*$K280)</f>
        <v/>
      </c>
      <c r="R280" s="157" t="str" cm="1">
        <f t="array" ref="R280">IF(OR($E280="",$I280=""),"",(INDEX('Emission factors'!$K$3:$V$201,MATCH('Buildings - Grid Electricity'!$E280&amp;$F280,'Emission factors'!$J$3:$J$201&amp;'Emission factors'!$K$3:$K$201,0),MATCH('Buildings - Grid Electricity'!R$6,'Emission factors'!$K$2:$V$2,0)))*$K280)</f>
        <v/>
      </c>
      <c r="S280" s="157" t="str" cm="1">
        <f t="array" ref="S280">IF(OR($E280="",$I280=""),"",(INDEX('Emission factors'!$K$3:$V$201,MATCH('Buildings - Grid Electricity'!$E280&amp;$F280,'Emission factors'!$J$3:$J$201&amp;'Emission factors'!$K$3:$K$201,0),MATCH('Buildings - Grid Electricity'!S$6,'Emission factors'!$K$2:$V$2,0)))*$K280)</f>
        <v/>
      </c>
      <c r="T280" s="157" t="str" cm="1">
        <f t="array" ref="T280">IF(OR($E280="",$I280=""),"",(INDEX('Emission factors'!$K$3:$V$201,MATCH('Buildings - Grid Electricity'!$E280&amp;$F280,'Emission factors'!$J$3:$J$201&amp;'Emission factors'!$K$3:$K$201,0),MATCH('Buildings - Grid Electricity'!T$6,'Emission factors'!$K$2:$V$2,0)))*$K280)</f>
        <v/>
      </c>
      <c r="U280" s="157" t="str" cm="1">
        <f t="array" ref="U280">IF(OR($E280="",$I280=""),"",(INDEX('Emission factors'!$K$3:$V$201,MATCH('Buildings - Grid Electricity'!$E280&amp;$F280,'Emission factors'!$J$3:$J$201&amp;'Emission factors'!$K$3:$K$201,0),MATCH('Buildings - Grid Electricity'!U$6,'Emission factors'!$K$2:$V$2,0)))*$K280)</f>
        <v/>
      </c>
      <c r="V280" s="269" t="str">
        <f>IF(OR($N280="",BuildingsElectricityTable[[#This Row],[RSD]]=""),"",BuildingsElectricityTable[[#This Row],[Total emissions (kgCO2e)]]*(1+BuildingsElectricityTable[[#This Row],[RSD]]))</f>
        <v/>
      </c>
      <c r="W280" s="270" t="str">
        <f>IF(OR($N280="",BuildingsElectricityTable[[#This Row],[RSD]]=""),"",BuildingsElectricityTable[[#This Row],[Total emissions (kgCO2e)]]*(1-BuildingsElectricityTable[[#This Row],[RSD]]))</f>
        <v/>
      </c>
      <c r="X280" s="271" t="str" cm="1">
        <f t="array" ref="X280">IF(OR($E280="",$I280=""),"",(INDEX('Emission factors'!$K$3:$V$201,MATCH('Buildings - Grid Electricity'!$E280&amp;$F280,'Emission factors'!$J$3:$J$201&amp;'Emission factors'!$K$3:$K$201,0),MATCH('Buildings - Grid Electricity'!X$6,'Emission factors'!$K$2:$V$2,0)))*$K280)</f>
        <v/>
      </c>
      <c r="Y280" s="30"/>
      <c r="Z280" s="1" cm="1">
        <f t="array" ref="Z280">IF(OR(ISERROR(B280:X280)),1,0)</f>
        <v>0</v>
      </c>
      <c r="AA280" s="1">
        <f t="shared" si="24"/>
        <v>0</v>
      </c>
    </row>
    <row r="281" spans="1:27" ht="15" outlineLevel="1" thickBot="1" x14ac:dyDescent="0.4">
      <c r="A281" s="319"/>
      <c r="B281" s="216"/>
      <c r="C281" s="216"/>
      <c r="D281" s="489" t="str">
        <f>IFERROR(INDEX(BuildingInformationTable[Site type],MATCH(BuildingsElectricityTable[[#This Row],[Site name]],BuildingInformationTable[Site name],0)),"")</f>
        <v/>
      </c>
      <c r="E281" s="490" t="str">
        <f t="shared" si="21"/>
        <v/>
      </c>
      <c r="F281" s="490" t="str">
        <f t="shared" si="22"/>
        <v/>
      </c>
      <c r="G281" s="491"/>
      <c r="H281" s="492" t="str">
        <f>IF(G281="","",INDEX(Lists!$BA$4:$BC$31,MATCH(E281,Lists!$AZ$4:$AZ$31,0),MATCH(G281,Lists!$BA$3:$BC$3,0)))</f>
        <v/>
      </c>
      <c r="I281" s="267"/>
      <c r="J281" s="490" t="str">
        <f t="shared" si="23"/>
        <v/>
      </c>
      <c r="K281" s="493" t="str" cm="1">
        <f t="array" ref="K281">IF(OR($E281="",$D281="",$I281="",$J281=""),"",IF(J281=L281,I281,(INDEX('Emission factors'!$K$3:$V$201,MATCH(E281&amp;F281,'Emission factors'!$J$3:$J$201&amp;'Emission factors'!$K$3:$K$201,0),MATCH(K$6,'Emission factors'!$K$2:$V$2,0)))*I281))</f>
        <v/>
      </c>
      <c r="L281" s="494" t="str">
        <f>IF(OR($E281="",$D281="",$I281="",$J281=""),"",INDEX('Emission factors'!$K$3:$V$201,MATCH('Buildings - Grid Electricity'!$E281,'Emission factors'!$J$3:$J$201,0),MATCH($L$6,'Emission factors'!$K$2:$V$2,0)))</f>
        <v/>
      </c>
      <c r="M281" s="495" t="str" cm="1">
        <f t="array" ref="M281">IF(OR(E281="",I281="",BuildingsElectricityTable[[#This Row],[Units]]=""),"",INDEX('Emission factors'!$K$3:$V$201,MATCH('Buildings - Grid Electricity'!$E281&amp;F281,'Emission factors'!$J$3:$J$201&amp;'Emission factors'!$K$3:$K$201,0),MATCH('Buildings - Grid Electricity'!$M$6,'Emission factors'!$K$2:$V$2,0)))</f>
        <v/>
      </c>
      <c r="N281" s="496" t="str">
        <f>IF(OR(K281="",M281=""),"",SUM(BuildingsElectricityTable[[#This Row],[Direct]:[Indirect WTT]]))</f>
        <v/>
      </c>
      <c r="O281" s="268"/>
      <c r="P281" s="497"/>
      <c r="Q281" s="157" t="str" cm="1">
        <f t="array" ref="Q281">IF(OR($E281="",$I281=""),"",(INDEX('Emission factors'!$K$3:$V$201,MATCH('Buildings - Grid Electricity'!$E281&amp;$F281,'Emission factors'!$J$3:$J$201&amp;'Emission factors'!$K$3:$K$201,0),MATCH('Buildings - Grid Electricity'!Q$6,'Emission factors'!$K$2:$V$2,0)))*$K281)</f>
        <v/>
      </c>
      <c r="R281" s="157" t="str" cm="1">
        <f t="array" ref="R281">IF(OR($E281="",$I281=""),"",(INDEX('Emission factors'!$K$3:$V$201,MATCH('Buildings - Grid Electricity'!$E281&amp;$F281,'Emission factors'!$J$3:$J$201&amp;'Emission factors'!$K$3:$K$201,0),MATCH('Buildings - Grid Electricity'!R$6,'Emission factors'!$K$2:$V$2,0)))*$K281)</f>
        <v/>
      </c>
      <c r="S281" s="157" t="str" cm="1">
        <f t="array" ref="S281">IF(OR($E281="",$I281=""),"",(INDEX('Emission factors'!$K$3:$V$201,MATCH('Buildings - Grid Electricity'!$E281&amp;$F281,'Emission factors'!$J$3:$J$201&amp;'Emission factors'!$K$3:$K$201,0),MATCH('Buildings - Grid Electricity'!S$6,'Emission factors'!$K$2:$V$2,0)))*$K281)</f>
        <v/>
      </c>
      <c r="T281" s="157" t="str" cm="1">
        <f t="array" ref="T281">IF(OR($E281="",$I281=""),"",(INDEX('Emission factors'!$K$3:$V$201,MATCH('Buildings - Grid Electricity'!$E281&amp;$F281,'Emission factors'!$J$3:$J$201&amp;'Emission factors'!$K$3:$K$201,0),MATCH('Buildings - Grid Electricity'!T$6,'Emission factors'!$K$2:$V$2,0)))*$K281)</f>
        <v/>
      </c>
      <c r="U281" s="157" t="str" cm="1">
        <f t="array" ref="U281">IF(OR($E281="",$I281=""),"",(INDEX('Emission factors'!$K$3:$V$201,MATCH('Buildings - Grid Electricity'!$E281&amp;$F281,'Emission factors'!$J$3:$J$201&amp;'Emission factors'!$K$3:$K$201,0),MATCH('Buildings - Grid Electricity'!U$6,'Emission factors'!$K$2:$V$2,0)))*$K281)</f>
        <v/>
      </c>
      <c r="V281" s="269" t="str">
        <f>IF(OR($N281="",BuildingsElectricityTable[[#This Row],[RSD]]=""),"",BuildingsElectricityTable[[#This Row],[Total emissions (kgCO2e)]]*(1+BuildingsElectricityTable[[#This Row],[RSD]]))</f>
        <v/>
      </c>
      <c r="W281" s="270" t="str">
        <f>IF(OR($N281="",BuildingsElectricityTable[[#This Row],[RSD]]=""),"",BuildingsElectricityTable[[#This Row],[Total emissions (kgCO2e)]]*(1-BuildingsElectricityTable[[#This Row],[RSD]]))</f>
        <v/>
      </c>
      <c r="X281" s="271" t="str" cm="1">
        <f t="array" ref="X281">IF(OR($E281="",$I281=""),"",(INDEX('Emission factors'!$K$3:$V$201,MATCH('Buildings - Grid Electricity'!$E281&amp;$F281,'Emission factors'!$J$3:$J$201&amp;'Emission factors'!$K$3:$K$201,0),MATCH('Buildings - Grid Electricity'!X$6,'Emission factors'!$K$2:$V$2,0)))*$K281)</f>
        <v/>
      </c>
      <c r="Y281" s="30"/>
      <c r="Z281" s="1" cm="1">
        <f t="array" ref="Z281">IF(OR(ISERROR(B281:X281)),1,0)</f>
        <v>0</v>
      </c>
      <c r="AA281" s="1">
        <f t="shared" si="24"/>
        <v>0</v>
      </c>
    </row>
    <row r="282" spans="1:27" ht="15" outlineLevel="1" thickBot="1" x14ac:dyDescent="0.4">
      <c r="A282" s="319"/>
      <c r="B282" s="216"/>
      <c r="C282" s="216"/>
      <c r="D282" s="489" t="str">
        <f>IFERROR(INDEX(BuildingInformationTable[Site type],MATCH(BuildingsElectricityTable[[#This Row],[Site name]],BuildingInformationTable[Site name],0)),"")</f>
        <v/>
      </c>
      <c r="E282" s="490" t="str">
        <f t="shared" si="21"/>
        <v/>
      </c>
      <c r="F282" s="490" t="str">
        <f t="shared" si="22"/>
        <v/>
      </c>
      <c r="G282" s="491"/>
      <c r="H282" s="492" t="str">
        <f>IF(G282="","",INDEX(Lists!$BA$4:$BC$31,MATCH(E282,Lists!$AZ$4:$AZ$31,0),MATCH(G282,Lists!$BA$3:$BC$3,0)))</f>
        <v/>
      </c>
      <c r="I282" s="267"/>
      <c r="J282" s="490" t="str">
        <f t="shared" si="23"/>
        <v/>
      </c>
      <c r="K282" s="493" t="str" cm="1">
        <f t="array" ref="K282">IF(OR($E282="",$D282="",$I282="",$J282=""),"",IF(J282=L282,I282,(INDEX('Emission factors'!$K$3:$V$201,MATCH(E282&amp;F282,'Emission factors'!$J$3:$J$201&amp;'Emission factors'!$K$3:$K$201,0),MATCH(K$6,'Emission factors'!$K$2:$V$2,0)))*I282))</f>
        <v/>
      </c>
      <c r="L282" s="494" t="str">
        <f>IF(OR($E282="",$D282="",$I282="",$J282=""),"",INDEX('Emission factors'!$K$3:$V$201,MATCH('Buildings - Grid Electricity'!$E282,'Emission factors'!$J$3:$J$201,0),MATCH($L$6,'Emission factors'!$K$2:$V$2,0)))</f>
        <v/>
      </c>
      <c r="M282" s="495" t="str" cm="1">
        <f t="array" ref="M282">IF(OR(E282="",I282="",BuildingsElectricityTable[[#This Row],[Units]]=""),"",INDEX('Emission factors'!$K$3:$V$201,MATCH('Buildings - Grid Electricity'!$E282&amp;F282,'Emission factors'!$J$3:$J$201&amp;'Emission factors'!$K$3:$K$201,0),MATCH('Buildings - Grid Electricity'!$M$6,'Emission factors'!$K$2:$V$2,0)))</f>
        <v/>
      </c>
      <c r="N282" s="496" t="str">
        <f>IF(OR(K282="",M282=""),"",SUM(BuildingsElectricityTable[[#This Row],[Direct]:[Indirect WTT]]))</f>
        <v/>
      </c>
      <c r="O282" s="268"/>
      <c r="P282" s="497"/>
      <c r="Q282" s="157" t="str" cm="1">
        <f t="array" ref="Q282">IF(OR($E282="",$I282=""),"",(INDEX('Emission factors'!$K$3:$V$201,MATCH('Buildings - Grid Electricity'!$E282&amp;$F282,'Emission factors'!$J$3:$J$201&amp;'Emission factors'!$K$3:$K$201,0),MATCH('Buildings - Grid Electricity'!Q$6,'Emission factors'!$K$2:$V$2,0)))*$K282)</f>
        <v/>
      </c>
      <c r="R282" s="157" t="str" cm="1">
        <f t="array" ref="R282">IF(OR($E282="",$I282=""),"",(INDEX('Emission factors'!$K$3:$V$201,MATCH('Buildings - Grid Electricity'!$E282&amp;$F282,'Emission factors'!$J$3:$J$201&amp;'Emission factors'!$K$3:$K$201,0),MATCH('Buildings - Grid Electricity'!R$6,'Emission factors'!$K$2:$V$2,0)))*$K282)</f>
        <v/>
      </c>
      <c r="S282" s="157" t="str" cm="1">
        <f t="array" ref="S282">IF(OR($E282="",$I282=""),"",(INDEX('Emission factors'!$K$3:$V$201,MATCH('Buildings - Grid Electricity'!$E282&amp;$F282,'Emission factors'!$J$3:$J$201&amp;'Emission factors'!$K$3:$K$201,0),MATCH('Buildings - Grid Electricity'!S$6,'Emission factors'!$K$2:$V$2,0)))*$K282)</f>
        <v/>
      </c>
      <c r="T282" s="157" t="str" cm="1">
        <f t="array" ref="T282">IF(OR($E282="",$I282=""),"",(INDEX('Emission factors'!$K$3:$V$201,MATCH('Buildings - Grid Electricity'!$E282&amp;$F282,'Emission factors'!$J$3:$J$201&amp;'Emission factors'!$K$3:$K$201,0),MATCH('Buildings - Grid Electricity'!T$6,'Emission factors'!$K$2:$V$2,0)))*$K282)</f>
        <v/>
      </c>
      <c r="U282" s="157" t="str" cm="1">
        <f t="array" ref="U282">IF(OR($E282="",$I282=""),"",(INDEX('Emission factors'!$K$3:$V$201,MATCH('Buildings - Grid Electricity'!$E282&amp;$F282,'Emission factors'!$J$3:$J$201&amp;'Emission factors'!$K$3:$K$201,0),MATCH('Buildings - Grid Electricity'!U$6,'Emission factors'!$K$2:$V$2,0)))*$K282)</f>
        <v/>
      </c>
      <c r="V282" s="269" t="str">
        <f>IF(OR($N282="",BuildingsElectricityTable[[#This Row],[RSD]]=""),"",BuildingsElectricityTable[[#This Row],[Total emissions (kgCO2e)]]*(1+BuildingsElectricityTable[[#This Row],[RSD]]))</f>
        <v/>
      </c>
      <c r="W282" s="270" t="str">
        <f>IF(OR($N282="",BuildingsElectricityTable[[#This Row],[RSD]]=""),"",BuildingsElectricityTable[[#This Row],[Total emissions (kgCO2e)]]*(1-BuildingsElectricityTable[[#This Row],[RSD]]))</f>
        <v/>
      </c>
      <c r="X282" s="271" t="str" cm="1">
        <f t="array" ref="X282">IF(OR($E282="",$I282=""),"",(INDEX('Emission factors'!$K$3:$V$201,MATCH('Buildings - Grid Electricity'!$E282&amp;$F282,'Emission factors'!$J$3:$J$201&amp;'Emission factors'!$K$3:$K$201,0),MATCH('Buildings - Grid Electricity'!X$6,'Emission factors'!$K$2:$V$2,0)))*$K282)</f>
        <v/>
      </c>
      <c r="Y282" s="30"/>
      <c r="Z282" s="1" cm="1">
        <f t="array" ref="Z282">IF(OR(ISERROR(B282:X282)),1,0)</f>
        <v>0</v>
      </c>
      <c r="AA282" s="1">
        <f t="shared" si="24"/>
        <v>0</v>
      </c>
    </row>
    <row r="283" spans="1:27" ht="15" outlineLevel="1" thickBot="1" x14ac:dyDescent="0.4">
      <c r="A283" s="319"/>
      <c r="B283" s="216"/>
      <c r="C283" s="216"/>
      <c r="D283" s="489" t="str">
        <f>IFERROR(INDEX(BuildingInformationTable[Site type],MATCH(BuildingsElectricityTable[[#This Row],[Site name]],BuildingInformationTable[Site name],0)),"")</f>
        <v/>
      </c>
      <c r="E283" s="490" t="str">
        <f t="shared" si="21"/>
        <v/>
      </c>
      <c r="F283" s="490" t="str">
        <f t="shared" si="22"/>
        <v/>
      </c>
      <c r="G283" s="491"/>
      <c r="H283" s="492" t="str">
        <f>IF(G283="","",INDEX(Lists!$BA$4:$BC$31,MATCH(E283,Lists!$AZ$4:$AZ$31,0),MATCH(G283,Lists!$BA$3:$BC$3,0)))</f>
        <v/>
      </c>
      <c r="I283" s="267"/>
      <c r="J283" s="490" t="str">
        <f t="shared" si="23"/>
        <v/>
      </c>
      <c r="K283" s="493" t="str" cm="1">
        <f t="array" ref="K283">IF(OR($E283="",$D283="",$I283="",$J283=""),"",IF(J283=L283,I283,(INDEX('Emission factors'!$K$3:$V$201,MATCH(E283&amp;F283,'Emission factors'!$J$3:$J$201&amp;'Emission factors'!$K$3:$K$201,0),MATCH(K$6,'Emission factors'!$K$2:$V$2,0)))*I283))</f>
        <v/>
      </c>
      <c r="L283" s="494" t="str">
        <f>IF(OR($E283="",$D283="",$I283="",$J283=""),"",INDEX('Emission factors'!$K$3:$V$201,MATCH('Buildings - Grid Electricity'!$E283,'Emission factors'!$J$3:$J$201,0),MATCH($L$6,'Emission factors'!$K$2:$V$2,0)))</f>
        <v/>
      </c>
      <c r="M283" s="495" t="str" cm="1">
        <f t="array" ref="M283">IF(OR(E283="",I283="",BuildingsElectricityTable[[#This Row],[Units]]=""),"",INDEX('Emission factors'!$K$3:$V$201,MATCH('Buildings - Grid Electricity'!$E283&amp;F283,'Emission factors'!$J$3:$J$201&amp;'Emission factors'!$K$3:$K$201,0),MATCH('Buildings - Grid Electricity'!$M$6,'Emission factors'!$K$2:$V$2,0)))</f>
        <v/>
      </c>
      <c r="N283" s="496" t="str">
        <f>IF(OR(K283="",M283=""),"",SUM(BuildingsElectricityTable[[#This Row],[Direct]:[Indirect WTT]]))</f>
        <v/>
      </c>
      <c r="O283" s="268"/>
      <c r="P283" s="497"/>
      <c r="Q283" s="157" t="str" cm="1">
        <f t="array" ref="Q283">IF(OR($E283="",$I283=""),"",(INDEX('Emission factors'!$K$3:$V$201,MATCH('Buildings - Grid Electricity'!$E283&amp;$F283,'Emission factors'!$J$3:$J$201&amp;'Emission factors'!$K$3:$K$201,0),MATCH('Buildings - Grid Electricity'!Q$6,'Emission factors'!$K$2:$V$2,0)))*$K283)</f>
        <v/>
      </c>
      <c r="R283" s="157" t="str" cm="1">
        <f t="array" ref="R283">IF(OR($E283="",$I283=""),"",(INDEX('Emission factors'!$K$3:$V$201,MATCH('Buildings - Grid Electricity'!$E283&amp;$F283,'Emission factors'!$J$3:$J$201&amp;'Emission factors'!$K$3:$K$201,0),MATCH('Buildings - Grid Electricity'!R$6,'Emission factors'!$K$2:$V$2,0)))*$K283)</f>
        <v/>
      </c>
      <c r="S283" s="157" t="str" cm="1">
        <f t="array" ref="S283">IF(OR($E283="",$I283=""),"",(INDEX('Emission factors'!$K$3:$V$201,MATCH('Buildings - Grid Electricity'!$E283&amp;$F283,'Emission factors'!$J$3:$J$201&amp;'Emission factors'!$K$3:$K$201,0),MATCH('Buildings - Grid Electricity'!S$6,'Emission factors'!$K$2:$V$2,0)))*$K283)</f>
        <v/>
      </c>
      <c r="T283" s="157" t="str" cm="1">
        <f t="array" ref="T283">IF(OR($E283="",$I283=""),"",(INDEX('Emission factors'!$K$3:$V$201,MATCH('Buildings - Grid Electricity'!$E283&amp;$F283,'Emission factors'!$J$3:$J$201&amp;'Emission factors'!$K$3:$K$201,0),MATCH('Buildings - Grid Electricity'!T$6,'Emission factors'!$K$2:$V$2,0)))*$K283)</f>
        <v/>
      </c>
      <c r="U283" s="157" t="str" cm="1">
        <f t="array" ref="U283">IF(OR($E283="",$I283=""),"",(INDEX('Emission factors'!$K$3:$V$201,MATCH('Buildings - Grid Electricity'!$E283&amp;$F283,'Emission factors'!$J$3:$J$201&amp;'Emission factors'!$K$3:$K$201,0),MATCH('Buildings - Grid Electricity'!U$6,'Emission factors'!$K$2:$V$2,0)))*$K283)</f>
        <v/>
      </c>
      <c r="V283" s="269" t="str">
        <f>IF(OR($N283="",BuildingsElectricityTable[[#This Row],[RSD]]=""),"",BuildingsElectricityTable[[#This Row],[Total emissions (kgCO2e)]]*(1+BuildingsElectricityTable[[#This Row],[RSD]]))</f>
        <v/>
      </c>
      <c r="W283" s="270" t="str">
        <f>IF(OR($N283="",BuildingsElectricityTable[[#This Row],[RSD]]=""),"",BuildingsElectricityTable[[#This Row],[Total emissions (kgCO2e)]]*(1-BuildingsElectricityTable[[#This Row],[RSD]]))</f>
        <v/>
      </c>
      <c r="X283" s="271" t="str" cm="1">
        <f t="array" ref="X283">IF(OR($E283="",$I283=""),"",(INDEX('Emission factors'!$K$3:$V$201,MATCH('Buildings - Grid Electricity'!$E283&amp;$F283,'Emission factors'!$J$3:$J$201&amp;'Emission factors'!$K$3:$K$201,0),MATCH('Buildings - Grid Electricity'!X$6,'Emission factors'!$K$2:$V$2,0)))*$K283)</f>
        <v/>
      </c>
      <c r="Y283" s="30"/>
      <c r="Z283" s="1" cm="1">
        <f t="array" ref="Z283">IF(OR(ISERROR(B283:X283)),1,0)</f>
        <v>0</v>
      </c>
      <c r="AA283" s="1">
        <f t="shared" si="24"/>
        <v>0</v>
      </c>
    </row>
    <row r="284" spans="1:27" ht="15" outlineLevel="1" thickBot="1" x14ac:dyDescent="0.4">
      <c r="A284" s="319"/>
      <c r="B284" s="216"/>
      <c r="C284" s="216"/>
      <c r="D284" s="489" t="str">
        <f>IFERROR(INDEX(BuildingInformationTable[Site type],MATCH(BuildingsElectricityTable[[#This Row],[Site name]],BuildingInformationTable[Site name],0)),"")</f>
        <v/>
      </c>
      <c r="E284" s="490" t="str">
        <f t="shared" si="21"/>
        <v/>
      </c>
      <c r="F284" s="490" t="str">
        <f t="shared" si="22"/>
        <v/>
      </c>
      <c r="G284" s="491"/>
      <c r="H284" s="492" t="str">
        <f>IF(G284="","",INDEX(Lists!$BA$4:$BC$31,MATCH(E284,Lists!$AZ$4:$AZ$31,0),MATCH(G284,Lists!$BA$3:$BC$3,0)))</f>
        <v/>
      </c>
      <c r="I284" s="267"/>
      <c r="J284" s="490" t="str">
        <f t="shared" si="23"/>
        <v/>
      </c>
      <c r="K284" s="493" t="str" cm="1">
        <f t="array" ref="K284">IF(OR($E284="",$D284="",$I284="",$J284=""),"",IF(J284=L284,I284,(INDEX('Emission factors'!$K$3:$V$201,MATCH(E284&amp;F284,'Emission factors'!$J$3:$J$201&amp;'Emission factors'!$K$3:$K$201,0),MATCH(K$6,'Emission factors'!$K$2:$V$2,0)))*I284))</f>
        <v/>
      </c>
      <c r="L284" s="494" t="str">
        <f>IF(OR($E284="",$D284="",$I284="",$J284=""),"",INDEX('Emission factors'!$K$3:$V$201,MATCH('Buildings - Grid Electricity'!$E284,'Emission factors'!$J$3:$J$201,0),MATCH($L$6,'Emission factors'!$K$2:$V$2,0)))</f>
        <v/>
      </c>
      <c r="M284" s="495" t="str" cm="1">
        <f t="array" ref="M284">IF(OR(E284="",I284="",BuildingsElectricityTable[[#This Row],[Units]]=""),"",INDEX('Emission factors'!$K$3:$V$201,MATCH('Buildings - Grid Electricity'!$E284&amp;F284,'Emission factors'!$J$3:$J$201&amp;'Emission factors'!$K$3:$K$201,0),MATCH('Buildings - Grid Electricity'!$M$6,'Emission factors'!$K$2:$V$2,0)))</f>
        <v/>
      </c>
      <c r="N284" s="496" t="str">
        <f>IF(OR(K284="",M284=""),"",SUM(BuildingsElectricityTable[[#This Row],[Direct]:[Indirect WTT]]))</f>
        <v/>
      </c>
      <c r="O284" s="268"/>
      <c r="P284" s="497"/>
      <c r="Q284" s="157" t="str" cm="1">
        <f t="array" ref="Q284">IF(OR($E284="",$I284=""),"",(INDEX('Emission factors'!$K$3:$V$201,MATCH('Buildings - Grid Electricity'!$E284&amp;$F284,'Emission factors'!$J$3:$J$201&amp;'Emission factors'!$K$3:$K$201,0),MATCH('Buildings - Grid Electricity'!Q$6,'Emission factors'!$K$2:$V$2,0)))*$K284)</f>
        <v/>
      </c>
      <c r="R284" s="157" t="str" cm="1">
        <f t="array" ref="R284">IF(OR($E284="",$I284=""),"",(INDEX('Emission factors'!$K$3:$V$201,MATCH('Buildings - Grid Electricity'!$E284&amp;$F284,'Emission factors'!$J$3:$J$201&amp;'Emission factors'!$K$3:$K$201,0),MATCH('Buildings - Grid Electricity'!R$6,'Emission factors'!$K$2:$V$2,0)))*$K284)</f>
        <v/>
      </c>
      <c r="S284" s="157" t="str" cm="1">
        <f t="array" ref="S284">IF(OR($E284="",$I284=""),"",(INDEX('Emission factors'!$K$3:$V$201,MATCH('Buildings - Grid Electricity'!$E284&amp;$F284,'Emission factors'!$J$3:$J$201&amp;'Emission factors'!$K$3:$K$201,0),MATCH('Buildings - Grid Electricity'!S$6,'Emission factors'!$K$2:$V$2,0)))*$K284)</f>
        <v/>
      </c>
      <c r="T284" s="157" t="str" cm="1">
        <f t="array" ref="T284">IF(OR($E284="",$I284=""),"",(INDEX('Emission factors'!$K$3:$V$201,MATCH('Buildings - Grid Electricity'!$E284&amp;$F284,'Emission factors'!$J$3:$J$201&amp;'Emission factors'!$K$3:$K$201,0),MATCH('Buildings - Grid Electricity'!T$6,'Emission factors'!$K$2:$V$2,0)))*$K284)</f>
        <v/>
      </c>
      <c r="U284" s="157" t="str" cm="1">
        <f t="array" ref="U284">IF(OR($E284="",$I284=""),"",(INDEX('Emission factors'!$K$3:$V$201,MATCH('Buildings - Grid Electricity'!$E284&amp;$F284,'Emission factors'!$J$3:$J$201&amp;'Emission factors'!$K$3:$K$201,0),MATCH('Buildings - Grid Electricity'!U$6,'Emission factors'!$K$2:$V$2,0)))*$K284)</f>
        <v/>
      </c>
      <c r="V284" s="269" t="str">
        <f>IF(OR($N284="",BuildingsElectricityTable[[#This Row],[RSD]]=""),"",BuildingsElectricityTable[[#This Row],[Total emissions (kgCO2e)]]*(1+BuildingsElectricityTable[[#This Row],[RSD]]))</f>
        <v/>
      </c>
      <c r="W284" s="270" t="str">
        <f>IF(OR($N284="",BuildingsElectricityTable[[#This Row],[RSD]]=""),"",BuildingsElectricityTable[[#This Row],[Total emissions (kgCO2e)]]*(1-BuildingsElectricityTable[[#This Row],[RSD]]))</f>
        <v/>
      </c>
      <c r="X284" s="271" t="str" cm="1">
        <f t="array" ref="X284">IF(OR($E284="",$I284=""),"",(INDEX('Emission factors'!$K$3:$V$201,MATCH('Buildings - Grid Electricity'!$E284&amp;$F284,'Emission factors'!$J$3:$J$201&amp;'Emission factors'!$K$3:$K$201,0),MATCH('Buildings - Grid Electricity'!X$6,'Emission factors'!$K$2:$V$2,0)))*$K284)</f>
        <v/>
      </c>
      <c r="Y284" s="30"/>
      <c r="Z284" s="1" cm="1">
        <f t="array" ref="Z284">IF(OR(ISERROR(B284:X284)),1,0)</f>
        <v>0</v>
      </c>
      <c r="AA284" s="1">
        <f t="shared" si="24"/>
        <v>0</v>
      </c>
    </row>
    <row r="285" spans="1:27" ht="15" outlineLevel="1" thickBot="1" x14ac:dyDescent="0.4">
      <c r="A285" s="319"/>
      <c r="B285" s="216"/>
      <c r="C285" s="216"/>
      <c r="D285" s="489" t="str">
        <f>IFERROR(INDEX(BuildingInformationTable[Site type],MATCH(BuildingsElectricityTable[[#This Row],[Site name]],BuildingInformationTable[Site name],0)),"")</f>
        <v/>
      </c>
      <c r="E285" s="490" t="str">
        <f t="shared" si="21"/>
        <v/>
      </c>
      <c r="F285" s="490" t="str">
        <f t="shared" si="22"/>
        <v/>
      </c>
      <c r="G285" s="491"/>
      <c r="H285" s="492" t="str">
        <f>IF(G285="","",INDEX(Lists!$BA$4:$BC$31,MATCH(E285,Lists!$AZ$4:$AZ$31,0),MATCH(G285,Lists!$BA$3:$BC$3,0)))</f>
        <v/>
      </c>
      <c r="I285" s="267"/>
      <c r="J285" s="490" t="str">
        <f t="shared" si="23"/>
        <v/>
      </c>
      <c r="K285" s="493" t="str" cm="1">
        <f t="array" ref="K285">IF(OR($E285="",$D285="",$I285="",$J285=""),"",IF(J285=L285,I285,(INDEX('Emission factors'!$K$3:$V$201,MATCH(E285&amp;F285,'Emission factors'!$J$3:$J$201&amp;'Emission factors'!$K$3:$K$201,0),MATCH(K$6,'Emission factors'!$K$2:$V$2,0)))*I285))</f>
        <v/>
      </c>
      <c r="L285" s="494" t="str">
        <f>IF(OR($E285="",$D285="",$I285="",$J285=""),"",INDEX('Emission factors'!$K$3:$V$201,MATCH('Buildings - Grid Electricity'!$E285,'Emission factors'!$J$3:$J$201,0),MATCH($L$6,'Emission factors'!$K$2:$V$2,0)))</f>
        <v/>
      </c>
      <c r="M285" s="495" t="str" cm="1">
        <f t="array" ref="M285">IF(OR(E285="",I285="",BuildingsElectricityTable[[#This Row],[Units]]=""),"",INDEX('Emission factors'!$K$3:$V$201,MATCH('Buildings - Grid Electricity'!$E285&amp;F285,'Emission factors'!$J$3:$J$201&amp;'Emission factors'!$K$3:$K$201,0),MATCH('Buildings - Grid Electricity'!$M$6,'Emission factors'!$K$2:$V$2,0)))</f>
        <v/>
      </c>
      <c r="N285" s="496" t="str">
        <f>IF(OR(K285="",M285=""),"",SUM(BuildingsElectricityTable[[#This Row],[Direct]:[Indirect WTT]]))</f>
        <v/>
      </c>
      <c r="O285" s="268"/>
      <c r="P285" s="497"/>
      <c r="Q285" s="157" t="str" cm="1">
        <f t="array" ref="Q285">IF(OR($E285="",$I285=""),"",(INDEX('Emission factors'!$K$3:$V$201,MATCH('Buildings - Grid Electricity'!$E285&amp;$F285,'Emission factors'!$J$3:$J$201&amp;'Emission factors'!$K$3:$K$201,0),MATCH('Buildings - Grid Electricity'!Q$6,'Emission factors'!$K$2:$V$2,0)))*$K285)</f>
        <v/>
      </c>
      <c r="R285" s="157" t="str" cm="1">
        <f t="array" ref="R285">IF(OR($E285="",$I285=""),"",(INDEX('Emission factors'!$K$3:$V$201,MATCH('Buildings - Grid Electricity'!$E285&amp;$F285,'Emission factors'!$J$3:$J$201&amp;'Emission factors'!$K$3:$K$201,0),MATCH('Buildings - Grid Electricity'!R$6,'Emission factors'!$K$2:$V$2,0)))*$K285)</f>
        <v/>
      </c>
      <c r="S285" s="157" t="str" cm="1">
        <f t="array" ref="S285">IF(OR($E285="",$I285=""),"",(INDEX('Emission factors'!$K$3:$V$201,MATCH('Buildings - Grid Electricity'!$E285&amp;$F285,'Emission factors'!$J$3:$J$201&amp;'Emission factors'!$K$3:$K$201,0),MATCH('Buildings - Grid Electricity'!S$6,'Emission factors'!$K$2:$V$2,0)))*$K285)</f>
        <v/>
      </c>
      <c r="T285" s="157" t="str" cm="1">
        <f t="array" ref="T285">IF(OR($E285="",$I285=""),"",(INDEX('Emission factors'!$K$3:$V$201,MATCH('Buildings - Grid Electricity'!$E285&amp;$F285,'Emission factors'!$J$3:$J$201&amp;'Emission factors'!$K$3:$K$201,0),MATCH('Buildings - Grid Electricity'!T$6,'Emission factors'!$K$2:$V$2,0)))*$K285)</f>
        <v/>
      </c>
      <c r="U285" s="157" t="str" cm="1">
        <f t="array" ref="U285">IF(OR($E285="",$I285=""),"",(INDEX('Emission factors'!$K$3:$V$201,MATCH('Buildings - Grid Electricity'!$E285&amp;$F285,'Emission factors'!$J$3:$J$201&amp;'Emission factors'!$K$3:$K$201,0),MATCH('Buildings - Grid Electricity'!U$6,'Emission factors'!$K$2:$V$2,0)))*$K285)</f>
        <v/>
      </c>
      <c r="V285" s="269" t="str">
        <f>IF(OR($N285="",BuildingsElectricityTable[[#This Row],[RSD]]=""),"",BuildingsElectricityTable[[#This Row],[Total emissions (kgCO2e)]]*(1+BuildingsElectricityTable[[#This Row],[RSD]]))</f>
        <v/>
      </c>
      <c r="W285" s="270" t="str">
        <f>IF(OR($N285="",BuildingsElectricityTable[[#This Row],[RSD]]=""),"",BuildingsElectricityTable[[#This Row],[Total emissions (kgCO2e)]]*(1-BuildingsElectricityTable[[#This Row],[RSD]]))</f>
        <v/>
      </c>
      <c r="X285" s="271" t="str" cm="1">
        <f t="array" ref="X285">IF(OR($E285="",$I285=""),"",(INDEX('Emission factors'!$K$3:$V$201,MATCH('Buildings - Grid Electricity'!$E285&amp;$F285,'Emission factors'!$J$3:$J$201&amp;'Emission factors'!$K$3:$K$201,0),MATCH('Buildings - Grid Electricity'!X$6,'Emission factors'!$K$2:$V$2,0)))*$K285)</f>
        <v/>
      </c>
      <c r="Y285" s="30"/>
      <c r="Z285" s="1" cm="1">
        <f t="array" ref="Z285">IF(OR(ISERROR(B285:X285)),1,0)</f>
        <v>0</v>
      </c>
      <c r="AA285" s="1">
        <f t="shared" si="24"/>
        <v>0</v>
      </c>
    </row>
    <row r="286" spans="1:27" ht="15" outlineLevel="1" thickBot="1" x14ac:dyDescent="0.4">
      <c r="A286" s="319"/>
      <c r="B286" s="216"/>
      <c r="C286" s="216"/>
      <c r="D286" s="489" t="str">
        <f>IFERROR(INDEX(BuildingInformationTable[Site type],MATCH(BuildingsElectricityTable[[#This Row],[Site name]],BuildingInformationTable[Site name],0)),"")</f>
        <v/>
      </c>
      <c r="E286" s="490" t="str">
        <f t="shared" si="21"/>
        <v/>
      </c>
      <c r="F286" s="490" t="str">
        <f t="shared" si="22"/>
        <v/>
      </c>
      <c r="G286" s="491"/>
      <c r="H286" s="492" t="str">
        <f>IF(G286="","",INDEX(Lists!$BA$4:$BC$31,MATCH(E286,Lists!$AZ$4:$AZ$31,0),MATCH(G286,Lists!$BA$3:$BC$3,0)))</f>
        <v/>
      </c>
      <c r="I286" s="267"/>
      <c r="J286" s="490" t="str">
        <f t="shared" si="23"/>
        <v/>
      </c>
      <c r="K286" s="493" t="str" cm="1">
        <f t="array" ref="K286">IF(OR($E286="",$D286="",$I286="",$J286=""),"",IF(J286=L286,I286,(INDEX('Emission factors'!$K$3:$V$201,MATCH(E286&amp;F286,'Emission factors'!$J$3:$J$201&amp;'Emission factors'!$K$3:$K$201,0),MATCH(K$6,'Emission factors'!$K$2:$V$2,0)))*I286))</f>
        <v/>
      </c>
      <c r="L286" s="494" t="str">
        <f>IF(OR($E286="",$D286="",$I286="",$J286=""),"",INDEX('Emission factors'!$K$3:$V$201,MATCH('Buildings - Grid Electricity'!$E286,'Emission factors'!$J$3:$J$201,0),MATCH($L$6,'Emission factors'!$K$2:$V$2,0)))</f>
        <v/>
      </c>
      <c r="M286" s="495" t="str" cm="1">
        <f t="array" ref="M286">IF(OR(E286="",I286="",BuildingsElectricityTable[[#This Row],[Units]]=""),"",INDEX('Emission factors'!$K$3:$V$201,MATCH('Buildings - Grid Electricity'!$E286&amp;F286,'Emission factors'!$J$3:$J$201&amp;'Emission factors'!$K$3:$K$201,0),MATCH('Buildings - Grid Electricity'!$M$6,'Emission factors'!$K$2:$V$2,0)))</f>
        <v/>
      </c>
      <c r="N286" s="496" t="str">
        <f>IF(OR(K286="",M286=""),"",SUM(BuildingsElectricityTable[[#This Row],[Direct]:[Indirect WTT]]))</f>
        <v/>
      </c>
      <c r="O286" s="268"/>
      <c r="P286" s="497"/>
      <c r="Q286" s="157" t="str" cm="1">
        <f t="array" ref="Q286">IF(OR($E286="",$I286=""),"",(INDEX('Emission factors'!$K$3:$V$201,MATCH('Buildings - Grid Electricity'!$E286&amp;$F286,'Emission factors'!$J$3:$J$201&amp;'Emission factors'!$K$3:$K$201,0),MATCH('Buildings - Grid Electricity'!Q$6,'Emission factors'!$K$2:$V$2,0)))*$K286)</f>
        <v/>
      </c>
      <c r="R286" s="157" t="str" cm="1">
        <f t="array" ref="R286">IF(OR($E286="",$I286=""),"",(INDEX('Emission factors'!$K$3:$V$201,MATCH('Buildings - Grid Electricity'!$E286&amp;$F286,'Emission factors'!$J$3:$J$201&amp;'Emission factors'!$K$3:$K$201,0),MATCH('Buildings - Grid Electricity'!R$6,'Emission factors'!$K$2:$V$2,0)))*$K286)</f>
        <v/>
      </c>
      <c r="S286" s="157" t="str" cm="1">
        <f t="array" ref="S286">IF(OR($E286="",$I286=""),"",(INDEX('Emission factors'!$K$3:$V$201,MATCH('Buildings - Grid Electricity'!$E286&amp;$F286,'Emission factors'!$J$3:$J$201&amp;'Emission factors'!$K$3:$K$201,0),MATCH('Buildings - Grid Electricity'!S$6,'Emission factors'!$K$2:$V$2,0)))*$K286)</f>
        <v/>
      </c>
      <c r="T286" s="157" t="str" cm="1">
        <f t="array" ref="T286">IF(OR($E286="",$I286=""),"",(INDEX('Emission factors'!$K$3:$V$201,MATCH('Buildings - Grid Electricity'!$E286&amp;$F286,'Emission factors'!$J$3:$J$201&amp;'Emission factors'!$K$3:$K$201,0),MATCH('Buildings - Grid Electricity'!T$6,'Emission factors'!$K$2:$V$2,0)))*$K286)</f>
        <v/>
      </c>
      <c r="U286" s="157" t="str" cm="1">
        <f t="array" ref="U286">IF(OR($E286="",$I286=""),"",(INDEX('Emission factors'!$K$3:$V$201,MATCH('Buildings - Grid Electricity'!$E286&amp;$F286,'Emission factors'!$J$3:$J$201&amp;'Emission factors'!$K$3:$K$201,0),MATCH('Buildings - Grid Electricity'!U$6,'Emission factors'!$K$2:$V$2,0)))*$K286)</f>
        <v/>
      </c>
      <c r="V286" s="269" t="str">
        <f>IF(OR($N286="",BuildingsElectricityTable[[#This Row],[RSD]]=""),"",BuildingsElectricityTable[[#This Row],[Total emissions (kgCO2e)]]*(1+BuildingsElectricityTable[[#This Row],[RSD]]))</f>
        <v/>
      </c>
      <c r="W286" s="270" t="str">
        <f>IF(OR($N286="",BuildingsElectricityTable[[#This Row],[RSD]]=""),"",BuildingsElectricityTable[[#This Row],[Total emissions (kgCO2e)]]*(1-BuildingsElectricityTable[[#This Row],[RSD]]))</f>
        <v/>
      </c>
      <c r="X286" s="271" t="str" cm="1">
        <f t="array" ref="X286">IF(OR($E286="",$I286=""),"",(INDEX('Emission factors'!$K$3:$V$201,MATCH('Buildings - Grid Electricity'!$E286&amp;$F286,'Emission factors'!$J$3:$J$201&amp;'Emission factors'!$K$3:$K$201,0),MATCH('Buildings - Grid Electricity'!X$6,'Emission factors'!$K$2:$V$2,0)))*$K286)</f>
        <v/>
      </c>
      <c r="Y286" s="30"/>
      <c r="Z286" s="1" cm="1">
        <f t="array" ref="Z286">IF(OR(ISERROR(B286:X286)),1,0)</f>
        <v>0</v>
      </c>
      <c r="AA286" s="1">
        <f t="shared" si="24"/>
        <v>0</v>
      </c>
    </row>
    <row r="287" spans="1:27" ht="15" outlineLevel="1" thickBot="1" x14ac:dyDescent="0.4">
      <c r="A287" s="319"/>
      <c r="B287" s="216"/>
      <c r="C287" s="216"/>
      <c r="D287" s="489" t="str">
        <f>IFERROR(INDEX(BuildingInformationTable[Site type],MATCH(BuildingsElectricityTable[[#This Row],[Site name]],BuildingInformationTable[Site name],0)),"")</f>
        <v/>
      </c>
      <c r="E287" s="490" t="str">
        <f t="shared" si="21"/>
        <v/>
      </c>
      <c r="F287" s="490" t="str">
        <f t="shared" si="22"/>
        <v/>
      </c>
      <c r="G287" s="491"/>
      <c r="H287" s="492" t="str">
        <f>IF(G287="","",INDEX(Lists!$BA$4:$BC$31,MATCH(E287,Lists!$AZ$4:$AZ$31,0),MATCH(G287,Lists!$BA$3:$BC$3,0)))</f>
        <v/>
      </c>
      <c r="I287" s="267"/>
      <c r="J287" s="490" t="str">
        <f t="shared" si="23"/>
        <v/>
      </c>
      <c r="K287" s="493" t="str" cm="1">
        <f t="array" ref="K287">IF(OR($E287="",$D287="",$I287="",$J287=""),"",IF(J287=L287,I287,(INDEX('Emission factors'!$K$3:$V$201,MATCH(E287&amp;F287,'Emission factors'!$J$3:$J$201&amp;'Emission factors'!$K$3:$K$201,0),MATCH(K$6,'Emission factors'!$K$2:$V$2,0)))*I287))</f>
        <v/>
      </c>
      <c r="L287" s="494" t="str">
        <f>IF(OR($E287="",$D287="",$I287="",$J287=""),"",INDEX('Emission factors'!$K$3:$V$201,MATCH('Buildings - Grid Electricity'!$E287,'Emission factors'!$J$3:$J$201,0),MATCH($L$6,'Emission factors'!$K$2:$V$2,0)))</f>
        <v/>
      </c>
      <c r="M287" s="495" t="str" cm="1">
        <f t="array" ref="M287">IF(OR(E287="",I287="",BuildingsElectricityTable[[#This Row],[Units]]=""),"",INDEX('Emission factors'!$K$3:$V$201,MATCH('Buildings - Grid Electricity'!$E287&amp;F287,'Emission factors'!$J$3:$J$201&amp;'Emission factors'!$K$3:$K$201,0),MATCH('Buildings - Grid Electricity'!$M$6,'Emission factors'!$K$2:$V$2,0)))</f>
        <v/>
      </c>
      <c r="N287" s="496" t="str">
        <f>IF(OR(K287="",M287=""),"",SUM(BuildingsElectricityTable[[#This Row],[Direct]:[Indirect WTT]]))</f>
        <v/>
      </c>
      <c r="O287" s="268"/>
      <c r="P287" s="497"/>
      <c r="Q287" s="157" t="str" cm="1">
        <f t="array" ref="Q287">IF(OR($E287="",$I287=""),"",(INDEX('Emission factors'!$K$3:$V$201,MATCH('Buildings - Grid Electricity'!$E287&amp;$F287,'Emission factors'!$J$3:$J$201&amp;'Emission factors'!$K$3:$K$201,0),MATCH('Buildings - Grid Electricity'!Q$6,'Emission factors'!$K$2:$V$2,0)))*$K287)</f>
        <v/>
      </c>
      <c r="R287" s="157" t="str" cm="1">
        <f t="array" ref="R287">IF(OR($E287="",$I287=""),"",(INDEX('Emission factors'!$K$3:$V$201,MATCH('Buildings - Grid Electricity'!$E287&amp;$F287,'Emission factors'!$J$3:$J$201&amp;'Emission factors'!$K$3:$K$201,0),MATCH('Buildings - Grid Electricity'!R$6,'Emission factors'!$K$2:$V$2,0)))*$K287)</f>
        <v/>
      </c>
      <c r="S287" s="157" t="str" cm="1">
        <f t="array" ref="S287">IF(OR($E287="",$I287=""),"",(INDEX('Emission factors'!$K$3:$V$201,MATCH('Buildings - Grid Electricity'!$E287&amp;$F287,'Emission factors'!$J$3:$J$201&amp;'Emission factors'!$K$3:$K$201,0),MATCH('Buildings - Grid Electricity'!S$6,'Emission factors'!$K$2:$V$2,0)))*$K287)</f>
        <v/>
      </c>
      <c r="T287" s="157" t="str" cm="1">
        <f t="array" ref="T287">IF(OR($E287="",$I287=""),"",(INDEX('Emission factors'!$K$3:$V$201,MATCH('Buildings - Grid Electricity'!$E287&amp;$F287,'Emission factors'!$J$3:$J$201&amp;'Emission factors'!$K$3:$K$201,0),MATCH('Buildings - Grid Electricity'!T$6,'Emission factors'!$K$2:$V$2,0)))*$K287)</f>
        <v/>
      </c>
      <c r="U287" s="157" t="str" cm="1">
        <f t="array" ref="U287">IF(OR($E287="",$I287=""),"",(INDEX('Emission factors'!$K$3:$V$201,MATCH('Buildings - Grid Electricity'!$E287&amp;$F287,'Emission factors'!$J$3:$J$201&amp;'Emission factors'!$K$3:$K$201,0),MATCH('Buildings - Grid Electricity'!U$6,'Emission factors'!$K$2:$V$2,0)))*$K287)</f>
        <v/>
      </c>
      <c r="V287" s="269" t="str">
        <f>IF(OR($N287="",BuildingsElectricityTable[[#This Row],[RSD]]=""),"",BuildingsElectricityTable[[#This Row],[Total emissions (kgCO2e)]]*(1+BuildingsElectricityTable[[#This Row],[RSD]]))</f>
        <v/>
      </c>
      <c r="W287" s="270" t="str">
        <f>IF(OR($N287="",BuildingsElectricityTable[[#This Row],[RSD]]=""),"",BuildingsElectricityTable[[#This Row],[Total emissions (kgCO2e)]]*(1-BuildingsElectricityTable[[#This Row],[RSD]]))</f>
        <v/>
      </c>
      <c r="X287" s="271" t="str" cm="1">
        <f t="array" ref="X287">IF(OR($E287="",$I287=""),"",(INDEX('Emission factors'!$K$3:$V$201,MATCH('Buildings - Grid Electricity'!$E287&amp;$F287,'Emission factors'!$J$3:$J$201&amp;'Emission factors'!$K$3:$K$201,0),MATCH('Buildings - Grid Electricity'!X$6,'Emission factors'!$K$2:$V$2,0)))*$K287)</f>
        <v/>
      </c>
      <c r="Y287" s="30"/>
      <c r="Z287" s="1" cm="1">
        <f t="array" ref="Z287">IF(OR(ISERROR(B287:X287)),1,0)</f>
        <v>0</v>
      </c>
      <c r="AA287" s="1">
        <f t="shared" si="24"/>
        <v>0</v>
      </c>
    </row>
    <row r="288" spans="1:27" ht="15" outlineLevel="1" thickBot="1" x14ac:dyDescent="0.4">
      <c r="A288" s="319"/>
      <c r="B288" s="216"/>
      <c r="C288" s="216"/>
      <c r="D288" s="489" t="str">
        <f>IFERROR(INDEX(BuildingInformationTable[Site type],MATCH(BuildingsElectricityTable[[#This Row],[Site name]],BuildingInformationTable[Site name],0)),"")</f>
        <v/>
      </c>
      <c r="E288" s="490" t="str">
        <f t="shared" si="21"/>
        <v/>
      </c>
      <c r="F288" s="490" t="str">
        <f t="shared" si="22"/>
        <v/>
      </c>
      <c r="G288" s="491"/>
      <c r="H288" s="492" t="str">
        <f>IF(G288="","",INDEX(Lists!$BA$4:$BC$31,MATCH(E288,Lists!$AZ$4:$AZ$31,0),MATCH(G288,Lists!$BA$3:$BC$3,0)))</f>
        <v/>
      </c>
      <c r="I288" s="267"/>
      <c r="J288" s="490" t="str">
        <f t="shared" si="23"/>
        <v/>
      </c>
      <c r="K288" s="493" t="str" cm="1">
        <f t="array" ref="K288">IF(OR($E288="",$D288="",$I288="",$J288=""),"",IF(J288=L288,I288,(INDEX('Emission factors'!$K$3:$V$201,MATCH(E288&amp;F288,'Emission factors'!$J$3:$J$201&amp;'Emission factors'!$K$3:$K$201,0),MATCH(K$6,'Emission factors'!$K$2:$V$2,0)))*I288))</f>
        <v/>
      </c>
      <c r="L288" s="494" t="str">
        <f>IF(OR($E288="",$D288="",$I288="",$J288=""),"",INDEX('Emission factors'!$K$3:$V$201,MATCH('Buildings - Grid Electricity'!$E288,'Emission factors'!$J$3:$J$201,0),MATCH($L$6,'Emission factors'!$K$2:$V$2,0)))</f>
        <v/>
      </c>
      <c r="M288" s="495" t="str" cm="1">
        <f t="array" ref="M288">IF(OR(E288="",I288="",BuildingsElectricityTable[[#This Row],[Units]]=""),"",INDEX('Emission factors'!$K$3:$V$201,MATCH('Buildings - Grid Electricity'!$E288&amp;F288,'Emission factors'!$J$3:$J$201&amp;'Emission factors'!$K$3:$K$201,0),MATCH('Buildings - Grid Electricity'!$M$6,'Emission factors'!$K$2:$V$2,0)))</f>
        <v/>
      </c>
      <c r="N288" s="496" t="str">
        <f>IF(OR(K288="",M288=""),"",SUM(BuildingsElectricityTable[[#This Row],[Direct]:[Indirect WTT]]))</f>
        <v/>
      </c>
      <c r="O288" s="268"/>
      <c r="P288" s="497"/>
      <c r="Q288" s="157" t="str" cm="1">
        <f t="array" ref="Q288">IF(OR($E288="",$I288=""),"",(INDEX('Emission factors'!$K$3:$V$201,MATCH('Buildings - Grid Electricity'!$E288&amp;$F288,'Emission factors'!$J$3:$J$201&amp;'Emission factors'!$K$3:$K$201,0),MATCH('Buildings - Grid Electricity'!Q$6,'Emission factors'!$K$2:$V$2,0)))*$K288)</f>
        <v/>
      </c>
      <c r="R288" s="157" t="str" cm="1">
        <f t="array" ref="R288">IF(OR($E288="",$I288=""),"",(INDEX('Emission factors'!$K$3:$V$201,MATCH('Buildings - Grid Electricity'!$E288&amp;$F288,'Emission factors'!$J$3:$J$201&amp;'Emission factors'!$K$3:$K$201,0),MATCH('Buildings - Grid Electricity'!R$6,'Emission factors'!$K$2:$V$2,0)))*$K288)</f>
        <v/>
      </c>
      <c r="S288" s="157" t="str" cm="1">
        <f t="array" ref="S288">IF(OR($E288="",$I288=""),"",(INDEX('Emission factors'!$K$3:$V$201,MATCH('Buildings - Grid Electricity'!$E288&amp;$F288,'Emission factors'!$J$3:$J$201&amp;'Emission factors'!$K$3:$K$201,0),MATCH('Buildings - Grid Electricity'!S$6,'Emission factors'!$K$2:$V$2,0)))*$K288)</f>
        <v/>
      </c>
      <c r="T288" s="157" t="str" cm="1">
        <f t="array" ref="T288">IF(OR($E288="",$I288=""),"",(INDEX('Emission factors'!$K$3:$V$201,MATCH('Buildings - Grid Electricity'!$E288&amp;$F288,'Emission factors'!$J$3:$J$201&amp;'Emission factors'!$K$3:$K$201,0),MATCH('Buildings - Grid Electricity'!T$6,'Emission factors'!$K$2:$V$2,0)))*$K288)</f>
        <v/>
      </c>
      <c r="U288" s="157" t="str" cm="1">
        <f t="array" ref="U288">IF(OR($E288="",$I288=""),"",(INDEX('Emission factors'!$K$3:$V$201,MATCH('Buildings - Grid Electricity'!$E288&amp;$F288,'Emission factors'!$J$3:$J$201&amp;'Emission factors'!$K$3:$K$201,0),MATCH('Buildings - Grid Electricity'!U$6,'Emission factors'!$K$2:$V$2,0)))*$K288)</f>
        <v/>
      </c>
      <c r="V288" s="269" t="str">
        <f>IF(OR($N288="",BuildingsElectricityTable[[#This Row],[RSD]]=""),"",BuildingsElectricityTable[[#This Row],[Total emissions (kgCO2e)]]*(1+BuildingsElectricityTable[[#This Row],[RSD]]))</f>
        <v/>
      </c>
      <c r="W288" s="270" t="str">
        <f>IF(OR($N288="",BuildingsElectricityTable[[#This Row],[RSD]]=""),"",BuildingsElectricityTable[[#This Row],[Total emissions (kgCO2e)]]*(1-BuildingsElectricityTable[[#This Row],[RSD]]))</f>
        <v/>
      </c>
      <c r="X288" s="271" t="str" cm="1">
        <f t="array" ref="X288">IF(OR($E288="",$I288=""),"",(INDEX('Emission factors'!$K$3:$V$201,MATCH('Buildings - Grid Electricity'!$E288&amp;$F288,'Emission factors'!$J$3:$J$201&amp;'Emission factors'!$K$3:$K$201,0),MATCH('Buildings - Grid Electricity'!X$6,'Emission factors'!$K$2:$V$2,0)))*$K288)</f>
        <v/>
      </c>
      <c r="Y288" s="30"/>
      <c r="Z288" s="1" cm="1">
        <f t="array" ref="Z288">IF(OR(ISERROR(B288:X288)),1,0)</f>
        <v>0</v>
      </c>
      <c r="AA288" s="1">
        <f t="shared" si="24"/>
        <v>0</v>
      </c>
    </row>
    <row r="289" spans="1:27" ht="15" outlineLevel="1" thickBot="1" x14ac:dyDescent="0.4">
      <c r="A289" s="319"/>
      <c r="B289" s="216"/>
      <c r="C289" s="216"/>
      <c r="D289" s="489" t="str">
        <f>IFERROR(INDEX(BuildingInformationTable[Site type],MATCH(BuildingsElectricityTable[[#This Row],[Site name]],BuildingInformationTable[Site name],0)),"")</f>
        <v/>
      </c>
      <c r="E289" s="490" t="str">
        <f t="shared" si="21"/>
        <v/>
      </c>
      <c r="F289" s="490" t="str">
        <f t="shared" si="22"/>
        <v/>
      </c>
      <c r="G289" s="491"/>
      <c r="H289" s="492" t="str">
        <f>IF(G289="","",INDEX(Lists!$BA$4:$BC$31,MATCH(E289,Lists!$AZ$4:$AZ$31,0),MATCH(G289,Lists!$BA$3:$BC$3,0)))</f>
        <v/>
      </c>
      <c r="I289" s="267"/>
      <c r="J289" s="490" t="str">
        <f t="shared" si="23"/>
        <v/>
      </c>
      <c r="K289" s="493" t="str" cm="1">
        <f t="array" ref="K289">IF(OR($E289="",$D289="",$I289="",$J289=""),"",IF(J289=L289,I289,(INDEX('Emission factors'!$K$3:$V$201,MATCH(E289&amp;F289,'Emission factors'!$J$3:$J$201&amp;'Emission factors'!$K$3:$K$201,0),MATCH(K$6,'Emission factors'!$K$2:$V$2,0)))*I289))</f>
        <v/>
      </c>
      <c r="L289" s="494" t="str">
        <f>IF(OR($E289="",$D289="",$I289="",$J289=""),"",INDEX('Emission factors'!$K$3:$V$201,MATCH('Buildings - Grid Electricity'!$E289,'Emission factors'!$J$3:$J$201,0),MATCH($L$6,'Emission factors'!$K$2:$V$2,0)))</f>
        <v/>
      </c>
      <c r="M289" s="495" t="str" cm="1">
        <f t="array" ref="M289">IF(OR(E289="",I289="",BuildingsElectricityTable[[#This Row],[Units]]=""),"",INDEX('Emission factors'!$K$3:$V$201,MATCH('Buildings - Grid Electricity'!$E289&amp;F289,'Emission factors'!$J$3:$J$201&amp;'Emission factors'!$K$3:$K$201,0),MATCH('Buildings - Grid Electricity'!$M$6,'Emission factors'!$K$2:$V$2,0)))</f>
        <v/>
      </c>
      <c r="N289" s="496" t="str">
        <f>IF(OR(K289="",M289=""),"",SUM(BuildingsElectricityTable[[#This Row],[Direct]:[Indirect WTT]]))</f>
        <v/>
      </c>
      <c r="O289" s="268"/>
      <c r="P289" s="497"/>
      <c r="Q289" s="157" t="str" cm="1">
        <f t="array" ref="Q289">IF(OR($E289="",$I289=""),"",(INDEX('Emission factors'!$K$3:$V$201,MATCH('Buildings - Grid Electricity'!$E289&amp;$F289,'Emission factors'!$J$3:$J$201&amp;'Emission factors'!$K$3:$K$201,0),MATCH('Buildings - Grid Electricity'!Q$6,'Emission factors'!$K$2:$V$2,0)))*$K289)</f>
        <v/>
      </c>
      <c r="R289" s="157" t="str" cm="1">
        <f t="array" ref="R289">IF(OR($E289="",$I289=""),"",(INDEX('Emission factors'!$K$3:$V$201,MATCH('Buildings - Grid Electricity'!$E289&amp;$F289,'Emission factors'!$J$3:$J$201&amp;'Emission factors'!$K$3:$K$201,0),MATCH('Buildings - Grid Electricity'!R$6,'Emission factors'!$K$2:$V$2,0)))*$K289)</f>
        <v/>
      </c>
      <c r="S289" s="157" t="str" cm="1">
        <f t="array" ref="S289">IF(OR($E289="",$I289=""),"",(INDEX('Emission factors'!$K$3:$V$201,MATCH('Buildings - Grid Electricity'!$E289&amp;$F289,'Emission factors'!$J$3:$J$201&amp;'Emission factors'!$K$3:$K$201,0),MATCH('Buildings - Grid Electricity'!S$6,'Emission factors'!$K$2:$V$2,0)))*$K289)</f>
        <v/>
      </c>
      <c r="T289" s="157" t="str" cm="1">
        <f t="array" ref="T289">IF(OR($E289="",$I289=""),"",(INDEX('Emission factors'!$K$3:$V$201,MATCH('Buildings - Grid Electricity'!$E289&amp;$F289,'Emission factors'!$J$3:$J$201&amp;'Emission factors'!$K$3:$K$201,0),MATCH('Buildings - Grid Electricity'!T$6,'Emission factors'!$K$2:$V$2,0)))*$K289)</f>
        <v/>
      </c>
      <c r="U289" s="157" t="str" cm="1">
        <f t="array" ref="U289">IF(OR($E289="",$I289=""),"",(INDEX('Emission factors'!$K$3:$V$201,MATCH('Buildings - Grid Electricity'!$E289&amp;$F289,'Emission factors'!$J$3:$J$201&amp;'Emission factors'!$K$3:$K$201,0),MATCH('Buildings - Grid Electricity'!U$6,'Emission factors'!$K$2:$V$2,0)))*$K289)</f>
        <v/>
      </c>
      <c r="V289" s="269" t="str">
        <f>IF(OR($N289="",BuildingsElectricityTable[[#This Row],[RSD]]=""),"",BuildingsElectricityTable[[#This Row],[Total emissions (kgCO2e)]]*(1+BuildingsElectricityTable[[#This Row],[RSD]]))</f>
        <v/>
      </c>
      <c r="W289" s="270" t="str">
        <f>IF(OR($N289="",BuildingsElectricityTable[[#This Row],[RSD]]=""),"",BuildingsElectricityTable[[#This Row],[Total emissions (kgCO2e)]]*(1-BuildingsElectricityTable[[#This Row],[RSD]]))</f>
        <v/>
      </c>
      <c r="X289" s="271" t="str" cm="1">
        <f t="array" ref="X289">IF(OR($E289="",$I289=""),"",(INDEX('Emission factors'!$K$3:$V$201,MATCH('Buildings - Grid Electricity'!$E289&amp;$F289,'Emission factors'!$J$3:$J$201&amp;'Emission factors'!$K$3:$K$201,0),MATCH('Buildings - Grid Electricity'!X$6,'Emission factors'!$K$2:$V$2,0)))*$K289)</f>
        <v/>
      </c>
      <c r="Y289" s="30"/>
      <c r="Z289" s="1" cm="1">
        <f t="array" ref="Z289">IF(OR(ISERROR(B289:X289)),1,0)</f>
        <v>0</v>
      </c>
      <c r="AA289" s="1">
        <f t="shared" si="24"/>
        <v>0</v>
      </c>
    </row>
    <row r="290" spans="1:27" ht="15" outlineLevel="1" thickBot="1" x14ac:dyDescent="0.4">
      <c r="A290" s="319"/>
      <c r="B290" s="216"/>
      <c r="C290" s="216"/>
      <c r="D290" s="489" t="str">
        <f>IFERROR(INDEX(BuildingInformationTable[Site type],MATCH(BuildingsElectricityTable[[#This Row],[Site name]],BuildingInformationTable[Site name],0)),"")</f>
        <v/>
      </c>
      <c r="E290" s="490" t="str">
        <f t="shared" si="21"/>
        <v/>
      </c>
      <c r="F290" s="490" t="str">
        <f t="shared" si="22"/>
        <v/>
      </c>
      <c r="G290" s="491"/>
      <c r="H290" s="492" t="str">
        <f>IF(G290="","",INDEX(Lists!$BA$4:$BC$31,MATCH(E290,Lists!$AZ$4:$AZ$31,0),MATCH(G290,Lists!$BA$3:$BC$3,0)))</f>
        <v/>
      </c>
      <c r="I290" s="267"/>
      <c r="J290" s="490" t="str">
        <f t="shared" si="23"/>
        <v/>
      </c>
      <c r="K290" s="493" t="str" cm="1">
        <f t="array" ref="K290">IF(OR($E290="",$D290="",$I290="",$J290=""),"",IF(J290=L290,I290,(INDEX('Emission factors'!$K$3:$V$201,MATCH(E290&amp;F290,'Emission factors'!$J$3:$J$201&amp;'Emission factors'!$K$3:$K$201,0),MATCH(K$6,'Emission factors'!$K$2:$V$2,0)))*I290))</f>
        <v/>
      </c>
      <c r="L290" s="494" t="str">
        <f>IF(OR($E290="",$D290="",$I290="",$J290=""),"",INDEX('Emission factors'!$K$3:$V$201,MATCH('Buildings - Grid Electricity'!$E290,'Emission factors'!$J$3:$J$201,0),MATCH($L$6,'Emission factors'!$K$2:$V$2,0)))</f>
        <v/>
      </c>
      <c r="M290" s="495" t="str" cm="1">
        <f t="array" ref="M290">IF(OR(E290="",I290="",BuildingsElectricityTable[[#This Row],[Units]]=""),"",INDEX('Emission factors'!$K$3:$V$201,MATCH('Buildings - Grid Electricity'!$E290&amp;F290,'Emission factors'!$J$3:$J$201&amp;'Emission factors'!$K$3:$K$201,0),MATCH('Buildings - Grid Electricity'!$M$6,'Emission factors'!$K$2:$V$2,0)))</f>
        <v/>
      </c>
      <c r="N290" s="496" t="str">
        <f>IF(OR(K290="",M290=""),"",SUM(BuildingsElectricityTable[[#This Row],[Direct]:[Indirect WTT]]))</f>
        <v/>
      </c>
      <c r="O290" s="268"/>
      <c r="P290" s="497"/>
      <c r="Q290" s="157" t="str" cm="1">
        <f t="array" ref="Q290">IF(OR($E290="",$I290=""),"",(INDEX('Emission factors'!$K$3:$V$201,MATCH('Buildings - Grid Electricity'!$E290&amp;$F290,'Emission factors'!$J$3:$J$201&amp;'Emission factors'!$K$3:$K$201,0),MATCH('Buildings - Grid Electricity'!Q$6,'Emission factors'!$K$2:$V$2,0)))*$K290)</f>
        <v/>
      </c>
      <c r="R290" s="157" t="str" cm="1">
        <f t="array" ref="R290">IF(OR($E290="",$I290=""),"",(INDEX('Emission factors'!$K$3:$V$201,MATCH('Buildings - Grid Electricity'!$E290&amp;$F290,'Emission factors'!$J$3:$J$201&amp;'Emission factors'!$K$3:$K$201,0),MATCH('Buildings - Grid Electricity'!R$6,'Emission factors'!$K$2:$V$2,0)))*$K290)</f>
        <v/>
      </c>
      <c r="S290" s="157" t="str" cm="1">
        <f t="array" ref="S290">IF(OR($E290="",$I290=""),"",(INDEX('Emission factors'!$K$3:$V$201,MATCH('Buildings - Grid Electricity'!$E290&amp;$F290,'Emission factors'!$J$3:$J$201&amp;'Emission factors'!$K$3:$K$201,0),MATCH('Buildings - Grid Electricity'!S$6,'Emission factors'!$K$2:$V$2,0)))*$K290)</f>
        <v/>
      </c>
      <c r="T290" s="157" t="str" cm="1">
        <f t="array" ref="T290">IF(OR($E290="",$I290=""),"",(INDEX('Emission factors'!$K$3:$V$201,MATCH('Buildings - Grid Electricity'!$E290&amp;$F290,'Emission factors'!$J$3:$J$201&amp;'Emission factors'!$K$3:$K$201,0),MATCH('Buildings - Grid Electricity'!T$6,'Emission factors'!$K$2:$V$2,0)))*$K290)</f>
        <v/>
      </c>
      <c r="U290" s="157" t="str" cm="1">
        <f t="array" ref="U290">IF(OR($E290="",$I290=""),"",(INDEX('Emission factors'!$K$3:$V$201,MATCH('Buildings - Grid Electricity'!$E290&amp;$F290,'Emission factors'!$J$3:$J$201&amp;'Emission factors'!$K$3:$K$201,0),MATCH('Buildings - Grid Electricity'!U$6,'Emission factors'!$K$2:$V$2,0)))*$K290)</f>
        <v/>
      </c>
      <c r="V290" s="269" t="str">
        <f>IF(OR($N290="",BuildingsElectricityTable[[#This Row],[RSD]]=""),"",BuildingsElectricityTable[[#This Row],[Total emissions (kgCO2e)]]*(1+BuildingsElectricityTable[[#This Row],[RSD]]))</f>
        <v/>
      </c>
      <c r="W290" s="270" t="str">
        <f>IF(OR($N290="",BuildingsElectricityTable[[#This Row],[RSD]]=""),"",BuildingsElectricityTable[[#This Row],[Total emissions (kgCO2e)]]*(1-BuildingsElectricityTable[[#This Row],[RSD]]))</f>
        <v/>
      </c>
      <c r="X290" s="271" t="str" cm="1">
        <f t="array" ref="X290">IF(OR($E290="",$I290=""),"",(INDEX('Emission factors'!$K$3:$V$201,MATCH('Buildings - Grid Electricity'!$E290&amp;$F290,'Emission factors'!$J$3:$J$201&amp;'Emission factors'!$K$3:$K$201,0),MATCH('Buildings - Grid Electricity'!X$6,'Emission factors'!$K$2:$V$2,0)))*$K290)</f>
        <v/>
      </c>
      <c r="Y290" s="30"/>
      <c r="Z290" s="1" cm="1">
        <f t="array" ref="Z290">IF(OR(ISERROR(B290:X290)),1,0)</f>
        <v>0</v>
      </c>
      <c r="AA290" s="1">
        <f t="shared" si="24"/>
        <v>0</v>
      </c>
    </row>
    <row r="291" spans="1:27" ht="15" outlineLevel="1" thickBot="1" x14ac:dyDescent="0.4">
      <c r="A291" s="319"/>
      <c r="B291" s="216"/>
      <c r="C291" s="216"/>
      <c r="D291" s="489" t="str">
        <f>IFERROR(INDEX(BuildingInformationTable[Site type],MATCH(BuildingsElectricityTable[[#This Row],[Site name]],BuildingInformationTable[Site name],0)),"")</f>
        <v/>
      </c>
      <c r="E291" s="490" t="str">
        <f t="shared" si="21"/>
        <v/>
      </c>
      <c r="F291" s="490" t="str">
        <f t="shared" si="22"/>
        <v/>
      </c>
      <c r="G291" s="491"/>
      <c r="H291" s="492" t="str">
        <f>IF(G291="","",INDEX(Lists!$BA$4:$BC$31,MATCH(E291,Lists!$AZ$4:$AZ$31,0),MATCH(G291,Lists!$BA$3:$BC$3,0)))</f>
        <v/>
      </c>
      <c r="I291" s="267"/>
      <c r="J291" s="490" t="str">
        <f t="shared" si="23"/>
        <v/>
      </c>
      <c r="K291" s="493" t="str" cm="1">
        <f t="array" ref="K291">IF(OR($E291="",$D291="",$I291="",$J291=""),"",IF(J291=L291,I291,(INDEX('Emission factors'!$K$3:$V$201,MATCH(E291&amp;F291,'Emission factors'!$J$3:$J$201&amp;'Emission factors'!$K$3:$K$201,0),MATCH(K$6,'Emission factors'!$K$2:$V$2,0)))*I291))</f>
        <v/>
      </c>
      <c r="L291" s="494" t="str">
        <f>IF(OR($E291="",$D291="",$I291="",$J291=""),"",INDEX('Emission factors'!$K$3:$V$201,MATCH('Buildings - Grid Electricity'!$E291,'Emission factors'!$J$3:$J$201,0),MATCH($L$6,'Emission factors'!$K$2:$V$2,0)))</f>
        <v/>
      </c>
      <c r="M291" s="495" t="str" cm="1">
        <f t="array" ref="M291">IF(OR(E291="",I291="",BuildingsElectricityTable[[#This Row],[Units]]=""),"",INDEX('Emission factors'!$K$3:$V$201,MATCH('Buildings - Grid Electricity'!$E291&amp;F291,'Emission factors'!$J$3:$J$201&amp;'Emission factors'!$K$3:$K$201,0),MATCH('Buildings - Grid Electricity'!$M$6,'Emission factors'!$K$2:$V$2,0)))</f>
        <v/>
      </c>
      <c r="N291" s="496" t="str">
        <f>IF(OR(K291="",M291=""),"",SUM(BuildingsElectricityTable[[#This Row],[Direct]:[Indirect WTT]]))</f>
        <v/>
      </c>
      <c r="O291" s="268"/>
      <c r="P291" s="497"/>
      <c r="Q291" s="157" t="str" cm="1">
        <f t="array" ref="Q291">IF(OR($E291="",$I291=""),"",(INDEX('Emission factors'!$K$3:$V$201,MATCH('Buildings - Grid Electricity'!$E291&amp;$F291,'Emission factors'!$J$3:$J$201&amp;'Emission factors'!$K$3:$K$201,0),MATCH('Buildings - Grid Electricity'!Q$6,'Emission factors'!$K$2:$V$2,0)))*$K291)</f>
        <v/>
      </c>
      <c r="R291" s="157" t="str" cm="1">
        <f t="array" ref="R291">IF(OR($E291="",$I291=""),"",(INDEX('Emission factors'!$K$3:$V$201,MATCH('Buildings - Grid Electricity'!$E291&amp;$F291,'Emission factors'!$J$3:$J$201&amp;'Emission factors'!$K$3:$K$201,0),MATCH('Buildings - Grid Electricity'!R$6,'Emission factors'!$K$2:$V$2,0)))*$K291)</f>
        <v/>
      </c>
      <c r="S291" s="157" t="str" cm="1">
        <f t="array" ref="S291">IF(OR($E291="",$I291=""),"",(INDEX('Emission factors'!$K$3:$V$201,MATCH('Buildings - Grid Electricity'!$E291&amp;$F291,'Emission factors'!$J$3:$J$201&amp;'Emission factors'!$K$3:$K$201,0),MATCH('Buildings - Grid Electricity'!S$6,'Emission factors'!$K$2:$V$2,0)))*$K291)</f>
        <v/>
      </c>
      <c r="T291" s="157" t="str" cm="1">
        <f t="array" ref="T291">IF(OR($E291="",$I291=""),"",(INDEX('Emission factors'!$K$3:$V$201,MATCH('Buildings - Grid Electricity'!$E291&amp;$F291,'Emission factors'!$J$3:$J$201&amp;'Emission factors'!$K$3:$K$201,0),MATCH('Buildings - Grid Electricity'!T$6,'Emission factors'!$K$2:$V$2,0)))*$K291)</f>
        <v/>
      </c>
      <c r="U291" s="157" t="str" cm="1">
        <f t="array" ref="U291">IF(OR($E291="",$I291=""),"",(INDEX('Emission factors'!$K$3:$V$201,MATCH('Buildings - Grid Electricity'!$E291&amp;$F291,'Emission factors'!$J$3:$J$201&amp;'Emission factors'!$K$3:$K$201,0),MATCH('Buildings - Grid Electricity'!U$6,'Emission factors'!$K$2:$V$2,0)))*$K291)</f>
        <v/>
      </c>
      <c r="V291" s="269" t="str">
        <f>IF(OR($N291="",BuildingsElectricityTable[[#This Row],[RSD]]=""),"",BuildingsElectricityTable[[#This Row],[Total emissions (kgCO2e)]]*(1+BuildingsElectricityTable[[#This Row],[RSD]]))</f>
        <v/>
      </c>
      <c r="W291" s="270" t="str">
        <f>IF(OR($N291="",BuildingsElectricityTable[[#This Row],[RSD]]=""),"",BuildingsElectricityTable[[#This Row],[Total emissions (kgCO2e)]]*(1-BuildingsElectricityTable[[#This Row],[RSD]]))</f>
        <v/>
      </c>
      <c r="X291" s="271" t="str" cm="1">
        <f t="array" ref="X291">IF(OR($E291="",$I291=""),"",(INDEX('Emission factors'!$K$3:$V$201,MATCH('Buildings - Grid Electricity'!$E291&amp;$F291,'Emission factors'!$J$3:$J$201&amp;'Emission factors'!$K$3:$K$201,0),MATCH('Buildings - Grid Electricity'!X$6,'Emission factors'!$K$2:$V$2,0)))*$K291)</f>
        <v/>
      </c>
      <c r="Y291" s="30"/>
      <c r="Z291" s="1" cm="1">
        <f t="array" ref="Z291">IF(OR(ISERROR(B291:X291)),1,0)</f>
        <v>0</v>
      </c>
      <c r="AA291" s="1">
        <f t="shared" si="24"/>
        <v>0</v>
      </c>
    </row>
    <row r="292" spans="1:27" ht="15" outlineLevel="1" thickBot="1" x14ac:dyDescent="0.4">
      <c r="A292" s="319"/>
      <c r="B292" s="216"/>
      <c r="C292" s="216"/>
      <c r="D292" s="489" t="str">
        <f>IFERROR(INDEX(BuildingInformationTable[Site type],MATCH(BuildingsElectricityTable[[#This Row],[Site name]],BuildingInformationTable[Site name],0)),"")</f>
        <v/>
      </c>
      <c r="E292" s="490" t="str">
        <f t="shared" si="21"/>
        <v/>
      </c>
      <c r="F292" s="490" t="str">
        <f t="shared" si="22"/>
        <v/>
      </c>
      <c r="G292" s="491"/>
      <c r="H292" s="492" t="str">
        <f>IF(G292="","",INDEX(Lists!$BA$4:$BC$31,MATCH(E292,Lists!$AZ$4:$AZ$31,0),MATCH(G292,Lists!$BA$3:$BC$3,0)))</f>
        <v/>
      </c>
      <c r="I292" s="267"/>
      <c r="J292" s="490" t="str">
        <f t="shared" si="23"/>
        <v/>
      </c>
      <c r="K292" s="493" t="str" cm="1">
        <f t="array" ref="K292">IF(OR($E292="",$D292="",$I292="",$J292=""),"",IF(J292=L292,I292,(INDEX('Emission factors'!$K$3:$V$201,MATCH(E292&amp;F292,'Emission factors'!$J$3:$J$201&amp;'Emission factors'!$K$3:$K$201,0),MATCH(K$6,'Emission factors'!$K$2:$V$2,0)))*I292))</f>
        <v/>
      </c>
      <c r="L292" s="494" t="str">
        <f>IF(OR($E292="",$D292="",$I292="",$J292=""),"",INDEX('Emission factors'!$K$3:$V$201,MATCH('Buildings - Grid Electricity'!$E292,'Emission factors'!$J$3:$J$201,0),MATCH($L$6,'Emission factors'!$K$2:$V$2,0)))</f>
        <v/>
      </c>
      <c r="M292" s="495" t="str" cm="1">
        <f t="array" ref="M292">IF(OR(E292="",I292="",BuildingsElectricityTable[[#This Row],[Units]]=""),"",INDEX('Emission factors'!$K$3:$V$201,MATCH('Buildings - Grid Electricity'!$E292&amp;F292,'Emission factors'!$J$3:$J$201&amp;'Emission factors'!$K$3:$K$201,0),MATCH('Buildings - Grid Electricity'!$M$6,'Emission factors'!$K$2:$V$2,0)))</f>
        <v/>
      </c>
      <c r="N292" s="496" t="str">
        <f>IF(OR(K292="",M292=""),"",SUM(BuildingsElectricityTable[[#This Row],[Direct]:[Indirect WTT]]))</f>
        <v/>
      </c>
      <c r="O292" s="268"/>
      <c r="P292" s="497"/>
      <c r="Q292" s="157" t="str" cm="1">
        <f t="array" ref="Q292">IF(OR($E292="",$I292=""),"",(INDEX('Emission factors'!$K$3:$V$201,MATCH('Buildings - Grid Electricity'!$E292&amp;$F292,'Emission factors'!$J$3:$J$201&amp;'Emission factors'!$K$3:$K$201,0),MATCH('Buildings - Grid Electricity'!Q$6,'Emission factors'!$K$2:$V$2,0)))*$K292)</f>
        <v/>
      </c>
      <c r="R292" s="157" t="str" cm="1">
        <f t="array" ref="R292">IF(OR($E292="",$I292=""),"",(INDEX('Emission factors'!$K$3:$V$201,MATCH('Buildings - Grid Electricity'!$E292&amp;$F292,'Emission factors'!$J$3:$J$201&amp;'Emission factors'!$K$3:$K$201,0),MATCH('Buildings - Grid Electricity'!R$6,'Emission factors'!$K$2:$V$2,0)))*$K292)</f>
        <v/>
      </c>
      <c r="S292" s="157" t="str" cm="1">
        <f t="array" ref="S292">IF(OR($E292="",$I292=""),"",(INDEX('Emission factors'!$K$3:$V$201,MATCH('Buildings - Grid Electricity'!$E292&amp;$F292,'Emission factors'!$J$3:$J$201&amp;'Emission factors'!$K$3:$K$201,0),MATCH('Buildings - Grid Electricity'!S$6,'Emission factors'!$K$2:$V$2,0)))*$K292)</f>
        <v/>
      </c>
      <c r="T292" s="157" t="str" cm="1">
        <f t="array" ref="T292">IF(OR($E292="",$I292=""),"",(INDEX('Emission factors'!$K$3:$V$201,MATCH('Buildings - Grid Electricity'!$E292&amp;$F292,'Emission factors'!$J$3:$J$201&amp;'Emission factors'!$K$3:$K$201,0),MATCH('Buildings - Grid Electricity'!T$6,'Emission factors'!$K$2:$V$2,0)))*$K292)</f>
        <v/>
      </c>
      <c r="U292" s="157" t="str" cm="1">
        <f t="array" ref="U292">IF(OR($E292="",$I292=""),"",(INDEX('Emission factors'!$K$3:$V$201,MATCH('Buildings - Grid Electricity'!$E292&amp;$F292,'Emission factors'!$J$3:$J$201&amp;'Emission factors'!$K$3:$K$201,0),MATCH('Buildings - Grid Electricity'!U$6,'Emission factors'!$K$2:$V$2,0)))*$K292)</f>
        <v/>
      </c>
      <c r="V292" s="269" t="str">
        <f>IF(OR($N292="",BuildingsElectricityTable[[#This Row],[RSD]]=""),"",BuildingsElectricityTable[[#This Row],[Total emissions (kgCO2e)]]*(1+BuildingsElectricityTable[[#This Row],[RSD]]))</f>
        <v/>
      </c>
      <c r="W292" s="270" t="str">
        <f>IF(OR($N292="",BuildingsElectricityTable[[#This Row],[RSD]]=""),"",BuildingsElectricityTable[[#This Row],[Total emissions (kgCO2e)]]*(1-BuildingsElectricityTable[[#This Row],[RSD]]))</f>
        <v/>
      </c>
      <c r="X292" s="271" t="str" cm="1">
        <f t="array" ref="X292">IF(OR($E292="",$I292=""),"",(INDEX('Emission factors'!$K$3:$V$201,MATCH('Buildings - Grid Electricity'!$E292&amp;$F292,'Emission factors'!$J$3:$J$201&amp;'Emission factors'!$K$3:$K$201,0),MATCH('Buildings - Grid Electricity'!X$6,'Emission factors'!$K$2:$V$2,0)))*$K292)</f>
        <v/>
      </c>
      <c r="Y292" s="30"/>
      <c r="Z292" s="1" cm="1">
        <f t="array" ref="Z292">IF(OR(ISERROR(B292:X292)),1,0)</f>
        <v>0</v>
      </c>
      <c r="AA292" s="1">
        <f t="shared" si="24"/>
        <v>0</v>
      </c>
    </row>
    <row r="293" spans="1:27" ht="15" outlineLevel="1" thickBot="1" x14ac:dyDescent="0.4">
      <c r="A293" s="319"/>
      <c r="B293" s="216"/>
      <c r="C293" s="216"/>
      <c r="D293" s="489" t="str">
        <f>IFERROR(INDEX(BuildingInformationTable[Site type],MATCH(BuildingsElectricityTable[[#This Row],[Site name]],BuildingInformationTable[Site name],0)),"")</f>
        <v/>
      </c>
      <c r="E293" s="490" t="str">
        <f t="shared" si="21"/>
        <v/>
      </c>
      <c r="F293" s="490" t="str">
        <f t="shared" si="22"/>
        <v/>
      </c>
      <c r="G293" s="491"/>
      <c r="H293" s="492" t="str">
        <f>IF(G293="","",INDEX(Lists!$BA$4:$BC$31,MATCH(E293,Lists!$AZ$4:$AZ$31,0),MATCH(G293,Lists!$BA$3:$BC$3,0)))</f>
        <v/>
      </c>
      <c r="I293" s="267"/>
      <c r="J293" s="490" t="str">
        <f t="shared" si="23"/>
        <v/>
      </c>
      <c r="K293" s="493" t="str" cm="1">
        <f t="array" ref="K293">IF(OR($E293="",$D293="",$I293="",$J293=""),"",IF(J293=L293,I293,(INDEX('Emission factors'!$K$3:$V$201,MATCH(E293&amp;F293,'Emission factors'!$J$3:$J$201&amp;'Emission factors'!$K$3:$K$201,0),MATCH(K$6,'Emission factors'!$K$2:$V$2,0)))*I293))</f>
        <v/>
      </c>
      <c r="L293" s="494" t="str">
        <f>IF(OR($E293="",$D293="",$I293="",$J293=""),"",INDEX('Emission factors'!$K$3:$V$201,MATCH('Buildings - Grid Electricity'!$E293,'Emission factors'!$J$3:$J$201,0),MATCH($L$6,'Emission factors'!$K$2:$V$2,0)))</f>
        <v/>
      </c>
      <c r="M293" s="495" t="str" cm="1">
        <f t="array" ref="M293">IF(OR(E293="",I293="",BuildingsElectricityTable[[#This Row],[Units]]=""),"",INDEX('Emission factors'!$K$3:$V$201,MATCH('Buildings - Grid Electricity'!$E293&amp;F293,'Emission factors'!$J$3:$J$201&amp;'Emission factors'!$K$3:$K$201,0),MATCH('Buildings - Grid Electricity'!$M$6,'Emission factors'!$K$2:$V$2,0)))</f>
        <v/>
      </c>
      <c r="N293" s="496" t="str">
        <f>IF(OR(K293="",M293=""),"",SUM(BuildingsElectricityTable[[#This Row],[Direct]:[Indirect WTT]]))</f>
        <v/>
      </c>
      <c r="O293" s="268"/>
      <c r="P293" s="497"/>
      <c r="Q293" s="157" t="str" cm="1">
        <f t="array" ref="Q293">IF(OR($E293="",$I293=""),"",(INDEX('Emission factors'!$K$3:$V$201,MATCH('Buildings - Grid Electricity'!$E293&amp;$F293,'Emission factors'!$J$3:$J$201&amp;'Emission factors'!$K$3:$K$201,0),MATCH('Buildings - Grid Electricity'!Q$6,'Emission factors'!$K$2:$V$2,0)))*$K293)</f>
        <v/>
      </c>
      <c r="R293" s="157" t="str" cm="1">
        <f t="array" ref="R293">IF(OR($E293="",$I293=""),"",(INDEX('Emission factors'!$K$3:$V$201,MATCH('Buildings - Grid Electricity'!$E293&amp;$F293,'Emission factors'!$J$3:$J$201&amp;'Emission factors'!$K$3:$K$201,0),MATCH('Buildings - Grid Electricity'!R$6,'Emission factors'!$K$2:$V$2,0)))*$K293)</f>
        <v/>
      </c>
      <c r="S293" s="157" t="str" cm="1">
        <f t="array" ref="S293">IF(OR($E293="",$I293=""),"",(INDEX('Emission factors'!$K$3:$V$201,MATCH('Buildings - Grid Electricity'!$E293&amp;$F293,'Emission factors'!$J$3:$J$201&amp;'Emission factors'!$K$3:$K$201,0),MATCH('Buildings - Grid Electricity'!S$6,'Emission factors'!$K$2:$V$2,0)))*$K293)</f>
        <v/>
      </c>
      <c r="T293" s="157" t="str" cm="1">
        <f t="array" ref="T293">IF(OR($E293="",$I293=""),"",(INDEX('Emission factors'!$K$3:$V$201,MATCH('Buildings - Grid Electricity'!$E293&amp;$F293,'Emission factors'!$J$3:$J$201&amp;'Emission factors'!$K$3:$K$201,0),MATCH('Buildings - Grid Electricity'!T$6,'Emission factors'!$K$2:$V$2,0)))*$K293)</f>
        <v/>
      </c>
      <c r="U293" s="157" t="str" cm="1">
        <f t="array" ref="U293">IF(OR($E293="",$I293=""),"",(INDEX('Emission factors'!$K$3:$V$201,MATCH('Buildings - Grid Electricity'!$E293&amp;$F293,'Emission factors'!$J$3:$J$201&amp;'Emission factors'!$K$3:$K$201,0),MATCH('Buildings - Grid Electricity'!U$6,'Emission factors'!$K$2:$V$2,0)))*$K293)</f>
        <v/>
      </c>
      <c r="V293" s="269" t="str">
        <f>IF(OR($N293="",BuildingsElectricityTable[[#This Row],[RSD]]=""),"",BuildingsElectricityTable[[#This Row],[Total emissions (kgCO2e)]]*(1+BuildingsElectricityTable[[#This Row],[RSD]]))</f>
        <v/>
      </c>
      <c r="W293" s="270" t="str">
        <f>IF(OR($N293="",BuildingsElectricityTable[[#This Row],[RSD]]=""),"",BuildingsElectricityTable[[#This Row],[Total emissions (kgCO2e)]]*(1-BuildingsElectricityTable[[#This Row],[RSD]]))</f>
        <v/>
      </c>
      <c r="X293" s="271" t="str" cm="1">
        <f t="array" ref="X293">IF(OR($E293="",$I293=""),"",(INDEX('Emission factors'!$K$3:$V$201,MATCH('Buildings - Grid Electricity'!$E293&amp;$F293,'Emission factors'!$J$3:$J$201&amp;'Emission factors'!$K$3:$K$201,0),MATCH('Buildings - Grid Electricity'!X$6,'Emission factors'!$K$2:$V$2,0)))*$K293)</f>
        <v/>
      </c>
      <c r="Y293" s="30"/>
      <c r="Z293" s="1" cm="1">
        <f t="array" ref="Z293">IF(OR(ISERROR(B293:X293)),1,0)</f>
        <v>0</v>
      </c>
      <c r="AA293" s="1">
        <f t="shared" si="24"/>
        <v>0</v>
      </c>
    </row>
    <row r="294" spans="1:27" ht="15" outlineLevel="1" thickBot="1" x14ac:dyDescent="0.4">
      <c r="A294" s="319"/>
      <c r="B294" s="216"/>
      <c r="C294" s="216"/>
      <c r="D294" s="489" t="str">
        <f>IFERROR(INDEX(BuildingInformationTable[Site type],MATCH(BuildingsElectricityTable[[#This Row],[Site name]],BuildingInformationTable[Site name],0)),"")</f>
        <v/>
      </c>
      <c r="E294" s="490" t="str">
        <f t="shared" ref="E294:E325" si="25">IF(B294="", "", "Grid electricity")</f>
        <v/>
      </c>
      <c r="F294" s="490" t="str">
        <f t="shared" ref="F294:F325" si="26">IF(E294="Grid electricity", "Consumption based", "")</f>
        <v/>
      </c>
      <c r="G294" s="491"/>
      <c r="H294" s="492" t="str">
        <f>IF(G294="","",INDEX(Lists!$BA$4:$BC$31,MATCH(E294,Lists!$AZ$4:$AZ$31,0),MATCH(G294,Lists!$BA$3:$BC$3,0)))</f>
        <v/>
      </c>
      <c r="I294" s="267"/>
      <c r="J294" s="490" t="str">
        <f t="shared" ref="J294:J325" si="27">IF(I294="", "", "kWh")</f>
        <v/>
      </c>
      <c r="K294" s="493" t="str" cm="1">
        <f t="array" ref="K294">IF(OR($E294="",$D294="",$I294="",$J294=""),"",IF(J294=L294,I294,(INDEX('Emission factors'!$K$3:$V$201,MATCH(E294&amp;F294,'Emission factors'!$J$3:$J$201&amp;'Emission factors'!$K$3:$K$201,0),MATCH(K$6,'Emission factors'!$K$2:$V$2,0)))*I294))</f>
        <v/>
      </c>
      <c r="L294" s="494" t="str">
        <f>IF(OR($E294="",$D294="",$I294="",$J294=""),"",INDEX('Emission factors'!$K$3:$V$201,MATCH('Buildings - Grid Electricity'!$E294,'Emission factors'!$J$3:$J$201,0),MATCH($L$6,'Emission factors'!$K$2:$V$2,0)))</f>
        <v/>
      </c>
      <c r="M294" s="495" t="str" cm="1">
        <f t="array" ref="M294">IF(OR(E294="",I294="",BuildingsElectricityTable[[#This Row],[Units]]=""),"",INDEX('Emission factors'!$K$3:$V$201,MATCH('Buildings - Grid Electricity'!$E294&amp;F294,'Emission factors'!$J$3:$J$201&amp;'Emission factors'!$K$3:$K$201,0),MATCH('Buildings - Grid Electricity'!$M$6,'Emission factors'!$K$2:$V$2,0)))</f>
        <v/>
      </c>
      <c r="N294" s="496" t="str">
        <f>IF(OR(K294="",M294=""),"",SUM(BuildingsElectricityTable[[#This Row],[Direct]:[Indirect WTT]]))</f>
        <v/>
      </c>
      <c r="O294" s="268"/>
      <c r="P294" s="497"/>
      <c r="Q294" s="157" t="str" cm="1">
        <f t="array" ref="Q294">IF(OR($E294="",$I294=""),"",(INDEX('Emission factors'!$K$3:$V$201,MATCH('Buildings - Grid Electricity'!$E294&amp;$F294,'Emission factors'!$J$3:$J$201&amp;'Emission factors'!$K$3:$K$201,0),MATCH('Buildings - Grid Electricity'!Q$6,'Emission factors'!$K$2:$V$2,0)))*$K294)</f>
        <v/>
      </c>
      <c r="R294" s="157" t="str" cm="1">
        <f t="array" ref="R294">IF(OR($E294="",$I294=""),"",(INDEX('Emission factors'!$K$3:$V$201,MATCH('Buildings - Grid Electricity'!$E294&amp;$F294,'Emission factors'!$J$3:$J$201&amp;'Emission factors'!$K$3:$K$201,0),MATCH('Buildings - Grid Electricity'!R$6,'Emission factors'!$K$2:$V$2,0)))*$K294)</f>
        <v/>
      </c>
      <c r="S294" s="157" t="str" cm="1">
        <f t="array" ref="S294">IF(OR($E294="",$I294=""),"",(INDEX('Emission factors'!$K$3:$V$201,MATCH('Buildings - Grid Electricity'!$E294&amp;$F294,'Emission factors'!$J$3:$J$201&amp;'Emission factors'!$K$3:$K$201,0),MATCH('Buildings - Grid Electricity'!S$6,'Emission factors'!$K$2:$V$2,0)))*$K294)</f>
        <v/>
      </c>
      <c r="T294" s="157" t="str" cm="1">
        <f t="array" ref="T294">IF(OR($E294="",$I294=""),"",(INDEX('Emission factors'!$K$3:$V$201,MATCH('Buildings - Grid Electricity'!$E294&amp;$F294,'Emission factors'!$J$3:$J$201&amp;'Emission factors'!$K$3:$K$201,0),MATCH('Buildings - Grid Electricity'!T$6,'Emission factors'!$K$2:$V$2,0)))*$K294)</f>
        <v/>
      </c>
      <c r="U294" s="157" t="str" cm="1">
        <f t="array" ref="U294">IF(OR($E294="",$I294=""),"",(INDEX('Emission factors'!$K$3:$V$201,MATCH('Buildings - Grid Electricity'!$E294&amp;$F294,'Emission factors'!$J$3:$J$201&amp;'Emission factors'!$K$3:$K$201,0),MATCH('Buildings - Grid Electricity'!U$6,'Emission factors'!$K$2:$V$2,0)))*$K294)</f>
        <v/>
      </c>
      <c r="V294" s="269" t="str">
        <f>IF(OR($N294="",BuildingsElectricityTable[[#This Row],[RSD]]=""),"",BuildingsElectricityTable[[#This Row],[Total emissions (kgCO2e)]]*(1+BuildingsElectricityTable[[#This Row],[RSD]]))</f>
        <v/>
      </c>
      <c r="W294" s="270" t="str">
        <f>IF(OR($N294="",BuildingsElectricityTable[[#This Row],[RSD]]=""),"",BuildingsElectricityTable[[#This Row],[Total emissions (kgCO2e)]]*(1-BuildingsElectricityTable[[#This Row],[RSD]]))</f>
        <v/>
      </c>
      <c r="X294" s="271" t="str" cm="1">
        <f t="array" ref="X294">IF(OR($E294="",$I294=""),"",(INDEX('Emission factors'!$K$3:$V$201,MATCH('Buildings - Grid Electricity'!$E294&amp;$F294,'Emission factors'!$J$3:$J$201&amp;'Emission factors'!$K$3:$K$201,0),MATCH('Buildings - Grid Electricity'!X$6,'Emission factors'!$K$2:$V$2,0)))*$K294)</f>
        <v/>
      </c>
      <c r="Y294" s="30"/>
      <c r="Z294" s="1" cm="1">
        <f t="array" ref="Z294">IF(OR(ISERROR(B294:X294)),1,0)</f>
        <v>0</v>
      </c>
      <c r="AA294" s="1">
        <f t="shared" si="24"/>
        <v>0</v>
      </c>
    </row>
    <row r="295" spans="1:27" ht="15" outlineLevel="1" thickBot="1" x14ac:dyDescent="0.4">
      <c r="A295" s="319"/>
      <c r="B295" s="216"/>
      <c r="C295" s="216"/>
      <c r="D295" s="489" t="str">
        <f>IFERROR(INDEX(BuildingInformationTable[Site type],MATCH(BuildingsElectricityTable[[#This Row],[Site name]],BuildingInformationTable[Site name],0)),"")</f>
        <v/>
      </c>
      <c r="E295" s="490" t="str">
        <f t="shared" si="25"/>
        <v/>
      </c>
      <c r="F295" s="490" t="str">
        <f t="shared" si="26"/>
        <v/>
      </c>
      <c r="G295" s="491"/>
      <c r="H295" s="492" t="str">
        <f>IF(G295="","",INDEX(Lists!$BA$4:$BC$31,MATCH(E295,Lists!$AZ$4:$AZ$31,0),MATCH(G295,Lists!$BA$3:$BC$3,0)))</f>
        <v/>
      </c>
      <c r="I295" s="267"/>
      <c r="J295" s="490" t="str">
        <f t="shared" si="27"/>
        <v/>
      </c>
      <c r="K295" s="493" t="str" cm="1">
        <f t="array" ref="K295">IF(OR($E295="",$D295="",$I295="",$J295=""),"",IF(J295=L295,I295,(INDEX('Emission factors'!$K$3:$V$201,MATCH(E295&amp;F295,'Emission factors'!$J$3:$J$201&amp;'Emission factors'!$K$3:$K$201,0),MATCH(K$6,'Emission factors'!$K$2:$V$2,0)))*I295))</f>
        <v/>
      </c>
      <c r="L295" s="494" t="str">
        <f>IF(OR($E295="",$D295="",$I295="",$J295=""),"",INDEX('Emission factors'!$K$3:$V$201,MATCH('Buildings - Grid Electricity'!$E295,'Emission factors'!$J$3:$J$201,0),MATCH($L$6,'Emission factors'!$K$2:$V$2,0)))</f>
        <v/>
      </c>
      <c r="M295" s="495" t="str" cm="1">
        <f t="array" ref="M295">IF(OR(E295="",I295="",BuildingsElectricityTable[[#This Row],[Units]]=""),"",INDEX('Emission factors'!$K$3:$V$201,MATCH('Buildings - Grid Electricity'!$E295&amp;F295,'Emission factors'!$J$3:$J$201&amp;'Emission factors'!$K$3:$K$201,0),MATCH('Buildings - Grid Electricity'!$M$6,'Emission factors'!$K$2:$V$2,0)))</f>
        <v/>
      </c>
      <c r="N295" s="496" t="str">
        <f>IF(OR(K295="",M295=""),"",SUM(BuildingsElectricityTable[[#This Row],[Direct]:[Indirect WTT]]))</f>
        <v/>
      </c>
      <c r="O295" s="268"/>
      <c r="P295" s="497"/>
      <c r="Q295" s="157" t="str" cm="1">
        <f t="array" ref="Q295">IF(OR($E295="",$I295=""),"",(INDEX('Emission factors'!$K$3:$V$201,MATCH('Buildings - Grid Electricity'!$E295&amp;$F295,'Emission factors'!$J$3:$J$201&amp;'Emission factors'!$K$3:$K$201,0),MATCH('Buildings - Grid Electricity'!Q$6,'Emission factors'!$K$2:$V$2,0)))*$K295)</f>
        <v/>
      </c>
      <c r="R295" s="157" t="str" cm="1">
        <f t="array" ref="R295">IF(OR($E295="",$I295=""),"",(INDEX('Emission factors'!$K$3:$V$201,MATCH('Buildings - Grid Electricity'!$E295&amp;$F295,'Emission factors'!$J$3:$J$201&amp;'Emission factors'!$K$3:$K$201,0),MATCH('Buildings - Grid Electricity'!R$6,'Emission factors'!$K$2:$V$2,0)))*$K295)</f>
        <v/>
      </c>
      <c r="S295" s="157" t="str" cm="1">
        <f t="array" ref="S295">IF(OR($E295="",$I295=""),"",(INDEX('Emission factors'!$K$3:$V$201,MATCH('Buildings - Grid Electricity'!$E295&amp;$F295,'Emission factors'!$J$3:$J$201&amp;'Emission factors'!$K$3:$K$201,0),MATCH('Buildings - Grid Electricity'!S$6,'Emission factors'!$K$2:$V$2,0)))*$K295)</f>
        <v/>
      </c>
      <c r="T295" s="157" t="str" cm="1">
        <f t="array" ref="T295">IF(OR($E295="",$I295=""),"",(INDEX('Emission factors'!$K$3:$V$201,MATCH('Buildings - Grid Electricity'!$E295&amp;$F295,'Emission factors'!$J$3:$J$201&amp;'Emission factors'!$K$3:$K$201,0),MATCH('Buildings - Grid Electricity'!T$6,'Emission factors'!$K$2:$V$2,0)))*$K295)</f>
        <v/>
      </c>
      <c r="U295" s="157" t="str" cm="1">
        <f t="array" ref="U295">IF(OR($E295="",$I295=""),"",(INDEX('Emission factors'!$K$3:$V$201,MATCH('Buildings - Grid Electricity'!$E295&amp;$F295,'Emission factors'!$J$3:$J$201&amp;'Emission factors'!$K$3:$K$201,0),MATCH('Buildings - Grid Electricity'!U$6,'Emission factors'!$K$2:$V$2,0)))*$K295)</f>
        <v/>
      </c>
      <c r="V295" s="269" t="str">
        <f>IF(OR($N295="",BuildingsElectricityTable[[#This Row],[RSD]]=""),"",BuildingsElectricityTable[[#This Row],[Total emissions (kgCO2e)]]*(1+BuildingsElectricityTable[[#This Row],[RSD]]))</f>
        <v/>
      </c>
      <c r="W295" s="270" t="str">
        <f>IF(OR($N295="",BuildingsElectricityTable[[#This Row],[RSD]]=""),"",BuildingsElectricityTable[[#This Row],[Total emissions (kgCO2e)]]*(1-BuildingsElectricityTable[[#This Row],[RSD]]))</f>
        <v/>
      </c>
      <c r="X295" s="271" t="str" cm="1">
        <f t="array" ref="X295">IF(OR($E295="",$I295=""),"",(INDEX('Emission factors'!$K$3:$V$201,MATCH('Buildings - Grid Electricity'!$E295&amp;$F295,'Emission factors'!$J$3:$J$201&amp;'Emission factors'!$K$3:$K$201,0),MATCH('Buildings - Grid Electricity'!X$6,'Emission factors'!$K$2:$V$2,0)))*$K295)</f>
        <v/>
      </c>
      <c r="Y295" s="30"/>
      <c r="Z295" s="1" cm="1">
        <f t="array" ref="Z295">IF(OR(ISERROR(B295:X295)),1,0)</f>
        <v>0</v>
      </c>
      <c r="AA295" s="1">
        <f t="shared" si="24"/>
        <v>0</v>
      </c>
    </row>
    <row r="296" spans="1:27" ht="15" outlineLevel="1" thickBot="1" x14ac:dyDescent="0.4">
      <c r="A296" s="319"/>
      <c r="B296" s="216"/>
      <c r="C296" s="216"/>
      <c r="D296" s="489" t="str">
        <f>IFERROR(INDEX(BuildingInformationTable[Site type],MATCH(BuildingsElectricityTable[[#This Row],[Site name]],BuildingInformationTable[Site name],0)),"")</f>
        <v/>
      </c>
      <c r="E296" s="490" t="str">
        <f t="shared" si="25"/>
        <v/>
      </c>
      <c r="F296" s="490" t="str">
        <f t="shared" si="26"/>
        <v/>
      </c>
      <c r="G296" s="491"/>
      <c r="H296" s="492" t="str">
        <f>IF(G296="","",INDEX(Lists!$BA$4:$BC$31,MATCH(E296,Lists!$AZ$4:$AZ$31,0),MATCH(G296,Lists!$BA$3:$BC$3,0)))</f>
        <v/>
      </c>
      <c r="I296" s="267"/>
      <c r="J296" s="490" t="str">
        <f t="shared" si="27"/>
        <v/>
      </c>
      <c r="K296" s="493" t="str" cm="1">
        <f t="array" ref="K296">IF(OR($E296="",$D296="",$I296="",$J296=""),"",IF(J296=L296,I296,(INDEX('Emission factors'!$K$3:$V$201,MATCH(E296&amp;F296,'Emission factors'!$J$3:$J$201&amp;'Emission factors'!$K$3:$K$201,0),MATCH(K$6,'Emission factors'!$K$2:$V$2,0)))*I296))</f>
        <v/>
      </c>
      <c r="L296" s="494" t="str">
        <f>IF(OR($E296="",$D296="",$I296="",$J296=""),"",INDEX('Emission factors'!$K$3:$V$201,MATCH('Buildings - Grid Electricity'!$E296,'Emission factors'!$J$3:$J$201,0),MATCH($L$6,'Emission factors'!$K$2:$V$2,0)))</f>
        <v/>
      </c>
      <c r="M296" s="495" t="str" cm="1">
        <f t="array" ref="M296">IF(OR(E296="",I296="",BuildingsElectricityTable[[#This Row],[Units]]=""),"",INDEX('Emission factors'!$K$3:$V$201,MATCH('Buildings - Grid Electricity'!$E296&amp;F296,'Emission factors'!$J$3:$J$201&amp;'Emission factors'!$K$3:$K$201,0),MATCH('Buildings - Grid Electricity'!$M$6,'Emission factors'!$K$2:$V$2,0)))</f>
        <v/>
      </c>
      <c r="N296" s="496" t="str">
        <f>IF(OR(K296="",M296=""),"",SUM(BuildingsElectricityTable[[#This Row],[Direct]:[Indirect WTT]]))</f>
        <v/>
      </c>
      <c r="O296" s="268"/>
      <c r="P296" s="497"/>
      <c r="Q296" s="157" t="str" cm="1">
        <f t="array" ref="Q296">IF(OR($E296="",$I296=""),"",(INDEX('Emission factors'!$K$3:$V$201,MATCH('Buildings - Grid Electricity'!$E296&amp;$F296,'Emission factors'!$J$3:$J$201&amp;'Emission factors'!$K$3:$K$201,0),MATCH('Buildings - Grid Electricity'!Q$6,'Emission factors'!$K$2:$V$2,0)))*$K296)</f>
        <v/>
      </c>
      <c r="R296" s="157" t="str" cm="1">
        <f t="array" ref="R296">IF(OR($E296="",$I296=""),"",(INDEX('Emission factors'!$K$3:$V$201,MATCH('Buildings - Grid Electricity'!$E296&amp;$F296,'Emission factors'!$J$3:$J$201&amp;'Emission factors'!$K$3:$K$201,0),MATCH('Buildings - Grid Electricity'!R$6,'Emission factors'!$K$2:$V$2,0)))*$K296)</f>
        <v/>
      </c>
      <c r="S296" s="157" t="str" cm="1">
        <f t="array" ref="S296">IF(OR($E296="",$I296=""),"",(INDEX('Emission factors'!$K$3:$V$201,MATCH('Buildings - Grid Electricity'!$E296&amp;$F296,'Emission factors'!$J$3:$J$201&amp;'Emission factors'!$K$3:$K$201,0),MATCH('Buildings - Grid Electricity'!S$6,'Emission factors'!$K$2:$V$2,0)))*$K296)</f>
        <v/>
      </c>
      <c r="T296" s="157" t="str" cm="1">
        <f t="array" ref="T296">IF(OR($E296="",$I296=""),"",(INDEX('Emission factors'!$K$3:$V$201,MATCH('Buildings - Grid Electricity'!$E296&amp;$F296,'Emission factors'!$J$3:$J$201&amp;'Emission factors'!$K$3:$K$201,0),MATCH('Buildings - Grid Electricity'!T$6,'Emission factors'!$K$2:$V$2,0)))*$K296)</f>
        <v/>
      </c>
      <c r="U296" s="157" t="str" cm="1">
        <f t="array" ref="U296">IF(OR($E296="",$I296=""),"",(INDEX('Emission factors'!$K$3:$V$201,MATCH('Buildings - Grid Electricity'!$E296&amp;$F296,'Emission factors'!$J$3:$J$201&amp;'Emission factors'!$K$3:$K$201,0),MATCH('Buildings - Grid Electricity'!U$6,'Emission factors'!$K$2:$V$2,0)))*$K296)</f>
        <v/>
      </c>
      <c r="V296" s="269" t="str">
        <f>IF(OR($N296="",BuildingsElectricityTable[[#This Row],[RSD]]=""),"",BuildingsElectricityTable[[#This Row],[Total emissions (kgCO2e)]]*(1+BuildingsElectricityTable[[#This Row],[RSD]]))</f>
        <v/>
      </c>
      <c r="W296" s="270" t="str">
        <f>IF(OR($N296="",BuildingsElectricityTable[[#This Row],[RSD]]=""),"",BuildingsElectricityTable[[#This Row],[Total emissions (kgCO2e)]]*(1-BuildingsElectricityTable[[#This Row],[RSD]]))</f>
        <v/>
      </c>
      <c r="X296" s="271" t="str" cm="1">
        <f t="array" ref="X296">IF(OR($E296="",$I296=""),"",(INDEX('Emission factors'!$K$3:$V$201,MATCH('Buildings - Grid Electricity'!$E296&amp;$F296,'Emission factors'!$J$3:$J$201&amp;'Emission factors'!$K$3:$K$201,0),MATCH('Buildings - Grid Electricity'!X$6,'Emission factors'!$K$2:$V$2,0)))*$K296)</f>
        <v/>
      </c>
      <c r="Y296" s="30"/>
      <c r="Z296" s="1" cm="1">
        <f t="array" ref="Z296">IF(OR(ISERROR(B296:X296)),1,0)</f>
        <v>0</v>
      </c>
      <c r="AA296" s="1">
        <f t="shared" si="24"/>
        <v>0</v>
      </c>
    </row>
    <row r="297" spans="1:27" ht="15" outlineLevel="1" thickBot="1" x14ac:dyDescent="0.4">
      <c r="A297" s="319"/>
      <c r="B297" s="216"/>
      <c r="C297" s="216"/>
      <c r="D297" s="489" t="str">
        <f>IFERROR(INDEX(BuildingInformationTable[Site type],MATCH(BuildingsElectricityTable[[#This Row],[Site name]],BuildingInformationTable[Site name],0)),"")</f>
        <v/>
      </c>
      <c r="E297" s="490" t="str">
        <f t="shared" si="25"/>
        <v/>
      </c>
      <c r="F297" s="490" t="str">
        <f t="shared" si="26"/>
        <v/>
      </c>
      <c r="G297" s="491"/>
      <c r="H297" s="492" t="str">
        <f>IF(G297="","",INDEX(Lists!$BA$4:$BC$31,MATCH(E297,Lists!$AZ$4:$AZ$31,0),MATCH(G297,Lists!$BA$3:$BC$3,0)))</f>
        <v/>
      </c>
      <c r="I297" s="267"/>
      <c r="J297" s="490" t="str">
        <f t="shared" si="27"/>
        <v/>
      </c>
      <c r="K297" s="493" t="str" cm="1">
        <f t="array" ref="K297">IF(OR($E297="",$D297="",$I297="",$J297=""),"",IF(J297=L297,I297,(INDEX('Emission factors'!$K$3:$V$201,MATCH(E297&amp;F297,'Emission factors'!$J$3:$J$201&amp;'Emission factors'!$K$3:$K$201,0),MATCH(K$6,'Emission factors'!$K$2:$V$2,0)))*I297))</f>
        <v/>
      </c>
      <c r="L297" s="494" t="str">
        <f>IF(OR($E297="",$D297="",$I297="",$J297=""),"",INDEX('Emission factors'!$K$3:$V$201,MATCH('Buildings - Grid Electricity'!$E297,'Emission factors'!$J$3:$J$201,0),MATCH($L$6,'Emission factors'!$K$2:$V$2,0)))</f>
        <v/>
      </c>
      <c r="M297" s="495" t="str" cm="1">
        <f t="array" ref="M297">IF(OR(E297="",I297="",BuildingsElectricityTable[[#This Row],[Units]]=""),"",INDEX('Emission factors'!$K$3:$V$201,MATCH('Buildings - Grid Electricity'!$E297&amp;F297,'Emission factors'!$J$3:$J$201&amp;'Emission factors'!$K$3:$K$201,0),MATCH('Buildings - Grid Electricity'!$M$6,'Emission factors'!$K$2:$V$2,0)))</f>
        <v/>
      </c>
      <c r="N297" s="496" t="str">
        <f>IF(OR(K297="",M297=""),"",SUM(BuildingsElectricityTable[[#This Row],[Direct]:[Indirect WTT]]))</f>
        <v/>
      </c>
      <c r="O297" s="268"/>
      <c r="P297" s="497"/>
      <c r="Q297" s="157" t="str" cm="1">
        <f t="array" ref="Q297">IF(OR($E297="",$I297=""),"",(INDEX('Emission factors'!$K$3:$V$201,MATCH('Buildings - Grid Electricity'!$E297&amp;$F297,'Emission factors'!$J$3:$J$201&amp;'Emission factors'!$K$3:$K$201,0),MATCH('Buildings - Grid Electricity'!Q$6,'Emission factors'!$K$2:$V$2,0)))*$K297)</f>
        <v/>
      </c>
      <c r="R297" s="157" t="str" cm="1">
        <f t="array" ref="R297">IF(OR($E297="",$I297=""),"",(INDEX('Emission factors'!$K$3:$V$201,MATCH('Buildings - Grid Electricity'!$E297&amp;$F297,'Emission factors'!$J$3:$J$201&amp;'Emission factors'!$K$3:$K$201,0),MATCH('Buildings - Grid Electricity'!R$6,'Emission factors'!$K$2:$V$2,0)))*$K297)</f>
        <v/>
      </c>
      <c r="S297" s="157" t="str" cm="1">
        <f t="array" ref="S297">IF(OR($E297="",$I297=""),"",(INDEX('Emission factors'!$K$3:$V$201,MATCH('Buildings - Grid Electricity'!$E297&amp;$F297,'Emission factors'!$J$3:$J$201&amp;'Emission factors'!$K$3:$K$201,0),MATCH('Buildings - Grid Electricity'!S$6,'Emission factors'!$K$2:$V$2,0)))*$K297)</f>
        <v/>
      </c>
      <c r="T297" s="157" t="str" cm="1">
        <f t="array" ref="T297">IF(OR($E297="",$I297=""),"",(INDEX('Emission factors'!$K$3:$V$201,MATCH('Buildings - Grid Electricity'!$E297&amp;$F297,'Emission factors'!$J$3:$J$201&amp;'Emission factors'!$K$3:$K$201,0),MATCH('Buildings - Grid Electricity'!T$6,'Emission factors'!$K$2:$V$2,0)))*$K297)</f>
        <v/>
      </c>
      <c r="U297" s="157" t="str" cm="1">
        <f t="array" ref="U297">IF(OR($E297="",$I297=""),"",(INDEX('Emission factors'!$K$3:$V$201,MATCH('Buildings - Grid Electricity'!$E297&amp;$F297,'Emission factors'!$J$3:$J$201&amp;'Emission factors'!$K$3:$K$201,0),MATCH('Buildings - Grid Electricity'!U$6,'Emission factors'!$K$2:$V$2,0)))*$K297)</f>
        <v/>
      </c>
      <c r="V297" s="269" t="str">
        <f>IF(OR($N297="",BuildingsElectricityTable[[#This Row],[RSD]]=""),"",BuildingsElectricityTable[[#This Row],[Total emissions (kgCO2e)]]*(1+BuildingsElectricityTable[[#This Row],[RSD]]))</f>
        <v/>
      </c>
      <c r="W297" s="270" t="str">
        <f>IF(OR($N297="",BuildingsElectricityTable[[#This Row],[RSD]]=""),"",BuildingsElectricityTable[[#This Row],[Total emissions (kgCO2e)]]*(1-BuildingsElectricityTable[[#This Row],[RSD]]))</f>
        <v/>
      </c>
      <c r="X297" s="271" t="str" cm="1">
        <f t="array" ref="X297">IF(OR($E297="",$I297=""),"",(INDEX('Emission factors'!$K$3:$V$201,MATCH('Buildings - Grid Electricity'!$E297&amp;$F297,'Emission factors'!$J$3:$J$201&amp;'Emission factors'!$K$3:$K$201,0),MATCH('Buildings - Grid Electricity'!X$6,'Emission factors'!$K$2:$V$2,0)))*$K297)</f>
        <v/>
      </c>
      <c r="Y297" s="30"/>
      <c r="Z297" s="1" cm="1">
        <f t="array" ref="Z297">IF(OR(ISERROR(B297:X297)),1,0)</f>
        <v>0</v>
      </c>
      <c r="AA297" s="1">
        <f t="shared" si="24"/>
        <v>0</v>
      </c>
    </row>
    <row r="298" spans="1:27" ht="15" outlineLevel="1" thickBot="1" x14ac:dyDescent="0.4">
      <c r="A298" s="319"/>
      <c r="B298" s="216"/>
      <c r="C298" s="216"/>
      <c r="D298" s="489" t="str">
        <f>IFERROR(INDEX(BuildingInformationTable[Site type],MATCH(BuildingsElectricityTable[[#This Row],[Site name]],BuildingInformationTable[Site name],0)),"")</f>
        <v/>
      </c>
      <c r="E298" s="490" t="str">
        <f t="shared" si="25"/>
        <v/>
      </c>
      <c r="F298" s="490" t="str">
        <f t="shared" si="26"/>
        <v/>
      </c>
      <c r="G298" s="491"/>
      <c r="H298" s="492" t="str">
        <f>IF(G298="","",INDEX(Lists!$BA$4:$BC$31,MATCH(E298,Lists!$AZ$4:$AZ$31,0),MATCH(G298,Lists!$BA$3:$BC$3,0)))</f>
        <v/>
      </c>
      <c r="I298" s="267"/>
      <c r="J298" s="490" t="str">
        <f t="shared" si="27"/>
        <v/>
      </c>
      <c r="K298" s="493" t="str" cm="1">
        <f t="array" ref="K298">IF(OR($E298="",$D298="",$I298="",$J298=""),"",IF(J298=L298,I298,(INDEX('Emission factors'!$K$3:$V$201,MATCH(E298&amp;F298,'Emission factors'!$J$3:$J$201&amp;'Emission factors'!$K$3:$K$201,0),MATCH(K$6,'Emission factors'!$K$2:$V$2,0)))*I298))</f>
        <v/>
      </c>
      <c r="L298" s="494" t="str">
        <f>IF(OR($E298="",$D298="",$I298="",$J298=""),"",INDEX('Emission factors'!$K$3:$V$201,MATCH('Buildings - Grid Electricity'!$E298,'Emission factors'!$J$3:$J$201,0),MATCH($L$6,'Emission factors'!$K$2:$V$2,0)))</f>
        <v/>
      </c>
      <c r="M298" s="495" t="str" cm="1">
        <f t="array" ref="M298">IF(OR(E298="",I298="",BuildingsElectricityTable[[#This Row],[Units]]=""),"",INDEX('Emission factors'!$K$3:$V$201,MATCH('Buildings - Grid Electricity'!$E298&amp;F298,'Emission factors'!$J$3:$J$201&amp;'Emission factors'!$K$3:$K$201,0),MATCH('Buildings - Grid Electricity'!$M$6,'Emission factors'!$K$2:$V$2,0)))</f>
        <v/>
      </c>
      <c r="N298" s="496" t="str">
        <f>IF(OR(K298="",M298=""),"",SUM(BuildingsElectricityTable[[#This Row],[Direct]:[Indirect WTT]]))</f>
        <v/>
      </c>
      <c r="O298" s="268"/>
      <c r="P298" s="497"/>
      <c r="Q298" s="157" t="str" cm="1">
        <f t="array" ref="Q298">IF(OR($E298="",$I298=""),"",(INDEX('Emission factors'!$K$3:$V$201,MATCH('Buildings - Grid Electricity'!$E298&amp;$F298,'Emission factors'!$J$3:$J$201&amp;'Emission factors'!$K$3:$K$201,0),MATCH('Buildings - Grid Electricity'!Q$6,'Emission factors'!$K$2:$V$2,0)))*$K298)</f>
        <v/>
      </c>
      <c r="R298" s="157" t="str" cm="1">
        <f t="array" ref="R298">IF(OR($E298="",$I298=""),"",(INDEX('Emission factors'!$K$3:$V$201,MATCH('Buildings - Grid Electricity'!$E298&amp;$F298,'Emission factors'!$J$3:$J$201&amp;'Emission factors'!$K$3:$K$201,0),MATCH('Buildings - Grid Electricity'!R$6,'Emission factors'!$K$2:$V$2,0)))*$K298)</f>
        <v/>
      </c>
      <c r="S298" s="157" t="str" cm="1">
        <f t="array" ref="S298">IF(OR($E298="",$I298=""),"",(INDEX('Emission factors'!$K$3:$V$201,MATCH('Buildings - Grid Electricity'!$E298&amp;$F298,'Emission factors'!$J$3:$J$201&amp;'Emission factors'!$K$3:$K$201,0),MATCH('Buildings - Grid Electricity'!S$6,'Emission factors'!$K$2:$V$2,0)))*$K298)</f>
        <v/>
      </c>
      <c r="T298" s="157" t="str" cm="1">
        <f t="array" ref="T298">IF(OR($E298="",$I298=""),"",(INDEX('Emission factors'!$K$3:$V$201,MATCH('Buildings - Grid Electricity'!$E298&amp;$F298,'Emission factors'!$J$3:$J$201&amp;'Emission factors'!$K$3:$K$201,0),MATCH('Buildings - Grid Electricity'!T$6,'Emission factors'!$K$2:$V$2,0)))*$K298)</f>
        <v/>
      </c>
      <c r="U298" s="157" t="str" cm="1">
        <f t="array" ref="U298">IF(OR($E298="",$I298=""),"",(INDEX('Emission factors'!$K$3:$V$201,MATCH('Buildings - Grid Electricity'!$E298&amp;$F298,'Emission factors'!$J$3:$J$201&amp;'Emission factors'!$K$3:$K$201,0),MATCH('Buildings - Grid Electricity'!U$6,'Emission factors'!$K$2:$V$2,0)))*$K298)</f>
        <v/>
      </c>
      <c r="V298" s="269" t="str">
        <f>IF(OR($N298="",BuildingsElectricityTable[[#This Row],[RSD]]=""),"",BuildingsElectricityTable[[#This Row],[Total emissions (kgCO2e)]]*(1+BuildingsElectricityTable[[#This Row],[RSD]]))</f>
        <v/>
      </c>
      <c r="W298" s="270" t="str">
        <f>IF(OR($N298="",BuildingsElectricityTable[[#This Row],[RSD]]=""),"",BuildingsElectricityTable[[#This Row],[Total emissions (kgCO2e)]]*(1-BuildingsElectricityTable[[#This Row],[RSD]]))</f>
        <v/>
      </c>
      <c r="X298" s="271" t="str" cm="1">
        <f t="array" ref="X298">IF(OR($E298="",$I298=""),"",(INDEX('Emission factors'!$K$3:$V$201,MATCH('Buildings - Grid Electricity'!$E298&amp;$F298,'Emission factors'!$J$3:$J$201&amp;'Emission factors'!$K$3:$K$201,0),MATCH('Buildings - Grid Electricity'!X$6,'Emission factors'!$K$2:$V$2,0)))*$K298)</f>
        <v/>
      </c>
      <c r="Y298" s="30"/>
      <c r="Z298" s="1" cm="1">
        <f t="array" ref="Z298">IF(OR(ISERROR(B298:X298)),1,0)</f>
        <v>0</v>
      </c>
      <c r="AA298" s="1">
        <f t="shared" si="24"/>
        <v>0</v>
      </c>
    </row>
    <row r="299" spans="1:27" ht="15" outlineLevel="1" thickBot="1" x14ac:dyDescent="0.4">
      <c r="A299" s="319"/>
      <c r="B299" s="216"/>
      <c r="C299" s="216"/>
      <c r="D299" s="489" t="str">
        <f>IFERROR(INDEX(BuildingInformationTable[Site type],MATCH(BuildingsElectricityTable[[#This Row],[Site name]],BuildingInformationTable[Site name],0)),"")</f>
        <v/>
      </c>
      <c r="E299" s="490" t="str">
        <f t="shared" si="25"/>
        <v/>
      </c>
      <c r="F299" s="490" t="str">
        <f t="shared" si="26"/>
        <v/>
      </c>
      <c r="G299" s="491"/>
      <c r="H299" s="492" t="str">
        <f>IF(G299="","",INDEX(Lists!$BA$4:$BC$31,MATCH(E299,Lists!$AZ$4:$AZ$31,0),MATCH(G299,Lists!$BA$3:$BC$3,0)))</f>
        <v/>
      </c>
      <c r="I299" s="267"/>
      <c r="J299" s="490" t="str">
        <f t="shared" si="27"/>
        <v/>
      </c>
      <c r="K299" s="493" t="str" cm="1">
        <f t="array" ref="K299">IF(OR($E299="",$D299="",$I299="",$J299=""),"",IF(J299=L299,I299,(INDEX('Emission factors'!$K$3:$V$201,MATCH(E299&amp;F299,'Emission factors'!$J$3:$J$201&amp;'Emission factors'!$K$3:$K$201,0),MATCH(K$6,'Emission factors'!$K$2:$V$2,0)))*I299))</f>
        <v/>
      </c>
      <c r="L299" s="494" t="str">
        <f>IF(OR($E299="",$D299="",$I299="",$J299=""),"",INDEX('Emission factors'!$K$3:$V$201,MATCH('Buildings - Grid Electricity'!$E299,'Emission factors'!$J$3:$J$201,0),MATCH($L$6,'Emission factors'!$K$2:$V$2,0)))</f>
        <v/>
      </c>
      <c r="M299" s="495" t="str" cm="1">
        <f t="array" ref="M299">IF(OR(E299="",I299="",BuildingsElectricityTable[[#This Row],[Units]]=""),"",INDEX('Emission factors'!$K$3:$V$201,MATCH('Buildings - Grid Electricity'!$E299&amp;F299,'Emission factors'!$J$3:$J$201&amp;'Emission factors'!$K$3:$K$201,0),MATCH('Buildings - Grid Electricity'!$M$6,'Emission factors'!$K$2:$V$2,0)))</f>
        <v/>
      </c>
      <c r="N299" s="496" t="str">
        <f>IF(OR(K299="",M299=""),"",SUM(BuildingsElectricityTable[[#This Row],[Direct]:[Indirect WTT]]))</f>
        <v/>
      </c>
      <c r="O299" s="268"/>
      <c r="P299" s="497"/>
      <c r="Q299" s="157" t="str" cm="1">
        <f t="array" ref="Q299">IF(OR($E299="",$I299=""),"",(INDEX('Emission factors'!$K$3:$V$201,MATCH('Buildings - Grid Electricity'!$E299&amp;$F299,'Emission factors'!$J$3:$J$201&amp;'Emission factors'!$K$3:$K$201,0),MATCH('Buildings - Grid Electricity'!Q$6,'Emission factors'!$K$2:$V$2,0)))*$K299)</f>
        <v/>
      </c>
      <c r="R299" s="157" t="str" cm="1">
        <f t="array" ref="R299">IF(OR($E299="",$I299=""),"",(INDEX('Emission factors'!$K$3:$V$201,MATCH('Buildings - Grid Electricity'!$E299&amp;$F299,'Emission factors'!$J$3:$J$201&amp;'Emission factors'!$K$3:$K$201,0),MATCH('Buildings - Grid Electricity'!R$6,'Emission factors'!$K$2:$V$2,0)))*$K299)</f>
        <v/>
      </c>
      <c r="S299" s="157" t="str" cm="1">
        <f t="array" ref="S299">IF(OR($E299="",$I299=""),"",(INDEX('Emission factors'!$K$3:$V$201,MATCH('Buildings - Grid Electricity'!$E299&amp;$F299,'Emission factors'!$J$3:$J$201&amp;'Emission factors'!$K$3:$K$201,0),MATCH('Buildings - Grid Electricity'!S$6,'Emission factors'!$K$2:$V$2,0)))*$K299)</f>
        <v/>
      </c>
      <c r="T299" s="157" t="str" cm="1">
        <f t="array" ref="T299">IF(OR($E299="",$I299=""),"",(INDEX('Emission factors'!$K$3:$V$201,MATCH('Buildings - Grid Electricity'!$E299&amp;$F299,'Emission factors'!$J$3:$J$201&amp;'Emission factors'!$K$3:$K$201,0),MATCH('Buildings - Grid Electricity'!T$6,'Emission factors'!$K$2:$V$2,0)))*$K299)</f>
        <v/>
      </c>
      <c r="U299" s="157" t="str" cm="1">
        <f t="array" ref="U299">IF(OR($E299="",$I299=""),"",(INDEX('Emission factors'!$K$3:$V$201,MATCH('Buildings - Grid Electricity'!$E299&amp;$F299,'Emission factors'!$J$3:$J$201&amp;'Emission factors'!$K$3:$K$201,0),MATCH('Buildings - Grid Electricity'!U$6,'Emission factors'!$K$2:$V$2,0)))*$K299)</f>
        <v/>
      </c>
      <c r="V299" s="269" t="str">
        <f>IF(OR($N299="",BuildingsElectricityTable[[#This Row],[RSD]]=""),"",BuildingsElectricityTable[[#This Row],[Total emissions (kgCO2e)]]*(1+BuildingsElectricityTable[[#This Row],[RSD]]))</f>
        <v/>
      </c>
      <c r="W299" s="270" t="str">
        <f>IF(OR($N299="",BuildingsElectricityTable[[#This Row],[RSD]]=""),"",BuildingsElectricityTable[[#This Row],[Total emissions (kgCO2e)]]*(1-BuildingsElectricityTable[[#This Row],[RSD]]))</f>
        <v/>
      </c>
      <c r="X299" s="271" t="str" cm="1">
        <f t="array" ref="X299">IF(OR($E299="",$I299=""),"",(INDEX('Emission factors'!$K$3:$V$201,MATCH('Buildings - Grid Electricity'!$E299&amp;$F299,'Emission factors'!$J$3:$J$201&amp;'Emission factors'!$K$3:$K$201,0),MATCH('Buildings - Grid Electricity'!X$6,'Emission factors'!$K$2:$V$2,0)))*$K299)</f>
        <v/>
      </c>
      <c r="Y299" s="30"/>
      <c r="Z299" s="1" cm="1">
        <f t="array" ref="Z299">IF(OR(ISERROR(B299:X299)),1,0)</f>
        <v>0</v>
      </c>
      <c r="AA299" s="1">
        <f t="shared" si="24"/>
        <v>0</v>
      </c>
    </row>
    <row r="300" spans="1:27" ht="15" outlineLevel="1" thickBot="1" x14ac:dyDescent="0.4">
      <c r="A300" s="319"/>
      <c r="B300" s="216"/>
      <c r="C300" s="216"/>
      <c r="D300" s="489" t="str">
        <f>IFERROR(INDEX(BuildingInformationTable[Site type],MATCH(BuildingsElectricityTable[[#This Row],[Site name]],BuildingInformationTable[Site name],0)),"")</f>
        <v/>
      </c>
      <c r="E300" s="490" t="str">
        <f t="shared" si="25"/>
        <v/>
      </c>
      <c r="F300" s="490" t="str">
        <f t="shared" si="26"/>
        <v/>
      </c>
      <c r="G300" s="491"/>
      <c r="H300" s="492" t="str">
        <f>IF(G300="","",INDEX(Lists!$BA$4:$BC$31,MATCH(E300,Lists!$AZ$4:$AZ$31,0),MATCH(G300,Lists!$BA$3:$BC$3,0)))</f>
        <v/>
      </c>
      <c r="I300" s="267"/>
      <c r="J300" s="490" t="str">
        <f t="shared" si="27"/>
        <v/>
      </c>
      <c r="K300" s="493" t="str" cm="1">
        <f t="array" ref="K300">IF(OR($E300="",$D300="",$I300="",$J300=""),"",IF(J300=L300,I300,(INDEX('Emission factors'!$K$3:$V$201,MATCH(E300&amp;F300,'Emission factors'!$J$3:$J$201&amp;'Emission factors'!$K$3:$K$201,0),MATCH(K$6,'Emission factors'!$K$2:$V$2,0)))*I300))</f>
        <v/>
      </c>
      <c r="L300" s="494" t="str">
        <f>IF(OR($E300="",$D300="",$I300="",$J300=""),"",INDEX('Emission factors'!$K$3:$V$201,MATCH('Buildings - Grid Electricity'!$E300,'Emission factors'!$J$3:$J$201,0),MATCH($L$6,'Emission factors'!$K$2:$V$2,0)))</f>
        <v/>
      </c>
      <c r="M300" s="495" t="str" cm="1">
        <f t="array" ref="M300">IF(OR(E300="",I300="",BuildingsElectricityTable[[#This Row],[Units]]=""),"",INDEX('Emission factors'!$K$3:$V$201,MATCH('Buildings - Grid Electricity'!$E300&amp;F300,'Emission factors'!$J$3:$J$201&amp;'Emission factors'!$K$3:$K$201,0),MATCH('Buildings - Grid Electricity'!$M$6,'Emission factors'!$K$2:$V$2,0)))</f>
        <v/>
      </c>
      <c r="N300" s="496" t="str">
        <f>IF(OR(K300="",M300=""),"",SUM(BuildingsElectricityTable[[#This Row],[Direct]:[Indirect WTT]]))</f>
        <v/>
      </c>
      <c r="O300" s="268"/>
      <c r="P300" s="497"/>
      <c r="Q300" s="157" t="str" cm="1">
        <f t="array" ref="Q300">IF(OR($E300="",$I300=""),"",(INDEX('Emission factors'!$K$3:$V$201,MATCH('Buildings - Grid Electricity'!$E300&amp;$F300,'Emission factors'!$J$3:$J$201&amp;'Emission factors'!$K$3:$K$201,0),MATCH('Buildings - Grid Electricity'!Q$6,'Emission factors'!$K$2:$V$2,0)))*$K300)</f>
        <v/>
      </c>
      <c r="R300" s="157" t="str" cm="1">
        <f t="array" ref="R300">IF(OR($E300="",$I300=""),"",(INDEX('Emission factors'!$K$3:$V$201,MATCH('Buildings - Grid Electricity'!$E300&amp;$F300,'Emission factors'!$J$3:$J$201&amp;'Emission factors'!$K$3:$K$201,0),MATCH('Buildings - Grid Electricity'!R$6,'Emission factors'!$K$2:$V$2,0)))*$K300)</f>
        <v/>
      </c>
      <c r="S300" s="157" t="str" cm="1">
        <f t="array" ref="S300">IF(OR($E300="",$I300=""),"",(INDEX('Emission factors'!$K$3:$V$201,MATCH('Buildings - Grid Electricity'!$E300&amp;$F300,'Emission factors'!$J$3:$J$201&amp;'Emission factors'!$K$3:$K$201,0),MATCH('Buildings - Grid Electricity'!S$6,'Emission factors'!$K$2:$V$2,0)))*$K300)</f>
        <v/>
      </c>
      <c r="T300" s="157" t="str" cm="1">
        <f t="array" ref="T300">IF(OR($E300="",$I300=""),"",(INDEX('Emission factors'!$K$3:$V$201,MATCH('Buildings - Grid Electricity'!$E300&amp;$F300,'Emission factors'!$J$3:$J$201&amp;'Emission factors'!$K$3:$K$201,0),MATCH('Buildings - Grid Electricity'!T$6,'Emission factors'!$K$2:$V$2,0)))*$K300)</f>
        <v/>
      </c>
      <c r="U300" s="157" t="str" cm="1">
        <f t="array" ref="U300">IF(OR($E300="",$I300=""),"",(INDEX('Emission factors'!$K$3:$V$201,MATCH('Buildings - Grid Electricity'!$E300&amp;$F300,'Emission factors'!$J$3:$J$201&amp;'Emission factors'!$K$3:$K$201,0),MATCH('Buildings - Grid Electricity'!U$6,'Emission factors'!$K$2:$V$2,0)))*$K300)</f>
        <v/>
      </c>
      <c r="V300" s="269" t="str">
        <f>IF(OR($N300="",BuildingsElectricityTable[[#This Row],[RSD]]=""),"",BuildingsElectricityTable[[#This Row],[Total emissions (kgCO2e)]]*(1+BuildingsElectricityTable[[#This Row],[RSD]]))</f>
        <v/>
      </c>
      <c r="W300" s="270" t="str">
        <f>IF(OR($N300="",BuildingsElectricityTable[[#This Row],[RSD]]=""),"",BuildingsElectricityTable[[#This Row],[Total emissions (kgCO2e)]]*(1-BuildingsElectricityTable[[#This Row],[RSD]]))</f>
        <v/>
      </c>
      <c r="X300" s="271" t="str" cm="1">
        <f t="array" ref="X300">IF(OR($E300="",$I300=""),"",(INDEX('Emission factors'!$K$3:$V$201,MATCH('Buildings - Grid Electricity'!$E300&amp;$F300,'Emission factors'!$J$3:$J$201&amp;'Emission factors'!$K$3:$K$201,0),MATCH('Buildings - Grid Electricity'!X$6,'Emission factors'!$K$2:$V$2,0)))*$K300)</f>
        <v/>
      </c>
      <c r="Y300" s="30"/>
      <c r="Z300" s="1" cm="1">
        <f t="array" ref="Z300">IF(OR(ISERROR(B300:X300)),1,0)</f>
        <v>0</v>
      </c>
      <c r="AA300" s="1">
        <f t="shared" si="24"/>
        <v>0</v>
      </c>
    </row>
    <row r="301" spans="1:27" ht="15" outlineLevel="1" thickBot="1" x14ac:dyDescent="0.4">
      <c r="A301" s="319"/>
      <c r="B301" s="216"/>
      <c r="C301" s="216"/>
      <c r="D301" s="489" t="str">
        <f>IFERROR(INDEX(BuildingInformationTable[Site type],MATCH(BuildingsElectricityTable[[#This Row],[Site name]],BuildingInformationTable[Site name],0)),"")</f>
        <v/>
      </c>
      <c r="E301" s="490" t="str">
        <f t="shared" si="25"/>
        <v/>
      </c>
      <c r="F301" s="490" t="str">
        <f t="shared" si="26"/>
        <v/>
      </c>
      <c r="G301" s="491"/>
      <c r="H301" s="492" t="str">
        <f>IF(G301="","",INDEX(Lists!$BA$4:$BC$31,MATCH(E301,Lists!$AZ$4:$AZ$31,0),MATCH(G301,Lists!$BA$3:$BC$3,0)))</f>
        <v/>
      </c>
      <c r="I301" s="267"/>
      <c r="J301" s="490" t="str">
        <f t="shared" si="27"/>
        <v/>
      </c>
      <c r="K301" s="493" t="str" cm="1">
        <f t="array" ref="K301">IF(OR($E301="",$D301="",$I301="",$J301=""),"",IF(J301=L301,I301,(INDEX('Emission factors'!$K$3:$V$201,MATCH(E301&amp;F301,'Emission factors'!$J$3:$J$201&amp;'Emission factors'!$K$3:$K$201,0),MATCH(K$6,'Emission factors'!$K$2:$V$2,0)))*I301))</f>
        <v/>
      </c>
      <c r="L301" s="494" t="str">
        <f>IF(OR($E301="",$D301="",$I301="",$J301=""),"",INDEX('Emission factors'!$K$3:$V$201,MATCH('Buildings - Grid Electricity'!$E301,'Emission factors'!$J$3:$J$201,0),MATCH($L$6,'Emission factors'!$K$2:$V$2,0)))</f>
        <v/>
      </c>
      <c r="M301" s="495" t="str" cm="1">
        <f t="array" ref="M301">IF(OR(E301="",I301="",BuildingsElectricityTable[[#This Row],[Units]]=""),"",INDEX('Emission factors'!$K$3:$V$201,MATCH('Buildings - Grid Electricity'!$E301&amp;F301,'Emission factors'!$J$3:$J$201&amp;'Emission factors'!$K$3:$K$201,0),MATCH('Buildings - Grid Electricity'!$M$6,'Emission factors'!$K$2:$V$2,0)))</f>
        <v/>
      </c>
      <c r="N301" s="496" t="str">
        <f>IF(OR(K301="",M301=""),"",SUM(BuildingsElectricityTable[[#This Row],[Direct]:[Indirect WTT]]))</f>
        <v/>
      </c>
      <c r="O301" s="268"/>
      <c r="P301" s="497"/>
      <c r="Q301" s="157" t="str" cm="1">
        <f t="array" ref="Q301">IF(OR($E301="",$I301=""),"",(INDEX('Emission factors'!$K$3:$V$201,MATCH('Buildings - Grid Electricity'!$E301&amp;$F301,'Emission factors'!$J$3:$J$201&amp;'Emission factors'!$K$3:$K$201,0),MATCH('Buildings - Grid Electricity'!Q$6,'Emission factors'!$K$2:$V$2,0)))*$K301)</f>
        <v/>
      </c>
      <c r="R301" s="157" t="str" cm="1">
        <f t="array" ref="R301">IF(OR($E301="",$I301=""),"",(INDEX('Emission factors'!$K$3:$V$201,MATCH('Buildings - Grid Electricity'!$E301&amp;$F301,'Emission factors'!$J$3:$J$201&amp;'Emission factors'!$K$3:$K$201,0),MATCH('Buildings - Grid Electricity'!R$6,'Emission factors'!$K$2:$V$2,0)))*$K301)</f>
        <v/>
      </c>
      <c r="S301" s="157" t="str" cm="1">
        <f t="array" ref="S301">IF(OR($E301="",$I301=""),"",(INDEX('Emission factors'!$K$3:$V$201,MATCH('Buildings - Grid Electricity'!$E301&amp;$F301,'Emission factors'!$J$3:$J$201&amp;'Emission factors'!$K$3:$K$201,0),MATCH('Buildings - Grid Electricity'!S$6,'Emission factors'!$K$2:$V$2,0)))*$K301)</f>
        <v/>
      </c>
      <c r="T301" s="157" t="str" cm="1">
        <f t="array" ref="T301">IF(OR($E301="",$I301=""),"",(INDEX('Emission factors'!$K$3:$V$201,MATCH('Buildings - Grid Electricity'!$E301&amp;$F301,'Emission factors'!$J$3:$J$201&amp;'Emission factors'!$K$3:$K$201,0),MATCH('Buildings - Grid Electricity'!T$6,'Emission factors'!$K$2:$V$2,0)))*$K301)</f>
        <v/>
      </c>
      <c r="U301" s="157" t="str" cm="1">
        <f t="array" ref="U301">IF(OR($E301="",$I301=""),"",(INDEX('Emission factors'!$K$3:$V$201,MATCH('Buildings - Grid Electricity'!$E301&amp;$F301,'Emission factors'!$J$3:$J$201&amp;'Emission factors'!$K$3:$K$201,0),MATCH('Buildings - Grid Electricity'!U$6,'Emission factors'!$K$2:$V$2,0)))*$K301)</f>
        <v/>
      </c>
      <c r="V301" s="269" t="str">
        <f>IF(OR($N301="",BuildingsElectricityTable[[#This Row],[RSD]]=""),"",BuildingsElectricityTable[[#This Row],[Total emissions (kgCO2e)]]*(1+BuildingsElectricityTable[[#This Row],[RSD]]))</f>
        <v/>
      </c>
      <c r="W301" s="270" t="str">
        <f>IF(OR($N301="",BuildingsElectricityTable[[#This Row],[RSD]]=""),"",BuildingsElectricityTable[[#This Row],[Total emissions (kgCO2e)]]*(1-BuildingsElectricityTable[[#This Row],[RSD]]))</f>
        <v/>
      </c>
      <c r="X301" s="271" t="str" cm="1">
        <f t="array" ref="X301">IF(OR($E301="",$I301=""),"",(INDEX('Emission factors'!$K$3:$V$201,MATCH('Buildings - Grid Electricity'!$E301&amp;$F301,'Emission factors'!$J$3:$J$201&amp;'Emission factors'!$K$3:$K$201,0),MATCH('Buildings - Grid Electricity'!X$6,'Emission factors'!$K$2:$V$2,0)))*$K301)</f>
        <v/>
      </c>
      <c r="Y301" s="30"/>
      <c r="Z301" s="1" cm="1">
        <f t="array" ref="Z301">IF(OR(ISERROR(B301:X301)),1,0)</f>
        <v>0</v>
      </c>
      <c r="AA301" s="1">
        <f t="shared" si="24"/>
        <v>0</v>
      </c>
    </row>
    <row r="302" spans="1:27" ht="15" outlineLevel="1" thickBot="1" x14ac:dyDescent="0.4">
      <c r="A302" s="319"/>
      <c r="B302" s="216"/>
      <c r="C302" s="216"/>
      <c r="D302" s="489" t="str">
        <f>IFERROR(INDEX(BuildingInformationTable[Site type],MATCH(BuildingsElectricityTable[[#This Row],[Site name]],BuildingInformationTable[Site name],0)),"")</f>
        <v/>
      </c>
      <c r="E302" s="490" t="str">
        <f t="shared" si="25"/>
        <v/>
      </c>
      <c r="F302" s="490" t="str">
        <f t="shared" si="26"/>
        <v/>
      </c>
      <c r="G302" s="491"/>
      <c r="H302" s="492" t="str">
        <f>IF(G302="","",INDEX(Lists!$BA$4:$BC$31,MATCH(E302,Lists!$AZ$4:$AZ$31,0),MATCH(G302,Lists!$BA$3:$BC$3,0)))</f>
        <v/>
      </c>
      <c r="I302" s="267"/>
      <c r="J302" s="490" t="str">
        <f t="shared" si="27"/>
        <v/>
      </c>
      <c r="K302" s="493" t="str" cm="1">
        <f t="array" ref="K302">IF(OR($E302="",$D302="",$I302="",$J302=""),"",IF(J302=L302,I302,(INDEX('Emission factors'!$K$3:$V$201,MATCH(E302&amp;F302,'Emission factors'!$J$3:$J$201&amp;'Emission factors'!$K$3:$K$201,0),MATCH(K$6,'Emission factors'!$K$2:$V$2,0)))*I302))</f>
        <v/>
      </c>
      <c r="L302" s="494" t="str">
        <f>IF(OR($E302="",$D302="",$I302="",$J302=""),"",INDEX('Emission factors'!$K$3:$V$201,MATCH('Buildings - Grid Electricity'!$E302,'Emission factors'!$J$3:$J$201,0),MATCH($L$6,'Emission factors'!$K$2:$V$2,0)))</f>
        <v/>
      </c>
      <c r="M302" s="495" t="str" cm="1">
        <f t="array" ref="M302">IF(OR(E302="",I302="",BuildingsElectricityTable[[#This Row],[Units]]=""),"",INDEX('Emission factors'!$K$3:$V$201,MATCH('Buildings - Grid Electricity'!$E302&amp;F302,'Emission factors'!$J$3:$J$201&amp;'Emission factors'!$K$3:$K$201,0),MATCH('Buildings - Grid Electricity'!$M$6,'Emission factors'!$K$2:$V$2,0)))</f>
        <v/>
      </c>
      <c r="N302" s="496" t="str">
        <f>IF(OR(K302="",M302=""),"",SUM(BuildingsElectricityTable[[#This Row],[Direct]:[Indirect WTT]]))</f>
        <v/>
      </c>
      <c r="O302" s="268"/>
      <c r="P302" s="497"/>
      <c r="Q302" s="157" t="str" cm="1">
        <f t="array" ref="Q302">IF(OR($E302="",$I302=""),"",(INDEX('Emission factors'!$K$3:$V$201,MATCH('Buildings - Grid Electricity'!$E302&amp;$F302,'Emission factors'!$J$3:$J$201&amp;'Emission factors'!$K$3:$K$201,0),MATCH('Buildings - Grid Electricity'!Q$6,'Emission factors'!$K$2:$V$2,0)))*$K302)</f>
        <v/>
      </c>
      <c r="R302" s="157" t="str" cm="1">
        <f t="array" ref="R302">IF(OR($E302="",$I302=""),"",(INDEX('Emission factors'!$K$3:$V$201,MATCH('Buildings - Grid Electricity'!$E302&amp;$F302,'Emission factors'!$J$3:$J$201&amp;'Emission factors'!$K$3:$K$201,0),MATCH('Buildings - Grid Electricity'!R$6,'Emission factors'!$K$2:$V$2,0)))*$K302)</f>
        <v/>
      </c>
      <c r="S302" s="157" t="str" cm="1">
        <f t="array" ref="S302">IF(OR($E302="",$I302=""),"",(INDEX('Emission factors'!$K$3:$V$201,MATCH('Buildings - Grid Electricity'!$E302&amp;$F302,'Emission factors'!$J$3:$J$201&amp;'Emission factors'!$K$3:$K$201,0),MATCH('Buildings - Grid Electricity'!S$6,'Emission factors'!$K$2:$V$2,0)))*$K302)</f>
        <v/>
      </c>
      <c r="T302" s="157" t="str" cm="1">
        <f t="array" ref="T302">IF(OR($E302="",$I302=""),"",(INDEX('Emission factors'!$K$3:$V$201,MATCH('Buildings - Grid Electricity'!$E302&amp;$F302,'Emission factors'!$J$3:$J$201&amp;'Emission factors'!$K$3:$K$201,0),MATCH('Buildings - Grid Electricity'!T$6,'Emission factors'!$K$2:$V$2,0)))*$K302)</f>
        <v/>
      </c>
      <c r="U302" s="157" t="str" cm="1">
        <f t="array" ref="U302">IF(OR($E302="",$I302=""),"",(INDEX('Emission factors'!$K$3:$V$201,MATCH('Buildings - Grid Electricity'!$E302&amp;$F302,'Emission factors'!$J$3:$J$201&amp;'Emission factors'!$K$3:$K$201,0),MATCH('Buildings - Grid Electricity'!U$6,'Emission factors'!$K$2:$V$2,0)))*$K302)</f>
        <v/>
      </c>
      <c r="V302" s="269" t="str">
        <f>IF(OR($N302="",BuildingsElectricityTable[[#This Row],[RSD]]=""),"",BuildingsElectricityTable[[#This Row],[Total emissions (kgCO2e)]]*(1+BuildingsElectricityTable[[#This Row],[RSD]]))</f>
        <v/>
      </c>
      <c r="W302" s="270" t="str">
        <f>IF(OR($N302="",BuildingsElectricityTable[[#This Row],[RSD]]=""),"",BuildingsElectricityTable[[#This Row],[Total emissions (kgCO2e)]]*(1-BuildingsElectricityTable[[#This Row],[RSD]]))</f>
        <v/>
      </c>
      <c r="X302" s="271" t="str" cm="1">
        <f t="array" ref="X302">IF(OR($E302="",$I302=""),"",(INDEX('Emission factors'!$K$3:$V$201,MATCH('Buildings - Grid Electricity'!$E302&amp;$F302,'Emission factors'!$J$3:$J$201&amp;'Emission factors'!$K$3:$K$201,0),MATCH('Buildings - Grid Electricity'!X$6,'Emission factors'!$K$2:$V$2,0)))*$K302)</f>
        <v/>
      </c>
      <c r="Y302" s="30"/>
      <c r="Z302" s="1" cm="1">
        <f t="array" ref="Z302">IF(OR(ISERROR(B302:X302)),1,0)</f>
        <v>0</v>
      </c>
      <c r="AA302" s="1">
        <f t="shared" si="24"/>
        <v>0</v>
      </c>
    </row>
    <row r="303" spans="1:27" ht="15" outlineLevel="1" thickBot="1" x14ac:dyDescent="0.4">
      <c r="A303" s="319"/>
      <c r="B303" s="216"/>
      <c r="C303" s="216"/>
      <c r="D303" s="489" t="str">
        <f>IFERROR(INDEX(BuildingInformationTable[Site type],MATCH(BuildingsElectricityTable[[#This Row],[Site name]],BuildingInformationTable[Site name],0)),"")</f>
        <v/>
      </c>
      <c r="E303" s="490" t="str">
        <f t="shared" si="25"/>
        <v/>
      </c>
      <c r="F303" s="490" t="str">
        <f t="shared" si="26"/>
        <v/>
      </c>
      <c r="G303" s="491"/>
      <c r="H303" s="492" t="str">
        <f>IF(G303="","",INDEX(Lists!$BA$4:$BC$31,MATCH(E303,Lists!$AZ$4:$AZ$31,0),MATCH(G303,Lists!$BA$3:$BC$3,0)))</f>
        <v/>
      </c>
      <c r="I303" s="267"/>
      <c r="J303" s="490" t="str">
        <f t="shared" si="27"/>
        <v/>
      </c>
      <c r="K303" s="493" t="str" cm="1">
        <f t="array" ref="K303">IF(OR($E303="",$D303="",$I303="",$J303=""),"",IF(J303=L303,I303,(INDEX('Emission factors'!$K$3:$V$201,MATCH(E303&amp;F303,'Emission factors'!$J$3:$J$201&amp;'Emission factors'!$K$3:$K$201,0),MATCH(K$6,'Emission factors'!$K$2:$V$2,0)))*I303))</f>
        <v/>
      </c>
      <c r="L303" s="494" t="str">
        <f>IF(OR($E303="",$D303="",$I303="",$J303=""),"",INDEX('Emission factors'!$K$3:$V$201,MATCH('Buildings - Grid Electricity'!$E303,'Emission factors'!$J$3:$J$201,0),MATCH($L$6,'Emission factors'!$K$2:$V$2,0)))</f>
        <v/>
      </c>
      <c r="M303" s="495" t="str" cm="1">
        <f t="array" ref="M303">IF(OR(E303="",I303="",BuildingsElectricityTable[[#This Row],[Units]]=""),"",INDEX('Emission factors'!$K$3:$V$201,MATCH('Buildings - Grid Electricity'!$E303&amp;F303,'Emission factors'!$J$3:$J$201&amp;'Emission factors'!$K$3:$K$201,0),MATCH('Buildings - Grid Electricity'!$M$6,'Emission factors'!$K$2:$V$2,0)))</f>
        <v/>
      </c>
      <c r="N303" s="496" t="str">
        <f>IF(OR(K303="",M303=""),"",SUM(BuildingsElectricityTable[[#This Row],[Direct]:[Indirect WTT]]))</f>
        <v/>
      </c>
      <c r="O303" s="268"/>
      <c r="P303" s="497"/>
      <c r="Q303" s="157" t="str" cm="1">
        <f t="array" ref="Q303">IF(OR($E303="",$I303=""),"",(INDEX('Emission factors'!$K$3:$V$201,MATCH('Buildings - Grid Electricity'!$E303&amp;$F303,'Emission factors'!$J$3:$J$201&amp;'Emission factors'!$K$3:$K$201,0),MATCH('Buildings - Grid Electricity'!Q$6,'Emission factors'!$K$2:$V$2,0)))*$K303)</f>
        <v/>
      </c>
      <c r="R303" s="157" t="str" cm="1">
        <f t="array" ref="R303">IF(OR($E303="",$I303=""),"",(INDEX('Emission factors'!$K$3:$V$201,MATCH('Buildings - Grid Electricity'!$E303&amp;$F303,'Emission factors'!$J$3:$J$201&amp;'Emission factors'!$K$3:$K$201,0),MATCH('Buildings - Grid Electricity'!R$6,'Emission factors'!$K$2:$V$2,0)))*$K303)</f>
        <v/>
      </c>
      <c r="S303" s="157" t="str" cm="1">
        <f t="array" ref="S303">IF(OR($E303="",$I303=""),"",(INDEX('Emission factors'!$K$3:$V$201,MATCH('Buildings - Grid Electricity'!$E303&amp;$F303,'Emission factors'!$J$3:$J$201&amp;'Emission factors'!$K$3:$K$201,0),MATCH('Buildings - Grid Electricity'!S$6,'Emission factors'!$K$2:$V$2,0)))*$K303)</f>
        <v/>
      </c>
      <c r="T303" s="157" t="str" cm="1">
        <f t="array" ref="T303">IF(OR($E303="",$I303=""),"",(INDEX('Emission factors'!$K$3:$V$201,MATCH('Buildings - Grid Electricity'!$E303&amp;$F303,'Emission factors'!$J$3:$J$201&amp;'Emission factors'!$K$3:$K$201,0),MATCH('Buildings - Grid Electricity'!T$6,'Emission factors'!$K$2:$V$2,0)))*$K303)</f>
        <v/>
      </c>
      <c r="U303" s="157" t="str" cm="1">
        <f t="array" ref="U303">IF(OR($E303="",$I303=""),"",(INDEX('Emission factors'!$K$3:$V$201,MATCH('Buildings - Grid Electricity'!$E303&amp;$F303,'Emission factors'!$J$3:$J$201&amp;'Emission factors'!$K$3:$K$201,0),MATCH('Buildings - Grid Electricity'!U$6,'Emission factors'!$K$2:$V$2,0)))*$K303)</f>
        <v/>
      </c>
      <c r="V303" s="269" t="str">
        <f>IF(OR($N303="",BuildingsElectricityTable[[#This Row],[RSD]]=""),"",BuildingsElectricityTable[[#This Row],[Total emissions (kgCO2e)]]*(1+BuildingsElectricityTable[[#This Row],[RSD]]))</f>
        <v/>
      </c>
      <c r="W303" s="270" t="str">
        <f>IF(OR($N303="",BuildingsElectricityTable[[#This Row],[RSD]]=""),"",BuildingsElectricityTable[[#This Row],[Total emissions (kgCO2e)]]*(1-BuildingsElectricityTable[[#This Row],[RSD]]))</f>
        <v/>
      </c>
      <c r="X303" s="271" t="str" cm="1">
        <f t="array" ref="X303">IF(OR($E303="",$I303=""),"",(INDEX('Emission factors'!$K$3:$V$201,MATCH('Buildings - Grid Electricity'!$E303&amp;$F303,'Emission factors'!$J$3:$J$201&amp;'Emission factors'!$K$3:$K$201,0),MATCH('Buildings - Grid Electricity'!X$6,'Emission factors'!$K$2:$V$2,0)))*$K303)</f>
        <v/>
      </c>
      <c r="Y303" s="30"/>
      <c r="Z303" s="1" cm="1">
        <f t="array" ref="Z303">IF(OR(ISERROR(B303:X303)),1,0)</f>
        <v>0</v>
      </c>
      <c r="AA303" s="1">
        <f t="shared" si="24"/>
        <v>0</v>
      </c>
    </row>
    <row r="304" spans="1:27" ht="15" outlineLevel="1" thickBot="1" x14ac:dyDescent="0.4">
      <c r="A304" s="319"/>
      <c r="B304" s="216"/>
      <c r="C304" s="216"/>
      <c r="D304" s="489" t="str">
        <f>IFERROR(INDEX(BuildingInformationTable[Site type],MATCH(BuildingsElectricityTable[[#This Row],[Site name]],BuildingInformationTable[Site name],0)),"")</f>
        <v/>
      </c>
      <c r="E304" s="490" t="str">
        <f t="shared" si="25"/>
        <v/>
      </c>
      <c r="F304" s="490" t="str">
        <f t="shared" si="26"/>
        <v/>
      </c>
      <c r="G304" s="491"/>
      <c r="H304" s="492" t="str">
        <f>IF(G304="","",INDEX(Lists!$BA$4:$BC$31,MATCH(E304,Lists!$AZ$4:$AZ$31,0),MATCH(G304,Lists!$BA$3:$BC$3,0)))</f>
        <v/>
      </c>
      <c r="I304" s="267"/>
      <c r="J304" s="490" t="str">
        <f t="shared" si="27"/>
        <v/>
      </c>
      <c r="K304" s="493" t="str" cm="1">
        <f t="array" ref="K304">IF(OR($E304="",$D304="",$I304="",$J304=""),"",IF(J304=L304,I304,(INDEX('Emission factors'!$K$3:$V$201,MATCH(E304&amp;F304,'Emission factors'!$J$3:$J$201&amp;'Emission factors'!$K$3:$K$201,0),MATCH(K$6,'Emission factors'!$K$2:$V$2,0)))*I304))</f>
        <v/>
      </c>
      <c r="L304" s="494" t="str">
        <f>IF(OR($E304="",$D304="",$I304="",$J304=""),"",INDEX('Emission factors'!$K$3:$V$201,MATCH('Buildings - Grid Electricity'!$E304,'Emission factors'!$J$3:$J$201,0),MATCH($L$6,'Emission factors'!$K$2:$V$2,0)))</f>
        <v/>
      </c>
      <c r="M304" s="495" t="str" cm="1">
        <f t="array" ref="M304">IF(OR(E304="",I304="",BuildingsElectricityTable[[#This Row],[Units]]=""),"",INDEX('Emission factors'!$K$3:$V$201,MATCH('Buildings - Grid Electricity'!$E304&amp;F304,'Emission factors'!$J$3:$J$201&amp;'Emission factors'!$K$3:$K$201,0),MATCH('Buildings - Grid Electricity'!$M$6,'Emission factors'!$K$2:$V$2,0)))</f>
        <v/>
      </c>
      <c r="N304" s="496" t="str">
        <f>IF(OR(K304="",M304=""),"",SUM(BuildingsElectricityTable[[#This Row],[Direct]:[Indirect WTT]]))</f>
        <v/>
      </c>
      <c r="O304" s="268"/>
      <c r="P304" s="497"/>
      <c r="Q304" s="157" t="str" cm="1">
        <f t="array" ref="Q304">IF(OR($E304="",$I304=""),"",(INDEX('Emission factors'!$K$3:$V$201,MATCH('Buildings - Grid Electricity'!$E304&amp;$F304,'Emission factors'!$J$3:$J$201&amp;'Emission factors'!$K$3:$K$201,0),MATCH('Buildings - Grid Electricity'!Q$6,'Emission factors'!$K$2:$V$2,0)))*$K304)</f>
        <v/>
      </c>
      <c r="R304" s="157" t="str" cm="1">
        <f t="array" ref="R304">IF(OR($E304="",$I304=""),"",(INDEX('Emission factors'!$K$3:$V$201,MATCH('Buildings - Grid Electricity'!$E304&amp;$F304,'Emission factors'!$J$3:$J$201&amp;'Emission factors'!$K$3:$K$201,0),MATCH('Buildings - Grid Electricity'!R$6,'Emission factors'!$K$2:$V$2,0)))*$K304)</f>
        <v/>
      </c>
      <c r="S304" s="157" t="str" cm="1">
        <f t="array" ref="S304">IF(OR($E304="",$I304=""),"",(INDEX('Emission factors'!$K$3:$V$201,MATCH('Buildings - Grid Electricity'!$E304&amp;$F304,'Emission factors'!$J$3:$J$201&amp;'Emission factors'!$K$3:$K$201,0),MATCH('Buildings - Grid Electricity'!S$6,'Emission factors'!$K$2:$V$2,0)))*$K304)</f>
        <v/>
      </c>
      <c r="T304" s="157" t="str" cm="1">
        <f t="array" ref="T304">IF(OR($E304="",$I304=""),"",(INDEX('Emission factors'!$K$3:$V$201,MATCH('Buildings - Grid Electricity'!$E304&amp;$F304,'Emission factors'!$J$3:$J$201&amp;'Emission factors'!$K$3:$K$201,0),MATCH('Buildings - Grid Electricity'!T$6,'Emission factors'!$K$2:$V$2,0)))*$K304)</f>
        <v/>
      </c>
      <c r="U304" s="157" t="str" cm="1">
        <f t="array" ref="U304">IF(OR($E304="",$I304=""),"",(INDEX('Emission factors'!$K$3:$V$201,MATCH('Buildings - Grid Electricity'!$E304&amp;$F304,'Emission factors'!$J$3:$J$201&amp;'Emission factors'!$K$3:$K$201,0),MATCH('Buildings - Grid Electricity'!U$6,'Emission factors'!$K$2:$V$2,0)))*$K304)</f>
        <v/>
      </c>
      <c r="V304" s="269" t="str">
        <f>IF(OR($N304="",BuildingsElectricityTable[[#This Row],[RSD]]=""),"",BuildingsElectricityTable[[#This Row],[Total emissions (kgCO2e)]]*(1+BuildingsElectricityTable[[#This Row],[RSD]]))</f>
        <v/>
      </c>
      <c r="W304" s="270" t="str">
        <f>IF(OR($N304="",BuildingsElectricityTable[[#This Row],[RSD]]=""),"",BuildingsElectricityTable[[#This Row],[Total emissions (kgCO2e)]]*(1-BuildingsElectricityTable[[#This Row],[RSD]]))</f>
        <v/>
      </c>
      <c r="X304" s="271" t="str" cm="1">
        <f t="array" ref="X304">IF(OR($E304="",$I304=""),"",(INDEX('Emission factors'!$K$3:$V$201,MATCH('Buildings - Grid Electricity'!$E304&amp;$F304,'Emission factors'!$J$3:$J$201&amp;'Emission factors'!$K$3:$K$201,0),MATCH('Buildings - Grid Electricity'!X$6,'Emission factors'!$K$2:$V$2,0)))*$K304)</f>
        <v/>
      </c>
      <c r="Y304" s="30"/>
      <c r="Z304" s="1" cm="1">
        <f t="array" ref="Z304">IF(OR(ISERROR(B304:X304)),1,0)</f>
        <v>0</v>
      </c>
      <c r="AA304" s="1">
        <f t="shared" si="24"/>
        <v>0</v>
      </c>
    </row>
    <row r="305" spans="1:27" ht="15" outlineLevel="1" thickBot="1" x14ac:dyDescent="0.4">
      <c r="A305" s="319"/>
      <c r="B305" s="216"/>
      <c r="C305" s="216"/>
      <c r="D305" s="489" t="str">
        <f>IFERROR(INDEX(BuildingInformationTable[Site type],MATCH(BuildingsElectricityTable[[#This Row],[Site name]],BuildingInformationTable[Site name],0)),"")</f>
        <v/>
      </c>
      <c r="E305" s="490" t="str">
        <f t="shared" si="25"/>
        <v/>
      </c>
      <c r="F305" s="490" t="str">
        <f t="shared" si="26"/>
        <v/>
      </c>
      <c r="G305" s="491"/>
      <c r="H305" s="492" t="str">
        <f>IF(G305="","",INDEX(Lists!$BA$4:$BC$31,MATCH(E305,Lists!$AZ$4:$AZ$31,0),MATCH(G305,Lists!$BA$3:$BC$3,0)))</f>
        <v/>
      </c>
      <c r="I305" s="267"/>
      <c r="J305" s="490" t="str">
        <f t="shared" si="27"/>
        <v/>
      </c>
      <c r="K305" s="493" t="str" cm="1">
        <f t="array" ref="K305">IF(OR($E305="",$D305="",$I305="",$J305=""),"",IF(J305=L305,I305,(INDEX('Emission factors'!$K$3:$V$201,MATCH(E305&amp;F305,'Emission factors'!$J$3:$J$201&amp;'Emission factors'!$K$3:$K$201,0),MATCH(K$6,'Emission factors'!$K$2:$V$2,0)))*I305))</f>
        <v/>
      </c>
      <c r="L305" s="494" t="str">
        <f>IF(OR($E305="",$D305="",$I305="",$J305=""),"",INDEX('Emission factors'!$K$3:$V$201,MATCH('Buildings - Grid Electricity'!$E305,'Emission factors'!$J$3:$J$201,0),MATCH($L$6,'Emission factors'!$K$2:$V$2,0)))</f>
        <v/>
      </c>
      <c r="M305" s="495" t="str" cm="1">
        <f t="array" ref="M305">IF(OR(E305="",I305="",BuildingsElectricityTable[[#This Row],[Units]]=""),"",INDEX('Emission factors'!$K$3:$V$201,MATCH('Buildings - Grid Electricity'!$E305&amp;F305,'Emission factors'!$J$3:$J$201&amp;'Emission factors'!$K$3:$K$201,0),MATCH('Buildings - Grid Electricity'!$M$6,'Emission factors'!$K$2:$V$2,0)))</f>
        <v/>
      </c>
      <c r="N305" s="496" t="str">
        <f>IF(OR(K305="",M305=""),"",SUM(BuildingsElectricityTable[[#This Row],[Direct]:[Indirect WTT]]))</f>
        <v/>
      </c>
      <c r="O305" s="268"/>
      <c r="P305" s="497"/>
      <c r="Q305" s="157" t="str" cm="1">
        <f t="array" ref="Q305">IF(OR($E305="",$I305=""),"",(INDEX('Emission factors'!$K$3:$V$201,MATCH('Buildings - Grid Electricity'!$E305&amp;$F305,'Emission factors'!$J$3:$J$201&amp;'Emission factors'!$K$3:$K$201,0),MATCH('Buildings - Grid Electricity'!Q$6,'Emission factors'!$K$2:$V$2,0)))*$K305)</f>
        <v/>
      </c>
      <c r="R305" s="157" t="str" cm="1">
        <f t="array" ref="R305">IF(OR($E305="",$I305=""),"",(INDEX('Emission factors'!$K$3:$V$201,MATCH('Buildings - Grid Electricity'!$E305&amp;$F305,'Emission factors'!$J$3:$J$201&amp;'Emission factors'!$K$3:$K$201,0),MATCH('Buildings - Grid Electricity'!R$6,'Emission factors'!$K$2:$V$2,0)))*$K305)</f>
        <v/>
      </c>
      <c r="S305" s="157" t="str" cm="1">
        <f t="array" ref="S305">IF(OR($E305="",$I305=""),"",(INDEX('Emission factors'!$K$3:$V$201,MATCH('Buildings - Grid Electricity'!$E305&amp;$F305,'Emission factors'!$J$3:$J$201&amp;'Emission factors'!$K$3:$K$201,0),MATCH('Buildings - Grid Electricity'!S$6,'Emission factors'!$K$2:$V$2,0)))*$K305)</f>
        <v/>
      </c>
      <c r="T305" s="157" t="str" cm="1">
        <f t="array" ref="T305">IF(OR($E305="",$I305=""),"",(INDEX('Emission factors'!$K$3:$V$201,MATCH('Buildings - Grid Electricity'!$E305&amp;$F305,'Emission factors'!$J$3:$J$201&amp;'Emission factors'!$K$3:$K$201,0),MATCH('Buildings - Grid Electricity'!T$6,'Emission factors'!$K$2:$V$2,0)))*$K305)</f>
        <v/>
      </c>
      <c r="U305" s="157" t="str" cm="1">
        <f t="array" ref="U305">IF(OR($E305="",$I305=""),"",(INDEX('Emission factors'!$K$3:$V$201,MATCH('Buildings - Grid Electricity'!$E305&amp;$F305,'Emission factors'!$J$3:$J$201&amp;'Emission factors'!$K$3:$K$201,0),MATCH('Buildings - Grid Electricity'!U$6,'Emission factors'!$K$2:$V$2,0)))*$K305)</f>
        <v/>
      </c>
      <c r="V305" s="269" t="str">
        <f>IF(OR($N305="",BuildingsElectricityTable[[#This Row],[RSD]]=""),"",BuildingsElectricityTable[[#This Row],[Total emissions (kgCO2e)]]*(1+BuildingsElectricityTable[[#This Row],[RSD]]))</f>
        <v/>
      </c>
      <c r="W305" s="270" t="str">
        <f>IF(OR($N305="",BuildingsElectricityTable[[#This Row],[RSD]]=""),"",BuildingsElectricityTable[[#This Row],[Total emissions (kgCO2e)]]*(1-BuildingsElectricityTable[[#This Row],[RSD]]))</f>
        <v/>
      </c>
      <c r="X305" s="271" t="str" cm="1">
        <f t="array" ref="X305">IF(OR($E305="",$I305=""),"",(INDEX('Emission factors'!$K$3:$V$201,MATCH('Buildings - Grid Electricity'!$E305&amp;$F305,'Emission factors'!$J$3:$J$201&amp;'Emission factors'!$K$3:$K$201,0),MATCH('Buildings - Grid Electricity'!X$6,'Emission factors'!$K$2:$V$2,0)))*$K305)</f>
        <v/>
      </c>
      <c r="Y305" s="30"/>
      <c r="Z305" s="1" cm="1">
        <f t="array" ref="Z305">IF(OR(ISERROR(B305:X305)),1,0)</f>
        <v>0</v>
      </c>
      <c r="AA305" s="1">
        <f t="shared" si="24"/>
        <v>0</v>
      </c>
    </row>
    <row r="306" spans="1:27" ht="15" outlineLevel="1" thickBot="1" x14ac:dyDescent="0.4">
      <c r="A306" s="319"/>
      <c r="B306" s="216"/>
      <c r="C306" s="216"/>
      <c r="D306" s="489" t="str">
        <f>IFERROR(INDEX(BuildingInformationTable[Site type],MATCH(BuildingsElectricityTable[[#This Row],[Site name]],BuildingInformationTable[Site name],0)),"")</f>
        <v/>
      </c>
      <c r="E306" s="490" t="str">
        <f t="shared" si="25"/>
        <v/>
      </c>
      <c r="F306" s="490" t="str">
        <f t="shared" si="26"/>
        <v/>
      </c>
      <c r="G306" s="491"/>
      <c r="H306" s="492" t="str">
        <f>IF(G306="","",INDEX(Lists!$BA$4:$BC$31,MATCH(E306,Lists!$AZ$4:$AZ$31,0),MATCH(G306,Lists!$BA$3:$BC$3,0)))</f>
        <v/>
      </c>
      <c r="I306" s="267"/>
      <c r="J306" s="490" t="str">
        <f t="shared" si="27"/>
        <v/>
      </c>
      <c r="K306" s="493" t="str" cm="1">
        <f t="array" ref="K306">IF(OR($E306="",$D306="",$I306="",$J306=""),"",IF(J306=L306,I306,(INDEX('Emission factors'!$K$3:$V$201,MATCH(E306&amp;F306,'Emission factors'!$J$3:$J$201&amp;'Emission factors'!$K$3:$K$201,0),MATCH(K$6,'Emission factors'!$K$2:$V$2,0)))*I306))</f>
        <v/>
      </c>
      <c r="L306" s="494" t="str">
        <f>IF(OR($E306="",$D306="",$I306="",$J306=""),"",INDEX('Emission factors'!$K$3:$V$201,MATCH('Buildings - Grid Electricity'!$E306,'Emission factors'!$J$3:$J$201,0),MATCH($L$6,'Emission factors'!$K$2:$V$2,0)))</f>
        <v/>
      </c>
      <c r="M306" s="495" t="str" cm="1">
        <f t="array" ref="M306">IF(OR(E306="",I306="",BuildingsElectricityTable[[#This Row],[Units]]=""),"",INDEX('Emission factors'!$K$3:$V$201,MATCH('Buildings - Grid Electricity'!$E306&amp;F306,'Emission factors'!$J$3:$J$201&amp;'Emission factors'!$K$3:$K$201,0),MATCH('Buildings - Grid Electricity'!$M$6,'Emission factors'!$K$2:$V$2,0)))</f>
        <v/>
      </c>
      <c r="N306" s="496" t="str">
        <f>IF(OR(K306="",M306=""),"",SUM(BuildingsElectricityTable[[#This Row],[Direct]:[Indirect WTT]]))</f>
        <v/>
      </c>
      <c r="O306" s="268"/>
      <c r="P306" s="497"/>
      <c r="Q306" s="157" t="str" cm="1">
        <f t="array" ref="Q306">IF(OR($E306="",$I306=""),"",(INDEX('Emission factors'!$K$3:$V$201,MATCH('Buildings - Grid Electricity'!$E306&amp;$F306,'Emission factors'!$J$3:$J$201&amp;'Emission factors'!$K$3:$K$201,0),MATCH('Buildings - Grid Electricity'!Q$6,'Emission factors'!$K$2:$V$2,0)))*$K306)</f>
        <v/>
      </c>
      <c r="R306" s="157" t="str" cm="1">
        <f t="array" ref="R306">IF(OR($E306="",$I306=""),"",(INDEX('Emission factors'!$K$3:$V$201,MATCH('Buildings - Grid Electricity'!$E306&amp;$F306,'Emission factors'!$J$3:$J$201&amp;'Emission factors'!$K$3:$K$201,0),MATCH('Buildings - Grid Electricity'!R$6,'Emission factors'!$K$2:$V$2,0)))*$K306)</f>
        <v/>
      </c>
      <c r="S306" s="157" t="str" cm="1">
        <f t="array" ref="S306">IF(OR($E306="",$I306=""),"",(INDEX('Emission factors'!$K$3:$V$201,MATCH('Buildings - Grid Electricity'!$E306&amp;$F306,'Emission factors'!$J$3:$J$201&amp;'Emission factors'!$K$3:$K$201,0),MATCH('Buildings - Grid Electricity'!S$6,'Emission factors'!$K$2:$V$2,0)))*$K306)</f>
        <v/>
      </c>
      <c r="T306" s="157" t="str" cm="1">
        <f t="array" ref="T306">IF(OR($E306="",$I306=""),"",(INDEX('Emission factors'!$K$3:$V$201,MATCH('Buildings - Grid Electricity'!$E306&amp;$F306,'Emission factors'!$J$3:$J$201&amp;'Emission factors'!$K$3:$K$201,0),MATCH('Buildings - Grid Electricity'!T$6,'Emission factors'!$K$2:$V$2,0)))*$K306)</f>
        <v/>
      </c>
      <c r="U306" s="157" t="str" cm="1">
        <f t="array" ref="U306">IF(OR($E306="",$I306=""),"",(INDEX('Emission factors'!$K$3:$V$201,MATCH('Buildings - Grid Electricity'!$E306&amp;$F306,'Emission factors'!$J$3:$J$201&amp;'Emission factors'!$K$3:$K$201,0),MATCH('Buildings - Grid Electricity'!U$6,'Emission factors'!$K$2:$V$2,0)))*$K306)</f>
        <v/>
      </c>
      <c r="V306" s="269" t="str">
        <f>IF(OR($N306="",BuildingsElectricityTable[[#This Row],[RSD]]=""),"",BuildingsElectricityTable[[#This Row],[Total emissions (kgCO2e)]]*(1+BuildingsElectricityTable[[#This Row],[RSD]]))</f>
        <v/>
      </c>
      <c r="W306" s="270" t="str">
        <f>IF(OR($N306="",BuildingsElectricityTable[[#This Row],[RSD]]=""),"",BuildingsElectricityTable[[#This Row],[Total emissions (kgCO2e)]]*(1-BuildingsElectricityTable[[#This Row],[RSD]]))</f>
        <v/>
      </c>
      <c r="X306" s="271" t="str" cm="1">
        <f t="array" ref="X306">IF(OR($E306="",$I306=""),"",(INDEX('Emission factors'!$K$3:$V$201,MATCH('Buildings - Grid Electricity'!$E306&amp;$F306,'Emission factors'!$J$3:$J$201&amp;'Emission factors'!$K$3:$K$201,0),MATCH('Buildings - Grid Electricity'!X$6,'Emission factors'!$K$2:$V$2,0)))*$K306)</f>
        <v/>
      </c>
      <c r="Y306" s="30"/>
      <c r="Z306" s="1" cm="1">
        <f t="array" ref="Z306">IF(OR(ISERROR(B306:X306)),1,0)</f>
        <v>0</v>
      </c>
      <c r="AA306" s="1">
        <f t="shared" si="24"/>
        <v>0</v>
      </c>
    </row>
    <row r="307" spans="1:27" ht="15" outlineLevel="1" thickBot="1" x14ac:dyDescent="0.4">
      <c r="A307" s="319"/>
      <c r="B307" s="216"/>
      <c r="C307" s="216"/>
      <c r="D307" s="489" t="str">
        <f>IFERROR(INDEX(BuildingInformationTable[Site type],MATCH(BuildingsElectricityTable[[#This Row],[Site name]],BuildingInformationTable[Site name],0)),"")</f>
        <v/>
      </c>
      <c r="E307" s="490" t="str">
        <f t="shared" si="25"/>
        <v/>
      </c>
      <c r="F307" s="490" t="str">
        <f t="shared" si="26"/>
        <v/>
      </c>
      <c r="G307" s="491"/>
      <c r="H307" s="492" t="str">
        <f>IF(G307="","",INDEX(Lists!$BA$4:$BC$31,MATCH(E307,Lists!$AZ$4:$AZ$31,0),MATCH(G307,Lists!$BA$3:$BC$3,0)))</f>
        <v/>
      </c>
      <c r="I307" s="267"/>
      <c r="J307" s="490" t="str">
        <f t="shared" si="27"/>
        <v/>
      </c>
      <c r="K307" s="493" t="str" cm="1">
        <f t="array" ref="K307">IF(OR($E307="",$D307="",$I307="",$J307=""),"",IF(J307=L307,I307,(INDEX('Emission factors'!$K$3:$V$201,MATCH(E307&amp;F307,'Emission factors'!$J$3:$J$201&amp;'Emission factors'!$K$3:$K$201,0),MATCH(K$6,'Emission factors'!$K$2:$V$2,0)))*I307))</f>
        <v/>
      </c>
      <c r="L307" s="494" t="str">
        <f>IF(OR($E307="",$D307="",$I307="",$J307=""),"",INDEX('Emission factors'!$K$3:$V$201,MATCH('Buildings - Grid Electricity'!$E307,'Emission factors'!$J$3:$J$201,0),MATCH($L$6,'Emission factors'!$K$2:$V$2,0)))</f>
        <v/>
      </c>
      <c r="M307" s="495" t="str" cm="1">
        <f t="array" ref="M307">IF(OR(E307="",I307="",BuildingsElectricityTable[[#This Row],[Units]]=""),"",INDEX('Emission factors'!$K$3:$V$201,MATCH('Buildings - Grid Electricity'!$E307&amp;F307,'Emission factors'!$J$3:$J$201&amp;'Emission factors'!$K$3:$K$201,0),MATCH('Buildings - Grid Electricity'!$M$6,'Emission factors'!$K$2:$V$2,0)))</f>
        <v/>
      </c>
      <c r="N307" s="496" t="str">
        <f>IF(OR(K307="",M307=""),"",SUM(BuildingsElectricityTable[[#This Row],[Direct]:[Indirect WTT]]))</f>
        <v/>
      </c>
      <c r="O307" s="268"/>
      <c r="P307" s="497"/>
      <c r="Q307" s="157" t="str" cm="1">
        <f t="array" ref="Q307">IF(OR($E307="",$I307=""),"",(INDEX('Emission factors'!$K$3:$V$201,MATCH('Buildings - Grid Electricity'!$E307&amp;$F307,'Emission factors'!$J$3:$J$201&amp;'Emission factors'!$K$3:$K$201,0),MATCH('Buildings - Grid Electricity'!Q$6,'Emission factors'!$K$2:$V$2,0)))*$K307)</f>
        <v/>
      </c>
      <c r="R307" s="157" t="str" cm="1">
        <f t="array" ref="R307">IF(OR($E307="",$I307=""),"",(INDEX('Emission factors'!$K$3:$V$201,MATCH('Buildings - Grid Electricity'!$E307&amp;$F307,'Emission factors'!$J$3:$J$201&amp;'Emission factors'!$K$3:$K$201,0),MATCH('Buildings - Grid Electricity'!R$6,'Emission factors'!$K$2:$V$2,0)))*$K307)</f>
        <v/>
      </c>
      <c r="S307" s="157" t="str" cm="1">
        <f t="array" ref="S307">IF(OR($E307="",$I307=""),"",(INDEX('Emission factors'!$K$3:$V$201,MATCH('Buildings - Grid Electricity'!$E307&amp;$F307,'Emission factors'!$J$3:$J$201&amp;'Emission factors'!$K$3:$K$201,0),MATCH('Buildings - Grid Electricity'!S$6,'Emission factors'!$K$2:$V$2,0)))*$K307)</f>
        <v/>
      </c>
      <c r="T307" s="157" t="str" cm="1">
        <f t="array" ref="T307">IF(OR($E307="",$I307=""),"",(INDEX('Emission factors'!$K$3:$V$201,MATCH('Buildings - Grid Electricity'!$E307&amp;$F307,'Emission factors'!$J$3:$J$201&amp;'Emission factors'!$K$3:$K$201,0),MATCH('Buildings - Grid Electricity'!T$6,'Emission factors'!$K$2:$V$2,0)))*$K307)</f>
        <v/>
      </c>
      <c r="U307" s="157" t="str" cm="1">
        <f t="array" ref="U307">IF(OR($E307="",$I307=""),"",(INDEX('Emission factors'!$K$3:$V$201,MATCH('Buildings - Grid Electricity'!$E307&amp;$F307,'Emission factors'!$J$3:$J$201&amp;'Emission factors'!$K$3:$K$201,0),MATCH('Buildings - Grid Electricity'!U$6,'Emission factors'!$K$2:$V$2,0)))*$K307)</f>
        <v/>
      </c>
      <c r="V307" s="269" t="str">
        <f>IF(OR($N307="",BuildingsElectricityTable[[#This Row],[RSD]]=""),"",BuildingsElectricityTable[[#This Row],[Total emissions (kgCO2e)]]*(1+BuildingsElectricityTable[[#This Row],[RSD]]))</f>
        <v/>
      </c>
      <c r="W307" s="270" t="str">
        <f>IF(OR($N307="",BuildingsElectricityTable[[#This Row],[RSD]]=""),"",BuildingsElectricityTable[[#This Row],[Total emissions (kgCO2e)]]*(1-BuildingsElectricityTable[[#This Row],[RSD]]))</f>
        <v/>
      </c>
      <c r="X307" s="271" t="str" cm="1">
        <f t="array" ref="X307">IF(OR($E307="",$I307=""),"",(INDEX('Emission factors'!$K$3:$V$201,MATCH('Buildings - Grid Electricity'!$E307&amp;$F307,'Emission factors'!$J$3:$J$201&amp;'Emission factors'!$K$3:$K$201,0),MATCH('Buildings - Grid Electricity'!X$6,'Emission factors'!$K$2:$V$2,0)))*$K307)</f>
        <v/>
      </c>
      <c r="Y307" s="30"/>
      <c r="Z307" s="1" cm="1">
        <f t="array" ref="Z307">IF(OR(ISERROR(B307:X307)),1,0)</f>
        <v>0</v>
      </c>
      <c r="AA307" s="1">
        <f t="shared" si="24"/>
        <v>0</v>
      </c>
    </row>
    <row r="308" spans="1:27" ht="15" outlineLevel="1" thickBot="1" x14ac:dyDescent="0.4">
      <c r="A308" s="319"/>
      <c r="B308" s="216"/>
      <c r="C308" s="216"/>
      <c r="D308" s="489" t="str">
        <f>IFERROR(INDEX(BuildingInformationTable[Site type],MATCH(BuildingsElectricityTable[[#This Row],[Site name]],BuildingInformationTable[Site name],0)),"")</f>
        <v/>
      </c>
      <c r="E308" s="490" t="str">
        <f t="shared" si="25"/>
        <v/>
      </c>
      <c r="F308" s="490" t="str">
        <f t="shared" si="26"/>
        <v/>
      </c>
      <c r="G308" s="491"/>
      <c r="H308" s="492" t="str">
        <f>IF(G308="","",INDEX(Lists!$BA$4:$BC$31,MATCH(E308,Lists!$AZ$4:$AZ$31,0),MATCH(G308,Lists!$BA$3:$BC$3,0)))</f>
        <v/>
      </c>
      <c r="I308" s="267"/>
      <c r="J308" s="490" t="str">
        <f t="shared" si="27"/>
        <v/>
      </c>
      <c r="K308" s="493" t="str" cm="1">
        <f t="array" ref="K308">IF(OR($E308="",$D308="",$I308="",$J308=""),"",IF(J308=L308,I308,(INDEX('Emission factors'!$K$3:$V$201,MATCH(E308&amp;F308,'Emission factors'!$J$3:$J$201&amp;'Emission factors'!$K$3:$K$201,0),MATCH(K$6,'Emission factors'!$K$2:$V$2,0)))*I308))</f>
        <v/>
      </c>
      <c r="L308" s="494" t="str">
        <f>IF(OR($E308="",$D308="",$I308="",$J308=""),"",INDEX('Emission factors'!$K$3:$V$201,MATCH('Buildings - Grid Electricity'!$E308,'Emission factors'!$J$3:$J$201,0),MATCH($L$6,'Emission factors'!$K$2:$V$2,0)))</f>
        <v/>
      </c>
      <c r="M308" s="495" t="str" cm="1">
        <f t="array" ref="M308">IF(OR(E308="",I308="",BuildingsElectricityTable[[#This Row],[Units]]=""),"",INDEX('Emission factors'!$K$3:$V$201,MATCH('Buildings - Grid Electricity'!$E308&amp;F308,'Emission factors'!$J$3:$J$201&amp;'Emission factors'!$K$3:$K$201,0),MATCH('Buildings - Grid Electricity'!$M$6,'Emission factors'!$K$2:$V$2,0)))</f>
        <v/>
      </c>
      <c r="N308" s="496" t="str">
        <f>IF(OR(K308="",M308=""),"",SUM(BuildingsElectricityTable[[#This Row],[Direct]:[Indirect WTT]]))</f>
        <v/>
      </c>
      <c r="O308" s="268"/>
      <c r="P308" s="497"/>
      <c r="Q308" s="157" t="str" cm="1">
        <f t="array" ref="Q308">IF(OR($E308="",$I308=""),"",(INDEX('Emission factors'!$K$3:$V$201,MATCH('Buildings - Grid Electricity'!$E308&amp;$F308,'Emission factors'!$J$3:$J$201&amp;'Emission factors'!$K$3:$K$201,0),MATCH('Buildings - Grid Electricity'!Q$6,'Emission factors'!$K$2:$V$2,0)))*$K308)</f>
        <v/>
      </c>
      <c r="R308" s="157" t="str" cm="1">
        <f t="array" ref="R308">IF(OR($E308="",$I308=""),"",(INDEX('Emission factors'!$K$3:$V$201,MATCH('Buildings - Grid Electricity'!$E308&amp;$F308,'Emission factors'!$J$3:$J$201&amp;'Emission factors'!$K$3:$K$201,0),MATCH('Buildings - Grid Electricity'!R$6,'Emission factors'!$K$2:$V$2,0)))*$K308)</f>
        <v/>
      </c>
      <c r="S308" s="157" t="str" cm="1">
        <f t="array" ref="S308">IF(OR($E308="",$I308=""),"",(INDEX('Emission factors'!$K$3:$V$201,MATCH('Buildings - Grid Electricity'!$E308&amp;$F308,'Emission factors'!$J$3:$J$201&amp;'Emission factors'!$K$3:$K$201,0),MATCH('Buildings - Grid Electricity'!S$6,'Emission factors'!$K$2:$V$2,0)))*$K308)</f>
        <v/>
      </c>
      <c r="T308" s="157" t="str" cm="1">
        <f t="array" ref="T308">IF(OR($E308="",$I308=""),"",(INDEX('Emission factors'!$K$3:$V$201,MATCH('Buildings - Grid Electricity'!$E308&amp;$F308,'Emission factors'!$J$3:$J$201&amp;'Emission factors'!$K$3:$K$201,0),MATCH('Buildings - Grid Electricity'!T$6,'Emission factors'!$K$2:$V$2,0)))*$K308)</f>
        <v/>
      </c>
      <c r="U308" s="157" t="str" cm="1">
        <f t="array" ref="U308">IF(OR($E308="",$I308=""),"",(INDEX('Emission factors'!$K$3:$V$201,MATCH('Buildings - Grid Electricity'!$E308&amp;$F308,'Emission factors'!$J$3:$J$201&amp;'Emission factors'!$K$3:$K$201,0),MATCH('Buildings - Grid Electricity'!U$6,'Emission factors'!$K$2:$V$2,0)))*$K308)</f>
        <v/>
      </c>
      <c r="V308" s="269" t="str">
        <f>IF(OR($N308="",BuildingsElectricityTable[[#This Row],[RSD]]=""),"",BuildingsElectricityTable[[#This Row],[Total emissions (kgCO2e)]]*(1+BuildingsElectricityTable[[#This Row],[RSD]]))</f>
        <v/>
      </c>
      <c r="W308" s="270" t="str">
        <f>IF(OR($N308="",BuildingsElectricityTable[[#This Row],[RSD]]=""),"",BuildingsElectricityTable[[#This Row],[Total emissions (kgCO2e)]]*(1-BuildingsElectricityTable[[#This Row],[RSD]]))</f>
        <v/>
      </c>
      <c r="X308" s="271" t="str" cm="1">
        <f t="array" ref="X308">IF(OR($E308="",$I308=""),"",(INDEX('Emission factors'!$K$3:$V$201,MATCH('Buildings - Grid Electricity'!$E308&amp;$F308,'Emission factors'!$J$3:$J$201&amp;'Emission factors'!$K$3:$K$201,0),MATCH('Buildings - Grid Electricity'!X$6,'Emission factors'!$K$2:$V$2,0)))*$K308)</f>
        <v/>
      </c>
      <c r="Y308" s="30"/>
      <c r="Z308" s="1" cm="1">
        <f t="array" ref="Z308">IF(OR(ISERROR(B308:X308)),1,0)</f>
        <v>0</v>
      </c>
      <c r="AA308" s="1">
        <f t="shared" si="24"/>
        <v>0</v>
      </c>
    </row>
    <row r="309" spans="1:27" ht="15" outlineLevel="1" thickBot="1" x14ac:dyDescent="0.4">
      <c r="A309" s="319"/>
      <c r="B309" s="216"/>
      <c r="C309" s="216"/>
      <c r="D309" s="489" t="str">
        <f>IFERROR(INDEX(BuildingInformationTable[Site type],MATCH(BuildingsElectricityTable[[#This Row],[Site name]],BuildingInformationTable[Site name],0)),"")</f>
        <v/>
      </c>
      <c r="E309" s="490" t="str">
        <f t="shared" si="25"/>
        <v/>
      </c>
      <c r="F309" s="490" t="str">
        <f t="shared" si="26"/>
        <v/>
      </c>
      <c r="G309" s="491"/>
      <c r="H309" s="492" t="str">
        <f>IF(G309="","",INDEX(Lists!$BA$4:$BC$31,MATCH(E309,Lists!$AZ$4:$AZ$31,0),MATCH(G309,Lists!$BA$3:$BC$3,0)))</f>
        <v/>
      </c>
      <c r="I309" s="267"/>
      <c r="J309" s="490" t="str">
        <f t="shared" si="27"/>
        <v/>
      </c>
      <c r="K309" s="493" t="str" cm="1">
        <f t="array" ref="K309">IF(OR($E309="",$D309="",$I309="",$J309=""),"",IF(J309=L309,I309,(INDEX('Emission factors'!$K$3:$V$201,MATCH(E309&amp;F309,'Emission factors'!$J$3:$J$201&amp;'Emission factors'!$K$3:$K$201,0),MATCH(K$6,'Emission factors'!$K$2:$V$2,0)))*I309))</f>
        <v/>
      </c>
      <c r="L309" s="494" t="str">
        <f>IF(OR($E309="",$D309="",$I309="",$J309=""),"",INDEX('Emission factors'!$K$3:$V$201,MATCH('Buildings - Grid Electricity'!$E309,'Emission factors'!$J$3:$J$201,0),MATCH($L$6,'Emission factors'!$K$2:$V$2,0)))</f>
        <v/>
      </c>
      <c r="M309" s="495" t="str" cm="1">
        <f t="array" ref="M309">IF(OR(E309="",I309="",BuildingsElectricityTable[[#This Row],[Units]]=""),"",INDEX('Emission factors'!$K$3:$V$201,MATCH('Buildings - Grid Electricity'!$E309&amp;F309,'Emission factors'!$J$3:$J$201&amp;'Emission factors'!$K$3:$K$201,0),MATCH('Buildings - Grid Electricity'!$M$6,'Emission factors'!$K$2:$V$2,0)))</f>
        <v/>
      </c>
      <c r="N309" s="496" t="str">
        <f>IF(OR(K309="",M309=""),"",SUM(BuildingsElectricityTable[[#This Row],[Direct]:[Indirect WTT]]))</f>
        <v/>
      </c>
      <c r="O309" s="268"/>
      <c r="P309" s="497"/>
      <c r="Q309" s="157" t="str" cm="1">
        <f t="array" ref="Q309">IF(OR($E309="",$I309=""),"",(INDEX('Emission factors'!$K$3:$V$201,MATCH('Buildings - Grid Electricity'!$E309&amp;$F309,'Emission factors'!$J$3:$J$201&amp;'Emission factors'!$K$3:$K$201,0),MATCH('Buildings - Grid Electricity'!Q$6,'Emission factors'!$K$2:$V$2,0)))*$K309)</f>
        <v/>
      </c>
      <c r="R309" s="157" t="str" cm="1">
        <f t="array" ref="R309">IF(OR($E309="",$I309=""),"",(INDEX('Emission factors'!$K$3:$V$201,MATCH('Buildings - Grid Electricity'!$E309&amp;$F309,'Emission factors'!$J$3:$J$201&amp;'Emission factors'!$K$3:$K$201,0),MATCH('Buildings - Grid Electricity'!R$6,'Emission factors'!$K$2:$V$2,0)))*$K309)</f>
        <v/>
      </c>
      <c r="S309" s="157" t="str" cm="1">
        <f t="array" ref="S309">IF(OR($E309="",$I309=""),"",(INDEX('Emission factors'!$K$3:$V$201,MATCH('Buildings - Grid Electricity'!$E309&amp;$F309,'Emission factors'!$J$3:$J$201&amp;'Emission factors'!$K$3:$K$201,0),MATCH('Buildings - Grid Electricity'!S$6,'Emission factors'!$K$2:$V$2,0)))*$K309)</f>
        <v/>
      </c>
      <c r="T309" s="157" t="str" cm="1">
        <f t="array" ref="T309">IF(OR($E309="",$I309=""),"",(INDEX('Emission factors'!$K$3:$V$201,MATCH('Buildings - Grid Electricity'!$E309&amp;$F309,'Emission factors'!$J$3:$J$201&amp;'Emission factors'!$K$3:$K$201,0),MATCH('Buildings - Grid Electricity'!T$6,'Emission factors'!$K$2:$V$2,0)))*$K309)</f>
        <v/>
      </c>
      <c r="U309" s="157" t="str" cm="1">
        <f t="array" ref="U309">IF(OR($E309="",$I309=""),"",(INDEX('Emission factors'!$K$3:$V$201,MATCH('Buildings - Grid Electricity'!$E309&amp;$F309,'Emission factors'!$J$3:$J$201&amp;'Emission factors'!$K$3:$K$201,0),MATCH('Buildings - Grid Electricity'!U$6,'Emission factors'!$K$2:$V$2,0)))*$K309)</f>
        <v/>
      </c>
      <c r="V309" s="269" t="str">
        <f>IF(OR($N309="",BuildingsElectricityTable[[#This Row],[RSD]]=""),"",BuildingsElectricityTable[[#This Row],[Total emissions (kgCO2e)]]*(1+BuildingsElectricityTable[[#This Row],[RSD]]))</f>
        <v/>
      </c>
      <c r="W309" s="270" t="str">
        <f>IF(OR($N309="",BuildingsElectricityTable[[#This Row],[RSD]]=""),"",BuildingsElectricityTable[[#This Row],[Total emissions (kgCO2e)]]*(1-BuildingsElectricityTable[[#This Row],[RSD]]))</f>
        <v/>
      </c>
      <c r="X309" s="271" t="str" cm="1">
        <f t="array" ref="X309">IF(OR($E309="",$I309=""),"",(INDEX('Emission factors'!$K$3:$V$201,MATCH('Buildings - Grid Electricity'!$E309&amp;$F309,'Emission factors'!$J$3:$J$201&amp;'Emission factors'!$K$3:$K$201,0),MATCH('Buildings - Grid Electricity'!X$6,'Emission factors'!$K$2:$V$2,0)))*$K309)</f>
        <v/>
      </c>
      <c r="Y309" s="30"/>
      <c r="Z309" s="1" cm="1">
        <f t="array" ref="Z309">IF(OR(ISERROR(B309:X309)),1,0)</f>
        <v>0</v>
      </c>
      <c r="AA309" s="1">
        <f t="shared" si="24"/>
        <v>0</v>
      </c>
    </row>
    <row r="310" spans="1:27" ht="15" outlineLevel="1" thickBot="1" x14ac:dyDescent="0.4">
      <c r="A310" s="319"/>
      <c r="B310" s="216"/>
      <c r="C310" s="216"/>
      <c r="D310" s="489" t="str">
        <f>IFERROR(INDEX(BuildingInformationTable[Site type],MATCH(BuildingsElectricityTable[[#This Row],[Site name]],BuildingInformationTable[Site name],0)),"")</f>
        <v/>
      </c>
      <c r="E310" s="490" t="str">
        <f t="shared" si="25"/>
        <v/>
      </c>
      <c r="F310" s="490" t="str">
        <f t="shared" si="26"/>
        <v/>
      </c>
      <c r="G310" s="491"/>
      <c r="H310" s="492" t="str">
        <f>IF(G310="","",INDEX(Lists!$BA$4:$BC$31,MATCH(E310,Lists!$AZ$4:$AZ$31,0),MATCH(G310,Lists!$BA$3:$BC$3,0)))</f>
        <v/>
      </c>
      <c r="I310" s="267"/>
      <c r="J310" s="490" t="str">
        <f t="shared" si="27"/>
        <v/>
      </c>
      <c r="K310" s="493" t="str" cm="1">
        <f t="array" ref="K310">IF(OR($E310="",$D310="",$I310="",$J310=""),"",IF(J310=L310,I310,(INDEX('Emission factors'!$K$3:$V$201,MATCH(E310&amp;F310,'Emission factors'!$J$3:$J$201&amp;'Emission factors'!$K$3:$K$201,0),MATCH(K$6,'Emission factors'!$K$2:$V$2,0)))*I310))</f>
        <v/>
      </c>
      <c r="L310" s="494" t="str">
        <f>IF(OR($E310="",$D310="",$I310="",$J310=""),"",INDEX('Emission factors'!$K$3:$V$201,MATCH('Buildings - Grid Electricity'!$E310,'Emission factors'!$J$3:$J$201,0),MATCH($L$6,'Emission factors'!$K$2:$V$2,0)))</f>
        <v/>
      </c>
      <c r="M310" s="495" t="str" cm="1">
        <f t="array" ref="M310">IF(OR(E310="",I310="",BuildingsElectricityTable[[#This Row],[Units]]=""),"",INDEX('Emission factors'!$K$3:$V$201,MATCH('Buildings - Grid Electricity'!$E310&amp;F310,'Emission factors'!$J$3:$J$201&amp;'Emission factors'!$K$3:$K$201,0),MATCH('Buildings - Grid Electricity'!$M$6,'Emission factors'!$K$2:$V$2,0)))</f>
        <v/>
      </c>
      <c r="N310" s="496" t="str">
        <f>IF(OR(K310="",M310=""),"",SUM(BuildingsElectricityTable[[#This Row],[Direct]:[Indirect WTT]]))</f>
        <v/>
      </c>
      <c r="O310" s="268"/>
      <c r="P310" s="497"/>
      <c r="Q310" s="157" t="str" cm="1">
        <f t="array" ref="Q310">IF(OR($E310="",$I310=""),"",(INDEX('Emission factors'!$K$3:$V$201,MATCH('Buildings - Grid Electricity'!$E310&amp;$F310,'Emission factors'!$J$3:$J$201&amp;'Emission factors'!$K$3:$K$201,0),MATCH('Buildings - Grid Electricity'!Q$6,'Emission factors'!$K$2:$V$2,0)))*$K310)</f>
        <v/>
      </c>
      <c r="R310" s="157" t="str" cm="1">
        <f t="array" ref="R310">IF(OR($E310="",$I310=""),"",(INDEX('Emission factors'!$K$3:$V$201,MATCH('Buildings - Grid Electricity'!$E310&amp;$F310,'Emission factors'!$J$3:$J$201&amp;'Emission factors'!$K$3:$K$201,0),MATCH('Buildings - Grid Electricity'!R$6,'Emission factors'!$K$2:$V$2,0)))*$K310)</f>
        <v/>
      </c>
      <c r="S310" s="157" t="str" cm="1">
        <f t="array" ref="S310">IF(OR($E310="",$I310=""),"",(INDEX('Emission factors'!$K$3:$V$201,MATCH('Buildings - Grid Electricity'!$E310&amp;$F310,'Emission factors'!$J$3:$J$201&amp;'Emission factors'!$K$3:$K$201,0),MATCH('Buildings - Grid Electricity'!S$6,'Emission factors'!$K$2:$V$2,0)))*$K310)</f>
        <v/>
      </c>
      <c r="T310" s="157" t="str" cm="1">
        <f t="array" ref="T310">IF(OR($E310="",$I310=""),"",(INDEX('Emission factors'!$K$3:$V$201,MATCH('Buildings - Grid Electricity'!$E310&amp;$F310,'Emission factors'!$J$3:$J$201&amp;'Emission factors'!$K$3:$K$201,0),MATCH('Buildings - Grid Electricity'!T$6,'Emission factors'!$K$2:$V$2,0)))*$K310)</f>
        <v/>
      </c>
      <c r="U310" s="157" t="str" cm="1">
        <f t="array" ref="U310">IF(OR($E310="",$I310=""),"",(INDEX('Emission factors'!$K$3:$V$201,MATCH('Buildings - Grid Electricity'!$E310&amp;$F310,'Emission factors'!$J$3:$J$201&amp;'Emission factors'!$K$3:$K$201,0),MATCH('Buildings - Grid Electricity'!U$6,'Emission factors'!$K$2:$V$2,0)))*$K310)</f>
        <v/>
      </c>
      <c r="V310" s="269" t="str">
        <f>IF(OR($N310="",BuildingsElectricityTable[[#This Row],[RSD]]=""),"",BuildingsElectricityTable[[#This Row],[Total emissions (kgCO2e)]]*(1+BuildingsElectricityTable[[#This Row],[RSD]]))</f>
        <v/>
      </c>
      <c r="W310" s="270" t="str">
        <f>IF(OR($N310="",BuildingsElectricityTable[[#This Row],[RSD]]=""),"",BuildingsElectricityTable[[#This Row],[Total emissions (kgCO2e)]]*(1-BuildingsElectricityTable[[#This Row],[RSD]]))</f>
        <v/>
      </c>
      <c r="X310" s="271" t="str" cm="1">
        <f t="array" ref="X310">IF(OR($E310="",$I310=""),"",(INDEX('Emission factors'!$K$3:$V$201,MATCH('Buildings - Grid Electricity'!$E310&amp;$F310,'Emission factors'!$J$3:$J$201&amp;'Emission factors'!$K$3:$K$201,0),MATCH('Buildings - Grid Electricity'!X$6,'Emission factors'!$K$2:$V$2,0)))*$K310)</f>
        <v/>
      </c>
      <c r="Y310" s="30"/>
      <c r="Z310" s="1" cm="1">
        <f t="array" ref="Z310">IF(OR(ISERROR(B310:X310)),1,0)</f>
        <v>0</v>
      </c>
      <c r="AA310" s="1">
        <f t="shared" si="24"/>
        <v>0</v>
      </c>
    </row>
    <row r="311" spans="1:27" ht="15" outlineLevel="1" thickBot="1" x14ac:dyDescent="0.4">
      <c r="A311" s="319"/>
      <c r="B311" s="216"/>
      <c r="C311" s="216"/>
      <c r="D311" s="489" t="str">
        <f>IFERROR(INDEX(BuildingInformationTable[Site type],MATCH(BuildingsElectricityTable[[#This Row],[Site name]],BuildingInformationTable[Site name],0)),"")</f>
        <v/>
      </c>
      <c r="E311" s="490" t="str">
        <f t="shared" si="25"/>
        <v/>
      </c>
      <c r="F311" s="490" t="str">
        <f t="shared" si="26"/>
        <v/>
      </c>
      <c r="G311" s="491"/>
      <c r="H311" s="492" t="str">
        <f>IF(G311="","",INDEX(Lists!$BA$4:$BC$31,MATCH(E311,Lists!$AZ$4:$AZ$31,0),MATCH(G311,Lists!$BA$3:$BC$3,0)))</f>
        <v/>
      </c>
      <c r="I311" s="267"/>
      <c r="J311" s="490" t="str">
        <f t="shared" si="27"/>
        <v/>
      </c>
      <c r="K311" s="493" t="str" cm="1">
        <f t="array" ref="K311">IF(OR($E311="",$D311="",$I311="",$J311=""),"",IF(J311=L311,I311,(INDEX('Emission factors'!$K$3:$V$201,MATCH(E311&amp;F311,'Emission factors'!$J$3:$J$201&amp;'Emission factors'!$K$3:$K$201,0),MATCH(K$6,'Emission factors'!$K$2:$V$2,0)))*I311))</f>
        <v/>
      </c>
      <c r="L311" s="494" t="str">
        <f>IF(OR($E311="",$D311="",$I311="",$J311=""),"",INDEX('Emission factors'!$K$3:$V$201,MATCH('Buildings - Grid Electricity'!$E311,'Emission factors'!$J$3:$J$201,0),MATCH($L$6,'Emission factors'!$K$2:$V$2,0)))</f>
        <v/>
      </c>
      <c r="M311" s="495" t="str" cm="1">
        <f t="array" ref="M311">IF(OR(E311="",I311="",BuildingsElectricityTable[[#This Row],[Units]]=""),"",INDEX('Emission factors'!$K$3:$V$201,MATCH('Buildings - Grid Electricity'!$E311&amp;F311,'Emission factors'!$J$3:$J$201&amp;'Emission factors'!$K$3:$K$201,0),MATCH('Buildings - Grid Electricity'!$M$6,'Emission factors'!$K$2:$V$2,0)))</f>
        <v/>
      </c>
      <c r="N311" s="496" t="str">
        <f>IF(OR(K311="",M311=""),"",SUM(BuildingsElectricityTable[[#This Row],[Direct]:[Indirect WTT]]))</f>
        <v/>
      </c>
      <c r="O311" s="268"/>
      <c r="P311" s="497"/>
      <c r="Q311" s="157" t="str" cm="1">
        <f t="array" ref="Q311">IF(OR($E311="",$I311=""),"",(INDEX('Emission factors'!$K$3:$V$201,MATCH('Buildings - Grid Electricity'!$E311&amp;$F311,'Emission factors'!$J$3:$J$201&amp;'Emission factors'!$K$3:$K$201,0),MATCH('Buildings - Grid Electricity'!Q$6,'Emission factors'!$K$2:$V$2,0)))*$K311)</f>
        <v/>
      </c>
      <c r="R311" s="157" t="str" cm="1">
        <f t="array" ref="R311">IF(OR($E311="",$I311=""),"",(INDEX('Emission factors'!$K$3:$V$201,MATCH('Buildings - Grid Electricity'!$E311&amp;$F311,'Emission factors'!$J$3:$J$201&amp;'Emission factors'!$K$3:$K$201,0),MATCH('Buildings - Grid Electricity'!R$6,'Emission factors'!$K$2:$V$2,0)))*$K311)</f>
        <v/>
      </c>
      <c r="S311" s="157" t="str" cm="1">
        <f t="array" ref="S311">IF(OR($E311="",$I311=""),"",(INDEX('Emission factors'!$K$3:$V$201,MATCH('Buildings - Grid Electricity'!$E311&amp;$F311,'Emission factors'!$J$3:$J$201&amp;'Emission factors'!$K$3:$K$201,0),MATCH('Buildings - Grid Electricity'!S$6,'Emission factors'!$K$2:$V$2,0)))*$K311)</f>
        <v/>
      </c>
      <c r="T311" s="157" t="str" cm="1">
        <f t="array" ref="T311">IF(OR($E311="",$I311=""),"",(INDEX('Emission factors'!$K$3:$V$201,MATCH('Buildings - Grid Electricity'!$E311&amp;$F311,'Emission factors'!$J$3:$J$201&amp;'Emission factors'!$K$3:$K$201,0),MATCH('Buildings - Grid Electricity'!T$6,'Emission factors'!$K$2:$V$2,0)))*$K311)</f>
        <v/>
      </c>
      <c r="U311" s="157" t="str" cm="1">
        <f t="array" ref="U311">IF(OR($E311="",$I311=""),"",(INDEX('Emission factors'!$K$3:$V$201,MATCH('Buildings - Grid Electricity'!$E311&amp;$F311,'Emission factors'!$J$3:$J$201&amp;'Emission factors'!$K$3:$K$201,0),MATCH('Buildings - Grid Electricity'!U$6,'Emission factors'!$K$2:$V$2,0)))*$K311)</f>
        <v/>
      </c>
      <c r="V311" s="269" t="str">
        <f>IF(OR($N311="",BuildingsElectricityTable[[#This Row],[RSD]]=""),"",BuildingsElectricityTable[[#This Row],[Total emissions (kgCO2e)]]*(1+BuildingsElectricityTable[[#This Row],[RSD]]))</f>
        <v/>
      </c>
      <c r="W311" s="270" t="str">
        <f>IF(OR($N311="",BuildingsElectricityTable[[#This Row],[RSD]]=""),"",BuildingsElectricityTable[[#This Row],[Total emissions (kgCO2e)]]*(1-BuildingsElectricityTable[[#This Row],[RSD]]))</f>
        <v/>
      </c>
      <c r="X311" s="271" t="str" cm="1">
        <f t="array" ref="X311">IF(OR($E311="",$I311=""),"",(INDEX('Emission factors'!$K$3:$V$201,MATCH('Buildings - Grid Electricity'!$E311&amp;$F311,'Emission factors'!$J$3:$J$201&amp;'Emission factors'!$K$3:$K$201,0),MATCH('Buildings - Grid Electricity'!X$6,'Emission factors'!$K$2:$V$2,0)))*$K311)</f>
        <v/>
      </c>
      <c r="Y311" s="30"/>
      <c r="Z311" s="1" cm="1">
        <f t="array" ref="Z311">IF(OR(ISERROR(B311:X311)),1,0)</f>
        <v>0</v>
      </c>
      <c r="AA311" s="1">
        <f t="shared" si="24"/>
        <v>0</v>
      </c>
    </row>
    <row r="312" spans="1:27" ht="15" outlineLevel="1" thickBot="1" x14ac:dyDescent="0.4">
      <c r="A312" s="319"/>
      <c r="B312" s="216"/>
      <c r="C312" s="216"/>
      <c r="D312" s="489" t="str">
        <f>IFERROR(INDEX(BuildingInformationTable[Site type],MATCH(BuildingsElectricityTable[[#This Row],[Site name]],BuildingInformationTable[Site name],0)),"")</f>
        <v/>
      </c>
      <c r="E312" s="490" t="str">
        <f t="shared" si="25"/>
        <v/>
      </c>
      <c r="F312" s="490" t="str">
        <f t="shared" si="26"/>
        <v/>
      </c>
      <c r="G312" s="491"/>
      <c r="H312" s="492" t="str">
        <f>IF(G312="","",INDEX(Lists!$BA$4:$BC$31,MATCH(E312,Lists!$AZ$4:$AZ$31,0),MATCH(G312,Lists!$BA$3:$BC$3,0)))</f>
        <v/>
      </c>
      <c r="I312" s="267"/>
      <c r="J312" s="490" t="str">
        <f t="shared" si="27"/>
        <v/>
      </c>
      <c r="K312" s="493" t="str" cm="1">
        <f t="array" ref="K312">IF(OR($E312="",$D312="",$I312="",$J312=""),"",IF(J312=L312,I312,(INDEX('Emission factors'!$K$3:$V$201,MATCH(E312&amp;F312,'Emission factors'!$J$3:$J$201&amp;'Emission factors'!$K$3:$K$201,0),MATCH(K$6,'Emission factors'!$K$2:$V$2,0)))*I312))</f>
        <v/>
      </c>
      <c r="L312" s="494" t="str">
        <f>IF(OR($E312="",$D312="",$I312="",$J312=""),"",INDEX('Emission factors'!$K$3:$V$201,MATCH('Buildings - Grid Electricity'!$E312,'Emission factors'!$J$3:$J$201,0),MATCH($L$6,'Emission factors'!$K$2:$V$2,0)))</f>
        <v/>
      </c>
      <c r="M312" s="495" t="str" cm="1">
        <f t="array" ref="M312">IF(OR(E312="",I312="",BuildingsElectricityTable[[#This Row],[Units]]=""),"",INDEX('Emission factors'!$K$3:$V$201,MATCH('Buildings - Grid Electricity'!$E312&amp;F312,'Emission factors'!$J$3:$J$201&amp;'Emission factors'!$K$3:$K$201,0),MATCH('Buildings - Grid Electricity'!$M$6,'Emission factors'!$K$2:$V$2,0)))</f>
        <v/>
      </c>
      <c r="N312" s="496" t="str">
        <f>IF(OR(K312="",M312=""),"",SUM(BuildingsElectricityTable[[#This Row],[Direct]:[Indirect WTT]]))</f>
        <v/>
      </c>
      <c r="O312" s="268"/>
      <c r="P312" s="497"/>
      <c r="Q312" s="157" t="str" cm="1">
        <f t="array" ref="Q312">IF(OR($E312="",$I312=""),"",(INDEX('Emission factors'!$K$3:$V$201,MATCH('Buildings - Grid Electricity'!$E312&amp;$F312,'Emission factors'!$J$3:$J$201&amp;'Emission factors'!$K$3:$K$201,0),MATCH('Buildings - Grid Electricity'!Q$6,'Emission factors'!$K$2:$V$2,0)))*$K312)</f>
        <v/>
      </c>
      <c r="R312" s="157" t="str" cm="1">
        <f t="array" ref="R312">IF(OR($E312="",$I312=""),"",(INDEX('Emission factors'!$K$3:$V$201,MATCH('Buildings - Grid Electricity'!$E312&amp;$F312,'Emission factors'!$J$3:$J$201&amp;'Emission factors'!$K$3:$K$201,0),MATCH('Buildings - Grid Electricity'!R$6,'Emission factors'!$K$2:$V$2,0)))*$K312)</f>
        <v/>
      </c>
      <c r="S312" s="157" t="str" cm="1">
        <f t="array" ref="S312">IF(OR($E312="",$I312=""),"",(INDEX('Emission factors'!$K$3:$V$201,MATCH('Buildings - Grid Electricity'!$E312&amp;$F312,'Emission factors'!$J$3:$J$201&amp;'Emission factors'!$K$3:$K$201,0),MATCH('Buildings - Grid Electricity'!S$6,'Emission factors'!$K$2:$V$2,0)))*$K312)</f>
        <v/>
      </c>
      <c r="T312" s="157" t="str" cm="1">
        <f t="array" ref="T312">IF(OR($E312="",$I312=""),"",(INDEX('Emission factors'!$K$3:$V$201,MATCH('Buildings - Grid Electricity'!$E312&amp;$F312,'Emission factors'!$J$3:$J$201&amp;'Emission factors'!$K$3:$K$201,0),MATCH('Buildings - Grid Electricity'!T$6,'Emission factors'!$K$2:$V$2,0)))*$K312)</f>
        <v/>
      </c>
      <c r="U312" s="157" t="str" cm="1">
        <f t="array" ref="U312">IF(OR($E312="",$I312=""),"",(INDEX('Emission factors'!$K$3:$V$201,MATCH('Buildings - Grid Electricity'!$E312&amp;$F312,'Emission factors'!$J$3:$J$201&amp;'Emission factors'!$K$3:$K$201,0),MATCH('Buildings - Grid Electricity'!U$6,'Emission factors'!$K$2:$V$2,0)))*$K312)</f>
        <v/>
      </c>
      <c r="V312" s="269" t="str">
        <f>IF(OR($N312="",BuildingsElectricityTable[[#This Row],[RSD]]=""),"",BuildingsElectricityTable[[#This Row],[Total emissions (kgCO2e)]]*(1+BuildingsElectricityTable[[#This Row],[RSD]]))</f>
        <v/>
      </c>
      <c r="W312" s="270" t="str">
        <f>IF(OR($N312="",BuildingsElectricityTable[[#This Row],[RSD]]=""),"",BuildingsElectricityTable[[#This Row],[Total emissions (kgCO2e)]]*(1-BuildingsElectricityTable[[#This Row],[RSD]]))</f>
        <v/>
      </c>
      <c r="X312" s="271" t="str" cm="1">
        <f t="array" ref="X312">IF(OR($E312="",$I312=""),"",(INDEX('Emission factors'!$K$3:$V$201,MATCH('Buildings - Grid Electricity'!$E312&amp;$F312,'Emission factors'!$J$3:$J$201&amp;'Emission factors'!$K$3:$K$201,0),MATCH('Buildings - Grid Electricity'!X$6,'Emission factors'!$K$2:$V$2,0)))*$K312)</f>
        <v/>
      </c>
      <c r="Y312" s="30"/>
      <c r="Z312" s="1" cm="1">
        <f t="array" ref="Z312">IF(OR(ISERROR(B312:X312)),1,0)</f>
        <v>0</v>
      </c>
      <c r="AA312" s="1">
        <f t="shared" si="24"/>
        <v>0</v>
      </c>
    </row>
    <row r="313" spans="1:27" ht="15" outlineLevel="1" thickBot="1" x14ac:dyDescent="0.4">
      <c r="A313" s="319"/>
      <c r="B313" s="216"/>
      <c r="C313" s="216"/>
      <c r="D313" s="489" t="str">
        <f>IFERROR(INDEX(BuildingInformationTable[Site type],MATCH(BuildingsElectricityTable[[#This Row],[Site name]],BuildingInformationTable[Site name],0)),"")</f>
        <v/>
      </c>
      <c r="E313" s="490" t="str">
        <f t="shared" si="25"/>
        <v/>
      </c>
      <c r="F313" s="490" t="str">
        <f t="shared" si="26"/>
        <v/>
      </c>
      <c r="G313" s="491"/>
      <c r="H313" s="492" t="str">
        <f>IF(G313="","",INDEX(Lists!$BA$4:$BC$31,MATCH(E313,Lists!$AZ$4:$AZ$31,0),MATCH(G313,Lists!$BA$3:$BC$3,0)))</f>
        <v/>
      </c>
      <c r="I313" s="267"/>
      <c r="J313" s="490" t="str">
        <f t="shared" si="27"/>
        <v/>
      </c>
      <c r="K313" s="493" t="str" cm="1">
        <f t="array" ref="K313">IF(OR($E313="",$D313="",$I313="",$J313=""),"",IF(J313=L313,I313,(INDEX('Emission factors'!$K$3:$V$201,MATCH(E313&amp;F313,'Emission factors'!$J$3:$J$201&amp;'Emission factors'!$K$3:$K$201,0),MATCH(K$6,'Emission factors'!$K$2:$V$2,0)))*I313))</f>
        <v/>
      </c>
      <c r="L313" s="494" t="str">
        <f>IF(OR($E313="",$D313="",$I313="",$J313=""),"",INDEX('Emission factors'!$K$3:$V$201,MATCH('Buildings - Grid Electricity'!$E313,'Emission factors'!$J$3:$J$201,0),MATCH($L$6,'Emission factors'!$K$2:$V$2,0)))</f>
        <v/>
      </c>
      <c r="M313" s="495" t="str" cm="1">
        <f t="array" ref="M313">IF(OR(E313="",I313="",BuildingsElectricityTable[[#This Row],[Units]]=""),"",INDEX('Emission factors'!$K$3:$V$201,MATCH('Buildings - Grid Electricity'!$E313&amp;F313,'Emission factors'!$J$3:$J$201&amp;'Emission factors'!$K$3:$K$201,0),MATCH('Buildings - Grid Electricity'!$M$6,'Emission factors'!$K$2:$V$2,0)))</f>
        <v/>
      </c>
      <c r="N313" s="496" t="str">
        <f>IF(OR(K313="",M313=""),"",SUM(BuildingsElectricityTable[[#This Row],[Direct]:[Indirect WTT]]))</f>
        <v/>
      </c>
      <c r="O313" s="268"/>
      <c r="P313" s="497"/>
      <c r="Q313" s="157" t="str" cm="1">
        <f t="array" ref="Q313">IF(OR($E313="",$I313=""),"",(INDEX('Emission factors'!$K$3:$V$201,MATCH('Buildings - Grid Electricity'!$E313&amp;$F313,'Emission factors'!$J$3:$J$201&amp;'Emission factors'!$K$3:$K$201,0),MATCH('Buildings - Grid Electricity'!Q$6,'Emission factors'!$K$2:$V$2,0)))*$K313)</f>
        <v/>
      </c>
      <c r="R313" s="157" t="str" cm="1">
        <f t="array" ref="R313">IF(OR($E313="",$I313=""),"",(INDEX('Emission factors'!$K$3:$V$201,MATCH('Buildings - Grid Electricity'!$E313&amp;$F313,'Emission factors'!$J$3:$J$201&amp;'Emission factors'!$K$3:$K$201,0),MATCH('Buildings - Grid Electricity'!R$6,'Emission factors'!$K$2:$V$2,0)))*$K313)</f>
        <v/>
      </c>
      <c r="S313" s="157" t="str" cm="1">
        <f t="array" ref="S313">IF(OR($E313="",$I313=""),"",(INDEX('Emission factors'!$K$3:$V$201,MATCH('Buildings - Grid Electricity'!$E313&amp;$F313,'Emission factors'!$J$3:$J$201&amp;'Emission factors'!$K$3:$K$201,0),MATCH('Buildings - Grid Electricity'!S$6,'Emission factors'!$K$2:$V$2,0)))*$K313)</f>
        <v/>
      </c>
      <c r="T313" s="157" t="str" cm="1">
        <f t="array" ref="T313">IF(OR($E313="",$I313=""),"",(INDEX('Emission factors'!$K$3:$V$201,MATCH('Buildings - Grid Electricity'!$E313&amp;$F313,'Emission factors'!$J$3:$J$201&amp;'Emission factors'!$K$3:$K$201,0),MATCH('Buildings - Grid Electricity'!T$6,'Emission factors'!$K$2:$V$2,0)))*$K313)</f>
        <v/>
      </c>
      <c r="U313" s="157" t="str" cm="1">
        <f t="array" ref="U313">IF(OR($E313="",$I313=""),"",(INDEX('Emission factors'!$K$3:$V$201,MATCH('Buildings - Grid Electricity'!$E313&amp;$F313,'Emission factors'!$J$3:$J$201&amp;'Emission factors'!$K$3:$K$201,0),MATCH('Buildings - Grid Electricity'!U$6,'Emission factors'!$K$2:$V$2,0)))*$K313)</f>
        <v/>
      </c>
      <c r="V313" s="269" t="str">
        <f>IF(OR($N313="",BuildingsElectricityTable[[#This Row],[RSD]]=""),"",BuildingsElectricityTable[[#This Row],[Total emissions (kgCO2e)]]*(1+BuildingsElectricityTable[[#This Row],[RSD]]))</f>
        <v/>
      </c>
      <c r="W313" s="270" t="str">
        <f>IF(OR($N313="",BuildingsElectricityTable[[#This Row],[RSD]]=""),"",BuildingsElectricityTable[[#This Row],[Total emissions (kgCO2e)]]*(1-BuildingsElectricityTable[[#This Row],[RSD]]))</f>
        <v/>
      </c>
      <c r="X313" s="271" t="str" cm="1">
        <f t="array" ref="X313">IF(OR($E313="",$I313=""),"",(INDEX('Emission factors'!$K$3:$V$201,MATCH('Buildings - Grid Electricity'!$E313&amp;$F313,'Emission factors'!$J$3:$J$201&amp;'Emission factors'!$K$3:$K$201,0),MATCH('Buildings - Grid Electricity'!X$6,'Emission factors'!$K$2:$V$2,0)))*$K313)</f>
        <v/>
      </c>
      <c r="Y313" s="30"/>
      <c r="Z313" s="1" cm="1">
        <f t="array" ref="Z313">IF(OR(ISERROR(B313:X313)),1,0)</f>
        <v>0</v>
      </c>
      <c r="AA313" s="1">
        <f t="shared" si="24"/>
        <v>0</v>
      </c>
    </row>
    <row r="314" spans="1:27" ht="15" outlineLevel="1" thickBot="1" x14ac:dyDescent="0.4">
      <c r="A314" s="319"/>
      <c r="B314" s="216"/>
      <c r="C314" s="216"/>
      <c r="D314" s="489" t="str">
        <f>IFERROR(INDEX(BuildingInformationTable[Site type],MATCH(BuildingsElectricityTable[[#This Row],[Site name]],BuildingInformationTable[Site name],0)),"")</f>
        <v/>
      </c>
      <c r="E314" s="490" t="str">
        <f t="shared" si="25"/>
        <v/>
      </c>
      <c r="F314" s="490" t="str">
        <f t="shared" si="26"/>
        <v/>
      </c>
      <c r="G314" s="491"/>
      <c r="H314" s="492" t="str">
        <f>IF(G314="","",INDEX(Lists!$BA$4:$BC$31,MATCH(E314,Lists!$AZ$4:$AZ$31,0),MATCH(G314,Lists!$BA$3:$BC$3,0)))</f>
        <v/>
      </c>
      <c r="I314" s="267"/>
      <c r="J314" s="490" t="str">
        <f t="shared" si="27"/>
        <v/>
      </c>
      <c r="K314" s="493" t="str" cm="1">
        <f t="array" ref="K314">IF(OR($E314="",$D314="",$I314="",$J314=""),"",IF(J314=L314,I314,(INDEX('Emission factors'!$K$3:$V$201,MATCH(E314&amp;F314,'Emission factors'!$J$3:$J$201&amp;'Emission factors'!$K$3:$K$201,0),MATCH(K$6,'Emission factors'!$K$2:$V$2,0)))*I314))</f>
        <v/>
      </c>
      <c r="L314" s="494" t="str">
        <f>IF(OR($E314="",$D314="",$I314="",$J314=""),"",INDEX('Emission factors'!$K$3:$V$201,MATCH('Buildings - Grid Electricity'!$E314,'Emission factors'!$J$3:$J$201,0),MATCH($L$6,'Emission factors'!$K$2:$V$2,0)))</f>
        <v/>
      </c>
      <c r="M314" s="495" t="str" cm="1">
        <f t="array" ref="M314">IF(OR(E314="",I314="",BuildingsElectricityTable[[#This Row],[Units]]=""),"",INDEX('Emission factors'!$K$3:$V$201,MATCH('Buildings - Grid Electricity'!$E314&amp;F314,'Emission factors'!$J$3:$J$201&amp;'Emission factors'!$K$3:$K$201,0),MATCH('Buildings - Grid Electricity'!$M$6,'Emission factors'!$K$2:$V$2,0)))</f>
        <v/>
      </c>
      <c r="N314" s="496" t="str">
        <f>IF(OR(K314="",M314=""),"",SUM(BuildingsElectricityTable[[#This Row],[Direct]:[Indirect WTT]]))</f>
        <v/>
      </c>
      <c r="O314" s="268"/>
      <c r="P314" s="497"/>
      <c r="Q314" s="157" t="str" cm="1">
        <f t="array" ref="Q314">IF(OR($E314="",$I314=""),"",(INDEX('Emission factors'!$K$3:$V$201,MATCH('Buildings - Grid Electricity'!$E314&amp;$F314,'Emission factors'!$J$3:$J$201&amp;'Emission factors'!$K$3:$K$201,0),MATCH('Buildings - Grid Electricity'!Q$6,'Emission factors'!$K$2:$V$2,0)))*$K314)</f>
        <v/>
      </c>
      <c r="R314" s="157" t="str" cm="1">
        <f t="array" ref="R314">IF(OR($E314="",$I314=""),"",(INDEX('Emission factors'!$K$3:$V$201,MATCH('Buildings - Grid Electricity'!$E314&amp;$F314,'Emission factors'!$J$3:$J$201&amp;'Emission factors'!$K$3:$K$201,0),MATCH('Buildings - Grid Electricity'!R$6,'Emission factors'!$K$2:$V$2,0)))*$K314)</f>
        <v/>
      </c>
      <c r="S314" s="157" t="str" cm="1">
        <f t="array" ref="S314">IF(OR($E314="",$I314=""),"",(INDEX('Emission factors'!$K$3:$V$201,MATCH('Buildings - Grid Electricity'!$E314&amp;$F314,'Emission factors'!$J$3:$J$201&amp;'Emission factors'!$K$3:$K$201,0),MATCH('Buildings - Grid Electricity'!S$6,'Emission factors'!$K$2:$V$2,0)))*$K314)</f>
        <v/>
      </c>
      <c r="T314" s="157" t="str" cm="1">
        <f t="array" ref="T314">IF(OR($E314="",$I314=""),"",(INDEX('Emission factors'!$K$3:$V$201,MATCH('Buildings - Grid Electricity'!$E314&amp;$F314,'Emission factors'!$J$3:$J$201&amp;'Emission factors'!$K$3:$K$201,0),MATCH('Buildings - Grid Electricity'!T$6,'Emission factors'!$K$2:$V$2,0)))*$K314)</f>
        <v/>
      </c>
      <c r="U314" s="157" t="str" cm="1">
        <f t="array" ref="U314">IF(OR($E314="",$I314=""),"",(INDEX('Emission factors'!$K$3:$V$201,MATCH('Buildings - Grid Electricity'!$E314&amp;$F314,'Emission factors'!$J$3:$J$201&amp;'Emission factors'!$K$3:$K$201,0),MATCH('Buildings - Grid Electricity'!U$6,'Emission factors'!$K$2:$V$2,0)))*$K314)</f>
        <v/>
      </c>
      <c r="V314" s="269" t="str">
        <f>IF(OR($N314="",BuildingsElectricityTable[[#This Row],[RSD]]=""),"",BuildingsElectricityTable[[#This Row],[Total emissions (kgCO2e)]]*(1+BuildingsElectricityTable[[#This Row],[RSD]]))</f>
        <v/>
      </c>
      <c r="W314" s="270" t="str">
        <f>IF(OR($N314="",BuildingsElectricityTable[[#This Row],[RSD]]=""),"",BuildingsElectricityTable[[#This Row],[Total emissions (kgCO2e)]]*(1-BuildingsElectricityTable[[#This Row],[RSD]]))</f>
        <v/>
      </c>
      <c r="X314" s="271" t="str" cm="1">
        <f t="array" ref="X314">IF(OR($E314="",$I314=""),"",(INDEX('Emission factors'!$K$3:$V$201,MATCH('Buildings - Grid Electricity'!$E314&amp;$F314,'Emission factors'!$J$3:$J$201&amp;'Emission factors'!$K$3:$K$201,0),MATCH('Buildings - Grid Electricity'!X$6,'Emission factors'!$K$2:$V$2,0)))*$K314)</f>
        <v/>
      </c>
      <c r="Y314" s="30"/>
      <c r="Z314" s="1" cm="1">
        <f t="array" ref="Z314">IF(OR(ISERROR(B314:X314)),1,0)</f>
        <v>0</v>
      </c>
      <c r="AA314" s="1">
        <f t="shared" si="24"/>
        <v>0</v>
      </c>
    </row>
    <row r="315" spans="1:27" ht="15" outlineLevel="1" thickBot="1" x14ac:dyDescent="0.4">
      <c r="A315" s="319"/>
      <c r="B315" s="216"/>
      <c r="C315" s="216"/>
      <c r="D315" s="489" t="str">
        <f>IFERROR(INDEX(BuildingInformationTable[Site type],MATCH(BuildingsElectricityTable[[#This Row],[Site name]],BuildingInformationTable[Site name],0)),"")</f>
        <v/>
      </c>
      <c r="E315" s="490" t="str">
        <f t="shared" si="25"/>
        <v/>
      </c>
      <c r="F315" s="490" t="str">
        <f t="shared" si="26"/>
        <v/>
      </c>
      <c r="G315" s="491"/>
      <c r="H315" s="492" t="str">
        <f>IF(G315="","",INDEX(Lists!$BA$4:$BC$31,MATCH(E315,Lists!$AZ$4:$AZ$31,0),MATCH(G315,Lists!$BA$3:$BC$3,0)))</f>
        <v/>
      </c>
      <c r="I315" s="267"/>
      <c r="J315" s="490" t="str">
        <f t="shared" si="27"/>
        <v/>
      </c>
      <c r="K315" s="493" t="str" cm="1">
        <f t="array" ref="K315">IF(OR($E315="",$D315="",$I315="",$J315=""),"",IF(J315=L315,I315,(INDEX('Emission factors'!$K$3:$V$201,MATCH(E315&amp;F315,'Emission factors'!$J$3:$J$201&amp;'Emission factors'!$K$3:$K$201,0),MATCH(K$6,'Emission factors'!$K$2:$V$2,0)))*I315))</f>
        <v/>
      </c>
      <c r="L315" s="494" t="str">
        <f>IF(OR($E315="",$D315="",$I315="",$J315=""),"",INDEX('Emission factors'!$K$3:$V$201,MATCH('Buildings - Grid Electricity'!$E315,'Emission factors'!$J$3:$J$201,0),MATCH($L$6,'Emission factors'!$K$2:$V$2,0)))</f>
        <v/>
      </c>
      <c r="M315" s="495" t="str" cm="1">
        <f t="array" ref="M315">IF(OR(E315="",I315="",BuildingsElectricityTable[[#This Row],[Units]]=""),"",INDEX('Emission factors'!$K$3:$V$201,MATCH('Buildings - Grid Electricity'!$E315&amp;F315,'Emission factors'!$J$3:$J$201&amp;'Emission factors'!$K$3:$K$201,0),MATCH('Buildings - Grid Electricity'!$M$6,'Emission factors'!$K$2:$V$2,0)))</f>
        <v/>
      </c>
      <c r="N315" s="496" t="str">
        <f>IF(OR(K315="",M315=""),"",SUM(BuildingsElectricityTable[[#This Row],[Direct]:[Indirect WTT]]))</f>
        <v/>
      </c>
      <c r="O315" s="268"/>
      <c r="P315" s="497"/>
      <c r="Q315" s="157" t="str" cm="1">
        <f t="array" ref="Q315">IF(OR($E315="",$I315=""),"",(INDEX('Emission factors'!$K$3:$V$201,MATCH('Buildings - Grid Electricity'!$E315&amp;$F315,'Emission factors'!$J$3:$J$201&amp;'Emission factors'!$K$3:$K$201,0),MATCH('Buildings - Grid Electricity'!Q$6,'Emission factors'!$K$2:$V$2,0)))*$K315)</f>
        <v/>
      </c>
      <c r="R315" s="157" t="str" cm="1">
        <f t="array" ref="R315">IF(OR($E315="",$I315=""),"",(INDEX('Emission factors'!$K$3:$V$201,MATCH('Buildings - Grid Electricity'!$E315&amp;$F315,'Emission factors'!$J$3:$J$201&amp;'Emission factors'!$K$3:$K$201,0),MATCH('Buildings - Grid Electricity'!R$6,'Emission factors'!$K$2:$V$2,0)))*$K315)</f>
        <v/>
      </c>
      <c r="S315" s="157" t="str" cm="1">
        <f t="array" ref="S315">IF(OR($E315="",$I315=""),"",(INDEX('Emission factors'!$K$3:$V$201,MATCH('Buildings - Grid Electricity'!$E315&amp;$F315,'Emission factors'!$J$3:$J$201&amp;'Emission factors'!$K$3:$K$201,0),MATCH('Buildings - Grid Electricity'!S$6,'Emission factors'!$K$2:$V$2,0)))*$K315)</f>
        <v/>
      </c>
      <c r="T315" s="157" t="str" cm="1">
        <f t="array" ref="T315">IF(OR($E315="",$I315=""),"",(INDEX('Emission factors'!$K$3:$V$201,MATCH('Buildings - Grid Electricity'!$E315&amp;$F315,'Emission factors'!$J$3:$J$201&amp;'Emission factors'!$K$3:$K$201,0),MATCH('Buildings - Grid Electricity'!T$6,'Emission factors'!$K$2:$V$2,0)))*$K315)</f>
        <v/>
      </c>
      <c r="U315" s="157" t="str" cm="1">
        <f t="array" ref="U315">IF(OR($E315="",$I315=""),"",(INDEX('Emission factors'!$K$3:$V$201,MATCH('Buildings - Grid Electricity'!$E315&amp;$F315,'Emission factors'!$J$3:$J$201&amp;'Emission factors'!$K$3:$K$201,0),MATCH('Buildings - Grid Electricity'!U$6,'Emission factors'!$K$2:$V$2,0)))*$K315)</f>
        <v/>
      </c>
      <c r="V315" s="269" t="str">
        <f>IF(OR($N315="",BuildingsElectricityTable[[#This Row],[RSD]]=""),"",BuildingsElectricityTable[[#This Row],[Total emissions (kgCO2e)]]*(1+BuildingsElectricityTable[[#This Row],[RSD]]))</f>
        <v/>
      </c>
      <c r="W315" s="270" t="str">
        <f>IF(OR($N315="",BuildingsElectricityTable[[#This Row],[RSD]]=""),"",BuildingsElectricityTable[[#This Row],[Total emissions (kgCO2e)]]*(1-BuildingsElectricityTable[[#This Row],[RSD]]))</f>
        <v/>
      </c>
      <c r="X315" s="271" t="str" cm="1">
        <f t="array" ref="X315">IF(OR($E315="",$I315=""),"",(INDEX('Emission factors'!$K$3:$V$201,MATCH('Buildings - Grid Electricity'!$E315&amp;$F315,'Emission factors'!$J$3:$J$201&amp;'Emission factors'!$K$3:$K$201,0),MATCH('Buildings - Grid Electricity'!X$6,'Emission factors'!$K$2:$V$2,0)))*$K315)</f>
        <v/>
      </c>
      <c r="Y315" s="30"/>
      <c r="Z315" s="1" cm="1">
        <f t="array" ref="Z315">IF(OR(ISERROR(B315:X315)),1,0)</f>
        <v>0</v>
      </c>
      <c r="AA315" s="1">
        <f t="shared" si="24"/>
        <v>0</v>
      </c>
    </row>
    <row r="316" spans="1:27" ht="15" outlineLevel="1" thickBot="1" x14ac:dyDescent="0.4">
      <c r="A316" s="319"/>
      <c r="B316" s="216"/>
      <c r="C316" s="216"/>
      <c r="D316" s="489" t="str">
        <f>IFERROR(INDEX(BuildingInformationTable[Site type],MATCH(BuildingsElectricityTable[[#This Row],[Site name]],BuildingInformationTable[Site name],0)),"")</f>
        <v/>
      </c>
      <c r="E316" s="490" t="str">
        <f t="shared" si="25"/>
        <v/>
      </c>
      <c r="F316" s="490" t="str">
        <f t="shared" si="26"/>
        <v/>
      </c>
      <c r="G316" s="491"/>
      <c r="H316" s="492" t="str">
        <f>IF(G316="","",INDEX(Lists!$BA$4:$BC$31,MATCH(E316,Lists!$AZ$4:$AZ$31,0),MATCH(G316,Lists!$BA$3:$BC$3,0)))</f>
        <v/>
      </c>
      <c r="I316" s="267"/>
      <c r="J316" s="490" t="str">
        <f t="shared" si="27"/>
        <v/>
      </c>
      <c r="K316" s="493" t="str" cm="1">
        <f t="array" ref="K316">IF(OR($E316="",$D316="",$I316="",$J316=""),"",IF(J316=L316,I316,(INDEX('Emission factors'!$K$3:$V$201,MATCH(E316&amp;F316,'Emission factors'!$J$3:$J$201&amp;'Emission factors'!$K$3:$K$201,0),MATCH(K$6,'Emission factors'!$K$2:$V$2,0)))*I316))</f>
        <v/>
      </c>
      <c r="L316" s="494" t="str">
        <f>IF(OR($E316="",$D316="",$I316="",$J316=""),"",INDEX('Emission factors'!$K$3:$V$201,MATCH('Buildings - Grid Electricity'!$E316,'Emission factors'!$J$3:$J$201,0),MATCH($L$6,'Emission factors'!$K$2:$V$2,0)))</f>
        <v/>
      </c>
      <c r="M316" s="495" t="str" cm="1">
        <f t="array" ref="M316">IF(OR(E316="",I316="",BuildingsElectricityTable[[#This Row],[Units]]=""),"",INDEX('Emission factors'!$K$3:$V$201,MATCH('Buildings - Grid Electricity'!$E316&amp;F316,'Emission factors'!$J$3:$J$201&amp;'Emission factors'!$K$3:$K$201,0),MATCH('Buildings - Grid Electricity'!$M$6,'Emission factors'!$K$2:$V$2,0)))</f>
        <v/>
      </c>
      <c r="N316" s="496" t="str">
        <f>IF(OR(K316="",M316=""),"",SUM(BuildingsElectricityTable[[#This Row],[Direct]:[Indirect WTT]]))</f>
        <v/>
      </c>
      <c r="O316" s="268"/>
      <c r="P316" s="497"/>
      <c r="Q316" s="157" t="str" cm="1">
        <f t="array" ref="Q316">IF(OR($E316="",$I316=""),"",(INDEX('Emission factors'!$K$3:$V$201,MATCH('Buildings - Grid Electricity'!$E316&amp;$F316,'Emission factors'!$J$3:$J$201&amp;'Emission factors'!$K$3:$K$201,0),MATCH('Buildings - Grid Electricity'!Q$6,'Emission factors'!$K$2:$V$2,0)))*$K316)</f>
        <v/>
      </c>
      <c r="R316" s="157" t="str" cm="1">
        <f t="array" ref="R316">IF(OR($E316="",$I316=""),"",(INDEX('Emission factors'!$K$3:$V$201,MATCH('Buildings - Grid Electricity'!$E316&amp;$F316,'Emission factors'!$J$3:$J$201&amp;'Emission factors'!$K$3:$K$201,0),MATCH('Buildings - Grid Electricity'!R$6,'Emission factors'!$K$2:$V$2,0)))*$K316)</f>
        <v/>
      </c>
      <c r="S316" s="157" t="str" cm="1">
        <f t="array" ref="S316">IF(OR($E316="",$I316=""),"",(INDEX('Emission factors'!$K$3:$V$201,MATCH('Buildings - Grid Electricity'!$E316&amp;$F316,'Emission factors'!$J$3:$J$201&amp;'Emission factors'!$K$3:$K$201,0),MATCH('Buildings - Grid Electricity'!S$6,'Emission factors'!$K$2:$V$2,0)))*$K316)</f>
        <v/>
      </c>
      <c r="T316" s="157" t="str" cm="1">
        <f t="array" ref="T316">IF(OR($E316="",$I316=""),"",(INDEX('Emission factors'!$K$3:$V$201,MATCH('Buildings - Grid Electricity'!$E316&amp;$F316,'Emission factors'!$J$3:$J$201&amp;'Emission factors'!$K$3:$K$201,0),MATCH('Buildings - Grid Electricity'!T$6,'Emission factors'!$K$2:$V$2,0)))*$K316)</f>
        <v/>
      </c>
      <c r="U316" s="157" t="str" cm="1">
        <f t="array" ref="U316">IF(OR($E316="",$I316=""),"",(INDEX('Emission factors'!$K$3:$V$201,MATCH('Buildings - Grid Electricity'!$E316&amp;$F316,'Emission factors'!$J$3:$J$201&amp;'Emission factors'!$K$3:$K$201,0),MATCH('Buildings - Grid Electricity'!U$6,'Emission factors'!$K$2:$V$2,0)))*$K316)</f>
        <v/>
      </c>
      <c r="V316" s="269" t="str">
        <f>IF(OR($N316="",BuildingsElectricityTable[[#This Row],[RSD]]=""),"",BuildingsElectricityTable[[#This Row],[Total emissions (kgCO2e)]]*(1+BuildingsElectricityTable[[#This Row],[RSD]]))</f>
        <v/>
      </c>
      <c r="W316" s="270" t="str">
        <f>IF(OR($N316="",BuildingsElectricityTable[[#This Row],[RSD]]=""),"",BuildingsElectricityTable[[#This Row],[Total emissions (kgCO2e)]]*(1-BuildingsElectricityTable[[#This Row],[RSD]]))</f>
        <v/>
      </c>
      <c r="X316" s="271" t="str" cm="1">
        <f t="array" ref="X316">IF(OR($E316="",$I316=""),"",(INDEX('Emission factors'!$K$3:$V$201,MATCH('Buildings - Grid Electricity'!$E316&amp;$F316,'Emission factors'!$J$3:$J$201&amp;'Emission factors'!$K$3:$K$201,0),MATCH('Buildings - Grid Electricity'!X$6,'Emission factors'!$K$2:$V$2,0)))*$K316)</f>
        <v/>
      </c>
      <c r="Y316" s="30"/>
      <c r="Z316" s="1" cm="1">
        <f t="array" ref="Z316">IF(OR(ISERROR(B316:X316)),1,0)</f>
        <v>0</v>
      </c>
      <c r="AA316" s="1">
        <f t="shared" si="24"/>
        <v>0</v>
      </c>
    </row>
    <row r="317" spans="1:27" ht="15" outlineLevel="1" thickBot="1" x14ac:dyDescent="0.4">
      <c r="A317" s="319"/>
      <c r="B317" s="216"/>
      <c r="C317" s="216"/>
      <c r="D317" s="489" t="str">
        <f>IFERROR(INDEX(BuildingInformationTable[Site type],MATCH(BuildingsElectricityTable[[#This Row],[Site name]],BuildingInformationTable[Site name],0)),"")</f>
        <v/>
      </c>
      <c r="E317" s="490" t="str">
        <f t="shared" si="25"/>
        <v/>
      </c>
      <c r="F317" s="490" t="str">
        <f t="shared" si="26"/>
        <v/>
      </c>
      <c r="G317" s="491"/>
      <c r="H317" s="492" t="str">
        <f>IF(G317="","",INDEX(Lists!$BA$4:$BC$31,MATCH(E317,Lists!$AZ$4:$AZ$31,0),MATCH(G317,Lists!$BA$3:$BC$3,0)))</f>
        <v/>
      </c>
      <c r="I317" s="267"/>
      <c r="J317" s="490" t="str">
        <f t="shared" si="27"/>
        <v/>
      </c>
      <c r="K317" s="493" t="str" cm="1">
        <f t="array" ref="K317">IF(OR($E317="",$D317="",$I317="",$J317=""),"",IF(J317=L317,I317,(INDEX('Emission factors'!$K$3:$V$201,MATCH(E317&amp;F317,'Emission factors'!$J$3:$J$201&amp;'Emission factors'!$K$3:$K$201,0),MATCH(K$6,'Emission factors'!$K$2:$V$2,0)))*I317))</f>
        <v/>
      </c>
      <c r="L317" s="494" t="str">
        <f>IF(OR($E317="",$D317="",$I317="",$J317=""),"",INDEX('Emission factors'!$K$3:$V$201,MATCH('Buildings - Grid Electricity'!$E317,'Emission factors'!$J$3:$J$201,0),MATCH($L$6,'Emission factors'!$K$2:$V$2,0)))</f>
        <v/>
      </c>
      <c r="M317" s="495" t="str" cm="1">
        <f t="array" ref="M317">IF(OR(E317="",I317="",BuildingsElectricityTable[[#This Row],[Units]]=""),"",INDEX('Emission factors'!$K$3:$V$201,MATCH('Buildings - Grid Electricity'!$E317&amp;F317,'Emission factors'!$J$3:$J$201&amp;'Emission factors'!$K$3:$K$201,0),MATCH('Buildings - Grid Electricity'!$M$6,'Emission factors'!$K$2:$V$2,0)))</f>
        <v/>
      </c>
      <c r="N317" s="496" t="str">
        <f>IF(OR(K317="",M317=""),"",SUM(BuildingsElectricityTable[[#This Row],[Direct]:[Indirect WTT]]))</f>
        <v/>
      </c>
      <c r="O317" s="268"/>
      <c r="P317" s="497"/>
      <c r="Q317" s="157" t="str" cm="1">
        <f t="array" ref="Q317">IF(OR($E317="",$I317=""),"",(INDEX('Emission factors'!$K$3:$V$201,MATCH('Buildings - Grid Electricity'!$E317&amp;$F317,'Emission factors'!$J$3:$J$201&amp;'Emission factors'!$K$3:$K$201,0),MATCH('Buildings - Grid Electricity'!Q$6,'Emission factors'!$K$2:$V$2,0)))*$K317)</f>
        <v/>
      </c>
      <c r="R317" s="157" t="str" cm="1">
        <f t="array" ref="R317">IF(OR($E317="",$I317=""),"",(INDEX('Emission factors'!$K$3:$V$201,MATCH('Buildings - Grid Electricity'!$E317&amp;$F317,'Emission factors'!$J$3:$J$201&amp;'Emission factors'!$K$3:$K$201,0),MATCH('Buildings - Grid Electricity'!R$6,'Emission factors'!$K$2:$V$2,0)))*$K317)</f>
        <v/>
      </c>
      <c r="S317" s="157" t="str" cm="1">
        <f t="array" ref="S317">IF(OR($E317="",$I317=""),"",(INDEX('Emission factors'!$K$3:$V$201,MATCH('Buildings - Grid Electricity'!$E317&amp;$F317,'Emission factors'!$J$3:$J$201&amp;'Emission factors'!$K$3:$K$201,0),MATCH('Buildings - Grid Electricity'!S$6,'Emission factors'!$K$2:$V$2,0)))*$K317)</f>
        <v/>
      </c>
      <c r="T317" s="157" t="str" cm="1">
        <f t="array" ref="T317">IF(OR($E317="",$I317=""),"",(INDEX('Emission factors'!$K$3:$V$201,MATCH('Buildings - Grid Electricity'!$E317&amp;$F317,'Emission factors'!$J$3:$J$201&amp;'Emission factors'!$K$3:$K$201,0),MATCH('Buildings - Grid Electricity'!T$6,'Emission factors'!$K$2:$V$2,0)))*$K317)</f>
        <v/>
      </c>
      <c r="U317" s="157" t="str" cm="1">
        <f t="array" ref="U317">IF(OR($E317="",$I317=""),"",(INDEX('Emission factors'!$K$3:$V$201,MATCH('Buildings - Grid Electricity'!$E317&amp;$F317,'Emission factors'!$J$3:$J$201&amp;'Emission factors'!$K$3:$K$201,0),MATCH('Buildings - Grid Electricity'!U$6,'Emission factors'!$K$2:$V$2,0)))*$K317)</f>
        <v/>
      </c>
      <c r="V317" s="269" t="str">
        <f>IF(OR($N317="",BuildingsElectricityTable[[#This Row],[RSD]]=""),"",BuildingsElectricityTable[[#This Row],[Total emissions (kgCO2e)]]*(1+BuildingsElectricityTable[[#This Row],[RSD]]))</f>
        <v/>
      </c>
      <c r="W317" s="270" t="str">
        <f>IF(OR($N317="",BuildingsElectricityTable[[#This Row],[RSD]]=""),"",BuildingsElectricityTable[[#This Row],[Total emissions (kgCO2e)]]*(1-BuildingsElectricityTable[[#This Row],[RSD]]))</f>
        <v/>
      </c>
      <c r="X317" s="271" t="str" cm="1">
        <f t="array" ref="X317">IF(OR($E317="",$I317=""),"",(INDEX('Emission factors'!$K$3:$V$201,MATCH('Buildings - Grid Electricity'!$E317&amp;$F317,'Emission factors'!$J$3:$J$201&amp;'Emission factors'!$K$3:$K$201,0),MATCH('Buildings - Grid Electricity'!X$6,'Emission factors'!$K$2:$V$2,0)))*$K317)</f>
        <v/>
      </c>
      <c r="Y317" s="30"/>
      <c r="Z317" s="1" cm="1">
        <f t="array" ref="Z317">IF(OR(ISERROR(B317:X317)),1,0)</f>
        <v>0</v>
      </c>
      <c r="AA317" s="1">
        <f t="shared" si="24"/>
        <v>0</v>
      </c>
    </row>
    <row r="318" spans="1:27" ht="15" outlineLevel="1" thickBot="1" x14ac:dyDescent="0.4">
      <c r="A318" s="319"/>
      <c r="B318" s="216"/>
      <c r="C318" s="216"/>
      <c r="D318" s="489" t="str">
        <f>IFERROR(INDEX(BuildingInformationTable[Site type],MATCH(BuildingsElectricityTable[[#This Row],[Site name]],BuildingInformationTable[Site name],0)),"")</f>
        <v/>
      </c>
      <c r="E318" s="490" t="str">
        <f t="shared" si="25"/>
        <v/>
      </c>
      <c r="F318" s="490" t="str">
        <f t="shared" si="26"/>
        <v/>
      </c>
      <c r="G318" s="491"/>
      <c r="H318" s="492" t="str">
        <f>IF(G318="","",INDEX(Lists!$BA$4:$BC$31,MATCH(E318,Lists!$AZ$4:$AZ$31,0),MATCH(G318,Lists!$BA$3:$BC$3,0)))</f>
        <v/>
      </c>
      <c r="I318" s="267"/>
      <c r="J318" s="490" t="str">
        <f t="shared" si="27"/>
        <v/>
      </c>
      <c r="K318" s="493" t="str" cm="1">
        <f t="array" ref="K318">IF(OR($E318="",$D318="",$I318="",$J318=""),"",IF(J318=L318,I318,(INDEX('Emission factors'!$K$3:$V$201,MATCH(E318&amp;F318,'Emission factors'!$J$3:$J$201&amp;'Emission factors'!$K$3:$K$201,0),MATCH(K$6,'Emission factors'!$K$2:$V$2,0)))*I318))</f>
        <v/>
      </c>
      <c r="L318" s="494" t="str">
        <f>IF(OR($E318="",$D318="",$I318="",$J318=""),"",INDEX('Emission factors'!$K$3:$V$201,MATCH('Buildings - Grid Electricity'!$E318,'Emission factors'!$J$3:$J$201,0),MATCH($L$6,'Emission factors'!$K$2:$V$2,0)))</f>
        <v/>
      </c>
      <c r="M318" s="495" t="str" cm="1">
        <f t="array" ref="M318">IF(OR(E318="",I318="",BuildingsElectricityTable[[#This Row],[Units]]=""),"",INDEX('Emission factors'!$K$3:$V$201,MATCH('Buildings - Grid Electricity'!$E318&amp;F318,'Emission factors'!$J$3:$J$201&amp;'Emission factors'!$K$3:$K$201,0),MATCH('Buildings - Grid Electricity'!$M$6,'Emission factors'!$K$2:$V$2,0)))</f>
        <v/>
      </c>
      <c r="N318" s="496" t="str">
        <f>IF(OR(K318="",M318=""),"",SUM(BuildingsElectricityTable[[#This Row],[Direct]:[Indirect WTT]]))</f>
        <v/>
      </c>
      <c r="O318" s="268"/>
      <c r="P318" s="497"/>
      <c r="Q318" s="157" t="str" cm="1">
        <f t="array" ref="Q318">IF(OR($E318="",$I318=""),"",(INDEX('Emission factors'!$K$3:$V$201,MATCH('Buildings - Grid Electricity'!$E318&amp;$F318,'Emission factors'!$J$3:$J$201&amp;'Emission factors'!$K$3:$K$201,0),MATCH('Buildings - Grid Electricity'!Q$6,'Emission factors'!$K$2:$V$2,0)))*$K318)</f>
        <v/>
      </c>
      <c r="R318" s="157" t="str" cm="1">
        <f t="array" ref="R318">IF(OR($E318="",$I318=""),"",(INDEX('Emission factors'!$K$3:$V$201,MATCH('Buildings - Grid Electricity'!$E318&amp;$F318,'Emission factors'!$J$3:$J$201&amp;'Emission factors'!$K$3:$K$201,0),MATCH('Buildings - Grid Electricity'!R$6,'Emission factors'!$K$2:$V$2,0)))*$K318)</f>
        <v/>
      </c>
      <c r="S318" s="157" t="str" cm="1">
        <f t="array" ref="S318">IF(OR($E318="",$I318=""),"",(INDEX('Emission factors'!$K$3:$V$201,MATCH('Buildings - Grid Electricity'!$E318&amp;$F318,'Emission factors'!$J$3:$J$201&amp;'Emission factors'!$K$3:$K$201,0),MATCH('Buildings - Grid Electricity'!S$6,'Emission factors'!$K$2:$V$2,0)))*$K318)</f>
        <v/>
      </c>
      <c r="T318" s="157" t="str" cm="1">
        <f t="array" ref="T318">IF(OR($E318="",$I318=""),"",(INDEX('Emission factors'!$K$3:$V$201,MATCH('Buildings - Grid Electricity'!$E318&amp;$F318,'Emission factors'!$J$3:$J$201&amp;'Emission factors'!$K$3:$K$201,0),MATCH('Buildings - Grid Electricity'!T$6,'Emission factors'!$K$2:$V$2,0)))*$K318)</f>
        <v/>
      </c>
      <c r="U318" s="157" t="str" cm="1">
        <f t="array" ref="U318">IF(OR($E318="",$I318=""),"",(INDEX('Emission factors'!$K$3:$V$201,MATCH('Buildings - Grid Electricity'!$E318&amp;$F318,'Emission factors'!$J$3:$J$201&amp;'Emission factors'!$K$3:$K$201,0),MATCH('Buildings - Grid Electricity'!U$6,'Emission factors'!$K$2:$V$2,0)))*$K318)</f>
        <v/>
      </c>
      <c r="V318" s="269" t="str">
        <f>IF(OR($N318="",BuildingsElectricityTable[[#This Row],[RSD]]=""),"",BuildingsElectricityTable[[#This Row],[Total emissions (kgCO2e)]]*(1+BuildingsElectricityTable[[#This Row],[RSD]]))</f>
        <v/>
      </c>
      <c r="W318" s="270" t="str">
        <f>IF(OR($N318="",BuildingsElectricityTable[[#This Row],[RSD]]=""),"",BuildingsElectricityTable[[#This Row],[Total emissions (kgCO2e)]]*(1-BuildingsElectricityTable[[#This Row],[RSD]]))</f>
        <v/>
      </c>
      <c r="X318" s="271" t="str" cm="1">
        <f t="array" ref="X318">IF(OR($E318="",$I318=""),"",(INDEX('Emission factors'!$K$3:$V$201,MATCH('Buildings - Grid Electricity'!$E318&amp;$F318,'Emission factors'!$J$3:$J$201&amp;'Emission factors'!$K$3:$K$201,0),MATCH('Buildings - Grid Electricity'!X$6,'Emission factors'!$K$2:$V$2,0)))*$K318)</f>
        <v/>
      </c>
      <c r="Y318" s="30"/>
      <c r="Z318" s="1" cm="1">
        <f t="array" ref="Z318">IF(OR(ISERROR(B318:X318)),1,0)</f>
        <v>0</v>
      </c>
      <c r="AA318" s="1">
        <f t="shared" si="24"/>
        <v>0</v>
      </c>
    </row>
    <row r="319" spans="1:27" ht="15" outlineLevel="1" thickBot="1" x14ac:dyDescent="0.4">
      <c r="A319" s="319"/>
      <c r="B319" s="216"/>
      <c r="C319" s="216"/>
      <c r="D319" s="489" t="str">
        <f>IFERROR(INDEX(BuildingInformationTable[Site type],MATCH(BuildingsElectricityTable[[#This Row],[Site name]],BuildingInformationTable[Site name],0)),"")</f>
        <v/>
      </c>
      <c r="E319" s="490" t="str">
        <f t="shared" si="25"/>
        <v/>
      </c>
      <c r="F319" s="490" t="str">
        <f t="shared" si="26"/>
        <v/>
      </c>
      <c r="G319" s="491"/>
      <c r="H319" s="492" t="str">
        <f>IF(G319="","",INDEX(Lists!$BA$4:$BC$31,MATCH(E319,Lists!$AZ$4:$AZ$31,0),MATCH(G319,Lists!$BA$3:$BC$3,0)))</f>
        <v/>
      </c>
      <c r="I319" s="267"/>
      <c r="J319" s="490" t="str">
        <f t="shared" si="27"/>
        <v/>
      </c>
      <c r="K319" s="493" t="str" cm="1">
        <f t="array" ref="K319">IF(OR($E319="",$D319="",$I319="",$J319=""),"",IF(J319=L319,I319,(INDEX('Emission factors'!$K$3:$V$201,MATCH(E319&amp;F319,'Emission factors'!$J$3:$J$201&amp;'Emission factors'!$K$3:$K$201,0),MATCH(K$6,'Emission factors'!$K$2:$V$2,0)))*I319))</f>
        <v/>
      </c>
      <c r="L319" s="494" t="str">
        <f>IF(OR($E319="",$D319="",$I319="",$J319=""),"",INDEX('Emission factors'!$K$3:$V$201,MATCH('Buildings - Grid Electricity'!$E319,'Emission factors'!$J$3:$J$201,0),MATCH($L$6,'Emission factors'!$K$2:$V$2,0)))</f>
        <v/>
      </c>
      <c r="M319" s="495" t="str" cm="1">
        <f t="array" ref="M319">IF(OR(E319="",I319="",BuildingsElectricityTable[[#This Row],[Units]]=""),"",INDEX('Emission factors'!$K$3:$V$201,MATCH('Buildings - Grid Electricity'!$E319&amp;F319,'Emission factors'!$J$3:$J$201&amp;'Emission factors'!$K$3:$K$201,0),MATCH('Buildings - Grid Electricity'!$M$6,'Emission factors'!$K$2:$V$2,0)))</f>
        <v/>
      </c>
      <c r="N319" s="496" t="str">
        <f>IF(OR(K319="",M319=""),"",SUM(BuildingsElectricityTable[[#This Row],[Direct]:[Indirect WTT]]))</f>
        <v/>
      </c>
      <c r="O319" s="268"/>
      <c r="P319" s="497"/>
      <c r="Q319" s="157" t="str" cm="1">
        <f t="array" ref="Q319">IF(OR($E319="",$I319=""),"",(INDEX('Emission factors'!$K$3:$V$201,MATCH('Buildings - Grid Electricity'!$E319&amp;$F319,'Emission factors'!$J$3:$J$201&amp;'Emission factors'!$K$3:$K$201,0),MATCH('Buildings - Grid Electricity'!Q$6,'Emission factors'!$K$2:$V$2,0)))*$K319)</f>
        <v/>
      </c>
      <c r="R319" s="157" t="str" cm="1">
        <f t="array" ref="R319">IF(OR($E319="",$I319=""),"",(INDEX('Emission factors'!$K$3:$V$201,MATCH('Buildings - Grid Electricity'!$E319&amp;$F319,'Emission factors'!$J$3:$J$201&amp;'Emission factors'!$K$3:$K$201,0),MATCH('Buildings - Grid Electricity'!R$6,'Emission factors'!$K$2:$V$2,0)))*$K319)</f>
        <v/>
      </c>
      <c r="S319" s="157" t="str" cm="1">
        <f t="array" ref="S319">IF(OR($E319="",$I319=""),"",(INDEX('Emission factors'!$K$3:$V$201,MATCH('Buildings - Grid Electricity'!$E319&amp;$F319,'Emission factors'!$J$3:$J$201&amp;'Emission factors'!$K$3:$K$201,0),MATCH('Buildings - Grid Electricity'!S$6,'Emission factors'!$K$2:$V$2,0)))*$K319)</f>
        <v/>
      </c>
      <c r="T319" s="157" t="str" cm="1">
        <f t="array" ref="T319">IF(OR($E319="",$I319=""),"",(INDEX('Emission factors'!$K$3:$V$201,MATCH('Buildings - Grid Electricity'!$E319&amp;$F319,'Emission factors'!$J$3:$J$201&amp;'Emission factors'!$K$3:$K$201,0),MATCH('Buildings - Grid Electricity'!T$6,'Emission factors'!$K$2:$V$2,0)))*$K319)</f>
        <v/>
      </c>
      <c r="U319" s="157" t="str" cm="1">
        <f t="array" ref="U319">IF(OR($E319="",$I319=""),"",(INDEX('Emission factors'!$K$3:$V$201,MATCH('Buildings - Grid Electricity'!$E319&amp;$F319,'Emission factors'!$J$3:$J$201&amp;'Emission factors'!$K$3:$K$201,0),MATCH('Buildings - Grid Electricity'!U$6,'Emission factors'!$K$2:$V$2,0)))*$K319)</f>
        <v/>
      </c>
      <c r="V319" s="269" t="str">
        <f>IF(OR($N319="",BuildingsElectricityTable[[#This Row],[RSD]]=""),"",BuildingsElectricityTable[[#This Row],[Total emissions (kgCO2e)]]*(1+BuildingsElectricityTable[[#This Row],[RSD]]))</f>
        <v/>
      </c>
      <c r="W319" s="270" t="str">
        <f>IF(OR($N319="",BuildingsElectricityTable[[#This Row],[RSD]]=""),"",BuildingsElectricityTable[[#This Row],[Total emissions (kgCO2e)]]*(1-BuildingsElectricityTable[[#This Row],[RSD]]))</f>
        <v/>
      </c>
      <c r="X319" s="271" t="str" cm="1">
        <f t="array" ref="X319">IF(OR($E319="",$I319=""),"",(INDEX('Emission factors'!$K$3:$V$201,MATCH('Buildings - Grid Electricity'!$E319&amp;$F319,'Emission factors'!$J$3:$J$201&amp;'Emission factors'!$K$3:$K$201,0),MATCH('Buildings - Grid Electricity'!X$6,'Emission factors'!$K$2:$V$2,0)))*$K319)</f>
        <v/>
      </c>
      <c r="Y319" s="30"/>
      <c r="Z319" s="1" cm="1">
        <f t="array" ref="Z319">IF(OR(ISERROR(B319:X319)),1,0)</f>
        <v>0</v>
      </c>
      <c r="AA319" s="1">
        <f t="shared" si="24"/>
        <v>0</v>
      </c>
    </row>
    <row r="320" spans="1:27" ht="15" outlineLevel="1" thickBot="1" x14ac:dyDescent="0.4">
      <c r="A320" s="319"/>
      <c r="B320" s="216"/>
      <c r="C320" s="216"/>
      <c r="D320" s="489" t="str">
        <f>IFERROR(INDEX(BuildingInformationTable[Site type],MATCH(BuildingsElectricityTable[[#This Row],[Site name]],BuildingInformationTable[Site name],0)),"")</f>
        <v/>
      </c>
      <c r="E320" s="490" t="str">
        <f t="shared" si="25"/>
        <v/>
      </c>
      <c r="F320" s="490" t="str">
        <f t="shared" si="26"/>
        <v/>
      </c>
      <c r="G320" s="491"/>
      <c r="H320" s="492" t="str">
        <f>IF(G320="","",INDEX(Lists!$BA$4:$BC$31,MATCH(E320,Lists!$AZ$4:$AZ$31,0),MATCH(G320,Lists!$BA$3:$BC$3,0)))</f>
        <v/>
      </c>
      <c r="I320" s="267"/>
      <c r="J320" s="490" t="str">
        <f t="shared" si="27"/>
        <v/>
      </c>
      <c r="K320" s="493" t="str" cm="1">
        <f t="array" ref="K320">IF(OR($E320="",$D320="",$I320="",$J320=""),"",IF(J320=L320,I320,(INDEX('Emission factors'!$K$3:$V$201,MATCH(E320&amp;F320,'Emission factors'!$J$3:$J$201&amp;'Emission factors'!$K$3:$K$201,0),MATCH(K$6,'Emission factors'!$K$2:$V$2,0)))*I320))</f>
        <v/>
      </c>
      <c r="L320" s="494" t="str">
        <f>IF(OR($E320="",$D320="",$I320="",$J320=""),"",INDEX('Emission factors'!$K$3:$V$201,MATCH('Buildings - Grid Electricity'!$E320,'Emission factors'!$J$3:$J$201,0),MATCH($L$6,'Emission factors'!$K$2:$V$2,0)))</f>
        <v/>
      </c>
      <c r="M320" s="495" t="str" cm="1">
        <f t="array" ref="M320">IF(OR(E320="",I320="",BuildingsElectricityTable[[#This Row],[Units]]=""),"",INDEX('Emission factors'!$K$3:$V$201,MATCH('Buildings - Grid Electricity'!$E320&amp;F320,'Emission factors'!$J$3:$J$201&amp;'Emission factors'!$K$3:$K$201,0),MATCH('Buildings - Grid Electricity'!$M$6,'Emission factors'!$K$2:$V$2,0)))</f>
        <v/>
      </c>
      <c r="N320" s="496" t="str">
        <f>IF(OR(K320="",M320=""),"",SUM(BuildingsElectricityTable[[#This Row],[Direct]:[Indirect WTT]]))</f>
        <v/>
      </c>
      <c r="O320" s="268"/>
      <c r="P320" s="497"/>
      <c r="Q320" s="157" t="str" cm="1">
        <f t="array" ref="Q320">IF(OR($E320="",$I320=""),"",(INDEX('Emission factors'!$K$3:$V$201,MATCH('Buildings - Grid Electricity'!$E320&amp;$F320,'Emission factors'!$J$3:$J$201&amp;'Emission factors'!$K$3:$K$201,0),MATCH('Buildings - Grid Electricity'!Q$6,'Emission factors'!$K$2:$V$2,0)))*$K320)</f>
        <v/>
      </c>
      <c r="R320" s="157" t="str" cm="1">
        <f t="array" ref="R320">IF(OR($E320="",$I320=""),"",(INDEX('Emission factors'!$K$3:$V$201,MATCH('Buildings - Grid Electricity'!$E320&amp;$F320,'Emission factors'!$J$3:$J$201&amp;'Emission factors'!$K$3:$K$201,0),MATCH('Buildings - Grid Electricity'!R$6,'Emission factors'!$K$2:$V$2,0)))*$K320)</f>
        <v/>
      </c>
      <c r="S320" s="157" t="str" cm="1">
        <f t="array" ref="S320">IF(OR($E320="",$I320=""),"",(INDEX('Emission factors'!$K$3:$V$201,MATCH('Buildings - Grid Electricity'!$E320&amp;$F320,'Emission factors'!$J$3:$J$201&amp;'Emission factors'!$K$3:$K$201,0),MATCH('Buildings - Grid Electricity'!S$6,'Emission factors'!$K$2:$V$2,0)))*$K320)</f>
        <v/>
      </c>
      <c r="T320" s="157" t="str" cm="1">
        <f t="array" ref="T320">IF(OR($E320="",$I320=""),"",(INDEX('Emission factors'!$K$3:$V$201,MATCH('Buildings - Grid Electricity'!$E320&amp;$F320,'Emission factors'!$J$3:$J$201&amp;'Emission factors'!$K$3:$K$201,0),MATCH('Buildings - Grid Electricity'!T$6,'Emission factors'!$K$2:$V$2,0)))*$K320)</f>
        <v/>
      </c>
      <c r="U320" s="157" t="str" cm="1">
        <f t="array" ref="U320">IF(OR($E320="",$I320=""),"",(INDEX('Emission factors'!$K$3:$V$201,MATCH('Buildings - Grid Electricity'!$E320&amp;$F320,'Emission factors'!$J$3:$J$201&amp;'Emission factors'!$K$3:$K$201,0),MATCH('Buildings - Grid Electricity'!U$6,'Emission factors'!$K$2:$V$2,0)))*$K320)</f>
        <v/>
      </c>
      <c r="V320" s="269" t="str">
        <f>IF(OR($N320="",BuildingsElectricityTable[[#This Row],[RSD]]=""),"",BuildingsElectricityTable[[#This Row],[Total emissions (kgCO2e)]]*(1+BuildingsElectricityTable[[#This Row],[RSD]]))</f>
        <v/>
      </c>
      <c r="W320" s="270" t="str">
        <f>IF(OR($N320="",BuildingsElectricityTable[[#This Row],[RSD]]=""),"",BuildingsElectricityTable[[#This Row],[Total emissions (kgCO2e)]]*(1-BuildingsElectricityTable[[#This Row],[RSD]]))</f>
        <v/>
      </c>
      <c r="X320" s="271" t="str" cm="1">
        <f t="array" ref="X320">IF(OR($E320="",$I320=""),"",(INDEX('Emission factors'!$K$3:$V$201,MATCH('Buildings - Grid Electricity'!$E320&amp;$F320,'Emission factors'!$J$3:$J$201&amp;'Emission factors'!$K$3:$K$201,0),MATCH('Buildings - Grid Electricity'!X$6,'Emission factors'!$K$2:$V$2,0)))*$K320)</f>
        <v/>
      </c>
      <c r="Y320" s="30"/>
      <c r="Z320" s="1" cm="1">
        <f t="array" ref="Z320">IF(OR(ISERROR(B320:X320)),1,0)</f>
        <v>0</v>
      </c>
      <c r="AA320" s="1">
        <f t="shared" si="24"/>
        <v>0</v>
      </c>
    </row>
    <row r="321" spans="1:27" ht="15" outlineLevel="1" thickBot="1" x14ac:dyDescent="0.4">
      <c r="A321" s="319"/>
      <c r="B321" s="216"/>
      <c r="C321" s="216"/>
      <c r="D321" s="489" t="str">
        <f>IFERROR(INDEX(BuildingInformationTable[Site type],MATCH(BuildingsElectricityTable[[#This Row],[Site name]],BuildingInformationTable[Site name],0)),"")</f>
        <v/>
      </c>
      <c r="E321" s="490" t="str">
        <f t="shared" si="25"/>
        <v/>
      </c>
      <c r="F321" s="490" t="str">
        <f t="shared" si="26"/>
        <v/>
      </c>
      <c r="G321" s="491"/>
      <c r="H321" s="492" t="str">
        <f>IF(G321="","",INDEX(Lists!$BA$4:$BC$31,MATCH(E321,Lists!$AZ$4:$AZ$31,0),MATCH(G321,Lists!$BA$3:$BC$3,0)))</f>
        <v/>
      </c>
      <c r="I321" s="267"/>
      <c r="J321" s="490" t="str">
        <f t="shared" si="27"/>
        <v/>
      </c>
      <c r="K321" s="493" t="str" cm="1">
        <f t="array" ref="K321">IF(OR($E321="",$D321="",$I321="",$J321=""),"",IF(J321=L321,I321,(INDEX('Emission factors'!$K$3:$V$201,MATCH(E321&amp;F321,'Emission factors'!$J$3:$J$201&amp;'Emission factors'!$K$3:$K$201,0),MATCH(K$6,'Emission factors'!$K$2:$V$2,0)))*I321))</f>
        <v/>
      </c>
      <c r="L321" s="494" t="str">
        <f>IF(OR($E321="",$D321="",$I321="",$J321=""),"",INDEX('Emission factors'!$K$3:$V$201,MATCH('Buildings - Grid Electricity'!$E321,'Emission factors'!$J$3:$J$201,0),MATCH($L$6,'Emission factors'!$K$2:$V$2,0)))</f>
        <v/>
      </c>
      <c r="M321" s="495" t="str" cm="1">
        <f t="array" ref="M321">IF(OR(E321="",I321="",BuildingsElectricityTable[[#This Row],[Units]]=""),"",INDEX('Emission factors'!$K$3:$V$201,MATCH('Buildings - Grid Electricity'!$E321&amp;F321,'Emission factors'!$J$3:$J$201&amp;'Emission factors'!$K$3:$K$201,0),MATCH('Buildings - Grid Electricity'!$M$6,'Emission factors'!$K$2:$V$2,0)))</f>
        <v/>
      </c>
      <c r="N321" s="496" t="str">
        <f>IF(OR(K321="",M321=""),"",SUM(BuildingsElectricityTable[[#This Row],[Direct]:[Indirect WTT]]))</f>
        <v/>
      </c>
      <c r="O321" s="268"/>
      <c r="P321" s="497"/>
      <c r="Q321" s="157" t="str" cm="1">
        <f t="array" ref="Q321">IF(OR($E321="",$I321=""),"",(INDEX('Emission factors'!$K$3:$V$201,MATCH('Buildings - Grid Electricity'!$E321&amp;$F321,'Emission factors'!$J$3:$J$201&amp;'Emission factors'!$K$3:$K$201,0),MATCH('Buildings - Grid Electricity'!Q$6,'Emission factors'!$K$2:$V$2,0)))*$K321)</f>
        <v/>
      </c>
      <c r="R321" s="157" t="str" cm="1">
        <f t="array" ref="R321">IF(OR($E321="",$I321=""),"",(INDEX('Emission factors'!$K$3:$V$201,MATCH('Buildings - Grid Electricity'!$E321&amp;$F321,'Emission factors'!$J$3:$J$201&amp;'Emission factors'!$K$3:$K$201,0),MATCH('Buildings - Grid Electricity'!R$6,'Emission factors'!$K$2:$V$2,0)))*$K321)</f>
        <v/>
      </c>
      <c r="S321" s="157" t="str" cm="1">
        <f t="array" ref="S321">IF(OR($E321="",$I321=""),"",(INDEX('Emission factors'!$K$3:$V$201,MATCH('Buildings - Grid Electricity'!$E321&amp;$F321,'Emission factors'!$J$3:$J$201&amp;'Emission factors'!$K$3:$K$201,0),MATCH('Buildings - Grid Electricity'!S$6,'Emission factors'!$K$2:$V$2,0)))*$K321)</f>
        <v/>
      </c>
      <c r="T321" s="157" t="str" cm="1">
        <f t="array" ref="T321">IF(OR($E321="",$I321=""),"",(INDEX('Emission factors'!$K$3:$V$201,MATCH('Buildings - Grid Electricity'!$E321&amp;$F321,'Emission factors'!$J$3:$J$201&amp;'Emission factors'!$K$3:$K$201,0),MATCH('Buildings - Grid Electricity'!T$6,'Emission factors'!$K$2:$V$2,0)))*$K321)</f>
        <v/>
      </c>
      <c r="U321" s="157" t="str" cm="1">
        <f t="array" ref="U321">IF(OR($E321="",$I321=""),"",(INDEX('Emission factors'!$K$3:$V$201,MATCH('Buildings - Grid Electricity'!$E321&amp;$F321,'Emission factors'!$J$3:$J$201&amp;'Emission factors'!$K$3:$K$201,0),MATCH('Buildings - Grid Electricity'!U$6,'Emission factors'!$K$2:$V$2,0)))*$K321)</f>
        <v/>
      </c>
      <c r="V321" s="269" t="str">
        <f>IF(OR($N321="",BuildingsElectricityTable[[#This Row],[RSD]]=""),"",BuildingsElectricityTable[[#This Row],[Total emissions (kgCO2e)]]*(1+BuildingsElectricityTable[[#This Row],[RSD]]))</f>
        <v/>
      </c>
      <c r="W321" s="270" t="str">
        <f>IF(OR($N321="",BuildingsElectricityTable[[#This Row],[RSD]]=""),"",BuildingsElectricityTable[[#This Row],[Total emissions (kgCO2e)]]*(1-BuildingsElectricityTable[[#This Row],[RSD]]))</f>
        <v/>
      </c>
      <c r="X321" s="271" t="str" cm="1">
        <f t="array" ref="X321">IF(OR($E321="",$I321=""),"",(INDEX('Emission factors'!$K$3:$V$201,MATCH('Buildings - Grid Electricity'!$E321&amp;$F321,'Emission factors'!$J$3:$J$201&amp;'Emission factors'!$K$3:$K$201,0),MATCH('Buildings - Grid Electricity'!X$6,'Emission factors'!$K$2:$V$2,0)))*$K321)</f>
        <v/>
      </c>
      <c r="Y321" s="30"/>
      <c r="Z321" s="1" cm="1">
        <f t="array" ref="Z321">IF(OR(ISERROR(B321:X321)),1,0)</f>
        <v>0</v>
      </c>
      <c r="AA321" s="1">
        <f t="shared" si="24"/>
        <v>0</v>
      </c>
    </row>
    <row r="322" spans="1:27" ht="15" outlineLevel="1" thickBot="1" x14ac:dyDescent="0.4">
      <c r="A322" s="319"/>
      <c r="B322" s="216"/>
      <c r="C322" s="216"/>
      <c r="D322" s="489" t="str">
        <f>IFERROR(INDEX(BuildingInformationTable[Site type],MATCH(BuildingsElectricityTable[[#This Row],[Site name]],BuildingInformationTable[Site name],0)),"")</f>
        <v/>
      </c>
      <c r="E322" s="490" t="str">
        <f t="shared" si="25"/>
        <v/>
      </c>
      <c r="F322" s="490" t="str">
        <f t="shared" si="26"/>
        <v/>
      </c>
      <c r="G322" s="491"/>
      <c r="H322" s="492" t="str">
        <f>IF(G322="","",INDEX(Lists!$BA$4:$BC$31,MATCH(E322,Lists!$AZ$4:$AZ$31,0),MATCH(G322,Lists!$BA$3:$BC$3,0)))</f>
        <v/>
      </c>
      <c r="I322" s="267"/>
      <c r="J322" s="490" t="str">
        <f t="shared" si="27"/>
        <v/>
      </c>
      <c r="K322" s="493" t="str" cm="1">
        <f t="array" ref="K322">IF(OR($E322="",$D322="",$I322="",$J322=""),"",IF(J322=L322,I322,(INDEX('Emission factors'!$K$3:$V$201,MATCH(E322&amp;F322,'Emission factors'!$J$3:$J$201&amp;'Emission factors'!$K$3:$K$201,0),MATCH(K$6,'Emission factors'!$K$2:$V$2,0)))*I322))</f>
        <v/>
      </c>
      <c r="L322" s="494" t="str">
        <f>IF(OR($E322="",$D322="",$I322="",$J322=""),"",INDEX('Emission factors'!$K$3:$V$201,MATCH('Buildings - Grid Electricity'!$E322,'Emission factors'!$J$3:$J$201,0),MATCH($L$6,'Emission factors'!$K$2:$V$2,0)))</f>
        <v/>
      </c>
      <c r="M322" s="495" t="str" cm="1">
        <f t="array" ref="M322">IF(OR(E322="",I322="",BuildingsElectricityTable[[#This Row],[Units]]=""),"",INDEX('Emission factors'!$K$3:$V$201,MATCH('Buildings - Grid Electricity'!$E322&amp;F322,'Emission factors'!$J$3:$J$201&amp;'Emission factors'!$K$3:$K$201,0),MATCH('Buildings - Grid Electricity'!$M$6,'Emission factors'!$K$2:$V$2,0)))</f>
        <v/>
      </c>
      <c r="N322" s="496" t="str">
        <f>IF(OR(K322="",M322=""),"",SUM(BuildingsElectricityTable[[#This Row],[Direct]:[Indirect WTT]]))</f>
        <v/>
      </c>
      <c r="O322" s="268"/>
      <c r="P322" s="497"/>
      <c r="Q322" s="157" t="str" cm="1">
        <f t="array" ref="Q322">IF(OR($E322="",$I322=""),"",(INDEX('Emission factors'!$K$3:$V$201,MATCH('Buildings - Grid Electricity'!$E322&amp;$F322,'Emission factors'!$J$3:$J$201&amp;'Emission factors'!$K$3:$K$201,0),MATCH('Buildings - Grid Electricity'!Q$6,'Emission factors'!$K$2:$V$2,0)))*$K322)</f>
        <v/>
      </c>
      <c r="R322" s="157" t="str" cm="1">
        <f t="array" ref="R322">IF(OR($E322="",$I322=""),"",(INDEX('Emission factors'!$K$3:$V$201,MATCH('Buildings - Grid Electricity'!$E322&amp;$F322,'Emission factors'!$J$3:$J$201&amp;'Emission factors'!$K$3:$K$201,0),MATCH('Buildings - Grid Electricity'!R$6,'Emission factors'!$K$2:$V$2,0)))*$K322)</f>
        <v/>
      </c>
      <c r="S322" s="157" t="str" cm="1">
        <f t="array" ref="S322">IF(OR($E322="",$I322=""),"",(INDEX('Emission factors'!$K$3:$V$201,MATCH('Buildings - Grid Electricity'!$E322&amp;$F322,'Emission factors'!$J$3:$J$201&amp;'Emission factors'!$K$3:$K$201,0),MATCH('Buildings - Grid Electricity'!S$6,'Emission factors'!$K$2:$V$2,0)))*$K322)</f>
        <v/>
      </c>
      <c r="T322" s="157" t="str" cm="1">
        <f t="array" ref="T322">IF(OR($E322="",$I322=""),"",(INDEX('Emission factors'!$K$3:$V$201,MATCH('Buildings - Grid Electricity'!$E322&amp;$F322,'Emission factors'!$J$3:$J$201&amp;'Emission factors'!$K$3:$K$201,0),MATCH('Buildings - Grid Electricity'!T$6,'Emission factors'!$K$2:$V$2,0)))*$K322)</f>
        <v/>
      </c>
      <c r="U322" s="157" t="str" cm="1">
        <f t="array" ref="U322">IF(OR($E322="",$I322=""),"",(INDEX('Emission factors'!$K$3:$V$201,MATCH('Buildings - Grid Electricity'!$E322&amp;$F322,'Emission factors'!$J$3:$J$201&amp;'Emission factors'!$K$3:$K$201,0),MATCH('Buildings - Grid Electricity'!U$6,'Emission factors'!$K$2:$V$2,0)))*$K322)</f>
        <v/>
      </c>
      <c r="V322" s="269" t="str">
        <f>IF(OR($N322="",BuildingsElectricityTable[[#This Row],[RSD]]=""),"",BuildingsElectricityTable[[#This Row],[Total emissions (kgCO2e)]]*(1+BuildingsElectricityTable[[#This Row],[RSD]]))</f>
        <v/>
      </c>
      <c r="W322" s="270" t="str">
        <f>IF(OR($N322="",BuildingsElectricityTable[[#This Row],[RSD]]=""),"",BuildingsElectricityTable[[#This Row],[Total emissions (kgCO2e)]]*(1-BuildingsElectricityTable[[#This Row],[RSD]]))</f>
        <v/>
      </c>
      <c r="X322" s="271" t="str" cm="1">
        <f t="array" ref="X322">IF(OR($E322="",$I322=""),"",(INDEX('Emission factors'!$K$3:$V$201,MATCH('Buildings - Grid Electricity'!$E322&amp;$F322,'Emission factors'!$J$3:$J$201&amp;'Emission factors'!$K$3:$K$201,0),MATCH('Buildings - Grid Electricity'!X$6,'Emission factors'!$K$2:$V$2,0)))*$K322)</f>
        <v/>
      </c>
      <c r="Y322" s="30"/>
      <c r="Z322" s="1" cm="1">
        <f t="array" ref="Z322">IF(OR(ISERROR(B322:X322)),1,0)</f>
        <v>0</v>
      </c>
      <c r="AA322" s="1">
        <f t="shared" si="24"/>
        <v>0</v>
      </c>
    </row>
    <row r="323" spans="1:27" ht="15" outlineLevel="1" thickBot="1" x14ac:dyDescent="0.4">
      <c r="A323" s="319"/>
      <c r="B323" s="216"/>
      <c r="C323" s="216"/>
      <c r="D323" s="489" t="str">
        <f>IFERROR(INDEX(BuildingInformationTable[Site type],MATCH(BuildingsElectricityTable[[#This Row],[Site name]],BuildingInformationTable[Site name],0)),"")</f>
        <v/>
      </c>
      <c r="E323" s="490" t="str">
        <f t="shared" si="25"/>
        <v/>
      </c>
      <c r="F323" s="490" t="str">
        <f t="shared" si="26"/>
        <v/>
      </c>
      <c r="G323" s="491"/>
      <c r="H323" s="492" t="str">
        <f>IF(G323="","",INDEX(Lists!$BA$4:$BC$31,MATCH(E323,Lists!$AZ$4:$AZ$31,0),MATCH(G323,Lists!$BA$3:$BC$3,0)))</f>
        <v/>
      </c>
      <c r="I323" s="267"/>
      <c r="J323" s="490" t="str">
        <f t="shared" si="27"/>
        <v/>
      </c>
      <c r="K323" s="493" t="str" cm="1">
        <f t="array" ref="K323">IF(OR($E323="",$D323="",$I323="",$J323=""),"",IF(J323=L323,I323,(INDEX('Emission factors'!$K$3:$V$201,MATCH(E323&amp;F323,'Emission factors'!$J$3:$J$201&amp;'Emission factors'!$K$3:$K$201,0),MATCH(K$6,'Emission factors'!$K$2:$V$2,0)))*I323))</f>
        <v/>
      </c>
      <c r="L323" s="494" t="str">
        <f>IF(OR($E323="",$D323="",$I323="",$J323=""),"",INDEX('Emission factors'!$K$3:$V$201,MATCH('Buildings - Grid Electricity'!$E323,'Emission factors'!$J$3:$J$201,0),MATCH($L$6,'Emission factors'!$K$2:$V$2,0)))</f>
        <v/>
      </c>
      <c r="M323" s="495" t="str" cm="1">
        <f t="array" ref="M323">IF(OR(E323="",I323="",BuildingsElectricityTable[[#This Row],[Units]]=""),"",INDEX('Emission factors'!$K$3:$V$201,MATCH('Buildings - Grid Electricity'!$E323&amp;F323,'Emission factors'!$J$3:$J$201&amp;'Emission factors'!$K$3:$K$201,0),MATCH('Buildings - Grid Electricity'!$M$6,'Emission factors'!$K$2:$V$2,0)))</f>
        <v/>
      </c>
      <c r="N323" s="496" t="str">
        <f>IF(OR(K323="",M323=""),"",SUM(BuildingsElectricityTable[[#This Row],[Direct]:[Indirect WTT]]))</f>
        <v/>
      </c>
      <c r="O323" s="268"/>
      <c r="P323" s="497"/>
      <c r="Q323" s="157" t="str" cm="1">
        <f t="array" ref="Q323">IF(OR($E323="",$I323=""),"",(INDEX('Emission factors'!$K$3:$V$201,MATCH('Buildings - Grid Electricity'!$E323&amp;$F323,'Emission factors'!$J$3:$J$201&amp;'Emission factors'!$K$3:$K$201,0),MATCH('Buildings - Grid Electricity'!Q$6,'Emission factors'!$K$2:$V$2,0)))*$K323)</f>
        <v/>
      </c>
      <c r="R323" s="157" t="str" cm="1">
        <f t="array" ref="R323">IF(OR($E323="",$I323=""),"",(INDEX('Emission factors'!$K$3:$V$201,MATCH('Buildings - Grid Electricity'!$E323&amp;$F323,'Emission factors'!$J$3:$J$201&amp;'Emission factors'!$K$3:$K$201,0),MATCH('Buildings - Grid Electricity'!R$6,'Emission factors'!$K$2:$V$2,0)))*$K323)</f>
        <v/>
      </c>
      <c r="S323" s="157" t="str" cm="1">
        <f t="array" ref="S323">IF(OR($E323="",$I323=""),"",(INDEX('Emission factors'!$K$3:$V$201,MATCH('Buildings - Grid Electricity'!$E323&amp;$F323,'Emission factors'!$J$3:$J$201&amp;'Emission factors'!$K$3:$K$201,0),MATCH('Buildings - Grid Electricity'!S$6,'Emission factors'!$K$2:$V$2,0)))*$K323)</f>
        <v/>
      </c>
      <c r="T323" s="157" t="str" cm="1">
        <f t="array" ref="T323">IF(OR($E323="",$I323=""),"",(INDEX('Emission factors'!$K$3:$V$201,MATCH('Buildings - Grid Electricity'!$E323&amp;$F323,'Emission factors'!$J$3:$J$201&amp;'Emission factors'!$K$3:$K$201,0),MATCH('Buildings - Grid Electricity'!T$6,'Emission factors'!$K$2:$V$2,0)))*$K323)</f>
        <v/>
      </c>
      <c r="U323" s="157" t="str" cm="1">
        <f t="array" ref="U323">IF(OR($E323="",$I323=""),"",(INDEX('Emission factors'!$K$3:$V$201,MATCH('Buildings - Grid Electricity'!$E323&amp;$F323,'Emission factors'!$J$3:$J$201&amp;'Emission factors'!$K$3:$K$201,0),MATCH('Buildings - Grid Electricity'!U$6,'Emission factors'!$K$2:$V$2,0)))*$K323)</f>
        <v/>
      </c>
      <c r="V323" s="269" t="str">
        <f>IF(OR($N323="",BuildingsElectricityTable[[#This Row],[RSD]]=""),"",BuildingsElectricityTable[[#This Row],[Total emissions (kgCO2e)]]*(1+BuildingsElectricityTable[[#This Row],[RSD]]))</f>
        <v/>
      </c>
      <c r="W323" s="270" t="str">
        <f>IF(OR($N323="",BuildingsElectricityTable[[#This Row],[RSD]]=""),"",BuildingsElectricityTable[[#This Row],[Total emissions (kgCO2e)]]*(1-BuildingsElectricityTable[[#This Row],[RSD]]))</f>
        <v/>
      </c>
      <c r="X323" s="271" t="str" cm="1">
        <f t="array" ref="X323">IF(OR($E323="",$I323=""),"",(INDEX('Emission factors'!$K$3:$V$201,MATCH('Buildings - Grid Electricity'!$E323&amp;$F323,'Emission factors'!$J$3:$J$201&amp;'Emission factors'!$K$3:$K$201,0),MATCH('Buildings - Grid Electricity'!X$6,'Emission factors'!$K$2:$V$2,0)))*$K323)</f>
        <v/>
      </c>
      <c r="Y323" s="30"/>
      <c r="Z323" s="1" cm="1">
        <f t="array" ref="Z323">IF(OR(ISERROR(B323:X323)),1,0)</f>
        <v>0</v>
      </c>
      <c r="AA323" s="1">
        <f t="shared" si="24"/>
        <v>0</v>
      </c>
    </row>
    <row r="324" spans="1:27" ht="15" outlineLevel="1" thickBot="1" x14ac:dyDescent="0.4">
      <c r="A324" s="319"/>
      <c r="B324" s="216"/>
      <c r="C324" s="216"/>
      <c r="D324" s="489" t="str">
        <f>IFERROR(INDEX(BuildingInformationTable[Site type],MATCH(BuildingsElectricityTable[[#This Row],[Site name]],BuildingInformationTable[Site name],0)),"")</f>
        <v/>
      </c>
      <c r="E324" s="490" t="str">
        <f t="shared" si="25"/>
        <v/>
      </c>
      <c r="F324" s="490" t="str">
        <f t="shared" si="26"/>
        <v/>
      </c>
      <c r="G324" s="491"/>
      <c r="H324" s="492" t="str">
        <f>IF(G324="","",INDEX(Lists!$BA$4:$BC$31,MATCH(E324,Lists!$AZ$4:$AZ$31,0),MATCH(G324,Lists!$BA$3:$BC$3,0)))</f>
        <v/>
      </c>
      <c r="I324" s="267"/>
      <c r="J324" s="490" t="str">
        <f t="shared" si="27"/>
        <v/>
      </c>
      <c r="K324" s="493" t="str" cm="1">
        <f t="array" ref="K324">IF(OR($E324="",$D324="",$I324="",$J324=""),"",IF(J324=L324,I324,(INDEX('Emission factors'!$K$3:$V$201,MATCH(E324&amp;F324,'Emission factors'!$J$3:$J$201&amp;'Emission factors'!$K$3:$K$201,0),MATCH(K$6,'Emission factors'!$K$2:$V$2,0)))*I324))</f>
        <v/>
      </c>
      <c r="L324" s="494" t="str">
        <f>IF(OR($E324="",$D324="",$I324="",$J324=""),"",INDEX('Emission factors'!$K$3:$V$201,MATCH('Buildings - Grid Electricity'!$E324,'Emission factors'!$J$3:$J$201,0),MATCH($L$6,'Emission factors'!$K$2:$V$2,0)))</f>
        <v/>
      </c>
      <c r="M324" s="495" t="str" cm="1">
        <f t="array" ref="M324">IF(OR(E324="",I324="",BuildingsElectricityTable[[#This Row],[Units]]=""),"",INDEX('Emission factors'!$K$3:$V$201,MATCH('Buildings - Grid Electricity'!$E324&amp;F324,'Emission factors'!$J$3:$J$201&amp;'Emission factors'!$K$3:$K$201,0),MATCH('Buildings - Grid Electricity'!$M$6,'Emission factors'!$K$2:$V$2,0)))</f>
        <v/>
      </c>
      <c r="N324" s="496" t="str">
        <f>IF(OR(K324="",M324=""),"",SUM(BuildingsElectricityTable[[#This Row],[Direct]:[Indirect WTT]]))</f>
        <v/>
      </c>
      <c r="O324" s="268"/>
      <c r="P324" s="497"/>
      <c r="Q324" s="157" t="str" cm="1">
        <f t="array" ref="Q324">IF(OR($E324="",$I324=""),"",(INDEX('Emission factors'!$K$3:$V$201,MATCH('Buildings - Grid Electricity'!$E324&amp;$F324,'Emission factors'!$J$3:$J$201&amp;'Emission factors'!$K$3:$K$201,0),MATCH('Buildings - Grid Electricity'!Q$6,'Emission factors'!$K$2:$V$2,0)))*$K324)</f>
        <v/>
      </c>
      <c r="R324" s="157" t="str" cm="1">
        <f t="array" ref="R324">IF(OR($E324="",$I324=""),"",(INDEX('Emission factors'!$K$3:$V$201,MATCH('Buildings - Grid Electricity'!$E324&amp;$F324,'Emission factors'!$J$3:$J$201&amp;'Emission factors'!$K$3:$K$201,0),MATCH('Buildings - Grid Electricity'!R$6,'Emission factors'!$K$2:$V$2,0)))*$K324)</f>
        <v/>
      </c>
      <c r="S324" s="157" t="str" cm="1">
        <f t="array" ref="S324">IF(OR($E324="",$I324=""),"",(INDEX('Emission factors'!$K$3:$V$201,MATCH('Buildings - Grid Electricity'!$E324&amp;$F324,'Emission factors'!$J$3:$J$201&amp;'Emission factors'!$K$3:$K$201,0),MATCH('Buildings - Grid Electricity'!S$6,'Emission factors'!$K$2:$V$2,0)))*$K324)</f>
        <v/>
      </c>
      <c r="T324" s="157" t="str" cm="1">
        <f t="array" ref="T324">IF(OR($E324="",$I324=""),"",(INDEX('Emission factors'!$K$3:$V$201,MATCH('Buildings - Grid Electricity'!$E324&amp;$F324,'Emission factors'!$J$3:$J$201&amp;'Emission factors'!$K$3:$K$201,0),MATCH('Buildings - Grid Electricity'!T$6,'Emission factors'!$K$2:$V$2,0)))*$K324)</f>
        <v/>
      </c>
      <c r="U324" s="157" t="str" cm="1">
        <f t="array" ref="U324">IF(OR($E324="",$I324=""),"",(INDEX('Emission factors'!$K$3:$V$201,MATCH('Buildings - Grid Electricity'!$E324&amp;$F324,'Emission factors'!$J$3:$J$201&amp;'Emission factors'!$K$3:$K$201,0),MATCH('Buildings - Grid Electricity'!U$6,'Emission factors'!$K$2:$V$2,0)))*$K324)</f>
        <v/>
      </c>
      <c r="V324" s="269" t="str">
        <f>IF(OR($N324="",BuildingsElectricityTable[[#This Row],[RSD]]=""),"",BuildingsElectricityTable[[#This Row],[Total emissions (kgCO2e)]]*(1+BuildingsElectricityTable[[#This Row],[RSD]]))</f>
        <v/>
      </c>
      <c r="W324" s="270" t="str">
        <f>IF(OR($N324="",BuildingsElectricityTable[[#This Row],[RSD]]=""),"",BuildingsElectricityTable[[#This Row],[Total emissions (kgCO2e)]]*(1-BuildingsElectricityTable[[#This Row],[RSD]]))</f>
        <v/>
      </c>
      <c r="X324" s="271" t="str" cm="1">
        <f t="array" ref="X324">IF(OR($E324="",$I324=""),"",(INDEX('Emission factors'!$K$3:$V$201,MATCH('Buildings - Grid Electricity'!$E324&amp;$F324,'Emission factors'!$J$3:$J$201&amp;'Emission factors'!$K$3:$K$201,0),MATCH('Buildings - Grid Electricity'!X$6,'Emission factors'!$K$2:$V$2,0)))*$K324)</f>
        <v/>
      </c>
      <c r="Y324" s="30"/>
      <c r="Z324" s="1" cm="1">
        <f t="array" ref="Z324">IF(OR(ISERROR(B324:X324)),1,0)</f>
        <v>0</v>
      </c>
      <c r="AA324" s="1">
        <f t="shared" si="24"/>
        <v>0</v>
      </c>
    </row>
    <row r="325" spans="1:27" ht="15" outlineLevel="1" thickBot="1" x14ac:dyDescent="0.4">
      <c r="A325" s="319"/>
      <c r="B325" s="216"/>
      <c r="C325" s="216"/>
      <c r="D325" s="489" t="str">
        <f>IFERROR(INDEX(BuildingInformationTable[Site type],MATCH(BuildingsElectricityTable[[#This Row],[Site name]],BuildingInformationTable[Site name],0)),"")</f>
        <v/>
      </c>
      <c r="E325" s="490" t="str">
        <f t="shared" si="25"/>
        <v/>
      </c>
      <c r="F325" s="490" t="str">
        <f t="shared" si="26"/>
        <v/>
      </c>
      <c r="G325" s="491"/>
      <c r="H325" s="492" t="str">
        <f>IF(G325="","",INDEX(Lists!$BA$4:$BC$31,MATCH(E325,Lists!$AZ$4:$AZ$31,0),MATCH(G325,Lists!$BA$3:$BC$3,0)))</f>
        <v/>
      </c>
      <c r="I325" s="267"/>
      <c r="J325" s="490" t="str">
        <f t="shared" si="27"/>
        <v/>
      </c>
      <c r="K325" s="493" t="str" cm="1">
        <f t="array" ref="K325">IF(OR($E325="",$D325="",$I325="",$J325=""),"",IF(J325=L325,I325,(INDEX('Emission factors'!$K$3:$V$201,MATCH(E325&amp;F325,'Emission factors'!$J$3:$J$201&amp;'Emission factors'!$K$3:$K$201,0),MATCH(K$6,'Emission factors'!$K$2:$V$2,0)))*I325))</f>
        <v/>
      </c>
      <c r="L325" s="494" t="str">
        <f>IF(OR($E325="",$D325="",$I325="",$J325=""),"",INDEX('Emission factors'!$K$3:$V$201,MATCH('Buildings - Grid Electricity'!$E325,'Emission factors'!$J$3:$J$201,0),MATCH($L$6,'Emission factors'!$K$2:$V$2,0)))</f>
        <v/>
      </c>
      <c r="M325" s="495" t="str" cm="1">
        <f t="array" ref="M325">IF(OR(E325="",I325="",BuildingsElectricityTable[[#This Row],[Units]]=""),"",INDEX('Emission factors'!$K$3:$V$201,MATCH('Buildings - Grid Electricity'!$E325&amp;F325,'Emission factors'!$J$3:$J$201&amp;'Emission factors'!$K$3:$K$201,0),MATCH('Buildings - Grid Electricity'!$M$6,'Emission factors'!$K$2:$V$2,0)))</f>
        <v/>
      </c>
      <c r="N325" s="496" t="str">
        <f>IF(OR(K325="",M325=""),"",SUM(BuildingsElectricityTable[[#This Row],[Direct]:[Indirect WTT]]))</f>
        <v/>
      </c>
      <c r="O325" s="268"/>
      <c r="P325" s="497"/>
      <c r="Q325" s="157" t="str" cm="1">
        <f t="array" ref="Q325">IF(OR($E325="",$I325=""),"",(INDEX('Emission factors'!$K$3:$V$201,MATCH('Buildings - Grid Electricity'!$E325&amp;$F325,'Emission factors'!$J$3:$J$201&amp;'Emission factors'!$K$3:$K$201,0),MATCH('Buildings - Grid Electricity'!Q$6,'Emission factors'!$K$2:$V$2,0)))*$K325)</f>
        <v/>
      </c>
      <c r="R325" s="157" t="str" cm="1">
        <f t="array" ref="R325">IF(OR($E325="",$I325=""),"",(INDEX('Emission factors'!$K$3:$V$201,MATCH('Buildings - Grid Electricity'!$E325&amp;$F325,'Emission factors'!$J$3:$J$201&amp;'Emission factors'!$K$3:$K$201,0),MATCH('Buildings - Grid Electricity'!R$6,'Emission factors'!$K$2:$V$2,0)))*$K325)</f>
        <v/>
      </c>
      <c r="S325" s="157" t="str" cm="1">
        <f t="array" ref="S325">IF(OR($E325="",$I325=""),"",(INDEX('Emission factors'!$K$3:$V$201,MATCH('Buildings - Grid Electricity'!$E325&amp;$F325,'Emission factors'!$J$3:$J$201&amp;'Emission factors'!$K$3:$K$201,0),MATCH('Buildings - Grid Electricity'!S$6,'Emission factors'!$K$2:$V$2,0)))*$K325)</f>
        <v/>
      </c>
      <c r="T325" s="157" t="str" cm="1">
        <f t="array" ref="T325">IF(OR($E325="",$I325=""),"",(INDEX('Emission factors'!$K$3:$V$201,MATCH('Buildings - Grid Electricity'!$E325&amp;$F325,'Emission factors'!$J$3:$J$201&amp;'Emission factors'!$K$3:$K$201,0),MATCH('Buildings - Grid Electricity'!T$6,'Emission factors'!$K$2:$V$2,0)))*$K325)</f>
        <v/>
      </c>
      <c r="U325" s="157" t="str" cm="1">
        <f t="array" ref="U325">IF(OR($E325="",$I325=""),"",(INDEX('Emission factors'!$K$3:$V$201,MATCH('Buildings - Grid Electricity'!$E325&amp;$F325,'Emission factors'!$J$3:$J$201&amp;'Emission factors'!$K$3:$K$201,0),MATCH('Buildings - Grid Electricity'!U$6,'Emission factors'!$K$2:$V$2,0)))*$K325)</f>
        <v/>
      </c>
      <c r="V325" s="269" t="str">
        <f>IF(OR($N325="",BuildingsElectricityTable[[#This Row],[RSD]]=""),"",BuildingsElectricityTable[[#This Row],[Total emissions (kgCO2e)]]*(1+BuildingsElectricityTable[[#This Row],[RSD]]))</f>
        <v/>
      </c>
      <c r="W325" s="270" t="str">
        <f>IF(OR($N325="",BuildingsElectricityTable[[#This Row],[RSD]]=""),"",BuildingsElectricityTable[[#This Row],[Total emissions (kgCO2e)]]*(1-BuildingsElectricityTable[[#This Row],[RSD]]))</f>
        <v/>
      </c>
      <c r="X325" s="271" t="str" cm="1">
        <f t="array" ref="X325">IF(OR($E325="",$I325=""),"",(INDEX('Emission factors'!$K$3:$V$201,MATCH('Buildings - Grid Electricity'!$E325&amp;$F325,'Emission factors'!$J$3:$J$201&amp;'Emission factors'!$K$3:$K$201,0),MATCH('Buildings - Grid Electricity'!X$6,'Emission factors'!$K$2:$V$2,0)))*$K325)</f>
        <v/>
      </c>
      <c r="Y325" s="30"/>
      <c r="Z325" s="1" cm="1">
        <f t="array" ref="Z325">IF(OR(ISERROR(B325:X325)),1,0)</f>
        <v>0</v>
      </c>
      <c r="AA325" s="1">
        <f t="shared" si="24"/>
        <v>0</v>
      </c>
    </row>
    <row r="326" spans="1:27" ht="15" outlineLevel="1" thickBot="1" x14ac:dyDescent="0.4">
      <c r="A326" s="319"/>
      <c r="B326" s="216"/>
      <c r="C326" s="216"/>
      <c r="D326" s="489" t="str">
        <f>IFERROR(INDEX(BuildingInformationTable[Site type],MATCH(BuildingsElectricityTable[[#This Row],[Site name]],BuildingInformationTable[Site name],0)),"")</f>
        <v/>
      </c>
      <c r="E326" s="490" t="str">
        <f t="shared" ref="E326:E340" si="28">IF(B326="", "", "Grid electricity")</f>
        <v/>
      </c>
      <c r="F326" s="490" t="str">
        <f t="shared" ref="F326:F340" si="29">IF(E326="Grid electricity", "Consumption based", "")</f>
        <v/>
      </c>
      <c r="G326" s="491"/>
      <c r="H326" s="492" t="str">
        <f>IF(G326="","",INDEX(Lists!$BA$4:$BC$31,MATCH(E326,Lists!$AZ$4:$AZ$31,0),MATCH(G326,Lists!$BA$3:$BC$3,0)))</f>
        <v/>
      </c>
      <c r="I326" s="267"/>
      <c r="J326" s="490" t="str">
        <f t="shared" ref="J326:J340" si="30">IF(I326="", "", "kWh")</f>
        <v/>
      </c>
      <c r="K326" s="493" t="str" cm="1">
        <f t="array" ref="K326">IF(OR($E326="",$D326="",$I326="",$J326=""),"",IF(J326=L326,I326,(INDEX('Emission factors'!$K$3:$V$201,MATCH(E326&amp;F326,'Emission factors'!$J$3:$J$201&amp;'Emission factors'!$K$3:$K$201,0),MATCH(K$6,'Emission factors'!$K$2:$V$2,0)))*I326))</f>
        <v/>
      </c>
      <c r="L326" s="494" t="str">
        <f>IF(OR($E326="",$D326="",$I326="",$J326=""),"",INDEX('Emission factors'!$K$3:$V$201,MATCH('Buildings - Grid Electricity'!$E326,'Emission factors'!$J$3:$J$201,0),MATCH($L$6,'Emission factors'!$K$2:$V$2,0)))</f>
        <v/>
      </c>
      <c r="M326" s="495" t="str" cm="1">
        <f t="array" ref="M326">IF(OR(E326="",I326="",BuildingsElectricityTable[[#This Row],[Units]]=""),"",INDEX('Emission factors'!$K$3:$V$201,MATCH('Buildings - Grid Electricity'!$E326&amp;F326,'Emission factors'!$J$3:$J$201&amp;'Emission factors'!$K$3:$K$201,0),MATCH('Buildings - Grid Electricity'!$M$6,'Emission factors'!$K$2:$V$2,0)))</f>
        <v/>
      </c>
      <c r="N326" s="496" t="str">
        <f>IF(OR(K326="",M326=""),"",SUM(BuildingsElectricityTable[[#This Row],[Direct]:[Indirect WTT]]))</f>
        <v/>
      </c>
      <c r="O326" s="268"/>
      <c r="P326" s="497"/>
      <c r="Q326" s="157" t="str" cm="1">
        <f t="array" ref="Q326">IF(OR($E326="",$I326=""),"",(INDEX('Emission factors'!$K$3:$V$201,MATCH('Buildings - Grid Electricity'!$E326&amp;$F326,'Emission factors'!$J$3:$J$201&amp;'Emission factors'!$K$3:$K$201,0),MATCH('Buildings - Grid Electricity'!Q$6,'Emission factors'!$K$2:$V$2,0)))*$K326)</f>
        <v/>
      </c>
      <c r="R326" s="157" t="str" cm="1">
        <f t="array" ref="R326">IF(OR($E326="",$I326=""),"",(INDEX('Emission factors'!$K$3:$V$201,MATCH('Buildings - Grid Electricity'!$E326&amp;$F326,'Emission factors'!$J$3:$J$201&amp;'Emission factors'!$K$3:$K$201,0),MATCH('Buildings - Grid Electricity'!R$6,'Emission factors'!$K$2:$V$2,0)))*$K326)</f>
        <v/>
      </c>
      <c r="S326" s="157" t="str" cm="1">
        <f t="array" ref="S326">IF(OR($E326="",$I326=""),"",(INDEX('Emission factors'!$K$3:$V$201,MATCH('Buildings - Grid Electricity'!$E326&amp;$F326,'Emission factors'!$J$3:$J$201&amp;'Emission factors'!$K$3:$K$201,0),MATCH('Buildings - Grid Electricity'!S$6,'Emission factors'!$K$2:$V$2,0)))*$K326)</f>
        <v/>
      </c>
      <c r="T326" s="157" t="str" cm="1">
        <f t="array" ref="T326">IF(OR($E326="",$I326=""),"",(INDEX('Emission factors'!$K$3:$V$201,MATCH('Buildings - Grid Electricity'!$E326&amp;$F326,'Emission factors'!$J$3:$J$201&amp;'Emission factors'!$K$3:$K$201,0),MATCH('Buildings - Grid Electricity'!T$6,'Emission factors'!$K$2:$V$2,0)))*$K326)</f>
        <v/>
      </c>
      <c r="U326" s="157" t="str" cm="1">
        <f t="array" ref="U326">IF(OR($E326="",$I326=""),"",(INDEX('Emission factors'!$K$3:$V$201,MATCH('Buildings - Grid Electricity'!$E326&amp;$F326,'Emission factors'!$J$3:$J$201&amp;'Emission factors'!$K$3:$K$201,0),MATCH('Buildings - Grid Electricity'!U$6,'Emission factors'!$K$2:$V$2,0)))*$K326)</f>
        <v/>
      </c>
      <c r="V326" s="269" t="str">
        <f>IF(OR($N326="",BuildingsElectricityTable[[#This Row],[RSD]]=""),"",BuildingsElectricityTable[[#This Row],[Total emissions (kgCO2e)]]*(1+BuildingsElectricityTable[[#This Row],[RSD]]))</f>
        <v/>
      </c>
      <c r="W326" s="270" t="str">
        <f>IF(OR($N326="",BuildingsElectricityTable[[#This Row],[RSD]]=""),"",BuildingsElectricityTable[[#This Row],[Total emissions (kgCO2e)]]*(1-BuildingsElectricityTable[[#This Row],[RSD]]))</f>
        <v/>
      </c>
      <c r="X326" s="271" t="str" cm="1">
        <f t="array" ref="X326">IF(OR($E326="",$I326=""),"",(INDEX('Emission factors'!$K$3:$V$201,MATCH('Buildings - Grid Electricity'!$E326&amp;$F326,'Emission factors'!$J$3:$J$201&amp;'Emission factors'!$K$3:$K$201,0),MATCH('Buildings - Grid Electricity'!X$6,'Emission factors'!$K$2:$V$2,0)))*$K326)</f>
        <v/>
      </c>
      <c r="Y326" s="30"/>
      <c r="Z326" s="1" cm="1">
        <f t="array" ref="Z326">IF(OR(ISERROR(B326:X326)),1,0)</f>
        <v>0</v>
      </c>
      <c r="AA326" s="1">
        <f t="shared" si="24"/>
        <v>0</v>
      </c>
    </row>
    <row r="327" spans="1:27" ht="15" outlineLevel="1" thickBot="1" x14ac:dyDescent="0.4">
      <c r="A327" s="319"/>
      <c r="B327" s="216"/>
      <c r="C327" s="216"/>
      <c r="D327" s="489" t="str">
        <f>IFERROR(INDEX(BuildingInformationTable[Site type],MATCH(BuildingsElectricityTable[[#This Row],[Site name]],BuildingInformationTable[Site name],0)),"")</f>
        <v/>
      </c>
      <c r="E327" s="490" t="str">
        <f t="shared" si="28"/>
        <v/>
      </c>
      <c r="F327" s="490" t="str">
        <f t="shared" si="29"/>
        <v/>
      </c>
      <c r="G327" s="491"/>
      <c r="H327" s="492" t="str">
        <f>IF(G327="","",INDEX(Lists!$BA$4:$BC$31,MATCH(E327,Lists!$AZ$4:$AZ$31,0),MATCH(G327,Lists!$BA$3:$BC$3,0)))</f>
        <v/>
      </c>
      <c r="I327" s="267"/>
      <c r="J327" s="490" t="str">
        <f t="shared" si="30"/>
        <v/>
      </c>
      <c r="K327" s="493" t="str" cm="1">
        <f t="array" ref="K327">IF(OR($E327="",$D327="",$I327="",$J327=""),"",IF(J327=L327,I327,(INDEX('Emission factors'!$K$3:$V$201,MATCH(E327&amp;F327,'Emission factors'!$J$3:$J$201&amp;'Emission factors'!$K$3:$K$201,0),MATCH(K$6,'Emission factors'!$K$2:$V$2,0)))*I327))</f>
        <v/>
      </c>
      <c r="L327" s="494" t="str">
        <f>IF(OR($E327="",$D327="",$I327="",$J327=""),"",INDEX('Emission factors'!$K$3:$V$201,MATCH('Buildings - Grid Electricity'!$E327,'Emission factors'!$J$3:$J$201,0),MATCH($L$6,'Emission factors'!$K$2:$V$2,0)))</f>
        <v/>
      </c>
      <c r="M327" s="495" t="str" cm="1">
        <f t="array" ref="M327">IF(OR(E327="",I327="",BuildingsElectricityTable[[#This Row],[Units]]=""),"",INDEX('Emission factors'!$K$3:$V$201,MATCH('Buildings - Grid Electricity'!$E327&amp;F327,'Emission factors'!$J$3:$J$201&amp;'Emission factors'!$K$3:$K$201,0),MATCH('Buildings - Grid Electricity'!$M$6,'Emission factors'!$K$2:$V$2,0)))</f>
        <v/>
      </c>
      <c r="N327" s="496" t="str">
        <f>IF(OR(K327="",M327=""),"",SUM(BuildingsElectricityTable[[#This Row],[Direct]:[Indirect WTT]]))</f>
        <v/>
      </c>
      <c r="O327" s="268"/>
      <c r="P327" s="497"/>
      <c r="Q327" s="157" t="str" cm="1">
        <f t="array" ref="Q327">IF(OR($E327="",$I327=""),"",(INDEX('Emission factors'!$K$3:$V$201,MATCH('Buildings - Grid Electricity'!$E327&amp;$F327,'Emission factors'!$J$3:$J$201&amp;'Emission factors'!$K$3:$K$201,0),MATCH('Buildings - Grid Electricity'!Q$6,'Emission factors'!$K$2:$V$2,0)))*$K327)</f>
        <v/>
      </c>
      <c r="R327" s="157" t="str" cm="1">
        <f t="array" ref="R327">IF(OR($E327="",$I327=""),"",(INDEX('Emission factors'!$K$3:$V$201,MATCH('Buildings - Grid Electricity'!$E327&amp;$F327,'Emission factors'!$J$3:$J$201&amp;'Emission factors'!$K$3:$K$201,0),MATCH('Buildings - Grid Electricity'!R$6,'Emission factors'!$K$2:$V$2,0)))*$K327)</f>
        <v/>
      </c>
      <c r="S327" s="157" t="str" cm="1">
        <f t="array" ref="S327">IF(OR($E327="",$I327=""),"",(INDEX('Emission factors'!$K$3:$V$201,MATCH('Buildings - Grid Electricity'!$E327&amp;$F327,'Emission factors'!$J$3:$J$201&amp;'Emission factors'!$K$3:$K$201,0),MATCH('Buildings - Grid Electricity'!S$6,'Emission factors'!$K$2:$V$2,0)))*$K327)</f>
        <v/>
      </c>
      <c r="T327" s="157" t="str" cm="1">
        <f t="array" ref="T327">IF(OR($E327="",$I327=""),"",(INDEX('Emission factors'!$K$3:$V$201,MATCH('Buildings - Grid Electricity'!$E327&amp;$F327,'Emission factors'!$J$3:$J$201&amp;'Emission factors'!$K$3:$K$201,0),MATCH('Buildings - Grid Electricity'!T$6,'Emission factors'!$K$2:$V$2,0)))*$K327)</f>
        <v/>
      </c>
      <c r="U327" s="157" t="str" cm="1">
        <f t="array" ref="U327">IF(OR($E327="",$I327=""),"",(INDEX('Emission factors'!$K$3:$V$201,MATCH('Buildings - Grid Electricity'!$E327&amp;$F327,'Emission factors'!$J$3:$J$201&amp;'Emission factors'!$K$3:$K$201,0),MATCH('Buildings - Grid Electricity'!U$6,'Emission factors'!$K$2:$V$2,0)))*$K327)</f>
        <v/>
      </c>
      <c r="V327" s="269" t="str">
        <f>IF(OR($N327="",BuildingsElectricityTable[[#This Row],[RSD]]=""),"",BuildingsElectricityTable[[#This Row],[Total emissions (kgCO2e)]]*(1+BuildingsElectricityTable[[#This Row],[RSD]]))</f>
        <v/>
      </c>
      <c r="W327" s="270" t="str">
        <f>IF(OR($N327="",BuildingsElectricityTable[[#This Row],[RSD]]=""),"",BuildingsElectricityTable[[#This Row],[Total emissions (kgCO2e)]]*(1-BuildingsElectricityTable[[#This Row],[RSD]]))</f>
        <v/>
      </c>
      <c r="X327" s="271" t="str" cm="1">
        <f t="array" ref="X327">IF(OR($E327="",$I327=""),"",(INDEX('Emission factors'!$K$3:$V$201,MATCH('Buildings - Grid Electricity'!$E327&amp;$F327,'Emission factors'!$J$3:$J$201&amp;'Emission factors'!$K$3:$K$201,0),MATCH('Buildings - Grid Electricity'!X$6,'Emission factors'!$K$2:$V$2,0)))*$K327)</f>
        <v/>
      </c>
      <c r="Y327" s="30"/>
      <c r="Z327" s="1" cm="1">
        <f t="array" ref="Z327">IF(OR(ISERROR(B327:X327)),1,0)</f>
        <v>0</v>
      </c>
      <c r="AA327" s="1">
        <f t="shared" si="24"/>
        <v>0</v>
      </c>
    </row>
    <row r="328" spans="1:27" ht="15" outlineLevel="1" thickBot="1" x14ac:dyDescent="0.4">
      <c r="A328" s="319"/>
      <c r="B328" s="216"/>
      <c r="C328" s="216"/>
      <c r="D328" s="489" t="str">
        <f>IFERROR(INDEX(BuildingInformationTable[Site type],MATCH(BuildingsElectricityTable[[#This Row],[Site name]],BuildingInformationTable[Site name],0)),"")</f>
        <v/>
      </c>
      <c r="E328" s="490" t="str">
        <f t="shared" si="28"/>
        <v/>
      </c>
      <c r="F328" s="490" t="str">
        <f t="shared" si="29"/>
        <v/>
      </c>
      <c r="G328" s="491"/>
      <c r="H328" s="492" t="str">
        <f>IF(G328="","",INDEX(Lists!$BA$4:$BC$31,MATCH(E328,Lists!$AZ$4:$AZ$31,0),MATCH(G328,Lists!$BA$3:$BC$3,0)))</f>
        <v/>
      </c>
      <c r="I328" s="267"/>
      <c r="J328" s="490" t="str">
        <f t="shared" si="30"/>
        <v/>
      </c>
      <c r="K328" s="493" t="str" cm="1">
        <f t="array" ref="K328">IF(OR($E328="",$D328="",$I328="",$J328=""),"",IF(J328=L328,I328,(INDEX('Emission factors'!$K$3:$V$201,MATCH(E328&amp;F328,'Emission factors'!$J$3:$J$201&amp;'Emission factors'!$K$3:$K$201,0),MATCH(K$6,'Emission factors'!$K$2:$V$2,0)))*I328))</f>
        <v/>
      </c>
      <c r="L328" s="494" t="str">
        <f>IF(OR($E328="",$D328="",$I328="",$J328=""),"",INDEX('Emission factors'!$K$3:$V$201,MATCH('Buildings - Grid Electricity'!$E328,'Emission factors'!$J$3:$J$201,0),MATCH($L$6,'Emission factors'!$K$2:$V$2,0)))</f>
        <v/>
      </c>
      <c r="M328" s="495" t="str" cm="1">
        <f t="array" ref="M328">IF(OR(E328="",I328="",BuildingsElectricityTable[[#This Row],[Units]]=""),"",INDEX('Emission factors'!$K$3:$V$201,MATCH('Buildings - Grid Electricity'!$E328&amp;F328,'Emission factors'!$J$3:$J$201&amp;'Emission factors'!$K$3:$K$201,0),MATCH('Buildings - Grid Electricity'!$M$6,'Emission factors'!$K$2:$V$2,0)))</f>
        <v/>
      </c>
      <c r="N328" s="496" t="str">
        <f>IF(OR(K328="",M328=""),"",SUM(BuildingsElectricityTable[[#This Row],[Direct]:[Indirect WTT]]))</f>
        <v/>
      </c>
      <c r="O328" s="268"/>
      <c r="P328" s="497"/>
      <c r="Q328" s="157" t="str" cm="1">
        <f t="array" ref="Q328">IF(OR($E328="",$I328=""),"",(INDEX('Emission factors'!$K$3:$V$201,MATCH('Buildings - Grid Electricity'!$E328&amp;$F328,'Emission factors'!$J$3:$J$201&amp;'Emission factors'!$K$3:$K$201,0),MATCH('Buildings - Grid Electricity'!Q$6,'Emission factors'!$K$2:$V$2,0)))*$K328)</f>
        <v/>
      </c>
      <c r="R328" s="157" t="str" cm="1">
        <f t="array" ref="R328">IF(OR($E328="",$I328=""),"",(INDEX('Emission factors'!$K$3:$V$201,MATCH('Buildings - Grid Electricity'!$E328&amp;$F328,'Emission factors'!$J$3:$J$201&amp;'Emission factors'!$K$3:$K$201,0),MATCH('Buildings - Grid Electricity'!R$6,'Emission factors'!$K$2:$V$2,0)))*$K328)</f>
        <v/>
      </c>
      <c r="S328" s="157" t="str" cm="1">
        <f t="array" ref="S328">IF(OR($E328="",$I328=""),"",(INDEX('Emission factors'!$K$3:$V$201,MATCH('Buildings - Grid Electricity'!$E328&amp;$F328,'Emission factors'!$J$3:$J$201&amp;'Emission factors'!$K$3:$K$201,0),MATCH('Buildings - Grid Electricity'!S$6,'Emission factors'!$K$2:$V$2,0)))*$K328)</f>
        <v/>
      </c>
      <c r="T328" s="157" t="str" cm="1">
        <f t="array" ref="T328">IF(OR($E328="",$I328=""),"",(INDEX('Emission factors'!$K$3:$V$201,MATCH('Buildings - Grid Electricity'!$E328&amp;$F328,'Emission factors'!$J$3:$J$201&amp;'Emission factors'!$K$3:$K$201,0),MATCH('Buildings - Grid Electricity'!T$6,'Emission factors'!$K$2:$V$2,0)))*$K328)</f>
        <v/>
      </c>
      <c r="U328" s="157" t="str" cm="1">
        <f t="array" ref="U328">IF(OR($E328="",$I328=""),"",(INDEX('Emission factors'!$K$3:$V$201,MATCH('Buildings - Grid Electricity'!$E328&amp;$F328,'Emission factors'!$J$3:$J$201&amp;'Emission factors'!$K$3:$K$201,0),MATCH('Buildings - Grid Electricity'!U$6,'Emission factors'!$K$2:$V$2,0)))*$K328)</f>
        <v/>
      </c>
      <c r="V328" s="269" t="str">
        <f>IF(OR($N328="",BuildingsElectricityTable[[#This Row],[RSD]]=""),"",BuildingsElectricityTable[[#This Row],[Total emissions (kgCO2e)]]*(1+BuildingsElectricityTable[[#This Row],[RSD]]))</f>
        <v/>
      </c>
      <c r="W328" s="270" t="str">
        <f>IF(OR($N328="",BuildingsElectricityTable[[#This Row],[RSD]]=""),"",BuildingsElectricityTable[[#This Row],[Total emissions (kgCO2e)]]*(1-BuildingsElectricityTable[[#This Row],[RSD]]))</f>
        <v/>
      </c>
      <c r="X328" s="271" t="str" cm="1">
        <f t="array" ref="X328">IF(OR($E328="",$I328=""),"",(INDEX('Emission factors'!$K$3:$V$201,MATCH('Buildings - Grid Electricity'!$E328&amp;$F328,'Emission factors'!$J$3:$J$201&amp;'Emission factors'!$K$3:$K$201,0),MATCH('Buildings - Grid Electricity'!X$6,'Emission factors'!$K$2:$V$2,0)))*$K328)</f>
        <v/>
      </c>
      <c r="Y328" s="30"/>
      <c r="Z328" s="1" cm="1">
        <f t="array" ref="Z328">IF(OR(ISERROR(B328:X328)),1,0)</f>
        <v>0</v>
      </c>
      <c r="AA328" s="1">
        <f t="shared" ref="AA328:AA340" si="31">IF(AND(B328="",E328="",I328="",J328=""),0,1)</f>
        <v>0</v>
      </c>
    </row>
    <row r="329" spans="1:27" ht="15" outlineLevel="1" thickBot="1" x14ac:dyDescent="0.4">
      <c r="A329" s="319"/>
      <c r="B329" s="216"/>
      <c r="C329" s="216"/>
      <c r="D329" s="489" t="str">
        <f>IFERROR(INDEX(BuildingInformationTable[Site type],MATCH(BuildingsElectricityTable[[#This Row],[Site name]],BuildingInformationTable[Site name],0)),"")</f>
        <v/>
      </c>
      <c r="E329" s="490" t="str">
        <f t="shared" si="28"/>
        <v/>
      </c>
      <c r="F329" s="490" t="str">
        <f t="shared" si="29"/>
        <v/>
      </c>
      <c r="G329" s="491"/>
      <c r="H329" s="492" t="str">
        <f>IF(G329="","",INDEX(Lists!$BA$4:$BC$31,MATCH(E329,Lists!$AZ$4:$AZ$31,0),MATCH(G329,Lists!$BA$3:$BC$3,0)))</f>
        <v/>
      </c>
      <c r="I329" s="267"/>
      <c r="J329" s="490" t="str">
        <f t="shared" si="30"/>
        <v/>
      </c>
      <c r="K329" s="493" t="str" cm="1">
        <f t="array" ref="K329">IF(OR($E329="",$D329="",$I329="",$J329=""),"",IF(J329=L329,I329,(INDEX('Emission factors'!$K$3:$V$201,MATCH(E329&amp;F329,'Emission factors'!$J$3:$J$201&amp;'Emission factors'!$K$3:$K$201,0),MATCH(K$6,'Emission factors'!$K$2:$V$2,0)))*I329))</f>
        <v/>
      </c>
      <c r="L329" s="494" t="str">
        <f>IF(OR($E329="",$D329="",$I329="",$J329=""),"",INDEX('Emission factors'!$K$3:$V$201,MATCH('Buildings - Grid Electricity'!$E329,'Emission factors'!$J$3:$J$201,0),MATCH($L$6,'Emission factors'!$K$2:$V$2,0)))</f>
        <v/>
      </c>
      <c r="M329" s="495" t="str" cm="1">
        <f t="array" ref="M329">IF(OR(E329="",I329="",BuildingsElectricityTable[[#This Row],[Units]]=""),"",INDEX('Emission factors'!$K$3:$V$201,MATCH('Buildings - Grid Electricity'!$E329&amp;F329,'Emission factors'!$J$3:$J$201&amp;'Emission factors'!$K$3:$K$201,0),MATCH('Buildings - Grid Electricity'!$M$6,'Emission factors'!$K$2:$V$2,0)))</f>
        <v/>
      </c>
      <c r="N329" s="496" t="str">
        <f>IF(OR(K329="",M329=""),"",SUM(BuildingsElectricityTable[[#This Row],[Direct]:[Indirect WTT]]))</f>
        <v/>
      </c>
      <c r="O329" s="268"/>
      <c r="P329" s="497"/>
      <c r="Q329" s="157" t="str" cm="1">
        <f t="array" ref="Q329">IF(OR($E329="",$I329=""),"",(INDEX('Emission factors'!$K$3:$V$201,MATCH('Buildings - Grid Electricity'!$E329&amp;$F329,'Emission factors'!$J$3:$J$201&amp;'Emission factors'!$K$3:$K$201,0),MATCH('Buildings - Grid Electricity'!Q$6,'Emission factors'!$K$2:$V$2,0)))*$K329)</f>
        <v/>
      </c>
      <c r="R329" s="157" t="str" cm="1">
        <f t="array" ref="R329">IF(OR($E329="",$I329=""),"",(INDEX('Emission factors'!$K$3:$V$201,MATCH('Buildings - Grid Electricity'!$E329&amp;$F329,'Emission factors'!$J$3:$J$201&amp;'Emission factors'!$K$3:$K$201,0),MATCH('Buildings - Grid Electricity'!R$6,'Emission factors'!$K$2:$V$2,0)))*$K329)</f>
        <v/>
      </c>
      <c r="S329" s="157" t="str" cm="1">
        <f t="array" ref="S329">IF(OR($E329="",$I329=""),"",(INDEX('Emission factors'!$K$3:$V$201,MATCH('Buildings - Grid Electricity'!$E329&amp;$F329,'Emission factors'!$J$3:$J$201&amp;'Emission factors'!$K$3:$K$201,0),MATCH('Buildings - Grid Electricity'!S$6,'Emission factors'!$K$2:$V$2,0)))*$K329)</f>
        <v/>
      </c>
      <c r="T329" s="157" t="str" cm="1">
        <f t="array" ref="T329">IF(OR($E329="",$I329=""),"",(INDEX('Emission factors'!$K$3:$V$201,MATCH('Buildings - Grid Electricity'!$E329&amp;$F329,'Emission factors'!$J$3:$J$201&amp;'Emission factors'!$K$3:$K$201,0),MATCH('Buildings - Grid Electricity'!T$6,'Emission factors'!$K$2:$V$2,0)))*$K329)</f>
        <v/>
      </c>
      <c r="U329" s="157" t="str" cm="1">
        <f t="array" ref="U329">IF(OR($E329="",$I329=""),"",(INDEX('Emission factors'!$K$3:$V$201,MATCH('Buildings - Grid Electricity'!$E329&amp;$F329,'Emission factors'!$J$3:$J$201&amp;'Emission factors'!$K$3:$K$201,0),MATCH('Buildings - Grid Electricity'!U$6,'Emission factors'!$K$2:$V$2,0)))*$K329)</f>
        <v/>
      </c>
      <c r="V329" s="269" t="str">
        <f>IF(OR($N329="",BuildingsElectricityTable[[#This Row],[RSD]]=""),"",BuildingsElectricityTable[[#This Row],[Total emissions (kgCO2e)]]*(1+BuildingsElectricityTable[[#This Row],[RSD]]))</f>
        <v/>
      </c>
      <c r="W329" s="270" t="str">
        <f>IF(OR($N329="",BuildingsElectricityTable[[#This Row],[RSD]]=""),"",BuildingsElectricityTable[[#This Row],[Total emissions (kgCO2e)]]*(1-BuildingsElectricityTable[[#This Row],[RSD]]))</f>
        <v/>
      </c>
      <c r="X329" s="271" t="str" cm="1">
        <f t="array" ref="X329">IF(OR($E329="",$I329=""),"",(INDEX('Emission factors'!$K$3:$V$201,MATCH('Buildings - Grid Electricity'!$E329&amp;$F329,'Emission factors'!$J$3:$J$201&amp;'Emission factors'!$K$3:$K$201,0),MATCH('Buildings - Grid Electricity'!X$6,'Emission factors'!$K$2:$V$2,0)))*$K329)</f>
        <v/>
      </c>
      <c r="Y329" s="30"/>
      <c r="Z329" s="1" cm="1">
        <f t="array" ref="Z329">IF(OR(ISERROR(B329:X329)),1,0)</f>
        <v>0</v>
      </c>
      <c r="AA329" s="1">
        <f t="shared" si="31"/>
        <v>0</v>
      </c>
    </row>
    <row r="330" spans="1:27" ht="15" outlineLevel="1" thickBot="1" x14ac:dyDescent="0.4">
      <c r="A330" s="319"/>
      <c r="B330" s="216"/>
      <c r="C330" s="216"/>
      <c r="D330" s="489" t="str">
        <f>IFERROR(INDEX(BuildingInformationTable[Site type],MATCH(BuildingsElectricityTable[[#This Row],[Site name]],BuildingInformationTable[Site name],0)),"")</f>
        <v/>
      </c>
      <c r="E330" s="490" t="str">
        <f t="shared" si="28"/>
        <v/>
      </c>
      <c r="F330" s="490" t="str">
        <f t="shared" si="29"/>
        <v/>
      </c>
      <c r="G330" s="491"/>
      <c r="H330" s="492" t="str">
        <f>IF(G330="","",INDEX(Lists!$BA$4:$BC$31,MATCH(E330,Lists!$AZ$4:$AZ$31,0),MATCH(G330,Lists!$BA$3:$BC$3,0)))</f>
        <v/>
      </c>
      <c r="I330" s="267"/>
      <c r="J330" s="490" t="str">
        <f t="shared" si="30"/>
        <v/>
      </c>
      <c r="K330" s="493" t="str" cm="1">
        <f t="array" ref="K330">IF(OR($E330="",$D330="",$I330="",$J330=""),"",IF(J330=L330,I330,(INDEX('Emission factors'!$K$3:$V$201,MATCH(E330&amp;F330,'Emission factors'!$J$3:$J$201&amp;'Emission factors'!$K$3:$K$201,0),MATCH(K$6,'Emission factors'!$K$2:$V$2,0)))*I330))</f>
        <v/>
      </c>
      <c r="L330" s="494" t="str">
        <f>IF(OR($E330="",$D330="",$I330="",$J330=""),"",INDEX('Emission factors'!$K$3:$V$201,MATCH('Buildings - Grid Electricity'!$E330,'Emission factors'!$J$3:$J$201,0),MATCH($L$6,'Emission factors'!$K$2:$V$2,0)))</f>
        <v/>
      </c>
      <c r="M330" s="495" t="str" cm="1">
        <f t="array" ref="M330">IF(OR(E330="",I330="",BuildingsElectricityTable[[#This Row],[Units]]=""),"",INDEX('Emission factors'!$K$3:$V$201,MATCH('Buildings - Grid Electricity'!$E330&amp;F330,'Emission factors'!$J$3:$J$201&amp;'Emission factors'!$K$3:$K$201,0),MATCH('Buildings - Grid Electricity'!$M$6,'Emission factors'!$K$2:$V$2,0)))</f>
        <v/>
      </c>
      <c r="N330" s="496" t="str">
        <f>IF(OR(K330="",M330=""),"",SUM(BuildingsElectricityTable[[#This Row],[Direct]:[Indirect WTT]]))</f>
        <v/>
      </c>
      <c r="O330" s="268"/>
      <c r="P330" s="497"/>
      <c r="Q330" s="157" t="str" cm="1">
        <f t="array" ref="Q330">IF(OR($E330="",$I330=""),"",(INDEX('Emission factors'!$K$3:$V$201,MATCH('Buildings - Grid Electricity'!$E330&amp;$F330,'Emission factors'!$J$3:$J$201&amp;'Emission factors'!$K$3:$K$201,0),MATCH('Buildings - Grid Electricity'!Q$6,'Emission factors'!$K$2:$V$2,0)))*$K330)</f>
        <v/>
      </c>
      <c r="R330" s="157" t="str" cm="1">
        <f t="array" ref="R330">IF(OR($E330="",$I330=""),"",(INDEX('Emission factors'!$K$3:$V$201,MATCH('Buildings - Grid Electricity'!$E330&amp;$F330,'Emission factors'!$J$3:$J$201&amp;'Emission factors'!$K$3:$K$201,0),MATCH('Buildings - Grid Electricity'!R$6,'Emission factors'!$K$2:$V$2,0)))*$K330)</f>
        <v/>
      </c>
      <c r="S330" s="157" t="str" cm="1">
        <f t="array" ref="S330">IF(OR($E330="",$I330=""),"",(INDEX('Emission factors'!$K$3:$V$201,MATCH('Buildings - Grid Electricity'!$E330&amp;$F330,'Emission factors'!$J$3:$J$201&amp;'Emission factors'!$K$3:$K$201,0),MATCH('Buildings - Grid Electricity'!S$6,'Emission factors'!$K$2:$V$2,0)))*$K330)</f>
        <v/>
      </c>
      <c r="T330" s="157" t="str" cm="1">
        <f t="array" ref="T330">IF(OR($E330="",$I330=""),"",(INDEX('Emission factors'!$K$3:$V$201,MATCH('Buildings - Grid Electricity'!$E330&amp;$F330,'Emission factors'!$J$3:$J$201&amp;'Emission factors'!$K$3:$K$201,0),MATCH('Buildings - Grid Electricity'!T$6,'Emission factors'!$K$2:$V$2,0)))*$K330)</f>
        <v/>
      </c>
      <c r="U330" s="157" t="str" cm="1">
        <f t="array" ref="U330">IF(OR($E330="",$I330=""),"",(INDEX('Emission factors'!$K$3:$V$201,MATCH('Buildings - Grid Electricity'!$E330&amp;$F330,'Emission factors'!$J$3:$J$201&amp;'Emission factors'!$K$3:$K$201,0),MATCH('Buildings - Grid Electricity'!U$6,'Emission factors'!$K$2:$V$2,0)))*$K330)</f>
        <v/>
      </c>
      <c r="V330" s="269" t="str">
        <f>IF(OR($N330="",BuildingsElectricityTable[[#This Row],[RSD]]=""),"",BuildingsElectricityTable[[#This Row],[Total emissions (kgCO2e)]]*(1+BuildingsElectricityTable[[#This Row],[RSD]]))</f>
        <v/>
      </c>
      <c r="W330" s="270" t="str">
        <f>IF(OR($N330="",BuildingsElectricityTable[[#This Row],[RSD]]=""),"",BuildingsElectricityTable[[#This Row],[Total emissions (kgCO2e)]]*(1-BuildingsElectricityTable[[#This Row],[RSD]]))</f>
        <v/>
      </c>
      <c r="X330" s="271" t="str" cm="1">
        <f t="array" ref="X330">IF(OR($E330="",$I330=""),"",(INDEX('Emission factors'!$K$3:$V$201,MATCH('Buildings - Grid Electricity'!$E330&amp;$F330,'Emission factors'!$J$3:$J$201&amp;'Emission factors'!$K$3:$K$201,0),MATCH('Buildings - Grid Electricity'!X$6,'Emission factors'!$K$2:$V$2,0)))*$K330)</f>
        <v/>
      </c>
      <c r="Y330" s="30"/>
      <c r="Z330" s="1" cm="1">
        <f t="array" ref="Z330">IF(OR(ISERROR(B330:X330)),1,0)</f>
        <v>0</v>
      </c>
      <c r="AA330" s="1">
        <f t="shared" si="31"/>
        <v>0</v>
      </c>
    </row>
    <row r="331" spans="1:27" ht="15" outlineLevel="1" thickBot="1" x14ac:dyDescent="0.4">
      <c r="A331" s="319"/>
      <c r="B331" s="216"/>
      <c r="C331" s="216"/>
      <c r="D331" s="489" t="str">
        <f>IFERROR(INDEX(BuildingInformationTable[Site type],MATCH(BuildingsElectricityTable[[#This Row],[Site name]],BuildingInformationTable[Site name],0)),"")</f>
        <v/>
      </c>
      <c r="E331" s="490" t="str">
        <f t="shared" si="28"/>
        <v/>
      </c>
      <c r="F331" s="490" t="str">
        <f t="shared" si="29"/>
        <v/>
      </c>
      <c r="G331" s="491"/>
      <c r="H331" s="492" t="str">
        <f>IF(G331="","",INDEX(Lists!$BA$4:$BC$31,MATCH(E331,Lists!$AZ$4:$AZ$31,0),MATCH(G331,Lists!$BA$3:$BC$3,0)))</f>
        <v/>
      </c>
      <c r="I331" s="267"/>
      <c r="J331" s="490" t="str">
        <f t="shared" si="30"/>
        <v/>
      </c>
      <c r="K331" s="493" t="str" cm="1">
        <f t="array" ref="K331">IF(OR($E331="",$D331="",$I331="",$J331=""),"",IF(J331=L331,I331,(INDEX('Emission factors'!$K$3:$V$201,MATCH(E331&amp;F331,'Emission factors'!$J$3:$J$201&amp;'Emission factors'!$K$3:$K$201,0),MATCH(K$6,'Emission factors'!$K$2:$V$2,0)))*I331))</f>
        <v/>
      </c>
      <c r="L331" s="494" t="str">
        <f>IF(OR($E331="",$D331="",$I331="",$J331=""),"",INDEX('Emission factors'!$K$3:$V$201,MATCH('Buildings - Grid Electricity'!$E331,'Emission factors'!$J$3:$J$201,0),MATCH($L$6,'Emission factors'!$K$2:$V$2,0)))</f>
        <v/>
      </c>
      <c r="M331" s="495" t="str" cm="1">
        <f t="array" ref="M331">IF(OR(E331="",I331="",BuildingsElectricityTable[[#This Row],[Units]]=""),"",INDEX('Emission factors'!$K$3:$V$201,MATCH('Buildings - Grid Electricity'!$E331&amp;F331,'Emission factors'!$J$3:$J$201&amp;'Emission factors'!$K$3:$K$201,0),MATCH('Buildings - Grid Electricity'!$M$6,'Emission factors'!$K$2:$V$2,0)))</f>
        <v/>
      </c>
      <c r="N331" s="496" t="str">
        <f>IF(OR(K331="",M331=""),"",SUM(BuildingsElectricityTable[[#This Row],[Direct]:[Indirect WTT]]))</f>
        <v/>
      </c>
      <c r="O331" s="268"/>
      <c r="P331" s="497"/>
      <c r="Q331" s="157" t="str" cm="1">
        <f t="array" ref="Q331">IF(OR($E331="",$I331=""),"",(INDEX('Emission factors'!$K$3:$V$201,MATCH('Buildings - Grid Electricity'!$E331&amp;$F331,'Emission factors'!$J$3:$J$201&amp;'Emission factors'!$K$3:$K$201,0),MATCH('Buildings - Grid Electricity'!Q$6,'Emission factors'!$K$2:$V$2,0)))*$K331)</f>
        <v/>
      </c>
      <c r="R331" s="157" t="str" cm="1">
        <f t="array" ref="R331">IF(OR($E331="",$I331=""),"",(INDEX('Emission factors'!$K$3:$V$201,MATCH('Buildings - Grid Electricity'!$E331&amp;$F331,'Emission factors'!$J$3:$J$201&amp;'Emission factors'!$K$3:$K$201,0),MATCH('Buildings - Grid Electricity'!R$6,'Emission factors'!$K$2:$V$2,0)))*$K331)</f>
        <v/>
      </c>
      <c r="S331" s="157" t="str" cm="1">
        <f t="array" ref="S331">IF(OR($E331="",$I331=""),"",(INDEX('Emission factors'!$K$3:$V$201,MATCH('Buildings - Grid Electricity'!$E331&amp;$F331,'Emission factors'!$J$3:$J$201&amp;'Emission factors'!$K$3:$K$201,0),MATCH('Buildings - Grid Electricity'!S$6,'Emission factors'!$K$2:$V$2,0)))*$K331)</f>
        <v/>
      </c>
      <c r="T331" s="157" t="str" cm="1">
        <f t="array" ref="T331">IF(OR($E331="",$I331=""),"",(INDEX('Emission factors'!$K$3:$V$201,MATCH('Buildings - Grid Electricity'!$E331&amp;$F331,'Emission factors'!$J$3:$J$201&amp;'Emission factors'!$K$3:$K$201,0),MATCH('Buildings - Grid Electricity'!T$6,'Emission factors'!$K$2:$V$2,0)))*$K331)</f>
        <v/>
      </c>
      <c r="U331" s="157" t="str" cm="1">
        <f t="array" ref="U331">IF(OR($E331="",$I331=""),"",(INDEX('Emission factors'!$K$3:$V$201,MATCH('Buildings - Grid Electricity'!$E331&amp;$F331,'Emission factors'!$J$3:$J$201&amp;'Emission factors'!$K$3:$K$201,0),MATCH('Buildings - Grid Electricity'!U$6,'Emission factors'!$K$2:$V$2,0)))*$K331)</f>
        <v/>
      </c>
      <c r="V331" s="269" t="str">
        <f>IF(OR($N331="",BuildingsElectricityTable[[#This Row],[RSD]]=""),"",BuildingsElectricityTable[[#This Row],[Total emissions (kgCO2e)]]*(1+BuildingsElectricityTable[[#This Row],[RSD]]))</f>
        <v/>
      </c>
      <c r="W331" s="270" t="str">
        <f>IF(OR($N331="",BuildingsElectricityTable[[#This Row],[RSD]]=""),"",BuildingsElectricityTable[[#This Row],[Total emissions (kgCO2e)]]*(1-BuildingsElectricityTable[[#This Row],[RSD]]))</f>
        <v/>
      </c>
      <c r="X331" s="271" t="str" cm="1">
        <f t="array" ref="X331">IF(OR($E331="",$I331=""),"",(INDEX('Emission factors'!$K$3:$V$201,MATCH('Buildings - Grid Electricity'!$E331&amp;$F331,'Emission factors'!$J$3:$J$201&amp;'Emission factors'!$K$3:$K$201,0),MATCH('Buildings - Grid Electricity'!X$6,'Emission factors'!$K$2:$V$2,0)))*$K331)</f>
        <v/>
      </c>
      <c r="Y331" s="30"/>
      <c r="Z331" s="1" cm="1">
        <f t="array" ref="Z331">IF(OR(ISERROR(B331:X331)),1,0)</f>
        <v>0</v>
      </c>
      <c r="AA331" s="1">
        <f t="shared" si="31"/>
        <v>0</v>
      </c>
    </row>
    <row r="332" spans="1:27" ht="15" outlineLevel="1" thickBot="1" x14ac:dyDescent="0.4">
      <c r="A332" s="319"/>
      <c r="B332" s="216"/>
      <c r="C332" s="216"/>
      <c r="D332" s="489" t="str">
        <f>IFERROR(INDEX(BuildingInformationTable[Site type],MATCH(BuildingsElectricityTable[[#This Row],[Site name]],BuildingInformationTable[Site name],0)),"")</f>
        <v/>
      </c>
      <c r="E332" s="490" t="str">
        <f t="shared" si="28"/>
        <v/>
      </c>
      <c r="F332" s="490" t="str">
        <f t="shared" si="29"/>
        <v/>
      </c>
      <c r="G332" s="491"/>
      <c r="H332" s="492" t="str">
        <f>IF(G332="","",INDEX(Lists!$BA$4:$BC$31,MATCH(E332,Lists!$AZ$4:$AZ$31,0),MATCH(G332,Lists!$BA$3:$BC$3,0)))</f>
        <v/>
      </c>
      <c r="I332" s="267"/>
      <c r="J332" s="490" t="str">
        <f t="shared" si="30"/>
        <v/>
      </c>
      <c r="K332" s="493" t="str" cm="1">
        <f t="array" ref="K332">IF(OR($E332="",$D332="",$I332="",$J332=""),"",IF(J332=L332,I332,(INDEX('Emission factors'!$K$3:$V$201,MATCH(E332&amp;F332,'Emission factors'!$J$3:$J$201&amp;'Emission factors'!$K$3:$K$201,0),MATCH(K$6,'Emission factors'!$K$2:$V$2,0)))*I332))</f>
        <v/>
      </c>
      <c r="L332" s="494" t="str">
        <f>IF(OR($E332="",$D332="",$I332="",$J332=""),"",INDEX('Emission factors'!$K$3:$V$201,MATCH('Buildings - Grid Electricity'!$E332,'Emission factors'!$J$3:$J$201,0),MATCH($L$6,'Emission factors'!$K$2:$V$2,0)))</f>
        <v/>
      </c>
      <c r="M332" s="495" t="str" cm="1">
        <f t="array" ref="M332">IF(OR(E332="",I332="",BuildingsElectricityTable[[#This Row],[Units]]=""),"",INDEX('Emission factors'!$K$3:$V$201,MATCH('Buildings - Grid Electricity'!$E332&amp;F332,'Emission factors'!$J$3:$J$201&amp;'Emission factors'!$K$3:$K$201,0),MATCH('Buildings - Grid Electricity'!$M$6,'Emission factors'!$K$2:$V$2,0)))</f>
        <v/>
      </c>
      <c r="N332" s="496" t="str">
        <f>IF(OR(K332="",M332=""),"",SUM(BuildingsElectricityTable[[#This Row],[Direct]:[Indirect WTT]]))</f>
        <v/>
      </c>
      <c r="O332" s="268"/>
      <c r="P332" s="497"/>
      <c r="Q332" s="157" t="str" cm="1">
        <f t="array" ref="Q332">IF(OR($E332="",$I332=""),"",(INDEX('Emission factors'!$K$3:$V$201,MATCH('Buildings - Grid Electricity'!$E332&amp;$F332,'Emission factors'!$J$3:$J$201&amp;'Emission factors'!$K$3:$K$201,0),MATCH('Buildings - Grid Electricity'!Q$6,'Emission factors'!$K$2:$V$2,0)))*$K332)</f>
        <v/>
      </c>
      <c r="R332" s="157" t="str" cm="1">
        <f t="array" ref="R332">IF(OR($E332="",$I332=""),"",(INDEX('Emission factors'!$K$3:$V$201,MATCH('Buildings - Grid Electricity'!$E332&amp;$F332,'Emission factors'!$J$3:$J$201&amp;'Emission factors'!$K$3:$K$201,0),MATCH('Buildings - Grid Electricity'!R$6,'Emission factors'!$K$2:$V$2,0)))*$K332)</f>
        <v/>
      </c>
      <c r="S332" s="157" t="str" cm="1">
        <f t="array" ref="S332">IF(OR($E332="",$I332=""),"",(INDEX('Emission factors'!$K$3:$V$201,MATCH('Buildings - Grid Electricity'!$E332&amp;$F332,'Emission factors'!$J$3:$J$201&amp;'Emission factors'!$K$3:$K$201,0),MATCH('Buildings - Grid Electricity'!S$6,'Emission factors'!$K$2:$V$2,0)))*$K332)</f>
        <v/>
      </c>
      <c r="T332" s="157" t="str" cm="1">
        <f t="array" ref="T332">IF(OR($E332="",$I332=""),"",(INDEX('Emission factors'!$K$3:$V$201,MATCH('Buildings - Grid Electricity'!$E332&amp;$F332,'Emission factors'!$J$3:$J$201&amp;'Emission factors'!$K$3:$K$201,0),MATCH('Buildings - Grid Electricity'!T$6,'Emission factors'!$K$2:$V$2,0)))*$K332)</f>
        <v/>
      </c>
      <c r="U332" s="157" t="str" cm="1">
        <f t="array" ref="U332">IF(OR($E332="",$I332=""),"",(INDEX('Emission factors'!$K$3:$V$201,MATCH('Buildings - Grid Electricity'!$E332&amp;$F332,'Emission factors'!$J$3:$J$201&amp;'Emission factors'!$K$3:$K$201,0),MATCH('Buildings - Grid Electricity'!U$6,'Emission factors'!$K$2:$V$2,0)))*$K332)</f>
        <v/>
      </c>
      <c r="V332" s="269" t="str">
        <f>IF(OR($N332="",BuildingsElectricityTable[[#This Row],[RSD]]=""),"",BuildingsElectricityTable[[#This Row],[Total emissions (kgCO2e)]]*(1+BuildingsElectricityTable[[#This Row],[RSD]]))</f>
        <v/>
      </c>
      <c r="W332" s="270" t="str">
        <f>IF(OR($N332="",BuildingsElectricityTable[[#This Row],[RSD]]=""),"",BuildingsElectricityTable[[#This Row],[Total emissions (kgCO2e)]]*(1-BuildingsElectricityTable[[#This Row],[RSD]]))</f>
        <v/>
      </c>
      <c r="X332" s="271" t="str" cm="1">
        <f t="array" ref="X332">IF(OR($E332="",$I332=""),"",(INDEX('Emission factors'!$K$3:$V$201,MATCH('Buildings - Grid Electricity'!$E332&amp;$F332,'Emission factors'!$J$3:$J$201&amp;'Emission factors'!$K$3:$K$201,0),MATCH('Buildings - Grid Electricity'!X$6,'Emission factors'!$K$2:$V$2,0)))*$K332)</f>
        <v/>
      </c>
      <c r="Y332" s="30"/>
      <c r="Z332" s="1" cm="1">
        <f t="array" ref="Z332">IF(OR(ISERROR(B332:X332)),1,0)</f>
        <v>0</v>
      </c>
      <c r="AA332" s="1">
        <f t="shared" si="31"/>
        <v>0</v>
      </c>
    </row>
    <row r="333" spans="1:27" ht="15" outlineLevel="1" thickBot="1" x14ac:dyDescent="0.4">
      <c r="A333" s="319"/>
      <c r="B333" s="216"/>
      <c r="C333" s="216"/>
      <c r="D333" s="489" t="str">
        <f>IFERROR(INDEX(BuildingInformationTable[Site type],MATCH(BuildingsElectricityTable[[#This Row],[Site name]],BuildingInformationTable[Site name],0)),"")</f>
        <v/>
      </c>
      <c r="E333" s="490" t="str">
        <f t="shared" si="28"/>
        <v/>
      </c>
      <c r="F333" s="490" t="str">
        <f t="shared" si="29"/>
        <v/>
      </c>
      <c r="G333" s="491"/>
      <c r="H333" s="492" t="str">
        <f>IF(G333="","",INDEX(Lists!$BA$4:$BC$31,MATCH(E333,Lists!$AZ$4:$AZ$31,0),MATCH(G333,Lists!$BA$3:$BC$3,0)))</f>
        <v/>
      </c>
      <c r="I333" s="267"/>
      <c r="J333" s="490" t="str">
        <f t="shared" si="30"/>
        <v/>
      </c>
      <c r="K333" s="493" t="str" cm="1">
        <f t="array" ref="K333">IF(OR($E333="",$D333="",$I333="",$J333=""),"",IF(J333=L333,I333,(INDEX('Emission factors'!$K$3:$V$201,MATCH(E333&amp;F333,'Emission factors'!$J$3:$J$201&amp;'Emission factors'!$K$3:$K$201,0),MATCH(K$6,'Emission factors'!$K$2:$V$2,0)))*I333))</f>
        <v/>
      </c>
      <c r="L333" s="494" t="str">
        <f>IF(OR($E333="",$D333="",$I333="",$J333=""),"",INDEX('Emission factors'!$K$3:$V$201,MATCH('Buildings - Grid Electricity'!$E333,'Emission factors'!$J$3:$J$201,0),MATCH($L$6,'Emission factors'!$K$2:$V$2,0)))</f>
        <v/>
      </c>
      <c r="M333" s="495" t="str" cm="1">
        <f t="array" ref="M333">IF(OR(E333="",I333="",BuildingsElectricityTable[[#This Row],[Units]]=""),"",INDEX('Emission factors'!$K$3:$V$201,MATCH('Buildings - Grid Electricity'!$E333&amp;F333,'Emission factors'!$J$3:$J$201&amp;'Emission factors'!$K$3:$K$201,0),MATCH('Buildings - Grid Electricity'!$M$6,'Emission factors'!$K$2:$V$2,0)))</f>
        <v/>
      </c>
      <c r="N333" s="496" t="str">
        <f>IF(OR(K333="",M333=""),"",SUM(BuildingsElectricityTable[[#This Row],[Direct]:[Indirect WTT]]))</f>
        <v/>
      </c>
      <c r="O333" s="268"/>
      <c r="P333" s="497"/>
      <c r="Q333" s="157" t="str" cm="1">
        <f t="array" ref="Q333">IF(OR($E333="",$I333=""),"",(INDEX('Emission factors'!$K$3:$V$201,MATCH('Buildings - Grid Electricity'!$E333&amp;$F333,'Emission factors'!$J$3:$J$201&amp;'Emission factors'!$K$3:$K$201,0),MATCH('Buildings - Grid Electricity'!Q$6,'Emission factors'!$K$2:$V$2,0)))*$K333)</f>
        <v/>
      </c>
      <c r="R333" s="157" t="str" cm="1">
        <f t="array" ref="R333">IF(OR($E333="",$I333=""),"",(INDEX('Emission factors'!$K$3:$V$201,MATCH('Buildings - Grid Electricity'!$E333&amp;$F333,'Emission factors'!$J$3:$J$201&amp;'Emission factors'!$K$3:$K$201,0),MATCH('Buildings - Grid Electricity'!R$6,'Emission factors'!$K$2:$V$2,0)))*$K333)</f>
        <v/>
      </c>
      <c r="S333" s="157" t="str" cm="1">
        <f t="array" ref="S333">IF(OR($E333="",$I333=""),"",(INDEX('Emission factors'!$K$3:$V$201,MATCH('Buildings - Grid Electricity'!$E333&amp;$F333,'Emission factors'!$J$3:$J$201&amp;'Emission factors'!$K$3:$K$201,0),MATCH('Buildings - Grid Electricity'!S$6,'Emission factors'!$K$2:$V$2,0)))*$K333)</f>
        <v/>
      </c>
      <c r="T333" s="157" t="str" cm="1">
        <f t="array" ref="T333">IF(OR($E333="",$I333=""),"",(INDEX('Emission factors'!$K$3:$V$201,MATCH('Buildings - Grid Electricity'!$E333&amp;$F333,'Emission factors'!$J$3:$J$201&amp;'Emission factors'!$K$3:$K$201,0),MATCH('Buildings - Grid Electricity'!T$6,'Emission factors'!$K$2:$V$2,0)))*$K333)</f>
        <v/>
      </c>
      <c r="U333" s="157" t="str" cm="1">
        <f t="array" ref="U333">IF(OR($E333="",$I333=""),"",(INDEX('Emission factors'!$K$3:$V$201,MATCH('Buildings - Grid Electricity'!$E333&amp;$F333,'Emission factors'!$J$3:$J$201&amp;'Emission factors'!$K$3:$K$201,0),MATCH('Buildings - Grid Electricity'!U$6,'Emission factors'!$K$2:$V$2,0)))*$K333)</f>
        <v/>
      </c>
      <c r="V333" s="269" t="str">
        <f>IF(OR($N333="",BuildingsElectricityTable[[#This Row],[RSD]]=""),"",BuildingsElectricityTable[[#This Row],[Total emissions (kgCO2e)]]*(1+BuildingsElectricityTable[[#This Row],[RSD]]))</f>
        <v/>
      </c>
      <c r="W333" s="270" t="str">
        <f>IF(OR($N333="",BuildingsElectricityTable[[#This Row],[RSD]]=""),"",BuildingsElectricityTable[[#This Row],[Total emissions (kgCO2e)]]*(1-BuildingsElectricityTable[[#This Row],[RSD]]))</f>
        <v/>
      </c>
      <c r="X333" s="271" t="str" cm="1">
        <f t="array" ref="X333">IF(OR($E333="",$I333=""),"",(INDEX('Emission factors'!$K$3:$V$201,MATCH('Buildings - Grid Electricity'!$E333&amp;$F333,'Emission factors'!$J$3:$J$201&amp;'Emission factors'!$K$3:$K$201,0),MATCH('Buildings - Grid Electricity'!X$6,'Emission factors'!$K$2:$V$2,0)))*$K333)</f>
        <v/>
      </c>
      <c r="Y333" s="30"/>
      <c r="Z333" s="1" cm="1">
        <f t="array" ref="Z333">IF(OR(ISERROR(B333:X333)),1,0)</f>
        <v>0</v>
      </c>
      <c r="AA333" s="1">
        <f t="shared" si="31"/>
        <v>0</v>
      </c>
    </row>
    <row r="334" spans="1:27" ht="15" outlineLevel="1" thickBot="1" x14ac:dyDescent="0.4">
      <c r="A334" s="319"/>
      <c r="B334" s="216"/>
      <c r="C334" s="216"/>
      <c r="D334" s="489" t="str">
        <f>IFERROR(INDEX(BuildingInformationTable[Site type],MATCH(BuildingsElectricityTable[[#This Row],[Site name]],BuildingInformationTable[Site name],0)),"")</f>
        <v/>
      </c>
      <c r="E334" s="490" t="str">
        <f t="shared" si="28"/>
        <v/>
      </c>
      <c r="F334" s="490" t="str">
        <f t="shared" si="29"/>
        <v/>
      </c>
      <c r="G334" s="491"/>
      <c r="H334" s="492" t="str">
        <f>IF(G334="","",INDEX(Lists!$BA$4:$BC$31,MATCH(E334,Lists!$AZ$4:$AZ$31,0),MATCH(G334,Lists!$BA$3:$BC$3,0)))</f>
        <v/>
      </c>
      <c r="I334" s="267"/>
      <c r="J334" s="490" t="str">
        <f t="shared" si="30"/>
        <v/>
      </c>
      <c r="K334" s="493" t="str" cm="1">
        <f t="array" ref="K334">IF(OR($E334="",$D334="",$I334="",$J334=""),"",IF(J334=L334,I334,(INDEX('Emission factors'!$K$3:$V$201,MATCH(E334&amp;F334,'Emission factors'!$J$3:$J$201&amp;'Emission factors'!$K$3:$K$201,0),MATCH(K$6,'Emission factors'!$K$2:$V$2,0)))*I334))</f>
        <v/>
      </c>
      <c r="L334" s="494" t="str">
        <f>IF(OR($E334="",$D334="",$I334="",$J334=""),"",INDEX('Emission factors'!$K$3:$V$201,MATCH('Buildings - Grid Electricity'!$E334,'Emission factors'!$J$3:$J$201,0),MATCH($L$6,'Emission factors'!$K$2:$V$2,0)))</f>
        <v/>
      </c>
      <c r="M334" s="495" t="str" cm="1">
        <f t="array" ref="M334">IF(OR(E334="",I334="",BuildingsElectricityTable[[#This Row],[Units]]=""),"",INDEX('Emission factors'!$K$3:$V$201,MATCH('Buildings - Grid Electricity'!$E334&amp;F334,'Emission factors'!$J$3:$J$201&amp;'Emission factors'!$K$3:$K$201,0),MATCH('Buildings - Grid Electricity'!$M$6,'Emission factors'!$K$2:$V$2,0)))</f>
        <v/>
      </c>
      <c r="N334" s="496" t="str">
        <f>IF(OR(K334="",M334=""),"",SUM(BuildingsElectricityTable[[#This Row],[Direct]:[Indirect WTT]]))</f>
        <v/>
      </c>
      <c r="O334" s="268"/>
      <c r="P334" s="497"/>
      <c r="Q334" s="157" t="str" cm="1">
        <f t="array" ref="Q334">IF(OR($E334="",$I334=""),"",(INDEX('Emission factors'!$K$3:$V$201,MATCH('Buildings - Grid Electricity'!$E334&amp;$F334,'Emission factors'!$J$3:$J$201&amp;'Emission factors'!$K$3:$K$201,0),MATCH('Buildings - Grid Electricity'!Q$6,'Emission factors'!$K$2:$V$2,0)))*$K334)</f>
        <v/>
      </c>
      <c r="R334" s="157" t="str" cm="1">
        <f t="array" ref="R334">IF(OR($E334="",$I334=""),"",(INDEX('Emission factors'!$K$3:$V$201,MATCH('Buildings - Grid Electricity'!$E334&amp;$F334,'Emission factors'!$J$3:$J$201&amp;'Emission factors'!$K$3:$K$201,0),MATCH('Buildings - Grid Electricity'!R$6,'Emission factors'!$K$2:$V$2,0)))*$K334)</f>
        <v/>
      </c>
      <c r="S334" s="157" t="str" cm="1">
        <f t="array" ref="S334">IF(OR($E334="",$I334=""),"",(INDEX('Emission factors'!$K$3:$V$201,MATCH('Buildings - Grid Electricity'!$E334&amp;$F334,'Emission factors'!$J$3:$J$201&amp;'Emission factors'!$K$3:$K$201,0),MATCH('Buildings - Grid Electricity'!S$6,'Emission factors'!$K$2:$V$2,0)))*$K334)</f>
        <v/>
      </c>
      <c r="T334" s="157" t="str" cm="1">
        <f t="array" ref="T334">IF(OR($E334="",$I334=""),"",(INDEX('Emission factors'!$K$3:$V$201,MATCH('Buildings - Grid Electricity'!$E334&amp;$F334,'Emission factors'!$J$3:$J$201&amp;'Emission factors'!$K$3:$K$201,0),MATCH('Buildings - Grid Electricity'!T$6,'Emission factors'!$K$2:$V$2,0)))*$K334)</f>
        <v/>
      </c>
      <c r="U334" s="157" t="str" cm="1">
        <f t="array" ref="U334">IF(OR($E334="",$I334=""),"",(INDEX('Emission factors'!$K$3:$V$201,MATCH('Buildings - Grid Electricity'!$E334&amp;$F334,'Emission factors'!$J$3:$J$201&amp;'Emission factors'!$K$3:$K$201,0),MATCH('Buildings - Grid Electricity'!U$6,'Emission factors'!$K$2:$V$2,0)))*$K334)</f>
        <v/>
      </c>
      <c r="V334" s="269" t="str">
        <f>IF(OR($N334="",BuildingsElectricityTable[[#This Row],[RSD]]=""),"",BuildingsElectricityTable[[#This Row],[Total emissions (kgCO2e)]]*(1+BuildingsElectricityTable[[#This Row],[RSD]]))</f>
        <v/>
      </c>
      <c r="W334" s="270" t="str">
        <f>IF(OR($N334="",BuildingsElectricityTable[[#This Row],[RSD]]=""),"",BuildingsElectricityTable[[#This Row],[Total emissions (kgCO2e)]]*(1-BuildingsElectricityTable[[#This Row],[RSD]]))</f>
        <v/>
      </c>
      <c r="X334" s="271" t="str" cm="1">
        <f t="array" ref="X334">IF(OR($E334="",$I334=""),"",(INDEX('Emission factors'!$K$3:$V$201,MATCH('Buildings - Grid Electricity'!$E334&amp;$F334,'Emission factors'!$J$3:$J$201&amp;'Emission factors'!$K$3:$K$201,0),MATCH('Buildings - Grid Electricity'!X$6,'Emission factors'!$K$2:$V$2,0)))*$K334)</f>
        <v/>
      </c>
      <c r="Y334" s="30"/>
      <c r="Z334" s="1" cm="1">
        <f t="array" ref="Z334">IF(OR(ISERROR(B334:X334)),1,0)</f>
        <v>0</v>
      </c>
      <c r="AA334" s="1">
        <f t="shared" si="31"/>
        <v>0</v>
      </c>
    </row>
    <row r="335" spans="1:27" ht="15" outlineLevel="1" thickBot="1" x14ac:dyDescent="0.4">
      <c r="A335" s="319"/>
      <c r="B335" s="216"/>
      <c r="C335" s="216"/>
      <c r="D335" s="489" t="str">
        <f>IFERROR(INDEX(BuildingInformationTable[Site type],MATCH(BuildingsElectricityTable[[#This Row],[Site name]],BuildingInformationTable[Site name],0)),"")</f>
        <v/>
      </c>
      <c r="E335" s="490" t="str">
        <f t="shared" si="28"/>
        <v/>
      </c>
      <c r="F335" s="490" t="str">
        <f t="shared" si="29"/>
        <v/>
      </c>
      <c r="G335" s="491"/>
      <c r="H335" s="492" t="str">
        <f>IF(G335="","",INDEX(Lists!$BA$4:$BC$31,MATCH(E335,Lists!$AZ$4:$AZ$31,0),MATCH(G335,Lists!$BA$3:$BC$3,0)))</f>
        <v/>
      </c>
      <c r="I335" s="267"/>
      <c r="J335" s="490" t="str">
        <f t="shared" si="30"/>
        <v/>
      </c>
      <c r="K335" s="493" t="str" cm="1">
        <f t="array" ref="K335">IF(OR($E335="",$D335="",$I335="",$J335=""),"",IF(J335=L335,I335,(INDEX('Emission factors'!$K$3:$V$201,MATCH(E335&amp;F335,'Emission factors'!$J$3:$J$201&amp;'Emission factors'!$K$3:$K$201,0),MATCH(K$6,'Emission factors'!$K$2:$V$2,0)))*I335))</f>
        <v/>
      </c>
      <c r="L335" s="494" t="str">
        <f>IF(OR($E335="",$D335="",$I335="",$J335=""),"",INDEX('Emission factors'!$K$3:$V$201,MATCH('Buildings - Grid Electricity'!$E335,'Emission factors'!$J$3:$J$201,0),MATCH($L$6,'Emission factors'!$K$2:$V$2,0)))</f>
        <v/>
      </c>
      <c r="M335" s="495" t="str" cm="1">
        <f t="array" ref="M335">IF(OR(E335="",I335="",BuildingsElectricityTable[[#This Row],[Units]]=""),"",INDEX('Emission factors'!$K$3:$V$201,MATCH('Buildings - Grid Electricity'!$E335&amp;F335,'Emission factors'!$J$3:$J$201&amp;'Emission factors'!$K$3:$K$201,0),MATCH('Buildings - Grid Electricity'!$M$6,'Emission factors'!$K$2:$V$2,0)))</f>
        <v/>
      </c>
      <c r="N335" s="496" t="str">
        <f>IF(OR(K335="",M335=""),"",SUM(BuildingsElectricityTable[[#This Row],[Direct]:[Indirect WTT]]))</f>
        <v/>
      </c>
      <c r="O335" s="268"/>
      <c r="P335" s="497"/>
      <c r="Q335" s="157" t="str" cm="1">
        <f t="array" ref="Q335">IF(OR($E335="",$I335=""),"",(INDEX('Emission factors'!$K$3:$V$201,MATCH('Buildings - Grid Electricity'!$E335&amp;$F335,'Emission factors'!$J$3:$J$201&amp;'Emission factors'!$K$3:$K$201,0),MATCH('Buildings - Grid Electricity'!Q$6,'Emission factors'!$K$2:$V$2,0)))*$K335)</f>
        <v/>
      </c>
      <c r="R335" s="157" t="str" cm="1">
        <f t="array" ref="R335">IF(OR($E335="",$I335=""),"",(INDEX('Emission factors'!$K$3:$V$201,MATCH('Buildings - Grid Electricity'!$E335&amp;$F335,'Emission factors'!$J$3:$J$201&amp;'Emission factors'!$K$3:$K$201,0),MATCH('Buildings - Grid Electricity'!R$6,'Emission factors'!$K$2:$V$2,0)))*$K335)</f>
        <v/>
      </c>
      <c r="S335" s="157" t="str" cm="1">
        <f t="array" ref="S335">IF(OR($E335="",$I335=""),"",(INDEX('Emission factors'!$K$3:$V$201,MATCH('Buildings - Grid Electricity'!$E335&amp;$F335,'Emission factors'!$J$3:$J$201&amp;'Emission factors'!$K$3:$K$201,0),MATCH('Buildings - Grid Electricity'!S$6,'Emission factors'!$K$2:$V$2,0)))*$K335)</f>
        <v/>
      </c>
      <c r="T335" s="157" t="str" cm="1">
        <f t="array" ref="T335">IF(OR($E335="",$I335=""),"",(INDEX('Emission factors'!$K$3:$V$201,MATCH('Buildings - Grid Electricity'!$E335&amp;$F335,'Emission factors'!$J$3:$J$201&amp;'Emission factors'!$K$3:$K$201,0),MATCH('Buildings - Grid Electricity'!T$6,'Emission factors'!$K$2:$V$2,0)))*$K335)</f>
        <v/>
      </c>
      <c r="U335" s="157" t="str" cm="1">
        <f t="array" ref="U335">IF(OR($E335="",$I335=""),"",(INDEX('Emission factors'!$K$3:$V$201,MATCH('Buildings - Grid Electricity'!$E335&amp;$F335,'Emission factors'!$J$3:$J$201&amp;'Emission factors'!$K$3:$K$201,0),MATCH('Buildings - Grid Electricity'!U$6,'Emission factors'!$K$2:$V$2,0)))*$K335)</f>
        <v/>
      </c>
      <c r="V335" s="269" t="str">
        <f>IF(OR($N335="",BuildingsElectricityTable[[#This Row],[RSD]]=""),"",BuildingsElectricityTable[[#This Row],[Total emissions (kgCO2e)]]*(1+BuildingsElectricityTable[[#This Row],[RSD]]))</f>
        <v/>
      </c>
      <c r="W335" s="270" t="str">
        <f>IF(OR($N335="",BuildingsElectricityTable[[#This Row],[RSD]]=""),"",BuildingsElectricityTable[[#This Row],[Total emissions (kgCO2e)]]*(1-BuildingsElectricityTable[[#This Row],[RSD]]))</f>
        <v/>
      </c>
      <c r="X335" s="271" t="str" cm="1">
        <f t="array" ref="X335">IF(OR($E335="",$I335=""),"",(INDEX('Emission factors'!$K$3:$V$201,MATCH('Buildings - Grid Electricity'!$E335&amp;$F335,'Emission factors'!$J$3:$J$201&amp;'Emission factors'!$K$3:$K$201,0),MATCH('Buildings - Grid Electricity'!X$6,'Emission factors'!$K$2:$V$2,0)))*$K335)</f>
        <v/>
      </c>
      <c r="Y335" s="30"/>
      <c r="Z335" s="1" cm="1">
        <f t="array" ref="Z335">IF(OR(ISERROR(B335:X335)),1,0)</f>
        <v>0</v>
      </c>
      <c r="AA335" s="1">
        <f t="shared" si="31"/>
        <v>0</v>
      </c>
    </row>
    <row r="336" spans="1:27" ht="15" outlineLevel="1" thickBot="1" x14ac:dyDescent="0.4">
      <c r="A336" s="319"/>
      <c r="B336" s="216"/>
      <c r="C336" s="216"/>
      <c r="D336" s="489" t="str">
        <f>IFERROR(INDEX(BuildingInformationTable[Site type],MATCH(BuildingsElectricityTable[[#This Row],[Site name]],BuildingInformationTable[Site name],0)),"")</f>
        <v/>
      </c>
      <c r="E336" s="490" t="str">
        <f t="shared" si="28"/>
        <v/>
      </c>
      <c r="F336" s="490" t="str">
        <f t="shared" si="29"/>
        <v/>
      </c>
      <c r="G336" s="491"/>
      <c r="H336" s="492" t="str">
        <f>IF(G336="","",INDEX(Lists!$BA$4:$BC$31,MATCH(E336,Lists!$AZ$4:$AZ$31,0),MATCH(G336,Lists!$BA$3:$BC$3,0)))</f>
        <v/>
      </c>
      <c r="I336" s="267"/>
      <c r="J336" s="490" t="str">
        <f t="shared" si="30"/>
        <v/>
      </c>
      <c r="K336" s="493" t="str" cm="1">
        <f t="array" ref="K336">IF(OR($E336="",$D336="",$I336="",$J336=""),"",IF(J336=L336,I336,(INDEX('Emission factors'!$K$3:$V$201,MATCH(E336&amp;F336,'Emission factors'!$J$3:$J$201&amp;'Emission factors'!$K$3:$K$201,0),MATCH(K$6,'Emission factors'!$K$2:$V$2,0)))*I336))</f>
        <v/>
      </c>
      <c r="L336" s="494" t="str">
        <f>IF(OR($E336="",$D336="",$I336="",$J336=""),"",INDEX('Emission factors'!$K$3:$V$201,MATCH('Buildings - Grid Electricity'!$E336,'Emission factors'!$J$3:$J$201,0),MATCH($L$6,'Emission factors'!$K$2:$V$2,0)))</f>
        <v/>
      </c>
      <c r="M336" s="495" t="str" cm="1">
        <f t="array" ref="M336">IF(OR(E336="",I336="",BuildingsElectricityTable[[#This Row],[Units]]=""),"",INDEX('Emission factors'!$K$3:$V$201,MATCH('Buildings - Grid Electricity'!$E336&amp;F336,'Emission factors'!$J$3:$J$201&amp;'Emission factors'!$K$3:$K$201,0),MATCH('Buildings - Grid Electricity'!$M$6,'Emission factors'!$K$2:$V$2,0)))</f>
        <v/>
      </c>
      <c r="N336" s="496" t="str">
        <f>IF(OR(K336="",M336=""),"",SUM(BuildingsElectricityTable[[#This Row],[Direct]:[Indirect WTT]]))</f>
        <v/>
      </c>
      <c r="O336" s="268"/>
      <c r="P336" s="497"/>
      <c r="Q336" s="157" t="str" cm="1">
        <f t="array" ref="Q336">IF(OR($E336="",$I336=""),"",(INDEX('Emission factors'!$K$3:$V$201,MATCH('Buildings - Grid Electricity'!$E336&amp;$F336,'Emission factors'!$J$3:$J$201&amp;'Emission factors'!$K$3:$K$201,0),MATCH('Buildings - Grid Electricity'!Q$6,'Emission factors'!$K$2:$V$2,0)))*$K336)</f>
        <v/>
      </c>
      <c r="R336" s="157" t="str" cm="1">
        <f t="array" ref="R336">IF(OR($E336="",$I336=""),"",(INDEX('Emission factors'!$K$3:$V$201,MATCH('Buildings - Grid Electricity'!$E336&amp;$F336,'Emission factors'!$J$3:$J$201&amp;'Emission factors'!$K$3:$K$201,0),MATCH('Buildings - Grid Electricity'!R$6,'Emission factors'!$K$2:$V$2,0)))*$K336)</f>
        <v/>
      </c>
      <c r="S336" s="157" t="str" cm="1">
        <f t="array" ref="S336">IF(OR($E336="",$I336=""),"",(INDEX('Emission factors'!$K$3:$V$201,MATCH('Buildings - Grid Electricity'!$E336&amp;$F336,'Emission factors'!$J$3:$J$201&amp;'Emission factors'!$K$3:$K$201,0),MATCH('Buildings - Grid Electricity'!S$6,'Emission factors'!$K$2:$V$2,0)))*$K336)</f>
        <v/>
      </c>
      <c r="T336" s="157" t="str" cm="1">
        <f t="array" ref="T336">IF(OR($E336="",$I336=""),"",(INDEX('Emission factors'!$K$3:$V$201,MATCH('Buildings - Grid Electricity'!$E336&amp;$F336,'Emission factors'!$J$3:$J$201&amp;'Emission factors'!$K$3:$K$201,0),MATCH('Buildings - Grid Electricity'!T$6,'Emission factors'!$K$2:$V$2,0)))*$K336)</f>
        <v/>
      </c>
      <c r="U336" s="157" t="str" cm="1">
        <f t="array" ref="U336">IF(OR($E336="",$I336=""),"",(INDEX('Emission factors'!$K$3:$V$201,MATCH('Buildings - Grid Electricity'!$E336&amp;$F336,'Emission factors'!$J$3:$J$201&amp;'Emission factors'!$K$3:$K$201,0),MATCH('Buildings - Grid Electricity'!U$6,'Emission factors'!$K$2:$V$2,0)))*$K336)</f>
        <v/>
      </c>
      <c r="V336" s="269" t="str">
        <f>IF(OR($N336="",BuildingsElectricityTable[[#This Row],[RSD]]=""),"",BuildingsElectricityTable[[#This Row],[Total emissions (kgCO2e)]]*(1+BuildingsElectricityTable[[#This Row],[RSD]]))</f>
        <v/>
      </c>
      <c r="W336" s="270" t="str">
        <f>IF(OR($N336="",BuildingsElectricityTable[[#This Row],[RSD]]=""),"",BuildingsElectricityTable[[#This Row],[Total emissions (kgCO2e)]]*(1-BuildingsElectricityTable[[#This Row],[RSD]]))</f>
        <v/>
      </c>
      <c r="X336" s="271" t="str" cm="1">
        <f t="array" ref="X336">IF(OR($E336="",$I336=""),"",(INDEX('Emission factors'!$K$3:$V$201,MATCH('Buildings - Grid Electricity'!$E336&amp;$F336,'Emission factors'!$J$3:$J$201&amp;'Emission factors'!$K$3:$K$201,0),MATCH('Buildings - Grid Electricity'!X$6,'Emission factors'!$K$2:$V$2,0)))*$K336)</f>
        <v/>
      </c>
      <c r="Y336" s="30"/>
      <c r="Z336" s="1" cm="1">
        <f t="array" ref="Z336">IF(OR(ISERROR(B336:X336)),1,0)</f>
        <v>0</v>
      </c>
      <c r="AA336" s="1">
        <f t="shared" si="31"/>
        <v>0</v>
      </c>
    </row>
    <row r="337" spans="1:27" ht="15" outlineLevel="1" thickBot="1" x14ac:dyDescent="0.4">
      <c r="A337" s="319"/>
      <c r="B337" s="216"/>
      <c r="C337" s="216"/>
      <c r="D337" s="489" t="str">
        <f>IFERROR(INDEX(BuildingInformationTable[Site type],MATCH(BuildingsElectricityTable[[#This Row],[Site name]],BuildingInformationTable[Site name],0)),"")</f>
        <v/>
      </c>
      <c r="E337" s="490" t="str">
        <f t="shared" si="28"/>
        <v/>
      </c>
      <c r="F337" s="490" t="str">
        <f t="shared" si="29"/>
        <v/>
      </c>
      <c r="G337" s="491"/>
      <c r="H337" s="492" t="str">
        <f>IF(G337="","",INDEX(Lists!$BA$4:$BC$31,MATCH(E337,Lists!$AZ$4:$AZ$31,0),MATCH(G337,Lists!$BA$3:$BC$3,0)))</f>
        <v/>
      </c>
      <c r="I337" s="267"/>
      <c r="J337" s="490" t="str">
        <f t="shared" si="30"/>
        <v/>
      </c>
      <c r="K337" s="493" t="str" cm="1">
        <f t="array" ref="K337">IF(OR($E337="",$D337="",$I337="",$J337=""),"",IF(J337=L337,I337,(INDEX('Emission factors'!$K$3:$V$201,MATCH(E337&amp;F337,'Emission factors'!$J$3:$J$201&amp;'Emission factors'!$K$3:$K$201,0),MATCH(K$6,'Emission factors'!$K$2:$V$2,0)))*I337))</f>
        <v/>
      </c>
      <c r="L337" s="494" t="str">
        <f>IF(OR($E337="",$D337="",$I337="",$J337=""),"",INDEX('Emission factors'!$K$3:$V$201,MATCH('Buildings - Grid Electricity'!$E337,'Emission factors'!$J$3:$J$201,0),MATCH($L$6,'Emission factors'!$K$2:$V$2,0)))</f>
        <v/>
      </c>
      <c r="M337" s="495" t="str" cm="1">
        <f t="array" ref="M337">IF(OR(E337="",I337="",BuildingsElectricityTable[[#This Row],[Units]]=""),"",INDEX('Emission factors'!$K$3:$V$201,MATCH('Buildings - Grid Electricity'!$E337&amp;F337,'Emission factors'!$J$3:$J$201&amp;'Emission factors'!$K$3:$K$201,0),MATCH('Buildings - Grid Electricity'!$M$6,'Emission factors'!$K$2:$V$2,0)))</f>
        <v/>
      </c>
      <c r="N337" s="496" t="str">
        <f>IF(OR(K337="",M337=""),"",SUM(BuildingsElectricityTable[[#This Row],[Direct]:[Indirect WTT]]))</f>
        <v/>
      </c>
      <c r="O337" s="268"/>
      <c r="P337" s="497"/>
      <c r="Q337" s="157" t="str" cm="1">
        <f t="array" ref="Q337">IF(OR($E337="",$I337=""),"",(INDEX('Emission factors'!$K$3:$V$201,MATCH('Buildings - Grid Electricity'!$E337&amp;$F337,'Emission factors'!$J$3:$J$201&amp;'Emission factors'!$K$3:$K$201,0),MATCH('Buildings - Grid Electricity'!Q$6,'Emission factors'!$K$2:$V$2,0)))*$K337)</f>
        <v/>
      </c>
      <c r="R337" s="157" t="str" cm="1">
        <f t="array" ref="R337">IF(OR($E337="",$I337=""),"",(INDEX('Emission factors'!$K$3:$V$201,MATCH('Buildings - Grid Electricity'!$E337&amp;$F337,'Emission factors'!$J$3:$J$201&amp;'Emission factors'!$K$3:$K$201,0),MATCH('Buildings - Grid Electricity'!R$6,'Emission factors'!$K$2:$V$2,0)))*$K337)</f>
        <v/>
      </c>
      <c r="S337" s="157" t="str" cm="1">
        <f t="array" ref="S337">IF(OR($E337="",$I337=""),"",(INDEX('Emission factors'!$K$3:$V$201,MATCH('Buildings - Grid Electricity'!$E337&amp;$F337,'Emission factors'!$J$3:$J$201&amp;'Emission factors'!$K$3:$K$201,0),MATCH('Buildings - Grid Electricity'!S$6,'Emission factors'!$K$2:$V$2,0)))*$K337)</f>
        <v/>
      </c>
      <c r="T337" s="157" t="str" cm="1">
        <f t="array" ref="T337">IF(OR($E337="",$I337=""),"",(INDEX('Emission factors'!$K$3:$V$201,MATCH('Buildings - Grid Electricity'!$E337&amp;$F337,'Emission factors'!$J$3:$J$201&amp;'Emission factors'!$K$3:$K$201,0),MATCH('Buildings - Grid Electricity'!T$6,'Emission factors'!$K$2:$V$2,0)))*$K337)</f>
        <v/>
      </c>
      <c r="U337" s="157" t="str" cm="1">
        <f t="array" ref="U337">IF(OR($E337="",$I337=""),"",(INDEX('Emission factors'!$K$3:$V$201,MATCH('Buildings - Grid Electricity'!$E337&amp;$F337,'Emission factors'!$J$3:$J$201&amp;'Emission factors'!$K$3:$K$201,0),MATCH('Buildings - Grid Electricity'!U$6,'Emission factors'!$K$2:$V$2,0)))*$K337)</f>
        <v/>
      </c>
      <c r="V337" s="269" t="str">
        <f>IF(OR($N337="",BuildingsElectricityTable[[#This Row],[RSD]]=""),"",BuildingsElectricityTable[[#This Row],[Total emissions (kgCO2e)]]*(1+BuildingsElectricityTable[[#This Row],[RSD]]))</f>
        <v/>
      </c>
      <c r="W337" s="270" t="str">
        <f>IF(OR($N337="",BuildingsElectricityTable[[#This Row],[RSD]]=""),"",BuildingsElectricityTable[[#This Row],[Total emissions (kgCO2e)]]*(1-BuildingsElectricityTable[[#This Row],[RSD]]))</f>
        <v/>
      </c>
      <c r="X337" s="271" t="str" cm="1">
        <f t="array" ref="X337">IF(OR($E337="",$I337=""),"",(INDEX('Emission factors'!$K$3:$V$201,MATCH('Buildings - Grid Electricity'!$E337&amp;$F337,'Emission factors'!$J$3:$J$201&amp;'Emission factors'!$K$3:$K$201,0),MATCH('Buildings - Grid Electricity'!X$6,'Emission factors'!$K$2:$V$2,0)))*$K337)</f>
        <v/>
      </c>
      <c r="Y337" s="30"/>
      <c r="Z337" s="1" cm="1">
        <f t="array" ref="Z337">IF(OR(ISERROR(B337:X337)),1,0)</f>
        <v>0</v>
      </c>
      <c r="AA337" s="1">
        <f t="shared" si="31"/>
        <v>0</v>
      </c>
    </row>
    <row r="338" spans="1:27" ht="15" outlineLevel="1" thickBot="1" x14ac:dyDescent="0.4">
      <c r="A338" s="319"/>
      <c r="B338" s="216"/>
      <c r="C338" s="216"/>
      <c r="D338" s="489" t="str">
        <f>IFERROR(INDEX(BuildingInformationTable[Site type],MATCH(BuildingsElectricityTable[[#This Row],[Site name]],BuildingInformationTable[Site name],0)),"")</f>
        <v/>
      </c>
      <c r="E338" s="490" t="str">
        <f t="shared" si="28"/>
        <v/>
      </c>
      <c r="F338" s="490" t="str">
        <f t="shared" si="29"/>
        <v/>
      </c>
      <c r="G338" s="491"/>
      <c r="H338" s="492" t="str">
        <f>IF(G338="","",INDEX(Lists!$BA$4:$BC$31,MATCH(E338,Lists!$AZ$4:$AZ$31,0),MATCH(G338,Lists!$BA$3:$BC$3,0)))</f>
        <v/>
      </c>
      <c r="I338" s="267"/>
      <c r="J338" s="490" t="str">
        <f t="shared" si="30"/>
        <v/>
      </c>
      <c r="K338" s="493" t="str" cm="1">
        <f t="array" ref="K338">IF(OR($E338="",$D338="",$I338="",$J338=""),"",IF(J338=L338,I338,(INDEX('Emission factors'!$K$3:$V$201,MATCH(E338&amp;F338,'Emission factors'!$J$3:$J$201&amp;'Emission factors'!$K$3:$K$201,0),MATCH(K$6,'Emission factors'!$K$2:$V$2,0)))*I338))</f>
        <v/>
      </c>
      <c r="L338" s="494" t="str">
        <f>IF(OR($E338="",$D338="",$I338="",$J338=""),"",INDEX('Emission factors'!$K$3:$V$201,MATCH('Buildings - Grid Electricity'!$E338,'Emission factors'!$J$3:$J$201,0),MATCH($L$6,'Emission factors'!$K$2:$V$2,0)))</f>
        <v/>
      </c>
      <c r="M338" s="495" t="str" cm="1">
        <f t="array" ref="M338">IF(OR(E338="",I338="",BuildingsElectricityTable[[#This Row],[Units]]=""),"",INDEX('Emission factors'!$K$3:$V$201,MATCH('Buildings - Grid Electricity'!$E338&amp;F338,'Emission factors'!$J$3:$J$201&amp;'Emission factors'!$K$3:$K$201,0),MATCH('Buildings - Grid Electricity'!$M$6,'Emission factors'!$K$2:$V$2,0)))</f>
        <v/>
      </c>
      <c r="N338" s="496" t="str">
        <f>IF(OR(K338="",M338=""),"",SUM(BuildingsElectricityTable[[#This Row],[Direct]:[Indirect WTT]]))</f>
        <v/>
      </c>
      <c r="O338" s="268"/>
      <c r="P338" s="497"/>
      <c r="Q338" s="157" t="str" cm="1">
        <f t="array" ref="Q338">IF(OR($E338="",$I338=""),"",(INDEX('Emission factors'!$K$3:$V$201,MATCH('Buildings - Grid Electricity'!$E338&amp;$F338,'Emission factors'!$J$3:$J$201&amp;'Emission factors'!$K$3:$K$201,0),MATCH('Buildings - Grid Electricity'!Q$6,'Emission factors'!$K$2:$V$2,0)))*$K338)</f>
        <v/>
      </c>
      <c r="R338" s="157" t="str" cm="1">
        <f t="array" ref="R338">IF(OR($E338="",$I338=""),"",(INDEX('Emission factors'!$K$3:$V$201,MATCH('Buildings - Grid Electricity'!$E338&amp;$F338,'Emission factors'!$J$3:$J$201&amp;'Emission factors'!$K$3:$K$201,0),MATCH('Buildings - Grid Electricity'!R$6,'Emission factors'!$K$2:$V$2,0)))*$K338)</f>
        <v/>
      </c>
      <c r="S338" s="157" t="str" cm="1">
        <f t="array" ref="S338">IF(OR($E338="",$I338=""),"",(INDEX('Emission factors'!$K$3:$V$201,MATCH('Buildings - Grid Electricity'!$E338&amp;$F338,'Emission factors'!$J$3:$J$201&amp;'Emission factors'!$K$3:$K$201,0),MATCH('Buildings - Grid Electricity'!S$6,'Emission factors'!$K$2:$V$2,0)))*$K338)</f>
        <v/>
      </c>
      <c r="T338" s="157" t="str" cm="1">
        <f t="array" ref="T338">IF(OR($E338="",$I338=""),"",(INDEX('Emission factors'!$K$3:$V$201,MATCH('Buildings - Grid Electricity'!$E338&amp;$F338,'Emission factors'!$J$3:$J$201&amp;'Emission factors'!$K$3:$K$201,0),MATCH('Buildings - Grid Electricity'!T$6,'Emission factors'!$K$2:$V$2,0)))*$K338)</f>
        <v/>
      </c>
      <c r="U338" s="157" t="str" cm="1">
        <f t="array" ref="U338">IF(OR($E338="",$I338=""),"",(INDEX('Emission factors'!$K$3:$V$201,MATCH('Buildings - Grid Electricity'!$E338&amp;$F338,'Emission factors'!$J$3:$J$201&amp;'Emission factors'!$K$3:$K$201,0),MATCH('Buildings - Grid Electricity'!U$6,'Emission factors'!$K$2:$V$2,0)))*$K338)</f>
        <v/>
      </c>
      <c r="V338" s="269" t="str">
        <f>IF(OR($N338="",BuildingsElectricityTable[[#This Row],[RSD]]=""),"",BuildingsElectricityTable[[#This Row],[Total emissions (kgCO2e)]]*(1+BuildingsElectricityTable[[#This Row],[RSD]]))</f>
        <v/>
      </c>
      <c r="W338" s="270" t="str">
        <f>IF(OR($N338="",BuildingsElectricityTable[[#This Row],[RSD]]=""),"",BuildingsElectricityTable[[#This Row],[Total emissions (kgCO2e)]]*(1-BuildingsElectricityTable[[#This Row],[RSD]]))</f>
        <v/>
      </c>
      <c r="X338" s="271" t="str" cm="1">
        <f t="array" ref="X338">IF(OR($E338="",$I338=""),"",(INDEX('Emission factors'!$K$3:$V$201,MATCH('Buildings - Grid Electricity'!$E338&amp;$F338,'Emission factors'!$J$3:$J$201&amp;'Emission factors'!$K$3:$K$201,0),MATCH('Buildings - Grid Electricity'!X$6,'Emission factors'!$K$2:$V$2,0)))*$K338)</f>
        <v/>
      </c>
      <c r="Y338" s="30"/>
      <c r="Z338" s="1" cm="1">
        <f t="array" ref="Z338">IF(OR(ISERROR(B338:X338)),1,0)</f>
        <v>0</v>
      </c>
      <c r="AA338" s="1">
        <f t="shared" si="31"/>
        <v>0</v>
      </c>
    </row>
    <row r="339" spans="1:27" ht="15" outlineLevel="1" thickBot="1" x14ac:dyDescent="0.4">
      <c r="A339" s="319"/>
      <c r="B339" s="216"/>
      <c r="C339" s="216"/>
      <c r="D339" s="489" t="str">
        <f>IFERROR(INDEX(BuildingInformationTable[Site type],MATCH(BuildingsElectricityTable[[#This Row],[Site name]],BuildingInformationTable[Site name],0)),"")</f>
        <v/>
      </c>
      <c r="E339" s="490" t="str">
        <f t="shared" si="28"/>
        <v/>
      </c>
      <c r="F339" s="490" t="str">
        <f t="shared" si="29"/>
        <v/>
      </c>
      <c r="G339" s="491"/>
      <c r="H339" s="492" t="str">
        <f>IF(G339="","",INDEX(Lists!$BA$4:$BC$31,MATCH(E339,Lists!$AZ$4:$AZ$31,0),MATCH(G339,Lists!$BA$3:$BC$3,0)))</f>
        <v/>
      </c>
      <c r="I339" s="267"/>
      <c r="J339" s="490" t="str">
        <f t="shared" si="30"/>
        <v/>
      </c>
      <c r="K339" s="493" t="str" cm="1">
        <f t="array" ref="K339">IF(OR($E339="",$D339="",$I339="",$J339=""),"",IF(J339=L339,I339,(INDEX('Emission factors'!$K$3:$V$201,MATCH(E339&amp;F339,'Emission factors'!$J$3:$J$201&amp;'Emission factors'!$K$3:$K$201,0),MATCH(K$6,'Emission factors'!$K$2:$V$2,0)))*I339))</f>
        <v/>
      </c>
      <c r="L339" s="494" t="str">
        <f>IF(OR($E339="",$D339="",$I339="",$J339=""),"",INDEX('Emission factors'!$K$3:$V$201,MATCH('Buildings - Grid Electricity'!$E339,'Emission factors'!$J$3:$J$201,0),MATCH($L$6,'Emission factors'!$K$2:$V$2,0)))</f>
        <v/>
      </c>
      <c r="M339" s="495" t="str" cm="1">
        <f t="array" ref="M339">IF(OR(E339="",I339="",BuildingsElectricityTable[[#This Row],[Units]]=""),"",INDEX('Emission factors'!$K$3:$V$201,MATCH('Buildings - Grid Electricity'!$E339&amp;F339,'Emission factors'!$J$3:$J$201&amp;'Emission factors'!$K$3:$K$201,0),MATCH('Buildings - Grid Electricity'!$M$6,'Emission factors'!$K$2:$V$2,0)))</f>
        <v/>
      </c>
      <c r="N339" s="496" t="str">
        <f>IF(OR(K339="",M339=""),"",SUM(BuildingsElectricityTable[[#This Row],[Direct]:[Indirect WTT]]))</f>
        <v/>
      </c>
      <c r="O339" s="268"/>
      <c r="P339" s="497"/>
      <c r="Q339" s="157" t="str" cm="1">
        <f t="array" ref="Q339">IF(OR($E339="",$I339=""),"",(INDEX('Emission factors'!$K$3:$V$201,MATCH('Buildings - Grid Electricity'!$E339&amp;$F339,'Emission factors'!$J$3:$J$201&amp;'Emission factors'!$K$3:$K$201,0),MATCH('Buildings - Grid Electricity'!Q$6,'Emission factors'!$K$2:$V$2,0)))*$K339)</f>
        <v/>
      </c>
      <c r="R339" s="157" t="str" cm="1">
        <f t="array" ref="R339">IF(OR($E339="",$I339=""),"",(INDEX('Emission factors'!$K$3:$V$201,MATCH('Buildings - Grid Electricity'!$E339&amp;$F339,'Emission factors'!$J$3:$J$201&amp;'Emission factors'!$K$3:$K$201,0),MATCH('Buildings - Grid Electricity'!R$6,'Emission factors'!$K$2:$V$2,0)))*$K339)</f>
        <v/>
      </c>
      <c r="S339" s="157" t="str" cm="1">
        <f t="array" ref="S339">IF(OR($E339="",$I339=""),"",(INDEX('Emission factors'!$K$3:$V$201,MATCH('Buildings - Grid Electricity'!$E339&amp;$F339,'Emission factors'!$J$3:$J$201&amp;'Emission factors'!$K$3:$K$201,0),MATCH('Buildings - Grid Electricity'!S$6,'Emission factors'!$K$2:$V$2,0)))*$K339)</f>
        <v/>
      </c>
      <c r="T339" s="157" t="str" cm="1">
        <f t="array" ref="T339">IF(OR($E339="",$I339=""),"",(INDEX('Emission factors'!$K$3:$V$201,MATCH('Buildings - Grid Electricity'!$E339&amp;$F339,'Emission factors'!$J$3:$J$201&amp;'Emission factors'!$K$3:$K$201,0),MATCH('Buildings - Grid Electricity'!T$6,'Emission factors'!$K$2:$V$2,0)))*$K339)</f>
        <v/>
      </c>
      <c r="U339" s="157" t="str" cm="1">
        <f t="array" ref="U339">IF(OR($E339="",$I339=""),"",(INDEX('Emission factors'!$K$3:$V$201,MATCH('Buildings - Grid Electricity'!$E339&amp;$F339,'Emission factors'!$J$3:$J$201&amp;'Emission factors'!$K$3:$K$201,0),MATCH('Buildings - Grid Electricity'!U$6,'Emission factors'!$K$2:$V$2,0)))*$K339)</f>
        <v/>
      </c>
      <c r="V339" s="269" t="str">
        <f>IF(OR($N339="",BuildingsElectricityTable[[#This Row],[RSD]]=""),"",BuildingsElectricityTable[[#This Row],[Total emissions (kgCO2e)]]*(1+BuildingsElectricityTable[[#This Row],[RSD]]))</f>
        <v/>
      </c>
      <c r="W339" s="270" t="str">
        <f>IF(OR($N339="",BuildingsElectricityTable[[#This Row],[RSD]]=""),"",BuildingsElectricityTable[[#This Row],[Total emissions (kgCO2e)]]*(1-BuildingsElectricityTable[[#This Row],[RSD]]))</f>
        <v/>
      </c>
      <c r="X339" s="271" t="str" cm="1">
        <f t="array" ref="X339">IF(OR($E339="",$I339=""),"",(INDEX('Emission factors'!$K$3:$V$201,MATCH('Buildings - Grid Electricity'!$E339&amp;$F339,'Emission factors'!$J$3:$J$201&amp;'Emission factors'!$K$3:$K$201,0),MATCH('Buildings - Grid Electricity'!X$6,'Emission factors'!$K$2:$V$2,0)))*$K339)</f>
        <v/>
      </c>
      <c r="Y339" s="30"/>
      <c r="Z339" s="1" cm="1">
        <f t="array" ref="Z339">IF(OR(ISERROR(B339:X339)),1,0)</f>
        <v>0</v>
      </c>
      <c r="AA339" s="1">
        <f t="shared" si="31"/>
        <v>0</v>
      </c>
    </row>
    <row r="340" spans="1:27" ht="15" outlineLevel="1" thickBot="1" x14ac:dyDescent="0.4">
      <c r="A340" s="319"/>
      <c r="B340" s="216"/>
      <c r="C340" s="216"/>
      <c r="D340" s="489" t="str">
        <f>IFERROR(INDEX(BuildingInformationTable[Site type],MATCH(BuildingsElectricityTable[[#This Row],[Site name]],BuildingInformationTable[Site name],0)),"")</f>
        <v/>
      </c>
      <c r="E340" s="490" t="str">
        <f t="shared" si="28"/>
        <v/>
      </c>
      <c r="F340" s="490" t="str">
        <f t="shared" si="29"/>
        <v/>
      </c>
      <c r="G340" s="491"/>
      <c r="H340" s="492" t="str">
        <f>IF(G340="","",INDEX(Lists!$BA$4:$BC$31,MATCH(E340,Lists!$AZ$4:$AZ$31,0),MATCH(G340,Lists!$BA$3:$BC$3,0)))</f>
        <v/>
      </c>
      <c r="I340" s="267"/>
      <c r="J340" s="490" t="str">
        <f t="shared" si="30"/>
        <v/>
      </c>
      <c r="K340" s="493" t="str" cm="1">
        <f t="array" ref="K340">IF(OR($E340="",$D340="",$I340="",$J340=""),"",IF(J340=L340,I340,(INDEX('Emission factors'!$K$3:$V$201,MATCH(E340&amp;F340,'Emission factors'!$J$3:$J$201&amp;'Emission factors'!$K$3:$K$201,0),MATCH(K$6,'Emission factors'!$K$2:$V$2,0)))*I340))</f>
        <v/>
      </c>
      <c r="L340" s="494" t="str">
        <f>IF(OR($E340="",$D340="",$I340="",$J340=""),"",INDEX('Emission factors'!$K$3:$V$201,MATCH('Buildings - Grid Electricity'!$E340,'Emission factors'!$J$3:$J$201,0),MATCH($L$6,'Emission factors'!$K$2:$V$2,0)))</f>
        <v/>
      </c>
      <c r="M340" s="495" t="str" cm="1">
        <f t="array" ref="M340">IF(OR(E340="",I340="",BuildingsElectricityTable[[#This Row],[Units]]=""),"",INDEX('Emission factors'!$K$3:$V$201,MATCH('Buildings - Grid Electricity'!$E340&amp;F340,'Emission factors'!$J$3:$J$201&amp;'Emission factors'!$K$3:$K$201,0),MATCH('Buildings - Grid Electricity'!$M$6,'Emission factors'!$K$2:$V$2,0)))</f>
        <v/>
      </c>
      <c r="N340" s="496" t="str">
        <f>IF(OR(K340="",M340=""),"",SUM(BuildingsElectricityTable[[#This Row],[Direct]:[Indirect WTT]]))</f>
        <v/>
      </c>
      <c r="O340" s="268"/>
      <c r="P340" s="497"/>
      <c r="Q340" s="157" t="str" cm="1">
        <f t="array" ref="Q340">IF(OR($E340="",$I340=""),"",(INDEX('Emission factors'!$K$3:$V$201,MATCH('Buildings - Grid Electricity'!$E340&amp;$F340,'Emission factors'!$J$3:$J$201&amp;'Emission factors'!$K$3:$K$201,0),MATCH('Buildings - Grid Electricity'!Q$6,'Emission factors'!$K$2:$V$2,0)))*$K340)</f>
        <v/>
      </c>
      <c r="R340" s="157" t="str" cm="1">
        <f t="array" ref="R340">IF(OR($E340="",$I340=""),"",(INDEX('Emission factors'!$K$3:$V$201,MATCH('Buildings - Grid Electricity'!$E340&amp;$F340,'Emission factors'!$J$3:$J$201&amp;'Emission factors'!$K$3:$K$201,0),MATCH('Buildings - Grid Electricity'!R$6,'Emission factors'!$K$2:$V$2,0)))*$K340)</f>
        <v/>
      </c>
      <c r="S340" s="157" t="str" cm="1">
        <f t="array" ref="S340">IF(OR($E340="",$I340=""),"",(INDEX('Emission factors'!$K$3:$V$201,MATCH('Buildings - Grid Electricity'!$E340&amp;$F340,'Emission factors'!$J$3:$J$201&amp;'Emission factors'!$K$3:$K$201,0),MATCH('Buildings - Grid Electricity'!S$6,'Emission factors'!$K$2:$V$2,0)))*$K340)</f>
        <v/>
      </c>
      <c r="T340" s="157" t="str" cm="1">
        <f t="array" ref="T340">IF(OR($E340="",$I340=""),"",(INDEX('Emission factors'!$K$3:$V$201,MATCH('Buildings - Grid Electricity'!$E340&amp;$F340,'Emission factors'!$J$3:$J$201&amp;'Emission factors'!$K$3:$K$201,0),MATCH('Buildings - Grid Electricity'!T$6,'Emission factors'!$K$2:$V$2,0)))*$K340)</f>
        <v/>
      </c>
      <c r="U340" s="157" t="str" cm="1">
        <f t="array" ref="U340">IF(OR($E340="",$I340=""),"",(INDEX('Emission factors'!$K$3:$V$201,MATCH('Buildings - Grid Electricity'!$E340&amp;$F340,'Emission factors'!$J$3:$J$201&amp;'Emission factors'!$K$3:$K$201,0),MATCH('Buildings - Grid Electricity'!U$6,'Emission factors'!$K$2:$V$2,0)))*$K340)</f>
        <v/>
      </c>
      <c r="V340" s="269" t="str">
        <f>IF(OR($N340="",BuildingsElectricityTable[[#This Row],[RSD]]=""),"",BuildingsElectricityTable[[#This Row],[Total emissions (kgCO2e)]]*(1+BuildingsElectricityTable[[#This Row],[RSD]]))</f>
        <v/>
      </c>
      <c r="W340" s="270" t="str">
        <f>IF(OR($N340="",BuildingsElectricityTable[[#This Row],[RSD]]=""),"",BuildingsElectricityTable[[#This Row],[Total emissions (kgCO2e)]]*(1-BuildingsElectricityTable[[#This Row],[RSD]]))</f>
        <v/>
      </c>
      <c r="X340" s="271" t="str" cm="1">
        <f t="array" ref="X340">IF(OR($E340="",$I340=""),"",(INDEX('Emission factors'!$K$3:$V$201,MATCH('Buildings - Grid Electricity'!$E340&amp;$F340,'Emission factors'!$J$3:$J$201&amp;'Emission factors'!$K$3:$K$201,0),MATCH('Buildings - Grid Electricity'!X$6,'Emission factors'!$K$2:$V$2,0)))*$K340)</f>
        <v/>
      </c>
      <c r="Y340" s="30"/>
      <c r="Z340" s="1" cm="1">
        <f t="array" ref="Z340">IF(OR(ISERROR(B340:X340)),1,0)</f>
        <v>0</v>
      </c>
      <c r="AA340" s="1">
        <f t="shared" si="31"/>
        <v>0</v>
      </c>
    </row>
    <row r="341" spans="1:27" ht="15" outlineLevel="1" thickBot="1" x14ac:dyDescent="0.4">
      <c r="A341" s="319"/>
      <c r="B341" s="215"/>
      <c r="C341" s="215"/>
      <c r="D341" s="233" t="str">
        <f>IFERROR(INDEX(BuildingInformationTable[Site type],MATCH(BuildingsElectricityTable[[#This Row],[Site name]],BuildingInformationTable[Site name],0)),"")</f>
        <v/>
      </c>
      <c r="E341" s="311" t="str">
        <f t="shared" ref="E341:E454" si="32">IF(B341="", "", "Grid electricity")</f>
        <v/>
      </c>
      <c r="F341" s="311" t="str">
        <f t="shared" si="0"/>
        <v/>
      </c>
      <c r="G341" s="72"/>
      <c r="H341" s="98" t="str">
        <f>IF(G341="","",INDEX(Lists!$BA$4:$BC$31,MATCH(E341,Lists!$AZ$4:$AZ$31,0),MATCH(G341,Lists!$BA$3:$BC$3,0)))</f>
        <v/>
      </c>
      <c r="I341" s="70"/>
      <c r="J341" s="311" t="str">
        <f t="shared" si="1"/>
        <v/>
      </c>
      <c r="K341" s="75" t="str" cm="1">
        <f t="array" ref="K341">IF(OR($E341="",$D341="",$I341="",$J341=""),"",IF(J341=L341,I341,(INDEX('Emission factors'!$K$3:$V$201,MATCH(E341&amp;F341,'Emission factors'!$J$3:$J$201&amp;'Emission factors'!$K$3:$K$201,0),MATCH(K$6,'Emission factors'!$K$2:$V$2,0)))*I341))</f>
        <v/>
      </c>
      <c r="L341" s="312" t="str">
        <f>IF(OR($E341="",$D341="",$I341="",$J341=""),"",INDEX('Emission factors'!$K$3:$V$201,MATCH('Buildings - Grid Electricity'!$E341,'Emission factors'!$J$3:$J$201,0),MATCH($L$6,'Emission factors'!$K$2:$V$2,0)))</f>
        <v/>
      </c>
      <c r="M341" s="313" t="str" cm="1">
        <f t="array" ref="M341">IF(OR(E341="",I341="",BuildingsElectricityTable[[#This Row],[Units]]=""),"",INDEX('Emission factors'!$K$3:$V$201,MATCH('Buildings - Grid Electricity'!$E341&amp;F341,'Emission factors'!$J$3:$J$201&amp;'Emission factors'!$K$3:$K$201,0),MATCH('Buildings - Grid Electricity'!$M$6,'Emission factors'!$K$2:$V$2,0)))</f>
        <v/>
      </c>
      <c r="N341" s="156" t="str">
        <f>IF(OR(K341="",M341=""),"",SUM(BuildingsElectricityTable[[#This Row],[Direct]:[Indirect WTT]]))</f>
        <v/>
      </c>
      <c r="O341" s="71"/>
      <c r="P341" s="72"/>
      <c r="Q341" s="157" t="str" cm="1">
        <f t="array" ref="Q341">IF(OR($E341="",$I341=""),"",(INDEX('Emission factors'!$K$3:$V$201,MATCH('Buildings - Grid Electricity'!$E341&amp;$F341,'Emission factors'!$J$3:$J$201&amp;'Emission factors'!$K$3:$K$201,0),MATCH('Buildings - Grid Electricity'!Q$6,'Emission factors'!$K$2:$V$2,0)))*$K341)</f>
        <v/>
      </c>
      <c r="R341" s="157" t="str" cm="1">
        <f t="array" ref="R341">IF(OR($E341="",$I341=""),"",(INDEX('Emission factors'!$K$3:$V$201,MATCH('Buildings - Grid Electricity'!$E341&amp;$F341,'Emission factors'!$J$3:$J$201&amp;'Emission factors'!$K$3:$K$201,0),MATCH('Buildings - Grid Electricity'!R$6,'Emission factors'!$K$2:$V$2,0)))*$K341)</f>
        <v/>
      </c>
      <c r="S341" s="157" t="str" cm="1">
        <f t="array" ref="S341">IF(OR($E341="",$I341=""),"",(INDEX('Emission factors'!$K$3:$V$201,MATCH('Buildings - Grid Electricity'!$E341&amp;$F341,'Emission factors'!$J$3:$J$201&amp;'Emission factors'!$K$3:$K$201,0),MATCH('Buildings - Grid Electricity'!S$6,'Emission factors'!$K$2:$V$2,0)))*$K341)</f>
        <v/>
      </c>
      <c r="T341" s="157" t="str" cm="1">
        <f t="array" ref="T341">IF(OR($E341="",$I341=""),"",(INDEX('Emission factors'!$K$3:$V$201,MATCH('Buildings - Grid Electricity'!$E341&amp;$F341,'Emission factors'!$J$3:$J$201&amp;'Emission factors'!$K$3:$K$201,0),MATCH('Buildings - Grid Electricity'!T$6,'Emission factors'!$K$2:$V$2,0)))*$K341)</f>
        <v/>
      </c>
      <c r="U341" s="157" t="str" cm="1">
        <f t="array" ref="U341">IF(OR($E341="",$I341=""),"",(INDEX('Emission factors'!$K$3:$V$201,MATCH('Buildings - Grid Electricity'!$E341&amp;$F341,'Emission factors'!$J$3:$J$201&amp;'Emission factors'!$K$3:$K$201,0),MATCH('Buildings - Grid Electricity'!U$6,'Emission factors'!$K$2:$V$2,0)))*$K341)</f>
        <v/>
      </c>
      <c r="V341" s="158" t="str">
        <f>IF(OR($N341="",BuildingsElectricityTable[[#This Row],[RSD]]=""),"",BuildingsElectricityTable[[#This Row],[Total emissions (kgCO2e)]]*(1+BuildingsElectricityTable[[#This Row],[RSD]]))</f>
        <v/>
      </c>
      <c r="W341" s="159" t="str">
        <f>IF(OR($N341="",BuildingsElectricityTable[[#This Row],[RSD]]=""),"",BuildingsElectricityTable[[#This Row],[Total emissions (kgCO2e)]]*(1-BuildingsElectricityTable[[#This Row],[RSD]]))</f>
        <v/>
      </c>
      <c r="X341" s="169" t="str" cm="1">
        <f t="array" ref="X341">IF(OR($E341="",$I341=""),"",(INDEX('Emission factors'!$K$3:$V$201,MATCH('Buildings - Grid Electricity'!$E341&amp;$F341,'Emission factors'!$J$3:$J$201&amp;'Emission factors'!$K$3:$K$201,0),MATCH('Buildings - Grid Electricity'!X$6,'Emission factors'!$K$2:$V$2,0)))*$K341)</f>
        <v/>
      </c>
      <c r="Y341" s="30"/>
      <c r="Z341" s="1" cm="1">
        <f t="array" ref="Z341">IF(OR(ISERROR(B341:X341)),1,0)</f>
        <v>0</v>
      </c>
      <c r="AA341" s="1">
        <f t="shared" ref="AA341:AA454" si="33">IF(AND(B341="",E341="",I341="",J341=""),0,1)</f>
        <v>0</v>
      </c>
    </row>
    <row r="342" spans="1:27" ht="15" outlineLevel="1" thickBot="1" x14ac:dyDescent="0.4">
      <c r="A342" s="319"/>
      <c r="B342" s="215"/>
      <c r="C342" s="215"/>
      <c r="D342" s="233" t="str">
        <f>IFERROR(INDEX(BuildingInformationTable[Site type],MATCH(BuildingsElectricityTable[[#This Row],[Site name]],BuildingInformationTable[Site name],0)),"")</f>
        <v/>
      </c>
      <c r="E342" s="311" t="str">
        <f t="shared" si="32"/>
        <v/>
      </c>
      <c r="F342" s="311" t="str">
        <f t="shared" si="0"/>
        <v/>
      </c>
      <c r="G342" s="72"/>
      <c r="H342" s="98" t="str">
        <f>IF(G342="","",INDEX(Lists!$BA$4:$BC$31,MATCH(E342,Lists!$AZ$4:$AZ$31,0),MATCH(G342,Lists!$BA$3:$BC$3,0)))</f>
        <v/>
      </c>
      <c r="I342" s="70"/>
      <c r="J342" s="311" t="str">
        <f t="shared" si="1"/>
        <v/>
      </c>
      <c r="K342" s="75" t="str" cm="1">
        <f t="array" ref="K342">IF(OR($E342="",$D342="",$I342="",$J342=""),"",IF(J342=L342,I342,(INDEX('Emission factors'!$K$3:$V$201,MATCH(E342&amp;F342,'Emission factors'!$J$3:$J$201&amp;'Emission factors'!$K$3:$K$201,0),MATCH(K$6,'Emission factors'!$K$2:$V$2,0)))*I342))</f>
        <v/>
      </c>
      <c r="L342" s="312" t="str">
        <f>IF(OR($E342="",$D342="",$I342="",$J342=""),"",INDEX('Emission factors'!$K$3:$V$201,MATCH('Buildings - Grid Electricity'!$E342,'Emission factors'!$J$3:$J$201,0),MATCH($L$6,'Emission factors'!$K$2:$V$2,0)))</f>
        <v/>
      </c>
      <c r="M342" s="313" t="str" cm="1">
        <f t="array" ref="M342">IF(OR(E342="",I342="",BuildingsElectricityTable[[#This Row],[Units]]=""),"",INDEX('Emission factors'!$K$3:$V$201,MATCH('Buildings - Grid Electricity'!$E342&amp;F342,'Emission factors'!$J$3:$J$201&amp;'Emission factors'!$K$3:$K$201,0),MATCH('Buildings - Grid Electricity'!$M$6,'Emission factors'!$K$2:$V$2,0)))</f>
        <v/>
      </c>
      <c r="N342" s="156" t="str">
        <f>IF(OR(K342="",M342=""),"",SUM(BuildingsElectricityTable[[#This Row],[Direct]:[Indirect WTT]]))</f>
        <v/>
      </c>
      <c r="O342" s="71"/>
      <c r="P342" s="72"/>
      <c r="Q342" s="157" t="str" cm="1">
        <f t="array" ref="Q342">IF(OR($E342="",$I342=""),"",(INDEX('Emission factors'!$K$3:$V$201,MATCH('Buildings - Grid Electricity'!$E342&amp;$F342,'Emission factors'!$J$3:$J$201&amp;'Emission factors'!$K$3:$K$201,0),MATCH('Buildings - Grid Electricity'!Q$6,'Emission factors'!$K$2:$V$2,0)))*$K342)</f>
        <v/>
      </c>
      <c r="R342" s="157" t="str" cm="1">
        <f t="array" ref="R342">IF(OR($E342="",$I342=""),"",(INDEX('Emission factors'!$K$3:$V$201,MATCH('Buildings - Grid Electricity'!$E342&amp;$F342,'Emission factors'!$J$3:$J$201&amp;'Emission factors'!$K$3:$K$201,0),MATCH('Buildings - Grid Electricity'!R$6,'Emission factors'!$K$2:$V$2,0)))*$K342)</f>
        <v/>
      </c>
      <c r="S342" s="157" t="str" cm="1">
        <f t="array" ref="S342">IF(OR($E342="",$I342=""),"",(INDEX('Emission factors'!$K$3:$V$201,MATCH('Buildings - Grid Electricity'!$E342&amp;$F342,'Emission factors'!$J$3:$J$201&amp;'Emission factors'!$K$3:$K$201,0),MATCH('Buildings - Grid Electricity'!S$6,'Emission factors'!$K$2:$V$2,0)))*$K342)</f>
        <v/>
      </c>
      <c r="T342" s="157" t="str" cm="1">
        <f t="array" ref="T342">IF(OR($E342="",$I342=""),"",(INDEX('Emission factors'!$K$3:$V$201,MATCH('Buildings - Grid Electricity'!$E342&amp;$F342,'Emission factors'!$J$3:$J$201&amp;'Emission factors'!$K$3:$K$201,0),MATCH('Buildings - Grid Electricity'!T$6,'Emission factors'!$K$2:$V$2,0)))*$K342)</f>
        <v/>
      </c>
      <c r="U342" s="157" t="str" cm="1">
        <f t="array" ref="U342">IF(OR($E342="",$I342=""),"",(INDEX('Emission factors'!$K$3:$V$201,MATCH('Buildings - Grid Electricity'!$E342&amp;$F342,'Emission factors'!$J$3:$J$201&amp;'Emission factors'!$K$3:$K$201,0),MATCH('Buildings - Grid Electricity'!U$6,'Emission factors'!$K$2:$V$2,0)))*$K342)</f>
        <v/>
      </c>
      <c r="V342" s="158" t="str">
        <f>IF(OR($N342="",BuildingsElectricityTable[[#This Row],[RSD]]=""),"",BuildingsElectricityTable[[#This Row],[Total emissions (kgCO2e)]]*(1+BuildingsElectricityTable[[#This Row],[RSD]]))</f>
        <v/>
      </c>
      <c r="W342" s="159" t="str">
        <f>IF(OR($N342="",BuildingsElectricityTable[[#This Row],[RSD]]=""),"",BuildingsElectricityTable[[#This Row],[Total emissions (kgCO2e)]]*(1-BuildingsElectricityTable[[#This Row],[RSD]]))</f>
        <v/>
      </c>
      <c r="X342" s="169" t="str" cm="1">
        <f t="array" ref="X342">IF(OR($E342="",$I342=""),"",(INDEX('Emission factors'!$K$3:$V$201,MATCH('Buildings - Grid Electricity'!$E342&amp;$F342,'Emission factors'!$J$3:$J$201&amp;'Emission factors'!$K$3:$K$201,0),MATCH('Buildings - Grid Electricity'!X$6,'Emission factors'!$K$2:$V$2,0)))*$K342)</f>
        <v/>
      </c>
      <c r="Y342" s="30"/>
      <c r="Z342" s="1" cm="1">
        <f t="array" ref="Z342">IF(OR(ISERROR(B342:X342)),1,0)</f>
        <v>0</v>
      </c>
      <c r="AA342" s="1">
        <f t="shared" si="33"/>
        <v>0</v>
      </c>
    </row>
    <row r="343" spans="1:27" ht="15" outlineLevel="1" thickBot="1" x14ac:dyDescent="0.4">
      <c r="A343" s="319"/>
      <c r="B343" s="215"/>
      <c r="C343" s="215"/>
      <c r="D343" s="233" t="str">
        <f>IFERROR(INDEX(BuildingInformationTable[Site type],MATCH(BuildingsElectricityTable[[#This Row],[Site name]],BuildingInformationTable[Site name],0)),"")</f>
        <v/>
      </c>
      <c r="E343" s="311" t="str">
        <f t="shared" si="32"/>
        <v/>
      </c>
      <c r="F343" s="311" t="str">
        <f t="shared" si="0"/>
        <v/>
      </c>
      <c r="G343" s="72"/>
      <c r="H343" s="98" t="str">
        <f>IF(G343="","",INDEX(Lists!$BA$4:$BC$31,MATCH(E343,Lists!$AZ$4:$AZ$31,0),MATCH(G343,Lists!$BA$3:$BC$3,0)))</f>
        <v/>
      </c>
      <c r="I343" s="70"/>
      <c r="J343" s="311" t="str">
        <f t="shared" si="1"/>
        <v/>
      </c>
      <c r="K343" s="75" t="str" cm="1">
        <f t="array" ref="K343">IF(OR($E343="",$D343="",$I343="",$J343=""),"",IF(J343=L343,I343,(INDEX('Emission factors'!$K$3:$V$201,MATCH(E343&amp;F343,'Emission factors'!$J$3:$J$201&amp;'Emission factors'!$K$3:$K$201,0),MATCH(K$6,'Emission factors'!$K$2:$V$2,0)))*I343))</f>
        <v/>
      </c>
      <c r="L343" s="312" t="str">
        <f>IF(OR($E343="",$D343="",$I343="",$J343=""),"",INDEX('Emission factors'!$K$3:$V$201,MATCH('Buildings - Grid Electricity'!$E343,'Emission factors'!$J$3:$J$201,0),MATCH($L$6,'Emission factors'!$K$2:$V$2,0)))</f>
        <v/>
      </c>
      <c r="M343" s="313" t="str" cm="1">
        <f t="array" ref="M343">IF(OR(E343="",I343="",BuildingsElectricityTable[[#This Row],[Units]]=""),"",INDEX('Emission factors'!$K$3:$V$201,MATCH('Buildings - Grid Electricity'!$E343&amp;F343,'Emission factors'!$J$3:$J$201&amp;'Emission factors'!$K$3:$K$201,0),MATCH('Buildings - Grid Electricity'!$M$6,'Emission factors'!$K$2:$V$2,0)))</f>
        <v/>
      </c>
      <c r="N343" s="156" t="str">
        <f>IF(OR(K343="",M343=""),"",SUM(BuildingsElectricityTable[[#This Row],[Direct]:[Indirect WTT]]))</f>
        <v/>
      </c>
      <c r="O343" s="71"/>
      <c r="P343" s="72"/>
      <c r="Q343" s="157" t="str" cm="1">
        <f t="array" ref="Q343">IF(OR($E343="",$I343=""),"",(INDEX('Emission factors'!$K$3:$V$201,MATCH('Buildings - Grid Electricity'!$E343&amp;$F343,'Emission factors'!$J$3:$J$201&amp;'Emission factors'!$K$3:$K$201,0),MATCH('Buildings - Grid Electricity'!Q$6,'Emission factors'!$K$2:$V$2,0)))*$K343)</f>
        <v/>
      </c>
      <c r="R343" s="157" t="str" cm="1">
        <f t="array" ref="R343">IF(OR($E343="",$I343=""),"",(INDEX('Emission factors'!$K$3:$V$201,MATCH('Buildings - Grid Electricity'!$E343&amp;$F343,'Emission factors'!$J$3:$J$201&amp;'Emission factors'!$K$3:$K$201,0),MATCH('Buildings - Grid Electricity'!R$6,'Emission factors'!$K$2:$V$2,0)))*$K343)</f>
        <v/>
      </c>
      <c r="S343" s="157" t="str" cm="1">
        <f t="array" ref="S343">IF(OR($E343="",$I343=""),"",(INDEX('Emission factors'!$K$3:$V$201,MATCH('Buildings - Grid Electricity'!$E343&amp;$F343,'Emission factors'!$J$3:$J$201&amp;'Emission factors'!$K$3:$K$201,0),MATCH('Buildings - Grid Electricity'!S$6,'Emission factors'!$K$2:$V$2,0)))*$K343)</f>
        <v/>
      </c>
      <c r="T343" s="157" t="str" cm="1">
        <f t="array" ref="T343">IF(OR($E343="",$I343=""),"",(INDEX('Emission factors'!$K$3:$V$201,MATCH('Buildings - Grid Electricity'!$E343&amp;$F343,'Emission factors'!$J$3:$J$201&amp;'Emission factors'!$K$3:$K$201,0),MATCH('Buildings - Grid Electricity'!T$6,'Emission factors'!$K$2:$V$2,0)))*$K343)</f>
        <v/>
      </c>
      <c r="U343" s="157" t="str" cm="1">
        <f t="array" ref="U343">IF(OR($E343="",$I343=""),"",(INDEX('Emission factors'!$K$3:$V$201,MATCH('Buildings - Grid Electricity'!$E343&amp;$F343,'Emission factors'!$J$3:$J$201&amp;'Emission factors'!$K$3:$K$201,0),MATCH('Buildings - Grid Electricity'!U$6,'Emission factors'!$K$2:$V$2,0)))*$K343)</f>
        <v/>
      </c>
      <c r="V343" s="158" t="str">
        <f>IF(OR($N343="",BuildingsElectricityTable[[#This Row],[RSD]]=""),"",BuildingsElectricityTable[[#This Row],[Total emissions (kgCO2e)]]*(1+BuildingsElectricityTable[[#This Row],[RSD]]))</f>
        <v/>
      </c>
      <c r="W343" s="159" t="str">
        <f>IF(OR($N343="",BuildingsElectricityTable[[#This Row],[RSD]]=""),"",BuildingsElectricityTable[[#This Row],[Total emissions (kgCO2e)]]*(1-BuildingsElectricityTable[[#This Row],[RSD]]))</f>
        <v/>
      </c>
      <c r="X343" s="169" t="str" cm="1">
        <f t="array" ref="X343">IF(OR($E343="",$I343=""),"",(INDEX('Emission factors'!$K$3:$V$201,MATCH('Buildings - Grid Electricity'!$E343&amp;$F343,'Emission factors'!$J$3:$J$201&amp;'Emission factors'!$K$3:$K$201,0),MATCH('Buildings - Grid Electricity'!X$6,'Emission factors'!$K$2:$V$2,0)))*$K343)</f>
        <v/>
      </c>
      <c r="Y343" s="30"/>
      <c r="Z343" s="1" cm="1">
        <f t="array" ref="Z343">IF(OR(ISERROR(B343:X343)),1,0)</f>
        <v>0</v>
      </c>
      <c r="AA343" s="1">
        <f t="shared" si="33"/>
        <v>0</v>
      </c>
    </row>
    <row r="344" spans="1:27" ht="15" outlineLevel="1" thickBot="1" x14ac:dyDescent="0.4">
      <c r="A344" s="319"/>
      <c r="B344" s="215"/>
      <c r="C344" s="215"/>
      <c r="D344" s="233" t="str">
        <f>IFERROR(INDEX(BuildingInformationTable[Site type],MATCH(BuildingsElectricityTable[[#This Row],[Site name]],BuildingInformationTable[Site name],0)),"")</f>
        <v/>
      </c>
      <c r="E344" s="311" t="str">
        <f t="shared" si="32"/>
        <v/>
      </c>
      <c r="F344" s="311" t="str">
        <f t="shared" si="0"/>
        <v/>
      </c>
      <c r="G344" s="72"/>
      <c r="H344" s="98" t="str">
        <f>IF(G344="","",INDEX(Lists!$BA$4:$BC$31,MATCH(E344,Lists!$AZ$4:$AZ$31,0),MATCH(G344,Lists!$BA$3:$BC$3,0)))</f>
        <v/>
      </c>
      <c r="I344" s="70"/>
      <c r="J344" s="311" t="str">
        <f t="shared" si="1"/>
        <v/>
      </c>
      <c r="K344" s="75" t="str" cm="1">
        <f t="array" ref="K344">IF(OR($E344="",$D344="",$I344="",$J344=""),"",IF(J344=L344,I344,(INDEX('Emission factors'!$K$3:$V$201,MATCH(E344&amp;F344,'Emission factors'!$J$3:$J$201&amp;'Emission factors'!$K$3:$K$201,0),MATCH(K$6,'Emission factors'!$K$2:$V$2,0)))*I344))</f>
        <v/>
      </c>
      <c r="L344" s="312" t="str">
        <f>IF(OR($E344="",$D344="",$I344="",$J344=""),"",INDEX('Emission factors'!$K$3:$V$201,MATCH('Buildings - Grid Electricity'!$E344,'Emission factors'!$J$3:$J$201,0),MATCH($L$6,'Emission factors'!$K$2:$V$2,0)))</f>
        <v/>
      </c>
      <c r="M344" s="313" t="str" cm="1">
        <f t="array" ref="M344">IF(OR(E344="",I344="",BuildingsElectricityTable[[#This Row],[Units]]=""),"",INDEX('Emission factors'!$K$3:$V$201,MATCH('Buildings - Grid Electricity'!$E344&amp;F344,'Emission factors'!$J$3:$J$201&amp;'Emission factors'!$K$3:$K$201,0),MATCH('Buildings - Grid Electricity'!$M$6,'Emission factors'!$K$2:$V$2,0)))</f>
        <v/>
      </c>
      <c r="N344" s="156" t="str">
        <f>IF(OR(K344="",M344=""),"",SUM(BuildingsElectricityTable[[#This Row],[Direct]:[Indirect WTT]]))</f>
        <v/>
      </c>
      <c r="O344" s="71"/>
      <c r="P344" s="72"/>
      <c r="Q344" s="157" t="str" cm="1">
        <f t="array" ref="Q344">IF(OR($E344="",$I344=""),"",(INDEX('Emission factors'!$K$3:$V$201,MATCH('Buildings - Grid Electricity'!$E344&amp;$F344,'Emission factors'!$J$3:$J$201&amp;'Emission factors'!$K$3:$K$201,0),MATCH('Buildings - Grid Electricity'!Q$6,'Emission factors'!$K$2:$V$2,0)))*$K344)</f>
        <v/>
      </c>
      <c r="R344" s="157" t="str" cm="1">
        <f t="array" ref="R344">IF(OR($E344="",$I344=""),"",(INDEX('Emission factors'!$K$3:$V$201,MATCH('Buildings - Grid Electricity'!$E344&amp;$F344,'Emission factors'!$J$3:$J$201&amp;'Emission factors'!$K$3:$K$201,0),MATCH('Buildings - Grid Electricity'!R$6,'Emission factors'!$K$2:$V$2,0)))*$K344)</f>
        <v/>
      </c>
      <c r="S344" s="157" t="str" cm="1">
        <f t="array" ref="S344">IF(OR($E344="",$I344=""),"",(INDEX('Emission factors'!$K$3:$V$201,MATCH('Buildings - Grid Electricity'!$E344&amp;$F344,'Emission factors'!$J$3:$J$201&amp;'Emission factors'!$K$3:$K$201,0),MATCH('Buildings - Grid Electricity'!S$6,'Emission factors'!$K$2:$V$2,0)))*$K344)</f>
        <v/>
      </c>
      <c r="T344" s="157" t="str" cm="1">
        <f t="array" ref="T344">IF(OR($E344="",$I344=""),"",(INDEX('Emission factors'!$K$3:$V$201,MATCH('Buildings - Grid Electricity'!$E344&amp;$F344,'Emission factors'!$J$3:$J$201&amp;'Emission factors'!$K$3:$K$201,0),MATCH('Buildings - Grid Electricity'!T$6,'Emission factors'!$K$2:$V$2,0)))*$K344)</f>
        <v/>
      </c>
      <c r="U344" s="157" t="str" cm="1">
        <f t="array" ref="U344">IF(OR($E344="",$I344=""),"",(INDEX('Emission factors'!$K$3:$V$201,MATCH('Buildings - Grid Electricity'!$E344&amp;$F344,'Emission factors'!$J$3:$J$201&amp;'Emission factors'!$K$3:$K$201,0),MATCH('Buildings - Grid Electricity'!U$6,'Emission factors'!$K$2:$V$2,0)))*$K344)</f>
        <v/>
      </c>
      <c r="V344" s="158" t="str">
        <f>IF(OR($N344="",BuildingsElectricityTable[[#This Row],[RSD]]=""),"",BuildingsElectricityTable[[#This Row],[Total emissions (kgCO2e)]]*(1+BuildingsElectricityTable[[#This Row],[RSD]]))</f>
        <v/>
      </c>
      <c r="W344" s="159" t="str">
        <f>IF(OR($N344="",BuildingsElectricityTable[[#This Row],[RSD]]=""),"",BuildingsElectricityTable[[#This Row],[Total emissions (kgCO2e)]]*(1-BuildingsElectricityTable[[#This Row],[RSD]]))</f>
        <v/>
      </c>
      <c r="X344" s="169" t="str" cm="1">
        <f t="array" ref="X344">IF(OR($E344="",$I344=""),"",(INDEX('Emission factors'!$K$3:$V$201,MATCH('Buildings - Grid Electricity'!$E344&amp;$F344,'Emission factors'!$J$3:$J$201&amp;'Emission factors'!$K$3:$K$201,0),MATCH('Buildings - Grid Electricity'!X$6,'Emission factors'!$K$2:$V$2,0)))*$K344)</f>
        <v/>
      </c>
      <c r="Y344" s="30"/>
      <c r="Z344" s="1" cm="1">
        <f t="array" ref="Z344">IF(OR(ISERROR(B344:X344)),1,0)</f>
        <v>0</v>
      </c>
      <c r="AA344" s="1">
        <f t="shared" si="33"/>
        <v>0</v>
      </c>
    </row>
    <row r="345" spans="1:27" ht="15" outlineLevel="1" thickBot="1" x14ac:dyDescent="0.4">
      <c r="A345" s="319"/>
      <c r="B345" s="215"/>
      <c r="C345" s="215"/>
      <c r="D345" s="233" t="str">
        <f>IFERROR(INDEX(BuildingInformationTable[Site type],MATCH(BuildingsElectricityTable[[#This Row],[Site name]],BuildingInformationTable[Site name],0)),"")</f>
        <v/>
      </c>
      <c r="E345" s="311" t="str">
        <f t="shared" si="32"/>
        <v/>
      </c>
      <c r="F345" s="311" t="str">
        <f t="shared" si="0"/>
        <v/>
      </c>
      <c r="G345" s="72"/>
      <c r="H345" s="98" t="str">
        <f>IF(G345="","",INDEX(Lists!$BA$4:$BC$31,MATCH(E345,Lists!$AZ$4:$AZ$31,0),MATCH(G345,Lists!$BA$3:$BC$3,0)))</f>
        <v/>
      </c>
      <c r="I345" s="70"/>
      <c r="J345" s="311" t="str">
        <f t="shared" si="1"/>
        <v/>
      </c>
      <c r="K345" s="75" t="str" cm="1">
        <f t="array" ref="K345">IF(OR($E345="",$D345="",$I345="",$J345=""),"",IF(J345=L345,I345,(INDEX('Emission factors'!$K$3:$V$201,MATCH(E345&amp;F345,'Emission factors'!$J$3:$J$201&amp;'Emission factors'!$K$3:$K$201,0),MATCH(K$6,'Emission factors'!$K$2:$V$2,0)))*I345))</f>
        <v/>
      </c>
      <c r="L345" s="312" t="str">
        <f>IF(OR($E345="",$D345="",$I345="",$J345=""),"",INDEX('Emission factors'!$K$3:$V$201,MATCH('Buildings - Grid Electricity'!$E345,'Emission factors'!$J$3:$J$201,0),MATCH($L$6,'Emission factors'!$K$2:$V$2,0)))</f>
        <v/>
      </c>
      <c r="M345" s="313" t="str" cm="1">
        <f t="array" ref="M345">IF(OR(E345="",I345="",BuildingsElectricityTable[[#This Row],[Units]]=""),"",INDEX('Emission factors'!$K$3:$V$201,MATCH('Buildings - Grid Electricity'!$E345&amp;F345,'Emission factors'!$J$3:$J$201&amp;'Emission factors'!$K$3:$K$201,0),MATCH('Buildings - Grid Electricity'!$M$6,'Emission factors'!$K$2:$V$2,0)))</f>
        <v/>
      </c>
      <c r="N345" s="156" t="str">
        <f>IF(OR(K345="",M345=""),"",SUM(BuildingsElectricityTable[[#This Row],[Direct]:[Indirect WTT]]))</f>
        <v/>
      </c>
      <c r="O345" s="71"/>
      <c r="P345" s="72"/>
      <c r="Q345" s="157" t="str" cm="1">
        <f t="array" ref="Q345">IF(OR($E345="",$I345=""),"",(INDEX('Emission factors'!$K$3:$V$201,MATCH('Buildings - Grid Electricity'!$E345&amp;$F345,'Emission factors'!$J$3:$J$201&amp;'Emission factors'!$K$3:$K$201,0),MATCH('Buildings - Grid Electricity'!Q$6,'Emission factors'!$K$2:$V$2,0)))*$K345)</f>
        <v/>
      </c>
      <c r="R345" s="157" t="str" cm="1">
        <f t="array" ref="R345">IF(OR($E345="",$I345=""),"",(INDEX('Emission factors'!$K$3:$V$201,MATCH('Buildings - Grid Electricity'!$E345&amp;$F345,'Emission factors'!$J$3:$J$201&amp;'Emission factors'!$K$3:$K$201,0),MATCH('Buildings - Grid Electricity'!R$6,'Emission factors'!$K$2:$V$2,0)))*$K345)</f>
        <v/>
      </c>
      <c r="S345" s="157" t="str" cm="1">
        <f t="array" ref="S345">IF(OR($E345="",$I345=""),"",(INDEX('Emission factors'!$K$3:$V$201,MATCH('Buildings - Grid Electricity'!$E345&amp;$F345,'Emission factors'!$J$3:$J$201&amp;'Emission factors'!$K$3:$K$201,0),MATCH('Buildings - Grid Electricity'!S$6,'Emission factors'!$K$2:$V$2,0)))*$K345)</f>
        <v/>
      </c>
      <c r="T345" s="157" t="str" cm="1">
        <f t="array" ref="T345">IF(OR($E345="",$I345=""),"",(INDEX('Emission factors'!$K$3:$V$201,MATCH('Buildings - Grid Electricity'!$E345&amp;$F345,'Emission factors'!$J$3:$J$201&amp;'Emission factors'!$K$3:$K$201,0),MATCH('Buildings - Grid Electricity'!T$6,'Emission factors'!$K$2:$V$2,0)))*$K345)</f>
        <v/>
      </c>
      <c r="U345" s="157" t="str" cm="1">
        <f t="array" ref="U345">IF(OR($E345="",$I345=""),"",(INDEX('Emission factors'!$K$3:$V$201,MATCH('Buildings - Grid Electricity'!$E345&amp;$F345,'Emission factors'!$J$3:$J$201&amp;'Emission factors'!$K$3:$K$201,0),MATCH('Buildings - Grid Electricity'!U$6,'Emission factors'!$K$2:$V$2,0)))*$K345)</f>
        <v/>
      </c>
      <c r="V345" s="158" t="str">
        <f>IF(OR($N345="",BuildingsElectricityTable[[#This Row],[RSD]]=""),"",BuildingsElectricityTable[[#This Row],[Total emissions (kgCO2e)]]*(1+BuildingsElectricityTable[[#This Row],[RSD]]))</f>
        <v/>
      </c>
      <c r="W345" s="159" t="str">
        <f>IF(OR($N345="",BuildingsElectricityTable[[#This Row],[RSD]]=""),"",BuildingsElectricityTable[[#This Row],[Total emissions (kgCO2e)]]*(1-BuildingsElectricityTable[[#This Row],[RSD]]))</f>
        <v/>
      </c>
      <c r="X345" s="169" t="str" cm="1">
        <f t="array" ref="X345">IF(OR($E345="",$I345=""),"",(INDEX('Emission factors'!$K$3:$V$201,MATCH('Buildings - Grid Electricity'!$E345&amp;$F345,'Emission factors'!$J$3:$J$201&amp;'Emission factors'!$K$3:$K$201,0),MATCH('Buildings - Grid Electricity'!X$6,'Emission factors'!$K$2:$V$2,0)))*$K345)</f>
        <v/>
      </c>
      <c r="Y345" s="30"/>
      <c r="Z345" s="1" cm="1">
        <f t="array" ref="Z345">IF(OR(ISERROR(B345:X345)),1,0)</f>
        <v>0</v>
      </c>
      <c r="AA345" s="1">
        <f t="shared" si="33"/>
        <v>0</v>
      </c>
    </row>
    <row r="346" spans="1:27" ht="15" outlineLevel="1" thickBot="1" x14ac:dyDescent="0.4">
      <c r="A346" s="319"/>
      <c r="B346" s="215"/>
      <c r="C346" s="215"/>
      <c r="D346" s="233" t="str">
        <f>IFERROR(INDEX(BuildingInformationTable[Site type],MATCH(BuildingsElectricityTable[[#This Row],[Site name]],BuildingInformationTable[Site name],0)),"")</f>
        <v/>
      </c>
      <c r="E346" s="311" t="str">
        <f t="shared" si="32"/>
        <v/>
      </c>
      <c r="F346" s="311" t="str">
        <f t="shared" si="0"/>
        <v/>
      </c>
      <c r="G346" s="72"/>
      <c r="H346" s="98" t="str">
        <f>IF(G346="","",INDEX(Lists!$BA$4:$BC$31,MATCH(E346,Lists!$AZ$4:$AZ$31,0),MATCH(G346,Lists!$BA$3:$BC$3,0)))</f>
        <v/>
      </c>
      <c r="I346" s="70"/>
      <c r="J346" s="311" t="str">
        <f t="shared" si="1"/>
        <v/>
      </c>
      <c r="K346" s="75" t="str" cm="1">
        <f t="array" ref="K346">IF(OR($E346="",$D346="",$I346="",$J346=""),"",IF(J346=L346,I346,(INDEX('Emission factors'!$K$3:$V$201,MATCH(E346&amp;F346,'Emission factors'!$J$3:$J$201&amp;'Emission factors'!$K$3:$K$201,0),MATCH(K$6,'Emission factors'!$K$2:$V$2,0)))*I346))</f>
        <v/>
      </c>
      <c r="L346" s="312" t="str">
        <f>IF(OR($E346="",$D346="",$I346="",$J346=""),"",INDEX('Emission factors'!$K$3:$V$201,MATCH('Buildings - Grid Electricity'!$E346,'Emission factors'!$J$3:$J$201,0),MATCH($L$6,'Emission factors'!$K$2:$V$2,0)))</f>
        <v/>
      </c>
      <c r="M346" s="313" t="str" cm="1">
        <f t="array" ref="M346">IF(OR(E346="",I346="",BuildingsElectricityTable[[#This Row],[Units]]=""),"",INDEX('Emission factors'!$K$3:$V$201,MATCH('Buildings - Grid Electricity'!$E346&amp;F346,'Emission factors'!$J$3:$J$201&amp;'Emission factors'!$K$3:$K$201,0),MATCH('Buildings - Grid Electricity'!$M$6,'Emission factors'!$K$2:$V$2,0)))</f>
        <v/>
      </c>
      <c r="N346" s="156" t="str">
        <f>IF(OR(K346="",M346=""),"",SUM(BuildingsElectricityTable[[#This Row],[Direct]:[Indirect WTT]]))</f>
        <v/>
      </c>
      <c r="O346" s="71"/>
      <c r="P346" s="72"/>
      <c r="Q346" s="157" t="str" cm="1">
        <f t="array" ref="Q346">IF(OR($E346="",$I346=""),"",(INDEX('Emission factors'!$K$3:$V$201,MATCH('Buildings - Grid Electricity'!$E346&amp;$F346,'Emission factors'!$J$3:$J$201&amp;'Emission factors'!$K$3:$K$201,0),MATCH('Buildings - Grid Electricity'!Q$6,'Emission factors'!$K$2:$V$2,0)))*$K346)</f>
        <v/>
      </c>
      <c r="R346" s="157" t="str" cm="1">
        <f t="array" ref="R346">IF(OR($E346="",$I346=""),"",(INDEX('Emission factors'!$K$3:$V$201,MATCH('Buildings - Grid Electricity'!$E346&amp;$F346,'Emission factors'!$J$3:$J$201&amp;'Emission factors'!$K$3:$K$201,0),MATCH('Buildings - Grid Electricity'!R$6,'Emission factors'!$K$2:$V$2,0)))*$K346)</f>
        <v/>
      </c>
      <c r="S346" s="157" t="str" cm="1">
        <f t="array" ref="S346">IF(OR($E346="",$I346=""),"",(INDEX('Emission factors'!$K$3:$V$201,MATCH('Buildings - Grid Electricity'!$E346&amp;$F346,'Emission factors'!$J$3:$J$201&amp;'Emission factors'!$K$3:$K$201,0),MATCH('Buildings - Grid Electricity'!S$6,'Emission factors'!$K$2:$V$2,0)))*$K346)</f>
        <v/>
      </c>
      <c r="T346" s="157" t="str" cm="1">
        <f t="array" ref="T346">IF(OR($E346="",$I346=""),"",(INDEX('Emission factors'!$K$3:$V$201,MATCH('Buildings - Grid Electricity'!$E346&amp;$F346,'Emission factors'!$J$3:$J$201&amp;'Emission factors'!$K$3:$K$201,0),MATCH('Buildings - Grid Electricity'!T$6,'Emission factors'!$K$2:$V$2,0)))*$K346)</f>
        <v/>
      </c>
      <c r="U346" s="157" t="str" cm="1">
        <f t="array" ref="U346">IF(OR($E346="",$I346=""),"",(INDEX('Emission factors'!$K$3:$V$201,MATCH('Buildings - Grid Electricity'!$E346&amp;$F346,'Emission factors'!$J$3:$J$201&amp;'Emission factors'!$K$3:$K$201,0),MATCH('Buildings - Grid Electricity'!U$6,'Emission factors'!$K$2:$V$2,0)))*$K346)</f>
        <v/>
      </c>
      <c r="V346" s="158" t="str">
        <f>IF(OR($N346="",BuildingsElectricityTable[[#This Row],[RSD]]=""),"",BuildingsElectricityTable[[#This Row],[Total emissions (kgCO2e)]]*(1+BuildingsElectricityTable[[#This Row],[RSD]]))</f>
        <v/>
      </c>
      <c r="W346" s="159" t="str">
        <f>IF(OR($N346="",BuildingsElectricityTable[[#This Row],[RSD]]=""),"",BuildingsElectricityTable[[#This Row],[Total emissions (kgCO2e)]]*(1-BuildingsElectricityTable[[#This Row],[RSD]]))</f>
        <v/>
      </c>
      <c r="X346" s="169" t="str" cm="1">
        <f t="array" ref="X346">IF(OR($E346="",$I346=""),"",(INDEX('Emission factors'!$K$3:$V$201,MATCH('Buildings - Grid Electricity'!$E346&amp;$F346,'Emission factors'!$J$3:$J$201&amp;'Emission factors'!$K$3:$K$201,0),MATCH('Buildings - Grid Electricity'!X$6,'Emission factors'!$K$2:$V$2,0)))*$K346)</f>
        <v/>
      </c>
      <c r="Y346" s="30"/>
      <c r="Z346" s="1" cm="1">
        <f t="array" ref="Z346">IF(OR(ISERROR(B346:X346)),1,0)</f>
        <v>0</v>
      </c>
      <c r="AA346" s="1">
        <f t="shared" si="33"/>
        <v>0</v>
      </c>
    </row>
    <row r="347" spans="1:27" ht="15" outlineLevel="1" thickBot="1" x14ac:dyDescent="0.4">
      <c r="A347" s="319"/>
      <c r="B347" s="215"/>
      <c r="C347" s="215"/>
      <c r="D347" s="233" t="str">
        <f>IFERROR(INDEX(BuildingInformationTable[Site type],MATCH(BuildingsElectricityTable[[#This Row],[Site name]],BuildingInformationTable[Site name],0)),"")</f>
        <v/>
      </c>
      <c r="E347" s="311" t="str">
        <f t="shared" si="32"/>
        <v/>
      </c>
      <c r="F347" s="311" t="str">
        <f t="shared" si="0"/>
        <v/>
      </c>
      <c r="G347" s="72"/>
      <c r="H347" s="98" t="str">
        <f>IF(G347="","",INDEX(Lists!$BA$4:$BC$31,MATCH(E347,Lists!$AZ$4:$AZ$31,0),MATCH(G347,Lists!$BA$3:$BC$3,0)))</f>
        <v/>
      </c>
      <c r="I347" s="70"/>
      <c r="J347" s="311" t="str">
        <f t="shared" si="1"/>
        <v/>
      </c>
      <c r="K347" s="75" t="str" cm="1">
        <f t="array" ref="K347">IF(OR($E347="",$D347="",$I347="",$J347=""),"",IF(J347=L347,I347,(INDEX('Emission factors'!$K$3:$V$201,MATCH(E347&amp;F347,'Emission factors'!$J$3:$J$201&amp;'Emission factors'!$K$3:$K$201,0),MATCH(K$6,'Emission factors'!$K$2:$V$2,0)))*I347))</f>
        <v/>
      </c>
      <c r="L347" s="312" t="str">
        <f>IF(OR($E347="",$D347="",$I347="",$J347=""),"",INDEX('Emission factors'!$K$3:$V$201,MATCH('Buildings - Grid Electricity'!$E347,'Emission factors'!$J$3:$J$201,0),MATCH($L$6,'Emission factors'!$K$2:$V$2,0)))</f>
        <v/>
      </c>
      <c r="M347" s="313" t="str" cm="1">
        <f t="array" ref="M347">IF(OR(E347="",I347="",BuildingsElectricityTable[[#This Row],[Units]]=""),"",INDEX('Emission factors'!$K$3:$V$201,MATCH('Buildings - Grid Electricity'!$E347&amp;F347,'Emission factors'!$J$3:$J$201&amp;'Emission factors'!$K$3:$K$201,0),MATCH('Buildings - Grid Electricity'!$M$6,'Emission factors'!$K$2:$V$2,0)))</f>
        <v/>
      </c>
      <c r="N347" s="156" t="str">
        <f>IF(OR(K347="",M347=""),"",SUM(BuildingsElectricityTable[[#This Row],[Direct]:[Indirect WTT]]))</f>
        <v/>
      </c>
      <c r="O347" s="71"/>
      <c r="P347" s="72"/>
      <c r="Q347" s="157" t="str" cm="1">
        <f t="array" ref="Q347">IF(OR($E347="",$I347=""),"",(INDEX('Emission factors'!$K$3:$V$201,MATCH('Buildings - Grid Electricity'!$E347&amp;$F347,'Emission factors'!$J$3:$J$201&amp;'Emission factors'!$K$3:$K$201,0),MATCH('Buildings - Grid Electricity'!Q$6,'Emission factors'!$K$2:$V$2,0)))*$K347)</f>
        <v/>
      </c>
      <c r="R347" s="157" t="str" cm="1">
        <f t="array" ref="R347">IF(OR($E347="",$I347=""),"",(INDEX('Emission factors'!$K$3:$V$201,MATCH('Buildings - Grid Electricity'!$E347&amp;$F347,'Emission factors'!$J$3:$J$201&amp;'Emission factors'!$K$3:$K$201,0),MATCH('Buildings - Grid Electricity'!R$6,'Emission factors'!$K$2:$V$2,0)))*$K347)</f>
        <v/>
      </c>
      <c r="S347" s="157" t="str" cm="1">
        <f t="array" ref="S347">IF(OR($E347="",$I347=""),"",(INDEX('Emission factors'!$K$3:$V$201,MATCH('Buildings - Grid Electricity'!$E347&amp;$F347,'Emission factors'!$J$3:$J$201&amp;'Emission factors'!$K$3:$K$201,0),MATCH('Buildings - Grid Electricity'!S$6,'Emission factors'!$K$2:$V$2,0)))*$K347)</f>
        <v/>
      </c>
      <c r="T347" s="157" t="str" cm="1">
        <f t="array" ref="T347">IF(OR($E347="",$I347=""),"",(INDEX('Emission factors'!$K$3:$V$201,MATCH('Buildings - Grid Electricity'!$E347&amp;$F347,'Emission factors'!$J$3:$J$201&amp;'Emission factors'!$K$3:$K$201,0),MATCH('Buildings - Grid Electricity'!T$6,'Emission factors'!$K$2:$V$2,0)))*$K347)</f>
        <v/>
      </c>
      <c r="U347" s="157" t="str" cm="1">
        <f t="array" ref="U347">IF(OR($E347="",$I347=""),"",(INDEX('Emission factors'!$K$3:$V$201,MATCH('Buildings - Grid Electricity'!$E347&amp;$F347,'Emission factors'!$J$3:$J$201&amp;'Emission factors'!$K$3:$K$201,0),MATCH('Buildings - Grid Electricity'!U$6,'Emission factors'!$K$2:$V$2,0)))*$K347)</f>
        <v/>
      </c>
      <c r="V347" s="158" t="str">
        <f>IF(OR($N347="",BuildingsElectricityTable[[#This Row],[RSD]]=""),"",BuildingsElectricityTable[[#This Row],[Total emissions (kgCO2e)]]*(1+BuildingsElectricityTable[[#This Row],[RSD]]))</f>
        <v/>
      </c>
      <c r="W347" s="159" t="str">
        <f>IF(OR($N347="",BuildingsElectricityTable[[#This Row],[RSD]]=""),"",BuildingsElectricityTable[[#This Row],[Total emissions (kgCO2e)]]*(1-BuildingsElectricityTable[[#This Row],[RSD]]))</f>
        <v/>
      </c>
      <c r="X347" s="169" t="str" cm="1">
        <f t="array" ref="X347">IF(OR($E347="",$I347=""),"",(INDEX('Emission factors'!$K$3:$V$201,MATCH('Buildings - Grid Electricity'!$E347&amp;$F347,'Emission factors'!$J$3:$J$201&amp;'Emission factors'!$K$3:$K$201,0),MATCH('Buildings - Grid Electricity'!X$6,'Emission factors'!$K$2:$V$2,0)))*$K347)</f>
        <v/>
      </c>
      <c r="Y347" s="30"/>
      <c r="Z347" s="1" cm="1">
        <f t="array" ref="Z347">IF(OR(ISERROR(B347:X347)),1,0)</f>
        <v>0</v>
      </c>
      <c r="AA347" s="1">
        <f t="shared" si="33"/>
        <v>0</v>
      </c>
    </row>
    <row r="348" spans="1:27" ht="15" outlineLevel="1" thickBot="1" x14ac:dyDescent="0.4">
      <c r="A348" s="319"/>
      <c r="B348" s="216"/>
      <c r="C348" s="216"/>
      <c r="D348" s="233" t="str">
        <f>IFERROR(INDEX(BuildingInformationTable[Site type],MATCH(BuildingsElectricityTable[[#This Row],[Site name]],BuildingInformationTable[Site name],0)),"")</f>
        <v/>
      </c>
      <c r="E348" s="311" t="str">
        <f t="shared" si="32"/>
        <v/>
      </c>
      <c r="F348" s="311" t="str">
        <f t="shared" si="0"/>
        <v/>
      </c>
      <c r="G348" s="72"/>
      <c r="H348" s="98" t="str">
        <f>IF(G348="","",INDEX(Lists!$BA$4:$BC$31,MATCH(E348,Lists!$AZ$4:$AZ$31,0),MATCH(G348,Lists!$BA$3:$BC$3,0)))</f>
        <v/>
      </c>
      <c r="I348" s="70"/>
      <c r="J348" s="311" t="str">
        <f t="shared" si="1"/>
        <v/>
      </c>
      <c r="K348" s="75" t="str" cm="1">
        <f t="array" ref="K348">IF(OR($E348="",$D348="",$I348="",$J348=""),"",IF(J348=L348,I348,(INDEX('Emission factors'!$K$3:$V$201,MATCH(E348&amp;F348,'Emission factors'!$J$3:$J$201&amp;'Emission factors'!$K$3:$K$201,0),MATCH(K$6,'Emission factors'!$K$2:$V$2,0)))*I348))</f>
        <v/>
      </c>
      <c r="L348" s="312" t="str">
        <f>IF(OR($E348="",$D348="",$I348="",$J348=""),"",INDEX('Emission factors'!$K$3:$V$201,MATCH('Buildings - Grid Electricity'!$E348,'Emission factors'!$J$3:$J$201,0),MATCH($L$6,'Emission factors'!$K$2:$V$2,0)))</f>
        <v/>
      </c>
      <c r="M348" s="313" t="str" cm="1">
        <f t="array" ref="M348">IF(OR(E348="",I348="",BuildingsElectricityTable[[#This Row],[Units]]=""),"",INDEX('Emission factors'!$K$3:$V$201,MATCH('Buildings - Grid Electricity'!$E348&amp;F348,'Emission factors'!$J$3:$J$201&amp;'Emission factors'!$K$3:$K$201,0),MATCH('Buildings - Grid Electricity'!$M$6,'Emission factors'!$K$2:$V$2,0)))</f>
        <v/>
      </c>
      <c r="N348" s="156" t="str">
        <f>IF(OR(K348="",M348=""),"",SUM(BuildingsElectricityTable[[#This Row],[Direct]:[Indirect WTT]]))</f>
        <v/>
      </c>
      <c r="O348" s="71"/>
      <c r="P348" s="72"/>
      <c r="Q348" s="157" t="str" cm="1">
        <f t="array" ref="Q348">IF(OR($E348="",$I348=""),"",(INDEX('Emission factors'!$K$3:$V$201,MATCH('Buildings - Grid Electricity'!$E348&amp;$F348,'Emission factors'!$J$3:$J$201&amp;'Emission factors'!$K$3:$K$201,0),MATCH('Buildings - Grid Electricity'!Q$6,'Emission factors'!$K$2:$V$2,0)))*$K348)</f>
        <v/>
      </c>
      <c r="R348" s="157" t="str" cm="1">
        <f t="array" ref="R348">IF(OR($E348="",$I348=""),"",(INDEX('Emission factors'!$K$3:$V$201,MATCH('Buildings - Grid Electricity'!$E348&amp;$F348,'Emission factors'!$J$3:$J$201&amp;'Emission factors'!$K$3:$K$201,0),MATCH('Buildings - Grid Electricity'!R$6,'Emission factors'!$K$2:$V$2,0)))*$K348)</f>
        <v/>
      </c>
      <c r="S348" s="157" t="str" cm="1">
        <f t="array" ref="S348">IF(OR($E348="",$I348=""),"",(INDEX('Emission factors'!$K$3:$V$201,MATCH('Buildings - Grid Electricity'!$E348&amp;$F348,'Emission factors'!$J$3:$J$201&amp;'Emission factors'!$K$3:$K$201,0),MATCH('Buildings - Grid Electricity'!S$6,'Emission factors'!$K$2:$V$2,0)))*$K348)</f>
        <v/>
      </c>
      <c r="T348" s="157" t="str" cm="1">
        <f t="array" ref="T348">IF(OR($E348="",$I348=""),"",(INDEX('Emission factors'!$K$3:$V$201,MATCH('Buildings - Grid Electricity'!$E348&amp;$F348,'Emission factors'!$J$3:$J$201&amp;'Emission factors'!$K$3:$K$201,0),MATCH('Buildings - Grid Electricity'!T$6,'Emission factors'!$K$2:$V$2,0)))*$K348)</f>
        <v/>
      </c>
      <c r="U348" s="157" t="str" cm="1">
        <f t="array" ref="U348">IF(OR($E348="",$I348=""),"",(INDEX('Emission factors'!$K$3:$V$201,MATCH('Buildings - Grid Electricity'!$E348&amp;$F348,'Emission factors'!$J$3:$J$201&amp;'Emission factors'!$K$3:$K$201,0),MATCH('Buildings - Grid Electricity'!U$6,'Emission factors'!$K$2:$V$2,0)))*$K348)</f>
        <v/>
      </c>
      <c r="V348" s="158" t="str">
        <f>IF(OR($N348="",BuildingsElectricityTable[[#This Row],[RSD]]=""),"",BuildingsElectricityTable[[#This Row],[Total emissions (kgCO2e)]]*(1+BuildingsElectricityTable[[#This Row],[RSD]]))</f>
        <v/>
      </c>
      <c r="W348" s="159" t="str">
        <f>IF(OR($N348="",BuildingsElectricityTable[[#This Row],[RSD]]=""),"",BuildingsElectricityTable[[#This Row],[Total emissions (kgCO2e)]]*(1-BuildingsElectricityTable[[#This Row],[RSD]]))</f>
        <v/>
      </c>
      <c r="X348" s="169" t="str" cm="1">
        <f t="array" ref="X348">IF(OR($E348="",$I348=""),"",(INDEX('Emission factors'!$K$3:$V$201,MATCH('Buildings - Grid Electricity'!$E348&amp;$F348,'Emission factors'!$J$3:$J$201&amp;'Emission factors'!$K$3:$K$201,0),MATCH('Buildings - Grid Electricity'!X$6,'Emission factors'!$K$2:$V$2,0)))*$K348)</f>
        <v/>
      </c>
      <c r="Y348" s="30"/>
      <c r="Z348" s="1" cm="1">
        <f t="array" ref="Z348">IF(OR(ISERROR(B348:X348)),1,0)</f>
        <v>0</v>
      </c>
      <c r="AA348" s="1">
        <f t="shared" si="33"/>
        <v>0</v>
      </c>
    </row>
    <row r="349" spans="1:27" ht="15" outlineLevel="1" thickBot="1" x14ac:dyDescent="0.4">
      <c r="A349" s="319"/>
      <c r="B349" s="216"/>
      <c r="C349" s="216"/>
      <c r="D349" s="233" t="str">
        <f>IFERROR(INDEX(BuildingInformationTable[Site type],MATCH(BuildingsElectricityTable[[#This Row],[Site name]],BuildingInformationTable[Site name],0)),"")</f>
        <v/>
      </c>
      <c r="E349" s="311" t="str">
        <f t="shared" si="32"/>
        <v/>
      </c>
      <c r="F349" s="311" t="str">
        <f t="shared" si="0"/>
        <v/>
      </c>
      <c r="G349" s="72"/>
      <c r="H349" s="98" t="str">
        <f>IF(G349="","",INDEX(Lists!$BA$4:$BC$31,MATCH(E349,Lists!$AZ$4:$AZ$31,0),MATCH(G349,Lists!$BA$3:$BC$3,0)))</f>
        <v/>
      </c>
      <c r="I349" s="70"/>
      <c r="J349" s="311" t="str">
        <f t="shared" si="1"/>
        <v/>
      </c>
      <c r="K349" s="75" t="str" cm="1">
        <f t="array" ref="K349">IF(OR($E349="",$D349="",$I349="",$J349=""),"",IF(J349=L349,I349,(INDEX('Emission factors'!$K$3:$V$201,MATCH(E349&amp;F349,'Emission factors'!$J$3:$J$201&amp;'Emission factors'!$K$3:$K$201,0),MATCH(K$6,'Emission factors'!$K$2:$V$2,0)))*I349))</f>
        <v/>
      </c>
      <c r="L349" s="312" t="str">
        <f>IF(OR($E349="",$D349="",$I349="",$J349=""),"",INDEX('Emission factors'!$K$3:$V$201,MATCH('Buildings - Grid Electricity'!$E349,'Emission factors'!$J$3:$J$201,0),MATCH($L$6,'Emission factors'!$K$2:$V$2,0)))</f>
        <v/>
      </c>
      <c r="M349" s="313" t="str" cm="1">
        <f t="array" ref="M349">IF(OR(E349="",I349="",BuildingsElectricityTable[[#This Row],[Units]]=""),"",INDEX('Emission factors'!$K$3:$V$201,MATCH('Buildings - Grid Electricity'!$E349&amp;F349,'Emission factors'!$J$3:$J$201&amp;'Emission factors'!$K$3:$K$201,0),MATCH('Buildings - Grid Electricity'!$M$6,'Emission factors'!$K$2:$V$2,0)))</f>
        <v/>
      </c>
      <c r="N349" s="156" t="str">
        <f>IF(OR(K349="",M349=""),"",SUM(BuildingsElectricityTable[[#This Row],[Direct]:[Indirect WTT]]))</f>
        <v/>
      </c>
      <c r="O349" s="71"/>
      <c r="P349" s="72"/>
      <c r="Q349" s="157" t="str" cm="1">
        <f t="array" ref="Q349">IF(OR($E349="",$I349=""),"",(INDEX('Emission factors'!$K$3:$V$201,MATCH('Buildings - Grid Electricity'!$E349&amp;$F349,'Emission factors'!$J$3:$J$201&amp;'Emission factors'!$K$3:$K$201,0),MATCH('Buildings - Grid Electricity'!Q$6,'Emission factors'!$K$2:$V$2,0)))*$K349)</f>
        <v/>
      </c>
      <c r="R349" s="157" t="str" cm="1">
        <f t="array" ref="R349">IF(OR($E349="",$I349=""),"",(INDEX('Emission factors'!$K$3:$V$201,MATCH('Buildings - Grid Electricity'!$E349&amp;$F349,'Emission factors'!$J$3:$J$201&amp;'Emission factors'!$K$3:$K$201,0),MATCH('Buildings - Grid Electricity'!R$6,'Emission factors'!$K$2:$V$2,0)))*$K349)</f>
        <v/>
      </c>
      <c r="S349" s="157" t="str" cm="1">
        <f t="array" ref="S349">IF(OR($E349="",$I349=""),"",(INDEX('Emission factors'!$K$3:$V$201,MATCH('Buildings - Grid Electricity'!$E349&amp;$F349,'Emission factors'!$J$3:$J$201&amp;'Emission factors'!$K$3:$K$201,0),MATCH('Buildings - Grid Electricity'!S$6,'Emission factors'!$K$2:$V$2,0)))*$K349)</f>
        <v/>
      </c>
      <c r="T349" s="157" t="str" cm="1">
        <f t="array" ref="T349">IF(OR($E349="",$I349=""),"",(INDEX('Emission factors'!$K$3:$V$201,MATCH('Buildings - Grid Electricity'!$E349&amp;$F349,'Emission factors'!$J$3:$J$201&amp;'Emission factors'!$K$3:$K$201,0),MATCH('Buildings - Grid Electricity'!T$6,'Emission factors'!$K$2:$V$2,0)))*$K349)</f>
        <v/>
      </c>
      <c r="U349" s="157" t="str" cm="1">
        <f t="array" ref="U349">IF(OR($E349="",$I349=""),"",(INDEX('Emission factors'!$K$3:$V$201,MATCH('Buildings - Grid Electricity'!$E349&amp;$F349,'Emission factors'!$J$3:$J$201&amp;'Emission factors'!$K$3:$K$201,0),MATCH('Buildings - Grid Electricity'!U$6,'Emission factors'!$K$2:$V$2,0)))*$K349)</f>
        <v/>
      </c>
      <c r="V349" s="158" t="str">
        <f>IF(OR($N349="",BuildingsElectricityTable[[#This Row],[RSD]]=""),"",BuildingsElectricityTable[[#This Row],[Total emissions (kgCO2e)]]*(1+BuildingsElectricityTable[[#This Row],[RSD]]))</f>
        <v/>
      </c>
      <c r="W349" s="159" t="str">
        <f>IF(OR($N349="",BuildingsElectricityTable[[#This Row],[RSD]]=""),"",BuildingsElectricityTable[[#This Row],[Total emissions (kgCO2e)]]*(1-BuildingsElectricityTable[[#This Row],[RSD]]))</f>
        <v/>
      </c>
      <c r="X349" s="169" t="str" cm="1">
        <f t="array" ref="X349">IF(OR($E349="",$I349=""),"",(INDEX('Emission factors'!$K$3:$V$201,MATCH('Buildings - Grid Electricity'!$E349&amp;$F349,'Emission factors'!$J$3:$J$201&amp;'Emission factors'!$K$3:$K$201,0),MATCH('Buildings - Grid Electricity'!X$6,'Emission factors'!$K$2:$V$2,0)))*$K349)</f>
        <v/>
      </c>
      <c r="Y349" s="30"/>
      <c r="Z349" s="1" cm="1">
        <f t="array" ref="Z349">IF(OR(ISERROR(B349:X349)),1,0)</f>
        <v>0</v>
      </c>
      <c r="AA349" s="1">
        <f t="shared" si="33"/>
        <v>0</v>
      </c>
    </row>
    <row r="350" spans="1:27" ht="15" outlineLevel="1" thickBot="1" x14ac:dyDescent="0.4">
      <c r="A350" s="319"/>
      <c r="B350" s="216"/>
      <c r="C350" s="216"/>
      <c r="D350" s="233" t="str">
        <f>IFERROR(INDEX(BuildingInformationTable[Site type],MATCH(BuildingsElectricityTable[[#This Row],[Site name]],BuildingInformationTable[Site name],0)),"")</f>
        <v/>
      </c>
      <c r="E350" s="311" t="str">
        <f t="shared" si="32"/>
        <v/>
      </c>
      <c r="F350" s="311" t="str">
        <f t="shared" si="0"/>
        <v/>
      </c>
      <c r="G350" s="72"/>
      <c r="H350" s="98" t="str">
        <f>IF(G350="","",INDEX(Lists!$BA$4:$BC$31,MATCH(E350,Lists!$AZ$4:$AZ$31,0),MATCH(G350,Lists!$BA$3:$BC$3,0)))</f>
        <v/>
      </c>
      <c r="I350" s="70"/>
      <c r="J350" s="311" t="str">
        <f t="shared" si="1"/>
        <v/>
      </c>
      <c r="K350" s="75" t="str" cm="1">
        <f t="array" ref="K350">IF(OR($E350="",$D350="",$I350="",$J350=""),"",IF(J350=L350,I350,(INDEX('Emission factors'!$K$3:$V$201,MATCH(E350&amp;F350,'Emission factors'!$J$3:$J$201&amp;'Emission factors'!$K$3:$K$201,0),MATCH(K$6,'Emission factors'!$K$2:$V$2,0)))*I350))</f>
        <v/>
      </c>
      <c r="L350" s="312" t="str">
        <f>IF(OR($E350="",$D350="",$I350="",$J350=""),"",INDEX('Emission factors'!$K$3:$V$201,MATCH('Buildings - Grid Electricity'!$E350,'Emission factors'!$J$3:$J$201,0),MATCH($L$6,'Emission factors'!$K$2:$V$2,0)))</f>
        <v/>
      </c>
      <c r="M350" s="313" t="str" cm="1">
        <f t="array" ref="M350">IF(OR(E350="",I350="",BuildingsElectricityTable[[#This Row],[Units]]=""),"",INDEX('Emission factors'!$K$3:$V$201,MATCH('Buildings - Grid Electricity'!$E350&amp;F350,'Emission factors'!$J$3:$J$201&amp;'Emission factors'!$K$3:$K$201,0),MATCH('Buildings - Grid Electricity'!$M$6,'Emission factors'!$K$2:$V$2,0)))</f>
        <v/>
      </c>
      <c r="N350" s="156" t="str">
        <f>IF(OR(K350="",M350=""),"",SUM(BuildingsElectricityTable[[#This Row],[Direct]:[Indirect WTT]]))</f>
        <v/>
      </c>
      <c r="O350" s="71"/>
      <c r="P350" s="72"/>
      <c r="Q350" s="157" t="str" cm="1">
        <f t="array" ref="Q350">IF(OR($E350="",$I350=""),"",(INDEX('Emission factors'!$K$3:$V$201,MATCH('Buildings - Grid Electricity'!$E350&amp;$F350,'Emission factors'!$J$3:$J$201&amp;'Emission factors'!$K$3:$K$201,0),MATCH('Buildings - Grid Electricity'!Q$6,'Emission factors'!$K$2:$V$2,0)))*$K350)</f>
        <v/>
      </c>
      <c r="R350" s="157" t="str" cm="1">
        <f t="array" ref="R350">IF(OR($E350="",$I350=""),"",(INDEX('Emission factors'!$K$3:$V$201,MATCH('Buildings - Grid Electricity'!$E350&amp;$F350,'Emission factors'!$J$3:$J$201&amp;'Emission factors'!$K$3:$K$201,0),MATCH('Buildings - Grid Electricity'!R$6,'Emission factors'!$K$2:$V$2,0)))*$K350)</f>
        <v/>
      </c>
      <c r="S350" s="157" t="str" cm="1">
        <f t="array" ref="S350">IF(OR($E350="",$I350=""),"",(INDEX('Emission factors'!$K$3:$V$201,MATCH('Buildings - Grid Electricity'!$E350&amp;$F350,'Emission factors'!$J$3:$J$201&amp;'Emission factors'!$K$3:$K$201,0),MATCH('Buildings - Grid Electricity'!S$6,'Emission factors'!$K$2:$V$2,0)))*$K350)</f>
        <v/>
      </c>
      <c r="T350" s="157" t="str" cm="1">
        <f t="array" ref="T350">IF(OR($E350="",$I350=""),"",(INDEX('Emission factors'!$K$3:$V$201,MATCH('Buildings - Grid Electricity'!$E350&amp;$F350,'Emission factors'!$J$3:$J$201&amp;'Emission factors'!$K$3:$K$201,0),MATCH('Buildings - Grid Electricity'!T$6,'Emission factors'!$K$2:$V$2,0)))*$K350)</f>
        <v/>
      </c>
      <c r="U350" s="157" t="str" cm="1">
        <f t="array" ref="U350">IF(OR($E350="",$I350=""),"",(INDEX('Emission factors'!$K$3:$V$201,MATCH('Buildings - Grid Electricity'!$E350&amp;$F350,'Emission factors'!$J$3:$J$201&amp;'Emission factors'!$K$3:$K$201,0),MATCH('Buildings - Grid Electricity'!U$6,'Emission factors'!$K$2:$V$2,0)))*$K350)</f>
        <v/>
      </c>
      <c r="V350" s="158" t="str">
        <f>IF(OR($N350="",BuildingsElectricityTable[[#This Row],[RSD]]=""),"",BuildingsElectricityTable[[#This Row],[Total emissions (kgCO2e)]]*(1+BuildingsElectricityTable[[#This Row],[RSD]]))</f>
        <v/>
      </c>
      <c r="W350" s="159" t="str">
        <f>IF(OR($N350="",BuildingsElectricityTable[[#This Row],[RSD]]=""),"",BuildingsElectricityTable[[#This Row],[Total emissions (kgCO2e)]]*(1-BuildingsElectricityTable[[#This Row],[RSD]]))</f>
        <v/>
      </c>
      <c r="X350" s="169" t="str" cm="1">
        <f t="array" ref="X350">IF(OR($E350="",$I350=""),"",(INDEX('Emission factors'!$K$3:$V$201,MATCH('Buildings - Grid Electricity'!$E350&amp;$F350,'Emission factors'!$J$3:$J$201&amp;'Emission factors'!$K$3:$K$201,0),MATCH('Buildings - Grid Electricity'!X$6,'Emission factors'!$K$2:$V$2,0)))*$K350)</f>
        <v/>
      </c>
      <c r="Y350" s="30"/>
      <c r="Z350" s="1" cm="1">
        <f t="array" ref="Z350">IF(OR(ISERROR(B350:X350)),1,0)</f>
        <v>0</v>
      </c>
      <c r="AA350" s="1">
        <f t="shared" si="33"/>
        <v>0</v>
      </c>
    </row>
    <row r="351" spans="1:27" ht="15" outlineLevel="1" thickBot="1" x14ac:dyDescent="0.4">
      <c r="A351" s="319"/>
      <c r="B351" s="216"/>
      <c r="C351" s="216"/>
      <c r="D351" s="233" t="str">
        <f>IFERROR(INDEX(BuildingInformationTable[Site type],MATCH(BuildingsElectricityTable[[#This Row],[Site name]],BuildingInformationTable[Site name],0)),"")</f>
        <v/>
      </c>
      <c r="E351" s="311" t="str">
        <f t="shared" si="32"/>
        <v/>
      </c>
      <c r="F351" s="311" t="str">
        <f t="shared" si="0"/>
        <v/>
      </c>
      <c r="G351" s="72"/>
      <c r="H351" s="98" t="str">
        <f>IF(G351="","",INDEX(Lists!$BA$4:$BC$31,MATCH(E351,Lists!$AZ$4:$AZ$31,0),MATCH(G351,Lists!$BA$3:$BC$3,0)))</f>
        <v/>
      </c>
      <c r="I351" s="70"/>
      <c r="J351" s="311" t="str">
        <f t="shared" si="1"/>
        <v/>
      </c>
      <c r="K351" s="75" t="str" cm="1">
        <f t="array" ref="K351">IF(OR($E351="",$D351="",$I351="",$J351=""),"",IF(J351=L351,I351,(INDEX('Emission factors'!$K$3:$V$201,MATCH(E351&amp;F351,'Emission factors'!$J$3:$J$201&amp;'Emission factors'!$K$3:$K$201,0),MATCH(K$6,'Emission factors'!$K$2:$V$2,0)))*I351))</f>
        <v/>
      </c>
      <c r="L351" s="312" t="str">
        <f>IF(OR($E351="",$D351="",$I351="",$J351=""),"",INDEX('Emission factors'!$K$3:$V$201,MATCH('Buildings - Grid Electricity'!$E351,'Emission factors'!$J$3:$J$201,0),MATCH($L$6,'Emission factors'!$K$2:$V$2,0)))</f>
        <v/>
      </c>
      <c r="M351" s="313" t="str" cm="1">
        <f t="array" ref="M351">IF(OR(E351="",I351="",BuildingsElectricityTable[[#This Row],[Units]]=""),"",INDEX('Emission factors'!$K$3:$V$201,MATCH('Buildings - Grid Electricity'!$E351&amp;F351,'Emission factors'!$J$3:$J$201&amp;'Emission factors'!$K$3:$K$201,0),MATCH('Buildings - Grid Electricity'!$M$6,'Emission factors'!$K$2:$V$2,0)))</f>
        <v/>
      </c>
      <c r="N351" s="156" t="str">
        <f>IF(OR(K351="",M351=""),"",SUM(BuildingsElectricityTable[[#This Row],[Direct]:[Indirect WTT]]))</f>
        <v/>
      </c>
      <c r="O351" s="71"/>
      <c r="P351" s="72"/>
      <c r="Q351" s="157" t="str" cm="1">
        <f t="array" ref="Q351">IF(OR($E351="",$I351=""),"",(INDEX('Emission factors'!$K$3:$V$201,MATCH('Buildings - Grid Electricity'!$E351&amp;$F351,'Emission factors'!$J$3:$J$201&amp;'Emission factors'!$K$3:$K$201,0),MATCH('Buildings - Grid Electricity'!Q$6,'Emission factors'!$K$2:$V$2,0)))*$K351)</f>
        <v/>
      </c>
      <c r="R351" s="157" t="str" cm="1">
        <f t="array" ref="R351">IF(OR($E351="",$I351=""),"",(INDEX('Emission factors'!$K$3:$V$201,MATCH('Buildings - Grid Electricity'!$E351&amp;$F351,'Emission factors'!$J$3:$J$201&amp;'Emission factors'!$K$3:$K$201,0),MATCH('Buildings - Grid Electricity'!R$6,'Emission factors'!$K$2:$V$2,0)))*$K351)</f>
        <v/>
      </c>
      <c r="S351" s="157" t="str" cm="1">
        <f t="array" ref="S351">IF(OR($E351="",$I351=""),"",(INDEX('Emission factors'!$K$3:$V$201,MATCH('Buildings - Grid Electricity'!$E351&amp;$F351,'Emission factors'!$J$3:$J$201&amp;'Emission factors'!$K$3:$K$201,0),MATCH('Buildings - Grid Electricity'!S$6,'Emission factors'!$K$2:$V$2,0)))*$K351)</f>
        <v/>
      </c>
      <c r="T351" s="157" t="str" cm="1">
        <f t="array" ref="T351">IF(OR($E351="",$I351=""),"",(INDEX('Emission factors'!$K$3:$V$201,MATCH('Buildings - Grid Electricity'!$E351&amp;$F351,'Emission factors'!$J$3:$J$201&amp;'Emission factors'!$K$3:$K$201,0),MATCH('Buildings - Grid Electricity'!T$6,'Emission factors'!$K$2:$V$2,0)))*$K351)</f>
        <v/>
      </c>
      <c r="U351" s="157" t="str" cm="1">
        <f t="array" ref="U351">IF(OR($E351="",$I351=""),"",(INDEX('Emission factors'!$K$3:$V$201,MATCH('Buildings - Grid Electricity'!$E351&amp;$F351,'Emission factors'!$J$3:$J$201&amp;'Emission factors'!$K$3:$K$201,0),MATCH('Buildings - Grid Electricity'!U$6,'Emission factors'!$K$2:$V$2,0)))*$K351)</f>
        <v/>
      </c>
      <c r="V351" s="158" t="str">
        <f>IF(OR($N351="",BuildingsElectricityTable[[#This Row],[RSD]]=""),"",BuildingsElectricityTable[[#This Row],[Total emissions (kgCO2e)]]*(1+BuildingsElectricityTable[[#This Row],[RSD]]))</f>
        <v/>
      </c>
      <c r="W351" s="159" t="str">
        <f>IF(OR($N351="",BuildingsElectricityTable[[#This Row],[RSD]]=""),"",BuildingsElectricityTable[[#This Row],[Total emissions (kgCO2e)]]*(1-BuildingsElectricityTable[[#This Row],[RSD]]))</f>
        <v/>
      </c>
      <c r="X351" s="169" t="str" cm="1">
        <f t="array" ref="X351">IF(OR($E351="",$I351=""),"",(INDEX('Emission factors'!$K$3:$V$201,MATCH('Buildings - Grid Electricity'!$E351&amp;$F351,'Emission factors'!$J$3:$J$201&amp;'Emission factors'!$K$3:$K$201,0),MATCH('Buildings - Grid Electricity'!X$6,'Emission factors'!$K$2:$V$2,0)))*$K351)</f>
        <v/>
      </c>
      <c r="Y351" s="30"/>
      <c r="Z351" s="1" cm="1">
        <f t="array" ref="Z351">IF(OR(ISERROR(B351:X351)),1,0)</f>
        <v>0</v>
      </c>
      <c r="AA351" s="1">
        <f t="shared" si="33"/>
        <v>0</v>
      </c>
    </row>
    <row r="352" spans="1:27" ht="15" outlineLevel="1" thickBot="1" x14ac:dyDescent="0.4">
      <c r="A352" s="319"/>
      <c r="B352" s="216"/>
      <c r="C352" s="216"/>
      <c r="D352" s="233" t="str">
        <f>IFERROR(INDEX(BuildingInformationTable[Site type],MATCH(BuildingsElectricityTable[[#This Row],[Site name]],BuildingInformationTable[Site name],0)),"")</f>
        <v/>
      </c>
      <c r="E352" s="311" t="str">
        <f t="shared" si="32"/>
        <v/>
      </c>
      <c r="F352" s="311" t="str">
        <f t="shared" si="0"/>
        <v/>
      </c>
      <c r="G352" s="72"/>
      <c r="H352" s="98" t="str">
        <f>IF(G352="","",INDEX(Lists!$BA$4:$BC$31,MATCH(E352,Lists!$AZ$4:$AZ$31,0),MATCH(G352,Lists!$BA$3:$BC$3,0)))</f>
        <v/>
      </c>
      <c r="I352" s="70"/>
      <c r="J352" s="311" t="str">
        <f t="shared" si="1"/>
        <v/>
      </c>
      <c r="K352" s="75" t="str" cm="1">
        <f t="array" ref="K352">IF(OR($E352="",$D352="",$I352="",$J352=""),"",IF(J352=L352,I352,(INDEX('Emission factors'!$K$3:$V$201,MATCH(E352&amp;F352,'Emission factors'!$J$3:$J$201&amp;'Emission factors'!$K$3:$K$201,0),MATCH(K$6,'Emission factors'!$K$2:$V$2,0)))*I352))</f>
        <v/>
      </c>
      <c r="L352" s="312" t="str">
        <f>IF(OR($E352="",$D352="",$I352="",$J352=""),"",INDEX('Emission factors'!$K$3:$V$201,MATCH('Buildings - Grid Electricity'!$E352,'Emission factors'!$J$3:$J$201,0),MATCH($L$6,'Emission factors'!$K$2:$V$2,0)))</f>
        <v/>
      </c>
      <c r="M352" s="313" t="str" cm="1">
        <f t="array" ref="M352">IF(OR(E352="",I352="",BuildingsElectricityTable[[#This Row],[Units]]=""),"",INDEX('Emission factors'!$K$3:$V$201,MATCH('Buildings - Grid Electricity'!$E352&amp;F352,'Emission factors'!$J$3:$J$201&amp;'Emission factors'!$K$3:$K$201,0),MATCH('Buildings - Grid Electricity'!$M$6,'Emission factors'!$K$2:$V$2,0)))</f>
        <v/>
      </c>
      <c r="N352" s="156" t="str">
        <f>IF(OR(K352="",M352=""),"",SUM(BuildingsElectricityTable[[#This Row],[Direct]:[Indirect WTT]]))</f>
        <v/>
      </c>
      <c r="O352" s="71"/>
      <c r="P352" s="72"/>
      <c r="Q352" s="157" t="str" cm="1">
        <f t="array" ref="Q352">IF(OR($E352="",$I352=""),"",(INDEX('Emission factors'!$K$3:$V$201,MATCH('Buildings - Grid Electricity'!$E352&amp;$F352,'Emission factors'!$J$3:$J$201&amp;'Emission factors'!$K$3:$K$201,0),MATCH('Buildings - Grid Electricity'!Q$6,'Emission factors'!$K$2:$V$2,0)))*$K352)</f>
        <v/>
      </c>
      <c r="R352" s="157" t="str" cm="1">
        <f t="array" ref="R352">IF(OR($E352="",$I352=""),"",(INDEX('Emission factors'!$K$3:$V$201,MATCH('Buildings - Grid Electricity'!$E352&amp;$F352,'Emission factors'!$J$3:$J$201&amp;'Emission factors'!$K$3:$K$201,0),MATCH('Buildings - Grid Electricity'!R$6,'Emission factors'!$K$2:$V$2,0)))*$K352)</f>
        <v/>
      </c>
      <c r="S352" s="157" t="str" cm="1">
        <f t="array" ref="S352">IF(OR($E352="",$I352=""),"",(INDEX('Emission factors'!$K$3:$V$201,MATCH('Buildings - Grid Electricity'!$E352&amp;$F352,'Emission factors'!$J$3:$J$201&amp;'Emission factors'!$K$3:$K$201,0),MATCH('Buildings - Grid Electricity'!S$6,'Emission factors'!$K$2:$V$2,0)))*$K352)</f>
        <v/>
      </c>
      <c r="T352" s="157" t="str" cm="1">
        <f t="array" ref="T352">IF(OR($E352="",$I352=""),"",(INDEX('Emission factors'!$K$3:$V$201,MATCH('Buildings - Grid Electricity'!$E352&amp;$F352,'Emission factors'!$J$3:$J$201&amp;'Emission factors'!$K$3:$K$201,0),MATCH('Buildings - Grid Electricity'!T$6,'Emission factors'!$K$2:$V$2,0)))*$K352)</f>
        <v/>
      </c>
      <c r="U352" s="157" t="str" cm="1">
        <f t="array" ref="U352">IF(OR($E352="",$I352=""),"",(INDEX('Emission factors'!$K$3:$V$201,MATCH('Buildings - Grid Electricity'!$E352&amp;$F352,'Emission factors'!$J$3:$J$201&amp;'Emission factors'!$K$3:$K$201,0),MATCH('Buildings - Grid Electricity'!U$6,'Emission factors'!$K$2:$V$2,0)))*$K352)</f>
        <v/>
      </c>
      <c r="V352" s="158" t="str">
        <f>IF(OR($N352="",BuildingsElectricityTable[[#This Row],[RSD]]=""),"",BuildingsElectricityTable[[#This Row],[Total emissions (kgCO2e)]]*(1+BuildingsElectricityTable[[#This Row],[RSD]]))</f>
        <v/>
      </c>
      <c r="W352" s="159" t="str">
        <f>IF(OR($N352="",BuildingsElectricityTable[[#This Row],[RSD]]=""),"",BuildingsElectricityTable[[#This Row],[Total emissions (kgCO2e)]]*(1-BuildingsElectricityTable[[#This Row],[RSD]]))</f>
        <v/>
      </c>
      <c r="X352" s="169" t="str" cm="1">
        <f t="array" ref="X352">IF(OR($E352="",$I352=""),"",(INDEX('Emission factors'!$K$3:$V$201,MATCH('Buildings - Grid Electricity'!$E352&amp;$F352,'Emission factors'!$J$3:$J$201&amp;'Emission factors'!$K$3:$K$201,0),MATCH('Buildings - Grid Electricity'!X$6,'Emission factors'!$K$2:$V$2,0)))*$K352)</f>
        <v/>
      </c>
      <c r="Y352" s="30"/>
      <c r="Z352" s="1" cm="1">
        <f t="array" ref="Z352">IF(OR(ISERROR(B352:X352)),1,0)</f>
        <v>0</v>
      </c>
      <c r="AA352" s="1">
        <f t="shared" si="33"/>
        <v>0</v>
      </c>
    </row>
    <row r="353" spans="1:27" ht="15" outlineLevel="1" thickBot="1" x14ac:dyDescent="0.4">
      <c r="A353" s="319"/>
      <c r="B353" s="216"/>
      <c r="C353" s="216"/>
      <c r="D353" s="233" t="str">
        <f>IFERROR(INDEX(BuildingInformationTable[Site type],MATCH(BuildingsElectricityTable[[#This Row],[Site name]],BuildingInformationTable[Site name],0)),"")</f>
        <v/>
      </c>
      <c r="E353" s="311" t="str">
        <f t="shared" si="32"/>
        <v/>
      </c>
      <c r="F353" s="311" t="str">
        <f t="shared" si="0"/>
        <v/>
      </c>
      <c r="G353" s="72"/>
      <c r="H353" s="98" t="str">
        <f>IF(G353="","",INDEX(Lists!$BA$4:$BC$31,MATCH(E353,Lists!$AZ$4:$AZ$31,0),MATCH(G353,Lists!$BA$3:$BC$3,0)))</f>
        <v/>
      </c>
      <c r="I353" s="70"/>
      <c r="J353" s="311" t="str">
        <f t="shared" si="1"/>
        <v/>
      </c>
      <c r="K353" s="75" t="str" cm="1">
        <f t="array" ref="K353">IF(OR($E353="",$D353="",$I353="",$J353=""),"",IF(J353=L353,I353,(INDEX('Emission factors'!$K$3:$V$201,MATCH(E353&amp;F353,'Emission factors'!$J$3:$J$201&amp;'Emission factors'!$K$3:$K$201,0),MATCH(K$6,'Emission factors'!$K$2:$V$2,0)))*I353))</f>
        <v/>
      </c>
      <c r="L353" s="312" t="str">
        <f>IF(OR($E353="",$D353="",$I353="",$J353=""),"",INDEX('Emission factors'!$K$3:$V$201,MATCH('Buildings - Grid Electricity'!$E353,'Emission factors'!$J$3:$J$201,0),MATCH($L$6,'Emission factors'!$K$2:$V$2,0)))</f>
        <v/>
      </c>
      <c r="M353" s="313" t="str" cm="1">
        <f t="array" ref="M353">IF(OR(E353="",I353="",BuildingsElectricityTable[[#This Row],[Units]]=""),"",INDEX('Emission factors'!$K$3:$V$201,MATCH('Buildings - Grid Electricity'!$E353&amp;F353,'Emission factors'!$J$3:$J$201&amp;'Emission factors'!$K$3:$K$201,0),MATCH('Buildings - Grid Electricity'!$M$6,'Emission factors'!$K$2:$V$2,0)))</f>
        <v/>
      </c>
      <c r="N353" s="156" t="str">
        <f>IF(OR(K353="",M353=""),"",SUM(BuildingsElectricityTable[[#This Row],[Direct]:[Indirect WTT]]))</f>
        <v/>
      </c>
      <c r="O353" s="71"/>
      <c r="P353" s="72"/>
      <c r="Q353" s="157" t="str" cm="1">
        <f t="array" ref="Q353">IF(OR($E353="",$I353=""),"",(INDEX('Emission factors'!$K$3:$V$201,MATCH('Buildings - Grid Electricity'!$E353&amp;$F353,'Emission factors'!$J$3:$J$201&amp;'Emission factors'!$K$3:$K$201,0),MATCH('Buildings - Grid Electricity'!Q$6,'Emission factors'!$K$2:$V$2,0)))*$K353)</f>
        <v/>
      </c>
      <c r="R353" s="157" t="str" cm="1">
        <f t="array" ref="R353">IF(OR($E353="",$I353=""),"",(INDEX('Emission factors'!$K$3:$V$201,MATCH('Buildings - Grid Electricity'!$E353&amp;$F353,'Emission factors'!$J$3:$J$201&amp;'Emission factors'!$K$3:$K$201,0),MATCH('Buildings - Grid Electricity'!R$6,'Emission factors'!$K$2:$V$2,0)))*$K353)</f>
        <v/>
      </c>
      <c r="S353" s="157" t="str" cm="1">
        <f t="array" ref="S353">IF(OR($E353="",$I353=""),"",(INDEX('Emission factors'!$K$3:$V$201,MATCH('Buildings - Grid Electricity'!$E353&amp;$F353,'Emission factors'!$J$3:$J$201&amp;'Emission factors'!$K$3:$K$201,0),MATCH('Buildings - Grid Electricity'!S$6,'Emission factors'!$K$2:$V$2,0)))*$K353)</f>
        <v/>
      </c>
      <c r="T353" s="157" t="str" cm="1">
        <f t="array" ref="T353">IF(OR($E353="",$I353=""),"",(INDEX('Emission factors'!$K$3:$V$201,MATCH('Buildings - Grid Electricity'!$E353&amp;$F353,'Emission factors'!$J$3:$J$201&amp;'Emission factors'!$K$3:$K$201,0),MATCH('Buildings - Grid Electricity'!T$6,'Emission factors'!$K$2:$V$2,0)))*$K353)</f>
        <v/>
      </c>
      <c r="U353" s="157" t="str" cm="1">
        <f t="array" ref="U353">IF(OR($E353="",$I353=""),"",(INDEX('Emission factors'!$K$3:$V$201,MATCH('Buildings - Grid Electricity'!$E353&amp;$F353,'Emission factors'!$J$3:$J$201&amp;'Emission factors'!$K$3:$K$201,0),MATCH('Buildings - Grid Electricity'!U$6,'Emission factors'!$K$2:$V$2,0)))*$K353)</f>
        <v/>
      </c>
      <c r="V353" s="158" t="str">
        <f>IF(OR($N353="",BuildingsElectricityTable[[#This Row],[RSD]]=""),"",BuildingsElectricityTable[[#This Row],[Total emissions (kgCO2e)]]*(1+BuildingsElectricityTable[[#This Row],[RSD]]))</f>
        <v/>
      </c>
      <c r="W353" s="159" t="str">
        <f>IF(OR($N353="",BuildingsElectricityTable[[#This Row],[RSD]]=""),"",BuildingsElectricityTable[[#This Row],[Total emissions (kgCO2e)]]*(1-BuildingsElectricityTable[[#This Row],[RSD]]))</f>
        <v/>
      </c>
      <c r="X353" s="169" t="str" cm="1">
        <f t="array" ref="X353">IF(OR($E353="",$I353=""),"",(INDEX('Emission factors'!$K$3:$V$201,MATCH('Buildings - Grid Electricity'!$E353&amp;$F353,'Emission factors'!$J$3:$J$201&amp;'Emission factors'!$K$3:$K$201,0),MATCH('Buildings - Grid Electricity'!X$6,'Emission factors'!$K$2:$V$2,0)))*$K353)</f>
        <v/>
      </c>
      <c r="Y353" s="30"/>
      <c r="Z353" s="1" cm="1">
        <f t="array" ref="Z353">IF(OR(ISERROR(B353:X353)),1,0)</f>
        <v>0</v>
      </c>
      <c r="AA353" s="1">
        <f t="shared" si="33"/>
        <v>0</v>
      </c>
    </row>
    <row r="354" spans="1:27" ht="15" outlineLevel="1" thickBot="1" x14ac:dyDescent="0.4">
      <c r="A354" s="319"/>
      <c r="B354" s="216"/>
      <c r="C354" s="216"/>
      <c r="D354" s="233" t="str">
        <f>IFERROR(INDEX(BuildingInformationTable[Site type],MATCH(BuildingsElectricityTable[[#This Row],[Site name]],BuildingInformationTable[Site name],0)),"")</f>
        <v/>
      </c>
      <c r="E354" s="311" t="str">
        <f t="shared" si="32"/>
        <v/>
      </c>
      <c r="F354" s="311" t="str">
        <f t="shared" si="0"/>
        <v/>
      </c>
      <c r="G354" s="72"/>
      <c r="H354" s="98" t="str">
        <f>IF(G354="","",INDEX(Lists!$BA$4:$BC$31,MATCH(E354,Lists!$AZ$4:$AZ$31,0),MATCH(G354,Lists!$BA$3:$BC$3,0)))</f>
        <v/>
      </c>
      <c r="I354" s="70"/>
      <c r="J354" s="311" t="str">
        <f t="shared" si="1"/>
        <v/>
      </c>
      <c r="K354" s="75" t="str" cm="1">
        <f t="array" ref="K354">IF(OR($E354="",$D354="",$I354="",$J354=""),"",IF(J354=L354,I354,(INDEX('Emission factors'!$K$3:$V$201,MATCH(E354&amp;F354,'Emission factors'!$J$3:$J$201&amp;'Emission factors'!$K$3:$K$201,0),MATCH(K$6,'Emission factors'!$K$2:$V$2,0)))*I354))</f>
        <v/>
      </c>
      <c r="L354" s="312" t="str">
        <f>IF(OR($E354="",$D354="",$I354="",$J354=""),"",INDEX('Emission factors'!$K$3:$V$201,MATCH('Buildings - Grid Electricity'!$E354,'Emission factors'!$J$3:$J$201,0),MATCH($L$6,'Emission factors'!$K$2:$V$2,0)))</f>
        <v/>
      </c>
      <c r="M354" s="313" t="str" cm="1">
        <f t="array" ref="M354">IF(OR(E354="",I354="",BuildingsElectricityTable[[#This Row],[Units]]=""),"",INDEX('Emission factors'!$K$3:$V$201,MATCH('Buildings - Grid Electricity'!$E354&amp;F354,'Emission factors'!$J$3:$J$201&amp;'Emission factors'!$K$3:$K$201,0),MATCH('Buildings - Grid Electricity'!$M$6,'Emission factors'!$K$2:$V$2,0)))</f>
        <v/>
      </c>
      <c r="N354" s="156" t="str">
        <f>IF(OR(K354="",M354=""),"",SUM(BuildingsElectricityTable[[#This Row],[Direct]:[Indirect WTT]]))</f>
        <v/>
      </c>
      <c r="O354" s="71"/>
      <c r="P354" s="72"/>
      <c r="Q354" s="157" t="str" cm="1">
        <f t="array" ref="Q354">IF(OR($E354="",$I354=""),"",(INDEX('Emission factors'!$K$3:$V$201,MATCH('Buildings - Grid Electricity'!$E354&amp;$F354,'Emission factors'!$J$3:$J$201&amp;'Emission factors'!$K$3:$K$201,0),MATCH('Buildings - Grid Electricity'!Q$6,'Emission factors'!$K$2:$V$2,0)))*$K354)</f>
        <v/>
      </c>
      <c r="R354" s="157" t="str" cm="1">
        <f t="array" ref="R354">IF(OR($E354="",$I354=""),"",(INDEX('Emission factors'!$K$3:$V$201,MATCH('Buildings - Grid Electricity'!$E354&amp;$F354,'Emission factors'!$J$3:$J$201&amp;'Emission factors'!$K$3:$K$201,0),MATCH('Buildings - Grid Electricity'!R$6,'Emission factors'!$K$2:$V$2,0)))*$K354)</f>
        <v/>
      </c>
      <c r="S354" s="157" t="str" cm="1">
        <f t="array" ref="S354">IF(OR($E354="",$I354=""),"",(INDEX('Emission factors'!$K$3:$V$201,MATCH('Buildings - Grid Electricity'!$E354&amp;$F354,'Emission factors'!$J$3:$J$201&amp;'Emission factors'!$K$3:$K$201,0),MATCH('Buildings - Grid Electricity'!S$6,'Emission factors'!$K$2:$V$2,0)))*$K354)</f>
        <v/>
      </c>
      <c r="T354" s="157" t="str" cm="1">
        <f t="array" ref="T354">IF(OR($E354="",$I354=""),"",(INDEX('Emission factors'!$K$3:$V$201,MATCH('Buildings - Grid Electricity'!$E354&amp;$F354,'Emission factors'!$J$3:$J$201&amp;'Emission factors'!$K$3:$K$201,0),MATCH('Buildings - Grid Electricity'!T$6,'Emission factors'!$K$2:$V$2,0)))*$K354)</f>
        <v/>
      </c>
      <c r="U354" s="157" t="str" cm="1">
        <f t="array" ref="U354">IF(OR($E354="",$I354=""),"",(INDEX('Emission factors'!$K$3:$V$201,MATCH('Buildings - Grid Electricity'!$E354&amp;$F354,'Emission factors'!$J$3:$J$201&amp;'Emission factors'!$K$3:$K$201,0),MATCH('Buildings - Grid Electricity'!U$6,'Emission factors'!$K$2:$V$2,0)))*$K354)</f>
        <v/>
      </c>
      <c r="V354" s="158" t="str">
        <f>IF(OR($N354="",BuildingsElectricityTable[[#This Row],[RSD]]=""),"",BuildingsElectricityTable[[#This Row],[Total emissions (kgCO2e)]]*(1+BuildingsElectricityTable[[#This Row],[RSD]]))</f>
        <v/>
      </c>
      <c r="W354" s="159" t="str">
        <f>IF(OR($N354="",BuildingsElectricityTable[[#This Row],[RSD]]=""),"",BuildingsElectricityTable[[#This Row],[Total emissions (kgCO2e)]]*(1-BuildingsElectricityTable[[#This Row],[RSD]]))</f>
        <v/>
      </c>
      <c r="X354" s="169" t="str" cm="1">
        <f t="array" ref="X354">IF(OR($E354="",$I354=""),"",(INDEX('Emission factors'!$K$3:$V$201,MATCH('Buildings - Grid Electricity'!$E354&amp;$F354,'Emission factors'!$J$3:$J$201&amp;'Emission factors'!$K$3:$K$201,0),MATCH('Buildings - Grid Electricity'!X$6,'Emission factors'!$K$2:$V$2,0)))*$K354)</f>
        <v/>
      </c>
      <c r="Y354" s="30"/>
      <c r="Z354" s="1" cm="1">
        <f t="array" ref="Z354">IF(OR(ISERROR(B354:X354)),1,0)</f>
        <v>0</v>
      </c>
      <c r="AA354" s="1">
        <f t="shared" si="33"/>
        <v>0</v>
      </c>
    </row>
    <row r="355" spans="1:27" ht="15" outlineLevel="1" thickBot="1" x14ac:dyDescent="0.4">
      <c r="A355" s="319"/>
      <c r="B355" s="216"/>
      <c r="C355" s="216"/>
      <c r="D355" s="233" t="str">
        <f>IFERROR(INDEX(BuildingInformationTable[Site type],MATCH(BuildingsElectricityTable[[#This Row],[Site name]],BuildingInformationTable[Site name],0)),"")</f>
        <v/>
      </c>
      <c r="E355" s="311" t="str">
        <f t="shared" si="32"/>
        <v/>
      </c>
      <c r="F355" s="311" t="str">
        <f t="shared" si="0"/>
        <v/>
      </c>
      <c r="G355" s="72"/>
      <c r="H355" s="98" t="str">
        <f>IF(G355="","",INDEX(Lists!$BA$4:$BC$31,MATCH(E355,Lists!$AZ$4:$AZ$31,0),MATCH(G355,Lists!$BA$3:$BC$3,0)))</f>
        <v/>
      </c>
      <c r="I355" s="70"/>
      <c r="J355" s="311" t="str">
        <f t="shared" si="1"/>
        <v/>
      </c>
      <c r="K355" s="75" t="str" cm="1">
        <f t="array" ref="K355">IF(OR($E355="",$D355="",$I355="",$J355=""),"",IF(J355=L355,I355,(INDEX('Emission factors'!$K$3:$V$201,MATCH(E355&amp;F355,'Emission factors'!$J$3:$J$201&amp;'Emission factors'!$K$3:$K$201,0),MATCH(K$6,'Emission factors'!$K$2:$V$2,0)))*I355))</f>
        <v/>
      </c>
      <c r="L355" s="312" t="str">
        <f>IF(OR($E355="",$D355="",$I355="",$J355=""),"",INDEX('Emission factors'!$K$3:$V$201,MATCH('Buildings - Grid Electricity'!$E355,'Emission factors'!$J$3:$J$201,0),MATCH($L$6,'Emission factors'!$K$2:$V$2,0)))</f>
        <v/>
      </c>
      <c r="M355" s="313" t="str" cm="1">
        <f t="array" ref="M355">IF(OR(E355="",I355="",BuildingsElectricityTable[[#This Row],[Units]]=""),"",INDEX('Emission factors'!$K$3:$V$201,MATCH('Buildings - Grid Electricity'!$E355&amp;F355,'Emission factors'!$J$3:$J$201&amp;'Emission factors'!$K$3:$K$201,0),MATCH('Buildings - Grid Electricity'!$M$6,'Emission factors'!$K$2:$V$2,0)))</f>
        <v/>
      </c>
      <c r="N355" s="156" t="str">
        <f>IF(OR(K355="",M355=""),"",SUM(BuildingsElectricityTable[[#This Row],[Direct]:[Indirect WTT]]))</f>
        <v/>
      </c>
      <c r="O355" s="71"/>
      <c r="P355" s="72"/>
      <c r="Q355" s="157" t="str" cm="1">
        <f t="array" ref="Q355">IF(OR($E355="",$I355=""),"",(INDEX('Emission factors'!$K$3:$V$201,MATCH('Buildings - Grid Electricity'!$E355&amp;$F355,'Emission factors'!$J$3:$J$201&amp;'Emission factors'!$K$3:$K$201,0),MATCH('Buildings - Grid Electricity'!Q$6,'Emission factors'!$K$2:$V$2,0)))*$K355)</f>
        <v/>
      </c>
      <c r="R355" s="157" t="str" cm="1">
        <f t="array" ref="R355">IF(OR($E355="",$I355=""),"",(INDEX('Emission factors'!$K$3:$V$201,MATCH('Buildings - Grid Electricity'!$E355&amp;$F355,'Emission factors'!$J$3:$J$201&amp;'Emission factors'!$K$3:$K$201,0),MATCH('Buildings - Grid Electricity'!R$6,'Emission factors'!$K$2:$V$2,0)))*$K355)</f>
        <v/>
      </c>
      <c r="S355" s="157" t="str" cm="1">
        <f t="array" ref="S355">IF(OR($E355="",$I355=""),"",(INDEX('Emission factors'!$K$3:$V$201,MATCH('Buildings - Grid Electricity'!$E355&amp;$F355,'Emission factors'!$J$3:$J$201&amp;'Emission factors'!$K$3:$K$201,0),MATCH('Buildings - Grid Electricity'!S$6,'Emission factors'!$K$2:$V$2,0)))*$K355)</f>
        <v/>
      </c>
      <c r="T355" s="157" t="str" cm="1">
        <f t="array" ref="T355">IF(OR($E355="",$I355=""),"",(INDEX('Emission factors'!$K$3:$V$201,MATCH('Buildings - Grid Electricity'!$E355&amp;$F355,'Emission factors'!$J$3:$J$201&amp;'Emission factors'!$K$3:$K$201,0),MATCH('Buildings - Grid Electricity'!T$6,'Emission factors'!$K$2:$V$2,0)))*$K355)</f>
        <v/>
      </c>
      <c r="U355" s="157" t="str" cm="1">
        <f t="array" ref="U355">IF(OR($E355="",$I355=""),"",(INDEX('Emission factors'!$K$3:$V$201,MATCH('Buildings - Grid Electricity'!$E355&amp;$F355,'Emission factors'!$J$3:$J$201&amp;'Emission factors'!$K$3:$K$201,0),MATCH('Buildings - Grid Electricity'!U$6,'Emission factors'!$K$2:$V$2,0)))*$K355)</f>
        <v/>
      </c>
      <c r="V355" s="158" t="str">
        <f>IF(OR($N355="",BuildingsElectricityTable[[#This Row],[RSD]]=""),"",BuildingsElectricityTable[[#This Row],[Total emissions (kgCO2e)]]*(1+BuildingsElectricityTable[[#This Row],[RSD]]))</f>
        <v/>
      </c>
      <c r="W355" s="159" t="str">
        <f>IF(OR($N355="",BuildingsElectricityTable[[#This Row],[RSD]]=""),"",BuildingsElectricityTable[[#This Row],[Total emissions (kgCO2e)]]*(1-BuildingsElectricityTable[[#This Row],[RSD]]))</f>
        <v/>
      </c>
      <c r="X355" s="169" t="str" cm="1">
        <f t="array" ref="X355">IF(OR($E355="",$I355=""),"",(INDEX('Emission factors'!$K$3:$V$201,MATCH('Buildings - Grid Electricity'!$E355&amp;$F355,'Emission factors'!$J$3:$J$201&amp;'Emission factors'!$K$3:$K$201,0),MATCH('Buildings - Grid Electricity'!X$6,'Emission factors'!$K$2:$V$2,0)))*$K355)</f>
        <v/>
      </c>
      <c r="Y355" s="30"/>
      <c r="Z355" s="1" cm="1">
        <f t="array" ref="Z355">IF(OR(ISERROR(B355:X355)),1,0)</f>
        <v>0</v>
      </c>
      <c r="AA355" s="1">
        <f t="shared" si="33"/>
        <v>0</v>
      </c>
    </row>
    <row r="356" spans="1:27" ht="15" outlineLevel="1" thickBot="1" x14ac:dyDescent="0.4">
      <c r="A356" s="319"/>
      <c r="B356" s="216"/>
      <c r="C356" s="216"/>
      <c r="D356" s="233" t="str">
        <f>IFERROR(INDEX(BuildingInformationTable[Site type],MATCH(BuildingsElectricityTable[[#This Row],[Site name]],BuildingInformationTable[Site name],0)),"")</f>
        <v/>
      </c>
      <c r="E356" s="311" t="str">
        <f t="shared" si="32"/>
        <v/>
      </c>
      <c r="F356" s="311" t="str">
        <f t="shared" si="0"/>
        <v/>
      </c>
      <c r="G356" s="72"/>
      <c r="H356" s="98" t="str">
        <f>IF(G356="","",INDEX(Lists!$BA$4:$BC$31,MATCH(E356,Lists!$AZ$4:$AZ$31,0),MATCH(G356,Lists!$BA$3:$BC$3,0)))</f>
        <v/>
      </c>
      <c r="I356" s="70"/>
      <c r="J356" s="311" t="str">
        <f t="shared" si="1"/>
        <v/>
      </c>
      <c r="K356" s="75" t="str" cm="1">
        <f t="array" ref="K356">IF(OR($E356="",$D356="",$I356="",$J356=""),"",IF(J356=L356,I356,(INDEX('Emission factors'!$K$3:$V$201,MATCH(E356&amp;F356,'Emission factors'!$J$3:$J$201&amp;'Emission factors'!$K$3:$K$201,0),MATCH(K$6,'Emission factors'!$K$2:$V$2,0)))*I356))</f>
        <v/>
      </c>
      <c r="L356" s="312" t="str">
        <f>IF(OR($E356="",$D356="",$I356="",$J356=""),"",INDEX('Emission factors'!$K$3:$V$201,MATCH('Buildings - Grid Electricity'!$E356,'Emission factors'!$J$3:$J$201,0),MATCH($L$6,'Emission factors'!$K$2:$V$2,0)))</f>
        <v/>
      </c>
      <c r="M356" s="313" t="str" cm="1">
        <f t="array" ref="M356">IF(OR(E356="",I356="",BuildingsElectricityTable[[#This Row],[Units]]=""),"",INDEX('Emission factors'!$K$3:$V$201,MATCH('Buildings - Grid Electricity'!$E356&amp;F356,'Emission factors'!$J$3:$J$201&amp;'Emission factors'!$K$3:$K$201,0),MATCH('Buildings - Grid Electricity'!$M$6,'Emission factors'!$K$2:$V$2,0)))</f>
        <v/>
      </c>
      <c r="N356" s="156" t="str">
        <f>IF(OR(K356="",M356=""),"",SUM(BuildingsElectricityTable[[#This Row],[Direct]:[Indirect WTT]]))</f>
        <v/>
      </c>
      <c r="O356" s="71"/>
      <c r="P356" s="72"/>
      <c r="Q356" s="157" t="str" cm="1">
        <f t="array" ref="Q356">IF(OR($E356="",$I356=""),"",(INDEX('Emission factors'!$K$3:$V$201,MATCH('Buildings - Grid Electricity'!$E356&amp;$F356,'Emission factors'!$J$3:$J$201&amp;'Emission factors'!$K$3:$K$201,0),MATCH('Buildings - Grid Electricity'!Q$6,'Emission factors'!$K$2:$V$2,0)))*$K356)</f>
        <v/>
      </c>
      <c r="R356" s="157" t="str" cm="1">
        <f t="array" ref="R356">IF(OR($E356="",$I356=""),"",(INDEX('Emission factors'!$K$3:$V$201,MATCH('Buildings - Grid Electricity'!$E356&amp;$F356,'Emission factors'!$J$3:$J$201&amp;'Emission factors'!$K$3:$K$201,0),MATCH('Buildings - Grid Electricity'!R$6,'Emission factors'!$K$2:$V$2,0)))*$K356)</f>
        <v/>
      </c>
      <c r="S356" s="157" t="str" cm="1">
        <f t="array" ref="S356">IF(OR($E356="",$I356=""),"",(INDEX('Emission factors'!$K$3:$V$201,MATCH('Buildings - Grid Electricity'!$E356&amp;$F356,'Emission factors'!$J$3:$J$201&amp;'Emission factors'!$K$3:$K$201,0),MATCH('Buildings - Grid Electricity'!S$6,'Emission factors'!$K$2:$V$2,0)))*$K356)</f>
        <v/>
      </c>
      <c r="T356" s="157" t="str" cm="1">
        <f t="array" ref="T356">IF(OR($E356="",$I356=""),"",(INDEX('Emission factors'!$K$3:$V$201,MATCH('Buildings - Grid Electricity'!$E356&amp;$F356,'Emission factors'!$J$3:$J$201&amp;'Emission factors'!$K$3:$K$201,0),MATCH('Buildings - Grid Electricity'!T$6,'Emission factors'!$K$2:$V$2,0)))*$K356)</f>
        <v/>
      </c>
      <c r="U356" s="157" t="str" cm="1">
        <f t="array" ref="U356">IF(OR($E356="",$I356=""),"",(INDEX('Emission factors'!$K$3:$V$201,MATCH('Buildings - Grid Electricity'!$E356&amp;$F356,'Emission factors'!$J$3:$J$201&amp;'Emission factors'!$K$3:$K$201,0),MATCH('Buildings - Grid Electricity'!U$6,'Emission factors'!$K$2:$V$2,0)))*$K356)</f>
        <v/>
      </c>
      <c r="V356" s="158" t="str">
        <f>IF(OR($N356="",BuildingsElectricityTable[[#This Row],[RSD]]=""),"",BuildingsElectricityTable[[#This Row],[Total emissions (kgCO2e)]]*(1+BuildingsElectricityTable[[#This Row],[RSD]]))</f>
        <v/>
      </c>
      <c r="W356" s="159" t="str">
        <f>IF(OR($N356="",BuildingsElectricityTable[[#This Row],[RSD]]=""),"",BuildingsElectricityTable[[#This Row],[Total emissions (kgCO2e)]]*(1-BuildingsElectricityTable[[#This Row],[RSD]]))</f>
        <v/>
      </c>
      <c r="X356" s="169" t="str" cm="1">
        <f t="array" ref="X356">IF(OR($E356="",$I356=""),"",(INDEX('Emission factors'!$K$3:$V$201,MATCH('Buildings - Grid Electricity'!$E356&amp;$F356,'Emission factors'!$J$3:$J$201&amp;'Emission factors'!$K$3:$K$201,0),MATCH('Buildings - Grid Electricity'!X$6,'Emission factors'!$K$2:$V$2,0)))*$K356)</f>
        <v/>
      </c>
      <c r="Y356" s="30"/>
      <c r="Z356" s="1" cm="1">
        <f t="array" ref="Z356">IF(OR(ISERROR(B356:X356)),1,0)</f>
        <v>0</v>
      </c>
      <c r="AA356" s="1">
        <f t="shared" si="33"/>
        <v>0</v>
      </c>
    </row>
    <row r="357" spans="1:27" ht="15" outlineLevel="1" thickBot="1" x14ac:dyDescent="0.4">
      <c r="A357" s="319"/>
      <c r="B357" s="216"/>
      <c r="C357" s="216"/>
      <c r="D357" s="233" t="str">
        <f>IFERROR(INDEX(BuildingInformationTable[Site type],MATCH(BuildingsElectricityTable[[#This Row],[Site name]],BuildingInformationTable[Site name],0)),"")</f>
        <v/>
      </c>
      <c r="E357" s="311" t="str">
        <f t="shared" si="32"/>
        <v/>
      </c>
      <c r="F357" s="311" t="str">
        <f t="shared" si="0"/>
        <v/>
      </c>
      <c r="G357" s="72"/>
      <c r="H357" s="98" t="str">
        <f>IF(G357="","",INDEX(Lists!$BA$4:$BC$31,MATCH(E357,Lists!$AZ$4:$AZ$31,0),MATCH(G357,Lists!$BA$3:$BC$3,0)))</f>
        <v/>
      </c>
      <c r="I357" s="70"/>
      <c r="J357" s="311" t="str">
        <f t="shared" si="1"/>
        <v/>
      </c>
      <c r="K357" s="75" t="str" cm="1">
        <f t="array" ref="K357">IF(OR($E357="",$D357="",$I357="",$J357=""),"",IF(J357=L357,I357,(INDEX('Emission factors'!$K$3:$V$201,MATCH(E357&amp;F357,'Emission factors'!$J$3:$J$201&amp;'Emission factors'!$K$3:$K$201,0),MATCH(K$6,'Emission factors'!$K$2:$V$2,0)))*I357))</f>
        <v/>
      </c>
      <c r="L357" s="312" t="str">
        <f>IF(OR($E357="",$D357="",$I357="",$J357=""),"",INDEX('Emission factors'!$K$3:$V$201,MATCH('Buildings - Grid Electricity'!$E357,'Emission factors'!$J$3:$J$201,0),MATCH($L$6,'Emission factors'!$K$2:$V$2,0)))</f>
        <v/>
      </c>
      <c r="M357" s="313" t="str" cm="1">
        <f t="array" ref="M357">IF(OR(E357="",I357="",BuildingsElectricityTable[[#This Row],[Units]]=""),"",INDEX('Emission factors'!$K$3:$V$201,MATCH('Buildings - Grid Electricity'!$E357&amp;F357,'Emission factors'!$J$3:$J$201&amp;'Emission factors'!$K$3:$K$201,0),MATCH('Buildings - Grid Electricity'!$M$6,'Emission factors'!$K$2:$V$2,0)))</f>
        <v/>
      </c>
      <c r="N357" s="156" t="str">
        <f>IF(OR(K357="",M357=""),"",SUM(BuildingsElectricityTable[[#This Row],[Direct]:[Indirect WTT]]))</f>
        <v/>
      </c>
      <c r="O357" s="71"/>
      <c r="P357" s="72"/>
      <c r="Q357" s="157" t="str" cm="1">
        <f t="array" ref="Q357">IF(OR($E357="",$I357=""),"",(INDEX('Emission factors'!$K$3:$V$201,MATCH('Buildings - Grid Electricity'!$E357&amp;$F357,'Emission factors'!$J$3:$J$201&amp;'Emission factors'!$K$3:$K$201,0),MATCH('Buildings - Grid Electricity'!Q$6,'Emission factors'!$K$2:$V$2,0)))*$K357)</f>
        <v/>
      </c>
      <c r="R357" s="157" t="str" cm="1">
        <f t="array" ref="R357">IF(OR($E357="",$I357=""),"",(INDEX('Emission factors'!$K$3:$V$201,MATCH('Buildings - Grid Electricity'!$E357&amp;$F357,'Emission factors'!$J$3:$J$201&amp;'Emission factors'!$K$3:$K$201,0),MATCH('Buildings - Grid Electricity'!R$6,'Emission factors'!$K$2:$V$2,0)))*$K357)</f>
        <v/>
      </c>
      <c r="S357" s="157" t="str" cm="1">
        <f t="array" ref="S357">IF(OR($E357="",$I357=""),"",(INDEX('Emission factors'!$K$3:$V$201,MATCH('Buildings - Grid Electricity'!$E357&amp;$F357,'Emission factors'!$J$3:$J$201&amp;'Emission factors'!$K$3:$K$201,0),MATCH('Buildings - Grid Electricity'!S$6,'Emission factors'!$K$2:$V$2,0)))*$K357)</f>
        <v/>
      </c>
      <c r="T357" s="157" t="str" cm="1">
        <f t="array" ref="T357">IF(OR($E357="",$I357=""),"",(INDEX('Emission factors'!$K$3:$V$201,MATCH('Buildings - Grid Electricity'!$E357&amp;$F357,'Emission factors'!$J$3:$J$201&amp;'Emission factors'!$K$3:$K$201,0),MATCH('Buildings - Grid Electricity'!T$6,'Emission factors'!$K$2:$V$2,0)))*$K357)</f>
        <v/>
      </c>
      <c r="U357" s="157" t="str" cm="1">
        <f t="array" ref="U357">IF(OR($E357="",$I357=""),"",(INDEX('Emission factors'!$K$3:$V$201,MATCH('Buildings - Grid Electricity'!$E357&amp;$F357,'Emission factors'!$J$3:$J$201&amp;'Emission factors'!$K$3:$K$201,0),MATCH('Buildings - Grid Electricity'!U$6,'Emission factors'!$K$2:$V$2,0)))*$K357)</f>
        <v/>
      </c>
      <c r="V357" s="158" t="str">
        <f>IF(OR($N357="",BuildingsElectricityTable[[#This Row],[RSD]]=""),"",BuildingsElectricityTable[[#This Row],[Total emissions (kgCO2e)]]*(1+BuildingsElectricityTable[[#This Row],[RSD]]))</f>
        <v/>
      </c>
      <c r="W357" s="159" t="str">
        <f>IF(OR($N357="",BuildingsElectricityTable[[#This Row],[RSD]]=""),"",BuildingsElectricityTable[[#This Row],[Total emissions (kgCO2e)]]*(1-BuildingsElectricityTable[[#This Row],[RSD]]))</f>
        <v/>
      </c>
      <c r="X357" s="169" t="str" cm="1">
        <f t="array" ref="X357">IF(OR($E357="",$I357=""),"",(INDEX('Emission factors'!$K$3:$V$201,MATCH('Buildings - Grid Electricity'!$E357&amp;$F357,'Emission factors'!$J$3:$J$201&amp;'Emission factors'!$K$3:$K$201,0),MATCH('Buildings - Grid Electricity'!X$6,'Emission factors'!$K$2:$V$2,0)))*$K357)</f>
        <v/>
      </c>
      <c r="Y357" s="30"/>
      <c r="Z357" s="1" cm="1">
        <f t="array" ref="Z357">IF(OR(ISERROR(B357:X357)),1,0)</f>
        <v>0</v>
      </c>
      <c r="AA357" s="1">
        <f t="shared" si="33"/>
        <v>0</v>
      </c>
    </row>
    <row r="358" spans="1:27" ht="15" outlineLevel="1" thickBot="1" x14ac:dyDescent="0.4">
      <c r="A358" s="319"/>
      <c r="B358" s="216"/>
      <c r="C358" s="216"/>
      <c r="D358" s="233" t="str">
        <f>IFERROR(INDEX(BuildingInformationTable[Site type],MATCH(BuildingsElectricityTable[[#This Row],[Site name]],BuildingInformationTable[Site name],0)),"")</f>
        <v/>
      </c>
      <c r="E358" s="311" t="str">
        <f t="shared" si="32"/>
        <v/>
      </c>
      <c r="F358" s="311" t="str">
        <f t="shared" si="0"/>
        <v/>
      </c>
      <c r="G358" s="72"/>
      <c r="H358" s="98" t="str">
        <f>IF(G358="","",INDEX(Lists!$BA$4:$BC$31,MATCH(E358,Lists!$AZ$4:$AZ$31,0),MATCH(G358,Lists!$BA$3:$BC$3,0)))</f>
        <v/>
      </c>
      <c r="I358" s="70"/>
      <c r="J358" s="311" t="str">
        <f t="shared" si="1"/>
        <v/>
      </c>
      <c r="K358" s="75" t="str" cm="1">
        <f t="array" ref="K358">IF(OR($E358="",$D358="",$I358="",$J358=""),"",IF(J358=L358,I358,(INDEX('Emission factors'!$K$3:$V$201,MATCH(E358&amp;F358,'Emission factors'!$J$3:$J$201&amp;'Emission factors'!$K$3:$K$201,0),MATCH(K$6,'Emission factors'!$K$2:$V$2,0)))*I358))</f>
        <v/>
      </c>
      <c r="L358" s="312" t="str">
        <f>IF(OR($E358="",$D358="",$I358="",$J358=""),"",INDEX('Emission factors'!$K$3:$V$201,MATCH('Buildings - Grid Electricity'!$E358,'Emission factors'!$J$3:$J$201,0),MATCH($L$6,'Emission factors'!$K$2:$V$2,0)))</f>
        <v/>
      </c>
      <c r="M358" s="313" t="str" cm="1">
        <f t="array" ref="M358">IF(OR(E358="",I358="",BuildingsElectricityTable[[#This Row],[Units]]=""),"",INDEX('Emission factors'!$K$3:$V$201,MATCH('Buildings - Grid Electricity'!$E358&amp;F358,'Emission factors'!$J$3:$J$201&amp;'Emission factors'!$K$3:$K$201,0),MATCH('Buildings - Grid Electricity'!$M$6,'Emission factors'!$K$2:$V$2,0)))</f>
        <v/>
      </c>
      <c r="N358" s="156" t="str">
        <f>IF(OR(K358="",M358=""),"",SUM(BuildingsElectricityTable[[#This Row],[Direct]:[Indirect WTT]]))</f>
        <v/>
      </c>
      <c r="O358" s="71"/>
      <c r="P358" s="72"/>
      <c r="Q358" s="157" t="str" cm="1">
        <f t="array" ref="Q358">IF(OR($E358="",$I358=""),"",(INDEX('Emission factors'!$K$3:$V$201,MATCH('Buildings - Grid Electricity'!$E358&amp;$F358,'Emission factors'!$J$3:$J$201&amp;'Emission factors'!$K$3:$K$201,0),MATCH('Buildings - Grid Electricity'!Q$6,'Emission factors'!$K$2:$V$2,0)))*$K358)</f>
        <v/>
      </c>
      <c r="R358" s="157" t="str" cm="1">
        <f t="array" ref="R358">IF(OR($E358="",$I358=""),"",(INDEX('Emission factors'!$K$3:$V$201,MATCH('Buildings - Grid Electricity'!$E358&amp;$F358,'Emission factors'!$J$3:$J$201&amp;'Emission factors'!$K$3:$K$201,0),MATCH('Buildings - Grid Electricity'!R$6,'Emission factors'!$K$2:$V$2,0)))*$K358)</f>
        <v/>
      </c>
      <c r="S358" s="157" t="str" cm="1">
        <f t="array" ref="S358">IF(OR($E358="",$I358=""),"",(INDEX('Emission factors'!$K$3:$V$201,MATCH('Buildings - Grid Electricity'!$E358&amp;$F358,'Emission factors'!$J$3:$J$201&amp;'Emission factors'!$K$3:$K$201,0),MATCH('Buildings - Grid Electricity'!S$6,'Emission factors'!$K$2:$V$2,0)))*$K358)</f>
        <v/>
      </c>
      <c r="T358" s="157" t="str" cm="1">
        <f t="array" ref="T358">IF(OR($E358="",$I358=""),"",(INDEX('Emission factors'!$K$3:$V$201,MATCH('Buildings - Grid Electricity'!$E358&amp;$F358,'Emission factors'!$J$3:$J$201&amp;'Emission factors'!$K$3:$K$201,0),MATCH('Buildings - Grid Electricity'!T$6,'Emission factors'!$K$2:$V$2,0)))*$K358)</f>
        <v/>
      </c>
      <c r="U358" s="157" t="str" cm="1">
        <f t="array" ref="U358">IF(OR($E358="",$I358=""),"",(INDEX('Emission factors'!$K$3:$V$201,MATCH('Buildings - Grid Electricity'!$E358&amp;$F358,'Emission factors'!$J$3:$J$201&amp;'Emission factors'!$K$3:$K$201,0),MATCH('Buildings - Grid Electricity'!U$6,'Emission factors'!$K$2:$V$2,0)))*$K358)</f>
        <v/>
      </c>
      <c r="V358" s="158" t="str">
        <f>IF(OR($N358="",BuildingsElectricityTable[[#This Row],[RSD]]=""),"",BuildingsElectricityTable[[#This Row],[Total emissions (kgCO2e)]]*(1+BuildingsElectricityTable[[#This Row],[RSD]]))</f>
        <v/>
      </c>
      <c r="W358" s="159" t="str">
        <f>IF(OR($N358="",BuildingsElectricityTable[[#This Row],[RSD]]=""),"",BuildingsElectricityTable[[#This Row],[Total emissions (kgCO2e)]]*(1-BuildingsElectricityTable[[#This Row],[RSD]]))</f>
        <v/>
      </c>
      <c r="X358" s="169" t="str" cm="1">
        <f t="array" ref="X358">IF(OR($E358="",$I358=""),"",(INDEX('Emission factors'!$K$3:$V$201,MATCH('Buildings - Grid Electricity'!$E358&amp;$F358,'Emission factors'!$J$3:$J$201&amp;'Emission factors'!$K$3:$K$201,0),MATCH('Buildings - Grid Electricity'!X$6,'Emission factors'!$K$2:$V$2,0)))*$K358)</f>
        <v/>
      </c>
      <c r="Y358" s="30"/>
      <c r="Z358" s="1" cm="1">
        <f t="array" ref="Z358">IF(OR(ISERROR(B358:X358)),1,0)</f>
        <v>0</v>
      </c>
      <c r="AA358" s="1">
        <f t="shared" si="33"/>
        <v>0</v>
      </c>
    </row>
    <row r="359" spans="1:27" ht="15" outlineLevel="1" thickBot="1" x14ac:dyDescent="0.4">
      <c r="A359" s="319"/>
      <c r="B359" s="216"/>
      <c r="C359" s="216"/>
      <c r="D359" s="233" t="str">
        <f>IFERROR(INDEX(BuildingInformationTable[Site type],MATCH(BuildingsElectricityTable[[#This Row],[Site name]],BuildingInformationTable[Site name],0)),"")</f>
        <v/>
      </c>
      <c r="E359" s="311" t="str">
        <f t="shared" si="32"/>
        <v/>
      </c>
      <c r="F359" s="311" t="str">
        <f t="shared" si="0"/>
        <v/>
      </c>
      <c r="G359" s="72"/>
      <c r="H359" s="98" t="str">
        <f>IF(G359="","",INDEX(Lists!$BA$4:$BC$31,MATCH(E359,Lists!$AZ$4:$AZ$31,0),MATCH(G359,Lists!$BA$3:$BC$3,0)))</f>
        <v/>
      </c>
      <c r="I359" s="70"/>
      <c r="J359" s="311" t="str">
        <f t="shared" si="1"/>
        <v/>
      </c>
      <c r="K359" s="75" t="str" cm="1">
        <f t="array" ref="K359">IF(OR($E359="",$D359="",$I359="",$J359=""),"",IF(J359=L359,I359,(INDEX('Emission factors'!$K$3:$V$201,MATCH(E359&amp;F359,'Emission factors'!$J$3:$J$201&amp;'Emission factors'!$K$3:$K$201,0),MATCH(K$6,'Emission factors'!$K$2:$V$2,0)))*I359))</f>
        <v/>
      </c>
      <c r="L359" s="312" t="str">
        <f>IF(OR($E359="",$D359="",$I359="",$J359=""),"",INDEX('Emission factors'!$K$3:$V$201,MATCH('Buildings - Grid Electricity'!$E359,'Emission factors'!$J$3:$J$201,0),MATCH($L$6,'Emission factors'!$K$2:$V$2,0)))</f>
        <v/>
      </c>
      <c r="M359" s="313" t="str" cm="1">
        <f t="array" ref="M359">IF(OR(E359="",I359="",BuildingsElectricityTable[[#This Row],[Units]]=""),"",INDEX('Emission factors'!$K$3:$V$201,MATCH('Buildings - Grid Electricity'!$E359&amp;F359,'Emission factors'!$J$3:$J$201&amp;'Emission factors'!$K$3:$K$201,0),MATCH('Buildings - Grid Electricity'!$M$6,'Emission factors'!$K$2:$V$2,0)))</f>
        <v/>
      </c>
      <c r="N359" s="156" t="str">
        <f>IF(OR(K359="",M359=""),"",SUM(BuildingsElectricityTable[[#This Row],[Direct]:[Indirect WTT]]))</f>
        <v/>
      </c>
      <c r="O359" s="71"/>
      <c r="P359" s="72"/>
      <c r="Q359" s="157" t="str" cm="1">
        <f t="array" ref="Q359">IF(OR($E359="",$I359=""),"",(INDEX('Emission factors'!$K$3:$V$201,MATCH('Buildings - Grid Electricity'!$E359&amp;$F359,'Emission factors'!$J$3:$J$201&amp;'Emission factors'!$K$3:$K$201,0),MATCH('Buildings - Grid Electricity'!Q$6,'Emission factors'!$K$2:$V$2,0)))*$K359)</f>
        <v/>
      </c>
      <c r="R359" s="157" t="str" cm="1">
        <f t="array" ref="R359">IF(OR($E359="",$I359=""),"",(INDEX('Emission factors'!$K$3:$V$201,MATCH('Buildings - Grid Electricity'!$E359&amp;$F359,'Emission factors'!$J$3:$J$201&amp;'Emission factors'!$K$3:$K$201,0),MATCH('Buildings - Grid Electricity'!R$6,'Emission factors'!$K$2:$V$2,0)))*$K359)</f>
        <v/>
      </c>
      <c r="S359" s="157" t="str" cm="1">
        <f t="array" ref="S359">IF(OR($E359="",$I359=""),"",(INDEX('Emission factors'!$K$3:$V$201,MATCH('Buildings - Grid Electricity'!$E359&amp;$F359,'Emission factors'!$J$3:$J$201&amp;'Emission factors'!$K$3:$K$201,0),MATCH('Buildings - Grid Electricity'!S$6,'Emission factors'!$K$2:$V$2,0)))*$K359)</f>
        <v/>
      </c>
      <c r="T359" s="157" t="str" cm="1">
        <f t="array" ref="T359">IF(OR($E359="",$I359=""),"",(INDEX('Emission factors'!$K$3:$V$201,MATCH('Buildings - Grid Electricity'!$E359&amp;$F359,'Emission factors'!$J$3:$J$201&amp;'Emission factors'!$K$3:$K$201,0),MATCH('Buildings - Grid Electricity'!T$6,'Emission factors'!$K$2:$V$2,0)))*$K359)</f>
        <v/>
      </c>
      <c r="U359" s="157" t="str" cm="1">
        <f t="array" ref="U359">IF(OR($E359="",$I359=""),"",(INDEX('Emission factors'!$K$3:$V$201,MATCH('Buildings - Grid Electricity'!$E359&amp;$F359,'Emission factors'!$J$3:$J$201&amp;'Emission factors'!$K$3:$K$201,0),MATCH('Buildings - Grid Electricity'!U$6,'Emission factors'!$K$2:$V$2,0)))*$K359)</f>
        <v/>
      </c>
      <c r="V359" s="158" t="str">
        <f>IF(OR($N359="",BuildingsElectricityTable[[#This Row],[RSD]]=""),"",BuildingsElectricityTable[[#This Row],[Total emissions (kgCO2e)]]*(1+BuildingsElectricityTable[[#This Row],[RSD]]))</f>
        <v/>
      </c>
      <c r="W359" s="159" t="str">
        <f>IF(OR($N359="",BuildingsElectricityTable[[#This Row],[RSD]]=""),"",BuildingsElectricityTable[[#This Row],[Total emissions (kgCO2e)]]*(1-BuildingsElectricityTable[[#This Row],[RSD]]))</f>
        <v/>
      </c>
      <c r="X359" s="169" t="str" cm="1">
        <f t="array" ref="X359">IF(OR($E359="",$I359=""),"",(INDEX('Emission factors'!$K$3:$V$201,MATCH('Buildings - Grid Electricity'!$E359&amp;$F359,'Emission factors'!$J$3:$J$201&amp;'Emission factors'!$K$3:$K$201,0),MATCH('Buildings - Grid Electricity'!X$6,'Emission factors'!$K$2:$V$2,0)))*$K359)</f>
        <v/>
      </c>
      <c r="Y359" s="30"/>
      <c r="Z359" s="1" cm="1">
        <f t="array" ref="Z359">IF(OR(ISERROR(B359:X359)),1,0)</f>
        <v>0</v>
      </c>
      <c r="AA359" s="1">
        <f t="shared" si="33"/>
        <v>0</v>
      </c>
    </row>
    <row r="360" spans="1:27" ht="15" outlineLevel="1" thickBot="1" x14ac:dyDescent="0.4">
      <c r="A360" s="319"/>
      <c r="B360" s="216"/>
      <c r="C360" s="216"/>
      <c r="D360" s="233" t="str">
        <f>IFERROR(INDEX(BuildingInformationTable[Site type],MATCH(BuildingsElectricityTable[[#This Row],[Site name]],BuildingInformationTable[Site name],0)),"")</f>
        <v/>
      </c>
      <c r="E360" s="311" t="str">
        <f t="shared" si="32"/>
        <v/>
      </c>
      <c r="F360" s="311" t="str">
        <f t="shared" si="0"/>
        <v/>
      </c>
      <c r="G360" s="72"/>
      <c r="H360" s="98" t="str">
        <f>IF(G360="","",INDEX(Lists!$BA$4:$BC$31,MATCH(E360,Lists!$AZ$4:$AZ$31,0),MATCH(G360,Lists!$BA$3:$BC$3,0)))</f>
        <v/>
      </c>
      <c r="I360" s="70"/>
      <c r="J360" s="311" t="str">
        <f t="shared" si="1"/>
        <v/>
      </c>
      <c r="K360" s="75" t="str" cm="1">
        <f t="array" ref="K360">IF(OR($E360="",$D360="",$I360="",$J360=""),"",IF(J360=L360,I360,(INDEX('Emission factors'!$K$3:$V$201,MATCH(E360&amp;F360,'Emission factors'!$J$3:$J$201&amp;'Emission factors'!$K$3:$K$201,0),MATCH(K$6,'Emission factors'!$K$2:$V$2,0)))*I360))</f>
        <v/>
      </c>
      <c r="L360" s="312" t="str">
        <f>IF(OR($E360="",$D360="",$I360="",$J360=""),"",INDEX('Emission factors'!$K$3:$V$201,MATCH('Buildings - Grid Electricity'!$E360,'Emission factors'!$J$3:$J$201,0),MATCH($L$6,'Emission factors'!$K$2:$V$2,0)))</f>
        <v/>
      </c>
      <c r="M360" s="313" t="str" cm="1">
        <f t="array" ref="M360">IF(OR(E360="",I360="",BuildingsElectricityTable[[#This Row],[Units]]=""),"",INDEX('Emission factors'!$K$3:$V$201,MATCH('Buildings - Grid Electricity'!$E360&amp;F360,'Emission factors'!$J$3:$J$201&amp;'Emission factors'!$K$3:$K$201,0),MATCH('Buildings - Grid Electricity'!$M$6,'Emission factors'!$K$2:$V$2,0)))</f>
        <v/>
      </c>
      <c r="N360" s="156" t="str">
        <f>IF(OR(K360="",M360=""),"",SUM(BuildingsElectricityTable[[#This Row],[Direct]:[Indirect WTT]]))</f>
        <v/>
      </c>
      <c r="O360" s="71"/>
      <c r="P360" s="72"/>
      <c r="Q360" s="157" t="str" cm="1">
        <f t="array" ref="Q360">IF(OR($E360="",$I360=""),"",(INDEX('Emission factors'!$K$3:$V$201,MATCH('Buildings - Grid Electricity'!$E360&amp;$F360,'Emission factors'!$J$3:$J$201&amp;'Emission factors'!$K$3:$K$201,0),MATCH('Buildings - Grid Electricity'!Q$6,'Emission factors'!$K$2:$V$2,0)))*$K360)</f>
        <v/>
      </c>
      <c r="R360" s="157" t="str" cm="1">
        <f t="array" ref="R360">IF(OR($E360="",$I360=""),"",(INDEX('Emission factors'!$K$3:$V$201,MATCH('Buildings - Grid Electricity'!$E360&amp;$F360,'Emission factors'!$J$3:$J$201&amp;'Emission factors'!$K$3:$K$201,0),MATCH('Buildings - Grid Electricity'!R$6,'Emission factors'!$K$2:$V$2,0)))*$K360)</f>
        <v/>
      </c>
      <c r="S360" s="157" t="str" cm="1">
        <f t="array" ref="S360">IF(OR($E360="",$I360=""),"",(INDEX('Emission factors'!$K$3:$V$201,MATCH('Buildings - Grid Electricity'!$E360&amp;$F360,'Emission factors'!$J$3:$J$201&amp;'Emission factors'!$K$3:$K$201,0),MATCH('Buildings - Grid Electricity'!S$6,'Emission factors'!$K$2:$V$2,0)))*$K360)</f>
        <v/>
      </c>
      <c r="T360" s="157" t="str" cm="1">
        <f t="array" ref="T360">IF(OR($E360="",$I360=""),"",(INDEX('Emission factors'!$K$3:$V$201,MATCH('Buildings - Grid Electricity'!$E360&amp;$F360,'Emission factors'!$J$3:$J$201&amp;'Emission factors'!$K$3:$K$201,0),MATCH('Buildings - Grid Electricity'!T$6,'Emission factors'!$K$2:$V$2,0)))*$K360)</f>
        <v/>
      </c>
      <c r="U360" s="157" t="str" cm="1">
        <f t="array" ref="U360">IF(OR($E360="",$I360=""),"",(INDEX('Emission factors'!$K$3:$V$201,MATCH('Buildings - Grid Electricity'!$E360&amp;$F360,'Emission factors'!$J$3:$J$201&amp;'Emission factors'!$K$3:$K$201,0),MATCH('Buildings - Grid Electricity'!U$6,'Emission factors'!$K$2:$V$2,0)))*$K360)</f>
        <v/>
      </c>
      <c r="V360" s="158" t="str">
        <f>IF(OR($N360="",BuildingsElectricityTable[[#This Row],[RSD]]=""),"",BuildingsElectricityTable[[#This Row],[Total emissions (kgCO2e)]]*(1+BuildingsElectricityTable[[#This Row],[RSD]]))</f>
        <v/>
      </c>
      <c r="W360" s="159" t="str">
        <f>IF(OR($N360="",BuildingsElectricityTable[[#This Row],[RSD]]=""),"",BuildingsElectricityTable[[#This Row],[Total emissions (kgCO2e)]]*(1-BuildingsElectricityTable[[#This Row],[RSD]]))</f>
        <v/>
      </c>
      <c r="X360" s="169" t="str" cm="1">
        <f t="array" ref="X360">IF(OR($E360="",$I360=""),"",(INDEX('Emission factors'!$K$3:$V$201,MATCH('Buildings - Grid Electricity'!$E360&amp;$F360,'Emission factors'!$J$3:$J$201&amp;'Emission factors'!$K$3:$K$201,0),MATCH('Buildings - Grid Electricity'!X$6,'Emission factors'!$K$2:$V$2,0)))*$K360)</f>
        <v/>
      </c>
      <c r="Y360" s="30"/>
      <c r="Z360" s="1" cm="1">
        <f t="array" ref="Z360">IF(OR(ISERROR(B360:X360)),1,0)</f>
        <v>0</v>
      </c>
      <c r="AA360" s="1">
        <f t="shared" si="33"/>
        <v>0</v>
      </c>
    </row>
    <row r="361" spans="1:27" ht="15" outlineLevel="1" thickBot="1" x14ac:dyDescent="0.4">
      <c r="A361" s="319"/>
      <c r="B361" s="216"/>
      <c r="C361" s="216"/>
      <c r="D361" s="233" t="str">
        <f>IFERROR(INDEX(BuildingInformationTable[Site type],MATCH(BuildingsElectricityTable[[#This Row],[Site name]],BuildingInformationTable[Site name],0)),"")</f>
        <v/>
      </c>
      <c r="E361" s="311" t="str">
        <f t="shared" si="32"/>
        <v/>
      </c>
      <c r="F361" s="311" t="str">
        <f t="shared" si="0"/>
        <v/>
      </c>
      <c r="G361" s="72"/>
      <c r="H361" s="98" t="str">
        <f>IF(G361="","",INDEX(Lists!$BA$4:$BC$31,MATCH(E361,Lists!$AZ$4:$AZ$31,0),MATCH(G361,Lists!$BA$3:$BC$3,0)))</f>
        <v/>
      </c>
      <c r="I361" s="70"/>
      <c r="J361" s="311" t="str">
        <f t="shared" si="1"/>
        <v/>
      </c>
      <c r="K361" s="75" t="str" cm="1">
        <f t="array" ref="K361">IF(OR($E361="",$D361="",$I361="",$J361=""),"",IF(J361=L361,I361,(INDEX('Emission factors'!$K$3:$V$201,MATCH(E361&amp;F361,'Emission factors'!$J$3:$J$201&amp;'Emission factors'!$K$3:$K$201,0),MATCH(K$6,'Emission factors'!$K$2:$V$2,0)))*I361))</f>
        <v/>
      </c>
      <c r="L361" s="312" t="str">
        <f>IF(OR($E361="",$D361="",$I361="",$J361=""),"",INDEX('Emission factors'!$K$3:$V$201,MATCH('Buildings - Grid Electricity'!$E361,'Emission factors'!$J$3:$J$201,0),MATCH($L$6,'Emission factors'!$K$2:$V$2,0)))</f>
        <v/>
      </c>
      <c r="M361" s="313" t="str" cm="1">
        <f t="array" ref="M361">IF(OR(E361="",I361="",BuildingsElectricityTable[[#This Row],[Units]]=""),"",INDEX('Emission factors'!$K$3:$V$201,MATCH('Buildings - Grid Electricity'!$E361&amp;F361,'Emission factors'!$J$3:$J$201&amp;'Emission factors'!$K$3:$K$201,0),MATCH('Buildings - Grid Electricity'!$M$6,'Emission factors'!$K$2:$V$2,0)))</f>
        <v/>
      </c>
      <c r="N361" s="156" t="str">
        <f>IF(OR(K361="",M361=""),"",SUM(BuildingsElectricityTable[[#This Row],[Direct]:[Indirect WTT]]))</f>
        <v/>
      </c>
      <c r="O361" s="71"/>
      <c r="P361" s="72"/>
      <c r="Q361" s="157" t="str" cm="1">
        <f t="array" ref="Q361">IF(OR($E361="",$I361=""),"",(INDEX('Emission factors'!$K$3:$V$201,MATCH('Buildings - Grid Electricity'!$E361&amp;$F361,'Emission factors'!$J$3:$J$201&amp;'Emission factors'!$K$3:$K$201,0),MATCH('Buildings - Grid Electricity'!Q$6,'Emission factors'!$K$2:$V$2,0)))*$K361)</f>
        <v/>
      </c>
      <c r="R361" s="157" t="str" cm="1">
        <f t="array" ref="R361">IF(OR($E361="",$I361=""),"",(INDEX('Emission factors'!$K$3:$V$201,MATCH('Buildings - Grid Electricity'!$E361&amp;$F361,'Emission factors'!$J$3:$J$201&amp;'Emission factors'!$K$3:$K$201,0),MATCH('Buildings - Grid Electricity'!R$6,'Emission factors'!$K$2:$V$2,0)))*$K361)</f>
        <v/>
      </c>
      <c r="S361" s="157" t="str" cm="1">
        <f t="array" ref="S361">IF(OR($E361="",$I361=""),"",(INDEX('Emission factors'!$K$3:$V$201,MATCH('Buildings - Grid Electricity'!$E361&amp;$F361,'Emission factors'!$J$3:$J$201&amp;'Emission factors'!$K$3:$K$201,0),MATCH('Buildings - Grid Electricity'!S$6,'Emission factors'!$K$2:$V$2,0)))*$K361)</f>
        <v/>
      </c>
      <c r="T361" s="157" t="str" cm="1">
        <f t="array" ref="T361">IF(OR($E361="",$I361=""),"",(INDEX('Emission factors'!$K$3:$V$201,MATCH('Buildings - Grid Electricity'!$E361&amp;$F361,'Emission factors'!$J$3:$J$201&amp;'Emission factors'!$K$3:$K$201,0),MATCH('Buildings - Grid Electricity'!T$6,'Emission factors'!$K$2:$V$2,0)))*$K361)</f>
        <v/>
      </c>
      <c r="U361" s="157" t="str" cm="1">
        <f t="array" ref="U361">IF(OR($E361="",$I361=""),"",(INDEX('Emission factors'!$K$3:$V$201,MATCH('Buildings - Grid Electricity'!$E361&amp;$F361,'Emission factors'!$J$3:$J$201&amp;'Emission factors'!$K$3:$K$201,0),MATCH('Buildings - Grid Electricity'!U$6,'Emission factors'!$K$2:$V$2,0)))*$K361)</f>
        <v/>
      </c>
      <c r="V361" s="158" t="str">
        <f>IF(OR($N361="",BuildingsElectricityTable[[#This Row],[RSD]]=""),"",BuildingsElectricityTable[[#This Row],[Total emissions (kgCO2e)]]*(1+BuildingsElectricityTable[[#This Row],[RSD]]))</f>
        <v/>
      </c>
      <c r="W361" s="159" t="str">
        <f>IF(OR($N361="",BuildingsElectricityTable[[#This Row],[RSD]]=""),"",BuildingsElectricityTable[[#This Row],[Total emissions (kgCO2e)]]*(1-BuildingsElectricityTable[[#This Row],[RSD]]))</f>
        <v/>
      </c>
      <c r="X361" s="169" t="str" cm="1">
        <f t="array" ref="X361">IF(OR($E361="",$I361=""),"",(INDEX('Emission factors'!$K$3:$V$201,MATCH('Buildings - Grid Electricity'!$E361&amp;$F361,'Emission factors'!$J$3:$J$201&amp;'Emission factors'!$K$3:$K$201,0),MATCH('Buildings - Grid Electricity'!X$6,'Emission factors'!$K$2:$V$2,0)))*$K361)</f>
        <v/>
      </c>
      <c r="Y361" s="30"/>
      <c r="Z361" s="1" cm="1">
        <f t="array" ref="Z361">IF(OR(ISERROR(B361:X361)),1,0)</f>
        <v>0</v>
      </c>
      <c r="AA361" s="1">
        <f t="shared" si="33"/>
        <v>0</v>
      </c>
    </row>
    <row r="362" spans="1:27" ht="15" outlineLevel="1" thickBot="1" x14ac:dyDescent="0.4">
      <c r="A362" s="319"/>
      <c r="B362" s="216"/>
      <c r="C362" s="216"/>
      <c r="D362" s="233" t="str">
        <f>IFERROR(INDEX(BuildingInformationTable[Site type],MATCH(BuildingsElectricityTable[[#This Row],[Site name]],BuildingInformationTable[Site name],0)),"")</f>
        <v/>
      </c>
      <c r="E362" s="311" t="str">
        <f t="shared" si="32"/>
        <v/>
      </c>
      <c r="F362" s="311" t="str">
        <f t="shared" si="0"/>
        <v/>
      </c>
      <c r="G362" s="72"/>
      <c r="H362" s="98" t="str">
        <f>IF(G362="","",INDEX(Lists!$BA$4:$BC$31,MATCH(E362,Lists!$AZ$4:$AZ$31,0),MATCH(G362,Lists!$BA$3:$BC$3,0)))</f>
        <v/>
      </c>
      <c r="I362" s="70"/>
      <c r="J362" s="311" t="str">
        <f t="shared" si="1"/>
        <v/>
      </c>
      <c r="K362" s="75" t="str" cm="1">
        <f t="array" ref="K362">IF(OR($E362="",$D362="",$I362="",$J362=""),"",IF(J362=L362,I362,(INDEX('Emission factors'!$K$3:$V$201,MATCH(E362&amp;F362,'Emission factors'!$J$3:$J$201&amp;'Emission factors'!$K$3:$K$201,0),MATCH(K$6,'Emission factors'!$K$2:$V$2,0)))*I362))</f>
        <v/>
      </c>
      <c r="L362" s="312" t="str">
        <f>IF(OR($E362="",$D362="",$I362="",$J362=""),"",INDEX('Emission factors'!$K$3:$V$201,MATCH('Buildings - Grid Electricity'!$E362,'Emission factors'!$J$3:$J$201,0),MATCH($L$6,'Emission factors'!$K$2:$V$2,0)))</f>
        <v/>
      </c>
      <c r="M362" s="313" t="str" cm="1">
        <f t="array" ref="M362">IF(OR(E362="",I362="",BuildingsElectricityTable[[#This Row],[Units]]=""),"",INDEX('Emission factors'!$K$3:$V$201,MATCH('Buildings - Grid Electricity'!$E362&amp;F362,'Emission factors'!$J$3:$J$201&amp;'Emission factors'!$K$3:$K$201,0),MATCH('Buildings - Grid Electricity'!$M$6,'Emission factors'!$K$2:$V$2,0)))</f>
        <v/>
      </c>
      <c r="N362" s="156" t="str">
        <f>IF(OR(K362="",M362=""),"",SUM(BuildingsElectricityTable[[#This Row],[Direct]:[Indirect WTT]]))</f>
        <v/>
      </c>
      <c r="O362" s="71"/>
      <c r="P362" s="72"/>
      <c r="Q362" s="157" t="str" cm="1">
        <f t="array" ref="Q362">IF(OR($E362="",$I362=""),"",(INDEX('Emission factors'!$K$3:$V$201,MATCH('Buildings - Grid Electricity'!$E362&amp;$F362,'Emission factors'!$J$3:$J$201&amp;'Emission factors'!$K$3:$K$201,0),MATCH('Buildings - Grid Electricity'!Q$6,'Emission factors'!$K$2:$V$2,0)))*$K362)</f>
        <v/>
      </c>
      <c r="R362" s="157" t="str" cm="1">
        <f t="array" ref="R362">IF(OR($E362="",$I362=""),"",(INDEX('Emission factors'!$K$3:$V$201,MATCH('Buildings - Grid Electricity'!$E362&amp;$F362,'Emission factors'!$J$3:$J$201&amp;'Emission factors'!$K$3:$K$201,0),MATCH('Buildings - Grid Electricity'!R$6,'Emission factors'!$K$2:$V$2,0)))*$K362)</f>
        <v/>
      </c>
      <c r="S362" s="157" t="str" cm="1">
        <f t="array" ref="S362">IF(OR($E362="",$I362=""),"",(INDEX('Emission factors'!$K$3:$V$201,MATCH('Buildings - Grid Electricity'!$E362&amp;$F362,'Emission factors'!$J$3:$J$201&amp;'Emission factors'!$K$3:$K$201,0),MATCH('Buildings - Grid Electricity'!S$6,'Emission factors'!$K$2:$V$2,0)))*$K362)</f>
        <v/>
      </c>
      <c r="T362" s="157" t="str" cm="1">
        <f t="array" ref="T362">IF(OR($E362="",$I362=""),"",(INDEX('Emission factors'!$K$3:$V$201,MATCH('Buildings - Grid Electricity'!$E362&amp;$F362,'Emission factors'!$J$3:$J$201&amp;'Emission factors'!$K$3:$K$201,0),MATCH('Buildings - Grid Electricity'!T$6,'Emission factors'!$K$2:$V$2,0)))*$K362)</f>
        <v/>
      </c>
      <c r="U362" s="157" t="str" cm="1">
        <f t="array" ref="U362">IF(OR($E362="",$I362=""),"",(INDEX('Emission factors'!$K$3:$V$201,MATCH('Buildings - Grid Electricity'!$E362&amp;$F362,'Emission factors'!$J$3:$J$201&amp;'Emission factors'!$K$3:$K$201,0),MATCH('Buildings - Grid Electricity'!U$6,'Emission factors'!$K$2:$V$2,0)))*$K362)</f>
        <v/>
      </c>
      <c r="V362" s="158" t="str">
        <f>IF(OR($N362="",BuildingsElectricityTable[[#This Row],[RSD]]=""),"",BuildingsElectricityTable[[#This Row],[Total emissions (kgCO2e)]]*(1+BuildingsElectricityTable[[#This Row],[RSD]]))</f>
        <v/>
      </c>
      <c r="W362" s="159" t="str">
        <f>IF(OR($N362="",BuildingsElectricityTable[[#This Row],[RSD]]=""),"",BuildingsElectricityTable[[#This Row],[Total emissions (kgCO2e)]]*(1-BuildingsElectricityTable[[#This Row],[RSD]]))</f>
        <v/>
      </c>
      <c r="X362" s="169" t="str" cm="1">
        <f t="array" ref="X362">IF(OR($E362="",$I362=""),"",(INDEX('Emission factors'!$K$3:$V$201,MATCH('Buildings - Grid Electricity'!$E362&amp;$F362,'Emission factors'!$J$3:$J$201&amp;'Emission factors'!$K$3:$K$201,0),MATCH('Buildings - Grid Electricity'!X$6,'Emission factors'!$K$2:$V$2,0)))*$K362)</f>
        <v/>
      </c>
      <c r="Y362" s="30"/>
      <c r="Z362" s="1" cm="1">
        <f t="array" ref="Z362">IF(OR(ISERROR(B362:X362)),1,0)</f>
        <v>0</v>
      </c>
      <c r="AA362" s="1">
        <f t="shared" si="33"/>
        <v>0</v>
      </c>
    </row>
    <row r="363" spans="1:27" ht="15" outlineLevel="1" thickBot="1" x14ac:dyDescent="0.4">
      <c r="A363" s="319"/>
      <c r="B363" s="216"/>
      <c r="C363" s="216"/>
      <c r="D363" s="233" t="str">
        <f>IFERROR(INDEX(BuildingInformationTable[Site type],MATCH(BuildingsElectricityTable[[#This Row],[Site name]],BuildingInformationTable[Site name],0)),"")</f>
        <v/>
      </c>
      <c r="E363" s="311" t="str">
        <f t="shared" si="32"/>
        <v/>
      </c>
      <c r="F363" s="311" t="str">
        <f t="shared" si="0"/>
        <v/>
      </c>
      <c r="G363" s="72"/>
      <c r="H363" s="98" t="str">
        <f>IF(G363="","",INDEX(Lists!$BA$4:$BC$31,MATCH(E363,Lists!$AZ$4:$AZ$31,0),MATCH(G363,Lists!$BA$3:$BC$3,0)))</f>
        <v/>
      </c>
      <c r="I363" s="70"/>
      <c r="J363" s="311" t="str">
        <f t="shared" si="1"/>
        <v/>
      </c>
      <c r="K363" s="75" t="str" cm="1">
        <f t="array" ref="K363">IF(OR($E363="",$D363="",$I363="",$J363=""),"",IF(J363=L363,I363,(INDEX('Emission factors'!$K$3:$V$201,MATCH(E363&amp;F363,'Emission factors'!$J$3:$J$201&amp;'Emission factors'!$K$3:$K$201,0),MATCH(K$6,'Emission factors'!$K$2:$V$2,0)))*I363))</f>
        <v/>
      </c>
      <c r="L363" s="312" t="str">
        <f>IF(OR($E363="",$D363="",$I363="",$J363=""),"",INDEX('Emission factors'!$K$3:$V$201,MATCH('Buildings - Grid Electricity'!$E363,'Emission factors'!$J$3:$J$201,0),MATCH($L$6,'Emission factors'!$K$2:$V$2,0)))</f>
        <v/>
      </c>
      <c r="M363" s="313" t="str" cm="1">
        <f t="array" ref="M363">IF(OR(E363="",I363="",BuildingsElectricityTable[[#This Row],[Units]]=""),"",INDEX('Emission factors'!$K$3:$V$201,MATCH('Buildings - Grid Electricity'!$E363&amp;F363,'Emission factors'!$J$3:$J$201&amp;'Emission factors'!$K$3:$K$201,0),MATCH('Buildings - Grid Electricity'!$M$6,'Emission factors'!$K$2:$V$2,0)))</f>
        <v/>
      </c>
      <c r="N363" s="156" t="str">
        <f>IF(OR(K363="",M363=""),"",SUM(BuildingsElectricityTable[[#This Row],[Direct]:[Indirect WTT]]))</f>
        <v/>
      </c>
      <c r="O363" s="71"/>
      <c r="P363" s="72"/>
      <c r="Q363" s="157" t="str" cm="1">
        <f t="array" ref="Q363">IF(OR($E363="",$I363=""),"",(INDEX('Emission factors'!$K$3:$V$201,MATCH('Buildings - Grid Electricity'!$E363&amp;$F363,'Emission factors'!$J$3:$J$201&amp;'Emission factors'!$K$3:$K$201,0),MATCH('Buildings - Grid Electricity'!Q$6,'Emission factors'!$K$2:$V$2,0)))*$K363)</f>
        <v/>
      </c>
      <c r="R363" s="157" t="str" cm="1">
        <f t="array" ref="R363">IF(OR($E363="",$I363=""),"",(INDEX('Emission factors'!$K$3:$V$201,MATCH('Buildings - Grid Electricity'!$E363&amp;$F363,'Emission factors'!$J$3:$J$201&amp;'Emission factors'!$K$3:$K$201,0),MATCH('Buildings - Grid Electricity'!R$6,'Emission factors'!$K$2:$V$2,0)))*$K363)</f>
        <v/>
      </c>
      <c r="S363" s="157" t="str" cm="1">
        <f t="array" ref="S363">IF(OR($E363="",$I363=""),"",(INDEX('Emission factors'!$K$3:$V$201,MATCH('Buildings - Grid Electricity'!$E363&amp;$F363,'Emission factors'!$J$3:$J$201&amp;'Emission factors'!$K$3:$K$201,0),MATCH('Buildings - Grid Electricity'!S$6,'Emission factors'!$K$2:$V$2,0)))*$K363)</f>
        <v/>
      </c>
      <c r="T363" s="157" t="str" cm="1">
        <f t="array" ref="T363">IF(OR($E363="",$I363=""),"",(INDEX('Emission factors'!$K$3:$V$201,MATCH('Buildings - Grid Electricity'!$E363&amp;$F363,'Emission factors'!$J$3:$J$201&amp;'Emission factors'!$K$3:$K$201,0),MATCH('Buildings - Grid Electricity'!T$6,'Emission factors'!$K$2:$V$2,0)))*$K363)</f>
        <v/>
      </c>
      <c r="U363" s="157" t="str" cm="1">
        <f t="array" ref="U363">IF(OR($E363="",$I363=""),"",(INDEX('Emission factors'!$K$3:$V$201,MATCH('Buildings - Grid Electricity'!$E363&amp;$F363,'Emission factors'!$J$3:$J$201&amp;'Emission factors'!$K$3:$K$201,0),MATCH('Buildings - Grid Electricity'!U$6,'Emission factors'!$K$2:$V$2,0)))*$K363)</f>
        <v/>
      </c>
      <c r="V363" s="158" t="str">
        <f>IF(OR($N363="",BuildingsElectricityTable[[#This Row],[RSD]]=""),"",BuildingsElectricityTable[[#This Row],[Total emissions (kgCO2e)]]*(1+BuildingsElectricityTable[[#This Row],[RSD]]))</f>
        <v/>
      </c>
      <c r="W363" s="159" t="str">
        <f>IF(OR($N363="",BuildingsElectricityTable[[#This Row],[RSD]]=""),"",BuildingsElectricityTable[[#This Row],[Total emissions (kgCO2e)]]*(1-BuildingsElectricityTable[[#This Row],[RSD]]))</f>
        <v/>
      </c>
      <c r="X363" s="169" t="str" cm="1">
        <f t="array" ref="X363">IF(OR($E363="",$I363=""),"",(INDEX('Emission factors'!$K$3:$V$201,MATCH('Buildings - Grid Electricity'!$E363&amp;$F363,'Emission factors'!$J$3:$J$201&amp;'Emission factors'!$K$3:$K$201,0),MATCH('Buildings - Grid Electricity'!X$6,'Emission factors'!$K$2:$V$2,0)))*$K363)</f>
        <v/>
      </c>
      <c r="Y363" s="30"/>
      <c r="Z363" s="1" cm="1">
        <f t="array" ref="Z363">IF(OR(ISERROR(B363:X363)),1,0)</f>
        <v>0</v>
      </c>
      <c r="AA363" s="1">
        <f t="shared" si="33"/>
        <v>0</v>
      </c>
    </row>
    <row r="364" spans="1:27" ht="15" outlineLevel="1" thickBot="1" x14ac:dyDescent="0.4">
      <c r="A364" s="319"/>
      <c r="B364" s="216"/>
      <c r="C364" s="216"/>
      <c r="D364" s="233" t="str">
        <f>IFERROR(INDEX(BuildingInformationTable[Site type],MATCH(BuildingsElectricityTable[[#This Row],[Site name]],BuildingInformationTable[Site name],0)),"")</f>
        <v/>
      </c>
      <c r="E364" s="311" t="str">
        <f t="shared" si="32"/>
        <v/>
      </c>
      <c r="F364" s="311" t="str">
        <f t="shared" si="0"/>
        <v/>
      </c>
      <c r="G364" s="72"/>
      <c r="H364" s="98" t="str">
        <f>IF(G364="","",INDEX(Lists!$BA$4:$BC$31,MATCH(E364,Lists!$AZ$4:$AZ$31,0),MATCH(G364,Lists!$BA$3:$BC$3,0)))</f>
        <v/>
      </c>
      <c r="I364" s="70"/>
      <c r="J364" s="311" t="str">
        <f t="shared" si="1"/>
        <v/>
      </c>
      <c r="K364" s="75" t="str" cm="1">
        <f t="array" ref="K364">IF(OR($E364="",$D364="",$I364="",$J364=""),"",IF(J364=L364,I364,(INDEX('Emission factors'!$K$3:$V$201,MATCH(E364&amp;F364,'Emission factors'!$J$3:$J$201&amp;'Emission factors'!$K$3:$K$201,0),MATCH(K$6,'Emission factors'!$K$2:$V$2,0)))*I364))</f>
        <v/>
      </c>
      <c r="L364" s="312" t="str">
        <f>IF(OR($E364="",$D364="",$I364="",$J364=""),"",INDEX('Emission factors'!$K$3:$V$201,MATCH('Buildings - Grid Electricity'!$E364,'Emission factors'!$J$3:$J$201,0),MATCH($L$6,'Emission factors'!$K$2:$V$2,0)))</f>
        <v/>
      </c>
      <c r="M364" s="313" t="str" cm="1">
        <f t="array" ref="M364">IF(OR(E364="",I364="",BuildingsElectricityTable[[#This Row],[Units]]=""),"",INDEX('Emission factors'!$K$3:$V$201,MATCH('Buildings - Grid Electricity'!$E364&amp;F364,'Emission factors'!$J$3:$J$201&amp;'Emission factors'!$K$3:$K$201,0),MATCH('Buildings - Grid Electricity'!$M$6,'Emission factors'!$K$2:$V$2,0)))</f>
        <v/>
      </c>
      <c r="N364" s="156" t="str">
        <f>IF(OR(K364="",M364=""),"",SUM(BuildingsElectricityTable[[#This Row],[Direct]:[Indirect WTT]]))</f>
        <v/>
      </c>
      <c r="O364" s="71"/>
      <c r="P364" s="72"/>
      <c r="Q364" s="157" t="str" cm="1">
        <f t="array" ref="Q364">IF(OR($E364="",$I364=""),"",(INDEX('Emission factors'!$K$3:$V$201,MATCH('Buildings - Grid Electricity'!$E364&amp;$F364,'Emission factors'!$J$3:$J$201&amp;'Emission factors'!$K$3:$K$201,0),MATCH('Buildings - Grid Electricity'!Q$6,'Emission factors'!$K$2:$V$2,0)))*$K364)</f>
        <v/>
      </c>
      <c r="R364" s="157" t="str" cm="1">
        <f t="array" ref="R364">IF(OR($E364="",$I364=""),"",(INDEX('Emission factors'!$K$3:$V$201,MATCH('Buildings - Grid Electricity'!$E364&amp;$F364,'Emission factors'!$J$3:$J$201&amp;'Emission factors'!$K$3:$K$201,0),MATCH('Buildings - Grid Electricity'!R$6,'Emission factors'!$K$2:$V$2,0)))*$K364)</f>
        <v/>
      </c>
      <c r="S364" s="157" t="str" cm="1">
        <f t="array" ref="S364">IF(OR($E364="",$I364=""),"",(INDEX('Emission factors'!$K$3:$V$201,MATCH('Buildings - Grid Electricity'!$E364&amp;$F364,'Emission factors'!$J$3:$J$201&amp;'Emission factors'!$K$3:$K$201,0),MATCH('Buildings - Grid Electricity'!S$6,'Emission factors'!$K$2:$V$2,0)))*$K364)</f>
        <v/>
      </c>
      <c r="T364" s="157" t="str" cm="1">
        <f t="array" ref="T364">IF(OR($E364="",$I364=""),"",(INDEX('Emission factors'!$K$3:$V$201,MATCH('Buildings - Grid Electricity'!$E364&amp;$F364,'Emission factors'!$J$3:$J$201&amp;'Emission factors'!$K$3:$K$201,0),MATCH('Buildings - Grid Electricity'!T$6,'Emission factors'!$K$2:$V$2,0)))*$K364)</f>
        <v/>
      </c>
      <c r="U364" s="157" t="str" cm="1">
        <f t="array" ref="U364">IF(OR($E364="",$I364=""),"",(INDEX('Emission factors'!$K$3:$V$201,MATCH('Buildings - Grid Electricity'!$E364&amp;$F364,'Emission factors'!$J$3:$J$201&amp;'Emission factors'!$K$3:$K$201,0),MATCH('Buildings - Grid Electricity'!U$6,'Emission factors'!$K$2:$V$2,0)))*$K364)</f>
        <v/>
      </c>
      <c r="V364" s="158" t="str">
        <f>IF(OR($N364="",BuildingsElectricityTable[[#This Row],[RSD]]=""),"",BuildingsElectricityTable[[#This Row],[Total emissions (kgCO2e)]]*(1+BuildingsElectricityTable[[#This Row],[RSD]]))</f>
        <v/>
      </c>
      <c r="W364" s="159" t="str">
        <f>IF(OR($N364="",BuildingsElectricityTable[[#This Row],[RSD]]=""),"",BuildingsElectricityTable[[#This Row],[Total emissions (kgCO2e)]]*(1-BuildingsElectricityTable[[#This Row],[RSD]]))</f>
        <v/>
      </c>
      <c r="X364" s="169" t="str" cm="1">
        <f t="array" ref="X364">IF(OR($E364="",$I364=""),"",(INDEX('Emission factors'!$K$3:$V$201,MATCH('Buildings - Grid Electricity'!$E364&amp;$F364,'Emission factors'!$J$3:$J$201&amp;'Emission factors'!$K$3:$K$201,0),MATCH('Buildings - Grid Electricity'!X$6,'Emission factors'!$K$2:$V$2,0)))*$K364)</f>
        <v/>
      </c>
      <c r="Y364" s="30"/>
      <c r="Z364" s="1" cm="1">
        <f t="array" ref="Z364">IF(OR(ISERROR(B364:X364)),1,0)</f>
        <v>0</v>
      </c>
      <c r="AA364" s="1">
        <f t="shared" si="33"/>
        <v>0</v>
      </c>
    </row>
    <row r="365" spans="1:27" ht="15" outlineLevel="1" thickBot="1" x14ac:dyDescent="0.4">
      <c r="A365" s="319"/>
      <c r="B365" s="216"/>
      <c r="C365" s="216"/>
      <c r="D365" s="233" t="str">
        <f>IFERROR(INDEX(BuildingInformationTable[Site type],MATCH(BuildingsElectricityTable[[#This Row],[Site name]],BuildingInformationTable[Site name],0)),"")</f>
        <v/>
      </c>
      <c r="E365" s="311" t="str">
        <f t="shared" si="32"/>
        <v/>
      </c>
      <c r="F365" s="311" t="str">
        <f t="shared" si="0"/>
        <v/>
      </c>
      <c r="G365" s="72"/>
      <c r="H365" s="98" t="str">
        <f>IF(G365="","",INDEX(Lists!$BA$4:$BC$31,MATCH(E365,Lists!$AZ$4:$AZ$31,0),MATCH(G365,Lists!$BA$3:$BC$3,0)))</f>
        <v/>
      </c>
      <c r="I365" s="70"/>
      <c r="J365" s="311" t="str">
        <f t="shared" si="1"/>
        <v/>
      </c>
      <c r="K365" s="75" t="str" cm="1">
        <f t="array" ref="K365">IF(OR($E365="",$D365="",$I365="",$J365=""),"",IF(J365=L365,I365,(INDEX('Emission factors'!$K$3:$V$201,MATCH(E365&amp;F365,'Emission factors'!$J$3:$J$201&amp;'Emission factors'!$K$3:$K$201,0),MATCH(K$6,'Emission factors'!$K$2:$V$2,0)))*I365))</f>
        <v/>
      </c>
      <c r="L365" s="312" t="str">
        <f>IF(OR($E365="",$D365="",$I365="",$J365=""),"",INDEX('Emission factors'!$K$3:$V$201,MATCH('Buildings - Grid Electricity'!$E365,'Emission factors'!$J$3:$J$201,0),MATCH($L$6,'Emission factors'!$K$2:$V$2,0)))</f>
        <v/>
      </c>
      <c r="M365" s="313" t="str" cm="1">
        <f t="array" ref="M365">IF(OR(E365="",I365="",BuildingsElectricityTable[[#This Row],[Units]]=""),"",INDEX('Emission factors'!$K$3:$V$201,MATCH('Buildings - Grid Electricity'!$E365&amp;F365,'Emission factors'!$J$3:$J$201&amp;'Emission factors'!$K$3:$K$201,0),MATCH('Buildings - Grid Electricity'!$M$6,'Emission factors'!$K$2:$V$2,0)))</f>
        <v/>
      </c>
      <c r="N365" s="156" t="str">
        <f>IF(OR(K365="",M365=""),"",SUM(BuildingsElectricityTable[[#This Row],[Direct]:[Indirect WTT]]))</f>
        <v/>
      </c>
      <c r="O365" s="71"/>
      <c r="P365" s="72"/>
      <c r="Q365" s="157" t="str" cm="1">
        <f t="array" ref="Q365">IF(OR($E365="",$I365=""),"",(INDEX('Emission factors'!$K$3:$V$201,MATCH('Buildings - Grid Electricity'!$E365&amp;$F365,'Emission factors'!$J$3:$J$201&amp;'Emission factors'!$K$3:$K$201,0),MATCH('Buildings - Grid Electricity'!Q$6,'Emission factors'!$K$2:$V$2,0)))*$K365)</f>
        <v/>
      </c>
      <c r="R365" s="157" t="str" cm="1">
        <f t="array" ref="R365">IF(OR($E365="",$I365=""),"",(INDEX('Emission factors'!$K$3:$V$201,MATCH('Buildings - Grid Electricity'!$E365&amp;$F365,'Emission factors'!$J$3:$J$201&amp;'Emission factors'!$K$3:$K$201,0),MATCH('Buildings - Grid Electricity'!R$6,'Emission factors'!$K$2:$V$2,0)))*$K365)</f>
        <v/>
      </c>
      <c r="S365" s="157" t="str" cm="1">
        <f t="array" ref="S365">IF(OR($E365="",$I365=""),"",(INDEX('Emission factors'!$K$3:$V$201,MATCH('Buildings - Grid Electricity'!$E365&amp;$F365,'Emission factors'!$J$3:$J$201&amp;'Emission factors'!$K$3:$K$201,0),MATCH('Buildings - Grid Electricity'!S$6,'Emission factors'!$K$2:$V$2,0)))*$K365)</f>
        <v/>
      </c>
      <c r="T365" s="157" t="str" cm="1">
        <f t="array" ref="T365">IF(OR($E365="",$I365=""),"",(INDEX('Emission factors'!$K$3:$V$201,MATCH('Buildings - Grid Electricity'!$E365&amp;$F365,'Emission factors'!$J$3:$J$201&amp;'Emission factors'!$K$3:$K$201,0),MATCH('Buildings - Grid Electricity'!T$6,'Emission factors'!$K$2:$V$2,0)))*$K365)</f>
        <v/>
      </c>
      <c r="U365" s="157" t="str" cm="1">
        <f t="array" ref="U365">IF(OR($E365="",$I365=""),"",(INDEX('Emission factors'!$K$3:$V$201,MATCH('Buildings - Grid Electricity'!$E365&amp;$F365,'Emission factors'!$J$3:$J$201&amp;'Emission factors'!$K$3:$K$201,0),MATCH('Buildings - Grid Electricity'!U$6,'Emission factors'!$K$2:$V$2,0)))*$K365)</f>
        <v/>
      </c>
      <c r="V365" s="158" t="str">
        <f>IF(OR($N365="",BuildingsElectricityTable[[#This Row],[RSD]]=""),"",BuildingsElectricityTable[[#This Row],[Total emissions (kgCO2e)]]*(1+BuildingsElectricityTable[[#This Row],[RSD]]))</f>
        <v/>
      </c>
      <c r="W365" s="159" t="str">
        <f>IF(OR($N365="",BuildingsElectricityTable[[#This Row],[RSD]]=""),"",BuildingsElectricityTable[[#This Row],[Total emissions (kgCO2e)]]*(1-BuildingsElectricityTable[[#This Row],[RSD]]))</f>
        <v/>
      </c>
      <c r="X365" s="169" t="str" cm="1">
        <f t="array" ref="X365">IF(OR($E365="",$I365=""),"",(INDEX('Emission factors'!$K$3:$V$201,MATCH('Buildings - Grid Electricity'!$E365&amp;$F365,'Emission factors'!$J$3:$J$201&amp;'Emission factors'!$K$3:$K$201,0),MATCH('Buildings - Grid Electricity'!X$6,'Emission factors'!$K$2:$V$2,0)))*$K365)</f>
        <v/>
      </c>
      <c r="Y365" s="30"/>
      <c r="Z365" s="1" cm="1">
        <f t="array" ref="Z365">IF(OR(ISERROR(B365:X365)),1,0)</f>
        <v>0</v>
      </c>
      <c r="AA365" s="1">
        <f t="shared" si="33"/>
        <v>0</v>
      </c>
    </row>
    <row r="366" spans="1:27" ht="15" outlineLevel="1" thickBot="1" x14ac:dyDescent="0.4">
      <c r="A366" s="319"/>
      <c r="B366" s="216"/>
      <c r="C366" s="216"/>
      <c r="D366" s="233" t="str">
        <f>IFERROR(INDEX(BuildingInformationTable[Site type],MATCH(BuildingsElectricityTable[[#This Row],[Site name]],BuildingInformationTable[Site name],0)),"")</f>
        <v/>
      </c>
      <c r="E366" s="311" t="str">
        <f t="shared" si="32"/>
        <v/>
      </c>
      <c r="F366" s="311" t="str">
        <f t="shared" si="0"/>
        <v/>
      </c>
      <c r="G366" s="72"/>
      <c r="H366" s="98" t="str">
        <f>IF(G366="","",INDEX(Lists!$BA$4:$BC$31,MATCH(E366,Lists!$AZ$4:$AZ$31,0),MATCH(G366,Lists!$BA$3:$BC$3,0)))</f>
        <v/>
      </c>
      <c r="I366" s="70"/>
      <c r="J366" s="311" t="str">
        <f t="shared" si="1"/>
        <v/>
      </c>
      <c r="K366" s="75" t="str" cm="1">
        <f t="array" ref="K366">IF(OR($E366="",$D366="",$I366="",$J366=""),"",IF(J366=L366,I366,(INDEX('Emission factors'!$K$3:$V$201,MATCH(E366&amp;F366,'Emission factors'!$J$3:$J$201&amp;'Emission factors'!$K$3:$K$201,0),MATCH(K$6,'Emission factors'!$K$2:$V$2,0)))*I366))</f>
        <v/>
      </c>
      <c r="L366" s="312" t="str">
        <f>IF(OR($E366="",$D366="",$I366="",$J366=""),"",INDEX('Emission factors'!$K$3:$V$201,MATCH('Buildings - Grid Electricity'!$E366,'Emission factors'!$J$3:$J$201,0),MATCH($L$6,'Emission factors'!$K$2:$V$2,0)))</f>
        <v/>
      </c>
      <c r="M366" s="313" t="str" cm="1">
        <f t="array" ref="M366">IF(OR(E366="",I366="",BuildingsElectricityTable[[#This Row],[Units]]=""),"",INDEX('Emission factors'!$K$3:$V$201,MATCH('Buildings - Grid Electricity'!$E366&amp;F366,'Emission factors'!$J$3:$J$201&amp;'Emission factors'!$K$3:$K$201,0),MATCH('Buildings - Grid Electricity'!$M$6,'Emission factors'!$K$2:$V$2,0)))</f>
        <v/>
      </c>
      <c r="N366" s="156" t="str">
        <f>IF(OR(K366="",M366=""),"",SUM(BuildingsElectricityTable[[#This Row],[Direct]:[Indirect WTT]]))</f>
        <v/>
      </c>
      <c r="O366" s="71"/>
      <c r="P366" s="72"/>
      <c r="Q366" s="157" t="str" cm="1">
        <f t="array" ref="Q366">IF(OR($E366="",$I366=""),"",(INDEX('Emission factors'!$K$3:$V$201,MATCH('Buildings - Grid Electricity'!$E366&amp;$F366,'Emission factors'!$J$3:$J$201&amp;'Emission factors'!$K$3:$K$201,0),MATCH('Buildings - Grid Electricity'!Q$6,'Emission factors'!$K$2:$V$2,0)))*$K366)</f>
        <v/>
      </c>
      <c r="R366" s="157" t="str" cm="1">
        <f t="array" ref="R366">IF(OR($E366="",$I366=""),"",(INDEX('Emission factors'!$K$3:$V$201,MATCH('Buildings - Grid Electricity'!$E366&amp;$F366,'Emission factors'!$J$3:$J$201&amp;'Emission factors'!$K$3:$K$201,0),MATCH('Buildings - Grid Electricity'!R$6,'Emission factors'!$K$2:$V$2,0)))*$K366)</f>
        <v/>
      </c>
      <c r="S366" s="157" t="str" cm="1">
        <f t="array" ref="S366">IF(OR($E366="",$I366=""),"",(INDEX('Emission factors'!$K$3:$V$201,MATCH('Buildings - Grid Electricity'!$E366&amp;$F366,'Emission factors'!$J$3:$J$201&amp;'Emission factors'!$K$3:$K$201,0),MATCH('Buildings - Grid Electricity'!S$6,'Emission factors'!$K$2:$V$2,0)))*$K366)</f>
        <v/>
      </c>
      <c r="T366" s="157" t="str" cm="1">
        <f t="array" ref="T366">IF(OR($E366="",$I366=""),"",(INDEX('Emission factors'!$K$3:$V$201,MATCH('Buildings - Grid Electricity'!$E366&amp;$F366,'Emission factors'!$J$3:$J$201&amp;'Emission factors'!$K$3:$K$201,0),MATCH('Buildings - Grid Electricity'!T$6,'Emission factors'!$K$2:$V$2,0)))*$K366)</f>
        <v/>
      </c>
      <c r="U366" s="157" t="str" cm="1">
        <f t="array" ref="U366">IF(OR($E366="",$I366=""),"",(INDEX('Emission factors'!$K$3:$V$201,MATCH('Buildings - Grid Electricity'!$E366&amp;$F366,'Emission factors'!$J$3:$J$201&amp;'Emission factors'!$K$3:$K$201,0),MATCH('Buildings - Grid Electricity'!U$6,'Emission factors'!$K$2:$V$2,0)))*$K366)</f>
        <v/>
      </c>
      <c r="V366" s="158" t="str">
        <f>IF(OR($N366="",BuildingsElectricityTable[[#This Row],[RSD]]=""),"",BuildingsElectricityTable[[#This Row],[Total emissions (kgCO2e)]]*(1+BuildingsElectricityTable[[#This Row],[RSD]]))</f>
        <v/>
      </c>
      <c r="W366" s="159" t="str">
        <f>IF(OR($N366="",BuildingsElectricityTable[[#This Row],[RSD]]=""),"",BuildingsElectricityTable[[#This Row],[Total emissions (kgCO2e)]]*(1-BuildingsElectricityTable[[#This Row],[RSD]]))</f>
        <v/>
      </c>
      <c r="X366" s="169" t="str" cm="1">
        <f t="array" ref="X366">IF(OR($E366="",$I366=""),"",(INDEX('Emission factors'!$K$3:$V$201,MATCH('Buildings - Grid Electricity'!$E366&amp;$F366,'Emission factors'!$J$3:$J$201&amp;'Emission factors'!$K$3:$K$201,0),MATCH('Buildings - Grid Electricity'!X$6,'Emission factors'!$K$2:$V$2,0)))*$K366)</f>
        <v/>
      </c>
      <c r="Y366" s="30"/>
      <c r="Z366" s="1" cm="1">
        <f t="array" ref="Z366">IF(OR(ISERROR(B366:X366)),1,0)</f>
        <v>0</v>
      </c>
      <c r="AA366" s="1">
        <f t="shared" si="33"/>
        <v>0</v>
      </c>
    </row>
    <row r="367" spans="1:27" ht="15" outlineLevel="1" thickBot="1" x14ac:dyDescent="0.4">
      <c r="A367" s="319"/>
      <c r="B367" s="216"/>
      <c r="C367" s="216"/>
      <c r="D367" s="233" t="str">
        <f>IFERROR(INDEX(BuildingInformationTable[Site type],MATCH(BuildingsElectricityTable[[#This Row],[Site name]],BuildingInformationTable[Site name],0)),"")</f>
        <v/>
      </c>
      <c r="E367" s="311" t="str">
        <f t="shared" si="32"/>
        <v/>
      </c>
      <c r="F367" s="311" t="str">
        <f t="shared" si="0"/>
        <v/>
      </c>
      <c r="G367" s="72"/>
      <c r="H367" s="98" t="str">
        <f>IF(G367="","",INDEX(Lists!$BA$4:$BC$31,MATCH(E367,Lists!$AZ$4:$AZ$31,0),MATCH(G367,Lists!$BA$3:$BC$3,0)))</f>
        <v/>
      </c>
      <c r="I367" s="70"/>
      <c r="J367" s="311" t="str">
        <f t="shared" si="1"/>
        <v/>
      </c>
      <c r="K367" s="75" t="str" cm="1">
        <f t="array" ref="K367">IF(OR($E367="",$D367="",$I367="",$J367=""),"",IF(J367=L367,I367,(INDEX('Emission factors'!$K$3:$V$201,MATCH(E367&amp;F367,'Emission factors'!$J$3:$J$201&amp;'Emission factors'!$K$3:$K$201,0),MATCH(K$6,'Emission factors'!$K$2:$V$2,0)))*I367))</f>
        <v/>
      </c>
      <c r="L367" s="312" t="str">
        <f>IF(OR($E367="",$D367="",$I367="",$J367=""),"",INDEX('Emission factors'!$K$3:$V$201,MATCH('Buildings - Grid Electricity'!$E367,'Emission factors'!$J$3:$J$201,0),MATCH($L$6,'Emission factors'!$K$2:$V$2,0)))</f>
        <v/>
      </c>
      <c r="M367" s="313" t="str" cm="1">
        <f t="array" ref="M367">IF(OR(E367="",I367="",BuildingsElectricityTable[[#This Row],[Units]]=""),"",INDEX('Emission factors'!$K$3:$V$201,MATCH('Buildings - Grid Electricity'!$E367&amp;F367,'Emission factors'!$J$3:$J$201&amp;'Emission factors'!$K$3:$K$201,0),MATCH('Buildings - Grid Electricity'!$M$6,'Emission factors'!$K$2:$V$2,0)))</f>
        <v/>
      </c>
      <c r="N367" s="156" t="str">
        <f>IF(OR(K367="",M367=""),"",SUM(BuildingsElectricityTable[[#This Row],[Direct]:[Indirect WTT]]))</f>
        <v/>
      </c>
      <c r="O367" s="71"/>
      <c r="P367" s="72"/>
      <c r="Q367" s="157" t="str" cm="1">
        <f t="array" ref="Q367">IF(OR($E367="",$I367=""),"",(INDEX('Emission factors'!$K$3:$V$201,MATCH('Buildings - Grid Electricity'!$E367&amp;$F367,'Emission factors'!$J$3:$J$201&amp;'Emission factors'!$K$3:$K$201,0),MATCH('Buildings - Grid Electricity'!Q$6,'Emission factors'!$K$2:$V$2,0)))*$K367)</f>
        <v/>
      </c>
      <c r="R367" s="157" t="str" cm="1">
        <f t="array" ref="R367">IF(OR($E367="",$I367=""),"",(INDEX('Emission factors'!$K$3:$V$201,MATCH('Buildings - Grid Electricity'!$E367&amp;$F367,'Emission factors'!$J$3:$J$201&amp;'Emission factors'!$K$3:$K$201,0),MATCH('Buildings - Grid Electricity'!R$6,'Emission factors'!$K$2:$V$2,0)))*$K367)</f>
        <v/>
      </c>
      <c r="S367" s="157" t="str" cm="1">
        <f t="array" ref="S367">IF(OR($E367="",$I367=""),"",(INDEX('Emission factors'!$K$3:$V$201,MATCH('Buildings - Grid Electricity'!$E367&amp;$F367,'Emission factors'!$J$3:$J$201&amp;'Emission factors'!$K$3:$K$201,0),MATCH('Buildings - Grid Electricity'!S$6,'Emission factors'!$K$2:$V$2,0)))*$K367)</f>
        <v/>
      </c>
      <c r="T367" s="157" t="str" cm="1">
        <f t="array" ref="T367">IF(OR($E367="",$I367=""),"",(INDEX('Emission factors'!$K$3:$V$201,MATCH('Buildings - Grid Electricity'!$E367&amp;$F367,'Emission factors'!$J$3:$J$201&amp;'Emission factors'!$K$3:$K$201,0),MATCH('Buildings - Grid Electricity'!T$6,'Emission factors'!$K$2:$V$2,0)))*$K367)</f>
        <v/>
      </c>
      <c r="U367" s="157" t="str" cm="1">
        <f t="array" ref="U367">IF(OR($E367="",$I367=""),"",(INDEX('Emission factors'!$K$3:$V$201,MATCH('Buildings - Grid Electricity'!$E367&amp;$F367,'Emission factors'!$J$3:$J$201&amp;'Emission factors'!$K$3:$K$201,0),MATCH('Buildings - Grid Electricity'!U$6,'Emission factors'!$K$2:$V$2,0)))*$K367)</f>
        <v/>
      </c>
      <c r="V367" s="158" t="str">
        <f>IF(OR($N367="",BuildingsElectricityTable[[#This Row],[RSD]]=""),"",BuildingsElectricityTable[[#This Row],[Total emissions (kgCO2e)]]*(1+BuildingsElectricityTable[[#This Row],[RSD]]))</f>
        <v/>
      </c>
      <c r="W367" s="159" t="str">
        <f>IF(OR($N367="",BuildingsElectricityTable[[#This Row],[RSD]]=""),"",BuildingsElectricityTable[[#This Row],[Total emissions (kgCO2e)]]*(1-BuildingsElectricityTable[[#This Row],[RSD]]))</f>
        <v/>
      </c>
      <c r="X367" s="169" t="str" cm="1">
        <f t="array" ref="X367">IF(OR($E367="",$I367=""),"",(INDEX('Emission factors'!$K$3:$V$201,MATCH('Buildings - Grid Electricity'!$E367&amp;$F367,'Emission factors'!$J$3:$J$201&amp;'Emission factors'!$K$3:$K$201,0),MATCH('Buildings - Grid Electricity'!X$6,'Emission factors'!$K$2:$V$2,0)))*$K367)</f>
        <v/>
      </c>
      <c r="Y367" s="30"/>
      <c r="Z367" s="1" cm="1">
        <f t="array" ref="Z367">IF(OR(ISERROR(B367:X367)),1,0)</f>
        <v>0</v>
      </c>
      <c r="AA367" s="1">
        <f t="shared" si="33"/>
        <v>0</v>
      </c>
    </row>
    <row r="368" spans="1:27" ht="15" outlineLevel="1" thickBot="1" x14ac:dyDescent="0.4">
      <c r="A368" s="319"/>
      <c r="B368" s="216"/>
      <c r="C368" s="216"/>
      <c r="D368" s="233" t="str">
        <f>IFERROR(INDEX(BuildingInformationTable[Site type],MATCH(BuildingsElectricityTable[[#This Row],[Site name]],BuildingInformationTable[Site name],0)),"")</f>
        <v/>
      </c>
      <c r="E368" s="311" t="str">
        <f t="shared" si="32"/>
        <v/>
      </c>
      <c r="F368" s="311" t="str">
        <f t="shared" si="0"/>
        <v/>
      </c>
      <c r="G368" s="72"/>
      <c r="H368" s="98" t="str">
        <f>IF(G368="","",INDEX(Lists!$BA$4:$BC$31,MATCH(E368,Lists!$AZ$4:$AZ$31,0),MATCH(G368,Lists!$BA$3:$BC$3,0)))</f>
        <v/>
      </c>
      <c r="I368" s="70"/>
      <c r="J368" s="311" t="str">
        <f t="shared" si="1"/>
        <v/>
      </c>
      <c r="K368" s="75" t="str" cm="1">
        <f t="array" ref="K368">IF(OR($E368="",$D368="",$I368="",$J368=""),"",IF(J368=L368,I368,(INDEX('Emission factors'!$K$3:$V$201,MATCH(E368&amp;F368,'Emission factors'!$J$3:$J$201&amp;'Emission factors'!$K$3:$K$201,0),MATCH(K$6,'Emission factors'!$K$2:$V$2,0)))*I368))</f>
        <v/>
      </c>
      <c r="L368" s="312" t="str">
        <f>IF(OR($E368="",$D368="",$I368="",$J368=""),"",INDEX('Emission factors'!$K$3:$V$201,MATCH('Buildings - Grid Electricity'!$E368,'Emission factors'!$J$3:$J$201,0),MATCH($L$6,'Emission factors'!$K$2:$V$2,0)))</f>
        <v/>
      </c>
      <c r="M368" s="313" t="str" cm="1">
        <f t="array" ref="M368">IF(OR(E368="",I368="",BuildingsElectricityTable[[#This Row],[Units]]=""),"",INDEX('Emission factors'!$K$3:$V$201,MATCH('Buildings - Grid Electricity'!$E368&amp;F368,'Emission factors'!$J$3:$J$201&amp;'Emission factors'!$K$3:$K$201,0),MATCH('Buildings - Grid Electricity'!$M$6,'Emission factors'!$K$2:$V$2,0)))</f>
        <v/>
      </c>
      <c r="N368" s="156" t="str">
        <f>IF(OR(K368="",M368=""),"",SUM(BuildingsElectricityTable[[#This Row],[Direct]:[Indirect WTT]]))</f>
        <v/>
      </c>
      <c r="O368" s="71"/>
      <c r="P368" s="72"/>
      <c r="Q368" s="157" t="str" cm="1">
        <f t="array" ref="Q368">IF(OR($E368="",$I368=""),"",(INDEX('Emission factors'!$K$3:$V$201,MATCH('Buildings - Grid Electricity'!$E368&amp;$F368,'Emission factors'!$J$3:$J$201&amp;'Emission factors'!$K$3:$K$201,0),MATCH('Buildings - Grid Electricity'!Q$6,'Emission factors'!$K$2:$V$2,0)))*$K368)</f>
        <v/>
      </c>
      <c r="R368" s="157" t="str" cm="1">
        <f t="array" ref="R368">IF(OR($E368="",$I368=""),"",(INDEX('Emission factors'!$K$3:$V$201,MATCH('Buildings - Grid Electricity'!$E368&amp;$F368,'Emission factors'!$J$3:$J$201&amp;'Emission factors'!$K$3:$K$201,0),MATCH('Buildings - Grid Electricity'!R$6,'Emission factors'!$K$2:$V$2,0)))*$K368)</f>
        <v/>
      </c>
      <c r="S368" s="157" t="str" cm="1">
        <f t="array" ref="S368">IF(OR($E368="",$I368=""),"",(INDEX('Emission factors'!$K$3:$V$201,MATCH('Buildings - Grid Electricity'!$E368&amp;$F368,'Emission factors'!$J$3:$J$201&amp;'Emission factors'!$K$3:$K$201,0),MATCH('Buildings - Grid Electricity'!S$6,'Emission factors'!$K$2:$V$2,0)))*$K368)</f>
        <v/>
      </c>
      <c r="T368" s="157" t="str" cm="1">
        <f t="array" ref="T368">IF(OR($E368="",$I368=""),"",(INDEX('Emission factors'!$K$3:$V$201,MATCH('Buildings - Grid Electricity'!$E368&amp;$F368,'Emission factors'!$J$3:$J$201&amp;'Emission factors'!$K$3:$K$201,0),MATCH('Buildings - Grid Electricity'!T$6,'Emission factors'!$K$2:$V$2,0)))*$K368)</f>
        <v/>
      </c>
      <c r="U368" s="157" t="str" cm="1">
        <f t="array" ref="U368">IF(OR($E368="",$I368=""),"",(INDEX('Emission factors'!$K$3:$V$201,MATCH('Buildings - Grid Electricity'!$E368&amp;$F368,'Emission factors'!$J$3:$J$201&amp;'Emission factors'!$K$3:$K$201,0),MATCH('Buildings - Grid Electricity'!U$6,'Emission factors'!$K$2:$V$2,0)))*$K368)</f>
        <v/>
      </c>
      <c r="V368" s="158" t="str">
        <f>IF(OR($N368="",BuildingsElectricityTable[[#This Row],[RSD]]=""),"",BuildingsElectricityTable[[#This Row],[Total emissions (kgCO2e)]]*(1+BuildingsElectricityTable[[#This Row],[RSD]]))</f>
        <v/>
      </c>
      <c r="W368" s="159" t="str">
        <f>IF(OR($N368="",BuildingsElectricityTable[[#This Row],[RSD]]=""),"",BuildingsElectricityTable[[#This Row],[Total emissions (kgCO2e)]]*(1-BuildingsElectricityTable[[#This Row],[RSD]]))</f>
        <v/>
      </c>
      <c r="X368" s="169" t="str" cm="1">
        <f t="array" ref="X368">IF(OR($E368="",$I368=""),"",(INDEX('Emission factors'!$K$3:$V$201,MATCH('Buildings - Grid Electricity'!$E368&amp;$F368,'Emission factors'!$J$3:$J$201&amp;'Emission factors'!$K$3:$K$201,0),MATCH('Buildings - Grid Electricity'!X$6,'Emission factors'!$K$2:$V$2,0)))*$K368)</f>
        <v/>
      </c>
      <c r="Y368" s="30"/>
      <c r="Z368" s="1" cm="1">
        <f t="array" ref="Z368">IF(OR(ISERROR(B368:X368)),1,0)</f>
        <v>0</v>
      </c>
      <c r="AA368" s="1">
        <f t="shared" si="33"/>
        <v>0</v>
      </c>
    </row>
    <row r="369" spans="1:27" ht="15" outlineLevel="1" thickBot="1" x14ac:dyDescent="0.4">
      <c r="A369" s="319"/>
      <c r="B369" s="216"/>
      <c r="C369" s="216"/>
      <c r="D369" s="233" t="str">
        <f>IFERROR(INDEX(BuildingInformationTable[Site type],MATCH(BuildingsElectricityTable[[#This Row],[Site name]],BuildingInformationTable[Site name],0)),"")</f>
        <v/>
      </c>
      <c r="E369" s="311" t="str">
        <f t="shared" si="32"/>
        <v/>
      </c>
      <c r="F369" s="311" t="str">
        <f t="shared" si="0"/>
        <v/>
      </c>
      <c r="G369" s="72"/>
      <c r="H369" s="98" t="str">
        <f>IF(G369="","",INDEX(Lists!$BA$4:$BC$31,MATCH(E369,Lists!$AZ$4:$AZ$31,0),MATCH(G369,Lists!$BA$3:$BC$3,0)))</f>
        <v/>
      </c>
      <c r="I369" s="70"/>
      <c r="J369" s="311" t="str">
        <f t="shared" si="1"/>
        <v/>
      </c>
      <c r="K369" s="75" t="str" cm="1">
        <f t="array" ref="K369">IF(OR($E369="",$D369="",$I369="",$J369=""),"",IF(J369=L369,I369,(INDEX('Emission factors'!$K$3:$V$201,MATCH(E369&amp;F369,'Emission factors'!$J$3:$J$201&amp;'Emission factors'!$K$3:$K$201,0),MATCH(K$6,'Emission factors'!$K$2:$V$2,0)))*I369))</f>
        <v/>
      </c>
      <c r="L369" s="312" t="str">
        <f>IF(OR($E369="",$D369="",$I369="",$J369=""),"",INDEX('Emission factors'!$K$3:$V$201,MATCH('Buildings - Grid Electricity'!$E369,'Emission factors'!$J$3:$J$201,0),MATCH($L$6,'Emission factors'!$K$2:$V$2,0)))</f>
        <v/>
      </c>
      <c r="M369" s="313" t="str" cm="1">
        <f t="array" ref="M369">IF(OR(E369="",I369="",BuildingsElectricityTable[[#This Row],[Units]]=""),"",INDEX('Emission factors'!$K$3:$V$201,MATCH('Buildings - Grid Electricity'!$E369&amp;F369,'Emission factors'!$J$3:$J$201&amp;'Emission factors'!$K$3:$K$201,0),MATCH('Buildings - Grid Electricity'!$M$6,'Emission factors'!$K$2:$V$2,0)))</f>
        <v/>
      </c>
      <c r="N369" s="156" t="str">
        <f>IF(OR(K369="",M369=""),"",SUM(BuildingsElectricityTable[[#This Row],[Direct]:[Indirect WTT]]))</f>
        <v/>
      </c>
      <c r="O369" s="71"/>
      <c r="P369" s="72"/>
      <c r="Q369" s="157" t="str" cm="1">
        <f t="array" ref="Q369">IF(OR($E369="",$I369=""),"",(INDEX('Emission factors'!$K$3:$V$201,MATCH('Buildings - Grid Electricity'!$E369&amp;$F369,'Emission factors'!$J$3:$J$201&amp;'Emission factors'!$K$3:$K$201,0),MATCH('Buildings - Grid Electricity'!Q$6,'Emission factors'!$K$2:$V$2,0)))*$K369)</f>
        <v/>
      </c>
      <c r="R369" s="157" t="str" cm="1">
        <f t="array" ref="R369">IF(OR($E369="",$I369=""),"",(INDEX('Emission factors'!$K$3:$V$201,MATCH('Buildings - Grid Electricity'!$E369&amp;$F369,'Emission factors'!$J$3:$J$201&amp;'Emission factors'!$K$3:$K$201,0),MATCH('Buildings - Grid Electricity'!R$6,'Emission factors'!$K$2:$V$2,0)))*$K369)</f>
        <v/>
      </c>
      <c r="S369" s="157" t="str" cm="1">
        <f t="array" ref="S369">IF(OR($E369="",$I369=""),"",(INDEX('Emission factors'!$K$3:$V$201,MATCH('Buildings - Grid Electricity'!$E369&amp;$F369,'Emission factors'!$J$3:$J$201&amp;'Emission factors'!$K$3:$K$201,0),MATCH('Buildings - Grid Electricity'!S$6,'Emission factors'!$K$2:$V$2,0)))*$K369)</f>
        <v/>
      </c>
      <c r="T369" s="157" t="str" cm="1">
        <f t="array" ref="T369">IF(OR($E369="",$I369=""),"",(INDEX('Emission factors'!$K$3:$V$201,MATCH('Buildings - Grid Electricity'!$E369&amp;$F369,'Emission factors'!$J$3:$J$201&amp;'Emission factors'!$K$3:$K$201,0),MATCH('Buildings - Grid Electricity'!T$6,'Emission factors'!$K$2:$V$2,0)))*$K369)</f>
        <v/>
      </c>
      <c r="U369" s="157" t="str" cm="1">
        <f t="array" ref="U369">IF(OR($E369="",$I369=""),"",(INDEX('Emission factors'!$K$3:$V$201,MATCH('Buildings - Grid Electricity'!$E369&amp;$F369,'Emission factors'!$J$3:$J$201&amp;'Emission factors'!$K$3:$K$201,0),MATCH('Buildings - Grid Electricity'!U$6,'Emission factors'!$K$2:$V$2,0)))*$K369)</f>
        <v/>
      </c>
      <c r="V369" s="158" t="str">
        <f>IF(OR($N369="",BuildingsElectricityTable[[#This Row],[RSD]]=""),"",BuildingsElectricityTable[[#This Row],[Total emissions (kgCO2e)]]*(1+BuildingsElectricityTable[[#This Row],[RSD]]))</f>
        <v/>
      </c>
      <c r="W369" s="159" t="str">
        <f>IF(OR($N369="",BuildingsElectricityTable[[#This Row],[RSD]]=""),"",BuildingsElectricityTable[[#This Row],[Total emissions (kgCO2e)]]*(1-BuildingsElectricityTable[[#This Row],[RSD]]))</f>
        <v/>
      </c>
      <c r="X369" s="169" t="str" cm="1">
        <f t="array" ref="X369">IF(OR($E369="",$I369=""),"",(INDEX('Emission factors'!$K$3:$V$201,MATCH('Buildings - Grid Electricity'!$E369&amp;$F369,'Emission factors'!$J$3:$J$201&amp;'Emission factors'!$K$3:$K$201,0),MATCH('Buildings - Grid Electricity'!X$6,'Emission factors'!$K$2:$V$2,0)))*$K369)</f>
        <v/>
      </c>
      <c r="Y369" s="30"/>
      <c r="Z369" s="1" cm="1">
        <f t="array" ref="Z369">IF(OR(ISERROR(B369:X369)),1,0)</f>
        <v>0</v>
      </c>
      <c r="AA369" s="1">
        <f t="shared" si="33"/>
        <v>0</v>
      </c>
    </row>
    <row r="370" spans="1:27" ht="15" outlineLevel="1" thickBot="1" x14ac:dyDescent="0.4">
      <c r="A370" s="319"/>
      <c r="B370" s="216"/>
      <c r="C370" s="216"/>
      <c r="D370" s="233" t="str">
        <f>IFERROR(INDEX(BuildingInformationTable[Site type],MATCH(BuildingsElectricityTable[[#This Row],[Site name]],BuildingInformationTable[Site name],0)),"")</f>
        <v/>
      </c>
      <c r="E370" s="311" t="str">
        <f t="shared" si="32"/>
        <v/>
      </c>
      <c r="F370" s="311" t="str">
        <f t="shared" si="0"/>
        <v/>
      </c>
      <c r="G370" s="72"/>
      <c r="H370" s="98" t="str">
        <f>IF(G370="","",INDEX(Lists!$BA$4:$BC$31,MATCH(E370,Lists!$AZ$4:$AZ$31,0),MATCH(G370,Lists!$BA$3:$BC$3,0)))</f>
        <v/>
      </c>
      <c r="I370" s="70"/>
      <c r="J370" s="311" t="str">
        <f t="shared" si="1"/>
        <v/>
      </c>
      <c r="K370" s="75" t="str" cm="1">
        <f t="array" ref="K370">IF(OR($E370="",$D370="",$I370="",$J370=""),"",IF(J370=L370,I370,(INDEX('Emission factors'!$K$3:$V$201,MATCH(E370&amp;F370,'Emission factors'!$J$3:$J$201&amp;'Emission factors'!$K$3:$K$201,0),MATCH(K$6,'Emission factors'!$K$2:$V$2,0)))*I370))</f>
        <v/>
      </c>
      <c r="L370" s="312" t="str">
        <f>IF(OR($E370="",$D370="",$I370="",$J370=""),"",INDEX('Emission factors'!$K$3:$V$201,MATCH('Buildings - Grid Electricity'!$E370,'Emission factors'!$J$3:$J$201,0),MATCH($L$6,'Emission factors'!$K$2:$V$2,0)))</f>
        <v/>
      </c>
      <c r="M370" s="313" t="str" cm="1">
        <f t="array" ref="M370">IF(OR(E370="",I370="",BuildingsElectricityTable[[#This Row],[Units]]=""),"",INDEX('Emission factors'!$K$3:$V$201,MATCH('Buildings - Grid Electricity'!$E370&amp;F370,'Emission factors'!$J$3:$J$201&amp;'Emission factors'!$K$3:$K$201,0),MATCH('Buildings - Grid Electricity'!$M$6,'Emission factors'!$K$2:$V$2,0)))</f>
        <v/>
      </c>
      <c r="N370" s="156" t="str">
        <f>IF(OR(K370="",M370=""),"",SUM(BuildingsElectricityTable[[#This Row],[Direct]:[Indirect WTT]]))</f>
        <v/>
      </c>
      <c r="O370" s="71"/>
      <c r="P370" s="72"/>
      <c r="Q370" s="157" t="str" cm="1">
        <f t="array" ref="Q370">IF(OR($E370="",$I370=""),"",(INDEX('Emission factors'!$K$3:$V$201,MATCH('Buildings - Grid Electricity'!$E370&amp;$F370,'Emission factors'!$J$3:$J$201&amp;'Emission factors'!$K$3:$K$201,0),MATCH('Buildings - Grid Electricity'!Q$6,'Emission factors'!$K$2:$V$2,0)))*$K370)</f>
        <v/>
      </c>
      <c r="R370" s="157" t="str" cm="1">
        <f t="array" ref="R370">IF(OR($E370="",$I370=""),"",(INDEX('Emission factors'!$K$3:$V$201,MATCH('Buildings - Grid Electricity'!$E370&amp;$F370,'Emission factors'!$J$3:$J$201&amp;'Emission factors'!$K$3:$K$201,0),MATCH('Buildings - Grid Electricity'!R$6,'Emission factors'!$K$2:$V$2,0)))*$K370)</f>
        <v/>
      </c>
      <c r="S370" s="157" t="str" cm="1">
        <f t="array" ref="S370">IF(OR($E370="",$I370=""),"",(INDEX('Emission factors'!$K$3:$V$201,MATCH('Buildings - Grid Electricity'!$E370&amp;$F370,'Emission factors'!$J$3:$J$201&amp;'Emission factors'!$K$3:$K$201,0),MATCH('Buildings - Grid Electricity'!S$6,'Emission factors'!$K$2:$V$2,0)))*$K370)</f>
        <v/>
      </c>
      <c r="T370" s="157" t="str" cm="1">
        <f t="array" ref="T370">IF(OR($E370="",$I370=""),"",(INDEX('Emission factors'!$K$3:$V$201,MATCH('Buildings - Grid Electricity'!$E370&amp;$F370,'Emission factors'!$J$3:$J$201&amp;'Emission factors'!$K$3:$K$201,0),MATCH('Buildings - Grid Electricity'!T$6,'Emission factors'!$K$2:$V$2,0)))*$K370)</f>
        <v/>
      </c>
      <c r="U370" s="157" t="str" cm="1">
        <f t="array" ref="U370">IF(OR($E370="",$I370=""),"",(INDEX('Emission factors'!$K$3:$V$201,MATCH('Buildings - Grid Electricity'!$E370&amp;$F370,'Emission factors'!$J$3:$J$201&amp;'Emission factors'!$K$3:$K$201,0),MATCH('Buildings - Grid Electricity'!U$6,'Emission factors'!$K$2:$V$2,0)))*$K370)</f>
        <v/>
      </c>
      <c r="V370" s="158" t="str">
        <f>IF(OR($N370="",BuildingsElectricityTable[[#This Row],[RSD]]=""),"",BuildingsElectricityTable[[#This Row],[Total emissions (kgCO2e)]]*(1+BuildingsElectricityTable[[#This Row],[RSD]]))</f>
        <v/>
      </c>
      <c r="W370" s="159" t="str">
        <f>IF(OR($N370="",BuildingsElectricityTable[[#This Row],[RSD]]=""),"",BuildingsElectricityTable[[#This Row],[Total emissions (kgCO2e)]]*(1-BuildingsElectricityTable[[#This Row],[RSD]]))</f>
        <v/>
      </c>
      <c r="X370" s="169" t="str" cm="1">
        <f t="array" ref="X370">IF(OR($E370="",$I370=""),"",(INDEX('Emission factors'!$K$3:$V$201,MATCH('Buildings - Grid Electricity'!$E370&amp;$F370,'Emission factors'!$J$3:$J$201&amp;'Emission factors'!$K$3:$K$201,0),MATCH('Buildings - Grid Electricity'!X$6,'Emission factors'!$K$2:$V$2,0)))*$K370)</f>
        <v/>
      </c>
      <c r="Y370" s="30"/>
      <c r="Z370" s="1" cm="1">
        <f t="array" ref="Z370">IF(OR(ISERROR(B370:X370)),1,0)</f>
        <v>0</v>
      </c>
      <c r="AA370" s="1">
        <f t="shared" si="33"/>
        <v>0</v>
      </c>
    </row>
    <row r="371" spans="1:27" ht="15" outlineLevel="1" thickBot="1" x14ac:dyDescent="0.4">
      <c r="A371" s="319"/>
      <c r="B371" s="216"/>
      <c r="C371" s="216"/>
      <c r="D371" s="233" t="str">
        <f>IFERROR(INDEX(BuildingInformationTable[Site type],MATCH(BuildingsElectricityTable[[#This Row],[Site name]],BuildingInformationTable[Site name],0)),"")</f>
        <v/>
      </c>
      <c r="E371" s="311" t="str">
        <f t="shared" si="32"/>
        <v/>
      </c>
      <c r="F371" s="311" t="str">
        <f t="shared" si="0"/>
        <v/>
      </c>
      <c r="G371" s="72"/>
      <c r="H371" s="98" t="str">
        <f>IF(G371="","",INDEX(Lists!$BA$4:$BC$31,MATCH(E371,Lists!$AZ$4:$AZ$31,0),MATCH(G371,Lists!$BA$3:$BC$3,0)))</f>
        <v/>
      </c>
      <c r="I371" s="70"/>
      <c r="J371" s="311" t="str">
        <f t="shared" si="1"/>
        <v/>
      </c>
      <c r="K371" s="75" t="str" cm="1">
        <f t="array" ref="K371">IF(OR($E371="",$D371="",$I371="",$J371=""),"",IF(J371=L371,I371,(INDEX('Emission factors'!$K$3:$V$201,MATCH(E371&amp;F371,'Emission factors'!$J$3:$J$201&amp;'Emission factors'!$K$3:$K$201,0),MATCH(K$6,'Emission factors'!$K$2:$V$2,0)))*I371))</f>
        <v/>
      </c>
      <c r="L371" s="312" t="str">
        <f>IF(OR($E371="",$D371="",$I371="",$J371=""),"",INDEX('Emission factors'!$K$3:$V$201,MATCH('Buildings - Grid Electricity'!$E371,'Emission factors'!$J$3:$J$201,0),MATCH($L$6,'Emission factors'!$K$2:$V$2,0)))</f>
        <v/>
      </c>
      <c r="M371" s="313" t="str" cm="1">
        <f t="array" ref="M371">IF(OR(E371="",I371="",BuildingsElectricityTable[[#This Row],[Units]]=""),"",INDEX('Emission factors'!$K$3:$V$201,MATCH('Buildings - Grid Electricity'!$E371&amp;F371,'Emission factors'!$J$3:$J$201&amp;'Emission factors'!$K$3:$K$201,0),MATCH('Buildings - Grid Electricity'!$M$6,'Emission factors'!$K$2:$V$2,0)))</f>
        <v/>
      </c>
      <c r="N371" s="156" t="str">
        <f>IF(OR(K371="",M371=""),"",SUM(BuildingsElectricityTable[[#This Row],[Direct]:[Indirect WTT]]))</f>
        <v/>
      </c>
      <c r="O371" s="71"/>
      <c r="P371" s="72"/>
      <c r="Q371" s="157" t="str" cm="1">
        <f t="array" ref="Q371">IF(OR($E371="",$I371=""),"",(INDEX('Emission factors'!$K$3:$V$201,MATCH('Buildings - Grid Electricity'!$E371&amp;$F371,'Emission factors'!$J$3:$J$201&amp;'Emission factors'!$K$3:$K$201,0),MATCH('Buildings - Grid Electricity'!Q$6,'Emission factors'!$K$2:$V$2,0)))*$K371)</f>
        <v/>
      </c>
      <c r="R371" s="157" t="str" cm="1">
        <f t="array" ref="R371">IF(OR($E371="",$I371=""),"",(INDEX('Emission factors'!$K$3:$V$201,MATCH('Buildings - Grid Electricity'!$E371&amp;$F371,'Emission factors'!$J$3:$J$201&amp;'Emission factors'!$K$3:$K$201,0),MATCH('Buildings - Grid Electricity'!R$6,'Emission factors'!$K$2:$V$2,0)))*$K371)</f>
        <v/>
      </c>
      <c r="S371" s="157" t="str" cm="1">
        <f t="array" ref="S371">IF(OR($E371="",$I371=""),"",(INDEX('Emission factors'!$K$3:$V$201,MATCH('Buildings - Grid Electricity'!$E371&amp;$F371,'Emission factors'!$J$3:$J$201&amp;'Emission factors'!$K$3:$K$201,0),MATCH('Buildings - Grid Electricity'!S$6,'Emission factors'!$K$2:$V$2,0)))*$K371)</f>
        <v/>
      </c>
      <c r="T371" s="157" t="str" cm="1">
        <f t="array" ref="T371">IF(OR($E371="",$I371=""),"",(INDEX('Emission factors'!$K$3:$V$201,MATCH('Buildings - Grid Electricity'!$E371&amp;$F371,'Emission factors'!$J$3:$J$201&amp;'Emission factors'!$K$3:$K$201,0),MATCH('Buildings - Grid Electricity'!T$6,'Emission factors'!$K$2:$V$2,0)))*$K371)</f>
        <v/>
      </c>
      <c r="U371" s="157" t="str" cm="1">
        <f t="array" ref="U371">IF(OR($E371="",$I371=""),"",(INDEX('Emission factors'!$K$3:$V$201,MATCH('Buildings - Grid Electricity'!$E371&amp;$F371,'Emission factors'!$J$3:$J$201&amp;'Emission factors'!$K$3:$K$201,0),MATCH('Buildings - Grid Electricity'!U$6,'Emission factors'!$K$2:$V$2,0)))*$K371)</f>
        <v/>
      </c>
      <c r="V371" s="158" t="str">
        <f>IF(OR($N371="",BuildingsElectricityTable[[#This Row],[RSD]]=""),"",BuildingsElectricityTable[[#This Row],[Total emissions (kgCO2e)]]*(1+BuildingsElectricityTable[[#This Row],[RSD]]))</f>
        <v/>
      </c>
      <c r="W371" s="159" t="str">
        <f>IF(OR($N371="",BuildingsElectricityTable[[#This Row],[RSD]]=""),"",BuildingsElectricityTable[[#This Row],[Total emissions (kgCO2e)]]*(1-BuildingsElectricityTable[[#This Row],[RSD]]))</f>
        <v/>
      </c>
      <c r="X371" s="169" t="str" cm="1">
        <f t="array" ref="X371">IF(OR($E371="",$I371=""),"",(INDEX('Emission factors'!$K$3:$V$201,MATCH('Buildings - Grid Electricity'!$E371&amp;$F371,'Emission factors'!$J$3:$J$201&amp;'Emission factors'!$K$3:$K$201,0),MATCH('Buildings - Grid Electricity'!X$6,'Emission factors'!$K$2:$V$2,0)))*$K371)</f>
        <v/>
      </c>
      <c r="Y371" s="30"/>
      <c r="Z371" s="1" cm="1">
        <f t="array" ref="Z371">IF(OR(ISERROR(B371:X371)),1,0)</f>
        <v>0</v>
      </c>
      <c r="AA371" s="1">
        <f t="shared" si="33"/>
        <v>0</v>
      </c>
    </row>
    <row r="372" spans="1:27" ht="15" outlineLevel="1" thickBot="1" x14ac:dyDescent="0.4">
      <c r="A372" s="319"/>
      <c r="B372" s="216"/>
      <c r="C372" s="216"/>
      <c r="D372" s="233" t="str">
        <f>IFERROR(INDEX(BuildingInformationTable[Site type],MATCH(BuildingsElectricityTable[[#This Row],[Site name]],BuildingInformationTable[Site name],0)),"")</f>
        <v/>
      </c>
      <c r="E372" s="311" t="str">
        <f t="shared" si="32"/>
        <v/>
      </c>
      <c r="F372" s="311" t="str">
        <f t="shared" si="0"/>
        <v/>
      </c>
      <c r="G372" s="72"/>
      <c r="H372" s="98" t="str">
        <f>IF(G372="","",INDEX(Lists!$BA$4:$BC$31,MATCH(E372,Lists!$AZ$4:$AZ$31,0),MATCH(G372,Lists!$BA$3:$BC$3,0)))</f>
        <v/>
      </c>
      <c r="I372" s="70"/>
      <c r="J372" s="311" t="str">
        <f t="shared" ref="J372:J453" si="34">IF(I372="", "", "kWh")</f>
        <v/>
      </c>
      <c r="K372" s="75" t="str" cm="1">
        <f t="array" ref="K372">IF(OR($E372="",$D372="",$I372="",$J372=""),"",IF(J372=L372,I372,(INDEX('Emission factors'!$K$3:$V$201,MATCH(E372&amp;F372,'Emission factors'!$J$3:$J$201&amp;'Emission factors'!$K$3:$K$201,0),MATCH(K$6,'Emission factors'!$K$2:$V$2,0)))*I372))</f>
        <v/>
      </c>
      <c r="L372" s="312" t="str">
        <f>IF(OR($E372="",$D372="",$I372="",$J372=""),"",INDEX('Emission factors'!$K$3:$V$201,MATCH('Buildings - Grid Electricity'!$E372,'Emission factors'!$J$3:$J$201,0),MATCH($L$6,'Emission factors'!$K$2:$V$2,0)))</f>
        <v/>
      </c>
      <c r="M372" s="313" t="str" cm="1">
        <f t="array" ref="M372">IF(OR(E372="",I372="",BuildingsElectricityTable[[#This Row],[Units]]=""),"",INDEX('Emission factors'!$K$3:$V$201,MATCH('Buildings - Grid Electricity'!$E372&amp;F372,'Emission factors'!$J$3:$J$201&amp;'Emission factors'!$K$3:$K$201,0),MATCH('Buildings - Grid Electricity'!$M$6,'Emission factors'!$K$2:$V$2,0)))</f>
        <v/>
      </c>
      <c r="N372" s="156" t="str">
        <f>IF(OR(K372="",M372=""),"",SUM(BuildingsElectricityTable[[#This Row],[Direct]:[Indirect WTT]]))</f>
        <v/>
      </c>
      <c r="O372" s="71"/>
      <c r="P372" s="72"/>
      <c r="Q372" s="157" t="str" cm="1">
        <f t="array" ref="Q372">IF(OR($E372="",$I372=""),"",(INDEX('Emission factors'!$K$3:$V$201,MATCH('Buildings - Grid Electricity'!$E372&amp;$F372,'Emission factors'!$J$3:$J$201&amp;'Emission factors'!$K$3:$K$201,0),MATCH('Buildings - Grid Electricity'!Q$6,'Emission factors'!$K$2:$V$2,0)))*$K372)</f>
        <v/>
      </c>
      <c r="R372" s="157" t="str" cm="1">
        <f t="array" ref="R372">IF(OR($E372="",$I372=""),"",(INDEX('Emission factors'!$K$3:$V$201,MATCH('Buildings - Grid Electricity'!$E372&amp;$F372,'Emission factors'!$J$3:$J$201&amp;'Emission factors'!$K$3:$K$201,0),MATCH('Buildings - Grid Electricity'!R$6,'Emission factors'!$K$2:$V$2,0)))*$K372)</f>
        <v/>
      </c>
      <c r="S372" s="157" t="str" cm="1">
        <f t="array" ref="S372">IF(OR($E372="",$I372=""),"",(INDEX('Emission factors'!$K$3:$V$201,MATCH('Buildings - Grid Electricity'!$E372&amp;$F372,'Emission factors'!$J$3:$J$201&amp;'Emission factors'!$K$3:$K$201,0),MATCH('Buildings - Grid Electricity'!S$6,'Emission factors'!$K$2:$V$2,0)))*$K372)</f>
        <v/>
      </c>
      <c r="T372" s="157" t="str" cm="1">
        <f t="array" ref="T372">IF(OR($E372="",$I372=""),"",(INDEX('Emission factors'!$K$3:$V$201,MATCH('Buildings - Grid Electricity'!$E372&amp;$F372,'Emission factors'!$J$3:$J$201&amp;'Emission factors'!$K$3:$K$201,0),MATCH('Buildings - Grid Electricity'!T$6,'Emission factors'!$K$2:$V$2,0)))*$K372)</f>
        <v/>
      </c>
      <c r="U372" s="157" t="str" cm="1">
        <f t="array" ref="U372">IF(OR($E372="",$I372=""),"",(INDEX('Emission factors'!$K$3:$V$201,MATCH('Buildings - Grid Electricity'!$E372&amp;$F372,'Emission factors'!$J$3:$J$201&amp;'Emission factors'!$K$3:$K$201,0),MATCH('Buildings - Grid Electricity'!U$6,'Emission factors'!$K$2:$V$2,0)))*$K372)</f>
        <v/>
      </c>
      <c r="V372" s="158" t="str">
        <f>IF(OR($N372="",BuildingsElectricityTable[[#This Row],[RSD]]=""),"",BuildingsElectricityTable[[#This Row],[Total emissions (kgCO2e)]]*(1+BuildingsElectricityTable[[#This Row],[RSD]]))</f>
        <v/>
      </c>
      <c r="W372" s="159" t="str">
        <f>IF(OR($N372="",BuildingsElectricityTable[[#This Row],[RSD]]=""),"",BuildingsElectricityTable[[#This Row],[Total emissions (kgCO2e)]]*(1-BuildingsElectricityTable[[#This Row],[RSD]]))</f>
        <v/>
      </c>
      <c r="X372" s="169" t="str" cm="1">
        <f t="array" ref="X372">IF(OR($E372="",$I372=""),"",(INDEX('Emission factors'!$K$3:$V$201,MATCH('Buildings - Grid Electricity'!$E372&amp;$F372,'Emission factors'!$J$3:$J$201&amp;'Emission factors'!$K$3:$K$201,0),MATCH('Buildings - Grid Electricity'!X$6,'Emission factors'!$K$2:$V$2,0)))*$K372)</f>
        <v/>
      </c>
      <c r="Y372" s="30"/>
      <c r="Z372" s="1" cm="1">
        <f t="array" ref="Z372">IF(OR(ISERROR(B372:X372)),1,0)</f>
        <v>0</v>
      </c>
      <c r="AA372" s="1">
        <f t="shared" si="33"/>
        <v>0</v>
      </c>
    </row>
    <row r="373" spans="1:27" ht="15" outlineLevel="1" thickBot="1" x14ac:dyDescent="0.4">
      <c r="A373" s="319"/>
      <c r="B373" s="216"/>
      <c r="C373" s="216"/>
      <c r="D373" s="233" t="str">
        <f>IFERROR(INDEX(BuildingInformationTable[Site type],MATCH(BuildingsElectricityTable[[#This Row],[Site name]],BuildingInformationTable[Site name],0)),"")</f>
        <v/>
      </c>
      <c r="E373" s="311" t="str">
        <f t="shared" si="32"/>
        <v/>
      </c>
      <c r="F373" s="311" t="str">
        <f t="shared" si="0"/>
        <v/>
      </c>
      <c r="G373" s="72"/>
      <c r="H373" s="98" t="str">
        <f>IF(G373="","",INDEX(Lists!$BA$4:$BC$31,MATCH(E373,Lists!$AZ$4:$AZ$31,0),MATCH(G373,Lists!$BA$3:$BC$3,0)))</f>
        <v/>
      </c>
      <c r="I373" s="70"/>
      <c r="J373" s="311" t="str">
        <f t="shared" si="34"/>
        <v/>
      </c>
      <c r="K373" s="75" t="str" cm="1">
        <f t="array" ref="K373">IF(OR($E373="",$D373="",$I373="",$J373=""),"",IF(J373=L373,I373,(INDEX('Emission factors'!$K$3:$V$201,MATCH(E373&amp;F373,'Emission factors'!$J$3:$J$201&amp;'Emission factors'!$K$3:$K$201,0),MATCH(K$6,'Emission factors'!$K$2:$V$2,0)))*I373))</f>
        <v/>
      </c>
      <c r="L373" s="312" t="str">
        <f>IF(OR($E373="",$D373="",$I373="",$J373=""),"",INDEX('Emission factors'!$K$3:$V$201,MATCH('Buildings - Grid Electricity'!$E373,'Emission factors'!$J$3:$J$201,0),MATCH($L$6,'Emission factors'!$K$2:$V$2,0)))</f>
        <v/>
      </c>
      <c r="M373" s="313" t="str" cm="1">
        <f t="array" ref="M373">IF(OR(E373="",I373="",BuildingsElectricityTable[[#This Row],[Units]]=""),"",INDEX('Emission factors'!$K$3:$V$201,MATCH('Buildings - Grid Electricity'!$E373&amp;F373,'Emission factors'!$J$3:$J$201&amp;'Emission factors'!$K$3:$K$201,0),MATCH('Buildings - Grid Electricity'!$M$6,'Emission factors'!$K$2:$V$2,0)))</f>
        <v/>
      </c>
      <c r="N373" s="156" t="str">
        <f>IF(OR(K373="",M373=""),"",SUM(BuildingsElectricityTable[[#This Row],[Direct]:[Indirect WTT]]))</f>
        <v/>
      </c>
      <c r="O373" s="71"/>
      <c r="P373" s="72"/>
      <c r="Q373" s="157" t="str" cm="1">
        <f t="array" ref="Q373">IF(OR($E373="",$I373=""),"",(INDEX('Emission factors'!$K$3:$V$201,MATCH('Buildings - Grid Electricity'!$E373&amp;$F373,'Emission factors'!$J$3:$J$201&amp;'Emission factors'!$K$3:$K$201,0),MATCH('Buildings - Grid Electricity'!Q$6,'Emission factors'!$K$2:$V$2,0)))*$K373)</f>
        <v/>
      </c>
      <c r="R373" s="157" t="str" cm="1">
        <f t="array" ref="R373">IF(OR($E373="",$I373=""),"",(INDEX('Emission factors'!$K$3:$V$201,MATCH('Buildings - Grid Electricity'!$E373&amp;$F373,'Emission factors'!$J$3:$J$201&amp;'Emission factors'!$K$3:$K$201,0),MATCH('Buildings - Grid Electricity'!R$6,'Emission factors'!$K$2:$V$2,0)))*$K373)</f>
        <v/>
      </c>
      <c r="S373" s="157" t="str" cm="1">
        <f t="array" ref="S373">IF(OR($E373="",$I373=""),"",(INDEX('Emission factors'!$K$3:$V$201,MATCH('Buildings - Grid Electricity'!$E373&amp;$F373,'Emission factors'!$J$3:$J$201&amp;'Emission factors'!$K$3:$K$201,0),MATCH('Buildings - Grid Electricity'!S$6,'Emission factors'!$K$2:$V$2,0)))*$K373)</f>
        <v/>
      </c>
      <c r="T373" s="157" t="str" cm="1">
        <f t="array" ref="T373">IF(OR($E373="",$I373=""),"",(INDEX('Emission factors'!$K$3:$V$201,MATCH('Buildings - Grid Electricity'!$E373&amp;$F373,'Emission factors'!$J$3:$J$201&amp;'Emission factors'!$K$3:$K$201,0),MATCH('Buildings - Grid Electricity'!T$6,'Emission factors'!$K$2:$V$2,0)))*$K373)</f>
        <v/>
      </c>
      <c r="U373" s="157" t="str" cm="1">
        <f t="array" ref="U373">IF(OR($E373="",$I373=""),"",(INDEX('Emission factors'!$K$3:$V$201,MATCH('Buildings - Grid Electricity'!$E373&amp;$F373,'Emission factors'!$J$3:$J$201&amp;'Emission factors'!$K$3:$K$201,0),MATCH('Buildings - Grid Electricity'!U$6,'Emission factors'!$K$2:$V$2,0)))*$K373)</f>
        <v/>
      </c>
      <c r="V373" s="158" t="str">
        <f>IF(OR($N373="",BuildingsElectricityTable[[#This Row],[RSD]]=""),"",BuildingsElectricityTable[[#This Row],[Total emissions (kgCO2e)]]*(1+BuildingsElectricityTable[[#This Row],[RSD]]))</f>
        <v/>
      </c>
      <c r="W373" s="159" t="str">
        <f>IF(OR($N373="",BuildingsElectricityTable[[#This Row],[RSD]]=""),"",BuildingsElectricityTable[[#This Row],[Total emissions (kgCO2e)]]*(1-BuildingsElectricityTable[[#This Row],[RSD]]))</f>
        <v/>
      </c>
      <c r="X373" s="169" t="str" cm="1">
        <f t="array" ref="X373">IF(OR($E373="",$I373=""),"",(INDEX('Emission factors'!$K$3:$V$201,MATCH('Buildings - Grid Electricity'!$E373&amp;$F373,'Emission factors'!$J$3:$J$201&amp;'Emission factors'!$K$3:$K$201,0),MATCH('Buildings - Grid Electricity'!X$6,'Emission factors'!$K$2:$V$2,0)))*$K373)</f>
        <v/>
      </c>
      <c r="Y373" s="30"/>
      <c r="Z373" s="1" cm="1">
        <f t="array" ref="Z373">IF(OR(ISERROR(B373:X373)),1,0)</f>
        <v>0</v>
      </c>
      <c r="AA373" s="1">
        <f t="shared" si="33"/>
        <v>0</v>
      </c>
    </row>
    <row r="374" spans="1:27" ht="15" outlineLevel="1" thickBot="1" x14ac:dyDescent="0.4">
      <c r="A374" s="319"/>
      <c r="B374" s="216"/>
      <c r="C374" s="216"/>
      <c r="D374" s="233" t="str">
        <f>IFERROR(INDEX(BuildingInformationTable[Site type],MATCH(BuildingsElectricityTable[[#This Row],[Site name]],BuildingInformationTable[Site name],0)),"")</f>
        <v/>
      </c>
      <c r="E374" s="311" t="str">
        <f t="shared" si="32"/>
        <v/>
      </c>
      <c r="F374" s="311" t="str">
        <f t="shared" si="0"/>
        <v/>
      </c>
      <c r="G374" s="72"/>
      <c r="H374" s="98" t="str">
        <f>IF(G374="","",INDEX(Lists!$BA$4:$BC$31,MATCH(E374,Lists!$AZ$4:$AZ$31,0),MATCH(G374,Lists!$BA$3:$BC$3,0)))</f>
        <v/>
      </c>
      <c r="I374" s="70"/>
      <c r="J374" s="311" t="str">
        <f t="shared" si="34"/>
        <v/>
      </c>
      <c r="K374" s="75" t="str" cm="1">
        <f t="array" ref="K374">IF(OR($E374="",$D374="",$I374="",$J374=""),"",IF(J374=L374,I374,(INDEX('Emission factors'!$K$3:$V$201,MATCH(E374&amp;F374,'Emission factors'!$J$3:$J$201&amp;'Emission factors'!$K$3:$K$201,0),MATCH(K$6,'Emission factors'!$K$2:$V$2,0)))*I374))</f>
        <v/>
      </c>
      <c r="L374" s="312" t="str">
        <f>IF(OR($E374="",$D374="",$I374="",$J374=""),"",INDEX('Emission factors'!$K$3:$V$201,MATCH('Buildings - Grid Electricity'!$E374,'Emission factors'!$J$3:$J$201,0),MATCH($L$6,'Emission factors'!$K$2:$V$2,0)))</f>
        <v/>
      </c>
      <c r="M374" s="313" t="str" cm="1">
        <f t="array" ref="M374">IF(OR(E374="",I374="",BuildingsElectricityTable[[#This Row],[Units]]=""),"",INDEX('Emission factors'!$K$3:$V$201,MATCH('Buildings - Grid Electricity'!$E374&amp;F374,'Emission factors'!$J$3:$J$201&amp;'Emission factors'!$K$3:$K$201,0),MATCH('Buildings - Grid Electricity'!$M$6,'Emission factors'!$K$2:$V$2,0)))</f>
        <v/>
      </c>
      <c r="N374" s="156" t="str">
        <f>IF(OR(K374="",M374=""),"",SUM(BuildingsElectricityTable[[#This Row],[Direct]:[Indirect WTT]]))</f>
        <v/>
      </c>
      <c r="O374" s="71"/>
      <c r="P374" s="72"/>
      <c r="Q374" s="157" t="str" cm="1">
        <f t="array" ref="Q374">IF(OR($E374="",$I374=""),"",(INDEX('Emission factors'!$K$3:$V$201,MATCH('Buildings - Grid Electricity'!$E374&amp;$F374,'Emission factors'!$J$3:$J$201&amp;'Emission factors'!$K$3:$K$201,0),MATCH('Buildings - Grid Electricity'!Q$6,'Emission factors'!$K$2:$V$2,0)))*$K374)</f>
        <v/>
      </c>
      <c r="R374" s="157" t="str" cm="1">
        <f t="array" ref="R374">IF(OR($E374="",$I374=""),"",(INDEX('Emission factors'!$K$3:$V$201,MATCH('Buildings - Grid Electricity'!$E374&amp;$F374,'Emission factors'!$J$3:$J$201&amp;'Emission factors'!$K$3:$K$201,0),MATCH('Buildings - Grid Electricity'!R$6,'Emission factors'!$K$2:$V$2,0)))*$K374)</f>
        <v/>
      </c>
      <c r="S374" s="157" t="str" cm="1">
        <f t="array" ref="S374">IF(OR($E374="",$I374=""),"",(INDEX('Emission factors'!$K$3:$V$201,MATCH('Buildings - Grid Electricity'!$E374&amp;$F374,'Emission factors'!$J$3:$J$201&amp;'Emission factors'!$K$3:$K$201,0),MATCH('Buildings - Grid Electricity'!S$6,'Emission factors'!$K$2:$V$2,0)))*$K374)</f>
        <v/>
      </c>
      <c r="T374" s="157" t="str" cm="1">
        <f t="array" ref="T374">IF(OR($E374="",$I374=""),"",(INDEX('Emission factors'!$K$3:$V$201,MATCH('Buildings - Grid Electricity'!$E374&amp;$F374,'Emission factors'!$J$3:$J$201&amp;'Emission factors'!$K$3:$K$201,0),MATCH('Buildings - Grid Electricity'!T$6,'Emission factors'!$K$2:$V$2,0)))*$K374)</f>
        <v/>
      </c>
      <c r="U374" s="157" t="str" cm="1">
        <f t="array" ref="U374">IF(OR($E374="",$I374=""),"",(INDEX('Emission factors'!$K$3:$V$201,MATCH('Buildings - Grid Electricity'!$E374&amp;$F374,'Emission factors'!$J$3:$J$201&amp;'Emission factors'!$K$3:$K$201,0),MATCH('Buildings - Grid Electricity'!U$6,'Emission factors'!$K$2:$V$2,0)))*$K374)</f>
        <v/>
      </c>
      <c r="V374" s="158" t="str">
        <f>IF(OR($N374="",BuildingsElectricityTable[[#This Row],[RSD]]=""),"",BuildingsElectricityTable[[#This Row],[Total emissions (kgCO2e)]]*(1+BuildingsElectricityTable[[#This Row],[RSD]]))</f>
        <v/>
      </c>
      <c r="W374" s="159" t="str">
        <f>IF(OR($N374="",BuildingsElectricityTable[[#This Row],[RSD]]=""),"",BuildingsElectricityTable[[#This Row],[Total emissions (kgCO2e)]]*(1-BuildingsElectricityTable[[#This Row],[RSD]]))</f>
        <v/>
      </c>
      <c r="X374" s="169" t="str" cm="1">
        <f t="array" ref="X374">IF(OR($E374="",$I374=""),"",(INDEX('Emission factors'!$K$3:$V$201,MATCH('Buildings - Grid Electricity'!$E374&amp;$F374,'Emission factors'!$J$3:$J$201&amp;'Emission factors'!$K$3:$K$201,0),MATCH('Buildings - Grid Electricity'!X$6,'Emission factors'!$K$2:$V$2,0)))*$K374)</f>
        <v/>
      </c>
      <c r="Y374" s="30"/>
      <c r="Z374" s="1" cm="1">
        <f t="array" ref="Z374">IF(OR(ISERROR(B374:X374)),1,0)</f>
        <v>0</v>
      </c>
      <c r="AA374" s="1">
        <f t="shared" si="33"/>
        <v>0</v>
      </c>
    </row>
    <row r="375" spans="1:27" ht="15" outlineLevel="1" thickBot="1" x14ac:dyDescent="0.4">
      <c r="A375" s="319"/>
      <c r="B375" s="216"/>
      <c r="C375" s="216"/>
      <c r="D375" s="233" t="str">
        <f>IFERROR(INDEX(BuildingInformationTable[Site type],MATCH(BuildingsElectricityTable[[#This Row],[Site name]],BuildingInformationTable[Site name],0)),"")</f>
        <v/>
      </c>
      <c r="E375" s="311" t="str">
        <f t="shared" si="32"/>
        <v/>
      </c>
      <c r="F375" s="311" t="str">
        <f t="shared" si="0"/>
        <v/>
      </c>
      <c r="G375" s="72"/>
      <c r="H375" s="98" t="str">
        <f>IF(G375="","",INDEX(Lists!$BA$4:$BC$31,MATCH(E375,Lists!$AZ$4:$AZ$31,0),MATCH(G375,Lists!$BA$3:$BC$3,0)))</f>
        <v/>
      </c>
      <c r="I375" s="70"/>
      <c r="J375" s="311" t="str">
        <f t="shared" si="34"/>
        <v/>
      </c>
      <c r="K375" s="75" t="str" cm="1">
        <f t="array" ref="K375">IF(OR($E375="",$D375="",$I375="",$J375=""),"",IF(J375=L375,I375,(INDEX('Emission factors'!$K$3:$V$201,MATCH(E375&amp;F375,'Emission factors'!$J$3:$J$201&amp;'Emission factors'!$K$3:$K$201,0),MATCH(K$6,'Emission factors'!$K$2:$V$2,0)))*I375))</f>
        <v/>
      </c>
      <c r="L375" s="312" t="str">
        <f>IF(OR($E375="",$D375="",$I375="",$J375=""),"",INDEX('Emission factors'!$K$3:$V$201,MATCH('Buildings - Grid Electricity'!$E375,'Emission factors'!$J$3:$J$201,0),MATCH($L$6,'Emission factors'!$K$2:$V$2,0)))</f>
        <v/>
      </c>
      <c r="M375" s="313" t="str" cm="1">
        <f t="array" ref="M375">IF(OR(E375="",I375="",BuildingsElectricityTable[[#This Row],[Units]]=""),"",INDEX('Emission factors'!$K$3:$V$201,MATCH('Buildings - Grid Electricity'!$E375&amp;F375,'Emission factors'!$J$3:$J$201&amp;'Emission factors'!$K$3:$K$201,0),MATCH('Buildings - Grid Electricity'!$M$6,'Emission factors'!$K$2:$V$2,0)))</f>
        <v/>
      </c>
      <c r="N375" s="156" t="str">
        <f>IF(OR(K375="",M375=""),"",SUM(BuildingsElectricityTable[[#This Row],[Direct]:[Indirect WTT]]))</f>
        <v/>
      </c>
      <c r="O375" s="71"/>
      <c r="P375" s="72"/>
      <c r="Q375" s="157" t="str" cm="1">
        <f t="array" ref="Q375">IF(OR($E375="",$I375=""),"",(INDEX('Emission factors'!$K$3:$V$201,MATCH('Buildings - Grid Electricity'!$E375&amp;$F375,'Emission factors'!$J$3:$J$201&amp;'Emission factors'!$K$3:$K$201,0),MATCH('Buildings - Grid Electricity'!Q$6,'Emission factors'!$K$2:$V$2,0)))*$K375)</f>
        <v/>
      </c>
      <c r="R375" s="157" t="str" cm="1">
        <f t="array" ref="R375">IF(OR($E375="",$I375=""),"",(INDEX('Emission factors'!$K$3:$V$201,MATCH('Buildings - Grid Electricity'!$E375&amp;$F375,'Emission factors'!$J$3:$J$201&amp;'Emission factors'!$K$3:$K$201,0),MATCH('Buildings - Grid Electricity'!R$6,'Emission factors'!$K$2:$V$2,0)))*$K375)</f>
        <v/>
      </c>
      <c r="S375" s="157" t="str" cm="1">
        <f t="array" ref="S375">IF(OR($E375="",$I375=""),"",(INDEX('Emission factors'!$K$3:$V$201,MATCH('Buildings - Grid Electricity'!$E375&amp;$F375,'Emission factors'!$J$3:$J$201&amp;'Emission factors'!$K$3:$K$201,0),MATCH('Buildings - Grid Electricity'!S$6,'Emission factors'!$K$2:$V$2,0)))*$K375)</f>
        <v/>
      </c>
      <c r="T375" s="157" t="str" cm="1">
        <f t="array" ref="T375">IF(OR($E375="",$I375=""),"",(INDEX('Emission factors'!$K$3:$V$201,MATCH('Buildings - Grid Electricity'!$E375&amp;$F375,'Emission factors'!$J$3:$J$201&amp;'Emission factors'!$K$3:$K$201,0),MATCH('Buildings - Grid Electricity'!T$6,'Emission factors'!$K$2:$V$2,0)))*$K375)</f>
        <v/>
      </c>
      <c r="U375" s="157" t="str" cm="1">
        <f t="array" ref="U375">IF(OR($E375="",$I375=""),"",(INDEX('Emission factors'!$K$3:$V$201,MATCH('Buildings - Grid Electricity'!$E375&amp;$F375,'Emission factors'!$J$3:$J$201&amp;'Emission factors'!$K$3:$K$201,0),MATCH('Buildings - Grid Electricity'!U$6,'Emission factors'!$K$2:$V$2,0)))*$K375)</f>
        <v/>
      </c>
      <c r="V375" s="158" t="str">
        <f>IF(OR($N375="",BuildingsElectricityTable[[#This Row],[RSD]]=""),"",BuildingsElectricityTable[[#This Row],[Total emissions (kgCO2e)]]*(1+BuildingsElectricityTable[[#This Row],[RSD]]))</f>
        <v/>
      </c>
      <c r="W375" s="159" t="str">
        <f>IF(OR($N375="",BuildingsElectricityTable[[#This Row],[RSD]]=""),"",BuildingsElectricityTable[[#This Row],[Total emissions (kgCO2e)]]*(1-BuildingsElectricityTable[[#This Row],[RSD]]))</f>
        <v/>
      </c>
      <c r="X375" s="169" t="str" cm="1">
        <f t="array" ref="X375">IF(OR($E375="",$I375=""),"",(INDEX('Emission factors'!$K$3:$V$201,MATCH('Buildings - Grid Electricity'!$E375&amp;$F375,'Emission factors'!$J$3:$J$201&amp;'Emission factors'!$K$3:$K$201,0),MATCH('Buildings - Grid Electricity'!X$6,'Emission factors'!$K$2:$V$2,0)))*$K375)</f>
        <v/>
      </c>
      <c r="Y375" s="30"/>
      <c r="Z375" s="1" cm="1">
        <f t="array" ref="Z375">IF(OR(ISERROR(B375:X375)),1,0)</f>
        <v>0</v>
      </c>
      <c r="AA375" s="1">
        <f t="shared" si="33"/>
        <v>0</v>
      </c>
    </row>
    <row r="376" spans="1:27" ht="15" outlineLevel="1" thickBot="1" x14ac:dyDescent="0.4">
      <c r="A376" s="319"/>
      <c r="B376" s="216"/>
      <c r="C376" s="216"/>
      <c r="D376" s="233" t="str">
        <f>IFERROR(INDEX(BuildingInformationTable[Site type],MATCH(BuildingsElectricityTable[[#This Row],[Site name]],BuildingInformationTable[Site name],0)),"")</f>
        <v/>
      </c>
      <c r="E376" s="311" t="str">
        <f t="shared" si="32"/>
        <v/>
      </c>
      <c r="F376" s="311" t="str">
        <f t="shared" si="0"/>
        <v/>
      </c>
      <c r="G376" s="72"/>
      <c r="H376" s="98" t="str">
        <f>IF(G376="","",INDEX(Lists!$BA$4:$BC$31,MATCH(E376,Lists!$AZ$4:$AZ$31,0),MATCH(G376,Lists!$BA$3:$BC$3,0)))</f>
        <v/>
      </c>
      <c r="I376" s="70"/>
      <c r="J376" s="311" t="str">
        <f t="shared" si="34"/>
        <v/>
      </c>
      <c r="K376" s="75" t="str" cm="1">
        <f t="array" ref="K376">IF(OR($E376="",$D376="",$I376="",$J376=""),"",IF(J376=L376,I376,(INDEX('Emission factors'!$K$3:$V$201,MATCH(E376&amp;F376,'Emission factors'!$J$3:$J$201&amp;'Emission factors'!$K$3:$K$201,0),MATCH(K$6,'Emission factors'!$K$2:$V$2,0)))*I376))</f>
        <v/>
      </c>
      <c r="L376" s="312" t="str">
        <f>IF(OR($E376="",$D376="",$I376="",$J376=""),"",INDEX('Emission factors'!$K$3:$V$201,MATCH('Buildings - Grid Electricity'!$E376,'Emission factors'!$J$3:$J$201,0),MATCH($L$6,'Emission factors'!$K$2:$V$2,0)))</f>
        <v/>
      </c>
      <c r="M376" s="313" t="str" cm="1">
        <f t="array" ref="M376">IF(OR(E376="",I376="",BuildingsElectricityTable[[#This Row],[Units]]=""),"",INDEX('Emission factors'!$K$3:$V$201,MATCH('Buildings - Grid Electricity'!$E376&amp;F376,'Emission factors'!$J$3:$J$201&amp;'Emission factors'!$K$3:$K$201,0),MATCH('Buildings - Grid Electricity'!$M$6,'Emission factors'!$K$2:$V$2,0)))</f>
        <v/>
      </c>
      <c r="N376" s="156" t="str">
        <f>IF(OR(K376="",M376=""),"",SUM(BuildingsElectricityTable[[#This Row],[Direct]:[Indirect WTT]]))</f>
        <v/>
      </c>
      <c r="O376" s="71"/>
      <c r="P376" s="72"/>
      <c r="Q376" s="157" t="str" cm="1">
        <f t="array" ref="Q376">IF(OR($E376="",$I376=""),"",(INDEX('Emission factors'!$K$3:$V$201,MATCH('Buildings - Grid Electricity'!$E376&amp;$F376,'Emission factors'!$J$3:$J$201&amp;'Emission factors'!$K$3:$K$201,0),MATCH('Buildings - Grid Electricity'!Q$6,'Emission factors'!$K$2:$V$2,0)))*$K376)</f>
        <v/>
      </c>
      <c r="R376" s="157" t="str" cm="1">
        <f t="array" ref="R376">IF(OR($E376="",$I376=""),"",(INDEX('Emission factors'!$K$3:$V$201,MATCH('Buildings - Grid Electricity'!$E376&amp;$F376,'Emission factors'!$J$3:$J$201&amp;'Emission factors'!$K$3:$K$201,0),MATCH('Buildings - Grid Electricity'!R$6,'Emission factors'!$K$2:$V$2,0)))*$K376)</f>
        <v/>
      </c>
      <c r="S376" s="157" t="str" cm="1">
        <f t="array" ref="S376">IF(OR($E376="",$I376=""),"",(INDEX('Emission factors'!$K$3:$V$201,MATCH('Buildings - Grid Electricity'!$E376&amp;$F376,'Emission factors'!$J$3:$J$201&amp;'Emission factors'!$K$3:$K$201,0),MATCH('Buildings - Grid Electricity'!S$6,'Emission factors'!$K$2:$V$2,0)))*$K376)</f>
        <v/>
      </c>
      <c r="T376" s="157" t="str" cm="1">
        <f t="array" ref="T376">IF(OR($E376="",$I376=""),"",(INDEX('Emission factors'!$K$3:$V$201,MATCH('Buildings - Grid Electricity'!$E376&amp;$F376,'Emission factors'!$J$3:$J$201&amp;'Emission factors'!$K$3:$K$201,0),MATCH('Buildings - Grid Electricity'!T$6,'Emission factors'!$K$2:$V$2,0)))*$K376)</f>
        <v/>
      </c>
      <c r="U376" s="157" t="str" cm="1">
        <f t="array" ref="U376">IF(OR($E376="",$I376=""),"",(INDEX('Emission factors'!$K$3:$V$201,MATCH('Buildings - Grid Electricity'!$E376&amp;$F376,'Emission factors'!$J$3:$J$201&amp;'Emission factors'!$K$3:$K$201,0),MATCH('Buildings - Grid Electricity'!U$6,'Emission factors'!$K$2:$V$2,0)))*$K376)</f>
        <v/>
      </c>
      <c r="V376" s="158" t="str">
        <f>IF(OR($N376="",BuildingsElectricityTable[[#This Row],[RSD]]=""),"",BuildingsElectricityTable[[#This Row],[Total emissions (kgCO2e)]]*(1+BuildingsElectricityTable[[#This Row],[RSD]]))</f>
        <v/>
      </c>
      <c r="W376" s="159" t="str">
        <f>IF(OR($N376="",BuildingsElectricityTable[[#This Row],[RSD]]=""),"",BuildingsElectricityTable[[#This Row],[Total emissions (kgCO2e)]]*(1-BuildingsElectricityTable[[#This Row],[RSD]]))</f>
        <v/>
      </c>
      <c r="X376" s="169" t="str" cm="1">
        <f t="array" ref="X376">IF(OR($E376="",$I376=""),"",(INDEX('Emission factors'!$K$3:$V$201,MATCH('Buildings - Grid Electricity'!$E376&amp;$F376,'Emission factors'!$J$3:$J$201&amp;'Emission factors'!$K$3:$K$201,0),MATCH('Buildings - Grid Electricity'!X$6,'Emission factors'!$K$2:$V$2,0)))*$K376)</f>
        <v/>
      </c>
      <c r="Y376" s="30"/>
      <c r="Z376" s="1" cm="1">
        <f t="array" ref="Z376">IF(OR(ISERROR(B376:X376)),1,0)</f>
        <v>0</v>
      </c>
      <c r="AA376" s="1">
        <f t="shared" si="33"/>
        <v>0</v>
      </c>
    </row>
    <row r="377" spans="1:27" ht="15" outlineLevel="1" thickBot="1" x14ac:dyDescent="0.4">
      <c r="A377" s="319"/>
      <c r="B377" s="216"/>
      <c r="C377" s="216"/>
      <c r="D377" s="233" t="str">
        <f>IFERROR(INDEX(BuildingInformationTable[Site type],MATCH(BuildingsElectricityTable[[#This Row],[Site name]],BuildingInformationTable[Site name],0)),"")</f>
        <v/>
      </c>
      <c r="E377" s="311" t="str">
        <f t="shared" si="32"/>
        <v/>
      </c>
      <c r="F377" s="311" t="str">
        <f t="shared" si="0"/>
        <v/>
      </c>
      <c r="G377" s="72"/>
      <c r="H377" s="98" t="str">
        <f>IF(G377="","",INDEX(Lists!$BA$4:$BC$31,MATCH(E377,Lists!$AZ$4:$AZ$31,0),MATCH(G377,Lists!$BA$3:$BC$3,0)))</f>
        <v/>
      </c>
      <c r="I377" s="70"/>
      <c r="J377" s="311" t="str">
        <f t="shared" si="34"/>
        <v/>
      </c>
      <c r="K377" s="75" t="str" cm="1">
        <f t="array" ref="K377">IF(OR($E377="",$D377="",$I377="",$J377=""),"",IF(J377=L377,I377,(INDEX('Emission factors'!$K$3:$V$201,MATCH(E377&amp;F377,'Emission factors'!$J$3:$J$201&amp;'Emission factors'!$K$3:$K$201,0),MATCH(K$6,'Emission factors'!$K$2:$V$2,0)))*I377))</f>
        <v/>
      </c>
      <c r="L377" s="312" t="str">
        <f>IF(OR($E377="",$D377="",$I377="",$J377=""),"",INDEX('Emission factors'!$K$3:$V$201,MATCH('Buildings - Grid Electricity'!$E377,'Emission factors'!$J$3:$J$201,0),MATCH($L$6,'Emission factors'!$K$2:$V$2,0)))</f>
        <v/>
      </c>
      <c r="M377" s="313" t="str" cm="1">
        <f t="array" ref="M377">IF(OR(E377="",I377="",BuildingsElectricityTable[[#This Row],[Units]]=""),"",INDEX('Emission factors'!$K$3:$V$201,MATCH('Buildings - Grid Electricity'!$E377&amp;F377,'Emission factors'!$J$3:$J$201&amp;'Emission factors'!$K$3:$K$201,0),MATCH('Buildings - Grid Electricity'!$M$6,'Emission factors'!$K$2:$V$2,0)))</f>
        <v/>
      </c>
      <c r="N377" s="156" t="str">
        <f>IF(OR(K377="",M377=""),"",SUM(BuildingsElectricityTable[[#This Row],[Direct]:[Indirect WTT]]))</f>
        <v/>
      </c>
      <c r="O377" s="71"/>
      <c r="P377" s="72"/>
      <c r="Q377" s="157" t="str" cm="1">
        <f t="array" ref="Q377">IF(OR($E377="",$I377=""),"",(INDEX('Emission factors'!$K$3:$V$201,MATCH('Buildings - Grid Electricity'!$E377&amp;$F377,'Emission factors'!$J$3:$J$201&amp;'Emission factors'!$K$3:$K$201,0),MATCH('Buildings - Grid Electricity'!Q$6,'Emission factors'!$K$2:$V$2,0)))*$K377)</f>
        <v/>
      </c>
      <c r="R377" s="157" t="str" cm="1">
        <f t="array" ref="R377">IF(OR($E377="",$I377=""),"",(INDEX('Emission factors'!$K$3:$V$201,MATCH('Buildings - Grid Electricity'!$E377&amp;$F377,'Emission factors'!$J$3:$J$201&amp;'Emission factors'!$K$3:$K$201,0),MATCH('Buildings - Grid Electricity'!R$6,'Emission factors'!$K$2:$V$2,0)))*$K377)</f>
        <v/>
      </c>
      <c r="S377" s="157" t="str" cm="1">
        <f t="array" ref="S377">IF(OR($E377="",$I377=""),"",(INDEX('Emission factors'!$K$3:$V$201,MATCH('Buildings - Grid Electricity'!$E377&amp;$F377,'Emission factors'!$J$3:$J$201&amp;'Emission factors'!$K$3:$K$201,0),MATCH('Buildings - Grid Electricity'!S$6,'Emission factors'!$K$2:$V$2,0)))*$K377)</f>
        <v/>
      </c>
      <c r="T377" s="157" t="str" cm="1">
        <f t="array" ref="T377">IF(OR($E377="",$I377=""),"",(INDEX('Emission factors'!$K$3:$V$201,MATCH('Buildings - Grid Electricity'!$E377&amp;$F377,'Emission factors'!$J$3:$J$201&amp;'Emission factors'!$K$3:$K$201,0),MATCH('Buildings - Grid Electricity'!T$6,'Emission factors'!$K$2:$V$2,0)))*$K377)</f>
        <v/>
      </c>
      <c r="U377" s="157" t="str" cm="1">
        <f t="array" ref="U377">IF(OR($E377="",$I377=""),"",(INDEX('Emission factors'!$K$3:$V$201,MATCH('Buildings - Grid Electricity'!$E377&amp;$F377,'Emission factors'!$J$3:$J$201&amp;'Emission factors'!$K$3:$K$201,0),MATCH('Buildings - Grid Electricity'!U$6,'Emission factors'!$K$2:$V$2,0)))*$K377)</f>
        <v/>
      </c>
      <c r="V377" s="158" t="str">
        <f>IF(OR($N377="",BuildingsElectricityTable[[#This Row],[RSD]]=""),"",BuildingsElectricityTable[[#This Row],[Total emissions (kgCO2e)]]*(1+BuildingsElectricityTable[[#This Row],[RSD]]))</f>
        <v/>
      </c>
      <c r="W377" s="159" t="str">
        <f>IF(OR($N377="",BuildingsElectricityTable[[#This Row],[RSD]]=""),"",BuildingsElectricityTable[[#This Row],[Total emissions (kgCO2e)]]*(1-BuildingsElectricityTable[[#This Row],[RSD]]))</f>
        <v/>
      </c>
      <c r="X377" s="169" t="str" cm="1">
        <f t="array" ref="X377">IF(OR($E377="",$I377=""),"",(INDEX('Emission factors'!$K$3:$V$201,MATCH('Buildings - Grid Electricity'!$E377&amp;$F377,'Emission factors'!$J$3:$J$201&amp;'Emission factors'!$K$3:$K$201,0),MATCH('Buildings - Grid Electricity'!X$6,'Emission factors'!$K$2:$V$2,0)))*$K377)</f>
        <v/>
      </c>
      <c r="Y377" s="30"/>
      <c r="Z377" s="1" cm="1">
        <f t="array" ref="Z377">IF(OR(ISERROR(B377:X377)),1,0)</f>
        <v>0</v>
      </c>
      <c r="AA377" s="1">
        <f t="shared" si="33"/>
        <v>0</v>
      </c>
    </row>
    <row r="378" spans="1:27" ht="15" outlineLevel="1" thickBot="1" x14ac:dyDescent="0.4">
      <c r="A378" s="319"/>
      <c r="B378" s="216"/>
      <c r="C378" s="216"/>
      <c r="D378" s="233" t="str">
        <f>IFERROR(INDEX(BuildingInformationTable[Site type],MATCH(BuildingsElectricityTable[[#This Row],[Site name]],BuildingInformationTable[Site name],0)),"")</f>
        <v/>
      </c>
      <c r="E378" s="311" t="str">
        <f t="shared" si="32"/>
        <v/>
      </c>
      <c r="F378" s="311" t="str">
        <f t="shared" si="0"/>
        <v/>
      </c>
      <c r="G378" s="72"/>
      <c r="H378" s="98" t="str">
        <f>IF(G378="","",INDEX(Lists!$BA$4:$BC$31,MATCH(E378,Lists!$AZ$4:$AZ$31,0),MATCH(G378,Lists!$BA$3:$BC$3,0)))</f>
        <v/>
      </c>
      <c r="I378" s="70"/>
      <c r="J378" s="311" t="str">
        <f t="shared" si="34"/>
        <v/>
      </c>
      <c r="K378" s="75" t="str" cm="1">
        <f t="array" ref="K378">IF(OR($E378="",$D378="",$I378="",$J378=""),"",IF(J378=L378,I378,(INDEX('Emission factors'!$K$3:$V$201,MATCH(E378&amp;F378,'Emission factors'!$J$3:$J$201&amp;'Emission factors'!$K$3:$K$201,0),MATCH(K$6,'Emission factors'!$K$2:$V$2,0)))*I378))</f>
        <v/>
      </c>
      <c r="L378" s="312" t="str">
        <f>IF(OR($E378="",$D378="",$I378="",$J378=""),"",INDEX('Emission factors'!$K$3:$V$201,MATCH('Buildings - Grid Electricity'!$E378,'Emission factors'!$J$3:$J$201,0),MATCH($L$6,'Emission factors'!$K$2:$V$2,0)))</f>
        <v/>
      </c>
      <c r="M378" s="313" t="str" cm="1">
        <f t="array" ref="M378">IF(OR(E378="",I378="",BuildingsElectricityTable[[#This Row],[Units]]=""),"",INDEX('Emission factors'!$K$3:$V$201,MATCH('Buildings - Grid Electricity'!$E378&amp;F378,'Emission factors'!$J$3:$J$201&amp;'Emission factors'!$K$3:$K$201,0),MATCH('Buildings - Grid Electricity'!$M$6,'Emission factors'!$K$2:$V$2,0)))</f>
        <v/>
      </c>
      <c r="N378" s="156" t="str">
        <f>IF(OR(K378="",M378=""),"",SUM(BuildingsElectricityTable[[#This Row],[Direct]:[Indirect WTT]]))</f>
        <v/>
      </c>
      <c r="O378" s="71"/>
      <c r="P378" s="72"/>
      <c r="Q378" s="157" t="str" cm="1">
        <f t="array" ref="Q378">IF(OR($E378="",$I378=""),"",(INDEX('Emission factors'!$K$3:$V$201,MATCH('Buildings - Grid Electricity'!$E378&amp;$F378,'Emission factors'!$J$3:$J$201&amp;'Emission factors'!$K$3:$K$201,0),MATCH('Buildings - Grid Electricity'!Q$6,'Emission factors'!$K$2:$V$2,0)))*$K378)</f>
        <v/>
      </c>
      <c r="R378" s="157" t="str" cm="1">
        <f t="array" ref="R378">IF(OR($E378="",$I378=""),"",(INDEX('Emission factors'!$K$3:$V$201,MATCH('Buildings - Grid Electricity'!$E378&amp;$F378,'Emission factors'!$J$3:$J$201&amp;'Emission factors'!$K$3:$K$201,0),MATCH('Buildings - Grid Electricity'!R$6,'Emission factors'!$K$2:$V$2,0)))*$K378)</f>
        <v/>
      </c>
      <c r="S378" s="157" t="str" cm="1">
        <f t="array" ref="S378">IF(OR($E378="",$I378=""),"",(INDEX('Emission factors'!$K$3:$V$201,MATCH('Buildings - Grid Electricity'!$E378&amp;$F378,'Emission factors'!$J$3:$J$201&amp;'Emission factors'!$K$3:$K$201,0),MATCH('Buildings - Grid Electricity'!S$6,'Emission factors'!$K$2:$V$2,0)))*$K378)</f>
        <v/>
      </c>
      <c r="T378" s="157" t="str" cm="1">
        <f t="array" ref="T378">IF(OR($E378="",$I378=""),"",(INDEX('Emission factors'!$K$3:$V$201,MATCH('Buildings - Grid Electricity'!$E378&amp;$F378,'Emission factors'!$J$3:$J$201&amp;'Emission factors'!$K$3:$K$201,0),MATCH('Buildings - Grid Electricity'!T$6,'Emission factors'!$K$2:$V$2,0)))*$K378)</f>
        <v/>
      </c>
      <c r="U378" s="157" t="str" cm="1">
        <f t="array" ref="U378">IF(OR($E378="",$I378=""),"",(INDEX('Emission factors'!$K$3:$V$201,MATCH('Buildings - Grid Electricity'!$E378&amp;$F378,'Emission factors'!$J$3:$J$201&amp;'Emission factors'!$K$3:$K$201,0),MATCH('Buildings - Grid Electricity'!U$6,'Emission factors'!$K$2:$V$2,0)))*$K378)</f>
        <v/>
      </c>
      <c r="V378" s="158" t="str">
        <f>IF(OR($N378="",BuildingsElectricityTable[[#This Row],[RSD]]=""),"",BuildingsElectricityTable[[#This Row],[Total emissions (kgCO2e)]]*(1+BuildingsElectricityTable[[#This Row],[RSD]]))</f>
        <v/>
      </c>
      <c r="W378" s="159" t="str">
        <f>IF(OR($N378="",BuildingsElectricityTable[[#This Row],[RSD]]=""),"",BuildingsElectricityTable[[#This Row],[Total emissions (kgCO2e)]]*(1-BuildingsElectricityTable[[#This Row],[RSD]]))</f>
        <v/>
      </c>
      <c r="X378" s="169" t="str" cm="1">
        <f t="array" ref="X378">IF(OR($E378="",$I378=""),"",(INDEX('Emission factors'!$K$3:$V$201,MATCH('Buildings - Grid Electricity'!$E378&amp;$F378,'Emission factors'!$J$3:$J$201&amp;'Emission factors'!$K$3:$K$201,0),MATCH('Buildings - Grid Electricity'!X$6,'Emission factors'!$K$2:$V$2,0)))*$K378)</f>
        <v/>
      </c>
      <c r="Y378" s="30"/>
      <c r="Z378" s="1" cm="1">
        <f t="array" ref="Z378">IF(OR(ISERROR(B378:X378)),1,0)</f>
        <v>0</v>
      </c>
      <c r="AA378" s="1">
        <f t="shared" si="33"/>
        <v>0</v>
      </c>
    </row>
    <row r="379" spans="1:27" ht="15" outlineLevel="1" thickBot="1" x14ac:dyDescent="0.4">
      <c r="A379" s="319"/>
      <c r="B379" s="216"/>
      <c r="C379" s="216"/>
      <c r="D379" s="233" t="str">
        <f>IFERROR(INDEX(BuildingInformationTable[Site type],MATCH(BuildingsElectricityTable[[#This Row],[Site name]],BuildingInformationTable[Site name],0)),"")</f>
        <v/>
      </c>
      <c r="E379" s="311" t="str">
        <f t="shared" si="32"/>
        <v/>
      </c>
      <c r="F379" s="311" t="str">
        <f t="shared" si="0"/>
        <v/>
      </c>
      <c r="G379" s="72"/>
      <c r="H379" s="98" t="str">
        <f>IF(G379="","",INDEX(Lists!$BA$4:$BC$31,MATCH(E379,Lists!$AZ$4:$AZ$31,0),MATCH(G379,Lists!$BA$3:$BC$3,0)))</f>
        <v/>
      </c>
      <c r="I379" s="70"/>
      <c r="J379" s="311" t="str">
        <f t="shared" si="34"/>
        <v/>
      </c>
      <c r="K379" s="75" t="str" cm="1">
        <f t="array" ref="K379">IF(OR($E379="",$D379="",$I379="",$J379=""),"",IF(J379=L379,I379,(INDEX('Emission factors'!$K$3:$V$201,MATCH(E379&amp;F379,'Emission factors'!$J$3:$J$201&amp;'Emission factors'!$K$3:$K$201,0),MATCH(K$6,'Emission factors'!$K$2:$V$2,0)))*I379))</f>
        <v/>
      </c>
      <c r="L379" s="312" t="str">
        <f>IF(OR($E379="",$D379="",$I379="",$J379=""),"",INDEX('Emission factors'!$K$3:$V$201,MATCH('Buildings - Grid Electricity'!$E379,'Emission factors'!$J$3:$J$201,0),MATCH($L$6,'Emission factors'!$K$2:$V$2,0)))</f>
        <v/>
      </c>
      <c r="M379" s="313" t="str" cm="1">
        <f t="array" ref="M379">IF(OR(E379="",I379="",BuildingsElectricityTable[[#This Row],[Units]]=""),"",INDEX('Emission factors'!$K$3:$V$201,MATCH('Buildings - Grid Electricity'!$E379&amp;F379,'Emission factors'!$J$3:$J$201&amp;'Emission factors'!$K$3:$K$201,0),MATCH('Buildings - Grid Electricity'!$M$6,'Emission factors'!$K$2:$V$2,0)))</f>
        <v/>
      </c>
      <c r="N379" s="156" t="str">
        <f>IF(OR(K379="",M379=""),"",SUM(BuildingsElectricityTable[[#This Row],[Direct]:[Indirect WTT]]))</f>
        <v/>
      </c>
      <c r="O379" s="71"/>
      <c r="P379" s="72"/>
      <c r="Q379" s="157" t="str" cm="1">
        <f t="array" ref="Q379">IF(OR($E379="",$I379=""),"",(INDEX('Emission factors'!$K$3:$V$201,MATCH('Buildings - Grid Electricity'!$E379&amp;$F379,'Emission factors'!$J$3:$J$201&amp;'Emission factors'!$K$3:$K$201,0),MATCH('Buildings - Grid Electricity'!Q$6,'Emission factors'!$K$2:$V$2,0)))*$K379)</f>
        <v/>
      </c>
      <c r="R379" s="157" t="str" cm="1">
        <f t="array" ref="R379">IF(OR($E379="",$I379=""),"",(INDEX('Emission factors'!$K$3:$V$201,MATCH('Buildings - Grid Electricity'!$E379&amp;$F379,'Emission factors'!$J$3:$J$201&amp;'Emission factors'!$K$3:$K$201,0),MATCH('Buildings - Grid Electricity'!R$6,'Emission factors'!$K$2:$V$2,0)))*$K379)</f>
        <v/>
      </c>
      <c r="S379" s="157" t="str" cm="1">
        <f t="array" ref="S379">IF(OR($E379="",$I379=""),"",(INDEX('Emission factors'!$K$3:$V$201,MATCH('Buildings - Grid Electricity'!$E379&amp;$F379,'Emission factors'!$J$3:$J$201&amp;'Emission factors'!$K$3:$K$201,0),MATCH('Buildings - Grid Electricity'!S$6,'Emission factors'!$K$2:$V$2,0)))*$K379)</f>
        <v/>
      </c>
      <c r="T379" s="157" t="str" cm="1">
        <f t="array" ref="T379">IF(OR($E379="",$I379=""),"",(INDEX('Emission factors'!$K$3:$V$201,MATCH('Buildings - Grid Electricity'!$E379&amp;$F379,'Emission factors'!$J$3:$J$201&amp;'Emission factors'!$K$3:$K$201,0),MATCH('Buildings - Grid Electricity'!T$6,'Emission factors'!$K$2:$V$2,0)))*$K379)</f>
        <v/>
      </c>
      <c r="U379" s="157" t="str" cm="1">
        <f t="array" ref="U379">IF(OR($E379="",$I379=""),"",(INDEX('Emission factors'!$K$3:$V$201,MATCH('Buildings - Grid Electricity'!$E379&amp;$F379,'Emission factors'!$J$3:$J$201&amp;'Emission factors'!$K$3:$K$201,0),MATCH('Buildings - Grid Electricity'!U$6,'Emission factors'!$K$2:$V$2,0)))*$K379)</f>
        <v/>
      </c>
      <c r="V379" s="158" t="str">
        <f>IF(OR($N379="",BuildingsElectricityTable[[#This Row],[RSD]]=""),"",BuildingsElectricityTable[[#This Row],[Total emissions (kgCO2e)]]*(1+BuildingsElectricityTable[[#This Row],[RSD]]))</f>
        <v/>
      </c>
      <c r="W379" s="159" t="str">
        <f>IF(OR($N379="",BuildingsElectricityTable[[#This Row],[RSD]]=""),"",BuildingsElectricityTable[[#This Row],[Total emissions (kgCO2e)]]*(1-BuildingsElectricityTable[[#This Row],[RSD]]))</f>
        <v/>
      </c>
      <c r="X379" s="169" t="str" cm="1">
        <f t="array" ref="X379">IF(OR($E379="",$I379=""),"",(INDEX('Emission factors'!$K$3:$V$201,MATCH('Buildings - Grid Electricity'!$E379&amp;$F379,'Emission factors'!$J$3:$J$201&amp;'Emission factors'!$K$3:$K$201,0),MATCH('Buildings - Grid Electricity'!X$6,'Emission factors'!$K$2:$V$2,0)))*$K379)</f>
        <v/>
      </c>
      <c r="Y379" s="30"/>
      <c r="Z379" s="1" cm="1">
        <f t="array" ref="Z379">IF(OR(ISERROR(B379:X379)),1,0)</f>
        <v>0</v>
      </c>
      <c r="AA379" s="1">
        <f t="shared" si="33"/>
        <v>0</v>
      </c>
    </row>
    <row r="380" spans="1:27" ht="15" outlineLevel="1" thickBot="1" x14ac:dyDescent="0.4">
      <c r="A380" s="319"/>
      <c r="B380" s="216"/>
      <c r="C380" s="216"/>
      <c r="D380" s="233" t="str">
        <f>IFERROR(INDEX(BuildingInformationTable[Site type],MATCH(BuildingsElectricityTable[[#This Row],[Site name]],BuildingInformationTable[Site name],0)),"")</f>
        <v/>
      </c>
      <c r="E380" s="311" t="str">
        <f t="shared" si="32"/>
        <v/>
      </c>
      <c r="F380" s="311" t="str">
        <f t="shared" si="0"/>
        <v/>
      </c>
      <c r="G380" s="72"/>
      <c r="H380" s="98" t="str">
        <f>IF(G380="","",INDEX(Lists!$BA$4:$BC$31,MATCH(E380,Lists!$AZ$4:$AZ$31,0),MATCH(G380,Lists!$BA$3:$BC$3,0)))</f>
        <v/>
      </c>
      <c r="I380" s="70"/>
      <c r="J380" s="311" t="str">
        <f t="shared" si="34"/>
        <v/>
      </c>
      <c r="K380" s="75" t="str" cm="1">
        <f t="array" ref="K380">IF(OR($E380="",$D380="",$I380="",$J380=""),"",IF(J380=L380,I380,(INDEX('Emission factors'!$K$3:$V$201,MATCH(E380&amp;F380,'Emission factors'!$J$3:$J$201&amp;'Emission factors'!$K$3:$K$201,0),MATCH(K$6,'Emission factors'!$K$2:$V$2,0)))*I380))</f>
        <v/>
      </c>
      <c r="L380" s="312" t="str">
        <f>IF(OR($E380="",$D380="",$I380="",$J380=""),"",INDEX('Emission factors'!$K$3:$V$201,MATCH('Buildings - Grid Electricity'!$E380,'Emission factors'!$J$3:$J$201,0),MATCH($L$6,'Emission factors'!$K$2:$V$2,0)))</f>
        <v/>
      </c>
      <c r="M380" s="313" t="str" cm="1">
        <f t="array" ref="M380">IF(OR(E380="",I380="",BuildingsElectricityTable[[#This Row],[Units]]=""),"",INDEX('Emission factors'!$K$3:$V$201,MATCH('Buildings - Grid Electricity'!$E380&amp;F380,'Emission factors'!$J$3:$J$201&amp;'Emission factors'!$K$3:$K$201,0),MATCH('Buildings - Grid Electricity'!$M$6,'Emission factors'!$K$2:$V$2,0)))</f>
        <v/>
      </c>
      <c r="N380" s="156" t="str">
        <f>IF(OR(K380="",M380=""),"",SUM(BuildingsElectricityTable[[#This Row],[Direct]:[Indirect WTT]]))</f>
        <v/>
      </c>
      <c r="O380" s="71"/>
      <c r="P380" s="72"/>
      <c r="Q380" s="157" t="str" cm="1">
        <f t="array" ref="Q380">IF(OR($E380="",$I380=""),"",(INDEX('Emission factors'!$K$3:$V$201,MATCH('Buildings - Grid Electricity'!$E380&amp;$F380,'Emission factors'!$J$3:$J$201&amp;'Emission factors'!$K$3:$K$201,0),MATCH('Buildings - Grid Electricity'!Q$6,'Emission factors'!$K$2:$V$2,0)))*$K380)</f>
        <v/>
      </c>
      <c r="R380" s="157" t="str" cm="1">
        <f t="array" ref="R380">IF(OR($E380="",$I380=""),"",(INDEX('Emission factors'!$K$3:$V$201,MATCH('Buildings - Grid Electricity'!$E380&amp;$F380,'Emission factors'!$J$3:$J$201&amp;'Emission factors'!$K$3:$K$201,0),MATCH('Buildings - Grid Electricity'!R$6,'Emission factors'!$K$2:$V$2,0)))*$K380)</f>
        <v/>
      </c>
      <c r="S380" s="157" t="str" cm="1">
        <f t="array" ref="S380">IF(OR($E380="",$I380=""),"",(INDEX('Emission factors'!$K$3:$V$201,MATCH('Buildings - Grid Electricity'!$E380&amp;$F380,'Emission factors'!$J$3:$J$201&amp;'Emission factors'!$K$3:$K$201,0),MATCH('Buildings - Grid Electricity'!S$6,'Emission factors'!$K$2:$V$2,0)))*$K380)</f>
        <v/>
      </c>
      <c r="T380" s="157" t="str" cm="1">
        <f t="array" ref="T380">IF(OR($E380="",$I380=""),"",(INDEX('Emission factors'!$K$3:$V$201,MATCH('Buildings - Grid Electricity'!$E380&amp;$F380,'Emission factors'!$J$3:$J$201&amp;'Emission factors'!$K$3:$K$201,0),MATCH('Buildings - Grid Electricity'!T$6,'Emission factors'!$K$2:$V$2,0)))*$K380)</f>
        <v/>
      </c>
      <c r="U380" s="157" t="str" cm="1">
        <f t="array" ref="U380">IF(OR($E380="",$I380=""),"",(INDEX('Emission factors'!$K$3:$V$201,MATCH('Buildings - Grid Electricity'!$E380&amp;$F380,'Emission factors'!$J$3:$J$201&amp;'Emission factors'!$K$3:$K$201,0),MATCH('Buildings - Grid Electricity'!U$6,'Emission factors'!$K$2:$V$2,0)))*$K380)</f>
        <v/>
      </c>
      <c r="V380" s="158" t="str">
        <f>IF(OR($N380="",BuildingsElectricityTable[[#This Row],[RSD]]=""),"",BuildingsElectricityTable[[#This Row],[Total emissions (kgCO2e)]]*(1+BuildingsElectricityTable[[#This Row],[RSD]]))</f>
        <v/>
      </c>
      <c r="W380" s="159" t="str">
        <f>IF(OR($N380="",BuildingsElectricityTable[[#This Row],[RSD]]=""),"",BuildingsElectricityTable[[#This Row],[Total emissions (kgCO2e)]]*(1-BuildingsElectricityTable[[#This Row],[RSD]]))</f>
        <v/>
      </c>
      <c r="X380" s="169" t="str" cm="1">
        <f t="array" ref="X380">IF(OR($E380="",$I380=""),"",(INDEX('Emission factors'!$K$3:$V$201,MATCH('Buildings - Grid Electricity'!$E380&amp;$F380,'Emission factors'!$J$3:$J$201&amp;'Emission factors'!$K$3:$K$201,0),MATCH('Buildings - Grid Electricity'!X$6,'Emission factors'!$K$2:$V$2,0)))*$K380)</f>
        <v/>
      </c>
      <c r="Y380" s="30"/>
      <c r="Z380" s="1" cm="1">
        <f t="array" ref="Z380">IF(OR(ISERROR(B380:X380)),1,0)</f>
        <v>0</v>
      </c>
      <c r="AA380" s="1">
        <f t="shared" si="33"/>
        <v>0</v>
      </c>
    </row>
    <row r="381" spans="1:27" ht="15" outlineLevel="1" thickBot="1" x14ac:dyDescent="0.4">
      <c r="A381" s="319"/>
      <c r="B381" s="216"/>
      <c r="C381" s="216"/>
      <c r="D381" s="233" t="str">
        <f>IFERROR(INDEX(BuildingInformationTable[Site type],MATCH(BuildingsElectricityTable[[#This Row],[Site name]],BuildingInformationTable[Site name],0)),"")</f>
        <v/>
      </c>
      <c r="E381" s="311" t="str">
        <f t="shared" si="32"/>
        <v/>
      </c>
      <c r="F381" s="311" t="str">
        <f t="shared" si="0"/>
        <v/>
      </c>
      <c r="G381" s="72"/>
      <c r="H381" s="98" t="str">
        <f>IF(G381="","",INDEX(Lists!$BA$4:$BC$31,MATCH(E381,Lists!$AZ$4:$AZ$31,0),MATCH(G381,Lists!$BA$3:$BC$3,0)))</f>
        <v/>
      </c>
      <c r="I381" s="70"/>
      <c r="J381" s="311" t="str">
        <f t="shared" si="34"/>
        <v/>
      </c>
      <c r="K381" s="75" t="str" cm="1">
        <f t="array" ref="K381">IF(OR($E381="",$D381="",$I381="",$J381=""),"",IF(J381=L381,I381,(INDEX('Emission factors'!$K$3:$V$201,MATCH(E381&amp;F381,'Emission factors'!$J$3:$J$201&amp;'Emission factors'!$K$3:$K$201,0),MATCH(K$6,'Emission factors'!$K$2:$V$2,0)))*I381))</f>
        <v/>
      </c>
      <c r="L381" s="312" t="str">
        <f>IF(OR($E381="",$D381="",$I381="",$J381=""),"",INDEX('Emission factors'!$K$3:$V$201,MATCH('Buildings - Grid Electricity'!$E381,'Emission factors'!$J$3:$J$201,0),MATCH($L$6,'Emission factors'!$K$2:$V$2,0)))</f>
        <v/>
      </c>
      <c r="M381" s="313" t="str" cm="1">
        <f t="array" ref="M381">IF(OR(E381="",I381="",BuildingsElectricityTable[[#This Row],[Units]]=""),"",INDEX('Emission factors'!$K$3:$V$201,MATCH('Buildings - Grid Electricity'!$E381&amp;F381,'Emission factors'!$J$3:$J$201&amp;'Emission factors'!$K$3:$K$201,0),MATCH('Buildings - Grid Electricity'!$M$6,'Emission factors'!$K$2:$V$2,0)))</f>
        <v/>
      </c>
      <c r="N381" s="156" t="str">
        <f>IF(OR(K381="",M381=""),"",SUM(BuildingsElectricityTable[[#This Row],[Direct]:[Indirect WTT]]))</f>
        <v/>
      </c>
      <c r="O381" s="71"/>
      <c r="P381" s="72"/>
      <c r="Q381" s="157" t="str" cm="1">
        <f t="array" ref="Q381">IF(OR($E381="",$I381=""),"",(INDEX('Emission factors'!$K$3:$V$201,MATCH('Buildings - Grid Electricity'!$E381&amp;$F381,'Emission factors'!$J$3:$J$201&amp;'Emission factors'!$K$3:$K$201,0),MATCH('Buildings - Grid Electricity'!Q$6,'Emission factors'!$K$2:$V$2,0)))*$K381)</f>
        <v/>
      </c>
      <c r="R381" s="157" t="str" cm="1">
        <f t="array" ref="R381">IF(OR($E381="",$I381=""),"",(INDEX('Emission factors'!$K$3:$V$201,MATCH('Buildings - Grid Electricity'!$E381&amp;$F381,'Emission factors'!$J$3:$J$201&amp;'Emission factors'!$K$3:$K$201,0),MATCH('Buildings - Grid Electricity'!R$6,'Emission factors'!$K$2:$V$2,0)))*$K381)</f>
        <v/>
      </c>
      <c r="S381" s="157" t="str" cm="1">
        <f t="array" ref="S381">IF(OR($E381="",$I381=""),"",(INDEX('Emission factors'!$K$3:$V$201,MATCH('Buildings - Grid Electricity'!$E381&amp;$F381,'Emission factors'!$J$3:$J$201&amp;'Emission factors'!$K$3:$K$201,0),MATCH('Buildings - Grid Electricity'!S$6,'Emission factors'!$K$2:$V$2,0)))*$K381)</f>
        <v/>
      </c>
      <c r="T381" s="157" t="str" cm="1">
        <f t="array" ref="T381">IF(OR($E381="",$I381=""),"",(INDEX('Emission factors'!$K$3:$V$201,MATCH('Buildings - Grid Electricity'!$E381&amp;$F381,'Emission factors'!$J$3:$J$201&amp;'Emission factors'!$K$3:$K$201,0),MATCH('Buildings - Grid Electricity'!T$6,'Emission factors'!$K$2:$V$2,0)))*$K381)</f>
        <v/>
      </c>
      <c r="U381" s="157" t="str" cm="1">
        <f t="array" ref="U381">IF(OR($E381="",$I381=""),"",(INDEX('Emission factors'!$K$3:$V$201,MATCH('Buildings - Grid Electricity'!$E381&amp;$F381,'Emission factors'!$J$3:$J$201&amp;'Emission factors'!$K$3:$K$201,0),MATCH('Buildings - Grid Electricity'!U$6,'Emission factors'!$K$2:$V$2,0)))*$K381)</f>
        <v/>
      </c>
      <c r="V381" s="158" t="str">
        <f>IF(OR($N381="",BuildingsElectricityTable[[#This Row],[RSD]]=""),"",BuildingsElectricityTable[[#This Row],[Total emissions (kgCO2e)]]*(1+BuildingsElectricityTable[[#This Row],[RSD]]))</f>
        <v/>
      </c>
      <c r="W381" s="159" t="str">
        <f>IF(OR($N381="",BuildingsElectricityTable[[#This Row],[RSD]]=""),"",BuildingsElectricityTable[[#This Row],[Total emissions (kgCO2e)]]*(1-BuildingsElectricityTable[[#This Row],[RSD]]))</f>
        <v/>
      </c>
      <c r="X381" s="169" t="str" cm="1">
        <f t="array" ref="X381">IF(OR($E381="",$I381=""),"",(INDEX('Emission factors'!$K$3:$V$201,MATCH('Buildings - Grid Electricity'!$E381&amp;$F381,'Emission factors'!$J$3:$J$201&amp;'Emission factors'!$K$3:$K$201,0),MATCH('Buildings - Grid Electricity'!X$6,'Emission factors'!$K$2:$V$2,0)))*$K381)</f>
        <v/>
      </c>
      <c r="Y381" s="30"/>
      <c r="Z381" s="1" cm="1">
        <f t="array" ref="Z381">IF(OR(ISERROR(B381:X381)),1,0)</f>
        <v>0</v>
      </c>
      <c r="AA381" s="1">
        <f t="shared" si="33"/>
        <v>0</v>
      </c>
    </row>
    <row r="382" spans="1:27" ht="15" outlineLevel="1" thickBot="1" x14ac:dyDescent="0.4">
      <c r="A382" s="319"/>
      <c r="B382" s="216"/>
      <c r="C382" s="216"/>
      <c r="D382" s="233" t="str">
        <f>IFERROR(INDEX(BuildingInformationTable[Site type],MATCH(BuildingsElectricityTable[[#This Row],[Site name]],BuildingInformationTable[Site name],0)),"")</f>
        <v/>
      </c>
      <c r="E382" s="311" t="str">
        <f t="shared" si="32"/>
        <v/>
      </c>
      <c r="F382" s="311" t="str">
        <f t="shared" si="0"/>
        <v/>
      </c>
      <c r="G382" s="72"/>
      <c r="H382" s="98" t="str">
        <f>IF(G382="","",INDEX(Lists!$BA$4:$BC$31,MATCH(E382,Lists!$AZ$4:$AZ$31,0),MATCH(G382,Lists!$BA$3:$BC$3,0)))</f>
        <v/>
      </c>
      <c r="I382" s="70"/>
      <c r="J382" s="311" t="str">
        <f t="shared" si="34"/>
        <v/>
      </c>
      <c r="K382" s="75" t="str" cm="1">
        <f t="array" ref="K382">IF(OR($E382="",$D382="",$I382="",$J382=""),"",IF(J382=L382,I382,(INDEX('Emission factors'!$K$3:$V$201,MATCH(E382&amp;F382,'Emission factors'!$J$3:$J$201&amp;'Emission factors'!$K$3:$K$201,0),MATCH(K$6,'Emission factors'!$K$2:$V$2,0)))*I382))</f>
        <v/>
      </c>
      <c r="L382" s="312" t="str">
        <f>IF(OR($E382="",$D382="",$I382="",$J382=""),"",INDEX('Emission factors'!$K$3:$V$201,MATCH('Buildings - Grid Electricity'!$E382,'Emission factors'!$J$3:$J$201,0),MATCH($L$6,'Emission factors'!$K$2:$V$2,0)))</f>
        <v/>
      </c>
      <c r="M382" s="313" t="str" cm="1">
        <f t="array" ref="M382">IF(OR(E382="",I382="",BuildingsElectricityTable[[#This Row],[Units]]=""),"",INDEX('Emission factors'!$K$3:$V$201,MATCH('Buildings - Grid Electricity'!$E382&amp;F382,'Emission factors'!$J$3:$J$201&amp;'Emission factors'!$K$3:$K$201,0),MATCH('Buildings - Grid Electricity'!$M$6,'Emission factors'!$K$2:$V$2,0)))</f>
        <v/>
      </c>
      <c r="N382" s="156" t="str">
        <f>IF(OR(K382="",M382=""),"",SUM(BuildingsElectricityTable[[#This Row],[Direct]:[Indirect WTT]]))</f>
        <v/>
      </c>
      <c r="O382" s="71"/>
      <c r="P382" s="72"/>
      <c r="Q382" s="157" t="str" cm="1">
        <f t="array" ref="Q382">IF(OR($E382="",$I382=""),"",(INDEX('Emission factors'!$K$3:$V$201,MATCH('Buildings - Grid Electricity'!$E382&amp;$F382,'Emission factors'!$J$3:$J$201&amp;'Emission factors'!$K$3:$K$201,0),MATCH('Buildings - Grid Electricity'!Q$6,'Emission factors'!$K$2:$V$2,0)))*$K382)</f>
        <v/>
      </c>
      <c r="R382" s="157" t="str" cm="1">
        <f t="array" ref="R382">IF(OR($E382="",$I382=""),"",(INDEX('Emission factors'!$K$3:$V$201,MATCH('Buildings - Grid Electricity'!$E382&amp;$F382,'Emission factors'!$J$3:$J$201&amp;'Emission factors'!$K$3:$K$201,0),MATCH('Buildings - Grid Electricity'!R$6,'Emission factors'!$K$2:$V$2,0)))*$K382)</f>
        <v/>
      </c>
      <c r="S382" s="157" t="str" cm="1">
        <f t="array" ref="S382">IF(OR($E382="",$I382=""),"",(INDEX('Emission factors'!$K$3:$V$201,MATCH('Buildings - Grid Electricity'!$E382&amp;$F382,'Emission factors'!$J$3:$J$201&amp;'Emission factors'!$K$3:$K$201,0),MATCH('Buildings - Grid Electricity'!S$6,'Emission factors'!$K$2:$V$2,0)))*$K382)</f>
        <v/>
      </c>
      <c r="T382" s="157" t="str" cm="1">
        <f t="array" ref="T382">IF(OR($E382="",$I382=""),"",(INDEX('Emission factors'!$K$3:$V$201,MATCH('Buildings - Grid Electricity'!$E382&amp;$F382,'Emission factors'!$J$3:$J$201&amp;'Emission factors'!$K$3:$K$201,0),MATCH('Buildings - Grid Electricity'!T$6,'Emission factors'!$K$2:$V$2,0)))*$K382)</f>
        <v/>
      </c>
      <c r="U382" s="157" t="str" cm="1">
        <f t="array" ref="U382">IF(OR($E382="",$I382=""),"",(INDEX('Emission factors'!$K$3:$V$201,MATCH('Buildings - Grid Electricity'!$E382&amp;$F382,'Emission factors'!$J$3:$J$201&amp;'Emission factors'!$K$3:$K$201,0),MATCH('Buildings - Grid Electricity'!U$6,'Emission factors'!$K$2:$V$2,0)))*$K382)</f>
        <v/>
      </c>
      <c r="V382" s="158" t="str">
        <f>IF(OR($N382="",BuildingsElectricityTable[[#This Row],[RSD]]=""),"",BuildingsElectricityTable[[#This Row],[Total emissions (kgCO2e)]]*(1+BuildingsElectricityTable[[#This Row],[RSD]]))</f>
        <v/>
      </c>
      <c r="W382" s="159" t="str">
        <f>IF(OR($N382="",BuildingsElectricityTable[[#This Row],[RSD]]=""),"",BuildingsElectricityTable[[#This Row],[Total emissions (kgCO2e)]]*(1-BuildingsElectricityTable[[#This Row],[RSD]]))</f>
        <v/>
      </c>
      <c r="X382" s="169" t="str" cm="1">
        <f t="array" ref="X382">IF(OR($E382="",$I382=""),"",(INDEX('Emission factors'!$K$3:$V$201,MATCH('Buildings - Grid Electricity'!$E382&amp;$F382,'Emission factors'!$J$3:$J$201&amp;'Emission factors'!$K$3:$K$201,0),MATCH('Buildings - Grid Electricity'!X$6,'Emission factors'!$K$2:$V$2,0)))*$K382)</f>
        <v/>
      </c>
      <c r="Y382" s="30"/>
      <c r="Z382" s="1" cm="1">
        <f t="array" ref="Z382">IF(OR(ISERROR(B382:X382)),1,0)</f>
        <v>0</v>
      </c>
      <c r="AA382" s="1">
        <f t="shared" si="33"/>
        <v>0</v>
      </c>
    </row>
    <row r="383" spans="1:27" ht="15" outlineLevel="1" thickBot="1" x14ac:dyDescent="0.4">
      <c r="A383" s="319"/>
      <c r="B383" s="216"/>
      <c r="C383" s="216"/>
      <c r="D383" s="233" t="str">
        <f>IFERROR(INDEX(BuildingInformationTable[Site type],MATCH(BuildingsElectricityTable[[#This Row],[Site name]],BuildingInformationTable[Site name],0)),"")</f>
        <v/>
      </c>
      <c r="E383" s="311" t="str">
        <f t="shared" si="32"/>
        <v/>
      </c>
      <c r="F383" s="311" t="str">
        <f t="shared" si="0"/>
        <v/>
      </c>
      <c r="G383" s="72"/>
      <c r="H383" s="98" t="str">
        <f>IF(G383="","",INDEX(Lists!$BA$4:$BC$31,MATCH(E383,Lists!$AZ$4:$AZ$31,0),MATCH(G383,Lists!$BA$3:$BC$3,0)))</f>
        <v/>
      </c>
      <c r="I383" s="70"/>
      <c r="J383" s="311" t="str">
        <f t="shared" si="34"/>
        <v/>
      </c>
      <c r="K383" s="75" t="str" cm="1">
        <f t="array" ref="K383">IF(OR($E383="",$D383="",$I383="",$J383=""),"",IF(J383=L383,I383,(INDEX('Emission factors'!$K$3:$V$201,MATCH(E383&amp;F383,'Emission factors'!$J$3:$J$201&amp;'Emission factors'!$K$3:$K$201,0),MATCH(K$6,'Emission factors'!$K$2:$V$2,0)))*I383))</f>
        <v/>
      </c>
      <c r="L383" s="312" t="str">
        <f>IF(OR($E383="",$D383="",$I383="",$J383=""),"",INDEX('Emission factors'!$K$3:$V$201,MATCH('Buildings - Grid Electricity'!$E383,'Emission factors'!$J$3:$J$201,0),MATCH($L$6,'Emission factors'!$K$2:$V$2,0)))</f>
        <v/>
      </c>
      <c r="M383" s="313" t="str" cm="1">
        <f t="array" ref="M383">IF(OR(E383="",I383="",BuildingsElectricityTable[[#This Row],[Units]]=""),"",INDEX('Emission factors'!$K$3:$V$201,MATCH('Buildings - Grid Electricity'!$E383&amp;F383,'Emission factors'!$J$3:$J$201&amp;'Emission factors'!$K$3:$K$201,0),MATCH('Buildings - Grid Electricity'!$M$6,'Emission factors'!$K$2:$V$2,0)))</f>
        <v/>
      </c>
      <c r="N383" s="156" t="str">
        <f>IF(OR(K383="",M383=""),"",SUM(BuildingsElectricityTable[[#This Row],[Direct]:[Indirect WTT]]))</f>
        <v/>
      </c>
      <c r="O383" s="71"/>
      <c r="P383" s="72"/>
      <c r="Q383" s="157" t="str" cm="1">
        <f t="array" ref="Q383">IF(OR($E383="",$I383=""),"",(INDEX('Emission factors'!$K$3:$V$201,MATCH('Buildings - Grid Electricity'!$E383&amp;$F383,'Emission factors'!$J$3:$J$201&amp;'Emission factors'!$K$3:$K$201,0),MATCH('Buildings - Grid Electricity'!Q$6,'Emission factors'!$K$2:$V$2,0)))*$K383)</f>
        <v/>
      </c>
      <c r="R383" s="157" t="str" cm="1">
        <f t="array" ref="R383">IF(OR($E383="",$I383=""),"",(INDEX('Emission factors'!$K$3:$V$201,MATCH('Buildings - Grid Electricity'!$E383&amp;$F383,'Emission factors'!$J$3:$J$201&amp;'Emission factors'!$K$3:$K$201,0),MATCH('Buildings - Grid Electricity'!R$6,'Emission factors'!$K$2:$V$2,0)))*$K383)</f>
        <v/>
      </c>
      <c r="S383" s="157" t="str" cm="1">
        <f t="array" ref="S383">IF(OR($E383="",$I383=""),"",(INDEX('Emission factors'!$K$3:$V$201,MATCH('Buildings - Grid Electricity'!$E383&amp;$F383,'Emission factors'!$J$3:$J$201&amp;'Emission factors'!$K$3:$K$201,0),MATCH('Buildings - Grid Electricity'!S$6,'Emission factors'!$K$2:$V$2,0)))*$K383)</f>
        <v/>
      </c>
      <c r="T383" s="157" t="str" cm="1">
        <f t="array" ref="T383">IF(OR($E383="",$I383=""),"",(INDEX('Emission factors'!$K$3:$V$201,MATCH('Buildings - Grid Electricity'!$E383&amp;$F383,'Emission factors'!$J$3:$J$201&amp;'Emission factors'!$K$3:$K$201,0),MATCH('Buildings - Grid Electricity'!T$6,'Emission factors'!$K$2:$V$2,0)))*$K383)</f>
        <v/>
      </c>
      <c r="U383" s="157" t="str" cm="1">
        <f t="array" ref="U383">IF(OR($E383="",$I383=""),"",(INDEX('Emission factors'!$K$3:$V$201,MATCH('Buildings - Grid Electricity'!$E383&amp;$F383,'Emission factors'!$J$3:$J$201&amp;'Emission factors'!$K$3:$K$201,0),MATCH('Buildings - Grid Electricity'!U$6,'Emission factors'!$K$2:$V$2,0)))*$K383)</f>
        <v/>
      </c>
      <c r="V383" s="158" t="str">
        <f>IF(OR($N383="",BuildingsElectricityTable[[#This Row],[RSD]]=""),"",BuildingsElectricityTable[[#This Row],[Total emissions (kgCO2e)]]*(1+BuildingsElectricityTable[[#This Row],[RSD]]))</f>
        <v/>
      </c>
      <c r="W383" s="159" t="str">
        <f>IF(OR($N383="",BuildingsElectricityTable[[#This Row],[RSD]]=""),"",BuildingsElectricityTable[[#This Row],[Total emissions (kgCO2e)]]*(1-BuildingsElectricityTable[[#This Row],[RSD]]))</f>
        <v/>
      </c>
      <c r="X383" s="169" t="str" cm="1">
        <f t="array" ref="X383">IF(OR($E383="",$I383=""),"",(INDEX('Emission factors'!$K$3:$V$201,MATCH('Buildings - Grid Electricity'!$E383&amp;$F383,'Emission factors'!$J$3:$J$201&amp;'Emission factors'!$K$3:$K$201,0),MATCH('Buildings - Grid Electricity'!X$6,'Emission factors'!$K$2:$V$2,0)))*$K383)</f>
        <v/>
      </c>
      <c r="Y383" s="30"/>
      <c r="Z383" s="1" cm="1">
        <f t="array" ref="Z383">IF(OR(ISERROR(B383:X383)),1,0)</f>
        <v>0</v>
      </c>
      <c r="AA383" s="1">
        <f t="shared" si="33"/>
        <v>0</v>
      </c>
    </row>
    <row r="384" spans="1:27" ht="15" outlineLevel="1" thickBot="1" x14ac:dyDescent="0.4">
      <c r="A384" s="319"/>
      <c r="B384" s="216"/>
      <c r="C384" s="216"/>
      <c r="D384" s="233" t="str">
        <f>IFERROR(INDEX(BuildingInformationTable[Site type],MATCH(BuildingsElectricityTable[[#This Row],[Site name]],BuildingInformationTable[Site name],0)),"")</f>
        <v/>
      </c>
      <c r="E384" s="311" t="str">
        <f t="shared" si="32"/>
        <v/>
      </c>
      <c r="F384" s="311" t="str">
        <f t="shared" si="0"/>
        <v/>
      </c>
      <c r="G384" s="72"/>
      <c r="H384" s="98" t="str">
        <f>IF(G384="","",INDEX(Lists!$BA$4:$BC$31,MATCH(E384,Lists!$AZ$4:$AZ$31,0),MATCH(G384,Lists!$BA$3:$BC$3,0)))</f>
        <v/>
      </c>
      <c r="I384" s="70"/>
      <c r="J384" s="311" t="str">
        <f t="shared" si="34"/>
        <v/>
      </c>
      <c r="K384" s="75" t="str" cm="1">
        <f t="array" ref="K384">IF(OR($E384="",$D384="",$I384="",$J384=""),"",IF(J384=L384,I384,(INDEX('Emission factors'!$K$3:$V$201,MATCH(E384&amp;F384,'Emission factors'!$J$3:$J$201&amp;'Emission factors'!$K$3:$K$201,0),MATCH(K$6,'Emission factors'!$K$2:$V$2,0)))*I384))</f>
        <v/>
      </c>
      <c r="L384" s="312" t="str">
        <f>IF(OR($E384="",$D384="",$I384="",$J384=""),"",INDEX('Emission factors'!$K$3:$V$201,MATCH('Buildings - Grid Electricity'!$E384,'Emission factors'!$J$3:$J$201,0),MATCH($L$6,'Emission factors'!$K$2:$V$2,0)))</f>
        <v/>
      </c>
      <c r="M384" s="313" t="str" cm="1">
        <f t="array" ref="M384">IF(OR(E384="",I384="",BuildingsElectricityTable[[#This Row],[Units]]=""),"",INDEX('Emission factors'!$K$3:$V$201,MATCH('Buildings - Grid Electricity'!$E384&amp;F384,'Emission factors'!$J$3:$J$201&amp;'Emission factors'!$K$3:$K$201,0),MATCH('Buildings - Grid Electricity'!$M$6,'Emission factors'!$K$2:$V$2,0)))</f>
        <v/>
      </c>
      <c r="N384" s="156" t="str">
        <f>IF(OR(K384="",M384=""),"",SUM(BuildingsElectricityTable[[#This Row],[Direct]:[Indirect WTT]]))</f>
        <v/>
      </c>
      <c r="O384" s="71"/>
      <c r="P384" s="72"/>
      <c r="Q384" s="157" t="str" cm="1">
        <f t="array" ref="Q384">IF(OR($E384="",$I384=""),"",(INDEX('Emission factors'!$K$3:$V$201,MATCH('Buildings - Grid Electricity'!$E384&amp;$F384,'Emission factors'!$J$3:$J$201&amp;'Emission factors'!$K$3:$K$201,0),MATCH('Buildings - Grid Electricity'!Q$6,'Emission factors'!$K$2:$V$2,0)))*$K384)</f>
        <v/>
      </c>
      <c r="R384" s="157" t="str" cm="1">
        <f t="array" ref="R384">IF(OR($E384="",$I384=""),"",(INDEX('Emission factors'!$K$3:$V$201,MATCH('Buildings - Grid Electricity'!$E384&amp;$F384,'Emission factors'!$J$3:$J$201&amp;'Emission factors'!$K$3:$K$201,0),MATCH('Buildings - Grid Electricity'!R$6,'Emission factors'!$K$2:$V$2,0)))*$K384)</f>
        <v/>
      </c>
      <c r="S384" s="157" t="str" cm="1">
        <f t="array" ref="S384">IF(OR($E384="",$I384=""),"",(INDEX('Emission factors'!$K$3:$V$201,MATCH('Buildings - Grid Electricity'!$E384&amp;$F384,'Emission factors'!$J$3:$J$201&amp;'Emission factors'!$K$3:$K$201,0),MATCH('Buildings - Grid Electricity'!S$6,'Emission factors'!$K$2:$V$2,0)))*$K384)</f>
        <v/>
      </c>
      <c r="T384" s="157" t="str" cm="1">
        <f t="array" ref="T384">IF(OR($E384="",$I384=""),"",(INDEX('Emission factors'!$K$3:$V$201,MATCH('Buildings - Grid Electricity'!$E384&amp;$F384,'Emission factors'!$J$3:$J$201&amp;'Emission factors'!$K$3:$K$201,0),MATCH('Buildings - Grid Electricity'!T$6,'Emission factors'!$K$2:$V$2,0)))*$K384)</f>
        <v/>
      </c>
      <c r="U384" s="157" t="str" cm="1">
        <f t="array" ref="U384">IF(OR($E384="",$I384=""),"",(INDEX('Emission factors'!$K$3:$V$201,MATCH('Buildings - Grid Electricity'!$E384&amp;$F384,'Emission factors'!$J$3:$J$201&amp;'Emission factors'!$K$3:$K$201,0),MATCH('Buildings - Grid Electricity'!U$6,'Emission factors'!$K$2:$V$2,0)))*$K384)</f>
        <v/>
      </c>
      <c r="V384" s="158" t="str">
        <f>IF(OR($N384="",BuildingsElectricityTable[[#This Row],[RSD]]=""),"",BuildingsElectricityTable[[#This Row],[Total emissions (kgCO2e)]]*(1+BuildingsElectricityTable[[#This Row],[RSD]]))</f>
        <v/>
      </c>
      <c r="W384" s="159" t="str">
        <f>IF(OR($N384="",BuildingsElectricityTable[[#This Row],[RSD]]=""),"",BuildingsElectricityTable[[#This Row],[Total emissions (kgCO2e)]]*(1-BuildingsElectricityTable[[#This Row],[RSD]]))</f>
        <v/>
      </c>
      <c r="X384" s="169" t="str" cm="1">
        <f t="array" ref="X384">IF(OR($E384="",$I384=""),"",(INDEX('Emission factors'!$K$3:$V$201,MATCH('Buildings - Grid Electricity'!$E384&amp;$F384,'Emission factors'!$J$3:$J$201&amp;'Emission factors'!$K$3:$K$201,0),MATCH('Buildings - Grid Electricity'!X$6,'Emission factors'!$K$2:$V$2,0)))*$K384)</f>
        <v/>
      </c>
      <c r="Y384" s="30"/>
      <c r="Z384" s="1" cm="1">
        <f t="array" ref="Z384">IF(OR(ISERROR(B384:X384)),1,0)</f>
        <v>0</v>
      </c>
      <c r="AA384" s="1">
        <f t="shared" si="33"/>
        <v>0</v>
      </c>
    </row>
    <row r="385" spans="1:27" ht="15" outlineLevel="1" thickBot="1" x14ac:dyDescent="0.4">
      <c r="A385" s="319"/>
      <c r="B385" s="216"/>
      <c r="C385" s="216"/>
      <c r="D385" s="233" t="str">
        <f>IFERROR(INDEX(BuildingInformationTable[Site type],MATCH(BuildingsElectricityTable[[#This Row],[Site name]],BuildingInformationTable[Site name],0)),"")</f>
        <v/>
      </c>
      <c r="E385" s="311" t="str">
        <f t="shared" si="32"/>
        <v/>
      </c>
      <c r="F385" s="311" t="str">
        <f t="shared" si="0"/>
        <v/>
      </c>
      <c r="G385" s="72"/>
      <c r="H385" s="98" t="str">
        <f>IF(G385="","",INDEX(Lists!$BA$4:$BC$31,MATCH(E385,Lists!$AZ$4:$AZ$31,0),MATCH(G385,Lists!$BA$3:$BC$3,0)))</f>
        <v/>
      </c>
      <c r="I385" s="70"/>
      <c r="J385" s="311" t="str">
        <f t="shared" si="34"/>
        <v/>
      </c>
      <c r="K385" s="75" t="str" cm="1">
        <f t="array" ref="K385">IF(OR($E385="",$D385="",$I385="",$J385=""),"",IF(J385=L385,I385,(INDEX('Emission factors'!$K$3:$V$201,MATCH(E385&amp;F385,'Emission factors'!$J$3:$J$201&amp;'Emission factors'!$K$3:$K$201,0),MATCH(K$6,'Emission factors'!$K$2:$V$2,0)))*I385))</f>
        <v/>
      </c>
      <c r="L385" s="312" t="str">
        <f>IF(OR($E385="",$D385="",$I385="",$J385=""),"",INDEX('Emission factors'!$K$3:$V$201,MATCH('Buildings - Grid Electricity'!$E385,'Emission factors'!$J$3:$J$201,0),MATCH($L$6,'Emission factors'!$K$2:$V$2,0)))</f>
        <v/>
      </c>
      <c r="M385" s="313" t="str" cm="1">
        <f t="array" ref="M385">IF(OR(E385="",I385="",BuildingsElectricityTable[[#This Row],[Units]]=""),"",INDEX('Emission factors'!$K$3:$V$201,MATCH('Buildings - Grid Electricity'!$E385&amp;F385,'Emission factors'!$J$3:$J$201&amp;'Emission factors'!$K$3:$K$201,0),MATCH('Buildings - Grid Electricity'!$M$6,'Emission factors'!$K$2:$V$2,0)))</f>
        <v/>
      </c>
      <c r="N385" s="156" t="str">
        <f>IF(OR(K385="",M385=""),"",SUM(BuildingsElectricityTable[[#This Row],[Direct]:[Indirect WTT]]))</f>
        <v/>
      </c>
      <c r="O385" s="71"/>
      <c r="P385" s="72"/>
      <c r="Q385" s="157" t="str" cm="1">
        <f t="array" ref="Q385">IF(OR($E385="",$I385=""),"",(INDEX('Emission factors'!$K$3:$V$201,MATCH('Buildings - Grid Electricity'!$E385&amp;$F385,'Emission factors'!$J$3:$J$201&amp;'Emission factors'!$K$3:$K$201,0),MATCH('Buildings - Grid Electricity'!Q$6,'Emission factors'!$K$2:$V$2,0)))*$K385)</f>
        <v/>
      </c>
      <c r="R385" s="157" t="str" cm="1">
        <f t="array" ref="R385">IF(OR($E385="",$I385=""),"",(INDEX('Emission factors'!$K$3:$V$201,MATCH('Buildings - Grid Electricity'!$E385&amp;$F385,'Emission factors'!$J$3:$J$201&amp;'Emission factors'!$K$3:$K$201,0),MATCH('Buildings - Grid Electricity'!R$6,'Emission factors'!$K$2:$V$2,0)))*$K385)</f>
        <v/>
      </c>
      <c r="S385" s="157" t="str" cm="1">
        <f t="array" ref="S385">IF(OR($E385="",$I385=""),"",(INDEX('Emission factors'!$K$3:$V$201,MATCH('Buildings - Grid Electricity'!$E385&amp;$F385,'Emission factors'!$J$3:$J$201&amp;'Emission factors'!$K$3:$K$201,0),MATCH('Buildings - Grid Electricity'!S$6,'Emission factors'!$K$2:$V$2,0)))*$K385)</f>
        <v/>
      </c>
      <c r="T385" s="157" t="str" cm="1">
        <f t="array" ref="T385">IF(OR($E385="",$I385=""),"",(INDEX('Emission factors'!$K$3:$V$201,MATCH('Buildings - Grid Electricity'!$E385&amp;$F385,'Emission factors'!$J$3:$J$201&amp;'Emission factors'!$K$3:$K$201,0),MATCH('Buildings - Grid Electricity'!T$6,'Emission factors'!$K$2:$V$2,0)))*$K385)</f>
        <v/>
      </c>
      <c r="U385" s="157" t="str" cm="1">
        <f t="array" ref="U385">IF(OR($E385="",$I385=""),"",(INDEX('Emission factors'!$K$3:$V$201,MATCH('Buildings - Grid Electricity'!$E385&amp;$F385,'Emission factors'!$J$3:$J$201&amp;'Emission factors'!$K$3:$K$201,0),MATCH('Buildings - Grid Electricity'!U$6,'Emission factors'!$K$2:$V$2,0)))*$K385)</f>
        <v/>
      </c>
      <c r="V385" s="158" t="str">
        <f>IF(OR($N385="",BuildingsElectricityTable[[#This Row],[RSD]]=""),"",BuildingsElectricityTable[[#This Row],[Total emissions (kgCO2e)]]*(1+BuildingsElectricityTable[[#This Row],[RSD]]))</f>
        <v/>
      </c>
      <c r="W385" s="159" t="str">
        <f>IF(OR($N385="",BuildingsElectricityTable[[#This Row],[RSD]]=""),"",BuildingsElectricityTable[[#This Row],[Total emissions (kgCO2e)]]*(1-BuildingsElectricityTable[[#This Row],[RSD]]))</f>
        <v/>
      </c>
      <c r="X385" s="169" t="str" cm="1">
        <f t="array" ref="X385">IF(OR($E385="",$I385=""),"",(INDEX('Emission factors'!$K$3:$V$201,MATCH('Buildings - Grid Electricity'!$E385&amp;$F385,'Emission factors'!$J$3:$J$201&amp;'Emission factors'!$K$3:$K$201,0),MATCH('Buildings - Grid Electricity'!X$6,'Emission factors'!$K$2:$V$2,0)))*$K385)</f>
        <v/>
      </c>
      <c r="Y385" s="30"/>
      <c r="Z385" s="1" cm="1">
        <f t="array" ref="Z385">IF(OR(ISERROR(B385:X385)),1,0)</f>
        <v>0</v>
      </c>
      <c r="AA385" s="1">
        <f t="shared" si="33"/>
        <v>0</v>
      </c>
    </row>
    <row r="386" spans="1:27" ht="15" outlineLevel="1" thickBot="1" x14ac:dyDescent="0.4">
      <c r="A386" s="319"/>
      <c r="B386" s="216"/>
      <c r="C386" s="216"/>
      <c r="D386" s="233" t="str">
        <f>IFERROR(INDEX(BuildingInformationTable[Site type],MATCH(BuildingsElectricityTable[[#This Row],[Site name]],BuildingInformationTable[Site name],0)),"")</f>
        <v/>
      </c>
      <c r="E386" s="311" t="str">
        <f t="shared" si="32"/>
        <v/>
      </c>
      <c r="F386" s="311" t="str">
        <f t="shared" si="0"/>
        <v/>
      </c>
      <c r="G386" s="72"/>
      <c r="H386" s="98" t="str">
        <f>IF(G386="","",INDEX(Lists!$BA$4:$BC$31,MATCH(E386,Lists!$AZ$4:$AZ$31,0),MATCH(G386,Lists!$BA$3:$BC$3,0)))</f>
        <v/>
      </c>
      <c r="I386" s="70"/>
      <c r="J386" s="311" t="str">
        <f t="shared" si="34"/>
        <v/>
      </c>
      <c r="K386" s="75" t="str" cm="1">
        <f t="array" ref="K386">IF(OR($E386="",$D386="",$I386="",$J386=""),"",IF(J386=L386,I386,(INDEX('Emission factors'!$K$3:$V$201,MATCH(E386&amp;F386,'Emission factors'!$J$3:$J$201&amp;'Emission factors'!$K$3:$K$201,0),MATCH(K$6,'Emission factors'!$K$2:$V$2,0)))*I386))</f>
        <v/>
      </c>
      <c r="L386" s="312" t="str">
        <f>IF(OR($E386="",$D386="",$I386="",$J386=""),"",INDEX('Emission factors'!$K$3:$V$201,MATCH('Buildings - Grid Electricity'!$E386,'Emission factors'!$J$3:$J$201,0),MATCH($L$6,'Emission factors'!$K$2:$V$2,0)))</f>
        <v/>
      </c>
      <c r="M386" s="313" t="str" cm="1">
        <f t="array" ref="M386">IF(OR(E386="",I386="",BuildingsElectricityTable[[#This Row],[Units]]=""),"",INDEX('Emission factors'!$K$3:$V$201,MATCH('Buildings - Grid Electricity'!$E386&amp;F386,'Emission factors'!$J$3:$J$201&amp;'Emission factors'!$K$3:$K$201,0),MATCH('Buildings - Grid Electricity'!$M$6,'Emission factors'!$K$2:$V$2,0)))</f>
        <v/>
      </c>
      <c r="N386" s="156" t="str">
        <f>IF(OR(K386="",M386=""),"",SUM(BuildingsElectricityTable[[#This Row],[Direct]:[Indirect WTT]]))</f>
        <v/>
      </c>
      <c r="O386" s="71"/>
      <c r="P386" s="72"/>
      <c r="Q386" s="157" t="str" cm="1">
        <f t="array" ref="Q386">IF(OR($E386="",$I386=""),"",(INDEX('Emission factors'!$K$3:$V$201,MATCH('Buildings - Grid Electricity'!$E386&amp;$F386,'Emission factors'!$J$3:$J$201&amp;'Emission factors'!$K$3:$K$201,0),MATCH('Buildings - Grid Electricity'!Q$6,'Emission factors'!$K$2:$V$2,0)))*$K386)</f>
        <v/>
      </c>
      <c r="R386" s="157" t="str" cm="1">
        <f t="array" ref="R386">IF(OR($E386="",$I386=""),"",(INDEX('Emission factors'!$K$3:$V$201,MATCH('Buildings - Grid Electricity'!$E386&amp;$F386,'Emission factors'!$J$3:$J$201&amp;'Emission factors'!$K$3:$K$201,0),MATCH('Buildings - Grid Electricity'!R$6,'Emission factors'!$K$2:$V$2,0)))*$K386)</f>
        <v/>
      </c>
      <c r="S386" s="157" t="str" cm="1">
        <f t="array" ref="S386">IF(OR($E386="",$I386=""),"",(INDEX('Emission factors'!$K$3:$V$201,MATCH('Buildings - Grid Electricity'!$E386&amp;$F386,'Emission factors'!$J$3:$J$201&amp;'Emission factors'!$K$3:$K$201,0),MATCH('Buildings - Grid Electricity'!S$6,'Emission factors'!$K$2:$V$2,0)))*$K386)</f>
        <v/>
      </c>
      <c r="T386" s="157" t="str" cm="1">
        <f t="array" ref="T386">IF(OR($E386="",$I386=""),"",(INDEX('Emission factors'!$K$3:$V$201,MATCH('Buildings - Grid Electricity'!$E386&amp;$F386,'Emission factors'!$J$3:$J$201&amp;'Emission factors'!$K$3:$K$201,0),MATCH('Buildings - Grid Electricity'!T$6,'Emission factors'!$K$2:$V$2,0)))*$K386)</f>
        <v/>
      </c>
      <c r="U386" s="157" t="str" cm="1">
        <f t="array" ref="U386">IF(OR($E386="",$I386=""),"",(INDEX('Emission factors'!$K$3:$V$201,MATCH('Buildings - Grid Electricity'!$E386&amp;$F386,'Emission factors'!$J$3:$J$201&amp;'Emission factors'!$K$3:$K$201,0),MATCH('Buildings - Grid Electricity'!U$6,'Emission factors'!$K$2:$V$2,0)))*$K386)</f>
        <v/>
      </c>
      <c r="V386" s="158" t="str">
        <f>IF(OR($N386="",BuildingsElectricityTable[[#This Row],[RSD]]=""),"",BuildingsElectricityTable[[#This Row],[Total emissions (kgCO2e)]]*(1+BuildingsElectricityTable[[#This Row],[RSD]]))</f>
        <v/>
      </c>
      <c r="W386" s="159" t="str">
        <f>IF(OR($N386="",BuildingsElectricityTable[[#This Row],[RSD]]=""),"",BuildingsElectricityTable[[#This Row],[Total emissions (kgCO2e)]]*(1-BuildingsElectricityTable[[#This Row],[RSD]]))</f>
        <v/>
      </c>
      <c r="X386" s="169" t="str" cm="1">
        <f t="array" ref="X386">IF(OR($E386="",$I386=""),"",(INDEX('Emission factors'!$K$3:$V$201,MATCH('Buildings - Grid Electricity'!$E386&amp;$F386,'Emission factors'!$J$3:$J$201&amp;'Emission factors'!$K$3:$K$201,0),MATCH('Buildings - Grid Electricity'!X$6,'Emission factors'!$K$2:$V$2,0)))*$K386)</f>
        <v/>
      </c>
      <c r="Y386" s="30"/>
      <c r="Z386" s="1" cm="1">
        <f t="array" ref="Z386">IF(OR(ISERROR(B386:X386)),1,0)</f>
        <v>0</v>
      </c>
      <c r="AA386" s="1">
        <f t="shared" si="33"/>
        <v>0</v>
      </c>
    </row>
    <row r="387" spans="1:27" ht="15" outlineLevel="1" thickBot="1" x14ac:dyDescent="0.4">
      <c r="A387" s="319"/>
      <c r="B387" s="216"/>
      <c r="C387" s="216"/>
      <c r="D387" s="233" t="str">
        <f>IFERROR(INDEX(BuildingInformationTable[Site type],MATCH(BuildingsElectricityTable[[#This Row],[Site name]],BuildingInformationTable[Site name],0)),"")</f>
        <v/>
      </c>
      <c r="E387" s="311" t="str">
        <f t="shared" si="32"/>
        <v/>
      </c>
      <c r="F387" s="311" t="str">
        <f t="shared" si="0"/>
        <v/>
      </c>
      <c r="G387" s="72"/>
      <c r="H387" s="98" t="str">
        <f>IF(G387="","",INDEX(Lists!$BA$4:$BC$31,MATCH(E387,Lists!$AZ$4:$AZ$31,0),MATCH(G387,Lists!$BA$3:$BC$3,0)))</f>
        <v/>
      </c>
      <c r="I387" s="70"/>
      <c r="J387" s="311" t="str">
        <f t="shared" si="34"/>
        <v/>
      </c>
      <c r="K387" s="75" t="str" cm="1">
        <f t="array" ref="K387">IF(OR($E387="",$D387="",$I387="",$J387=""),"",IF(J387=L387,I387,(INDEX('Emission factors'!$K$3:$V$201,MATCH(E387&amp;F387,'Emission factors'!$J$3:$J$201&amp;'Emission factors'!$K$3:$K$201,0),MATCH(K$6,'Emission factors'!$K$2:$V$2,0)))*I387))</f>
        <v/>
      </c>
      <c r="L387" s="312" t="str">
        <f>IF(OR($E387="",$D387="",$I387="",$J387=""),"",INDEX('Emission factors'!$K$3:$V$201,MATCH('Buildings - Grid Electricity'!$E387,'Emission factors'!$J$3:$J$201,0),MATCH($L$6,'Emission factors'!$K$2:$V$2,0)))</f>
        <v/>
      </c>
      <c r="M387" s="313" t="str" cm="1">
        <f t="array" ref="M387">IF(OR(E387="",I387="",BuildingsElectricityTable[[#This Row],[Units]]=""),"",INDEX('Emission factors'!$K$3:$V$201,MATCH('Buildings - Grid Electricity'!$E387&amp;F387,'Emission factors'!$J$3:$J$201&amp;'Emission factors'!$K$3:$K$201,0),MATCH('Buildings - Grid Electricity'!$M$6,'Emission factors'!$K$2:$V$2,0)))</f>
        <v/>
      </c>
      <c r="N387" s="156" t="str">
        <f>IF(OR(K387="",M387=""),"",SUM(BuildingsElectricityTable[[#This Row],[Direct]:[Indirect WTT]]))</f>
        <v/>
      </c>
      <c r="O387" s="71"/>
      <c r="P387" s="72"/>
      <c r="Q387" s="157" t="str" cm="1">
        <f t="array" ref="Q387">IF(OR($E387="",$I387=""),"",(INDEX('Emission factors'!$K$3:$V$201,MATCH('Buildings - Grid Electricity'!$E387&amp;$F387,'Emission factors'!$J$3:$J$201&amp;'Emission factors'!$K$3:$K$201,0),MATCH('Buildings - Grid Electricity'!Q$6,'Emission factors'!$K$2:$V$2,0)))*$K387)</f>
        <v/>
      </c>
      <c r="R387" s="157" t="str" cm="1">
        <f t="array" ref="R387">IF(OR($E387="",$I387=""),"",(INDEX('Emission factors'!$K$3:$V$201,MATCH('Buildings - Grid Electricity'!$E387&amp;$F387,'Emission factors'!$J$3:$J$201&amp;'Emission factors'!$K$3:$K$201,0),MATCH('Buildings - Grid Electricity'!R$6,'Emission factors'!$K$2:$V$2,0)))*$K387)</f>
        <v/>
      </c>
      <c r="S387" s="157" t="str" cm="1">
        <f t="array" ref="S387">IF(OR($E387="",$I387=""),"",(INDEX('Emission factors'!$K$3:$V$201,MATCH('Buildings - Grid Electricity'!$E387&amp;$F387,'Emission factors'!$J$3:$J$201&amp;'Emission factors'!$K$3:$K$201,0),MATCH('Buildings - Grid Electricity'!S$6,'Emission factors'!$K$2:$V$2,0)))*$K387)</f>
        <v/>
      </c>
      <c r="T387" s="157" t="str" cm="1">
        <f t="array" ref="T387">IF(OR($E387="",$I387=""),"",(INDEX('Emission factors'!$K$3:$V$201,MATCH('Buildings - Grid Electricity'!$E387&amp;$F387,'Emission factors'!$J$3:$J$201&amp;'Emission factors'!$K$3:$K$201,0),MATCH('Buildings - Grid Electricity'!T$6,'Emission factors'!$K$2:$V$2,0)))*$K387)</f>
        <v/>
      </c>
      <c r="U387" s="157" t="str" cm="1">
        <f t="array" ref="U387">IF(OR($E387="",$I387=""),"",(INDEX('Emission factors'!$K$3:$V$201,MATCH('Buildings - Grid Electricity'!$E387&amp;$F387,'Emission factors'!$J$3:$J$201&amp;'Emission factors'!$K$3:$K$201,0),MATCH('Buildings - Grid Electricity'!U$6,'Emission factors'!$K$2:$V$2,0)))*$K387)</f>
        <v/>
      </c>
      <c r="V387" s="158" t="str">
        <f>IF(OR($N387="",BuildingsElectricityTable[[#This Row],[RSD]]=""),"",BuildingsElectricityTable[[#This Row],[Total emissions (kgCO2e)]]*(1+BuildingsElectricityTable[[#This Row],[RSD]]))</f>
        <v/>
      </c>
      <c r="W387" s="159" t="str">
        <f>IF(OR($N387="",BuildingsElectricityTable[[#This Row],[RSD]]=""),"",BuildingsElectricityTable[[#This Row],[Total emissions (kgCO2e)]]*(1-BuildingsElectricityTable[[#This Row],[RSD]]))</f>
        <v/>
      </c>
      <c r="X387" s="169" t="str" cm="1">
        <f t="array" ref="X387">IF(OR($E387="",$I387=""),"",(INDEX('Emission factors'!$K$3:$V$201,MATCH('Buildings - Grid Electricity'!$E387&amp;$F387,'Emission factors'!$J$3:$J$201&amp;'Emission factors'!$K$3:$K$201,0),MATCH('Buildings - Grid Electricity'!X$6,'Emission factors'!$K$2:$V$2,0)))*$K387)</f>
        <v/>
      </c>
      <c r="Y387" s="30"/>
      <c r="Z387" s="1" cm="1">
        <f t="array" ref="Z387">IF(OR(ISERROR(B387:X387)),1,0)</f>
        <v>0</v>
      </c>
      <c r="AA387" s="1">
        <f t="shared" si="33"/>
        <v>0</v>
      </c>
    </row>
    <row r="388" spans="1:27" ht="15" outlineLevel="1" thickBot="1" x14ac:dyDescent="0.4">
      <c r="A388" s="319"/>
      <c r="B388" s="216"/>
      <c r="C388" s="216"/>
      <c r="D388" s="233" t="str">
        <f>IFERROR(INDEX(BuildingInformationTable[Site type],MATCH(BuildingsElectricityTable[[#This Row],[Site name]],BuildingInformationTable[Site name],0)),"")</f>
        <v/>
      </c>
      <c r="E388" s="311" t="str">
        <f t="shared" si="32"/>
        <v/>
      </c>
      <c r="F388" s="311" t="str">
        <f t="shared" si="0"/>
        <v/>
      </c>
      <c r="G388" s="72"/>
      <c r="H388" s="98" t="str">
        <f>IF(G388="","",INDEX(Lists!$BA$4:$BC$31,MATCH(E388,Lists!$AZ$4:$AZ$31,0),MATCH(G388,Lists!$BA$3:$BC$3,0)))</f>
        <v/>
      </c>
      <c r="I388" s="70"/>
      <c r="J388" s="311" t="str">
        <f t="shared" si="34"/>
        <v/>
      </c>
      <c r="K388" s="75" t="str" cm="1">
        <f t="array" ref="K388">IF(OR($E388="",$D388="",$I388="",$J388=""),"",IF(J388=L388,I388,(INDEX('Emission factors'!$K$3:$V$201,MATCH(E388&amp;F388,'Emission factors'!$J$3:$J$201&amp;'Emission factors'!$K$3:$K$201,0),MATCH(K$6,'Emission factors'!$K$2:$V$2,0)))*I388))</f>
        <v/>
      </c>
      <c r="L388" s="312" t="str">
        <f>IF(OR($E388="",$D388="",$I388="",$J388=""),"",INDEX('Emission factors'!$K$3:$V$201,MATCH('Buildings - Grid Electricity'!$E388,'Emission factors'!$J$3:$J$201,0),MATCH($L$6,'Emission factors'!$K$2:$V$2,0)))</f>
        <v/>
      </c>
      <c r="M388" s="313" t="str" cm="1">
        <f t="array" ref="M388">IF(OR(E388="",I388="",BuildingsElectricityTable[[#This Row],[Units]]=""),"",INDEX('Emission factors'!$K$3:$V$201,MATCH('Buildings - Grid Electricity'!$E388&amp;F388,'Emission factors'!$J$3:$J$201&amp;'Emission factors'!$K$3:$K$201,0),MATCH('Buildings - Grid Electricity'!$M$6,'Emission factors'!$K$2:$V$2,0)))</f>
        <v/>
      </c>
      <c r="N388" s="156" t="str">
        <f>IF(OR(K388="",M388=""),"",SUM(BuildingsElectricityTable[[#This Row],[Direct]:[Indirect WTT]]))</f>
        <v/>
      </c>
      <c r="O388" s="71"/>
      <c r="P388" s="72"/>
      <c r="Q388" s="157" t="str" cm="1">
        <f t="array" ref="Q388">IF(OR($E388="",$I388=""),"",(INDEX('Emission factors'!$K$3:$V$201,MATCH('Buildings - Grid Electricity'!$E388&amp;$F388,'Emission factors'!$J$3:$J$201&amp;'Emission factors'!$K$3:$K$201,0),MATCH('Buildings - Grid Electricity'!Q$6,'Emission factors'!$K$2:$V$2,0)))*$K388)</f>
        <v/>
      </c>
      <c r="R388" s="157" t="str" cm="1">
        <f t="array" ref="R388">IF(OR($E388="",$I388=""),"",(INDEX('Emission factors'!$K$3:$V$201,MATCH('Buildings - Grid Electricity'!$E388&amp;$F388,'Emission factors'!$J$3:$J$201&amp;'Emission factors'!$K$3:$K$201,0),MATCH('Buildings - Grid Electricity'!R$6,'Emission factors'!$K$2:$V$2,0)))*$K388)</f>
        <v/>
      </c>
      <c r="S388" s="157" t="str" cm="1">
        <f t="array" ref="S388">IF(OR($E388="",$I388=""),"",(INDEX('Emission factors'!$K$3:$V$201,MATCH('Buildings - Grid Electricity'!$E388&amp;$F388,'Emission factors'!$J$3:$J$201&amp;'Emission factors'!$K$3:$K$201,0),MATCH('Buildings - Grid Electricity'!S$6,'Emission factors'!$K$2:$V$2,0)))*$K388)</f>
        <v/>
      </c>
      <c r="T388" s="157" t="str" cm="1">
        <f t="array" ref="T388">IF(OR($E388="",$I388=""),"",(INDEX('Emission factors'!$K$3:$V$201,MATCH('Buildings - Grid Electricity'!$E388&amp;$F388,'Emission factors'!$J$3:$J$201&amp;'Emission factors'!$K$3:$K$201,0),MATCH('Buildings - Grid Electricity'!T$6,'Emission factors'!$K$2:$V$2,0)))*$K388)</f>
        <v/>
      </c>
      <c r="U388" s="157" t="str" cm="1">
        <f t="array" ref="U388">IF(OR($E388="",$I388=""),"",(INDEX('Emission factors'!$K$3:$V$201,MATCH('Buildings - Grid Electricity'!$E388&amp;$F388,'Emission factors'!$J$3:$J$201&amp;'Emission factors'!$K$3:$K$201,0),MATCH('Buildings - Grid Electricity'!U$6,'Emission factors'!$K$2:$V$2,0)))*$K388)</f>
        <v/>
      </c>
      <c r="V388" s="158" t="str">
        <f>IF(OR($N388="",BuildingsElectricityTable[[#This Row],[RSD]]=""),"",BuildingsElectricityTable[[#This Row],[Total emissions (kgCO2e)]]*(1+BuildingsElectricityTable[[#This Row],[RSD]]))</f>
        <v/>
      </c>
      <c r="W388" s="159" t="str">
        <f>IF(OR($N388="",BuildingsElectricityTable[[#This Row],[RSD]]=""),"",BuildingsElectricityTable[[#This Row],[Total emissions (kgCO2e)]]*(1-BuildingsElectricityTable[[#This Row],[RSD]]))</f>
        <v/>
      </c>
      <c r="X388" s="169" t="str" cm="1">
        <f t="array" ref="X388">IF(OR($E388="",$I388=""),"",(INDEX('Emission factors'!$K$3:$V$201,MATCH('Buildings - Grid Electricity'!$E388&amp;$F388,'Emission factors'!$J$3:$J$201&amp;'Emission factors'!$K$3:$K$201,0),MATCH('Buildings - Grid Electricity'!X$6,'Emission factors'!$K$2:$V$2,0)))*$K388)</f>
        <v/>
      </c>
      <c r="Y388" s="30"/>
      <c r="Z388" s="1" cm="1">
        <f t="array" ref="Z388">IF(OR(ISERROR(B388:X388)),1,0)</f>
        <v>0</v>
      </c>
      <c r="AA388" s="1">
        <f t="shared" si="33"/>
        <v>0</v>
      </c>
    </row>
    <row r="389" spans="1:27" ht="15" outlineLevel="1" thickBot="1" x14ac:dyDescent="0.4">
      <c r="A389" s="319"/>
      <c r="B389" s="216"/>
      <c r="C389" s="216"/>
      <c r="D389" s="233" t="str">
        <f>IFERROR(INDEX(BuildingInformationTable[Site type],MATCH(BuildingsElectricityTable[[#This Row],[Site name]],BuildingInformationTable[Site name],0)),"")</f>
        <v/>
      </c>
      <c r="E389" s="311" t="str">
        <f t="shared" si="32"/>
        <v/>
      </c>
      <c r="F389" s="311" t="str">
        <f t="shared" si="0"/>
        <v/>
      </c>
      <c r="G389" s="72"/>
      <c r="H389" s="98" t="str">
        <f>IF(G389="","",INDEX(Lists!$BA$4:$BC$31,MATCH(E389,Lists!$AZ$4:$AZ$31,0),MATCH(G389,Lists!$BA$3:$BC$3,0)))</f>
        <v/>
      </c>
      <c r="I389" s="70"/>
      <c r="J389" s="311" t="str">
        <f t="shared" si="34"/>
        <v/>
      </c>
      <c r="K389" s="75" t="str" cm="1">
        <f t="array" ref="K389">IF(OR($E389="",$D389="",$I389="",$J389=""),"",IF(J389=L389,I389,(INDEX('Emission factors'!$K$3:$V$201,MATCH(E389&amp;F389,'Emission factors'!$J$3:$J$201&amp;'Emission factors'!$K$3:$K$201,0),MATCH(K$6,'Emission factors'!$K$2:$V$2,0)))*I389))</f>
        <v/>
      </c>
      <c r="L389" s="312" t="str">
        <f>IF(OR($E389="",$D389="",$I389="",$J389=""),"",INDEX('Emission factors'!$K$3:$V$201,MATCH('Buildings - Grid Electricity'!$E389,'Emission factors'!$J$3:$J$201,0),MATCH($L$6,'Emission factors'!$K$2:$V$2,0)))</f>
        <v/>
      </c>
      <c r="M389" s="313" t="str" cm="1">
        <f t="array" ref="M389">IF(OR(E389="",I389="",BuildingsElectricityTable[[#This Row],[Units]]=""),"",INDEX('Emission factors'!$K$3:$V$201,MATCH('Buildings - Grid Electricity'!$E389&amp;F389,'Emission factors'!$J$3:$J$201&amp;'Emission factors'!$K$3:$K$201,0),MATCH('Buildings - Grid Electricity'!$M$6,'Emission factors'!$K$2:$V$2,0)))</f>
        <v/>
      </c>
      <c r="N389" s="156" t="str">
        <f>IF(OR(K389="",M389=""),"",SUM(BuildingsElectricityTable[[#This Row],[Direct]:[Indirect WTT]]))</f>
        <v/>
      </c>
      <c r="O389" s="71"/>
      <c r="P389" s="72"/>
      <c r="Q389" s="157" t="str" cm="1">
        <f t="array" ref="Q389">IF(OR($E389="",$I389=""),"",(INDEX('Emission factors'!$K$3:$V$201,MATCH('Buildings - Grid Electricity'!$E389&amp;$F389,'Emission factors'!$J$3:$J$201&amp;'Emission factors'!$K$3:$K$201,0),MATCH('Buildings - Grid Electricity'!Q$6,'Emission factors'!$K$2:$V$2,0)))*$K389)</f>
        <v/>
      </c>
      <c r="R389" s="157" t="str" cm="1">
        <f t="array" ref="R389">IF(OR($E389="",$I389=""),"",(INDEX('Emission factors'!$K$3:$V$201,MATCH('Buildings - Grid Electricity'!$E389&amp;$F389,'Emission factors'!$J$3:$J$201&amp;'Emission factors'!$K$3:$K$201,0),MATCH('Buildings - Grid Electricity'!R$6,'Emission factors'!$K$2:$V$2,0)))*$K389)</f>
        <v/>
      </c>
      <c r="S389" s="157" t="str" cm="1">
        <f t="array" ref="S389">IF(OR($E389="",$I389=""),"",(INDEX('Emission factors'!$K$3:$V$201,MATCH('Buildings - Grid Electricity'!$E389&amp;$F389,'Emission factors'!$J$3:$J$201&amp;'Emission factors'!$K$3:$K$201,0),MATCH('Buildings - Grid Electricity'!S$6,'Emission factors'!$K$2:$V$2,0)))*$K389)</f>
        <v/>
      </c>
      <c r="T389" s="157" t="str" cm="1">
        <f t="array" ref="T389">IF(OR($E389="",$I389=""),"",(INDEX('Emission factors'!$K$3:$V$201,MATCH('Buildings - Grid Electricity'!$E389&amp;$F389,'Emission factors'!$J$3:$J$201&amp;'Emission factors'!$K$3:$K$201,0),MATCH('Buildings - Grid Electricity'!T$6,'Emission factors'!$K$2:$V$2,0)))*$K389)</f>
        <v/>
      </c>
      <c r="U389" s="157" t="str" cm="1">
        <f t="array" ref="U389">IF(OR($E389="",$I389=""),"",(INDEX('Emission factors'!$K$3:$V$201,MATCH('Buildings - Grid Electricity'!$E389&amp;$F389,'Emission factors'!$J$3:$J$201&amp;'Emission factors'!$K$3:$K$201,0),MATCH('Buildings - Grid Electricity'!U$6,'Emission factors'!$K$2:$V$2,0)))*$K389)</f>
        <v/>
      </c>
      <c r="V389" s="158" t="str">
        <f>IF(OR($N389="",BuildingsElectricityTable[[#This Row],[RSD]]=""),"",BuildingsElectricityTable[[#This Row],[Total emissions (kgCO2e)]]*(1+BuildingsElectricityTable[[#This Row],[RSD]]))</f>
        <v/>
      </c>
      <c r="W389" s="159" t="str">
        <f>IF(OR($N389="",BuildingsElectricityTable[[#This Row],[RSD]]=""),"",BuildingsElectricityTable[[#This Row],[Total emissions (kgCO2e)]]*(1-BuildingsElectricityTable[[#This Row],[RSD]]))</f>
        <v/>
      </c>
      <c r="X389" s="169" t="str" cm="1">
        <f t="array" ref="X389">IF(OR($E389="",$I389=""),"",(INDEX('Emission factors'!$K$3:$V$201,MATCH('Buildings - Grid Electricity'!$E389&amp;$F389,'Emission factors'!$J$3:$J$201&amp;'Emission factors'!$K$3:$K$201,0),MATCH('Buildings - Grid Electricity'!X$6,'Emission factors'!$K$2:$V$2,0)))*$K389)</f>
        <v/>
      </c>
      <c r="Y389" s="30"/>
      <c r="Z389" s="1" cm="1">
        <f t="array" ref="Z389">IF(OR(ISERROR(B389:X389)),1,0)</f>
        <v>0</v>
      </c>
      <c r="AA389" s="1">
        <f t="shared" si="33"/>
        <v>0</v>
      </c>
    </row>
    <row r="390" spans="1:27" ht="15" outlineLevel="1" thickBot="1" x14ac:dyDescent="0.4">
      <c r="A390" s="319"/>
      <c r="B390" s="216"/>
      <c r="C390" s="216"/>
      <c r="D390" s="233" t="str">
        <f>IFERROR(INDEX(BuildingInformationTable[Site type],MATCH(BuildingsElectricityTable[[#This Row],[Site name]],BuildingInformationTable[Site name],0)),"")</f>
        <v/>
      </c>
      <c r="E390" s="311" t="str">
        <f t="shared" si="32"/>
        <v/>
      </c>
      <c r="F390" s="311" t="str">
        <f t="shared" si="0"/>
        <v/>
      </c>
      <c r="G390" s="72"/>
      <c r="H390" s="98" t="str">
        <f>IF(G390="","",INDEX(Lists!$BA$4:$BC$31,MATCH(E390,Lists!$AZ$4:$AZ$31,0),MATCH(G390,Lists!$BA$3:$BC$3,0)))</f>
        <v/>
      </c>
      <c r="I390" s="70"/>
      <c r="J390" s="311" t="str">
        <f t="shared" si="34"/>
        <v/>
      </c>
      <c r="K390" s="75" t="str" cm="1">
        <f t="array" ref="K390">IF(OR($E390="",$D390="",$I390="",$J390=""),"",IF(J390=L390,I390,(INDEX('Emission factors'!$K$3:$V$201,MATCH(E390&amp;F390,'Emission factors'!$J$3:$J$201&amp;'Emission factors'!$K$3:$K$201,0),MATCH(K$6,'Emission factors'!$K$2:$V$2,0)))*I390))</f>
        <v/>
      </c>
      <c r="L390" s="312" t="str">
        <f>IF(OR($E390="",$D390="",$I390="",$J390=""),"",INDEX('Emission factors'!$K$3:$V$201,MATCH('Buildings - Grid Electricity'!$E390,'Emission factors'!$J$3:$J$201,0),MATCH($L$6,'Emission factors'!$K$2:$V$2,0)))</f>
        <v/>
      </c>
      <c r="M390" s="313" t="str" cm="1">
        <f t="array" ref="M390">IF(OR(E390="",I390="",BuildingsElectricityTable[[#This Row],[Units]]=""),"",INDEX('Emission factors'!$K$3:$V$201,MATCH('Buildings - Grid Electricity'!$E390&amp;F390,'Emission factors'!$J$3:$J$201&amp;'Emission factors'!$K$3:$K$201,0),MATCH('Buildings - Grid Electricity'!$M$6,'Emission factors'!$K$2:$V$2,0)))</f>
        <v/>
      </c>
      <c r="N390" s="156" t="str">
        <f>IF(OR(K390="",M390=""),"",SUM(BuildingsElectricityTable[[#This Row],[Direct]:[Indirect WTT]]))</f>
        <v/>
      </c>
      <c r="O390" s="71"/>
      <c r="P390" s="72"/>
      <c r="Q390" s="157" t="str" cm="1">
        <f t="array" ref="Q390">IF(OR($E390="",$I390=""),"",(INDEX('Emission factors'!$K$3:$V$201,MATCH('Buildings - Grid Electricity'!$E390&amp;$F390,'Emission factors'!$J$3:$J$201&amp;'Emission factors'!$K$3:$K$201,0),MATCH('Buildings - Grid Electricity'!Q$6,'Emission factors'!$K$2:$V$2,0)))*$K390)</f>
        <v/>
      </c>
      <c r="R390" s="157" t="str" cm="1">
        <f t="array" ref="R390">IF(OR($E390="",$I390=""),"",(INDEX('Emission factors'!$K$3:$V$201,MATCH('Buildings - Grid Electricity'!$E390&amp;$F390,'Emission factors'!$J$3:$J$201&amp;'Emission factors'!$K$3:$K$201,0),MATCH('Buildings - Grid Electricity'!R$6,'Emission factors'!$K$2:$V$2,0)))*$K390)</f>
        <v/>
      </c>
      <c r="S390" s="157" t="str" cm="1">
        <f t="array" ref="S390">IF(OR($E390="",$I390=""),"",(INDEX('Emission factors'!$K$3:$V$201,MATCH('Buildings - Grid Electricity'!$E390&amp;$F390,'Emission factors'!$J$3:$J$201&amp;'Emission factors'!$K$3:$K$201,0),MATCH('Buildings - Grid Electricity'!S$6,'Emission factors'!$K$2:$V$2,0)))*$K390)</f>
        <v/>
      </c>
      <c r="T390" s="157" t="str" cm="1">
        <f t="array" ref="T390">IF(OR($E390="",$I390=""),"",(INDEX('Emission factors'!$K$3:$V$201,MATCH('Buildings - Grid Electricity'!$E390&amp;$F390,'Emission factors'!$J$3:$J$201&amp;'Emission factors'!$K$3:$K$201,0),MATCH('Buildings - Grid Electricity'!T$6,'Emission factors'!$K$2:$V$2,0)))*$K390)</f>
        <v/>
      </c>
      <c r="U390" s="157" t="str" cm="1">
        <f t="array" ref="U390">IF(OR($E390="",$I390=""),"",(INDEX('Emission factors'!$K$3:$V$201,MATCH('Buildings - Grid Electricity'!$E390&amp;$F390,'Emission factors'!$J$3:$J$201&amp;'Emission factors'!$K$3:$K$201,0),MATCH('Buildings - Grid Electricity'!U$6,'Emission factors'!$K$2:$V$2,0)))*$K390)</f>
        <v/>
      </c>
      <c r="V390" s="158" t="str">
        <f>IF(OR($N390="",BuildingsElectricityTable[[#This Row],[RSD]]=""),"",BuildingsElectricityTable[[#This Row],[Total emissions (kgCO2e)]]*(1+BuildingsElectricityTable[[#This Row],[RSD]]))</f>
        <v/>
      </c>
      <c r="W390" s="159" t="str">
        <f>IF(OR($N390="",BuildingsElectricityTable[[#This Row],[RSD]]=""),"",BuildingsElectricityTable[[#This Row],[Total emissions (kgCO2e)]]*(1-BuildingsElectricityTable[[#This Row],[RSD]]))</f>
        <v/>
      </c>
      <c r="X390" s="169" t="str" cm="1">
        <f t="array" ref="X390">IF(OR($E390="",$I390=""),"",(INDEX('Emission factors'!$K$3:$V$201,MATCH('Buildings - Grid Electricity'!$E390&amp;$F390,'Emission factors'!$J$3:$J$201&amp;'Emission factors'!$K$3:$K$201,0),MATCH('Buildings - Grid Electricity'!X$6,'Emission factors'!$K$2:$V$2,0)))*$K390)</f>
        <v/>
      </c>
      <c r="Y390" s="30"/>
      <c r="Z390" s="1" cm="1">
        <f t="array" ref="Z390">IF(OR(ISERROR(B390:X390)),1,0)</f>
        <v>0</v>
      </c>
      <c r="AA390" s="1">
        <f t="shared" si="33"/>
        <v>0</v>
      </c>
    </row>
    <row r="391" spans="1:27" ht="15" outlineLevel="1" thickBot="1" x14ac:dyDescent="0.4">
      <c r="A391" s="319"/>
      <c r="B391" s="216"/>
      <c r="C391" s="216"/>
      <c r="D391" s="233" t="str">
        <f>IFERROR(INDEX(BuildingInformationTable[Site type],MATCH(BuildingsElectricityTable[[#This Row],[Site name]],BuildingInformationTable[Site name],0)),"")</f>
        <v/>
      </c>
      <c r="E391" s="311" t="str">
        <f t="shared" si="32"/>
        <v/>
      </c>
      <c r="F391" s="311" t="str">
        <f t="shared" si="0"/>
        <v/>
      </c>
      <c r="G391" s="72"/>
      <c r="H391" s="98" t="str">
        <f>IF(G391="","",INDEX(Lists!$BA$4:$BC$31,MATCH(E391,Lists!$AZ$4:$AZ$31,0),MATCH(G391,Lists!$BA$3:$BC$3,0)))</f>
        <v/>
      </c>
      <c r="I391" s="70"/>
      <c r="J391" s="311" t="str">
        <f t="shared" si="34"/>
        <v/>
      </c>
      <c r="K391" s="75" t="str" cm="1">
        <f t="array" ref="K391">IF(OR($E391="",$D391="",$I391="",$J391=""),"",IF(J391=L391,I391,(INDEX('Emission factors'!$K$3:$V$201,MATCH(E391&amp;F391,'Emission factors'!$J$3:$J$201&amp;'Emission factors'!$K$3:$K$201,0),MATCH(K$6,'Emission factors'!$K$2:$V$2,0)))*I391))</f>
        <v/>
      </c>
      <c r="L391" s="312" t="str">
        <f>IF(OR($E391="",$D391="",$I391="",$J391=""),"",INDEX('Emission factors'!$K$3:$V$201,MATCH('Buildings - Grid Electricity'!$E391,'Emission factors'!$J$3:$J$201,0),MATCH($L$6,'Emission factors'!$K$2:$V$2,0)))</f>
        <v/>
      </c>
      <c r="M391" s="313" t="str" cm="1">
        <f t="array" ref="M391">IF(OR(E391="",I391="",BuildingsElectricityTable[[#This Row],[Units]]=""),"",INDEX('Emission factors'!$K$3:$V$201,MATCH('Buildings - Grid Electricity'!$E391&amp;F391,'Emission factors'!$J$3:$J$201&amp;'Emission factors'!$K$3:$K$201,0),MATCH('Buildings - Grid Electricity'!$M$6,'Emission factors'!$K$2:$V$2,0)))</f>
        <v/>
      </c>
      <c r="N391" s="156" t="str">
        <f>IF(OR(K391="",M391=""),"",SUM(BuildingsElectricityTable[[#This Row],[Direct]:[Indirect WTT]]))</f>
        <v/>
      </c>
      <c r="O391" s="71"/>
      <c r="P391" s="72"/>
      <c r="Q391" s="157" t="str" cm="1">
        <f t="array" ref="Q391">IF(OR($E391="",$I391=""),"",(INDEX('Emission factors'!$K$3:$V$201,MATCH('Buildings - Grid Electricity'!$E391&amp;$F391,'Emission factors'!$J$3:$J$201&amp;'Emission factors'!$K$3:$K$201,0),MATCH('Buildings - Grid Electricity'!Q$6,'Emission factors'!$K$2:$V$2,0)))*$K391)</f>
        <v/>
      </c>
      <c r="R391" s="157" t="str" cm="1">
        <f t="array" ref="R391">IF(OR($E391="",$I391=""),"",(INDEX('Emission factors'!$K$3:$V$201,MATCH('Buildings - Grid Electricity'!$E391&amp;$F391,'Emission factors'!$J$3:$J$201&amp;'Emission factors'!$K$3:$K$201,0),MATCH('Buildings - Grid Electricity'!R$6,'Emission factors'!$K$2:$V$2,0)))*$K391)</f>
        <v/>
      </c>
      <c r="S391" s="157" t="str" cm="1">
        <f t="array" ref="S391">IF(OR($E391="",$I391=""),"",(INDEX('Emission factors'!$K$3:$V$201,MATCH('Buildings - Grid Electricity'!$E391&amp;$F391,'Emission factors'!$J$3:$J$201&amp;'Emission factors'!$K$3:$K$201,0),MATCH('Buildings - Grid Electricity'!S$6,'Emission factors'!$K$2:$V$2,0)))*$K391)</f>
        <v/>
      </c>
      <c r="T391" s="157" t="str" cm="1">
        <f t="array" ref="T391">IF(OR($E391="",$I391=""),"",(INDEX('Emission factors'!$K$3:$V$201,MATCH('Buildings - Grid Electricity'!$E391&amp;$F391,'Emission factors'!$J$3:$J$201&amp;'Emission factors'!$K$3:$K$201,0),MATCH('Buildings - Grid Electricity'!T$6,'Emission factors'!$K$2:$V$2,0)))*$K391)</f>
        <v/>
      </c>
      <c r="U391" s="157" t="str" cm="1">
        <f t="array" ref="U391">IF(OR($E391="",$I391=""),"",(INDEX('Emission factors'!$K$3:$V$201,MATCH('Buildings - Grid Electricity'!$E391&amp;$F391,'Emission factors'!$J$3:$J$201&amp;'Emission factors'!$K$3:$K$201,0),MATCH('Buildings - Grid Electricity'!U$6,'Emission factors'!$K$2:$V$2,0)))*$K391)</f>
        <v/>
      </c>
      <c r="V391" s="158" t="str">
        <f>IF(OR($N391="",BuildingsElectricityTable[[#This Row],[RSD]]=""),"",BuildingsElectricityTable[[#This Row],[Total emissions (kgCO2e)]]*(1+BuildingsElectricityTable[[#This Row],[RSD]]))</f>
        <v/>
      </c>
      <c r="W391" s="159" t="str">
        <f>IF(OR($N391="",BuildingsElectricityTable[[#This Row],[RSD]]=""),"",BuildingsElectricityTable[[#This Row],[Total emissions (kgCO2e)]]*(1-BuildingsElectricityTable[[#This Row],[RSD]]))</f>
        <v/>
      </c>
      <c r="X391" s="169" t="str" cm="1">
        <f t="array" ref="X391">IF(OR($E391="",$I391=""),"",(INDEX('Emission factors'!$K$3:$V$201,MATCH('Buildings - Grid Electricity'!$E391&amp;$F391,'Emission factors'!$J$3:$J$201&amp;'Emission factors'!$K$3:$K$201,0),MATCH('Buildings - Grid Electricity'!X$6,'Emission factors'!$K$2:$V$2,0)))*$K391)</f>
        <v/>
      </c>
      <c r="Y391" s="30"/>
      <c r="Z391" s="1" cm="1">
        <f t="array" ref="Z391">IF(OR(ISERROR(B391:X391)),1,0)</f>
        <v>0</v>
      </c>
      <c r="AA391" s="1">
        <f t="shared" si="33"/>
        <v>0</v>
      </c>
    </row>
    <row r="392" spans="1:27" ht="15" outlineLevel="1" thickBot="1" x14ac:dyDescent="0.4">
      <c r="A392" s="319"/>
      <c r="B392" s="216"/>
      <c r="C392" s="216"/>
      <c r="D392" s="233" t="str">
        <f>IFERROR(INDEX(BuildingInformationTable[Site type],MATCH(BuildingsElectricityTable[[#This Row],[Site name]],BuildingInformationTable[Site name],0)),"")</f>
        <v/>
      </c>
      <c r="E392" s="311" t="str">
        <f t="shared" si="32"/>
        <v/>
      </c>
      <c r="F392" s="311" t="str">
        <f t="shared" si="0"/>
        <v/>
      </c>
      <c r="G392" s="72"/>
      <c r="H392" s="98" t="str">
        <f>IF(G392="","",INDEX(Lists!$BA$4:$BC$31,MATCH(E392,Lists!$AZ$4:$AZ$31,0),MATCH(G392,Lists!$BA$3:$BC$3,0)))</f>
        <v/>
      </c>
      <c r="I392" s="70"/>
      <c r="J392" s="311" t="str">
        <f t="shared" si="34"/>
        <v/>
      </c>
      <c r="K392" s="75" t="str" cm="1">
        <f t="array" ref="K392">IF(OR($E392="",$D392="",$I392="",$J392=""),"",IF(J392=L392,I392,(INDEX('Emission factors'!$K$3:$V$201,MATCH(E392&amp;F392,'Emission factors'!$J$3:$J$201&amp;'Emission factors'!$K$3:$K$201,0),MATCH(K$6,'Emission factors'!$K$2:$V$2,0)))*I392))</f>
        <v/>
      </c>
      <c r="L392" s="312" t="str">
        <f>IF(OR($E392="",$D392="",$I392="",$J392=""),"",INDEX('Emission factors'!$K$3:$V$201,MATCH('Buildings - Grid Electricity'!$E392,'Emission factors'!$J$3:$J$201,0),MATCH($L$6,'Emission factors'!$K$2:$V$2,0)))</f>
        <v/>
      </c>
      <c r="M392" s="313" t="str" cm="1">
        <f t="array" ref="M392">IF(OR(E392="",I392="",BuildingsElectricityTable[[#This Row],[Units]]=""),"",INDEX('Emission factors'!$K$3:$V$201,MATCH('Buildings - Grid Electricity'!$E392&amp;F392,'Emission factors'!$J$3:$J$201&amp;'Emission factors'!$K$3:$K$201,0),MATCH('Buildings - Grid Electricity'!$M$6,'Emission factors'!$K$2:$V$2,0)))</f>
        <v/>
      </c>
      <c r="N392" s="156" t="str">
        <f>IF(OR(K392="",M392=""),"",SUM(BuildingsElectricityTable[[#This Row],[Direct]:[Indirect WTT]]))</f>
        <v/>
      </c>
      <c r="O392" s="71"/>
      <c r="P392" s="190"/>
      <c r="Q392" s="157" t="str" cm="1">
        <f t="array" ref="Q392">IF(OR($E392="",$I392=""),"",(INDEX('Emission factors'!$K$3:$V$201,MATCH('Buildings - Grid Electricity'!$E392&amp;$F392,'Emission factors'!$J$3:$J$201&amp;'Emission factors'!$K$3:$K$201,0),MATCH('Buildings - Grid Electricity'!Q$6,'Emission factors'!$K$2:$V$2,0)))*$K392)</f>
        <v/>
      </c>
      <c r="R392" s="157" t="str" cm="1">
        <f t="array" ref="R392">IF(OR($E392="",$I392=""),"",(INDEX('Emission factors'!$K$3:$V$201,MATCH('Buildings - Grid Electricity'!$E392&amp;$F392,'Emission factors'!$J$3:$J$201&amp;'Emission factors'!$K$3:$K$201,0),MATCH('Buildings - Grid Electricity'!R$6,'Emission factors'!$K$2:$V$2,0)))*$K392)</f>
        <v/>
      </c>
      <c r="S392" s="157" t="str" cm="1">
        <f t="array" ref="S392">IF(OR($E392="",$I392=""),"",(INDEX('Emission factors'!$K$3:$V$201,MATCH('Buildings - Grid Electricity'!$E392&amp;$F392,'Emission factors'!$J$3:$J$201&amp;'Emission factors'!$K$3:$K$201,0),MATCH('Buildings - Grid Electricity'!S$6,'Emission factors'!$K$2:$V$2,0)))*$K392)</f>
        <v/>
      </c>
      <c r="T392" s="157" t="str" cm="1">
        <f t="array" ref="T392">IF(OR($E392="",$I392=""),"",(INDEX('Emission factors'!$K$3:$V$201,MATCH('Buildings - Grid Electricity'!$E392&amp;$F392,'Emission factors'!$J$3:$J$201&amp;'Emission factors'!$K$3:$K$201,0),MATCH('Buildings - Grid Electricity'!T$6,'Emission factors'!$K$2:$V$2,0)))*$K392)</f>
        <v/>
      </c>
      <c r="U392" s="157" t="str" cm="1">
        <f t="array" ref="U392">IF(OR($E392="",$I392=""),"",(INDEX('Emission factors'!$K$3:$V$201,MATCH('Buildings - Grid Electricity'!$E392&amp;$F392,'Emission factors'!$J$3:$J$201&amp;'Emission factors'!$K$3:$K$201,0),MATCH('Buildings - Grid Electricity'!U$6,'Emission factors'!$K$2:$V$2,0)))*$K392)</f>
        <v/>
      </c>
      <c r="V392" s="158" t="str">
        <f>IF(OR($N392="",BuildingsElectricityTable[[#This Row],[RSD]]=""),"",BuildingsElectricityTable[[#This Row],[Total emissions (kgCO2e)]]*(1+BuildingsElectricityTable[[#This Row],[RSD]]))</f>
        <v/>
      </c>
      <c r="W392" s="159" t="str">
        <f>IF(OR($N392="",BuildingsElectricityTable[[#This Row],[RSD]]=""),"",BuildingsElectricityTable[[#This Row],[Total emissions (kgCO2e)]]*(1-BuildingsElectricityTable[[#This Row],[RSD]]))</f>
        <v/>
      </c>
      <c r="X392" s="191" t="str" cm="1">
        <f t="array" ref="X392">IF(OR($E392="",$I392=""),"",(INDEX('Emission factors'!$K$3:$V$201,MATCH('Buildings - Grid Electricity'!$E392&amp;$F392,'Emission factors'!$J$3:$J$201&amp;'Emission factors'!$K$3:$K$201,0),MATCH('Buildings - Grid Electricity'!X$6,'Emission factors'!$K$2:$V$2,0)))*$K392)</f>
        <v/>
      </c>
      <c r="Y392" s="30"/>
      <c r="Z392" s="1" cm="1">
        <f t="array" ref="Z392">IF(OR(ISERROR(B392:X392)),1,0)</f>
        <v>0</v>
      </c>
      <c r="AA392" s="1">
        <f t="shared" si="33"/>
        <v>0</v>
      </c>
    </row>
    <row r="393" spans="1:27" ht="15" outlineLevel="1" thickBot="1" x14ac:dyDescent="0.4">
      <c r="A393" s="319"/>
      <c r="B393" s="216"/>
      <c r="C393" s="216"/>
      <c r="D393" s="233" t="str">
        <f>IFERROR(INDEX(BuildingInformationTable[Site type],MATCH(BuildingsElectricityTable[[#This Row],[Site name]],BuildingInformationTable[Site name],0)),"")</f>
        <v/>
      </c>
      <c r="E393" s="311" t="str">
        <f t="shared" si="32"/>
        <v/>
      </c>
      <c r="F393" s="311" t="str">
        <f t="shared" si="0"/>
        <v/>
      </c>
      <c r="G393" s="72"/>
      <c r="H393" s="98" t="str">
        <f>IF(G393="","",INDEX(Lists!$BA$4:$BC$31,MATCH(E393,Lists!$AZ$4:$AZ$31,0),MATCH(G393,Lists!$BA$3:$BC$3,0)))</f>
        <v/>
      </c>
      <c r="I393" s="70"/>
      <c r="J393" s="311" t="str">
        <f t="shared" si="34"/>
        <v/>
      </c>
      <c r="K393" s="75" t="str" cm="1">
        <f t="array" ref="K393">IF(OR($E393="",$D393="",$I393="",$J393=""),"",IF(J393=L393,I393,(INDEX('Emission factors'!$K$3:$V$201,MATCH(E393&amp;F393,'Emission factors'!$J$3:$J$201&amp;'Emission factors'!$K$3:$K$201,0),MATCH(K$6,'Emission factors'!$K$2:$V$2,0)))*I393))</f>
        <v/>
      </c>
      <c r="L393" s="312" t="str">
        <f>IF(OR($E393="",$D393="",$I393="",$J393=""),"",INDEX('Emission factors'!$K$3:$V$201,MATCH('Buildings - Grid Electricity'!$E393,'Emission factors'!$J$3:$J$201,0),MATCH($L$6,'Emission factors'!$K$2:$V$2,0)))</f>
        <v/>
      </c>
      <c r="M393" s="313" t="str" cm="1">
        <f t="array" ref="M393">IF(OR(E393="",I393="",BuildingsElectricityTable[[#This Row],[Units]]=""),"",INDEX('Emission factors'!$K$3:$V$201,MATCH('Buildings - Grid Electricity'!$E393&amp;F393,'Emission factors'!$J$3:$J$201&amp;'Emission factors'!$K$3:$K$201,0),MATCH('Buildings - Grid Electricity'!$M$6,'Emission factors'!$K$2:$V$2,0)))</f>
        <v/>
      </c>
      <c r="N393" s="156" t="str">
        <f>IF(OR(K393="",M393=""),"",SUM(BuildingsElectricityTable[[#This Row],[Direct]:[Indirect WTT]]))</f>
        <v/>
      </c>
      <c r="O393" s="71"/>
      <c r="P393" s="190"/>
      <c r="Q393" s="157" t="str" cm="1">
        <f t="array" ref="Q393">IF(OR($E393="",$I393=""),"",(INDEX('Emission factors'!$K$3:$V$201,MATCH('Buildings - Grid Electricity'!$E393&amp;$F393,'Emission factors'!$J$3:$J$201&amp;'Emission factors'!$K$3:$K$201,0),MATCH('Buildings - Grid Electricity'!Q$6,'Emission factors'!$K$2:$V$2,0)))*$K393)</f>
        <v/>
      </c>
      <c r="R393" s="157" t="str" cm="1">
        <f t="array" ref="R393">IF(OR($E393="",$I393=""),"",(INDEX('Emission factors'!$K$3:$V$201,MATCH('Buildings - Grid Electricity'!$E393&amp;$F393,'Emission factors'!$J$3:$J$201&amp;'Emission factors'!$K$3:$K$201,0),MATCH('Buildings - Grid Electricity'!R$6,'Emission factors'!$K$2:$V$2,0)))*$K393)</f>
        <v/>
      </c>
      <c r="S393" s="157" t="str" cm="1">
        <f t="array" ref="S393">IF(OR($E393="",$I393=""),"",(INDEX('Emission factors'!$K$3:$V$201,MATCH('Buildings - Grid Electricity'!$E393&amp;$F393,'Emission factors'!$J$3:$J$201&amp;'Emission factors'!$K$3:$K$201,0),MATCH('Buildings - Grid Electricity'!S$6,'Emission factors'!$K$2:$V$2,0)))*$K393)</f>
        <v/>
      </c>
      <c r="T393" s="157" t="str" cm="1">
        <f t="array" ref="T393">IF(OR($E393="",$I393=""),"",(INDEX('Emission factors'!$K$3:$V$201,MATCH('Buildings - Grid Electricity'!$E393&amp;$F393,'Emission factors'!$J$3:$J$201&amp;'Emission factors'!$K$3:$K$201,0),MATCH('Buildings - Grid Electricity'!T$6,'Emission factors'!$K$2:$V$2,0)))*$K393)</f>
        <v/>
      </c>
      <c r="U393" s="157" t="str" cm="1">
        <f t="array" ref="U393">IF(OR($E393="",$I393=""),"",(INDEX('Emission factors'!$K$3:$V$201,MATCH('Buildings - Grid Electricity'!$E393&amp;$F393,'Emission factors'!$J$3:$J$201&amp;'Emission factors'!$K$3:$K$201,0),MATCH('Buildings - Grid Electricity'!U$6,'Emission factors'!$K$2:$V$2,0)))*$K393)</f>
        <v/>
      </c>
      <c r="V393" s="158" t="str">
        <f>IF(OR($N393="",BuildingsElectricityTable[[#This Row],[RSD]]=""),"",BuildingsElectricityTable[[#This Row],[Total emissions (kgCO2e)]]*(1+BuildingsElectricityTable[[#This Row],[RSD]]))</f>
        <v/>
      </c>
      <c r="W393" s="159" t="str">
        <f>IF(OR($N393="",BuildingsElectricityTable[[#This Row],[RSD]]=""),"",BuildingsElectricityTable[[#This Row],[Total emissions (kgCO2e)]]*(1-BuildingsElectricityTable[[#This Row],[RSD]]))</f>
        <v/>
      </c>
      <c r="X393" s="191" t="str" cm="1">
        <f t="array" ref="X393">IF(OR($E393="",$I393=""),"",(INDEX('Emission factors'!$K$3:$V$201,MATCH('Buildings - Grid Electricity'!$E393&amp;$F393,'Emission factors'!$J$3:$J$201&amp;'Emission factors'!$K$3:$K$201,0),MATCH('Buildings - Grid Electricity'!X$6,'Emission factors'!$K$2:$V$2,0)))*$K393)</f>
        <v/>
      </c>
      <c r="Y393" s="30"/>
      <c r="Z393" s="1" cm="1">
        <f t="array" ref="Z393">IF(OR(ISERROR(B393:X393)),1,0)</f>
        <v>0</v>
      </c>
      <c r="AA393" s="1">
        <f t="shared" si="33"/>
        <v>0</v>
      </c>
    </row>
    <row r="394" spans="1:27" ht="15" outlineLevel="1" thickBot="1" x14ac:dyDescent="0.4">
      <c r="A394" s="319"/>
      <c r="B394" s="216"/>
      <c r="C394" s="216"/>
      <c r="D394" s="233" t="str">
        <f>IFERROR(INDEX(BuildingInformationTable[Site type],MATCH(BuildingsElectricityTable[[#This Row],[Site name]],BuildingInformationTable[Site name],0)),"")</f>
        <v/>
      </c>
      <c r="E394" s="311" t="str">
        <f t="shared" si="32"/>
        <v/>
      </c>
      <c r="F394" s="311" t="str">
        <f t="shared" si="0"/>
        <v/>
      </c>
      <c r="G394" s="72"/>
      <c r="H394" s="98" t="str">
        <f>IF(G394="","",INDEX(Lists!$BA$4:$BC$31,MATCH(E394,Lists!$AZ$4:$AZ$31,0),MATCH(G394,Lists!$BA$3:$BC$3,0)))</f>
        <v/>
      </c>
      <c r="I394" s="70"/>
      <c r="J394" s="311" t="str">
        <f t="shared" si="34"/>
        <v/>
      </c>
      <c r="K394" s="75" t="str" cm="1">
        <f t="array" ref="K394">IF(OR($E394="",$D394="",$I394="",$J394=""),"",IF(J394=L394,I394,(INDEX('Emission factors'!$K$3:$V$201,MATCH(E394&amp;F394,'Emission factors'!$J$3:$J$201&amp;'Emission factors'!$K$3:$K$201,0),MATCH(K$6,'Emission factors'!$K$2:$V$2,0)))*I394))</f>
        <v/>
      </c>
      <c r="L394" s="312" t="str">
        <f>IF(OR($E394="",$D394="",$I394="",$J394=""),"",INDEX('Emission factors'!$K$3:$V$201,MATCH('Buildings - Grid Electricity'!$E394,'Emission factors'!$J$3:$J$201,0),MATCH($L$6,'Emission factors'!$K$2:$V$2,0)))</f>
        <v/>
      </c>
      <c r="M394" s="313" t="str" cm="1">
        <f t="array" ref="M394">IF(OR(E394="",I394="",BuildingsElectricityTable[[#This Row],[Units]]=""),"",INDEX('Emission factors'!$K$3:$V$201,MATCH('Buildings - Grid Electricity'!$E394&amp;F394,'Emission factors'!$J$3:$J$201&amp;'Emission factors'!$K$3:$K$201,0),MATCH('Buildings - Grid Electricity'!$M$6,'Emission factors'!$K$2:$V$2,0)))</f>
        <v/>
      </c>
      <c r="N394" s="156" t="str">
        <f>IF(OR(K394="",M394=""),"",SUM(BuildingsElectricityTable[[#This Row],[Direct]:[Indirect WTT]]))</f>
        <v/>
      </c>
      <c r="O394" s="71"/>
      <c r="P394" s="190"/>
      <c r="Q394" s="157" t="str" cm="1">
        <f t="array" ref="Q394">IF(OR($E394="",$I394=""),"",(INDEX('Emission factors'!$K$3:$V$201,MATCH('Buildings - Grid Electricity'!$E394&amp;$F394,'Emission factors'!$J$3:$J$201&amp;'Emission factors'!$K$3:$K$201,0),MATCH('Buildings - Grid Electricity'!Q$6,'Emission factors'!$K$2:$V$2,0)))*$K394)</f>
        <v/>
      </c>
      <c r="R394" s="157" t="str" cm="1">
        <f t="array" ref="R394">IF(OR($E394="",$I394=""),"",(INDEX('Emission factors'!$K$3:$V$201,MATCH('Buildings - Grid Electricity'!$E394&amp;$F394,'Emission factors'!$J$3:$J$201&amp;'Emission factors'!$K$3:$K$201,0),MATCH('Buildings - Grid Electricity'!R$6,'Emission factors'!$K$2:$V$2,0)))*$K394)</f>
        <v/>
      </c>
      <c r="S394" s="157" t="str" cm="1">
        <f t="array" ref="S394">IF(OR($E394="",$I394=""),"",(INDEX('Emission factors'!$K$3:$V$201,MATCH('Buildings - Grid Electricity'!$E394&amp;$F394,'Emission factors'!$J$3:$J$201&amp;'Emission factors'!$K$3:$K$201,0),MATCH('Buildings - Grid Electricity'!S$6,'Emission factors'!$K$2:$V$2,0)))*$K394)</f>
        <v/>
      </c>
      <c r="T394" s="157" t="str" cm="1">
        <f t="array" ref="T394">IF(OR($E394="",$I394=""),"",(INDEX('Emission factors'!$K$3:$V$201,MATCH('Buildings - Grid Electricity'!$E394&amp;$F394,'Emission factors'!$J$3:$J$201&amp;'Emission factors'!$K$3:$K$201,0),MATCH('Buildings - Grid Electricity'!T$6,'Emission factors'!$K$2:$V$2,0)))*$K394)</f>
        <v/>
      </c>
      <c r="U394" s="157" t="str" cm="1">
        <f t="array" ref="U394">IF(OR($E394="",$I394=""),"",(INDEX('Emission factors'!$K$3:$V$201,MATCH('Buildings - Grid Electricity'!$E394&amp;$F394,'Emission factors'!$J$3:$J$201&amp;'Emission factors'!$K$3:$K$201,0),MATCH('Buildings - Grid Electricity'!U$6,'Emission factors'!$K$2:$V$2,0)))*$K394)</f>
        <v/>
      </c>
      <c r="V394" s="158" t="str">
        <f>IF(OR($N394="",BuildingsElectricityTable[[#This Row],[RSD]]=""),"",BuildingsElectricityTable[[#This Row],[Total emissions (kgCO2e)]]*(1+BuildingsElectricityTable[[#This Row],[RSD]]))</f>
        <v/>
      </c>
      <c r="W394" s="159" t="str">
        <f>IF(OR($N394="",BuildingsElectricityTable[[#This Row],[RSD]]=""),"",BuildingsElectricityTable[[#This Row],[Total emissions (kgCO2e)]]*(1-BuildingsElectricityTable[[#This Row],[RSD]]))</f>
        <v/>
      </c>
      <c r="X394" s="191" t="str" cm="1">
        <f t="array" ref="X394">IF(OR($E394="",$I394=""),"",(INDEX('Emission factors'!$K$3:$V$201,MATCH('Buildings - Grid Electricity'!$E394&amp;$F394,'Emission factors'!$J$3:$J$201&amp;'Emission factors'!$K$3:$K$201,0),MATCH('Buildings - Grid Electricity'!X$6,'Emission factors'!$K$2:$V$2,0)))*$K394)</f>
        <v/>
      </c>
      <c r="Y394" s="30"/>
      <c r="Z394" s="1" cm="1">
        <f t="array" ref="Z394">IF(OR(ISERROR(B394:X394)),1,0)</f>
        <v>0</v>
      </c>
      <c r="AA394" s="1">
        <f t="shared" si="33"/>
        <v>0</v>
      </c>
    </row>
    <row r="395" spans="1:27" ht="15" outlineLevel="1" thickBot="1" x14ac:dyDescent="0.4">
      <c r="A395" s="319"/>
      <c r="B395" s="216"/>
      <c r="C395" s="216"/>
      <c r="D395" s="233" t="str">
        <f>IFERROR(INDEX(BuildingInformationTable[Site type],MATCH(BuildingsElectricityTable[[#This Row],[Site name]],BuildingInformationTable[Site name],0)),"")</f>
        <v/>
      </c>
      <c r="E395" s="311" t="str">
        <f t="shared" si="32"/>
        <v/>
      </c>
      <c r="F395" s="311" t="str">
        <f t="shared" si="0"/>
        <v/>
      </c>
      <c r="G395" s="72"/>
      <c r="H395" s="98" t="str">
        <f>IF(G395="","",INDEX(Lists!$BA$4:$BC$31,MATCH(E395,Lists!$AZ$4:$AZ$31,0),MATCH(G395,Lists!$BA$3:$BC$3,0)))</f>
        <v/>
      </c>
      <c r="I395" s="70"/>
      <c r="J395" s="311" t="str">
        <f t="shared" si="34"/>
        <v/>
      </c>
      <c r="K395" s="75" t="str" cm="1">
        <f t="array" ref="K395">IF(OR($E395="",$D395="",$I395="",$J395=""),"",IF(J395=L395,I395,(INDEX('Emission factors'!$K$3:$V$201,MATCH(E395&amp;F395,'Emission factors'!$J$3:$J$201&amp;'Emission factors'!$K$3:$K$201,0),MATCH(K$6,'Emission factors'!$K$2:$V$2,0)))*I395))</f>
        <v/>
      </c>
      <c r="L395" s="312" t="str">
        <f>IF(OR($E395="",$D395="",$I395="",$J395=""),"",INDEX('Emission factors'!$K$3:$V$201,MATCH('Buildings - Grid Electricity'!$E395,'Emission factors'!$J$3:$J$201,0),MATCH($L$6,'Emission factors'!$K$2:$V$2,0)))</f>
        <v/>
      </c>
      <c r="M395" s="313" t="str" cm="1">
        <f t="array" ref="M395">IF(OR(E395="",I395="",BuildingsElectricityTable[[#This Row],[Units]]=""),"",INDEX('Emission factors'!$K$3:$V$201,MATCH('Buildings - Grid Electricity'!$E395&amp;F395,'Emission factors'!$J$3:$J$201&amp;'Emission factors'!$K$3:$K$201,0),MATCH('Buildings - Grid Electricity'!$M$6,'Emission factors'!$K$2:$V$2,0)))</f>
        <v/>
      </c>
      <c r="N395" s="156" t="str">
        <f>IF(OR(K395="",M395=""),"",SUM(BuildingsElectricityTable[[#This Row],[Direct]:[Indirect WTT]]))</f>
        <v/>
      </c>
      <c r="O395" s="71"/>
      <c r="P395" s="190"/>
      <c r="Q395" s="157" t="str" cm="1">
        <f t="array" ref="Q395">IF(OR($E395="",$I395=""),"",(INDEX('Emission factors'!$K$3:$V$201,MATCH('Buildings - Grid Electricity'!$E395&amp;$F395,'Emission factors'!$J$3:$J$201&amp;'Emission factors'!$K$3:$K$201,0),MATCH('Buildings - Grid Electricity'!Q$6,'Emission factors'!$K$2:$V$2,0)))*$K395)</f>
        <v/>
      </c>
      <c r="R395" s="157" t="str" cm="1">
        <f t="array" ref="R395">IF(OR($E395="",$I395=""),"",(INDEX('Emission factors'!$K$3:$V$201,MATCH('Buildings - Grid Electricity'!$E395&amp;$F395,'Emission factors'!$J$3:$J$201&amp;'Emission factors'!$K$3:$K$201,0),MATCH('Buildings - Grid Electricity'!R$6,'Emission factors'!$K$2:$V$2,0)))*$K395)</f>
        <v/>
      </c>
      <c r="S395" s="157" t="str" cm="1">
        <f t="array" ref="S395">IF(OR($E395="",$I395=""),"",(INDEX('Emission factors'!$K$3:$V$201,MATCH('Buildings - Grid Electricity'!$E395&amp;$F395,'Emission factors'!$J$3:$J$201&amp;'Emission factors'!$K$3:$K$201,0),MATCH('Buildings - Grid Electricity'!S$6,'Emission factors'!$K$2:$V$2,0)))*$K395)</f>
        <v/>
      </c>
      <c r="T395" s="157" t="str" cm="1">
        <f t="array" ref="T395">IF(OR($E395="",$I395=""),"",(INDEX('Emission factors'!$K$3:$V$201,MATCH('Buildings - Grid Electricity'!$E395&amp;$F395,'Emission factors'!$J$3:$J$201&amp;'Emission factors'!$K$3:$K$201,0),MATCH('Buildings - Grid Electricity'!T$6,'Emission factors'!$K$2:$V$2,0)))*$K395)</f>
        <v/>
      </c>
      <c r="U395" s="157" t="str" cm="1">
        <f t="array" ref="U395">IF(OR($E395="",$I395=""),"",(INDEX('Emission factors'!$K$3:$V$201,MATCH('Buildings - Grid Electricity'!$E395&amp;$F395,'Emission factors'!$J$3:$J$201&amp;'Emission factors'!$K$3:$K$201,0),MATCH('Buildings - Grid Electricity'!U$6,'Emission factors'!$K$2:$V$2,0)))*$K395)</f>
        <v/>
      </c>
      <c r="V395" s="158" t="str">
        <f>IF(OR($N395="",BuildingsElectricityTable[[#This Row],[RSD]]=""),"",BuildingsElectricityTable[[#This Row],[Total emissions (kgCO2e)]]*(1+BuildingsElectricityTable[[#This Row],[RSD]]))</f>
        <v/>
      </c>
      <c r="W395" s="159" t="str">
        <f>IF(OR($N395="",BuildingsElectricityTable[[#This Row],[RSD]]=""),"",BuildingsElectricityTable[[#This Row],[Total emissions (kgCO2e)]]*(1-BuildingsElectricityTable[[#This Row],[RSD]]))</f>
        <v/>
      </c>
      <c r="X395" s="191" t="str" cm="1">
        <f t="array" ref="X395">IF(OR($E395="",$I395=""),"",(INDEX('Emission factors'!$K$3:$V$201,MATCH('Buildings - Grid Electricity'!$E395&amp;$F395,'Emission factors'!$J$3:$J$201&amp;'Emission factors'!$K$3:$K$201,0),MATCH('Buildings - Grid Electricity'!X$6,'Emission factors'!$K$2:$V$2,0)))*$K395)</f>
        <v/>
      </c>
      <c r="Y395" s="30"/>
      <c r="Z395" s="1" cm="1">
        <f t="array" ref="Z395">IF(OR(ISERROR(B395:X395)),1,0)</f>
        <v>0</v>
      </c>
      <c r="AA395" s="1">
        <f t="shared" si="33"/>
        <v>0</v>
      </c>
    </row>
    <row r="396" spans="1:27" ht="15" outlineLevel="1" thickBot="1" x14ac:dyDescent="0.4">
      <c r="A396" s="319"/>
      <c r="B396" s="216"/>
      <c r="C396" s="216"/>
      <c r="D396" s="233" t="str">
        <f>IFERROR(INDEX(BuildingInformationTable[Site type],MATCH(BuildingsElectricityTable[[#This Row],[Site name]],BuildingInformationTable[Site name],0)),"")</f>
        <v/>
      </c>
      <c r="E396" s="311" t="str">
        <f t="shared" si="32"/>
        <v/>
      </c>
      <c r="F396" s="311" t="str">
        <f t="shared" si="0"/>
        <v/>
      </c>
      <c r="G396" s="72"/>
      <c r="H396" s="98" t="str">
        <f>IF(G396="","",INDEX(Lists!$BA$4:$BC$31,MATCH(E396,Lists!$AZ$4:$AZ$31,0),MATCH(G396,Lists!$BA$3:$BC$3,0)))</f>
        <v/>
      </c>
      <c r="I396" s="70"/>
      <c r="J396" s="311" t="str">
        <f t="shared" si="34"/>
        <v/>
      </c>
      <c r="K396" s="75" t="str" cm="1">
        <f t="array" ref="K396">IF(OR($E396="",$D396="",$I396="",$J396=""),"",IF(J396=L396,I396,(INDEX('Emission factors'!$K$3:$V$201,MATCH(E396&amp;F396,'Emission factors'!$J$3:$J$201&amp;'Emission factors'!$K$3:$K$201,0),MATCH(K$6,'Emission factors'!$K$2:$V$2,0)))*I396))</f>
        <v/>
      </c>
      <c r="L396" s="312" t="str">
        <f>IF(OR($E396="",$D396="",$I396="",$J396=""),"",INDEX('Emission factors'!$K$3:$V$201,MATCH('Buildings - Grid Electricity'!$E396,'Emission factors'!$J$3:$J$201,0),MATCH($L$6,'Emission factors'!$K$2:$V$2,0)))</f>
        <v/>
      </c>
      <c r="M396" s="313" t="str" cm="1">
        <f t="array" ref="M396">IF(OR(E396="",I396="",BuildingsElectricityTable[[#This Row],[Units]]=""),"",INDEX('Emission factors'!$K$3:$V$201,MATCH('Buildings - Grid Electricity'!$E396&amp;F396,'Emission factors'!$J$3:$J$201&amp;'Emission factors'!$K$3:$K$201,0),MATCH('Buildings - Grid Electricity'!$M$6,'Emission factors'!$K$2:$V$2,0)))</f>
        <v/>
      </c>
      <c r="N396" s="156" t="str">
        <f>IF(OR(K396="",M396=""),"",SUM(BuildingsElectricityTable[[#This Row],[Direct]:[Indirect WTT]]))</f>
        <v/>
      </c>
      <c r="O396" s="71"/>
      <c r="P396" s="190"/>
      <c r="Q396" s="157" t="str" cm="1">
        <f t="array" ref="Q396">IF(OR($E396="",$I396=""),"",(INDEX('Emission factors'!$K$3:$V$201,MATCH('Buildings - Grid Electricity'!$E396&amp;$F396,'Emission factors'!$J$3:$J$201&amp;'Emission factors'!$K$3:$K$201,0),MATCH('Buildings - Grid Electricity'!Q$6,'Emission factors'!$K$2:$V$2,0)))*$K396)</f>
        <v/>
      </c>
      <c r="R396" s="157" t="str" cm="1">
        <f t="array" ref="R396">IF(OR($E396="",$I396=""),"",(INDEX('Emission factors'!$K$3:$V$201,MATCH('Buildings - Grid Electricity'!$E396&amp;$F396,'Emission factors'!$J$3:$J$201&amp;'Emission factors'!$K$3:$K$201,0),MATCH('Buildings - Grid Electricity'!R$6,'Emission factors'!$K$2:$V$2,0)))*$K396)</f>
        <v/>
      </c>
      <c r="S396" s="157" t="str" cm="1">
        <f t="array" ref="S396">IF(OR($E396="",$I396=""),"",(INDEX('Emission factors'!$K$3:$V$201,MATCH('Buildings - Grid Electricity'!$E396&amp;$F396,'Emission factors'!$J$3:$J$201&amp;'Emission factors'!$K$3:$K$201,0),MATCH('Buildings - Grid Electricity'!S$6,'Emission factors'!$K$2:$V$2,0)))*$K396)</f>
        <v/>
      </c>
      <c r="T396" s="157" t="str" cm="1">
        <f t="array" ref="T396">IF(OR($E396="",$I396=""),"",(INDEX('Emission factors'!$K$3:$V$201,MATCH('Buildings - Grid Electricity'!$E396&amp;$F396,'Emission factors'!$J$3:$J$201&amp;'Emission factors'!$K$3:$K$201,0),MATCH('Buildings - Grid Electricity'!T$6,'Emission factors'!$K$2:$V$2,0)))*$K396)</f>
        <v/>
      </c>
      <c r="U396" s="157" t="str" cm="1">
        <f t="array" ref="U396">IF(OR($E396="",$I396=""),"",(INDEX('Emission factors'!$K$3:$V$201,MATCH('Buildings - Grid Electricity'!$E396&amp;$F396,'Emission factors'!$J$3:$J$201&amp;'Emission factors'!$K$3:$K$201,0),MATCH('Buildings - Grid Electricity'!U$6,'Emission factors'!$K$2:$V$2,0)))*$K396)</f>
        <v/>
      </c>
      <c r="V396" s="158" t="str">
        <f>IF(OR($N396="",BuildingsElectricityTable[[#This Row],[RSD]]=""),"",BuildingsElectricityTable[[#This Row],[Total emissions (kgCO2e)]]*(1+BuildingsElectricityTable[[#This Row],[RSD]]))</f>
        <v/>
      </c>
      <c r="W396" s="159" t="str">
        <f>IF(OR($N396="",BuildingsElectricityTable[[#This Row],[RSD]]=""),"",BuildingsElectricityTable[[#This Row],[Total emissions (kgCO2e)]]*(1-BuildingsElectricityTable[[#This Row],[RSD]]))</f>
        <v/>
      </c>
      <c r="X396" s="191" t="str" cm="1">
        <f t="array" ref="X396">IF(OR($E396="",$I396=""),"",(INDEX('Emission factors'!$K$3:$V$201,MATCH('Buildings - Grid Electricity'!$E396&amp;$F396,'Emission factors'!$J$3:$J$201&amp;'Emission factors'!$K$3:$K$201,0),MATCH('Buildings - Grid Electricity'!X$6,'Emission factors'!$K$2:$V$2,0)))*$K396)</f>
        <v/>
      </c>
      <c r="Y396" s="30"/>
      <c r="Z396" s="1" cm="1">
        <f t="array" ref="Z396">IF(OR(ISERROR(B396:X396)),1,0)</f>
        <v>0</v>
      </c>
      <c r="AA396" s="1">
        <f t="shared" si="33"/>
        <v>0</v>
      </c>
    </row>
    <row r="397" spans="1:27" ht="15" outlineLevel="1" thickBot="1" x14ac:dyDescent="0.4">
      <c r="A397" s="319"/>
      <c r="B397" s="216"/>
      <c r="C397" s="216"/>
      <c r="D397" s="233" t="str">
        <f>IFERROR(INDEX(BuildingInformationTable[Site type],MATCH(BuildingsElectricityTable[[#This Row],[Site name]],BuildingInformationTable[Site name],0)),"")</f>
        <v/>
      </c>
      <c r="E397" s="311" t="str">
        <f t="shared" si="32"/>
        <v/>
      </c>
      <c r="F397" s="311" t="str">
        <f t="shared" si="0"/>
        <v/>
      </c>
      <c r="G397" s="72"/>
      <c r="H397" s="98" t="str">
        <f>IF(G397="","",INDEX(Lists!$BA$4:$BC$31,MATCH(E397,Lists!$AZ$4:$AZ$31,0),MATCH(G397,Lists!$BA$3:$BC$3,0)))</f>
        <v/>
      </c>
      <c r="I397" s="70"/>
      <c r="J397" s="311" t="str">
        <f t="shared" si="34"/>
        <v/>
      </c>
      <c r="K397" s="75" t="str" cm="1">
        <f t="array" ref="K397">IF(OR($E397="",$D397="",$I397="",$J397=""),"",IF(J397=L397,I397,(INDEX('Emission factors'!$K$3:$V$201,MATCH(E397&amp;F397,'Emission factors'!$J$3:$J$201&amp;'Emission factors'!$K$3:$K$201,0),MATCH(K$6,'Emission factors'!$K$2:$V$2,0)))*I397))</f>
        <v/>
      </c>
      <c r="L397" s="312" t="str">
        <f>IF(OR($E397="",$D397="",$I397="",$J397=""),"",INDEX('Emission factors'!$K$3:$V$201,MATCH('Buildings - Grid Electricity'!$E397,'Emission factors'!$J$3:$J$201,0),MATCH($L$6,'Emission factors'!$K$2:$V$2,0)))</f>
        <v/>
      </c>
      <c r="M397" s="313" t="str" cm="1">
        <f t="array" ref="M397">IF(OR(E397="",I397="",BuildingsElectricityTable[[#This Row],[Units]]=""),"",INDEX('Emission factors'!$K$3:$V$201,MATCH('Buildings - Grid Electricity'!$E397&amp;F397,'Emission factors'!$J$3:$J$201&amp;'Emission factors'!$K$3:$K$201,0),MATCH('Buildings - Grid Electricity'!$M$6,'Emission factors'!$K$2:$V$2,0)))</f>
        <v/>
      </c>
      <c r="N397" s="156" t="str">
        <f>IF(OR(K397="",M397=""),"",SUM(BuildingsElectricityTable[[#This Row],[Direct]:[Indirect WTT]]))</f>
        <v/>
      </c>
      <c r="O397" s="71"/>
      <c r="P397" s="190"/>
      <c r="Q397" s="157" t="str" cm="1">
        <f t="array" ref="Q397">IF(OR($E397="",$I397=""),"",(INDEX('Emission factors'!$K$3:$V$201,MATCH('Buildings - Grid Electricity'!$E397&amp;$F397,'Emission factors'!$J$3:$J$201&amp;'Emission factors'!$K$3:$K$201,0),MATCH('Buildings - Grid Electricity'!Q$6,'Emission factors'!$K$2:$V$2,0)))*$K397)</f>
        <v/>
      </c>
      <c r="R397" s="157" t="str" cm="1">
        <f t="array" ref="R397">IF(OR($E397="",$I397=""),"",(INDEX('Emission factors'!$K$3:$V$201,MATCH('Buildings - Grid Electricity'!$E397&amp;$F397,'Emission factors'!$J$3:$J$201&amp;'Emission factors'!$K$3:$K$201,0),MATCH('Buildings - Grid Electricity'!R$6,'Emission factors'!$K$2:$V$2,0)))*$K397)</f>
        <v/>
      </c>
      <c r="S397" s="157" t="str" cm="1">
        <f t="array" ref="S397">IF(OR($E397="",$I397=""),"",(INDEX('Emission factors'!$K$3:$V$201,MATCH('Buildings - Grid Electricity'!$E397&amp;$F397,'Emission factors'!$J$3:$J$201&amp;'Emission factors'!$K$3:$K$201,0),MATCH('Buildings - Grid Electricity'!S$6,'Emission factors'!$K$2:$V$2,0)))*$K397)</f>
        <v/>
      </c>
      <c r="T397" s="157" t="str" cm="1">
        <f t="array" ref="T397">IF(OR($E397="",$I397=""),"",(INDEX('Emission factors'!$K$3:$V$201,MATCH('Buildings - Grid Electricity'!$E397&amp;$F397,'Emission factors'!$J$3:$J$201&amp;'Emission factors'!$K$3:$K$201,0),MATCH('Buildings - Grid Electricity'!T$6,'Emission factors'!$K$2:$V$2,0)))*$K397)</f>
        <v/>
      </c>
      <c r="U397" s="157" t="str" cm="1">
        <f t="array" ref="U397">IF(OR($E397="",$I397=""),"",(INDEX('Emission factors'!$K$3:$V$201,MATCH('Buildings - Grid Electricity'!$E397&amp;$F397,'Emission factors'!$J$3:$J$201&amp;'Emission factors'!$K$3:$K$201,0),MATCH('Buildings - Grid Electricity'!U$6,'Emission factors'!$K$2:$V$2,0)))*$K397)</f>
        <v/>
      </c>
      <c r="V397" s="158" t="str">
        <f>IF(OR($N397="",BuildingsElectricityTable[[#This Row],[RSD]]=""),"",BuildingsElectricityTable[[#This Row],[Total emissions (kgCO2e)]]*(1+BuildingsElectricityTable[[#This Row],[RSD]]))</f>
        <v/>
      </c>
      <c r="W397" s="159" t="str">
        <f>IF(OR($N397="",BuildingsElectricityTable[[#This Row],[RSD]]=""),"",BuildingsElectricityTable[[#This Row],[Total emissions (kgCO2e)]]*(1-BuildingsElectricityTable[[#This Row],[RSD]]))</f>
        <v/>
      </c>
      <c r="X397" s="191" t="str" cm="1">
        <f t="array" ref="X397">IF(OR($E397="",$I397=""),"",(INDEX('Emission factors'!$K$3:$V$201,MATCH('Buildings - Grid Electricity'!$E397&amp;$F397,'Emission factors'!$J$3:$J$201&amp;'Emission factors'!$K$3:$K$201,0),MATCH('Buildings - Grid Electricity'!X$6,'Emission factors'!$K$2:$V$2,0)))*$K397)</f>
        <v/>
      </c>
      <c r="Y397" s="30"/>
      <c r="Z397" s="1" cm="1">
        <f t="array" ref="Z397">IF(OR(ISERROR(B397:X397)),1,0)</f>
        <v>0</v>
      </c>
      <c r="AA397" s="1">
        <f t="shared" si="33"/>
        <v>0</v>
      </c>
    </row>
    <row r="398" spans="1:27" ht="15" outlineLevel="1" thickBot="1" x14ac:dyDescent="0.4">
      <c r="A398" s="319"/>
      <c r="B398" s="216"/>
      <c r="C398" s="216"/>
      <c r="D398" s="233" t="str">
        <f>IFERROR(INDEX(BuildingInformationTable[Site type],MATCH(BuildingsElectricityTable[[#This Row],[Site name]],BuildingInformationTable[Site name],0)),"")</f>
        <v/>
      </c>
      <c r="E398" s="311" t="str">
        <f t="shared" si="32"/>
        <v/>
      </c>
      <c r="F398" s="311" t="str">
        <f t="shared" si="0"/>
        <v/>
      </c>
      <c r="G398" s="72"/>
      <c r="H398" s="98" t="str">
        <f>IF(G398="","",INDEX(Lists!$BA$4:$BC$31,MATCH(E398,Lists!$AZ$4:$AZ$31,0),MATCH(G398,Lists!$BA$3:$BC$3,0)))</f>
        <v/>
      </c>
      <c r="I398" s="70"/>
      <c r="J398" s="311" t="str">
        <f t="shared" si="34"/>
        <v/>
      </c>
      <c r="K398" s="75" t="str" cm="1">
        <f t="array" ref="K398">IF(OR($E398="",$D398="",$I398="",$J398=""),"",IF(J398=L398,I398,(INDEX('Emission factors'!$K$3:$V$201,MATCH(E398&amp;F398,'Emission factors'!$J$3:$J$201&amp;'Emission factors'!$K$3:$K$201,0),MATCH(K$6,'Emission factors'!$K$2:$V$2,0)))*I398))</f>
        <v/>
      </c>
      <c r="L398" s="312" t="str">
        <f>IF(OR($E398="",$D398="",$I398="",$J398=""),"",INDEX('Emission factors'!$K$3:$V$201,MATCH('Buildings - Grid Electricity'!$E398,'Emission factors'!$J$3:$J$201,0),MATCH($L$6,'Emission factors'!$K$2:$V$2,0)))</f>
        <v/>
      </c>
      <c r="M398" s="313" t="str" cm="1">
        <f t="array" ref="M398">IF(OR(E398="",I398="",BuildingsElectricityTable[[#This Row],[Units]]=""),"",INDEX('Emission factors'!$K$3:$V$201,MATCH('Buildings - Grid Electricity'!$E398&amp;F398,'Emission factors'!$J$3:$J$201&amp;'Emission factors'!$K$3:$K$201,0),MATCH('Buildings - Grid Electricity'!$M$6,'Emission factors'!$K$2:$V$2,0)))</f>
        <v/>
      </c>
      <c r="N398" s="156" t="str">
        <f>IF(OR(K398="",M398=""),"",SUM(BuildingsElectricityTable[[#This Row],[Direct]:[Indirect WTT]]))</f>
        <v/>
      </c>
      <c r="O398" s="71"/>
      <c r="P398" s="190"/>
      <c r="Q398" s="157" t="str" cm="1">
        <f t="array" ref="Q398">IF(OR($E398="",$I398=""),"",(INDEX('Emission factors'!$K$3:$V$201,MATCH('Buildings - Grid Electricity'!$E398&amp;$F398,'Emission factors'!$J$3:$J$201&amp;'Emission factors'!$K$3:$K$201,0),MATCH('Buildings - Grid Electricity'!Q$6,'Emission factors'!$K$2:$V$2,0)))*$K398)</f>
        <v/>
      </c>
      <c r="R398" s="157" t="str" cm="1">
        <f t="array" ref="R398">IF(OR($E398="",$I398=""),"",(INDEX('Emission factors'!$K$3:$V$201,MATCH('Buildings - Grid Electricity'!$E398&amp;$F398,'Emission factors'!$J$3:$J$201&amp;'Emission factors'!$K$3:$K$201,0),MATCH('Buildings - Grid Electricity'!R$6,'Emission factors'!$K$2:$V$2,0)))*$K398)</f>
        <v/>
      </c>
      <c r="S398" s="157" t="str" cm="1">
        <f t="array" ref="S398">IF(OR($E398="",$I398=""),"",(INDEX('Emission factors'!$K$3:$V$201,MATCH('Buildings - Grid Electricity'!$E398&amp;$F398,'Emission factors'!$J$3:$J$201&amp;'Emission factors'!$K$3:$K$201,0),MATCH('Buildings - Grid Electricity'!S$6,'Emission factors'!$K$2:$V$2,0)))*$K398)</f>
        <v/>
      </c>
      <c r="T398" s="157" t="str" cm="1">
        <f t="array" ref="T398">IF(OR($E398="",$I398=""),"",(INDEX('Emission factors'!$K$3:$V$201,MATCH('Buildings - Grid Electricity'!$E398&amp;$F398,'Emission factors'!$J$3:$J$201&amp;'Emission factors'!$K$3:$K$201,0),MATCH('Buildings - Grid Electricity'!T$6,'Emission factors'!$K$2:$V$2,0)))*$K398)</f>
        <v/>
      </c>
      <c r="U398" s="157" t="str" cm="1">
        <f t="array" ref="U398">IF(OR($E398="",$I398=""),"",(INDEX('Emission factors'!$K$3:$V$201,MATCH('Buildings - Grid Electricity'!$E398&amp;$F398,'Emission factors'!$J$3:$J$201&amp;'Emission factors'!$K$3:$K$201,0),MATCH('Buildings - Grid Electricity'!U$6,'Emission factors'!$K$2:$V$2,0)))*$K398)</f>
        <v/>
      </c>
      <c r="V398" s="158" t="str">
        <f>IF(OR($N398="",BuildingsElectricityTable[[#This Row],[RSD]]=""),"",BuildingsElectricityTable[[#This Row],[Total emissions (kgCO2e)]]*(1+BuildingsElectricityTable[[#This Row],[RSD]]))</f>
        <v/>
      </c>
      <c r="W398" s="159" t="str">
        <f>IF(OR($N398="",BuildingsElectricityTable[[#This Row],[RSD]]=""),"",BuildingsElectricityTable[[#This Row],[Total emissions (kgCO2e)]]*(1-BuildingsElectricityTable[[#This Row],[RSD]]))</f>
        <v/>
      </c>
      <c r="X398" s="191" t="str" cm="1">
        <f t="array" ref="X398">IF(OR($E398="",$I398=""),"",(INDEX('Emission factors'!$K$3:$V$201,MATCH('Buildings - Grid Electricity'!$E398&amp;$F398,'Emission factors'!$J$3:$J$201&amp;'Emission factors'!$K$3:$K$201,0),MATCH('Buildings - Grid Electricity'!X$6,'Emission factors'!$K$2:$V$2,0)))*$K398)</f>
        <v/>
      </c>
      <c r="Y398" s="30"/>
      <c r="Z398" s="1" cm="1">
        <f t="array" ref="Z398">IF(OR(ISERROR(B398:X398)),1,0)</f>
        <v>0</v>
      </c>
      <c r="AA398" s="1">
        <f t="shared" si="33"/>
        <v>0</v>
      </c>
    </row>
    <row r="399" spans="1:27" ht="15" outlineLevel="1" thickBot="1" x14ac:dyDescent="0.4">
      <c r="A399" s="319"/>
      <c r="B399" s="216"/>
      <c r="C399" s="216"/>
      <c r="D399" s="233" t="str">
        <f>IFERROR(INDEX(BuildingInformationTable[Site type],MATCH(BuildingsElectricityTable[[#This Row],[Site name]],BuildingInformationTable[Site name],0)),"")</f>
        <v/>
      </c>
      <c r="E399" s="311" t="str">
        <f t="shared" si="32"/>
        <v/>
      </c>
      <c r="F399" s="311" t="str">
        <f t="shared" si="0"/>
        <v/>
      </c>
      <c r="G399" s="72"/>
      <c r="H399" s="98" t="str">
        <f>IF(G399="","",INDEX(Lists!$BA$4:$BC$31,MATCH(E399,Lists!$AZ$4:$AZ$31,0),MATCH(G399,Lists!$BA$3:$BC$3,0)))</f>
        <v/>
      </c>
      <c r="I399" s="70"/>
      <c r="J399" s="311" t="str">
        <f t="shared" si="34"/>
        <v/>
      </c>
      <c r="K399" s="75" t="str" cm="1">
        <f t="array" ref="K399">IF(OR($E399="",$D399="",$I399="",$J399=""),"",IF(J399=L399,I399,(INDEX('Emission factors'!$K$3:$V$201,MATCH(E399&amp;F399,'Emission factors'!$J$3:$J$201&amp;'Emission factors'!$K$3:$K$201,0),MATCH(K$6,'Emission factors'!$K$2:$V$2,0)))*I399))</f>
        <v/>
      </c>
      <c r="L399" s="312" t="str">
        <f>IF(OR($E399="",$D399="",$I399="",$J399=""),"",INDEX('Emission factors'!$K$3:$V$201,MATCH('Buildings - Grid Electricity'!$E399,'Emission factors'!$J$3:$J$201,0),MATCH($L$6,'Emission factors'!$K$2:$V$2,0)))</f>
        <v/>
      </c>
      <c r="M399" s="313" t="str" cm="1">
        <f t="array" ref="M399">IF(OR(E399="",I399="",BuildingsElectricityTable[[#This Row],[Units]]=""),"",INDEX('Emission factors'!$K$3:$V$201,MATCH('Buildings - Grid Electricity'!$E399&amp;F399,'Emission factors'!$J$3:$J$201&amp;'Emission factors'!$K$3:$K$201,0),MATCH('Buildings - Grid Electricity'!$M$6,'Emission factors'!$K$2:$V$2,0)))</f>
        <v/>
      </c>
      <c r="N399" s="156" t="str">
        <f>IF(OR(K399="",M399=""),"",SUM(BuildingsElectricityTable[[#This Row],[Direct]:[Indirect WTT]]))</f>
        <v/>
      </c>
      <c r="O399" s="71"/>
      <c r="P399" s="190"/>
      <c r="Q399" s="157" t="str" cm="1">
        <f t="array" ref="Q399">IF(OR($E399="",$I399=""),"",(INDEX('Emission factors'!$K$3:$V$201,MATCH('Buildings - Grid Electricity'!$E399&amp;$F399,'Emission factors'!$J$3:$J$201&amp;'Emission factors'!$K$3:$K$201,0),MATCH('Buildings - Grid Electricity'!Q$6,'Emission factors'!$K$2:$V$2,0)))*$K399)</f>
        <v/>
      </c>
      <c r="R399" s="157" t="str" cm="1">
        <f t="array" ref="R399">IF(OR($E399="",$I399=""),"",(INDEX('Emission factors'!$K$3:$V$201,MATCH('Buildings - Grid Electricity'!$E399&amp;$F399,'Emission factors'!$J$3:$J$201&amp;'Emission factors'!$K$3:$K$201,0),MATCH('Buildings - Grid Electricity'!R$6,'Emission factors'!$K$2:$V$2,0)))*$K399)</f>
        <v/>
      </c>
      <c r="S399" s="157" t="str" cm="1">
        <f t="array" ref="S399">IF(OR($E399="",$I399=""),"",(INDEX('Emission factors'!$K$3:$V$201,MATCH('Buildings - Grid Electricity'!$E399&amp;$F399,'Emission factors'!$J$3:$J$201&amp;'Emission factors'!$K$3:$K$201,0),MATCH('Buildings - Grid Electricity'!S$6,'Emission factors'!$K$2:$V$2,0)))*$K399)</f>
        <v/>
      </c>
      <c r="T399" s="157" t="str" cm="1">
        <f t="array" ref="T399">IF(OR($E399="",$I399=""),"",(INDEX('Emission factors'!$K$3:$V$201,MATCH('Buildings - Grid Electricity'!$E399&amp;$F399,'Emission factors'!$J$3:$J$201&amp;'Emission factors'!$K$3:$K$201,0),MATCH('Buildings - Grid Electricity'!T$6,'Emission factors'!$K$2:$V$2,0)))*$K399)</f>
        <v/>
      </c>
      <c r="U399" s="157" t="str" cm="1">
        <f t="array" ref="U399">IF(OR($E399="",$I399=""),"",(INDEX('Emission factors'!$K$3:$V$201,MATCH('Buildings - Grid Electricity'!$E399&amp;$F399,'Emission factors'!$J$3:$J$201&amp;'Emission factors'!$K$3:$K$201,0),MATCH('Buildings - Grid Electricity'!U$6,'Emission factors'!$K$2:$V$2,0)))*$K399)</f>
        <v/>
      </c>
      <c r="V399" s="158" t="str">
        <f>IF(OR($N399="",BuildingsElectricityTable[[#This Row],[RSD]]=""),"",BuildingsElectricityTable[[#This Row],[Total emissions (kgCO2e)]]*(1+BuildingsElectricityTable[[#This Row],[RSD]]))</f>
        <v/>
      </c>
      <c r="W399" s="159" t="str">
        <f>IF(OR($N399="",BuildingsElectricityTable[[#This Row],[RSD]]=""),"",BuildingsElectricityTable[[#This Row],[Total emissions (kgCO2e)]]*(1-BuildingsElectricityTable[[#This Row],[RSD]]))</f>
        <v/>
      </c>
      <c r="X399" s="191" t="str" cm="1">
        <f t="array" ref="X399">IF(OR($E399="",$I399=""),"",(INDEX('Emission factors'!$K$3:$V$201,MATCH('Buildings - Grid Electricity'!$E399&amp;$F399,'Emission factors'!$J$3:$J$201&amp;'Emission factors'!$K$3:$K$201,0),MATCH('Buildings - Grid Electricity'!X$6,'Emission factors'!$K$2:$V$2,0)))*$K399)</f>
        <v/>
      </c>
      <c r="Y399" s="30"/>
      <c r="Z399" s="1" cm="1">
        <f t="array" ref="Z399">IF(OR(ISERROR(B399:X399)),1,0)</f>
        <v>0</v>
      </c>
      <c r="AA399" s="1">
        <f t="shared" si="33"/>
        <v>0</v>
      </c>
    </row>
    <row r="400" spans="1:27" ht="15" outlineLevel="1" thickBot="1" x14ac:dyDescent="0.4">
      <c r="A400" s="319"/>
      <c r="B400" s="216"/>
      <c r="C400" s="216"/>
      <c r="D400" s="233" t="str">
        <f>IFERROR(INDEX(BuildingInformationTable[Site type],MATCH(BuildingsElectricityTable[[#This Row],[Site name]],BuildingInformationTable[Site name],0)),"")</f>
        <v/>
      </c>
      <c r="E400" s="311" t="str">
        <f t="shared" si="32"/>
        <v/>
      </c>
      <c r="F400" s="311" t="str">
        <f t="shared" si="0"/>
        <v/>
      </c>
      <c r="G400" s="72"/>
      <c r="H400" s="98" t="str">
        <f>IF(G400="","",INDEX(Lists!$BA$4:$BC$31,MATCH(E400,Lists!$AZ$4:$AZ$31,0),MATCH(G400,Lists!$BA$3:$BC$3,0)))</f>
        <v/>
      </c>
      <c r="I400" s="70"/>
      <c r="J400" s="311" t="str">
        <f t="shared" si="34"/>
        <v/>
      </c>
      <c r="K400" s="75" t="str" cm="1">
        <f t="array" ref="K400">IF(OR($E400="",$D400="",$I400="",$J400=""),"",IF(J400=L400,I400,(INDEX('Emission factors'!$K$3:$V$201,MATCH(E400&amp;F400,'Emission factors'!$J$3:$J$201&amp;'Emission factors'!$K$3:$K$201,0),MATCH(K$6,'Emission factors'!$K$2:$V$2,0)))*I400))</f>
        <v/>
      </c>
      <c r="L400" s="312" t="str">
        <f>IF(OR($E400="",$D400="",$I400="",$J400=""),"",INDEX('Emission factors'!$K$3:$V$201,MATCH('Buildings - Grid Electricity'!$E400,'Emission factors'!$J$3:$J$201,0),MATCH($L$6,'Emission factors'!$K$2:$V$2,0)))</f>
        <v/>
      </c>
      <c r="M400" s="313" t="str" cm="1">
        <f t="array" ref="M400">IF(OR(E400="",I400="",BuildingsElectricityTable[[#This Row],[Units]]=""),"",INDEX('Emission factors'!$K$3:$V$201,MATCH('Buildings - Grid Electricity'!$E400&amp;F400,'Emission factors'!$J$3:$J$201&amp;'Emission factors'!$K$3:$K$201,0),MATCH('Buildings - Grid Electricity'!$M$6,'Emission factors'!$K$2:$V$2,0)))</f>
        <v/>
      </c>
      <c r="N400" s="156" t="str">
        <f>IF(OR(K400="",M400=""),"",SUM(BuildingsElectricityTable[[#This Row],[Direct]:[Indirect WTT]]))</f>
        <v/>
      </c>
      <c r="O400" s="71"/>
      <c r="P400" s="190"/>
      <c r="Q400" s="157" t="str" cm="1">
        <f t="array" ref="Q400">IF(OR($E400="",$I400=""),"",(INDEX('Emission factors'!$K$3:$V$201,MATCH('Buildings - Grid Electricity'!$E400&amp;$F400,'Emission factors'!$J$3:$J$201&amp;'Emission factors'!$K$3:$K$201,0),MATCH('Buildings - Grid Electricity'!Q$6,'Emission factors'!$K$2:$V$2,0)))*$K400)</f>
        <v/>
      </c>
      <c r="R400" s="157" t="str" cm="1">
        <f t="array" ref="R400">IF(OR($E400="",$I400=""),"",(INDEX('Emission factors'!$K$3:$V$201,MATCH('Buildings - Grid Electricity'!$E400&amp;$F400,'Emission factors'!$J$3:$J$201&amp;'Emission factors'!$K$3:$K$201,0),MATCH('Buildings - Grid Electricity'!R$6,'Emission factors'!$K$2:$V$2,0)))*$K400)</f>
        <v/>
      </c>
      <c r="S400" s="157" t="str" cm="1">
        <f t="array" ref="S400">IF(OR($E400="",$I400=""),"",(INDEX('Emission factors'!$K$3:$V$201,MATCH('Buildings - Grid Electricity'!$E400&amp;$F400,'Emission factors'!$J$3:$J$201&amp;'Emission factors'!$K$3:$K$201,0),MATCH('Buildings - Grid Electricity'!S$6,'Emission factors'!$K$2:$V$2,0)))*$K400)</f>
        <v/>
      </c>
      <c r="T400" s="157" t="str" cm="1">
        <f t="array" ref="T400">IF(OR($E400="",$I400=""),"",(INDEX('Emission factors'!$K$3:$V$201,MATCH('Buildings - Grid Electricity'!$E400&amp;$F400,'Emission factors'!$J$3:$J$201&amp;'Emission factors'!$K$3:$K$201,0),MATCH('Buildings - Grid Electricity'!T$6,'Emission factors'!$K$2:$V$2,0)))*$K400)</f>
        <v/>
      </c>
      <c r="U400" s="157" t="str" cm="1">
        <f t="array" ref="U400">IF(OR($E400="",$I400=""),"",(INDEX('Emission factors'!$K$3:$V$201,MATCH('Buildings - Grid Electricity'!$E400&amp;$F400,'Emission factors'!$J$3:$J$201&amp;'Emission factors'!$K$3:$K$201,0),MATCH('Buildings - Grid Electricity'!U$6,'Emission factors'!$K$2:$V$2,0)))*$K400)</f>
        <v/>
      </c>
      <c r="V400" s="158" t="str">
        <f>IF(OR($N400="",BuildingsElectricityTable[[#This Row],[RSD]]=""),"",BuildingsElectricityTable[[#This Row],[Total emissions (kgCO2e)]]*(1+BuildingsElectricityTable[[#This Row],[RSD]]))</f>
        <v/>
      </c>
      <c r="W400" s="159" t="str">
        <f>IF(OR($N400="",BuildingsElectricityTable[[#This Row],[RSD]]=""),"",BuildingsElectricityTable[[#This Row],[Total emissions (kgCO2e)]]*(1-BuildingsElectricityTable[[#This Row],[RSD]]))</f>
        <v/>
      </c>
      <c r="X400" s="191" t="str" cm="1">
        <f t="array" ref="X400">IF(OR($E400="",$I400=""),"",(INDEX('Emission factors'!$K$3:$V$201,MATCH('Buildings - Grid Electricity'!$E400&amp;$F400,'Emission factors'!$J$3:$J$201&amp;'Emission factors'!$K$3:$K$201,0),MATCH('Buildings - Grid Electricity'!X$6,'Emission factors'!$K$2:$V$2,0)))*$K400)</f>
        <v/>
      </c>
      <c r="Y400" s="30"/>
      <c r="Z400" s="1" cm="1">
        <f t="array" ref="Z400">IF(OR(ISERROR(B400:X400)),1,0)</f>
        <v>0</v>
      </c>
      <c r="AA400" s="1">
        <f t="shared" si="33"/>
        <v>0</v>
      </c>
    </row>
    <row r="401" spans="1:27" ht="15" outlineLevel="1" thickBot="1" x14ac:dyDescent="0.4">
      <c r="A401" s="319"/>
      <c r="B401" s="216"/>
      <c r="C401" s="216"/>
      <c r="D401" s="233" t="str">
        <f>IFERROR(INDEX(BuildingInformationTable[Site type],MATCH(BuildingsElectricityTable[[#This Row],[Site name]],BuildingInformationTable[Site name],0)),"")</f>
        <v/>
      </c>
      <c r="E401" s="311" t="str">
        <f t="shared" si="32"/>
        <v/>
      </c>
      <c r="F401" s="311" t="str">
        <f t="shared" si="0"/>
        <v/>
      </c>
      <c r="G401" s="72"/>
      <c r="H401" s="98" t="str">
        <f>IF(G401="","",INDEX(Lists!$BA$4:$BC$31,MATCH(E401,Lists!$AZ$4:$AZ$31,0),MATCH(G401,Lists!$BA$3:$BC$3,0)))</f>
        <v/>
      </c>
      <c r="I401" s="70"/>
      <c r="J401" s="311" t="str">
        <f t="shared" si="34"/>
        <v/>
      </c>
      <c r="K401" s="75" t="str" cm="1">
        <f t="array" ref="K401">IF(OR($E401="",$D401="",$I401="",$J401=""),"",IF(J401=L401,I401,(INDEX('Emission factors'!$K$3:$V$201,MATCH(E401&amp;F401,'Emission factors'!$J$3:$J$201&amp;'Emission factors'!$K$3:$K$201,0),MATCH(K$6,'Emission factors'!$K$2:$V$2,0)))*I401))</f>
        <v/>
      </c>
      <c r="L401" s="312" t="str">
        <f>IF(OR($E401="",$D401="",$I401="",$J401=""),"",INDEX('Emission factors'!$K$3:$V$201,MATCH('Buildings - Grid Electricity'!$E401,'Emission factors'!$J$3:$J$201,0),MATCH($L$6,'Emission factors'!$K$2:$V$2,0)))</f>
        <v/>
      </c>
      <c r="M401" s="313" t="str" cm="1">
        <f t="array" ref="M401">IF(OR(E401="",I401="",BuildingsElectricityTable[[#This Row],[Units]]=""),"",INDEX('Emission factors'!$K$3:$V$201,MATCH('Buildings - Grid Electricity'!$E401&amp;F401,'Emission factors'!$J$3:$J$201&amp;'Emission factors'!$K$3:$K$201,0),MATCH('Buildings - Grid Electricity'!$M$6,'Emission factors'!$K$2:$V$2,0)))</f>
        <v/>
      </c>
      <c r="N401" s="156" t="str">
        <f>IF(OR(K401="",M401=""),"",SUM(BuildingsElectricityTable[[#This Row],[Direct]:[Indirect WTT]]))</f>
        <v/>
      </c>
      <c r="O401" s="71"/>
      <c r="P401" s="190"/>
      <c r="Q401" s="157" t="str" cm="1">
        <f t="array" ref="Q401">IF(OR($E401="",$I401=""),"",(INDEX('Emission factors'!$K$3:$V$201,MATCH('Buildings - Grid Electricity'!$E401&amp;$F401,'Emission factors'!$J$3:$J$201&amp;'Emission factors'!$K$3:$K$201,0),MATCH('Buildings - Grid Electricity'!Q$6,'Emission factors'!$K$2:$V$2,0)))*$K401)</f>
        <v/>
      </c>
      <c r="R401" s="157" t="str" cm="1">
        <f t="array" ref="R401">IF(OR($E401="",$I401=""),"",(INDEX('Emission factors'!$K$3:$V$201,MATCH('Buildings - Grid Electricity'!$E401&amp;$F401,'Emission factors'!$J$3:$J$201&amp;'Emission factors'!$K$3:$K$201,0),MATCH('Buildings - Grid Electricity'!R$6,'Emission factors'!$K$2:$V$2,0)))*$K401)</f>
        <v/>
      </c>
      <c r="S401" s="157" t="str" cm="1">
        <f t="array" ref="S401">IF(OR($E401="",$I401=""),"",(INDEX('Emission factors'!$K$3:$V$201,MATCH('Buildings - Grid Electricity'!$E401&amp;$F401,'Emission factors'!$J$3:$J$201&amp;'Emission factors'!$K$3:$K$201,0),MATCH('Buildings - Grid Electricity'!S$6,'Emission factors'!$K$2:$V$2,0)))*$K401)</f>
        <v/>
      </c>
      <c r="T401" s="157" t="str" cm="1">
        <f t="array" ref="T401">IF(OR($E401="",$I401=""),"",(INDEX('Emission factors'!$K$3:$V$201,MATCH('Buildings - Grid Electricity'!$E401&amp;$F401,'Emission factors'!$J$3:$J$201&amp;'Emission factors'!$K$3:$K$201,0),MATCH('Buildings - Grid Electricity'!T$6,'Emission factors'!$K$2:$V$2,0)))*$K401)</f>
        <v/>
      </c>
      <c r="U401" s="157" t="str" cm="1">
        <f t="array" ref="U401">IF(OR($E401="",$I401=""),"",(INDEX('Emission factors'!$K$3:$V$201,MATCH('Buildings - Grid Electricity'!$E401&amp;$F401,'Emission factors'!$J$3:$J$201&amp;'Emission factors'!$K$3:$K$201,0),MATCH('Buildings - Grid Electricity'!U$6,'Emission factors'!$K$2:$V$2,0)))*$K401)</f>
        <v/>
      </c>
      <c r="V401" s="158" t="str">
        <f>IF(OR($N401="",BuildingsElectricityTable[[#This Row],[RSD]]=""),"",BuildingsElectricityTable[[#This Row],[Total emissions (kgCO2e)]]*(1+BuildingsElectricityTable[[#This Row],[RSD]]))</f>
        <v/>
      </c>
      <c r="W401" s="159" t="str">
        <f>IF(OR($N401="",BuildingsElectricityTable[[#This Row],[RSD]]=""),"",BuildingsElectricityTable[[#This Row],[Total emissions (kgCO2e)]]*(1-BuildingsElectricityTable[[#This Row],[RSD]]))</f>
        <v/>
      </c>
      <c r="X401" s="191" t="str" cm="1">
        <f t="array" ref="X401">IF(OR($E401="",$I401=""),"",(INDEX('Emission factors'!$K$3:$V$201,MATCH('Buildings - Grid Electricity'!$E401&amp;$F401,'Emission factors'!$J$3:$J$201&amp;'Emission factors'!$K$3:$K$201,0),MATCH('Buildings - Grid Electricity'!X$6,'Emission factors'!$K$2:$V$2,0)))*$K401)</f>
        <v/>
      </c>
      <c r="Y401" s="30"/>
      <c r="Z401" s="1" cm="1">
        <f t="array" ref="Z401">IF(OR(ISERROR(B401:X401)),1,0)</f>
        <v>0</v>
      </c>
      <c r="AA401" s="1">
        <f t="shared" si="33"/>
        <v>0</v>
      </c>
    </row>
    <row r="402" spans="1:27" ht="15" outlineLevel="1" thickBot="1" x14ac:dyDescent="0.4">
      <c r="A402" s="319"/>
      <c r="B402" s="216"/>
      <c r="C402" s="216"/>
      <c r="D402" s="489" t="str">
        <f>IFERROR(INDEX(BuildingInformationTable[Site type],MATCH(BuildingsElectricityTable[[#This Row],[Site name]],BuildingInformationTable[Site name],0)),"")</f>
        <v/>
      </c>
      <c r="E402" s="490" t="str">
        <f t="shared" ref="E402:E433" si="35">IF(B402="", "", "Grid electricity")</f>
        <v/>
      </c>
      <c r="F402" s="490" t="str">
        <f t="shared" ref="F402:F433" si="36">IF(E402="Grid electricity", "Consumption based", "")</f>
        <v/>
      </c>
      <c r="G402" s="491"/>
      <c r="H402" s="492" t="str">
        <f>IF(G402="","",INDEX(Lists!$BA$4:$BC$31,MATCH(E402,Lists!$AZ$4:$AZ$31,0),MATCH(G402,Lists!$BA$3:$BC$3,0)))</f>
        <v/>
      </c>
      <c r="I402" s="267"/>
      <c r="J402" s="490" t="str">
        <f t="shared" ref="J402:J433" si="37">IF(I402="", "", "kWh")</f>
        <v/>
      </c>
      <c r="K402" s="493" t="str" cm="1">
        <f t="array" ref="K402">IF(OR($E402="",$D402="",$I402="",$J402=""),"",IF(J402=L402,I402,(INDEX('Emission factors'!$K$3:$V$201,MATCH(E402&amp;F402,'Emission factors'!$J$3:$J$201&amp;'Emission factors'!$K$3:$K$201,0),MATCH(K$6,'Emission factors'!$K$2:$V$2,0)))*I402))</f>
        <v/>
      </c>
      <c r="L402" s="494" t="str">
        <f>IF(OR($E402="",$D402="",$I402="",$J402=""),"",INDEX('Emission factors'!$K$3:$V$201,MATCH('Buildings - Grid Electricity'!$E402,'Emission factors'!$J$3:$J$201,0),MATCH($L$6,'Emission factors'!$K$2:$V$2,0)))</f>
        <v/>
      </c>
      <c r="M402" s="495" t="str" cm="1">
        <f t="array" ref="M402">IF(OR(E402="",I402="",BuildingsElectricityTable[[#This Row],[Units]]=""),"",INDEX('Emission factors'!$K$3:$V$201,MATCH('Buildings - Grid Electricity'!$E402&amp;F402,'Emission factors'!$J$3:$J$201&amp;'Emission factors'!$K$3:$K$201,0),MATCH('Buildings - Grid Electricity'!$M$6,'Emission factors'!$K$2:$V$2,0)))</f>
        <v/>
      </c>
      <c r="N402" s="496" t="str">
        <f>IF(OR(K402="",M402=""),"",SUM(BuildingsElectricityTable[[#This Row],[Direct]:[Indirect WTT]]))</f>
        <v/>
      </c>
      <c r="O402" s="268"/>
      <c r="P402" s="497"/>
      <c r="Q402" s="157" t="str" cm="1">
        <f t="array" ref="Q402">IF(OR($E402="",$I402=""),"",(INDEX('Emission factors'!$K$3:$V$201,MATCH('Buildings - Grid Electricity'!$E402&amp;$F402,'Emission factors'!$J$3:$J$201&amp;'Emission factors'!$K$3:$K$201,0),MATCH('Buildings - Grid Electricity'!Q$6,'Emission factors'!$K$2:$V$2,0)))*$K402)</f>
        <v/>
      </c>
      <c r="R402" s="157" t="str" cm="1">
        <f t="array" ref="R402">IF(OR($E402="",$I402=""),"",(INDEX('Emission factors'!$K$3:$V$201,MATCH('Buildings - Grid Electricity'!$E402&amp;$F402,'Emission factors'!$J$3:$J$201&amp;'Emission factors'!$K$3:$K$201,0),MATCH('Buildings - Grid Electricity'!R$6,'Emission factors'!$K$2:$V$2,0)))*$K402)</f>
        <v/>
      </c>
      <c r="S402" s="157" t="str" cm="1">
        <f t="array" ref="S402">IF(OR($E402="",$I402=""),"",(INDEX('Emission factors'!$K$3:$V$201,MATCH('Buildings - Grid Electricity'!$E402&amp;$F402,'Emission factors'!$J$3:$J$201&amp;'Emission factors'!$K$3:$K$201,0),MATCH('Buildings - Grid Electricity'!S$6,'Emission factors'!$K$2:$V$2,0)))*$K402)</f>
        <v/>
      </c>
      <c r="T402" s="157" t="str" cm="1">
        <f t="array" ref="T402">IF(OR($E402="",$I402=""),"",(INDEX('Emission factors'!$K$3:$V$201,MATCH('Buildings - Grid Electricity'!$E402&amp;$F402,'Emission factors'!$J$3:$J$201&amp;'Emission factors'!$K$3:$K$201,0),MATCH('Buildings - Grid Electricity'!T$6,'Emission factors'!$K$2:$V$2,0)))*$K402)</f>
        <v/>
      </c>
      <c r="U402" s="157" t="str" cm="1">
        <f t="array" ref="U402">IF(OR($E402="",$I402=""),"",(INDEX('Emission factors'!$K$3:$V$201,MATCH('Buildings - Grid Electricity'!$E402&amp;$F402,'Emission factors'!$J$3:$J$201&amp;'Emission factors'!$K$3:$K$201,0),MATCH('Buildings - Grid Electricity'!U$6,'Emission factors'!$K$2:$V$2,0)))*$K402)</f>
        <v/>
      </c>
      <c r="V402" s="269" t="str">
        <f>IF(OR($N402="",BuildingsElectricityTable[[#This Row],[RSD]]=""),"",BuildingsElectricityTable[[#This Row],[Total emissions (kgCO2e)]]*(1+BuildingsElectricityTable[[#This Row],[RSD]]))</f>
        <v/>
      </c>
      <c r="W402" s="270" t="str">
        <f>IF(OR($N402="",BuildingsElectricityTable[[#This Row],[RSD]]=""),"",BuildingsElectricityTable[[#This Row],[Total emissions (kgCO2e)]]*(1-BuildingsElectricityTable[[#This Row],[RSD]]))</f>
        <v/>
      </c>
      <c r="X402" s="271" t="str" cm="1">
        <f t="array" ref="X402">IF(OR($E402="",$I402=""),"",(INDEX('Emission factors'!$K$3:$V$201,MATCH('Buildings - Grid Electricity'!$E402&amp;$F402,'Emission factors'!$J$3:$J$201&amp;'Emission factors'!$K$3:$K$201,0),MATCH('Buildings - Grid Electricity'!X$6,'Emission factors'!$K$2:$V$2,0)))*$K402)</f>
        <v/>
      </c>
      <c r="Y402" s="30"/>
    </row>
    <row r="403" spans="1:27" ht="15" outlineLevel="1" thickBot="1" x14ac:dyDescent="0.4">
      <c r="A403" s="319"/>
      <c r="B403" s="216"/>
      <c r="C403" s="216"/>
      <c r="D403" s="489" t="str">
        <f>IFERROR(INDEX(BuildingInformationTable[Site type],MATCH(BuildingsElectricityTable[[#This Row],[Site name]],BuildingInformationTable[Site name],0)),"")</f>
        <v/>
      </c>
      <c r="E403" s="490" t="str">
        <f t="shared" si="35"/>
        <v/>
      </c>
      <c r="F403" s="490" t="str">
        <f t="shared" si="36"/>
        <v/>
      </c>
      <c r="G403" s="491"/>
      <c r="H403" s="492" t="str">
        <f>IF(G403="","",INDEX(Lists!$BA$4:$BC$31,MATCH(E403,Lists!$AZ$4:$AZ$31,0),MATCH(G403,Lists!$BA$3:$BC$3,0)))</f>
        <v/>
      </c>
      <c r="I403" s="267"/>
      <c r="J403" s="490" t="str">
        <f t="shared" si="37"/>
        <v/>
      </c>
      <c r="K403" s="493" t="str" cm="1">
        <f t="array" ref="K403">IF(OR($E403="",$D403="",$I403="",$J403=""),"",IF(J403=L403,I403,(INDEX('Emission factors'!$K$3:$V$201,MATCH(E403&amp;F403,'Emission factors'!$J$3:$J$201&amp;'Emission factors'!$K$3:$K$201,0),MATCH(K$6,'Emission factors'!$K$2:$V$2,0)))*I403))</f>
        <v/>
      </c>
      <c r="L403" s="494" t="str">
        <f>IF(OR($E403="",$D403="",$I403="",$J403=""),"",INDEX('Emission factors'!$K$3:$V$201,MATCH('Buildings - Grid Electricity'!$E403,'Emission factors'!$J$3:$J$201,0),MATCH($L$6,'Emission factors'!$K$2:$V$2,0)))</f>
        <v/>
      </c>
      <c r="M403" s="495" t="str" cm="1">
        <f t="array" ref="M403">IF(OR(E403="",I403="",BuildingsElectricityTable[[#This Row],[Units]]=""),"",INDEX('Emission factors'!$K$3:$V$201,MATCH('Buildings - Grid Electricity'!$E403&amp;F403,'Emission factors'!$J$3:$J$201&amp;'Emission factors'!$K$3:$K$201,0),MATCH('Buildings - Grid Electricity'!$M$6,'Emission factors'!$K$2:$V$2,0)))</f>
        <v/>
      </c>
      <c r="N403" s="496" t="str">
        <f>IF(OR(K403="",M403=""),"",SUM(BuildingsElectricityTable[[#This Row],[Direct]:[Indirect WTT]]))</f>
        <v/>
      </c>
      <c r="O403" s="268"/>
      <c r="P403" s="497"/>
      <c r="Q403" s="157" t="str" cm="1">
        <f t="array" ref="Q403">IF(OR($E403="",$I403=""),"",(INDEX('Emission factors'!$K$3:$V$201,MATCH('Buildings - Grid Electricity'!$E403&amp;$F403,'Emission factors'!$J$3:$J$201&amp;'Emission factors'!$K$3:$K$201,0),MATCH('Buildings - Grid Electricity'!Q$6,'Emission factors'!$K$2:$V$2,0)))*$K403)</f>
        <v/>
      </c>
      <c r="R403" s="157" t="str" cm="1">
        <f t="array" ref="R403">IF(OR($E403="",$I403=""),"",(INDEX('Emission factors'!$K$3:$V$201,MATCH('Buildings - Grid Electricity'!$E403&amp;$F403,'Emission factors'!$J$3:$J$201&amp;'Emission factors'!$K$3:$K$201,0),MATCH('Buildings - Grid Electricity'!R$6,'Emission factors'!$K$2:$V$2,0)))*$K403)</f>
        <v/>
      </c>
      <c r="S403" s="157" t="str" cm="1">
        <f t="array" ref="S403">IF(OR($E403="",$I403=""),"",(INDEX('Emission factors'!$K$3:$V$201,MATCH('Buildings - Grid Electricity'!$E403&amp;$F403,'Emission factors'!$J$3:$J$201&amp;'Emission factors'!$K$3:$K$201,0),MATCH('Buildings - Grid Electricity'!S$6,'Emission factors'!$K$2:$V$2,0)))*$K403)</f>
        <v/>
      </c>
      <c r="T403" s="157" t="str" cm="1">
        <f t="array" ref="T403">IF(OR($E403="",$I403=""),"",(INDEX('Emission factors'!$K$3:$V$201,MATCH('Buildings - Grid Electricity'!$E403&amp;$F403,'Emission factors'!$J$3:$J$201&amp;'Emission factors'!$K$3:$K$201,0),MATCH('Buildings - Grid Electricity'!T$6,'Emission factors'!$K$2:$V$2,0)))*$K403)</f>
        <v/>
      </c>
      <c r="U403" s="157" t="str" cm="1">
        <f t="array" ref="U403">IF(OR($E403="",$I403=""),"",(INDEX('Emission factors'!$K$3:$V$201,MATCH('Buildings - Grid Electricity'!$E403&amp;$F403,'Emission factors'!$J$3:$J$201&amp;'Emission factors'!$K$3:$K$201,0),MATCH('Buildings - Grid Electricity'!U$6,'Emission factors'!$K$2:$V$2,0)))*$K403)</f>
        <v/>
      </c>
      <c r="V403" s="269" t="str">
        <f>IF(OR($N403="",BuildingsElectricityTable[[#This Row],[RSD]]=""),"",BuildingsElectricityTable[[#This Row],[Total emissions (kgCO2e)]]*(1+BuildingsElectricityTable[[#This Row],[RSD]]))</f>
        <v/>
      </c>
      <c r="W403" s="270" t="str">
        <f>IF(OR($N403="",BuildingsElectricityTable[[#This Row],[RSD]]=""),"",BuildingsElectricityTable[[#This Row],[Total emissions (kgCO2e)]]*(1-BuildingsElectricityTable[[#This Row],[RSD]]))</f>
        <v/>
      </c>
      <c r="X403" s="271" t="str" cm="1">
        <f t="array" ref="X403">IF(OR($E403="",$I403=""),"",(INDEX('Emission factors'!$K$3:$V$201,MATCH('Buildings - Grid Electricity'!$E403&amp;$F403,'Emission factors'!$J$3:$J$201&amp;'Emission factors'!$K$3:$K$201,0),MATCH('Buildings - Grid Electricity'!X$6,'Emission factors'!$K$2:$V$2,0)))*$K403)</f>
        <v/>
      </c>
      <c r="Y403" s="30"/>
    </row>
    <row r="404" spans="1:27" ht="15" outlineLevel="1" thickBot="1" x14ac:dyDescent="0.4">
      <c r="A404" s="319"/>
      <c r="B404" s="216"/>
      <c r="C404" s="216"/>
      <c r="D404" s="489" t="str">
        <f>IFERROR(INDEX(BuildingInformationTable[Site type],MATCH(BuildingsElectricityTable[[#This Row],[Site name]],BuildingInformationTable[Site name],0)),"")</f>
        <v/>
      </c>
      <c r="E404" s="490" t="str">
        <f t="shared" si="35"/>
        <v/>
      </c>
      <c r="F404" s="490" t="str">
        <f t="shared" si="36"/>
        <v/>
      </c>
      <c r="G404" s="491"/>
      <c r="H404" s="492" t="str">
        <f>IF(G404="","",INDEX(Lists!$BA$4:$BC$31,MATCH(E404,Lists!$AZ$4:$AZ$31,0),MATCH(G404,Lists!$BA$3:$BC$3,0)))</f>
        <v/>
      </c>
      <c r="I404" s="267"/>
      <c r="J404" s="490" t="str">
        <f t="shared" si="37"/>
        <v/>
      </c>
      <c r="K404" s="493" t="str" cm="1">
        <f t="array" ref="K404">IF(OR($E404="",$D404="",$I404="",$J404=""),"",IF(J404=L404,I404,(INDEX('Emission factors'!$K$3:$V$201,MATCH(E404&amp;F404,'Emission factors'!$J$3:$J$201&amp;'Emission factors'!$K$3:$K$201,0),MATCH(K$6,'Emission factors'!$K$2:$V$2,0)))*I404))</f>
        <v/>
      </c>
      <c r="L404" s="494" t="str">
        <f>IF(OR($E404="",$D404="",$I404="",$J404=""),"",INDEX('Emission factors'!$K$3:$V$201,MATCH('Buildings - Grid Electricity'!$E404,'Emission factors'!$J$3:$J$201,0),MATCH($L$6,'Emission factors'!$K$2:$V$2,0)))</f>
        <v/>
      </c>
      <c r="M404" s="495" t="str" cm="1">
        <f t="array" ref="M404">IF(OR(E404="",I404="",BuildingsElectricityTable[[#This Row],[Units]]=""),"",INDEX('Emission factors'!$K$3:$V$201,MATCH('Buildings - Grid Electricity'!$E404&amp;F404,'Emission factors'!$J$3:$J$201&amp;'Emission factors'!$K$3:$K$201,0),MATCH('Buildings - Grid Electricity'!$M$6,'Emission factors'!$K$2:$V$2,0)))</f>
        <v/>
      </c>
      <c r="N404" s="496" t="str">
        <f>IF(OR(K404="",M404=""),"",SUM(BuildingsElectricityTable[[#This Row],[Direct]:[Indirect WTT]]))</f>
        <v/>
      </c>
      <c r="O404" s="268"/>
      <c r="P404" s="497"/>
      <c r="Q404" s="157" t="str" cm="1">
        <f t="array" ref="Q404">IF(OR($E404="",$I404=""),"",(INDEX('Emission factors'!$K$3:$V$201,MATCH('Buildings - Grid Electricity'!$E404&amp;$F404,'Emission factors'!$J$3:$J$201&amp;'Emission factors'!$K$3:$K$201,0),MATCH('Buildings - Grid Electricity'!Q$6,'Emission factors'!$K$2:$V$2,0)))*$K404)</f>
        <v/>
      </c>
      <c r="R404" s="157" t="str" cm="1">
        <f t="array" ref="R404">IF(OR($E404="",$I404=""),"",(INDEX('Emission factors'!$K$3:$V$201,MATCH('Buildings - Grid Electricity'!$E404&amp;$F404,'Emission factors'!$J$3:$J$201&amp;'Emission factors'!$K$3:$K$201,0),MATCH('Buildings - Grid Electricity'!R$6,'Emission factors'!$K$2:$V$2,0)))*$K404)</f>
        <v/>
      </c>
      <c r="S404" s="157" t="str" cm="1">
        <f t="array" ref="S404">IF(OR($E404="",$I404=""),"",(INDEX('Emission factors'!$K$3:$V$201,MATCH('Buildings - Grid Electricity'!$E404&amp;$F404,'Emission factors'!$J$3:$J$201&amp;'Emission factors'!$K$3:$K$201,0),MATCH('Buildings - Grid Electricity'!S$6,'Emission factors'!$K$2:$V$2,0)))*$K404)</f>
        <v/>
      </c>
      <c r="T404" s="157" t="str" cm="1">
        <f t="array" ref="T404">IF(OR($E404="",$I404=""),"",(INDEX('Emission factors'!$K$3:$V$201,MATCH('Buildings - Grid Electricity'!$E404&amp;$F404,'Emission factors'!$J$3:$J$201&amp;'Emission factors'!$K$3:$K$201,0),MATCH('Buildings - Grid Electricity'!T$6,'Emission factors'!$K$2:$V$2,0)))*$K404)</f>
        <v/>
      </c>
      <c r="U404" s="157" t="str" cm="1">
        <f t="array" ref="U404">IF(OR($E404="",$I404=""),"",(INDEX('Emission factors'!$K$3:$V$201,MATCH('Buildings - Grid Electricity'!$E404&amp;$F404,'Emission factors'!$J$3:$J$201&amp;'Emission factors'!$K$3:$K$201,0),MATCH('Buildings - Grid Electricity'!U$6,'Emission factors'!$K$2:$V$2,0)))*$K404)</f>
        <v/>
      </c>
      <c r="V404" s="269" t="str">
        <f>IF(OR($N404="",BuildingsElectricityTable[[#This Row],[RSD]]=""),"",BuildingsElectricityTable[[#This Row],[Total emissions (kgCO2e)]]*(1+BuildingsElectricityTable[[#This Row],[RSD]]))</f>
        <v/>
      </c>
      <c r="W404" s="270" t="str">
        <f>IF(OR($N404="",BuildingsElectricityTable[[#This Row],[RSD]]=""),"",BuildingsElectricityTable[[#This Row],[Total emissions (kgCO2e)]]*(1-BuildingsElectricityTable[[#This Row],[RSD]]))</f>
        <v/>
      </c>
      <c r="X404" s="271" t="str" cm="1">
        <f t="array" ref="X404">IF(OR($E404="",$I404=""),"",(INDEX('Emission factors'!$K$3:$V$201,MATCH('Buildings - Grid Electricity'!$E404&amp;$F404,'Emission factors'!$J$3:$J$201&amp;'Emission factors'!$K$3:$K$201,0),MATCH('Buildings - Grid Electricity'!X$6,'Emission factors'!$K$2:$V$2,0)))*$K404)</f>
        <v/>
      </c>
      <c r="Y404" s="30"/>
    </row>
    <row r="405" spans="1:27" ht="15" outlineLevel="1" thickBot="1" x14ac:dyDescent="0.4">
      <c r="A405" s="319"/>
      <c r="B405" s="216"/>
      <c r="C405" s="216"/>
      <c r="D405" s="489" t="str">
        <f>IFERROR(INDEX(BuildingInformationTable[Site type],MATCH(BuildingsElectricityTable[[#This Row],[Site name]],BuildingInformationTable[Site name],0)),"")</f>
        <v/>
      </c>
      <c r="E405" s="490" t="str">
        <f t="shared" si="35"/>
        <v/>
      </c>
      <c r="F405" s="490" t="str">
        <f t="shared" si="36"/>
        <v/>
      </c>
      <c r="G405" s="491"/>
      <c r="H405" s="492" t="str">
        <f>IF(G405="","",INDEX(Lists!$BA$4:$BC$31,MATCH(E405,Lists!$AZ$4:$AZ$31,0),MATCH(G405,Lists!$BA$3:$BC$3,0)))</f>
        <v/>
      </c>
      <c r="I405" s="267"/>
      <c r="J405" s="490" t="str">
        <f t="shared" si="37"/>
        <v/>
      </c>
      <c r="K405" s="493" t="str" cm="1">
        <f t="array" ref="K405">IF(OR($E405="",$D405="",$I405="",$J405=""),"",IF(J405=L405,I405,(INDEX('Emission factors'!$K$3:$V$201,MATCH(E405&amp;F405,'Emission factors'!$J$3:$J$201&amp;'Emission factors'!$K$3:$K$201,0),MATCH(K$6,'Emission factors'!$K$2:$V$2,0)))*I405))</f>
        <v/>
      </c>
      <c r="L405" s="494" t="str">
        <f>IF(OR($E405="",$D405="",$I405="",$J405=""),"",INDEX('Emission factors'!$K$3:$V$201,MATCH('Buildings - Grid Electricity'!$E405,'Emission factors'!$J$3:$J$201,0),MATCH($L$6,'Emission factors'!$K$2:$V$2,0)))</f>
        <v/>
      </c>
      <c r="M405" s="495" t="str" cm="1">
        <f t="array" ref="M405">IF(OR(E405="",I405="",BuildingsElectricityTable[[#This Row],[Units]]=""),"",INDEX('Emission factors'!$K$3:$V$201,MATCH('Buildings - Grid Electricity'!$E405&amp;F405,'Emission factors'!$J$3:$J$201&amp;'Emission factors'!$K$3:$K$201,0),MATCH('Buildings - Grid Electricity'!$M$6,'Emission factors'!$K$2:$V$2,0)))</f>
        <v/>
      </c>
      <c r="N405" s="496" t="str">
        <f>IF(OR(K405="",M405=""),"",SUM(BuildingsElectricityTable[[#This Row],[Direct]:[Indirect WTT]]))</f>
        <v/>
      </c>
      <c r="O405" s="268"/>
      <c r="P405" s="497"/>
      <c r="Q405" s="157" t="str" cm="1">
        <f t="array" ref="Q405">IF(OR($E405="",$I405=""),"",(INDEX('Emission factors'!$K$3:$V$201,MATCH('Buildings - Grid Electricity'!$E405&amp;$F405,'Emission factors'!$J$3:$J$201&amp;'Emission factors'!$K$3:$K$201,0),MATCH('Buildings - Grid Electricity'!Q$6,'Emission factors'!$K$2:$V$2,0)))*$K405)</f>
        <v/>
      </c>
      <c r="R405" s="157" t="str" cm="1">
        <f t="array" ref="R405">IF(OR($E405="",$I405=""),"",(INDEX('Emission factors'!$K$3:$V$201,MATCH('Buildings - Grid Electricity'!$E405&amp;$F405,'Emission factors'!$J$3:$J$201&amp;'Emission factors'!$K$3:$K$201,0),MATCH('Buildings - Grid Electricity'!R$6,'Emission factors'!$K$2:$V$2,0)))*$K405)</f>
        <v/>
      </c>
      <c r="S405" s="157" t="str" cm="1">
        <f t="array" ref="S405">IF(OR($E405="",$I405=""),"",(INDEX('Emission factors'!$K$3:$V$201,MATCH('Buildings - Grid Electricity'!$E405&amp;$F405,'Emission factors'!$J$3:$J$201&amp;'Emission factors'!$K$3:$K$201,0),MATCH('Buildings - Grid Electricity'!S$6,'Emission factors'!$K$2:$V$2,0)))*$K405)</f>
        <v/>
      </c>
      <c r="T405" s="157" t="str" cm="1">
        <f t="array" ref="T405">IF(OR($E405="",$I405=""),"",(INDEX('Emission factors'!$K$3:$V$201,MATCH('Buildings - Grid Electricity'!$E405&amp;$F405,'Emission factors'!$J$3:$J$201&amp;'Emission factors'!$K$3:$K$201,0),MATCH('Buildings - Grid Electricity'!T$6,'Emission factors'!$K$2:$V$2,0)))*$K405)</f>
        <v/>
      </c>
      <c r="U405" s="157" t="str" cm="1">
        <f t="array" ref="U405">IF(OR($E405="",$I405=""),"",(INDEX('Emission factors'!$K$3:$V$201,MATCH('Buildings - Grid Electricity'!$E405&amp;$F405,'Emission factors'!$J$3:$J$201&amp;'Emission factors'!$K$3:$K$201,0),MATCH('Buildings - Grid Electricity'!U$6,'Emission factors'!$K$2:$V$2,0)))*$K405)</f>
        <v/>
      </c>
      <c r="V405" s="269" t="str">
        <f>IF(OR($N405="",BuildingsElectricityTable[[#This Row],[RSD]]=""),"",BuildingsElectricityTable[[#This Row],[Total emissions (kgCO2e)]]*(1+BuildingsElectricityTable[[#This Row],[RSD]]))</f>
        <v/>
      </c>
      <c r="W405" s="270" t="str">
        <f>IF(OR($N405="",BuildingsElectricityTable[[#This Row],[RSD]]=""),"",BuildingsElectricityTable[[#This Row],[Total emissions (kgCO2e)]]*(1-BuildingsElectricityTable[[#This Row],[RSD]]))</f>
        <v/>
      </c>
      <c r="X405" s="271" t="str" cm="1">
        <f t="array" ref="X405">IF(OR($E405="",$I405=""),"",(INDEX('Emission factors'!$K$3:$V$201,MATCH('Buildings - Grid Electricity'!$E405&amp;$F405,'Emission factors'!$J$3:$J$201&amp;'Emission factors'!$K$3:$K$201,0),MATCH('Buildings - Grid Electricity'!X$6,'Emission factors'!$K$2:$V$2,0)))*$K405)</f>
        <v/>
      </c>
      <c r="Y405" s="30"/>
    </row>
    <row r="406" spans="1:27" ht="15" outlineLevel="1" thickBot="1" x14ac:dyDescent="0.4">
      <c r="A406" s="319"/>
      <c r="B406" s="216"/>
      <c r="C406" s="216"/>
      <c r="D406" s="489" t="str">
        <f>IFERROR(INDEX(BuildingInformationTable[Site type],MATCH(BuildingsElectricityTable[[#This Row],[Site name]],BuildingInformationTable[Site name],0)),"")</f>
        <v/>
      </c>
      <c r="E406" s="490" t="str">
        <f t="shared" si="35"/>
        <v/>
      </c>
      <c r="F406" s="490" t="str">
        <f t="shared" si="36"/>
        <v/>
      </c>
      <c r="G406" s="491"/>
      <c r="H406" s="492" t="str">
        <f>IF(G406="","",INDEX(Lists!$BA$4:$BC$31,MATCH(E406,Lists!$AZ$4:$AZ$31,0),MATCH(G406,Lists!$BA$3:$BC$3,0)))</f>
        <v/>
      </c>
      <c r="I406" s="267"/>
      <c r="J406" s="490" t="str">
        <f t="shared" si="37"/>
        <v/>
      </c>
      <c r="K406" s="493" t="str" cm="1">
        <f t="array" ref="K406">IF(OR($E406="",$D406="",$I406="",$J406=""),"",IF(J406=L406,I406,(INDEX('Emission factors'!$K$3:$V$201,MATCH(E406&amp;F406,'Emission factors'!$J$3:$J$201&amp;'Emission factors'!$K$3:$K$201,0),MATCH(K$6,'Emission factors'!$K$2:$V$2,0)))*I406))</f>
        <v/>
      </c>
      <c r="L406" s="494" t="str">
        <f>IF(OR($E406="",$D406="",$I406="",$J406=""),"",INDEX('Emission factors'!$K$3:$V$201,MATCH('Buildings - Grid Electricity'!$E406,'Emission factors'!$J$3:$J$201,0),MATCH($L$6,'Emission factors'!$K$2:$V$2,0)))</f>
        <v/>
      </c>
      <c r="M406" s="495" t="str" cm="1">
        <f t="array" ref="M406">IF(OR(E406="",I406="",BuildingsElectricityTable[[#This Row],[Units]]=""),"",INDEX('Emission factors'!$K$3:$V$201,MATCH('Buildings - Grid Electricity'!$E406&amp;F406,'Emission factors'!$J$3:$J$201&amp;'Emission factors'!$K$3:$K$201,0),MATCH('Buildings - Grid Electricity'!$M$6,'Emission factors'!$K$2:$V$2,0)))</f>
        <v/>
      </c>
      <c r="N406" s="496" t="str">
        <f>IF(OR(K406="",M406=""),"",SUM(BuildingsElectricityTable[[#This Row],[Direct]:[Indirect WTT]]))</f>
        <v/>
      </c>
      <c r="O406" s="268"/>
      <c r="P406" s="497"/>
      <c r="Q406" s="157" t="str" cm="1">
        <f t="array" ref="Q406">IF(OR($E406="",$I406=""),"",(INDEX('Emission factors'!$K$3:$V$201,MATCH('Buildings - Grid Electricity'!$E406&amp;$F406,'Emission factors'!$J$3:$J$201&amp;'Emission factors'!$K$3:$K$201,0),MATCH('Buildings - Grid Electricity'!Q$6,'Emission factors'!$K$2:$V$2,0)))*$K406)</f>
        <v/>
      </c>
      <c r="R406" s="157" t="str" cm="1">
        <f t="array" ref="R406">IF(OR($E406="",$I406=""),"",(INDEX('Emission factors'!$K$3:$V$201,MATCH('Buildings - Grid Electricity'!$E406&amp;$F406,'Emission factors'!$J$3:$J$201&amp;'Emission factors'!$K$3:$K$201,0),MATCH('Buildings - Grid Electricity'!R$6,'Emission factors'!$K$2:$V$2,0)))*$K406)</f>
        <v/>
      </c>
      <c r="S406" s="157" t="str" cm="1">
        <f t="array" ref="S406">IF(OR($E406="",$I406=""),"",(INDEX('Emission factors'!$K$3:$V$201,MATCH('Buildings - Grid Electricity'!$E406&amp;$F406,'Emission factors'!$J$3:$J$201&amp;'Emission factors'!$K$3:$K$201,0),MATCH('Buildings - Grid Electricity'!S$6,'Emission factors'!$K$2:$V$2,0)))*$K406)</f>
        <v/>
      </c>
      <c r="T406" s="157" t="str" cm="1">
        <f t="array" ref="T406">IF(OR($E406="",$I406=""),"",(INDEX('Emission factors'!$K$3:$V$201,MATCH('Buildings - Grid Electricity'!$E406&amp;$F406,'Emission factors'!$J$3:$J$201&amp;'Emission factors'!$K$3:$K$201,0),MATCH('Buildings - Grid Electricity'!T$6,'Emission factors'!$K$2:$V$2,0)))*$K406)</f>
        <v/>
      </c>
      <c r="U406" s="157" t="str" cm="1">
        <f t="array" ref="U406">IF(OR($E406="",$I406=""),"",(INDEX('Emission factors'!$K$3:$V$201,MATCH('Buildings - Grid Electricity'!$E406&amp;$F406,'Emission factors'!$J$3:$J$201&amp;'Emission factors'!$K$3:$K$201,0),MATCH('Buildings - Grid Electricity'!U$6,'Emission factors'!$K$2:$V$2,0)))*$K406)</f>
        <v/>
      </c>
      <c r="V406" s="269" t="str">
        <f>IF(OR($N406="",BuildingsElectricityTable[[#This Row],[RSD]]=""),"",BuildingsElectricityTable[[#This Row],[Total emissions (kgCO2e)]]*(1+BuildingsElectricityTable[[#This Row],[RSD]]))</f>
        <v/>
      </c>
      <c r="W406" s="270" t="str">
        <f>IF(OR($N406="",BuildingsElectricityTable[[#This Row],[RSD]]=""),"",BuildingsElectricityTable[[#This Row],[Total emissions (kgCO2e)]]*(1-BuildingsElectricityTable[[#This Row],[RSD]]))</f>
        <v/>
      </c>
      <c r="X406" s="271" t="str" cm="1">
        <f t="array" ref="X406">IF(OR($E406="",$I406=""),"",(INDEX('Emission factors'!$K$3:$V$201,MATCH('Buildings - Grid Electricity'!$E406&amp;$F406,'Emission factors'!$J$3:$J$201&amp;'Emission factors'!$K$3:$K$201,0),MATCH('Buildings - Grid Electricity'!X$6,'Emission factors'!$K$2:$V$2,0)))*$K406)</f>
        <v/>
      </c>
      <c r="Y406" s="30"/>
    </row>
    <row r="407" spans="1:27" ht="15" outlineLevel="1" thickBot="1" x14ac:dyDescent="0.4">
      <c r="A407" s="319"/>
      <c r="B407" s="216"/>
      <c r="C407" s="216"/>
      <c r="D407" s="489" t="str">
        <f>IFERROR(INDEX(BuildingInformationTable[Site type],MATCH(BuildingsElectricityTable[[#This Row],[Site name]],BuildingInformationTable[Site name],0)),"")</f>
        <v/>
      </c>
      <c r="E407" s="490" t="str">
        <f t="shared" si="35"/>
        <v/>
      </c>
      <c r="F407" s="490" t="str">
        <f t="shared" si="36"/>
        <v/>
      </c>
      <c r="G407" s="491"/>
      <c r="H407" s="492" t="str">
        <f>IF(G407="","",INDEX(Lists!$BA$4:$BC$31,MATCH(E407,Lists!$AZ$4:$AZ$31,0),MATCH(G407,Lists!$BA$3:$BC$3,0)))</f>
        <v/>
      </c>
      <c r="I407" s="267"/>
      <c r="J407" s="490" t="str">
        <f t="shared" si="37"/>
        <v/>
      </c>
      <c r="K407" s="493" t="str" cm="1">
        <f t="array" ref="K407">IF(OR($E407="",$D407="",$I407="",$J407=""),"",IF(J407=L407,I407,(INDEX('Emission factors'!$K$3:$V$201,MATCH(E407&amp;F407,'Emission factors'!$J$3:$J$201&amp;'Emission factors'!$K$3:$K$201,0),MATCH(K$6,'Emission factors'!$K$2:$V$2,0)))*I407))</f>
        <v/>
      </c>
      <c r="L407" s="494" t="str">
        <f>IF(OR($E407="",$D407="",$I407="",$J407=""),"",INDEX('Emission factors'!$K$3:$V$201,MATCH('Buildings - Grid Electricity'!$E407,'Emission factors'!$J$3:$J$201,0),MATCH($L$6,'Emission factors'!$K$2:$V$2,0)))</f>
        <v/>
      </c>
      <c r="M407" s="495" t="str" cm="1">
        <f t="array" ref="M407">IF(OR(E407="",I407="",BuildingsElectricityTable[[#This Row],[Units]]=""),"",INDEX('Emission factors'!$K$3:$V$201,MATCH('Buildings - Grid Electricity'!$E407&amp;F407,'Emission factors'!$J$3:$J$201&amp;'Emission factors'!$K$3:$K$201,0),MATCH('Buildings - Grid Electricity'!$M$6,'Emission factors'!$K$2:$V$2,0)))</f>
        <v/>
      </c>
      <c r="N407" s="496" t="str">
        <f>IF(OR(K407="",M407=""),"",SUM(BuildingsElectricityTable[[#This Row],[Direct]:[Indirect WTT]]))</f>
        <v/>
      </c>
      <c r="O407" s="268"/>
      <c r="P407" s="497"/>
      <c r="Q407" s="157" t="str" cm="1">
        <f t="array" ref="Q407">IF(OR($E407="",$I407=""),"",(INDEX('Emission factors'!$K$3:$V$201,MATCH('Buildings - Grid Electricity'!$E407&amp;$F407,'Emission factors'!$J$3:$J$201&amp;'Emission factors'!$K$3:$K$201,0),MATCH('Buildings - Grid Electricity'!Q$6,'Emission factors'!$K$2:$V$2,0)))*$K407)</f>
        <v/>
      </c>
      <c r="R407" s="157" t="str" cm="1">
        <f t="array" ref="R407">IF(OR($E407="",$I407=""),"",(INDEX('Emission factors'!$K$3:$V$201,MATCH('Buildings - Grid Electricity'!$E407&amp;$F407,'Emission factors'!$J$3:$J$201&amp;'Emission factors'!$K$3:$K$201,0),MATCH('Buildings - Grid Electricity'!R$6,'Emission factors'!$K$2:$V$2,0)))*$K407)</f>
        <v/>
      </c>
      <c r="S407" s="157" t="str" cm="1">
        <f t="array" ref="S407">IF(OR($E407="",$I407=""),"",(INDEX('Emission factors'!$K$3:$V$201,MATCH('Buildings - Grid Electricity'!$E407&amp;$F407,'Emission factors'!$J$3:$J$201&amp;'Emission factors'!$K$3:$K$201,0),MATCH('Buildings - Grid Electricity'!S$6,'Emission factors'!$K$2:$V$2,0)))*$K407)</f>
        <v/>
      </c>
      <c r="T407" s="157" t="str" cm="1">
        <f t="array" ref="T407">IF(OR($E407="",$I407=""),"",(INDEX('Emission factors'!$K$3:$V$201,MATCH('Buildings - Grid Electricity'!$E407&amp;$F407,'Emission factors'!$J$3:$J$201&amp;'Emission factors'!$K$3:$K$201,0),MATCH('Buildings - Grid Electricity'!T$6,'Emission factors'!$K$2:$V$2,0)))*$K407)</f>
        <v/>
      </c>
      <c r="U407" s="157" t="str" cm="1">
        <f t="array" ref="U407">IF(OR($E407="",$I407=""),"",(INDEX('Emission factors'!$K$3:$V$201,MATCH('Buildings - Grid Electricity'!$E407&amp;$F407,'Emission factors'!$J$3:$J$201&amp;'Emission factors'!$K$3:$K$201,0),MATCH('Buildings - Grid Electricity'!U$6,'Emission factors'!$K$2:$V$2,0)))*$K407)</f>
        <v/>
      </c>
      <c r="V407" s="269" t="str">
        <f>IF(OR($N407="",BuildingsElectricityTable[[#This Row],[RSD]]=""),"",BuildingsElectricityTable[[#This Row],[Total emissions (kgCO2e)]]*(1+BuildingsElectricityTable[[#This Row],[RSD]]))</f>
        <v/>
      </c>
      <c r="W407" s="270" t="str">
        <f>IF(OR($N407="",BuildingsElectricityTable[[#This Row],[RSD]]=""),"",BuildingsElectricityTable[[#This Row],[Total emissions (kgCO2e)]]*(1-BuildingsElectricityTable[[#This Row],[RSD]]))</f>
        <v/>
      </c>
      <c r="X407" s="271" t="str" cm="1">
        <f t="array" ref="X407">IF(OR($E407="",$I407=""),"",(INDEX('Emission factors'!$K$3:$V$201,MATCH('Buildings - Grid Electricity'!$E407&amp;$F407,'Emission factors'!$J$3:$J$201&amp;'Emission factors'!$K$3:$K$201,0),MATCH('Buildings - Grid Electricity'!X$6,'Emission factors'!$K$2:$V$2,0)))*$K407)</f>
        <v/>
      </c>
      <c r="Y407" s="30"/>
    </row>
    <row r="408" spans="1:27" ht="15" outlineLevel="1" thickBot="1" x14ac:dyDescent="0.4">
      <c r="A408" s="319"/>
      <c r="B408" s="216"/>
      <c r="C408" s="216"/>
      <c r="D408" s="489" t="str">
        <f>IFERROR(INDEX(BuildingInformationTable[Site type],MATCH(BuildingsElectricityTable[[#This Row],[Site name]],BuildingInformationTable[Site name],0)),"")</f>
        <v/>
      </c>
      <c r="E408" s="490" t="str">
        <f t="shared" si="35"/>
        <v/>
      </c>
      <c r="F408" s="490" t="str">
        <f t="shared" si="36"/>
        <v/>
      </c>
      <c r="G408" s="491"/>
      <c r="H408" s="492" t="str">
        <f>IF(G408="","",INDEX(Lists!$BA$4:$BC$31,MATCH(E408,Lists!$AZ$4:$AZ$31,0),MATCH(G408,Lists!$BA$3:$BC$3,0)))</f>
        <v/>
      </c>
      <c r="I408" s="267"/>
      <c r="J408" s="490" t="str">
        <f t="shared" si="37"/>
        <v/>
      </c>
      <c r="K408" s="493" t="str" cm="1">
        <f t="array" ref="K408">IF(OR($E408="",$D408="",$I408="",$J408=""),"",IF(J408=L408,I408,(INDEX('Emission factors'!$K$3:$V$201,MATCH(E408&amp;F408,'Emission factors'!$J$3:$J$201&amp;'Emission factors'!$K$3:$K$201,0),MATCH(K$6,'Emission factors'!$K$2:$V$2,0)))*I408))</f>
        <v/>
      </c>
      <c r="L408" s="494" t="str">
        <f>IF(OR($E408="",$D408="",$I408="",$J408=""),"",INDEX('Emission factors'!$K$3:$V$201,MATCH('Buildings - Grid Electricity'!$E408,'Emission factors'!$J$3:$J$201,0),MATCH($L$6,'Emission factors'!$K$2:$V$2,0)))</f>
        <v/>
      </c>
      <c r="M408" s="495" t="str" cm="1">
        <f t="array" ref="M408">IF(OR(E408="",I408="",BuildingsElectricityTable[[#This Row],[Units]]=""),"",INDEX('Emission factors'!$K$3:$V$201,MATCH('Buildings - Grid Electricity'!$E408&amp;F408,'Emission factors'!$J$3:$J$201&amp;'Emission factors'!$K$3:$K$201,0),MATCH('Buildings - Grid Electricity'!$M$6,'Emission factors'!$K$2:$V$2,0)))</f>
        <v/>
      </c>
      <c r="N408" s="496" t="str">
        <f>IF(OR(K408="",M408=""),"",SUM(BuildingsElectricityTable[[#This Row],[Direct]:[Indirect WTT]]))</f>
        <v/>
      </c>
      <c r="O408" s="268"/>
      <c r="P408" s="497"/>
      <c r="Q408" s="157" t="str" cm="1">
        <f t="array" ref="Q408">IF(OR($E408="",$I408=""),"",(INDEX('Emission factors'!$K$3:$V$201,MATCH('Buildings - Grid Electricity'!$E408&amp;$F408,'Emission factors'!$J$3:$J$201&amp;'Emission factors'!$K$3:$K$201,0),MATCH('Buildings - Grid Electricity'!Q$6,'Emission factors'!$K$2:$V$2,0)))*$K408)</f>
        <v/>
      </c>
      <c r="R408" s="157" t="str" cm="1">
        <f t="array" ref="R408">IF(OR($E408="",$I408=""),"",(INDEX('Emission factors'!$K$3:$V$201,MATCH('Buildings - Grid Electricity'!$E408&amp;$F408,'Emission factors'!$J$3:$J$201&amp;'Emission factors'!$K$3:$K$201,0),MATCH('Buildings - Grid Electricity'!R$6,'Emission factors'!$K$2:$V$2,0)))*$K408)</f>
        <v/>
      </c>
      <c r="S408" s="157" t="str" cm="1">
        <f t="array" ref="S408">IF(OR($E408="",$I408=""),"",(INDEX('Emission factors'!$K$3:$V$201,MATCH('Buildings - Grid Electricity'!$E408&amp;$F408,'Emission factors'!$J$3:$J$201&amp;'Emission factors'!$K$3:$K$201,0),MATCH('Buildings - Grid Electricity'!S$6,'Emission factors'!$K$2:$V$2,0)))*$K408)</f>
        <v/>
      </c>
      <c r="T408" s="157" t="str" cm="1">
        <f t="array" ref="T408">IF(OR($E408="",$I408=""),"",(INDEX('Emission factors'!$K$3:$V$201,MATCH('Buildings - Grid Electricity'!$E408&amp;$F408,'Emission factors'!$J$3:$J$201&amp;'Emission factors'!$K$3:$K$201,0),MATCH('Buildings - Grid Electricity'!T$6,'Emission factors'!$K$2:$V$2,0)))*$K408)</f>
        <v/>
      </c>
      <c r="U408" s="157" t="str" cm="1">
        <f t="array" ref="U408">IF(OR($E408="",$I408=""),"",(INDEX('Emission factors'!$K$3:$V$201,MATCH('Buildings - Grid Electricity'!$E408&amp;$F408,'Emission factors'!$J$3:$J$201&amp;'Emission factors'!$K$3:$K$201,0),MATCH('Buildings - Grid Electricity'!U$6,'Emission factors'!$K$2:$V$2,0)))*$K408)</f>
        <v/>
      </c>
      <c r="V408" s="269" t="str">
        <f>IF(OR($N408="",BuildingsElectricityTable[[#This Row],[RSD]]=""),"",BuildingsElectricityTable[[#This Row],[Total emissions (kgCO2e)]]*(1+BuildingsElectricityTable[[#This Row],[RSD]]))</f>
        <v/>
      </c>
      <c r="W408" s="270" t="str">
        <f>IF(OR($N408="",BuildingsElectricityTable[[#This Row],[RSD]]=""),"",BuildingsElectricityTable[[#This Row],[Total emissions (kgCO2e)]]*(1-BuildingsElectricityTable[[#This Row],[RSD]]))</f>
        <v/>
      </c>
      <c r="X408" s="271" t="str" cm="1">
        <f t="array" ref="X408">IF(OR($E408="",$I408=""),"",(INDEX('Emission factors'!$K$3:$V$201,MATCH('Buildings - Grid Electricity'!$E408&amp;$F408,'Emission factors'!$J$3:$J$201&amp;'Emission factors'!$K$3:$K$201,0),MATCH('Buildings - Grid Electricity'!X$6,'Emission factors'!$K$2:$V$2,0)))*$K408)</f>
        <v/>
      </c>
      <c r="Y408" s="30"/>
    </row>
    <row r="409" spans="1:27" ht="15" outlineLevel="1" thickBot="1" x14ac:dyDescent="0.4">
      <c r="A409" s="319"/>
      <c r="B409" s="216"/>
      <c r="C409" s="216"/>
      <c r="D409" s="489" t="str">
        <f>IFERROR(INDEX(BuildingInformationTable[Site type],MATCH(BuildingsElectricityTable[[#This Row],[Site name]],BuildingInformationTable[Site name],0)),"")</f>
        <v/>
      </c>
      <c r="E409" s="490" t="str">
        <f t="shared" si="35"/>
        <v/>
      </c>
      <c r="F409" s="490" t="str">
        <f t="shared" si="36"/>
        <v/>
      </c>
      <c r="G409" s="491"/>
      <c r="H409" s="492" t="str">
        <f>IF(G409="","",INDEX(Lists!$BA$4:$BC$31,MATCH(E409,Lists!$AZ$4:$AZ$31,0),MATCH(G409,Lists!$BA$3:$BC$3,0)))</f>
        <v/>
      </c>
      <c r="I409" s="267"/>
      <c r="J409" s="490" t="str">
        <f t="shared" si="37"/>
        <v/>
      </c>
      <c r="K409" s="493" t="str" cm="1">
        <f t="array" ref="K409">IF(OR($E409="",$D409="",$I409="",$J409=""),"",IF(J409=L409,I409,(INDEX('Emission factors'!$K$3:$V$201,MATCH(E409&amp;F409,'Emission factors'!$J$3:$J$201&amp;'Emission factors'!$K$3:$K$201,0),MATCH(K$6,'Emission factors'!$K$2:$V$2,0)))*I409))</f>
        <v/>
      </c>
      <c r="L409" s="494" t="str">
        <f>IF(OR($E409="",$D409="",$I409="",$J409=""),"",INDEX('Emission factors'!$K$3:$V$201,MATCH('Buildings - Grid Electricity'!$E409,'Emission factors'!$J$3:$J$201,0),MATCH($L$6,'Emission factors'!$K$2:$V$2,0)))</f>
        <v/>
      </c>
      <c r="M409" s="495" t="str" cm="1">
        <f t="array" ref="M409">IF(OR(E409="",I409="",BuildingsElectricityTable[[#This Row],[Units]]=""),"",INDEX('Emission factors'!$K$3:$V$201,MATCH('Buildings - Grid Electricity'!$E409&amp;F409,'Emission factors'!$J$3:$J$201&amp;'Emission factors'!$K$3:$K$201,0),MATCH('Buildings - Grid Electricity'!$M$6,'Emission factors'!$K$2:$V$2,0)))</f>
        <v/>
      </c>
      <c r="N409" s="496" t="str">
        <f>IF(OR(K409="",M409=""),"",SUM(BuildingsElectricityTable[[#This Row],[Direct]:[Indirect WTT]]))</f>
        <v/>
      </c>
      <c r="O409" s="268"/>
      <c r="P409" s="497"/>
      <c r="Q409" s="157" t="str" cm="1">
        <f t="array" ref="Q409">IF(OR($E409="",$I409=""),"",(INDEX('Emission factors'!$K$3:$V$201,MATCH('Buildings - Grid Electricity'!$E409&amp;$F409,'Emission factors'!$J$3:$J$201&amp;'Emission factors'!$K$3:$K$201,0),MATCH('Buildings - Grid Electricity'!Q$6,'Emission factors'!$K$2:$V$2,0)))*$K409)</f>
        <v/>
      </c>
      <c r="R409" s="157" t="str" cm="1">
        <f t="array" ref="R409">IF(OR($E409="",$I409=""),"",(INDEX('Emission factors'!$K$3:$V$201,MATCH('Buildings - Grid Electricity'!$E409&amp;$F409,'Emission factors'!$J$3:$J$201&amp;'Emission factors'!$K$3:$K$201,0),MATCH('Buildings - Grid Electricity'!R$6,'Emission factors'!$K$2:$V$2,0)))*$K409)</f>
        <v/>
      </c>
      <c r="S409" s="157" t="str" cm="1">
        <f t="array" ref="S409">IF(OR($E409="",$I409=""),"",(INDEX('Emission factors'!$K$3:$V$201,MATCH('Buildings - Grid Electricity'!$E409&amp;$F409,'Emission factors'!$J$3:$J$201&amp;'Emission factors'!$K$3:$K$201,0),MATCH('Buildings - Grid Electricity'!S$6,'Emission factors'!$K$2:$V$2,0)))*$K409)</f>
        <v/>
      </c>
      <c r="T409" s="157" t="str" cm="1">
        <f t="array" ref="T409">IF(OR($E409="",$I409=""),"",(INDEX('Emission factors'!$K$3:$V$201,MATCH('Buildings - Grid Electricity'!$E409&amp;$F409,'Emission factors'!$J$3:$J$201&amp;'Emission factors'!$K$3:$K$201,0),MATCH('Buildings - Grid Electricity'!T$6,'Emission factors'!$K$2:$V$2,0)))*$K409)</f>
        <v/>
      </c>
      <c r="U409" s="157" t="str" cm="1">
        <f t="array" ref="U409">IF(OR($E409="",$I409=""),"",(INDEX('Emission factors'!$K$3:$V$201,MATCH('Buildings - Grid Electricity'!$E409&amp;$F409,'Emission factors'!$J$3:$J$201&amp;'Emission factors'!$K$3:$K$201,0),MATCH('Buildings - Grid Electricity'!U$6,'Emission factors'!$K$2:$V$2,0)))*$K409)</f>
        <v/>
      </c>
      <c r="V409" s="269" t="str">
        <f>IF(OR($N409="",BuildingsElectricityTable[[#This Row],[RSD]]=""),"",BuildingsElectricityTable[[#This Row],[Total emissions (kgCO2e)]]*(1+BuildingsElectricityTable[[#This Row],[RSD]]))</f>
        <v/>
      </c>
      <c r="W409" s="270" t="str">
        <f>IF(OR($N409="",BuildingsElectricityTable[[#This Row],[RSD]]=""),"",BuildingsElectricityTable[[#This Row],[Total emissions (kgCO2e)]]*(1-BuildingsElectricityTable[[#This Row],[RSD]]))</f>
        <v/>
      </c>
      <c r="X409" s="271" t="str" cm="1">
        <f t="array" ref="X409">IF(OR($E409="",$I409=""),"",(INDEX('Emission factors'!$K$3:$V$201,MATCH('Buildings - Grid Electricity'!$E409&amp;$F409,'Emission factors'!$J$3:$J$201&amp;'Emission factors'!$K$3:$K$201,0),MATCH('Buildings - Grid Electricity'!X$6,'Emission factors'!$K$2:$V$2,0)))*$K409)</f>
        <v/>
      </c>
      <c r="Y409" s="30"/>
    </row>
    <row r="410" spans="1:27" ht="15" outlineLevel="1" thickBot="1" x14ac:dyDescent="0.4">
      <c r="A410" s="319"/>
      <c r="B410" s="216"/>
      <c r="C410" s="216"/>
      <c r="D410" s="489" t="str">
        <f>IFERROR(INDEX(BuildingInformationTable[Site type],MATCH(BuildingsElectricityTable[[#This Row],[Site name]],BuildingInformationTable[Site name],0)),"")</f>
        <v/>
      </c>
      <c r="E410" s="490" t="str">
        <f t="shared" si="35"/>
        <v/>
      </c>
      <c r="F410" s="490" t="str">
        <f t="shared" si="36"/>
        <v/>
      </c>
      <c r="G410" s="491"/>
      <c r="H410" s="492" t="str">
        <f>IF(G410="","",INDEX(Lists!$BA$4:$BC$31,MATCH(E410,Lists!$AZ$4:$AZ$31,0),MATCH(G410,Lists!$BA$3:$BC$3,0)))</f>
        <v/>
      </c>
      <c r="I410" s="267"/>
      <c r="J410" s="490" t="str">
        <f t="shared" si="37"/>
        <v/>
      </c>
      <c r="K410" s="493" t="str" cm="1">
        <f t="array" ref="K410">IF(OR($E410="",$D410="",$I410="",$J410=""),"",IF(J410=L410,I410,(INDEX('Emission factors'!$K$3:$V$201,MATCH(E410&amp;F410,'Emission factors'!$J$3:$J$201&amp;'Emission factors'!$K$3:$K$201,0),MATCH(K$6,'Emission factors'!$K$2:$V$2,0)))*I410))</f>
        <v/>
      </c>
      <c r="L410" s="494" t="str">
        <f>IF(OR($E410="",$D410="",$I410="",$J410=""),"",INDEX('Emission factors'!$K$3:$V$201,MATCH('Buildings - Grid Electricity'!$E410,'Emission factors'!$J$3:$J$201,0),MATCH($L$6,'Emission factors'!$K$2:$V$2,0)))</f>
        <v/>
      </c>
      <c r="M410" s="495" t="str" cm="1">
        <f t="array" ref="M410">IF(OR(E410="",I410="",BuildingsElectricityTable[[#This Row],[Units]]=""),"",INDEX('Emission factors'!$K$3:$V$201,MATCH('Buildings - Grid Electricity'!$E410&amp;F410,'Emission factors'!$J$3:$J$201&amp;'Emission factors'!$K$3:$K$201,0),MATCH('Buildings - Grid Electricity'!$M$6,'Emission factors'!$K$2:$V$2,0)))</f>
        <v/>
      </c>
      <c r="N410" s="496" t="str">
        <f>IF(OR(K410="",M410=""),"",SUM(BuildingsElectricityTable[[#This Row],[Direct]:[Indirect WTT]]))</f>
        <v/>
      </c>
      <c r="O410" s="268"/>
      <c r="P410" s="497"/>
      <c r="Q410" s="157" t="str" cm="1">
        <f t="array" ref="Q410">IF(OR($E410="",$I410=""),"",(INDEX('Emission factors'!$K$3:$V$201,MATCH('Buildings - Grid Electricity'!$E410&amp;$F410,'Emission factors'!$J$3:$J$201&amp;'Emission factors'!$K$3:$K$201,0),MATCH('Buildings - Grid Electricity'!Q$6,'Emission factors'!$K$2:$V$2,0)))*$K410)</f>
        <v/>
      </c>
      <c r="R410" s="157" t="str" cm="1">
        <f t="array" ref="R410">IF(OR($E410="",$I410=""),"",(INDEX('Emission factors'!$K$3:$V$201,MATCH('Buildings - Grid Electricity'!$E410&amp;$F410,'Emission factors'!$J$3:$J$201&amp;'Emission factors'!$K$3:$K$201,0),MATCH('Buildings - Grid Electricity'!R$6,'Emission factors'!$K$2:$V$2,0)))*$K410)</f>
        <v/>
      </c>
      <c r="S410" s="157" t="str" cm="1">
        <f t="array" ref="S410">IF(OR($E410="",$I410=""),"",(INDEX('Emission factors'!$K$3:$V$201,MATCH('Buildings - Grid Electricity'!$E410&amp;$F410,'Emission factors'!$J$3:$J$201&amp;'Emission factors'!$K$3:$K$201,0),MATCH('Buildings - Grid Electricity'!S$6,'Emission factors'!$K$2:$V$2,0)))*$K410)</f>
        <v/>
      </c>
      <c r="T410" s="157" t="str" cm="1">
        <f t="array" ref="T410">IF(OR($E410="",$I410=""),"",(INDEX('Emission factors'!$K$3:$V$201,MATCH('Buildings - Grid Electricity'!$E410&amp;$F410,'Emission factors'!$J$3:$J$201&amp;'Emission factors'!$K$3:$K$201,0),MATCH('Buildings - Grid Electricity'!T$6,'Emission factors'!$K$2:$V$2,0)))*$K410)</f>
        <v/>
      </c>
      <c r="U410" s="157" t="str" cm="1">
        <f t="array" ref="U410">IF(OR($E410="",$I410=""),"",(INDEX('Emission factors'!$K$3:$V$201,MATCH('Buildings - Grid Electricity'!$E410&amp;$F410,'Emission factors'!$J$3:$J$201&amp;'Emission factors'!$K$3:$K$201,0),MATCH('Buildings - Grid Electricity'!U$6,'Emission factors'!$K$2:$V$2,0)))*$K410)</f>
        <v/>
      </c>
      <c r="V410" s="269" t="str">
        <f>IF(OR($N410="",BuildingsElectricityTable[[#This Row],[RSD]]=""),"",BuildingsElectricityTable[[#This Row],[Total emissions (kgCO2e)]]*(1+BuildingsElectricityTable[[#This Row],[RSD]]))</f>
        <v/>
      </c>
      <c r="W410" s="270" t="str">
        <f>IF(OR($N410="",BuildingsElectricityTable[[#This Row],[RSD]]=""),"",BuildingsElectricityTable[[#This Row],[Total emissions (kgCO2e)]]*(1-BuildingsElectricityTable[[#This Row],[RSD]]))</f>
        <v/>
      </c>
      <c r="X410" s="271" t="str" cm="1">
        <f t="array" ref="X410">IF(OR($E410="",$I410=""),"",(INDEX('Emission factors'!$K$3:$V$201,MATCH('Buildings - Grid Electricity'!$E410&amp;$F410,'Emission factors'!$J$3:$J$201&amp;'Emission factors'!$K$3:$K$201,0),MATCH('Buildings - Grid Electricity'!X$6,'Emission factors'!$K$2:$V$2,0)))*$K410)</f>
        <v/>
      </c>
      <c r="Y410" s="30"/>
    </row>
    <row r="411" spans="1:27" ht="15" outlineLevel="1" thickBot="1" x14ac:dyDescent="0.4">
      <c r="A411" s="319"/>
      <c r="B411" s="216"/>
      <c r="C411" s="216"/>
      <c r="D411" s="489" t="str">
        <f>IFERROR(INDEX(BuildingInformationTable[Site type],MATCH(BuildingsElectricityTable[[#This Row],[Site name]],BuildingInformationTable[Site name],0)),"")</f>
        <v/>
      </c>
      <c r="E411" s="490" t="str">
        <f t="shared" si="35"/>
        <v/>
      </c>
      <c r="F411" s="490" t="str">
        <f t="shared" si="36"/>
        <v/>
      </c>
      <c r="G411" s="491"/>
      <c r="H411" s="492" t="str">
        <f>IF(G411="","",INDEX(Lists!$BA$4:$BC$31,MATCH(E411,Lists!$AZ$4:$AZ$31,0),MATCH(G411,Lists!$BA$3:$BC$3,0)))</f>
        <v/>
      </c>
      <c r="I411" s="267"/>
      <c r="J411" s="490" t="str">
        <f t="shared" si="37"/>
        <v/>
      </c>
      <c r="K411" s="493" t="str" cm="1">
        <f t="array" ref="K411">IF(OR($E411="",$D411="",$I411="",$J411=""),"",IF(J411=L411,I411,(INDEX('Emission factors'!$K$3:$V$201,MATCH(E411&amp;F411,'Emission factors'!$J$3:$J$201&amp;'Emission factors'!$K$3:$K$201,0),MATCH(K$6,'Emission factors'!$K$2:$V$2,0)))*I411))</f>
        <v/>
      </c>
      <c r="L411" s="494" t="str">
        <f>IF(OR($E411="",$D411="",$I411="",$J411=""),"",INDEX('Emission factors'!$K$3:$V$201,MATCH('Buildings - Grid Electricity'!$E411,'Emission factors'!$J$3:$J$201,0),MATCH($L$6,'Emission factors'!$K$2:$V$2,0)))</f>
        <v/>
      </c>
      <c r="M411" s="495" t="str" cm="1">
        <f t="array" ref="M411">IF(OR(E411="",I411="",BuildingsElectricityTable[[#This Row],[Units]]=""),"",INDEX('Emission factors'!$K$3:$V$201,MATCH('Buildings - Grid Electricity'!$E411&amp;F411,'Emission factors'!$J$3:$J$201&amp;'Emission factors'!$K$3:$K$201,0),MATCH('Buildings - Grid Electricity'!$M$6,'Emission factors'!$K$2:$V$2,0)))</f>
        <v/>
      </c>
      <c r="N411" s="496" t="str">
        <f>IF(OR(K411="",M411=""),"",SUM(BuildingsElectricityTable[[#This Row],[Direct]:[Indirect WTT]]))</f>
        <v/>
      </c>
      <c r="O411" s="268"/>
      <c r="P411" s="497"/>
      <c r="Q411" s="157" t="str" cm="1">
        <f t="array" ref="Q411">IF(OR($E411="",$I411=""),"",(INDEX('Emission factors'!$K$3:$V$201,MATCH('Buildings - Grid Electricity'!$E411&amp;$F411,'Emission factors'!$J$3:$J$201&amp;'Emission factors'!$K$3:$K$201,0),MATCH('Buildings - Grid Electricity'!Q$6,'Emission factors'!$K$2:$V$2,0)))*$K411)</f>
        <v/>
      </c>
      <c r="R411" s="157" t="str" cm="1">
        <f t="array" ref="R411">IF(OR($E411="",$I411=""),"",(INDEX('Emission factors'!$K$3:$V$201,MATCH('Buildings - Grid Electricity'!$E411&amp;$F411,'Emission factors'!$J$3:$J$201&amp;'Emission factors'!$K$3:$K$201,0),MATCH('Buildings - Grid Electricity'!R$6,'Emission factors'!$K$2:$V$2,0)))*$K411)</f>
        <v/>
      </c>
      <c r="S411" s="157" t="str" cm="1">
        <f t="array" ref="S411">IF(OR($E411="",$I411=""),"",(INDEX('Emission factors'!$K$3:$V$201,MATCH('Buildings - Grid Electricity'!$E411&amp;$F411,'Emission factors'!$J$3:$J$201&amp;'Emission factors'!$K$3:$K$201,0),MATCH('Buildings - Grid Electricity'!S$6,'Emission factors'!$K$2:$V$2,0)))*$K411)</f>
        <v/>
      </c>
      <c r="T411" s="157" t="str" cm="1">
        <f t="array" ref="T411">IF(OR($E411="",$I411=""),"",(INDEX('Emission factors'!$K$3:$V$201,MATCH('Buildings - Grid Electricity'!$E411&amp;$F411,'Emission factors'!$J$3:$J$201&amp;'Emission factors'!$K$3:$K$201,0),MATCH('Buildings - Grid Electricity'!T$6,'Emission factors'!$K$2:$V$2,0)))*$K411)</f>
        <v/>
      </c>
      <c r="U411" s="157" t="str" cm="1">
        <f t="array" ref="U411">IF(OR($E411="",$I411=""),"",(INDEX('Emission factors'!$K$3:$V$201,MATCH('Buildings - Grid Electricity'!$E411&amp;$F411,'Emission factors'!$J$3:$J$201&amp;'Emission factors'!$K$3:$K$201,0),MATCH('Buildings - Grid Electricity'!U$6,'Emission factors'!$K$2:$V$2,0)))*$K411)</f>
        <v/>
      </c>
      <c r="V411" s="269" t="str">
        <f>IF(OR($N411="",BuildingsElectricityTable[[#This Row],[RSD]]=""),"",BuildingsElectricityTable[[#This Row],[Total emissions (kgCO2e)]]*(1+BuildingsElectricityTable[[#This Row],[RSD]]))</f>
        <v/>
      </c>
      <c r="W411" s="270" t="str">
        <f>IF(OR($N411="",BuildingsElectricityTable[[#This Row],[RSD]]=""),"",BuildingsElectricityTable[[#This Row],[Total emissions (kgCO2e)]]*(1-BuildingsElectricityTable[[#This Row],[RSD]]))</f>
        <v/>
      </c>
      <c r="X411" s="271" t="str" cm="1">
        <f t="array" ref="X411">IF(OR($E411="",$I411=""),"",(INDEX('Emission factors'!$K$3:$V$201,MATCH('Buildings - Grid Electricity'!$E411&amp;$F411,'Emission factors'!$J$3:$J$201&amp;'Emission factors'!$K$3:$K$201,0),MATCH('Buildings - Grid Electricity'!X$6,'Emission factors'!$K$2:$V$2,0)))*$K411)</f>
        <v/>
      </c>
      <c r="Y411" s="30"/>
    </row>
    <row r="412" spans="1:27" ht="15" outlineLevel="1" thickBot="1" x14ac:dyDescent="0.4">
      <c r="A412" s="319"/>
      <c r="B412" s="216"/>
      <c r="C412" s="216"/>
      <c r="D412" s="489" t="str">
        <f>IFERROR(INDEX(BuildingInformationTable[Site type],MATCH(BuildingsElectricityTable[[#This Row],[Site name]],BuildingInformationTable[Site name],0)),"")</f>
        <v/>
      </c>
      <c r="E412" s="490" t="str">
        <f t="shared" si="35"/>
        <v/>
      </c>
      <c r="F412" s="490" t="str">
        <f t="shared" si="36"/>
        <v/>
      </c>
      <c r="G412" s="491"/>
      <c r="H412" s="492" t="str">
        <f>IF(G412="","",INDEX(Lists!$BA$4:$BC$31,MATCH(E412,Lists!$AZ$4:$AZ$31,0),MATCH(G412,Lists!$BA$3:$BC$3,0)))</f>
        <v/>
      </c>
      <c r="I412" s="267"/>
      <c r="J412" s="490" t="str">
        <f t="shared" si="37"/>
        <v/>
      </c>
      <c r="K412" s="493" t="str" cm="1">
        <f t="array" ref="K412">IF(OR($E412="",$D412="",$I412="",$J412=""),"",IF(J412=L412,I412,(INDEX('Emission factors'!$K$3:$V$201,MATCH(E412&amp;F412,'Emission factors'!$J$3:$J$201&amp;'Emission factors'!$K$3:$K$201,0),MATCH(K$6,'Emission factors'!$K$2:$V$2,0)))*I412))</f>
        <v/>
      </c>
      <c r="L412" s="494" t="str">
        <f>IF(OR($E412="",$D412="",$I412="",$J412=""),"",INDEX('Emission factors'!$K$3:$V$201,MATCH('Buildings - Grid Electricity'!$E412,'Emission factors'!$J$3:$J$201,0),MATCH($L$6,'Emission factors'!$K$2:$V$2,0)))</f>
        <v/>
      </c>
      <c r="M412" s="495" t="str" cm="1">
        <f t="array" ref="M412">IF(OR(E412="",I412="",BuildingsElectricityTable[[#This Row],[Units]]=""),"",INDEX('Emission factors'!$K$3:$V$201,MATCH('Buildings - Grid Electricity'!$E412&amp;F412,'Emission factors'!$J$3:$J$201&amp;'Emission factors'!$K$3:$K$201,0),MATCH('Buildings - Grid Electricity'!$M$6,'Emission factors'!$K$2:$V$2,0)))</f>
        <v/>
      </c>
      <c r="N412" s="496" t="str">
        <f>IF(OR(K412="",M412=""),"",SUM(BuildingsElectricityTable[[#This Row],[Direct]:[Indirect WTT]]))</f>
        <v/>
      </c>
      <c r="O412" s="268"/>
      <c r="P412" s="497"/>
      <c r="Q412" s="157" t="str" cm="1">
        <f t="array" ref="Q412">IF(OR($E412="",$I412=""),"",(INDEX('Emission factors'!$K$3:$V$201,MATCH('Buildings - Grid Electricity'!$E412&amp;$F412,'Emission factors'!$J$3:$J$201&amp;'Emission factors'!$K$3:$K$201,0),MATCH('Buildings - Grid Electricity'!Q$6,'Emission factors'!$K$2:$V$2,0)))*$K412)</f>
        <v/>
      </c>
      <c r="R412" s="157" t="str" cm="1">
        <f t="array" ref="R412">IF(OR($E412="",$I412=""),"",(INDEX('Emission factors'!$K$3:$V$201,MATCH('Buildings - Grid Electricity'!$E412&amp;$F412,'Emission factors'!$J$3:$J$201&amp;'Emission factors'!$K$3:$K$201,0),MATCH('Buildings - Grid Electricity'!R$6,'Emission factors'!$K$2:$V$2,0)))*$K412)</f>
        <v/>
      </c>
      <c r="S412" s="157" t="str" cm="1">
        <f t="array" ref="S412">IF(OR($E412="",$I412=""),"",(INDEX('Emission factors'!$K$3:$V$201,MATCH('Buildings - Grid Electricity'!$E412&amp;$F412,'Emission factors'!$J$3:$J$201&amp;'Emission factors'!$K$3:$K$201,0),MATCH('Buildings - Grid Electricity'!S$6,'Emission factors'!$K$2:$V$2,0)))*$K412)</f>
        <v/>
      </c>
      <c r="T412" s="157" t="str" cm="1">
        <f t="array" ref="T412">IF(OR($E412="",$I412=""),"",(INDEX('Emission factors'!$K$3:$V$201,MATCH('Buildings - Grid Electricity'!$E412&amp;$F412,'Emission factors'!$J$3:$J$201&amp;'Emission factors'!$K$3:$K$201,0),MATCH('Buildings - Grid Electricity'!T$6,'Emission factors'!$K$2:$V$2,0)))*$K412)</f>
        <v/>
      </c>
      <c r="U412" s="157" t="str" cm="1">
        <f t="array" ref="U412">IF(OR($E412="",$I412=""),"",(INDEX('Emission factors'!$K$3:$V$201,MATCH('Buildings - Grid Electricity'!$E412&amp;$F412,'Emission factors'!$J$3:$J$201&amp;'Emission factors'!$K$3:$K$201,0),MATCH('Buildings - Grid Electricity'!U$6,'Emission factors'!$K$2:$V$2,0)))*$K412)</f>
        <v/>
      </c>
      <c r="V412" s="269" t="str">
        <f>IF(OR($N412="",BuildingsElectricityTable[[#This Row],[RSD]]=""),"",BuildingsElectricityTable[[#This Row],[Total emissions (kgCO2e)]]*(1+BuildingsElectricityTable[[#This Row],[RSD]]))</f>
        <v/>
      </c>
      <c r="W412" s="270" t="str">
        <f>IF(OR($N412="",BuildingsElectricityTable[[#This Row],[RSD]]=""),"",BuildingsElectricityTable[[#This Row],[Total emissions (kgCO2e)]]*(1-BuildingsElectricityTable[[#This Row],[RSD]]))</f>
        <v/>
      </c>
      <c r="X412" s="271" t="str" cm="1">
        <f t="array" ref="X412">IF(OR($E412="",$I412=""),"",(INDEX('Emission factors'!$K$3:$V$201,MATCH('Buildings - Grid Electricity'!$E412&amp;$F412,'Emission factors'!$J$3:$J$201&amp;'Emission factors'!$K$3:$K$201,0),MATCH('Buildings - Grid Electricity'!X$6,'Emission factors'!$K$2:$V$2,0)))*$K412)</f>
        <v/>
      </c>
      <c r="Y412" s="30"/>
    </row>
    <row r="413" spans="1:27" ht="15" outlineLevel="1" thickBot="1" x14ac:dyDescent="0.4">
      <c r="A413" s="319"/>
      <c r="B413" s="216"/>
      <c r="C413" s="216"/>
      <c r="D413" s="489" t="str">
        <f>IFERROR(INDEX(BuildingInformationTable[Site type],MATCH(BuildingsElectricityTable[[#This Row],[Site name]],BuildingInformationTable[Site name],0)),"")</f>
        <v/>
      </c>
      <c r="E413" s="490" t="str">
        <f t="shared" si="35"/>
        <v/>
      </c>
      <c r="F413" s="490" t="str">
        <f t="shared" si="36"/>
        <v/>
      </c>
      <c r="G413" s="491"/>
      <c r="H413" s="492" t="str">
        <f>IF(G413="","",INDEX(Lists!$BA$4:$BC$31,MATCH(E413,Lists!$AZ$4:$AZ$31,0),MATCH(G413,Lists!$BA$3:$BC$3,0)))</f>
        <v/>
      </c>
      <c r="I413" s="267"/>
      <c r="J413" s="490" t="str">
        <f t="shared" si="37"/>
        <v/>
      </c>
      <c r="K413" s="493" t="str" cm="1">
        <f t="array" ref="K413">IF(OR($E413="",$D413="",$I413="",$J413=""),"",IF(J413=L413,I413,(INDEX('Emission factors'!$K$3:$V$201,MATCH(E413&amp;F413,'Emission factors'!$J$3:$J$201&amp;'Emission factors'!$K$3:$K$201,0),MATCH(K$6,'Emission factors'!$K$2:$V$2,0)))*I413))</f>
        <v/>
      </c>
      <c r="L413" s="494" t="str">
        <f>IF(OR($E413="",$D413="",$I413="",$J413=""),"",INDEX('Emission factors'!$K$3:$V$201,MATCH('Buildings - Grid Electricity'!$E413,'Emission factors'!$J$3:$J$201,0),MATCH($L$6,'Emission factors'!$K$2:$V$2,0)))</f>
        <v/>
      </c>
      <c r="M413" s="495" t="str" cm="1">
        <f t="array" ref="M413">IF(OR(E413="",I413="",BuildingsElectricityTable[[#This Row],[Units]]=""),"",INDEX('Emission factors'!$K$3:$V$201,MATCH('Buildings - Grid Electricity'!$E413&amp;F413,'Emission factors'!$J$3:$J$201&amp;'Emission factors'!$K$3:$K$201,0),MATCH('Buildings - Grid Electricity'!$M$6,'Emission factors'!$K$2:$V$2,0)))</f>
        <v/>
      </c>
      <c r="N413" s="496" t="str">
        <f>IF(OR(K413="",M413=""),"",SUM(BuildingsElectricityTable[[#This Row],[Direct]:[Indirect WTT]]))</f>
        <v/>
      </c>
      <c r="O413" s="268"/>
      <c r="P413" s="497"/>
      <c r="Q413" s="157" t="str" cm="1">
        <f t="array" ref="Q413">IF(OR($E413="",$I413=""),"",(INDEX('Emission factors'!$K$3:$V$201,MATCH('Buildings - Grid Electricity'!$E413&amp;$F413,'Emission factors'!$J$3:$J$201&amp;'Emission factors'!$K$3:$K$201,0),MATCH('Buildings - Grid Electricity'!Q$6,'Emission factors'!$K$2:$V$2,0)))*$K413)</f>
        <v/>
      </c>
      <c r="R413" s="157" t="str" cm="1">
        <f t="array" ref="R413">IF(OR($E413="",$I413=""),"",(INDEX('Emission factors'!$K$3:$V$201,MATCH('Buildings - Grid Electricity'!$E413&amp;$F413,'Emission factors'!$J$3:$J$201&amp;'Emission factors'!$K$3:$K$201,0),MATCH('Buildings - Grid Electricity'!R$6,'Emission factors'!$K$2:$V$2,0)))*$K413)</f>
        <v/>
      </c>
      <c r="S413" s="157" t="str" cm="1">
        <f t="array" ref="S413">IF(OR($E413="",$I413=""),"",(INDEX('Emission factors'!$K$3:$V$201,MATCH('Buildings - Grid Electricity'!$E413&amp;$F413,'Emission factors'!$J$3:$J$201&amp;'Emission factors'!$K$3:$K$201,0),MATCH('Buildings - Grid Electricity'!S$6,'Emission factors'!$K$2:$V$2,0)))*$K413)</f>
        <v/>
      </c>
      <c r="T413" s="157" t="str" cm="1">
        <f t="array" ref="T413">IF(OR($E413="",$I413=""),"",(INDEX('Emission factors'!$K$3:$V$201,MATCH('Buildings - Grid Electricity'!$E413&amp;$F413,'Emission factors'!$J$3:$J$201&amp;'Emission factors'!$K$3:$K$201,0),MATCH('Buildings - Grid Electricity'!T$6,'Emission factors'!$K$2:$V$2,0)))*$K413)</f>
        <v/>
      </c>
      <c r="U413" s="157" t="str" cm="1">
        <f t="array" ref="U413">IF(OR($E413="",$I413=""),"",(INDEX('Emission factors'!$K$3:$V$201,MATCH('Buildings - Grid Electricity'!$E413&amp;$F413,'Emission factors'!$J$3:$J$201&amp;'Emission factors'!$K$3:$K$201,0),MATCH('Buildings - Grid Electricity'!U$6,'Emission factors'!$K$2:$V$2,0)))*$K413)</f>
        <v/>
      </c>
      <c r="V413" s="269" t="str">
        <f>IF(OR($N413="",BuildingsElectricityTable[[#This Row],[RSD]]=""),"",BuildingsElectricityTable[[#This Row],[Total emissions (kgCO2e)]]*(1+BuildingsElectricityTable[[#This Row],[RSD]]))</f>
        <v/>
      </c>
      <c r="W413" s="270" t="str">
        <f>IF(OR($N413="",BuildingsElectricityTable[[#This Row],[RSD]]=""),"",BuildingsElectricityTable[[#This Row],[Total emissions (kgCO2e)]]*(1-BuildingsElectricityTable[[#This Row],[RSD]]))</f>
        <v/>
      </c>
      <c r="X413" s="271" t="str" cm="1">
        <f t="array" ref="X413">IF(OR($E413="",$I413=""),"",(INDEX('Emission factors'!$K$3:$V$201,MATCH('Buildings - Grid Electricity'!$E413&amp;$F413,'Emission factors'!$J$3:$J$201&amp;'Emission factors'!$K$3:$K$201,0),MATCH('Buildings - Grid Electricity'!X$6,'Emission factors'!$K$2:$V$2,0)))*$K413)</f>
        <v/>
      </c>
      <c r="Y413" s="30"/>
    </row>
    <row r="414" spans="1:27" ht="15" outlineLevel="1" thickBot="1" x14ac:dyDescent="0.4">
      <c r="A414" s="319"/>
      <c r="B414" s="216"/>
      <c r="C414" s="216"/>
      <c r="D414" s="489" t="str">
        <f>IFERROR(INDEX(BuildingInformationTable[Site type],MATCH(BuildingsElectricityTable[[#This Row],[Site name]],BuildingInformationTable[Site name],0)),"")</f>
        <v/>
      </c>
      <c r="E414" s="490" t="str">
        <f t="shared" si="35"/>
        <v/>
      </c>
      <c r="F414" s="490" t="str">
        <f t="shared" si="36"/>
        <v/>
      </c>
      <c r="G414" s="491"/>
      <c r="H414" s="492" t="str">
        <f>IF(G414="","",INDEX(Lists!$BA$4:$BC$31,MATCH(E414,Lists!$AZ$4:$AZ$31,0),MATCH(G414,Lists!$BA$3:$BC$3,0)))</f>
        <v/>
      </c>
      <c r="I414" s="267"/>
      <c r="J414" s="490" t="str">
        <f t="shared" si="37"/>
        <v/>
      </c>
      <c r="K414" s="493" t="str" cm="1">
        <f t="array" ref="K414">IF(OR($E414="",$D414="",$I414="",$J414=""),"",IF(J414=L414,I414,(INDEX('Emission factors'!$K$3:$V$201,MATCH(E414&amp;F414,'Emission factors'!$J$3:$J$201&amp;'Emission factors'!$K$3:$K$201,0),MATCH(K$6,'Emission factors'!$K$2:$V$2,0)))*I414))</f>
        <v/>
      </c>
      <c r="L414" s="494" t="str">
        <f>IF(OR($E414="",$D414="",$I414="",$J414=""),"",INDEX('Emission factors'!$K$3:$V$201,MATCH('Buildings - Grid Electricity'!$E414,'Emission factors'!$J$3:$J$201,0),MATCH($L$6,'Emission factors'!$K$2:$V$2,0)))</f>
        <v/>
      </c>
      <c r="M414" s="495" t="str" cm="1">
        <f t="array" ref="M414">IF(OR(E414="",I414="",BuildingsElectricityTable[[#This Row],[Units]]=""),"",INDEX('Emission factors'!$K$3:$V$201,MATCH('Buildings - Grid Electricity'!$E414&amp;F414,'Emission factors'!$J$3:$J$201&amp;'Emission factors'!$K$3:$K$201,0),MATCH('Buildings - Grid Electricity'!$M$6,'Emission factors'!$K$2:$V$2,0)))</f>
        <v/>
      </c>
      <c r="N414" s="496" t="str">
        <f>IF(OR(K414="",M414=""),"",SUM(BuildingsElectricityTable[[#This Row],[Direct]:[Indirect WTT]]))</f>
        <v/>
      </c>
      <c r="O414" s="268"/>
      <c r="P414" s="497"/>
      <c r="Q414" s="157" t="str" cm="1">
        <f t="array" ref="Q414">IF(OR($E414="",$I414=""),"",(INDEX('Emission factors'!$K$3:$V$201,MATCH('Buildings - Grid Electricity'!$E414&amp;$F414,'Emission factors'!$J$3:$J$201&amp;'Emission factors'!$K$3:$K$201,0),MATCH('Buildings - Grid Electricity'!Q$6,'Emission factors'!$K$2:$V$2,0)))*$K414)</f>
        <v/>
      </c>
      <c r="R414" s="157" t="str" cm="1">
        <f t="array" ref="R414">IF(OR($E414="",$I414=""),"",(INDEX('Emission factors'!$K$3:$V$201,MATCH('Buildings - Grid Electricity'!$E414&amp;$F414,'Emission factors'!$J$3:$J$201&amp;'Emission factors'!$K$3:$K$201,0),MATCH('Buildings - Grid Electricity'!R$6,'Emission factors'!$K$2:$V$2,0)))*$K414)</f>
        <v/>
      </c>
      <c r="S414" s="157" t="str" cm="1">
        <f t="array" ref="S414">IF(OR($E414="",$I414=""),"",(INDEX('Emission factors'!$K$3:$V$201,MATCH('Buildings - Grid Electricity'!$E414&amp;$F414,'Emission factors'!$J$3:$J$201&amp;'Emission factors'!$K$3:$K$201,0),MATCH('Buildings - Grid Electricity'!S$6,'Emission factors'!$K$2:$V$2,0)))*$K414)</f>
        <v/>
      </c>
      <c r="T414" s="157" t="str" cm="1">
        <f t="array" ref="T414">IF(OR($E414="",$I414=""),"",(INDEX('Emission factors'!$K$3:$V$201,MATCH('Buildings - Grid Electricity'!$E414&amp;$F414,'Emission factors'!$J$3:$J$201&amp;'Emission factors'!$K$3:$K$201,0),MATCH('Buildings - Grid Electricity'!T$6,'Emission factors'!$K$2:$V$2,0)))*$K414)</f>
        <v/>
      </c>
      <c r="U414" s="157" t="str" cm="1">
        <f t="array" ref="U414">IF(OR($E414="",$I414=""),"",(INDEX('Emission factors'!$K$3:$V$201,MATCH('Buildings - Grid Electricity'!$E414&amp;$F414,'Emission factors'!$J$3:$J$201&amp;'Emission factors'!$K$3:$K$201,0),MATCH('Buildings - Grid Electricity'!U$6,'Emission factors'!$K$2:$V$2,0)))*$K414)</f>
        <v/>
      </c>
      <c r="V414" s="269" t="str">
        <f>IF(OR($N414="",BuildingsElectricityTable[[#This Row],[RSD]]=""),"",BuildingsElectricityTable[[#This Row],[Total emissions (kgCO2e)]]*(1+BuildingsElectricityTable[[#This Row],[RSD]]))</f>
        <v/>
      </c>
      <c r="W414" s="270" t="str">
        <f>IF(OR($N414="",BuildingsElectricityTable[[#This Row],[RSD]]=""),"",BuildingsElectricityTable[[#This Row],[Total emissions (kgCO2e)]]*(1-BuildingsElectricityTable[[#This Row],[RSD]]))</f>
        <v/>
      </c>
      <c r="X414" s="271" t="str" cm="1">
        <f t="array" ref="X414">IF(OR($E414="",$I414=""),"",(INDEX('Emission factors'!$K$3:$V$201,MATCH('Buildings - Grid Electricity'!$E414&amp;$F414,'Emission factors'!$J$3:$J$201&amp;'Emission factors'!$K$3:$K$201,0),MATCH('Buildings - Grid Electricity'!X$6,'Emission factors'!$K$2:$V$2,0)))*$K414)</f>
        <v/>
      </c>
      <c r="Y414" s="30"/>
    </row>
    <row r="415" spans="1:27" ht="15" outlineLevel="1" thickBot="1" x14ac:dyDescent="0.4">
      <c r="A415" s="319"/>
      <c r="B415" s="216"/>
      <c r="C415" s="216"/>
      <c r="D415" s="489" t="str">
        <f>IFERROR(INDEX(BuildingInformationTable[Site type],MATCH(BuildingsElectricityTable[[#This Row],[Site name]],BuildingInformationTable[Site name],0)),"")</f>
        <v/>
      </c>
      <c r="E415" s="490" t="str">
        <f t="shared" si="35"/>
        <v/>
      </c>
      <c r="F415" s="490" t="str">
        <f t="shared" si="36"/>
        <v/>
      </c>
      <c r="G415" s="491"/>
      <c r="H415" s="492" t="str">
        <f>IF(G415="","",INDEX(Lists!$BA$4:$BC$31,MATCH(E415,Lists!$AZ$4:$AZ$31,0),MATCH(G415,Lists!$BA$3:$BC$3,0)))</f>
        <v/>
      </c>
      <c r="I415" s="267"/>
      <c r="J415" s="490" t="str">
        <f t="shared" si="37"/>
        <v/>
      </c>
      <c r="K415" s="493" t="str" cm="1">
        <f t="array" ref="K415">IF(OR($E415="",$D415="",$I415="",$J415=""),"",IF(J415=L415,I415,(INDEX('Emission factors'!$K$3:$V$201,MATCH(E415&amp;F415,'Emission factors'!$J$3:$J$201&amp;'Emission factors'!$K$3:$K$201,0),MATCH(K$6,'Emission factors'!$K$2:$V$2,0)))*I415))</f>
        <v/>
      </c>
      <c r="L415" s="494" t="str">
        <f>IF(OR($E415="",$D415="",$I415="",$J415=""),"",INDEX('Emission factors'!$K$3:$V$201,MATCH('Buildings - Grid Electricity'!$E415,'Emission factors'!$J$3:$J$201,0),MATCH($L$6,'Emission factors'!$K$2:$V$2,0)))</f>
        <v/>
      </c>
      <c r="M415" s="495" t="str" cm="1">
        <f t="array" ref="M415">IF(OR(E415="",I415="",BuildingsElectricityTable[[#This Row],[Units]]=""),"",INDEX('Emission factors'!$K$3:$V$201,MATCH('Buildings - Grid Electricity'!$E415&amp;F415,'Emission factors'!$J$3:$J$201&amp;'Emission factors'!$K$3:$K$201,0),MATCH('Buildings - Grid Electricity'!$M$6,'Emission factors'!$K$2:$V$2,0)))</f>
        <v/>
      </c>
      <c r="N415" s="496" t="str">
        <f>IF(OR(K415="",M415=""),"",SUM(BuildingsElectricityTable[[#This Row],[Direct]:[Indirect WTT]]))</f>
        <v/>
      </c>
      <c r="O415" s="268"/>
      <c r="P415" s="497"/>
      <c r="Q415" s="157" t="str" cm="1">
        <f t="array" ref="Q415">IF(OR($E415="",$I415=""),"",(INDEX('Emission factors'!$K$3:$V$201,MATCH('Buildings - Grid Electricity'!$E415&amp;$F415,'Emission factors'!$J$3:$J$201&amp;'Emission factors'!$K$3:$K$201,0),MATCH('Buildings - Grid Electricity'!Q$6,'Emission factors'!$K$2:$V$2,0)))*$K415)</f>
        <v/>
      </c>
      <c r="R415" s="157" t="str" cm="1">
        <f t="array" ref="R415">IF(OR($E415="",$I415=""),"",(INDEX('Emission factors'!$K$3:$V$201,MATCH('Buildings - Grid Electricity'!$E415&amp;$F415,'Emission factors'!$J$3:$J$201&amp;'Emission factors'!$K$3:$K$201,0),MATCH('Buildings - Grid Electricity'!R$6,'Emission factors'!$K$2:$V$2,0)))*$K415)</f>
        <v/>
      </c>
      <c r="S415" s="157" t="str" cm="1">
        <f t="array" ref="S415">IF(OR($E415="",$I415=""),"",(INDEX('Emission factors'!$K$3:$V$201,MATCH('Buildings - Grid Electricity'!$E415&amp;$F415,'Emission factors'!$J$3:$J$201&amp;'Emission factors'!$K$3:$K$201,0),MATCH('Buildings - Grid Electricity'!S$6,'Emission factors'!$K$2:$V$2,0)))*$K415)</f>
        <v/>
      </c>
      <c r="T415" s="157" t="str" cm="1">
        <f t="array" ref="T415">IF(OR($E415="",$I415=""),"",(INDEX('Emission factors'!$K$3:$V$201,MATCH('Buildings - Grid Electricity'!$E415&amp;$F415,'Emission factors'!$J$3:$J$201&amp;'Emission factors'!$K$3:$K$201,0),MATCH('Buildings - Grid Electricity'!T$6,'Emission factors'!$K$2:$V$2,0)))*$K415)</f>
        <v/>
      </c>
      <c r="U415" s="157" t="str" cm="1">
        <f t="array" ref="U415">IF(OR($E415="",$I415=""),"",(INDEX('Emission factors'!$K$3:$V$201,MATCH('Buildings - Grid Electricity'!$E415&amp;$F415,'Emission factors'!$J$3:$J$201&amp;'Emission factors'!$K$3:$K$201,0),MATCH('Buildings - Grid Electricity'!U$6,'Emission factors'!$K$2:$V$2,0)))*$K415)</f>
        <v/>
      </c>
      <c r="V415" s="269" t="str">
        <f>IF(OR($N415="",BuildingsElectricityTable[[#This Row],[RSD]]=""),"",BuildingsElectricityTable[[#This Row],[Total emissions (kgCO2e)]]*(1+BuildingsElectricityTable[[#This Row],[RSD]]))</f>
        <v/>
      </c>
      <c r="W415" s="270" t="str">
        <f>IF(OR($N415="",BuildingsElectricityTable[[#This Row],[RSD]]=""),"",BuildingsElectricityTable[[#This Row],[Total emissions (kgCO2e)]]*(1-BuildingsElectricityTable[[#This Row],[RSD]]))</f>
        <v/>
      </c>
      <c r="X415" s="271" t="str" cm="1">
        <f t="array" ref="X415">IF(OR($E415="",$I415=""),"",(INDEX('Emission factors'!$K$3:$V$201,MATCH('Buildings - Grid Electricity'!$E415&amp;$F415,'Emission factors'!$J$3:$J$201&amp;'Emission factors'!$K$3:$K$201,0),MATCH('Buildings - Grid Electricity'!X$6,'Emission factors'!$K$2:$V$2,0)))*$K415)</f>
        <v/>
      </c>
      <c r="Y415" s="30"/>
    </row>
    <row r="416" spans="1:27" ht="15" outlineLevel="1" thickBot="1" x14ac:dyDescent="0.4">
      <c r="A416" s="319"/>
      <c r="B416" s="216"/>
      <c r="C416" s="216"/>
      <c r="D416" s="489" t="str">
        <f>IFERROR(INDEX(BuildingInformationTable[Site type],MATCH(BuildingsElectricityTable[[#This Row],[Site name]],BuildingInformationTable[Site name],0)),"")</f>
        <v/>
      </c>
      <c r="E416" s="490" t="str">
        <f t="shared" si="35"/>
        <v/>
      </c>
      <c r="F416" s="490" t="str">
        <f t="shared" si="36"/>
        <v/>
      </c>
      <c r="G416" s="491"/>
      <c r="H416" s="492" t="str">
        <f>IF(G416="","",INDEX(Lists!$BA$4:$BC$31,MATCH(E416,Lists!$AZ$4:$AZ$31,0),MATCH(G416,Lists!$BA$3:$BC$3,0)))</f>
        <v/>
      </c>
      <c r="I416" s="267"/>
      <c r="J416" s="490" t="str">
        <f t="shared" si="37"/>
        <v/>
      </c>
      <c r="K416" s="493" t="str" cm="1">
        <f t="array" ref="K416">IF(OR($E416="",$D416="",$I416="",$J416=""),"",IF(J416=L416,I416,(INDEX('Emission factors'!$K$3:$V$201,MATCH(E416&amp;F416,'Emission factors'!$J$3:$J$201&amp;'Emission factors'!$K$3:$K$201,0),MATCH(K$6,'Emission factors'!$K$2:$V$2,0)))*I416))</f>
        <v/>
      </c>
      <c r="L416" s="494" t="str">
        <f>IF(OR($E416="",$D416="",$I416="",$J416=""),"",INDEX('Emission factors'!$K$3:$V$201,MATCH('Buildings - Grid Electricity'!$E416,'Emission factors'!$J$3:$J$201,0),MATCH($L$6,'Emission factors'!$K$2:$V$2,0)))</f>
        <v/>
      </c>
      <c r="M416" s="495" t="str" cm="1">
        <f t="array" ref="M416">IF(OR(E416="",I416="",BuildingsElectricityTable[[#This Row],[Units]]=""),"",INDEX('Emission factors'!$K$3:$V$201,MATCH('Buildings - Grid Electricity'!$E416&amp;F416,'Emission factors'!$J$3:$J$201&amp;'Emission factors'!$K$3:$K$201,0),MATCH('Buildings - Grid Electricity'!$M$6,'Emission factors'!$K$2:$V$2,0)))</f>
        <v/>
      </c>
      <c r="N416" s="496" t="str">
        <f>IF(OR(K416="",M416=""),"",SUM(BuildingsElectricityTable[[#This Row],[Direct]:[Indirect WTT]]))</f>
        <v/>
      </c>
      <c r="O416" s="268"/>
      <c r="P416" s="497"/>
      <c r="Q416" s="157" t="str" cm="1">
        <f t="array" ref="Q416">IF(OR($E416="",$I416=""),"",(INDEX('Emission factors'!$K$3:$V$201,MATCH('Buildings - Grid Electricity'!$E416&amp;$F416,'Emission factors'!$J$3:$J$201&amp;'Emission factors'!$K$3:$K$201,0),MATCH('Buildings - Grid Electricity'!Q$6,'Emission factors'!$K$2:$V$2,0)))*$K416)</f>
        <v/>
      </c>
      <c r="R416" s="157" t="str" cm="1">
        <f t="array" ref="R416">IF(OR($E416="",$I416=""),"",(INDEX('Emission factors'!$K$3:$V$201,MATCH('Buildings - Grid Electricity'!$E416&amp;$F416,'Emission factors'!$J$3:$J$201&amp;'Emission factors'!$K$3:$K$201,0),MATCH('Buildings - Grid Electricity'!R$6,'Emission factors'!$K$2:$V$2,0)))*$K416)</f>
        <v/>
      </c>
      <c r="S416" s="157" t="str" cm="1">
        <f t="array" ref="S416">IF(OR($E416="",$I416=""),"",(INDEX('Emission factors'!$K$3:$V$201,MATCH('Buildings - Grid Electricity'!$E416&amp;$F416,'Emission factors'!$J$3:$J$201&amp;'Emission factors'!$K$3:$K$201,0),MATCH('Buildings - Grid Electricity'!S$6,'Emission factors'!$K$2:$V$2,0)))*$K416)</f>
        <v/>
      </c>
      <c r="T416" s="157" t="str" cm="1">
        <f t="array" ref="T416">IF(OR($E416="",$I416=""),"",(INDEX('Emission factors'!$K$3:$V$201,MATCH('Buildings - Grid Electricity'!$E416&amp;$F416,'Emission factors'!$J$3:$J$201&amp;'Emission factors'!$K$3:$K$201,0),MATCH('Buildings - Grid Electricity'!T$6,'Emission factors'!$K$2:$V$2,0)))*$K416)</f>
        <v/>
      </c>
      <c r="U416" s="157" t="str" cm="1">
        <f t="array" ref="U416">IF(OR($E416="",$I416=""),"",(INDEX('Emission factors'!$K$3:$V$201,MATCH('Buildings - Grid Electricity'!$E416&amp;$F416,'Emission factors'!$J$3:$J$201&amp;'Emission factors'!$K$3:$K$201,0),MATCH('Buildings - Grid Electricity'!U$6,'Emission factors'!$K$2:$V$2,0)))*$K416)</f>
        <v/>
      </c>
      <c r="V416" s="269" t="str">
        <f>IF(OR($N416="",BuildingsElectricityTable[[#This Row],[RSD]]=""),"",BuildingsElectricityTable[[#This Row],[Total emissions (kgCO2e)]]*(1+BuildingsElectricityTable[[#This Row],[RSD]]))</f>
        <v/>
      </c>
      <c r="W416" s="270" t="str">
        <f>IF(OR($N416="",BuildingsElectricityTable[[#This Row],[RSD]]=""),"",BuildingsElectricityTable[[#This Row],[Total emissions (kgCO2e)]]*(1-BuildingsElectricityTable[[#This Row],[RSD]]))</f>
        <v/>
      </c>
      <c r="X416" s="271" t="str" cm="1">
        <f t="array" ref="X416">IF(OR($E416="",$I416=""),"",(INDEX('Emission factors'!$K$3:$V$201,MATCH('Buildings - Grid Electricity'!$E416&amp;$F416,'Emission factors'!$J$3:$J$201&amp;'Emission factors'!$K$3:$K$201,0),MATCH('Buildings - Grid Electricity'!X$6,'Emission factors'!$K$2:$V$2,0)))*$K416)</f>
        <v/>
      </c>
      <c r="Y416" s="30"/>
    </row>
    <row r="417" spans="1:25" ht="15" outlineLevel="1" thickBot="1" x14ac:dyDescent="0.4">
      <c r="A417" s="319"/>
      <c r="B417" s="216"/>
      <c r="C417" s="216"/>
      <c r="D417" s="489" t="str">
        <f>IFERROR(INDEX(BuildingInformationTable[Site type],MATCH(BuildingsElectricityTable[[#This Row],[Site name]],BuildingInformationTable[Site name],0)),"")</f>
        <v/>
      </c>
      <c r="E417" s="490" t="str">
        <f t="shared" si="35"/>
        <v/>
      </c>
      <c r="F417" s="490" t="str">
        <f t="shared" si="36"/>
        <v/>
      </c>
      <c r="G417" s="491"/>
      <c r="H417" s="492" t="str">
        <f>IF(G417="","",INDEX(Lists!$BA$4:$BC$31,MATCH(E417,Lists!$AZ$4:$AZ$31,0),MATCH(G417,Lists!$BA$3:$BC$3,0)))</f>
        <v/>
      </c>
      <c r="I417" s="267"/>
      <c r="J417" s="490" t="str">
        <f t="shared" si="37"/>
        <v/>
      </c>
      <c r="K417" s="493" t="str" cm="1">
        <f t="array" ref="K417">IF(OR($E417="",$D417="",$I417="",$J417=""),"",IF(J417=L417,I417,(INDEX('Emission factors'!$K$3:$V$201,MATCH(E417&amp;F417,'Emission factors'!$J$3:$J$201&amp;'Emission factors'!$K$3:$K$201,0),MATCH(K$6,'Emission factors'!$K$2:$V$2,0)))*I417))</f>
        <v/>
      </c>
      <c r="L417" s="494" t="str">
        <f>IF(OR($E417="",$D417="",$I417="",$J417=""),"",INDEX('Emission factors'!$K$3:$V$201,MATCH('Buildings - Grid Electricity'!$E417,'Emission factors'!$J$3:$J$201,0),MATCH($L$6,'Emission factors'!$K$2:$V$2,0)))</f>
        <v/>
      </c>
      <c r="M417" s="495" t="str" cm="1">
        <f t="array" ref="M417">IF(OR(E417="",I417="",BuildingsElectricityTable[[#This Row],[Units]]=""),"",INDEX('Emission factors'!$K$3:$V$201,MATCH('Buildings - Grid Electricity'!$E417&amp;F417,'Emission factors'!$J$3:$J$201&amp;'Emission factors'!$K$3:$K$201,0),MATCH('Buildings - Grid Electricity'!$M$6,'Emission factors'!$K$2:$V$2,0)))</f>
        <v/>
      </c>
      <c r="N417" s="496" t="str">
        <f>IF(OR(K417="",M417=""),"",SUM(BuildingsElectricityTable[[#This Row],[Direct]:[Indirect WTT]]))</f>
        <v/>
      </c>
      <c r="O417" s="268"/>
      <c r="P417" s="497"/>
      <c r="Q417" s="157" t="str" cm="1">
        <f t="array" ref="Q417">IF(OR($E417="",$I417=""),"",(INDEX('Emission factors'!$K$3:$V$201,MATCH('Buildings - Grid Electricity'!$E417&amp;$F417,'Emission factors'!$J$3:$J$201&amp;'Emission factors'!$K$3:$K$201,0),MATCH('Buildings - Grid Electricity'!Q$6,'Emission factors'!$K$2:$V$2,0)))*$K417)</f>
        <v/>
      </c>
      <c r="R417" s="157" t="str" cm="1">
        <f t="array" ref="R417">IF(OR($E417="",$I417=""),"",(INDEX('Emission factors'!$K$3:$V$201,MATCH('Buildings - Grid Electricity'!$E417&amp;$F417,'Emission factors'!$J$3:$J$201&amp;'Emission factors'!$K$3:$K$201,0),MATCH('Buildings - Grid Electricity'!R$6,'Emission factors'!$K$2:$V$2,0)))*$K417)</f>
        <v/>
      </c>
      <c r="S417" s="157" t="str" cm="1">
        <f t="array" ref="S417">IF(OR($E417="",$I417=""),"",(INDEX('Emission factors'!$K$3:$V$201,MATCH('Buildings - Grid Electricity'!$E417&amp;$F417,'Emission factors'!$J$3:$J$201&amp;'Emission factors'!$K$3:$K$201,0),MATCH('Buildings - Grid Electricity'!S$6,'Emission factors'!$K$2:$V$2,0)))*$K417)</f>
        <v/>
      </c>
      <c r="T417" s="157" t="str" cm="1">
        <f t="array" ref="T417">IF(OR($E417="",$I417=""),"",(INDEX('Emission factors'!$K$3:$V$201,MATCH('Buildings - Grid Electricity'!$E417&amp;$F417,'Emission factors'!$J$3:$J$201&amp;'Emission factors'!$K$3:$K$201,0),MATCH('Buildings - Grid Electricity'!T$6,'Emission factors'!$K$2:$V$2,0)))*$K417)</f>
        <v/>
      </c>
      <c r="U417" s="157" t="str" cm="1">
        <f t="array" ref="U417">IF(OR($E417="",$I417=""),"",(INDEX('Emission factors'!$K$3:$V$201,MATCH('Buildings - Grid Electricity'!$E417&amp;$F417,'Emission factors'!$J$3:$J$201&amp;'Emission factors'!$K$3:$K$201,0),MATCH('Buildings - Grid Electricity'!U$6,'Emission factors'!$K$2:$V$2,0)))*$K417)</f>
        <v/>
      </c>
      <c r="V417" s="269" t="str">
        <f>IF(OR($N417="",BuildingsElectricityTable[[#This Row],[RSD]]=""),"",BuildingsElectricityTable[[#This Row],[Total emissions (kgCO2e)]]*(1+BuildingsElectricityTable[[#This Row],[RSD]]))</f>
        <v/>
      </c>
      <c r="W417" s="270" t="str">
        <f>IF(OR($N417="",BuildingsElectricityTable[[#This Row],[RSD]]=""),"",BuildingsElectricityTable[[#This Row],[Total emissions (kgCO2e)]]*(1-BuildingsElectricityTable[[#This Row],[RSD]]))</f>
        <v/>
      </c>
      <c r="X417" s="271" t="str" cm="1">
        <f t="array" ref="X417">IF(OR($E417="",$I417=""),"",(INDEX('Emission factors'!$K$3:$V$201,MATCH('Buildings - Grid Electricity'!$E417&amp;$F417,'Emission factors'!$J$3:$J$201&amp;'Emission factors'!$K$3:$K$201,0),MATCH('Buildings - Grid Electricity'!X$6,'Emission factors'!$K$2:$V$2,0)))*$K417)</f>
        <v/>
      </c>
      <c r="Y417" s="30"/>
    </row>
    <row r="418" spans="1:25" ht="15" outlineLevel="1" thickBot="1" x14ac:dyDescent="0.4">
      <c r="A418" s="319"/>
      <c r="B418" s="216"/>
      <c r="C418" s="216"/>
      <c r="D418" s="489" t="str">
        <f>IFERROR(INDEX(BuildingInformationTable[Site type],MATCH(BuildingsElectricityTable[[#This Row],[Site name]],BuildingInformationTable[Site name],0)),"")</f>
        <v/>
      </c>
      <c r="E418" s="490" t="str">
        <f t="shared" si="35"/>
        <v/>
      </c>
      <c r="F418" s="490" t="str">
        <f t="shared" si="36"/>
        <v/>
      </c>
      <c r="G418" s="491"/>
      <c r="H418" s="492" t="str">
        <f>IF(G418="","",INDEX(Lists!$BA$4:$BC$31,MATCH(E418,Lists!$AZ$4:$AZ$31,0),MATCH(G418,Lists!$BA$3:$BC$3,0)))</f>
        <v/>
      </c>
      <c r="I418" s="267"/>
      <c r="J418" s="490" t="str">
        <f t="shared" si="37"/>
        <v/>
      </c>
      <c r="K418" s="493" t="str" cm="1">
        <f t="array" ref="K418">IF(OR($E418="",$D418="",$I418="",$J418=""),"",IF(J418=L418,I418,(INDEX('Emission factors'!$K$3:$V$201,MATCH(E418&amp;F418,'Emission factors'!$J$3:$J$201&amp;'Emission factors'!$K$3:$K$201,0),MATCH(K$6,'Emission factors'!$K$2:$V$2,0)))*I418))</f>
        <v/>
      </c>
      <c r="L418" s="494" t="str">
        <f>IF(OR($E418="",$D418="",$I418="",$J418=""),"",INDEX('Emission factors'!$K$3:$V$201,MATCH('Buildings - Grid Electricity'!$E418,'Emission factors'!$J$3:$J$201,0),MATCH($L$6,'Emission factors'!$K$2:$V$2,0)))</f>
        <v/>
      </c>
      <c r="M418" s="495" t="str" cm="1">
        <f t="array" ref="M418">IF(OR(E418="",I418="",BuildingsElectricityTable[[#This Row],[Units]]=""),"",INDEX('Emission factors'!$K$3:$V$201,MATCH('Buildings - Grid Electricity'!$E418&amp;F418,'Emission factors'!$J$3:$J$201&amp;'Emission factors'!$K$3:$K$201,0),MATCH('Buildings - Grid Electricity'!$M$6,'Emission factors'!$K$2:$V$2,0)))</f>
        <v/>
      </c>
      <c r="N418" s="496" t="str">
        <f>IF(OR(K418="",M418=""),"",SUM(BuildingsElectricityTable[[#This Row],[Direct]:[Indirect WTT]]))</f>
        <v/>
      </c>
      <c r="O418" s="268"/>
      <c r="P418" s="497"/>
      <c r="Q418" s="157" t="str" cm="1">
        <f t="array" ref="Q418">IF(OR($E418="",$I418=""),"",(INDEX('Emission factors'!$K$3:$V$201,MATCH('Buildings - Grid Electricity'!$E418&amp;$F418,'Emission factors'!$J$3:$J$201&amp;'Emission factors'!$K$3:$K$201,0),MATCH('Buildings - Grid Electricity'!Q$6,'Emission factors'!$K$2:$V$2,0)))*$K418)</f>
        <v/>
      </c>
      <c r="R418" s="157" t="str" cm="1">
        <f t="array" ref="R418">IF(OR($E418="",$I418=""),"",(INDEX('Emission factors'!$K$3:$V$201,MATCH('Buildings - Grid Electricity'!$E418&amp;$F418,'Emission factors'!$J$3:$J$201&amp;'Emission factors'!$K$3:$K$201,0),MATCH('Buildings - Grid Electricity'!R$6,'Emission factors'!$K$2:$V$2,0)))*$K418)</f>
        <v/>
      </c>
      <c r="S418" s="157" t="str" cm="1">
        <f t="array" ref="S418">IF(OR($E418="",$I418=""),"",(INDEX('Emission factors'!$K$3:$V$201,MATCH('Buildings - Grid Electricity'!$E418&amp;$F418,'Emission factors'!$J$3:$J$201&amp;'Emission factors'!$K$3:$K$201,0),MATCH('Buildings - Grid Electricity'!S$6,'Emission factors'!$K$2:$V$2,0)))*$K418)</f>
        <v/>
      </c>
      <c r="T418" s="157" t="str" cm="1">
        <f t="array" ref="T418">IF(OR($E418="",$I418=""),"",(INDEX('Emission factors'!$K$3:$V$201,MATCH('Buildings - Grid Electricity'!$E418&amp;$F418,'Emission factors'!$J$3:$J$201&amp;'Emission factors'!$K$3:$K$201,0),MATCH('Buildings - Grid Electricity'!T$6,'Emission factors'!$K$2:$V$2,0)))*$K418)</f>
        <v/>
      </c>
      <c r="U418" s="157" t="str" cm="1">
        <f t="array" ref="U418">IF(OR($E418="",$I418=""),"",(INDEX('Emission factors'!$K$3:$V$201,MATCH('Buildings - Grid Electricity'!$E418&amp;$F418,'Emission factors'!$J$3:$J$201&amp;'Emission factors'!$K$3:$K$201,0),MATCH('Buildings - Grid Electricity'!U$6,'Emission factors'!$K$2:$V$2,0)))*$K418)</f>
        <v/>
      </c>
      <c r="V418" s="269" t="str">
        <f>IF(OR($N418="",BuildingsElectricityTable[[#This Row],[RSD]]=""),"",BuildingsElectricityTable[[#This Row],[Total emissions (kgCO2e)]]*(1+BuildingsElectricityTable[[#This Row],[RSD]]))</f>
        <v/>
      </c>
      <c r="W418" s="270" t="str">
        <f>IF(OR($N418="",BuildingsElectricityTable[[#This Row],[RSD]]=""),"",BuildingsElectricityTable[[#This Row],[Total emissions (kgCO2e)]]*(1-BuildingsElectricityTable[[#This Row],[RSD]]))</f>
        <v/>
      </c>
      <c r="X418" s="271" t="str" cm="1">
        <f t="array" ref="X418">IF(OR($E418="",$I418=""),"",(INDEX('Emission factors'!$K$3:$V$201,MATCH('Buildings - Grid Electricity'!$E418&amp;$F418,'Emission factors'!$J$3:$J$201&amp;'Emission factors'!$K$3:$K$201,0),MATCH('Buildings - Grid Electricity'!X$6,'Emission factors'!$K$2:$V$2,0)))*$K418)</f>
        <v/>
      </c>
      <c r="Y418" s="30"/>
    </row>
    <row r="419" spans="1:25" ht="15" outlineLevel="1" thickBot="1" x14ac:dyDescent="0.4">
      <c r="A419" s="319"/>
      <c r="B419" s="216"/>
      <c r="C419" s="216"/>
      <c r="D419" s="489" t="str">
        <f>IFERROR(INDEX(BuildingInformationTable[Site type],MATCH(BuildingsElectricityTable[[#This Row],[Site name]],BuildingInformationTable[Site name],0)),"")</f>
        <v/>
      </c>
      <c r="E419" s="490" t="str">
        <f t="shared" si="35"/>
        <v/>
      </c>
      <c r="F419" s="490" t="str">
        <f t="shared" si="36"/>
        <v/>
      </c>
      <c r="G419" s="491"/>
      <c r="H419" s="492" t="str">
        <f>IF(G419="","",INDEX(Lists!$BA$4:$BC$31,MATCH(E419,Lists!$AZ$4:$AZ$31,0),MATCH(G419,Lists!$BA$3:$BC$3,0)))</f>
        <v/>
      </c>
      <c r="I419" s="267"/>
      <c r="J419" s="490" t="str">
        <f t="shared" si="37"/>
        <v/>
      </c>
      <c r="K419" s="493" t="str" cm="1">
        <f t="array" ref="K419">IF(OR($E419="",$D419="",$I419="",$J419=""),"",IF(J419=L419,I419,(INDEX('Emission factors'!$K$3:$V$201,MATCH(E419&amp;F419,'Emission factors'!$J$3:$J$201&amp;'Emission factors'!$K$3:$K$201,0),MATCH(K$6,'Emission factors'!$K$2:$V$2,0)))*I419))</f>
        <v/>
      </c>
      <c r="L419" s="494" t="str">
        <f>IF(OR($E419="",$D419="",$I419="",$J419=""),"",INDEX('Emission factors'!$K$3:$V$201,MATCH('Buildings - Grid Electricity'!$E419,'Emission factors'!$J$3:$J$201,0),MATCH($L$6,'Emission factors'!$K$2:$V$2,0)))</f>
        <v/>
      </c>
      <c r="M419" s="495" t="str" cm="1">
        <f t="array" ref="M419">IF(OR(E419="",I419="",BuildingsElectricityTable[[#This Row],[Units]]=""),"",INDEX('Emission factors'!$K$3:$V$201,MATCH('Buildings - Grid Electricity'!$E419&amp;F419,'Emission factors'!$J$3:$J$201&amp;'Emission factors'!$K$3:$K$201,0),MATCH('Buildings - Grid Electricity'!$M$6,'Emission factors'!$K$2:$V$2,0)))</f>
        <v/>
      </c>
      <c r="N419" s="496" t="str">
        <f>IF(OR(K419="",M419=""),"",SUM(BuildingsElectricityTable[[#This Row],[Direct]:[Indirect WTT]]))</f>
        <v/>
      </c>
      <c r="O419" s="268"/>
      <c r="P419" s="497"/>
      <c r="Q419" s="157" t="str" cm="1">
        <f t="array" ref="Q419">IF(OR($E419="",$I419=""),"",(INDEX('Emission factors'!$K$3:$V$201,MATCH('Buildings - Grid Electricity'!$E419&amp;$F419,'Emission factors'!$J$3:$J$201&amp;'Emission factors'!$K$3:$K$201,0),MATCH('Buildings - Grid Electricity'!Q$6,'Emission factors'!$K$2:$V$2,0)))*$K419)</f>
        <v/>
      </c>
      <c r="R419" s="157" t="str" cm="1">
        <f t="array" ref="R419">IF(OR($E419="",$I419=""),"",(INDEX('Emission factors'!$K$3:$V$201,MATCH('Buildings - Grid Electricity'!$E419&amp;$F419,'Emission factors'!$J$3:$J$201&amp;'Emission factors'!$K$3:$K$201,0),MATCH('Buildings - Grid Electricity'!R$6,'Emission factors'!$K$2:$V$2,0)))*$K419)</f>
        <v/>
      </c>
      <c r="S419" s="157" t="str" cm="1">
        <f t="array" ref="S419">IF(OR($E419="",$I419=""),"",(INDEX('Emission factors'!$K$3:$V$201,MATCH('Buildings - Grid Electricity'!$E419&amp;$F419,'Emission factors'!$J$3:$J$201&amp;'Emission factors'!$K$3:$K$201,0),MATCH('Buildings - Grid Electricity'!S$6,'Emission factors'!$K$2:$V$2,0)))*$K419)</f>
        <v/>
      </c>
      <c r="T419" s="157" t="str" cm="1">
        <f t="array" ref="T419">IF(OR($E419="",$I419=""),"",(INDEX('Emission factors'!$K$3:$V$201,MATCH('Buildings - Grid Electricity'!$E419&amp;$F419,'Emission factors'!$J$3:$J$201&amp;'Emission factors'!$K$3:$K$201,0),MATCH('Buildings - Grid Electricity'!T$6,'Emission factors'!$K$2:$V$2,0)))*$K419)</f>
        <v/>
      </c>
      <c r="U419" s="157" t="str" cm="1">
        <f t="array" ref="U419">IF(OR($E419="",$I419=""),"",(INDEX('Emission factors'!$K$3:$V$201,MATCH('Buildings - Grid Electricity'!$E419&amp;$F419,'Emission factors'!$J$3:$J$201&amp;'Emission factors'!$K$3:$K$201,0),MATCH('Buildings - Grid Electricity'!U$6,'Emission factors'!$K$2:$V$2,0)))*$K419)</f>
        <v/>
      </c>
      <c r="V419" s="269" t="str">
        <f>IF(OR($N419="",BuildingsElectricityTable[[#This Row],[RSD]]=""),"",BuildingsElectricityTable[[#This Row],[Total emissions (kgCO2e)]]*(1+BuildingsElectricityTable[[#This Row],[RSD]]))</f>
        <v/>
      </c>
      <c r="W419" s="270" t="str">
        <f>IF(OR($N419="",BuildingsElectricityTable[[#This Row],[RSD]]=""),"",BuildingsElectricityTable[[#This Row],[Total emissions (kgCO2e)]]*(1-BuildingsElectricityTable[[#This Row],[RSD]]))</f>
        <v/>
      </c>
      <c r="X419" s="271" t="str" cm="1">
        <f t="array" ref="X419">IF(OR($E419="",$I419=""),"",(INDEX('Emission factors'!$K$3:$V$201,MATCH('Buildings - Grid Electricity'!$E419&amp;$F419,'Emission factors'!$J$3:$J$201&amp;'Emission factors'!$K$3:$K$201,0),MATCH('Buildings - Grid Electricity'!X$6,'Emission factors'!$K$2:$V$2,0)))*$K419)</f>
        <v/>
      </c>
      <c r="Y419" s="30"/>
    </row>
    <row r="420" spans="1:25" ht="15" outlineLevel="1" thickBot="1" x14ac:dyDescent="0.4">
      <c r="A420" s="319"/>
      <c r="B420" s="216"/>
      <c r="C420" s="216"/>
      <c r="D420" s="489" t="str">
        <f>IFERROR(INDEX(BuildingInformationTable[Site type],MATCH(BuildingsElectricityTable[[#This Row],[Site name]],BuildingInformationTable[Site name],0)),"")</f>
        <v/>
      </c>
      <c r="E420" s="490" t="str">
        <f t="shared" si="35"/>
        <v/>
      </c>
      <c r="F420" s="490" t="str">
        <f t="shared" si="36"/>
        <v/>
      </c>
      <c r="G420" s="491"/>
      <c r="H420" s="492" t="str">
        <f>IF(G420="","",INDEX(Lists!$BA$4:$BC$31,MATCH(E420,Lists!$AZ$4:$AZ$31,0),MATCH(G420,Lists!$BA$3:$BC$3,0)))</f>
        <v/>
      </c>
      <c r="I420" s="267"/>
      <c r="J420" s="490" t="str">
        <f t="shared" si="37"/>
        <v/>
      </c>
      <c r="K420" s="493" t="str" cm="1">
        <f t="array" ref="K420">IF(OR($E420="",$D420="",$I420="",$J420=""),"",IF(J420=L420,I420,(INDEX('Emission factors'!$K$3:$V$201,MATCH(E420&amp;F420,'Emission factors'!$J$3:$J$201&amp;'Emission factors'!$K$3:$K$201,0),MATCH(K$6,'Emission factors'!$K$2:$V$2,0)))*I420))</f>
        <v/>
      </c>
      <c r="L420" s="494" t="str">
        <f>IF(OR($E420="",$D420="",$I420="",$J420=""),"",INDEX('Emission factors'!$K$3:$V$201,MATCH('Buildings - Grid Electricity'!$E420,'Emission factors'!$J$3:$J$201,0),MATCH($L$6,'Emission factors'!$K$2:$V$2,0)))</f>
        <v/>
      </c>
      <c r="M420" s="495" t="str" cm="1">
        <f t="array" ref="M420">IF(OR(E420="",I420="",BuildingsElectricityTable[[#This Row],[Units]]=""),"",INDEX('Emission factors'!$K$3:$V$201,MATCH('Buildings - Grid Electricity'!$E420&amp;F420,'Emission factors'!$J$3:$J$201&amp;'Emission factors'!$K$3:$K$201,0),MATCH('Buildings - Grid Electricity'!$M$6,'Emission factors'!$K$2:$V$2,0)))</f>
        <v/>
      </c>
      <c r="N420" s="496" t="str">
        <f>IF(OR(K420="",M420=""),"",SUM(BuildingsElectricityTable[[#This Row],[Direct]:[Indirect WTT]]))</f>
        <v/>
      </c>
      <c r="O420" s="268"/>
      <c r="P420" s="497"/>
      <c r="Q420" s="157" t="str" cm="1">
        <f t="array" ref="Q420">IF(OR($E420="",$I420=""),"",(INDEX('Emission factors'!$K$3:$V$201,MATCH('Buildings - Grid Electricity'!$E420&amp;$F420,'Emission factors'!$J$3:$J$201&amp;'Emission factors'!$K$3:$K$201,0),MATCH('Buildings - Grid Electricity'!Q$6,'Emission factors'!$K$2:$V$2,0)))*$K420)</f>
        <v/>
      </c>
      <c r="R420" s="157" t="str" cm="1">
        <f t="array" ref="R420">IF(OR($E420="",$I420=""),"",(INDEX('Emission factors'!$K$3:$V$201,MATCH('Buildings - Grid Electricity'!$E420&amp;$F420,'Emission factors'!$J$3:$J$201&amp;'Emission factors'!$K$3:$K$201,0),MATCH('Buildings - Grid Electricity'!R$6,'Emission factors'!$K$2:$V$2,0)))*$K420)</f>
        <v/>
      </c>
      <c r="S420" s="157" t="str" cm="1">
        <f t="array" ref="S420">IF(OR($E420="",$I420=""),"",(INDEX('Emission factors'!$K$3:$V$201,MATCH('Buildings - Grid Electricity'!$E420&amp;$F420,'Emission factors'!$J$3:$J$201&amp;'Emission factors'!$K$3:$K$201,0),MATCH('Buildings - Grid Electricity'!S$6,'Emission factors'!$K$2:$V$2,0)))*$K420)</f>
        <v/>
      </c>
      <c r="T420" s="157" t="str" cm="1">
        <f t="array" ref="T420">IF(OR($E420="",$I420=""),"",(INDEX('Emission factors'!$K$3:$V$201,MATCH('Buildings - Grid Electricity'!$E420&amp;$F420,'Emission factors'!$J$3:$J$201&amp;'Emission factors'!$K$3:$K$201,0),MATCH('Buildings - Grid Electricity'!T$6,'Emission factors'!$K$2:$V$2,0)))*$K420)</f>
        <v/>
      </c>
      <c r="U420" s="157" t="str" cm="1">
        <f t="array" ref="U420">IF(OR($E420="",$I420=""),"",(INDEX('Emission factors'!$K$3:$V$201,MATCH('Buildings - Grid Electricity'!$E420&amp;$F420,'Emission factors'!$J$3:$J$201&amp;'Emission factors'!$K$3:$K$201,0),MATCH('Buildings - Grid Electricity'!U$6,'Emission factors'!$K$2:$V$2,0)))*$K420)</f>
        <v/>
      </c>
      <c r="V420" s="269" t="str">
        <f>IF(OR($N420="",BuildingsElectricityTable[[#This Row],[RSD]]=""),"",BuildingsElectricityTable[[#This Row],[Total emissions (kgCO2e)]]*(1+BuildingsElectricityTable[[#This Row],[RSD]]))</f>
        <v/>
      </c>
      <c r="W420" s="270" t="str">
        <f>IF(OR($N420="",BuildingsElectricityTable[[#This Row],[RSD]]=""),"",BuildingsElectricityTable[[#This Row],[Total emissions (kgCO2e)]]*(1-BuildingsElectricityTable[[#This Row],[RSD]]))</f>
        <v/>
      </c>
      <c r="X420" s="271" t="str" cm="1">
        <f t="array" ref="X420">IF(OR($E420="",$I420=""),"",(INDEX('Emission factors'!$K$3:$V$201,MATCH('Buildings - Grid Electricity'!$E420&amp;$F420,'Emission factors'!$J$3:$J$201&amp;'Emission factors'!$K$3:$K$201,0),MATCH('Buildings - Grid Electricity'!X$6,'Emission factors'!$K$2:$V$2,0)))*$K420)</f>
        <v/>
      </c>
      <c r="Y420" s="30"/>
    </row>
    <row r="421" spans="1:25" ht="15" outlineLevel="1" thickBot="1" x14ac:dyDescent="0.4">
      <c r="A421" s="319"/>
      <c r="B421" s="216"/>
      <c r="C421" s="216"/>
      <c r="D421" s="489" t="str">
        <f>IFERROR(INDEX(BuildingInformationTable[Site type],MATCH(BuildingsElectricityTable[[#This Row],[Site name]],BuildingInformationTable[Site name],0)),"")</f>
        <v/>
      </c>
      <c r="E421" s="490" t="str">
        <f t="shared" si="35"/>
        <v/>
      </c>
      <c r="F421" s="490" t="str">
        <f t="shared" si="36"/>
        <v/>
      </c>
      <c r="G421" s="491"/>
      <c r="H421" s="492" t="str">
        <f>IF(G421="","",INDEX(Lists!$BA$4:$BC$31,MATCH(E421,Lists!$AZ$4:$AZ$31,0),MATCH(G421,Lists!$BA$3:$BC$3,0)))</f>
        <v/>
      </c>
      <c r="I421" s="267"/>
      <c r="J421" s="490" t="str">
        <f t="shared" si="37"/>
        <v/>
      </c>
      <c r="K421" s="493" t="str" cm="1">
        <f t="array" ref="K421">IF(OR($E421="",$D421="",$I421="",$J421=""),"",IF(J421=L421,I421,(INDEX('Emission factors'!$K$3:$V$201,MATCH(E421&amp;F421,'Emission factors'!$J$3:$J$201&amp;'Emission factors'!$K$3:$K$201,0),MATCH(K$6,'Emission factors'!$K$2:$V$2,0)))*I421))</f>
        <v/>
      </c>
      <c r="L421" s="494" t="str">
        <f>IF(OR($E421="",$D421="",$I421="",$J421=""),"",INDEX('Emission factors'!$K$3:$V$201,MATCH('Buildings - Grid Electricity'!$E421,'Emission factors'!$J$3:$J$201,0),MATCH($L$6,'Emission factors'!$K$2:$V$2,0)))</f>
        <v/>
      </c>
      <c r="M421" s="495" t="str" cm="1">
        <f t="array" ref="M421">IF(OR(E421="",I421="",BuildingsElectricityTable[[#This Row],[Units]]=""),"",INDEX('Emission factors'!$K$3:$V$201,MATCH('Buildings - Grid Electricity'!$E421&amp;F421,'Emission factors'!$J$3:$J$201&amp;'Emission factors'!$K$3:$K$201,0),MATCH('Buildings - Grid Electricity'!$M$6,'Emission factors'!$K$2:$V$2,0)))</f>
        <v/>
      </c>
      <c r="N421" s="496" t="str">
        <f>IF(OR(K421="",M421=""),"",SUM(BuildingsElectricityTable[[#This Row],[Direct]:[Indirect WTT]]))</f>
        <v/>
      </c>
      <c r="O421" s="268"/>
      <c r="P421" s="497"/>
      <c r="Q421" s="157" t="str" cm="1">
        <f t="array" ref="Q421">IF(OR($E421="",$I421=""),"",(INDEX('Emission factors'!$K$3:$V$201,MATCH('Buildings - Grid Electricity'!$E421&amp;$F421,'Emission factors'!$J$3:$J$201&amp;'Emission factors'!$K$3:$K$201,0),MATCH('Buildings - Grid Electricity'!Q$6,'Emission factors'!$K$2:$V$2,0)))*$K421)</f>
        <v/>
      </c>
      <c r="R421" s="157" t="str" cm="1">
        <f t="array" ref="R421">IF(OR($E421="",$I421=""),"",(INDEX('Emission factors'!$K$3:$V$201,MATCH('Buildings - Grid Electricity'!$E421&amp;$F421,'Emission factors'!$J$3:$J$201&amp;'Emission factors'!$K$3:$K$201,0),MATCH('Buildings - Grid Electricity'!R$6,'Emission factors'!$K$2:$V$2,0)))*$K421)</f>
        <v/>
      </c>
      <c r="S421" s="157" t="str" cm="1">
        <f t="array" ref="S421">IF(OR($E421="",$I421=""),"",(INDEX('Emission factors'!$K$3:$V$201,MATCH('Buildings - Grid Electricity'!$E421&amp;$F421,'Emission factors'!$J$3:$J$201&amp;'Emission factors'!$K$3:$K$201,0),MATCH('Buildings - Grid Electricity'!S$6,'Emission factors'!$K$2:$V$2,0)))*$K421)</f>
        <v/>
      </c>
      <c r="T421" s="157" t="str" cm="1">
        <f t="array" ref="T421">IF(OR($E421="",$I421=""),"",(INDEX('Emission factors'!$K$3:$V$201,MATCH('Buildings - Grid Electricity'!$E421&amp;$F421,'Emission factors'!$J$3:$J$201&amp;'Emission factors'!$K$3:$K$201,0),MATCH('Buildings - Grid Electricity'!T$6,'Emission factors'!$K$2:$V$2,0)))*$K421)</f>
        <v/>
      </c>
      <c r="U421" s="157" t="str" cm="1">
        <f t="array" ref="U421">IF(OR($E421="",$I421=""),"",(INDEX('Emission factors'!$K$3:$V$201,MATCH('Buildings - Grid Electricity'!$E421&amp;$F421,'Emission factors'!$J$3:$J$201&amp;'Emission factors'!$K$3:$K$201,0),MATCH('Buildings - Grid Electricity'!U$6,'Emission factors'!$K$2:$V$2,0)))*$K421)</f>
        <v/>
      </c>
      <c r="V421" s="269" t="str">
        <f>IF(OR($N421="",BuildingsElectricityTable[[#This Row],[RSD]]=""),"",BuildingsElectricityTable[[#This Row],[Total emissions (kgCO2e)]]*(1+BuildingsElectricityTable[[#This Row],[RSD]]))</f>
        <v/>
      </c>
      <c r="W421" s="270" t="str">
        <f>IF(OR($N421="",BuildingsElectricityTable[[#This Row],[RSD]]=""),"",BuildingsElectricityTable[[#This Row],[Total emissions (kgCO2e)]]*(1-BuildingsElectricityTable[[#This Row],[RSD]]))</f>
        <v/>
      </c>
      <c r="X421" s="271" t="str" cm="1">
        <f t="array" ref="X421">IF(OR($E421="",$I421=""),"",(INDEX('Emission factors'!$K$3:$V$201,MATCH('Buildings - Grid Electricity'!$E421&amp;$F421,'Emission factors'!$J$3:$J$201&amp;'Emission factors'!$K$3:$K$201,0),MATCH('Buildings - Grid Electricity'!X$6,'Emission factors'!$K$2:$V$2,0)))*$K421)</f>
        <v/>
      </c>
      <c r="Y421" s="30"/>
    </row>
    <row r="422" spans="1:25" ht="15" outlineLevel="1" thickBot="1" x14ac:dyDescent="0.4">
      <c r="A422" s="319"/>
      <c r="B422" s="216"/>
      <c r="C422" s="216"/>
      <c r="D422" s="489" t="str">
        <f>IFERROR(INDEX(BuildingInformationTable[Site type],MATCH(BuildingsElectricityTable[[#This Row],[Site name]],BuildingInformationTable[Site name],0)),"")</f>
        <v/>
      </c>
      <c r="E422" s="490" t="str">
        <f t="shared" si="35"/>
        <v/>
      </c>
      <c r="F422" s="490" t="str">
        <f t="shared" si="36"/>
        <v/>
      </c>
      <c r="G422" s="491"/>
      <c r="H422" s="492" t="str">
        <f>IF(G422="","",INDEX(Lists!$BA$4:$BC$31,MATCH(E422,Lists!$AZ$4:$AZ$31,0),MATCH(G422,Lists!$BA$3:$BC$3,0)))</f>
        <v/>
      </c>
      <c r="I422" s="267"/>
      <c r="J422" s="490" t="str">
        <f t="shared" si="37"/>
        <v/>
      </c>
      <c r="K422" s="493" t="str" cm="1">
        <f t="array" ref="K422">IF(OR($E422="",$D422="",$I422="",$J422=""),"",IF(J422=L422,I422,(INDEX('Emission factors'!$K$3:$V$201,MATCH(E422&amp;F422,'Emission factors'!$J$3:$J$201&amp;'Emission factors'!$K$3:$K$201,0),MATCH(K$6,'Emission factors'!$K$2:$V$2,0)))*I422))</f>
        <v/>
      </c>
      <c r="L422" s="494" t="str">
        <f>IF(OR($E422="",$D422="",$I422="",$J422=""),"",INDEX('Emission factors'!$K$3:$V$201,MATCH('Buildings - Grid Electricity'!$E422,'Emission factors'!$J$3:$J$201,0),MATCH($L$6,'Emission factors'!$K$2:$V$2,0)))</f>
        <v/>
      </c>
      <c r="M422" s="495" t="str" cm="1">
        <f t="array" ref="M422">IF(OR(E422="",I422="",BuildingsElectricityTable[[#This Row],[Units]]=""),"",INDEX('Emission factors'!$K$3:$V$201,MATCH('Buildings - Grid Electricity'!$E422&amp;F422,'Emission factors'!$J$3:$J$201&amp;'Emission factors'!$K$3:$K$201,0),MATCH('Buildings - Grid Electricity'!$M$6,'Emission factors'!$K$2:$V$2,0)))</f>
        <v/>
      </c>
      <c r="N422" s="496" t="str">
        <f>IF(OR(K422="",M422=""),"",SUM(BuildingsElectricityTable[[#This Row],[Direct]:[Indirect WTT]]))</f>
        <v/>
      </c>
      <c r="O422" s="268"/>
      <c r="P422" s="497"/>
      <c r="Q422" s="157" t="str" cm="1">
        <f t="array" ref="Q422">IF(OR($E422="",$I422=""),"",(INDEX('Emission factors'!$K$3:$V$201,MATCH('Buildings - Grid Electricity'!$E422&amp;$F422,'Emission factors'!$J$3:$J$201&amp;'Emission factors'!$K$3:$K$201,0),MATCH('Buildings - Grid Electricity'!Q$6,'Emission factors'!$K$2:$V$2,0)))*$K422)</f>
        <v/>
      </c>
      <c r="R422" s="157" t="str" cm="1">
        <f t="array" ref="R422">IF(OR($E422="",$I422=""),"",(INDEX('Emission factors'!$K$3:$V$201,MATCH('Buildings - Grid Electricity'!$E422&amp;$F422,'Emission factors'!$J$3:$J$201&amp;'Emission factors'!$K$3:$K$201,0),MATCH('Buildings - Grid Electricity'!R$6,'Emission factors'!$K$2:$V$2,0)))*$K422)</f>
        <v/>
      </c>
      <c r="S422" s="157" t="str" cm="1">
        <f t="array" ref="S422">IF(OR($E422="",$I422=""),"",(INDEX('Emission factors'!$K$3:$V$201,MATCH('Buildings - Grid Electricity'!$E422&amp;$F422,'Emission factors'!$J$3:$J$201&amp;'Emission factors'!$K$3:$K$201,0),MATCH('Buildings - Grid Electricity'!S$6,'Emission factors'!$K$2:$V$2,0)))*$K422)</f>
        <v/>
      </c>
      <c r="T422" s="157" t="str" cm="1">
        <f t="array" ref="T422">IF(OR($E422="",$I422=""),"",(INDEX('Emission factors'!$K$3:$V$201,MATCH('Buildings - Grid Electricity'!$E422&amp;$F422,'Emission factors'!$J$3:$J$201&amp;'Emission factors'!$K$3:$K$201,0),MATCH('Buildings - Grid Electricity'!T$6,'Emission factors'!$K$2:$V$2,0)))*$K422)</f>
        <v/>
      </c>
      <c r="U422" s="157" t="str" cm="1">
        <f t="array" ref="U422">IF(OR($E422="",$I422=""),"",(INDEX('Emission factors'!$K$3:$V$201,MATCH('Buildings - Grid Electricity'!$E422&amp;$F422,'Emission factors'!$J$3:$J$201&amp;'Emission factors'!$K$3:$K$201,0),MATCH('Buildings - Grid Electricity'!U$6,'Emission factors'!$K$2:$V$2,0)))*$K422)</f>
        <v/>
      </c>
      <c r="V422" s="269" t="str">
        <f>IF(OR($N422="",BuildingsElectricityTable[[#This Row],[RSD]]=""),"",BuildingsElectricityTable[[#This Row],[Total emissions (kgCO2e)]]*(1+BuildingsElectricityTable[[#This Row],[RSD]]))</f>
        <v/>
      </c>
      <c r="W422" s="270" t="str">
        <f>IF(OR($N422="",BuildingsElectricityTable[[#This Row],[RSD]]=""),"",BuildingsElectricityTable[[#This Row],[Total emissions (kgCO2e)]]*(1-BuildingsElectricityTable[[#This Row],[RSD]]))</f>
        <v/>
      </c>
      <c r="X422" s="271" t="str" cm="1">
        <f t="array" ref="X422">IF(OR($E422="",$I422=""),"",(INDEX('Emission factors'!$K$3:$V$201,MATCH('Buildings - Grid Electricity'!$E422&amp;$F422,'Emission factors'!$J$3:$J$201&amp;'Emission factors'!$K$3:$K$201,0),MATCH('Buildings - Grid Electricity'!X$6,'Emission factors'!$K$2:$V$2,0)))*$K422)</f>
        <v/>
      </c>
      <c r="Y422" s="30"/>
    </row>
    <row r="423" spans="1:25" ht="15" outlineLevel="1" thickBot="1" x14ac:dyDescent="0.4">
      <c r="A423" s="319"/>
      <c r="B423" s="216"/>
      <c r="C423" s="216"/>
      <c r="D423" s="489" t="str">
        <f>IFERROR(INDEX(BuildingInformationTable[Site type],MATCH(BuildingsElectricityTable[[#This Row],[Site name]],BuildingInformationTable[Site name],0)),"")</f>
        <v/>
      </c>
      <c r="E423" s="490" t="str">
        <f t="shared" si="35"/>
        <v/>
      </c>
      <c r="F423" s="490" t="str">
        <f t="shared" si="36"/>
        <v/>
      </c>
      <c r="G423" s="491"/>
      <c r="H423" s="492" t="str">
        <f>IF(G423="","",INDEX(Lists!$BA$4:$BC$31,MATCH(E423,Lists!$AZ$4:$AZ$31,0),MATCH(G423,Lists!$BA$3:$BC$3,0)))</f>
        <v/>
      </c>
      <c r="I423" s="267"/>
      <c r="J423" s="490" t="str">
        <f t="shared" si="37"/>
        <v/>
      </c>
      <c r="K423" s="493" t="str" cm="1">
        <f t="array" ref="K423">IF(OR($E423="",$D423="",$I423="",$J423=""),"",IF(J423=L423,I423,(INDEX('Emission factors'!$K$3:$V$201,MATCH(E423&amp;F423,'Emission factors'!$J$3:$J$201&amp;'Emission factors'!$K$3:$K$201,0),MATCH(K$6,'Emission factors'!$K$2:$V$2,0)))*I423))</f>
        <v/>
      </c>
      <c r="L423" s="494" t="str">
        <f>IF(OR($E423="",$D423="",$I423="",$J423=""),"",INDEX('Emission factors'!$K$3:$V$201,MATCH('Buildings - Grid Electricity'!$E423,'Emission factors'!$J$3:$J$201,0),MATCH($L$6,'Emission factors'!$K$2:$V$2,0)))</f>
        <v/>
      </c>
      <c r="M423" s="495" t="str" cm="1">
        <f t="array" ref="M423">IF(OR(E423="",I423="",BuildingsElectricityTable[[#This Row],[Units]]=""),"",INDEX('Emission factors'!$K$3:$V$201,MATCH('Buildings - Grid Electricity'!$E423&amp;F423,'Emission factors'!$J$3:$J$201&amp;'Emission factors'!$K$3:$K$201,0),MATCH('Buildings - Grid Electricity'!$M$6,'Emission factors'!$K$2:$V$2,0)))</f>
        <v/>
      </c>
      <c r="N423" s="496" t="str">
        <f>IF(OR(K423="",M423=""),"",SUM(BuildingsElectricityTable[[#This Row],[Direct]:[Indirect WTT]]))</f>
        <v/>
      </c>
      <c r="O423" s="268"/>
      <c r="P423" s="497"/>
      <c r="Q423" s="157" t="str" cm="1">
        <f t="array" ref="Q423">IF(OR($E423="",$I423=""),"",(INDEX('Emission factors'!$K$3:$V$201,MATCH('Buildings - Grid Electricity'!$E423&amp;$F423,'Emission factors'!$J$3:$J$201&amp;'Emission factors'!$K$3:$K$201,0),MATCH('Buildings - Grid Electricity'!Q$6,'Emission factors'!$K$2:$V$2,0)))*$K423)</f>
        <v/>
      </c>
      <c r="R423" s="157" t="str" cm="1">
        <f t="array" ref="R423">IF(OR($E423="",$I423=""),"",(INDEX('Emission factors'!$K$3:$V$201,MATCH('Buildings - Grid Electricity'!$E423&amp;$F423,'Emission factors'!$J$3:$J$201&amp;'Emission factors'!$K$3:$K$201,0),MATCH('Buildings - Grid Electricity'!R$6,'Emission factors'!$K$2:$V$2,0)))*$K423)</f>
        <v/>
      </c>
      <c r="S423" s="157" t="str" cm="1">
        <f t="array" ref="S423">IF(OR($E423="",$I423=""),"",(INDEX('Emission factors'!$K$3:$V$201,MATCH('Buildings - Grid Electricity'!$E423&amp;$F423,'Emission factors'!$J$3:$J$201&amp;'Emission factors'!$K$3:$K$201,0),MATCH('Buildings - Grid Electricity'!S$6,'Emission factors'!$K$2:$V$2,0)))*$K423)</f>
        <v/>
      </c>
      <c r="T423" s="157" t="str" cm="1">
        <f t="array" ref="T423">IF(OR($E423="",$I423=""),"",(INDEX('Emission factors'!$K$3:$V$201,MATCH('Buildings - Grid Electricity'!$E423&amp;$F423,'Emission factors'!$J$3:$J$201&amp;'Emission factors'!$K$3:$K$201,0),MATCH('Buildings - Grid Electricity'!T$6,'Emission factors'!$K$2:$V$2,0)))*$K423)</f>
        <v/>
      </c>
      <c r="U423" s="157" t="str" cm="1">
        <f t="array" ref="U423">IF(OR($E423="",$I423=""),"",(INDEX('Emission factors'!$K$3:$V$201,MATCH('Buildings - Grid Electricity'!$E423&amp;$F423,'Emission factors'!$J$3:$J$201&amp;'Emission factors'!$K$3:$K$201,0),MATCH('Buildings - Grid Electricity'!U$6,'Emission factors'!$K$2:$V$2,0)))*$K423)</f>
        <v/>
      </c>
      <c r="V423" s="269" t="str">
        <f>IF(OR($N423="",BuildingsElectricityTable[[#This Row],[RSD]]=""),"",BuildingsElectricityTable[[#This Row],[Total emissions (kgCO2e)]]*(1+BuildingsElectricityTable[[#This Row],[RSD]]))</f>
        <v/>
      </c>
      <c r="W423" s="270" t="str">
        <f>IF(OR($N423="",BuildingsElectricityTable[[#This Row],[RSD]]=""),"",BuildingsElectricityTable[[#This Row],[Total emissions (kgCO2e)]]*(1-BuildingsElectricityTable[[#This Row],[RSD]]))</f>
        <v/>
      </c>
      <c r="X423" s="271" t="str" cm="1">
        <f t="array" ref="X423">IF(OR($E423="",$I423=""),"",(INDEX('Emission factors'!$K$3:$V$201,MATCH('Buildings - Grid Electricity'!$E423&amp;$F423,'Emission factors'!$J$3:$J$201&amp;'Emission factors'!$K$3:$K$201,0),MATCH('Buildings - Grid Electricity'!X$6,'Emission factors'!$K$2:$V$2,0)))*$K423)</f>
        <v/>
      </c>
      <c r="Y423" s="30"/>
    </row>
    <row r="424" spans="1:25" ht="15" outlineLevel="1" thickBot="1" x14ac:dyDescent="0.4">
      <c r="A424" s="319"/>
      <c r="B424" s="216"/>
      <c r="C424" s="216"/>
      <c r="D424" s="489" t="str">
        <f>IFERROR(INDEX(BuildingInformationTable[Site type],MATCH(BuildingsElectricityTable[[#This Row],[Site name]],BuildingInformationTable[Site name],0)),"")</f>
        <v/>
      </c>
      <c r="E424" s="490" t="str">
        <f t="shared" si="35"/>
        <v/>
      </c>
      <c r="F424" s="490" t="str">
        <f t="shared" si="36"/>
        <v/>
      </c>
      <c r="G424" s="491"/>
      <c r="H424" s="492" t="str">
        <f>IF(G424="","",INDEX(Lists!$BA$4:$BC$31,MATCH(E424,Lists!$AZ$4:$AZ$31,0),MATCH(G424,Lists!$BA$3:$BC$3,0)))</f>
        <v/>
      </c>
      <c r="I424" s="267"/>
      <c r="J424" s="490" t="str">
        <f t="shared" si="37"/>
        <v/>
      </c>
      <c r="K424" s="493" t="str" cm="1">
        <f t="array" ref="K424">IF(OR($E424="",$D424="",$I424="",$J424=""),"",IF(J424=L424,I424,(INDEX('Emission factors'!$K$3:$V$201,MATCH(E424&amp;F424,'Emission factors'!$J$3:$J$201&amp;'Emission factors'!$K$3:$K$201,0),MATCH(K$6,'Emission factors'!$K$2:$V$2,0)))*I424))</f>
        <v/>
      </c>
      <c r="L424" s="494" t="str">
        <f>IF(OR($E424="",$D424="",$I424="",$J424=""),"",INDEX('Emission factors'!$K$3:$V$201,MATCH('Buildings - Grid Electricity'!$E424,'Emission factors'!$J$3:$J$201,0),MATCH($L$6,'Emission factors'!$K$2:$V$2,0)))</f>
        <v/>
      </c>
      <c r="M424" s="495" t="str" cm="1">
        <f t="array" ref="M424">IF(OR(E424="",I424="",BuildingsElectricityTable[[#This Row],[Units]]=""),"",INDEX('Emission factors'!$K$3:$V$201,MATCH('Buildings - Grid Electricity'!$E424&amp;F424,'Emission factors'!$J$3:$J$201&amp;'Emission factors'!$K$3:$K$201,0),MATCH('Buildings - Grid Electricity'!$M$6,'Emission factors'!$K$2:$V$2,0)))</f>
        <v/>
      </c>
      <c r="N424" s="496" t="str">
        <f>IF(OR(K424="",M424=""),"",SUM(BuildingsElectricityTable[[#This Row],[Direct]:[Indirect WTT]]))</f>
        <v/>
      </c>
      <c r="O424" s="268"/>
      <c r="P424" s="497"/>
      <c r="Q424" s="157" t="str" cm="1">
        <f t="array" ref="Q424">IF(OR($E424="",$I424=""),"",(INDEX('Emission factors'!$K$3:$V$201,MATCH('Buildings - Grid Electricity'!$E424&amp;$F424,'Emission factors'!$J$3:$J$201&amp;'Emission factors'!$K$3:$K$201,0),MATCH('Buildings - Grid Electricity'!Q$6,'Emission factors'!$K$2:$V$2,0)))*$K424)</f>
        <v/>
      </c>
      <c r="R424" s="157" t="str" cm="1">
        <f t="array" ref="R424">IF(OR($E424="",$I424=""),"",(INDEX('Emission factors'!$K$3:$V$201,MATCH('Buildings - Grid Electricity'!$E424&amp;$F424,'Emission factors'!$J$3:$J$201&amp;'Emission factors'!$K$3:$K$201,0),MATCH('Buildings - Grid Electricity'!R$6,'Emission factors'!$K$2:$V$2,0)))*$K424)</f>
        <v/>
      </c>
      <c r="S424" s="157" t="str" cm="1">
        <f t="array" ref="S424">IF(OR($E424="",$I424=""),"",(INDEX('Emission factors'!$K$3:$V$201,MATCH('Buildings - Grid Electricity'!$E424&amp;$F424,'Emission factors'!$J$3:$J$201&amp;'Emission factors'!$K$3:$K$201,0),MATCH('Buildings - Grid Electricity'!S$6,'Emission factors'!$K$2:$V$2,0)))*$K424)</f>
        <v/>
      </c>
      <c r="T424" s="157" t="str" cm="1">
        <f t="array" ref="T424">IF(OR($E424="",$I424=""),"",(INDEX('Emission factors'!$K$3:$V$201,MATCH('Buildings - Grid Electricity'!$E424&amp;$F424,'Emission factors'!$J$3:$J$201&amp;'Emission factors'!$K$3:$K$201,0),MATCH('Buildings - Grid Electricity'!T$6,'Emission factors'!$K$2:$V$2,0)))*$K424)</f>
        <v/>
      </c>
      <c r="U424" s="157" t="str" cm="1">
        <f t="array" ref="U424">IF(OR($E424="",$I424=""),"",(INDEX('Emission factors'!$K$3:$V$201,MATCH('Buildings - Grid Electricity'!$E424&amp;$F424,'Emission factors'!$J$3:$J$201&amp;'Emission factors'!$K$3:$K$201,0),MATCH('Buildings - Grid Electricity'!U$6,'Emission factors'!$K$2:$V$2,0)))*$K424)</f>
        <v/>
      </c>
      <c r="V424" s="269" t="str">
        <f>IF(OR($N424="",BuildingsElectricityTable[[#This Row],[RSD]]=""),"",BuildingsElectricityTable[[#This Row],[Total emissions (kgCO2e)]]*(1+BuildingsElectricityTable[[#This Row],[RSD]]))</f>
        <v/>
      </c>
      <c r="W424" s="270" t="str">
        <f>IF(OR($N424="",BuildingsElectricityTable[[#This Row],[RSD]]=""),"",BuildingsElectricityTable[[#This Row],[Total emissions (kgCO2e)]]*(1-BuildingsElectricityTable[[#This Row],[RSD]]))</f>
        <v/>
      </c>
      <c r="X424" s="271" t="str" cm="1">
        <f t="array" ref="X424">IF(OR($E424="",$I424=""),"",(INDEX('Emission factors'!$K$3:$V$201,MATCH('Buildings - Grid Electricity'!$E424&amp;$F424,'Emission factors'!$J$3:$J$201&amp;'Emission factors'!$K$3:$K$201,0),MATCH('Buildings - Grid Electricity'!X$6,'Emission factors'!$K$2:$V$2,0)))*$K424)</f>
        <v/>
      </c>
      <c r="Y424" s="30"/>
    </row>
    <row r="425" spans="1:25" ht="15" outlineLevel="1" thickBot="1" x14ac:dyDescent="0.4">
      <c r="A425" s="319"/>
      <c r="B425" s="216"/>
      <c r="C425" s="216"/>
      <c r="D425" s="489" t="str">
        <f>IFERROR(INDEX(BuildingInformationTable[Site type],MATCH(BuildingsElectricityTable[[#This Row],[Site name]],BuildingInformationTable[Site name],0)),"")</f>
        <v/>
      </c>
      <c r="E425" s="490" t="str">
        <f t="shared" si="35"/>
        <v/>
      </c>
      <c r="F425" s="490" t="str">
        <f t="shared" si="36"/>
        <v/>
      </c>
      <c r="G425" s="491"/>
      <c r="H425" s="492" t="str">
        <f>IF(G425="","",INDEX(Lists!$BA$4:$BC$31,MATCH(E425,Lists!$AZ$4:$AZ$31,0),MATCH(G425,Lists!$BA$3:$BC$3,0)))</f>
        <v/>
      </c>
      <c r="I425" s="267"/>
      <c r="J425" s="490" t="str">
        <f t="shared" si="37"/>
        <v/>
      </c>
      <c r="K425" s="493" t="str" cm="1">
        <f t="array" ref="K425">IF(OR($E425="",$D425="",$I425="",$J425=""),"",IF(J425=L425,I425,(INDEX('Emission factors'!$K$3:$V$201,MATCH(E425&amp;F425,'Emission factors'!$J$3:$J$201&amp;'Emission factors'!$K$3:$K$201,0),MATCH(K$6,'Emission factors'!$K$2:$V$2,0)))*I425))</f>
        <v/>
      </c>
      <c r="L425" s="494" t="str">
        <f>IF(OR($E425="",$D425="",$I425="",$J425=""),"",INDEX('Emission factors'!$K$3:$V$201,MATCH('Buildings - Grid Electricity'!$E425,'Emission factors'!$J$3:$J$201,0),MATCH($L$6,'Emission factors'!$K$2:$V$2,0)))</f>
        <v/>
      </c>
      <c r="M425" s="495" t="str" cm="1">
        <f t="array" ref="M425">IF(OR(E425="",I425="",BuildingsElectricityTable[[#This Row],[Units]]=""),"",INDEX('Emission factors'!$K$3:$V$201,MATCH('Buildings - Grid Electricity'!$E425&amp;F425,'Emission factors'!$J$3:$J$201&amp;'Emission factors'!$K$3:$K$201,0),MATCH('Buildings - Grid Electricity'!$M$6,'Emission factors'!$K$2:$V$2,0)))</f>
        <v/>
      </c>
      <c r="N425" s="496" t="str">
        <f>IF(OR(K425="",M425=""),"",SUM(BuildingsElectricityTable[[#This Row],[Direct]:[Indirect WTT]]))</f>
        <v/>
      </c>
      <c r="O425" s="268"/>
      <c r="P425" s="497"/>
      <c r="Q425" s="157" t="str" cm="1">
        <f t="array" ref="Q425">IF(OR($E425="",$I425=""),"",(INDEX('Emission factors'!$K$3:$V$201,MATCH('Buildings - Grid Electricity'!$E425&amp;$F425,'Emission factors'!$J$3:$J$201&amp;'Emission factors'!$K$3:$K$201,0),MATCH('Buildings - Grid Electricity'!Q$6,'Emission factors'!$K$2:$V$2,0)))*$K425)</f>
        <v/>
      </c>
      <c r="R425" s="157" t="str" cm="1">
        <f t="array" ref="R425">IF(OR($E425="",$I425=""),"",(INDEX('Emission factors'!$K$3:$V$201,MATCH('Buildings - Grid Electricity'!$E425&amp;$F425,'Emission factors'!$J$3:$J$201&amp;'Emission factors'!$K$3:$K$201,0),MATCH('Buildings - Grid Electricity'!R$6,'Emission factors'!$K$2:$V$2,0)))*$K425)</f>
        <v/>
      </c>
      <c r="S425" s="157" t="str" cm="1">
        <f t="array" ref="S425">IF(OR($E425="",$I425=""),"",(INDEX('Emission factors'!$K$3:$V$201,MATCH('Buildings - Grid Electricity'!$E425&amp;$F425,'Emission factors'!$J$3:$J$201&amp;'Emission factors'!$K$3:$K$201,0),MATCH('Buildings - Grid Electricity'!S$6,'Emission factors'!$K$2:$V$2,0)))*$K425)</f>
        <v/>
      </c>
      <c r="T425" s="157" t="str" cm="1">
        <f t="array" ref="T425">IF(OR($E425="",$I425=""),"",(INDEX('Emission factors'!$K$3:$V$201,MATCH('Buildings - Grid Electricity'!$E425&amp;$F425,'Emission factors'!$J$3:$J$201&amp;'Emission factors'!$K$3:$K$201,0),MATCH('Buildings - Grid Electricity'!T$6,'Emission factors'!$K$2:$V$2,0)))*$K425)</f>
        <v/>
      </c>
      <c r="U425" s="157" t="str" cm="1">
        <f t="array" ref="U425">IF(OR($E425="",$I425=""),"",(INDEX('Emission factors'!$K$3:$V$201,MATCH('Buildings - Grid Electricity'!$E425&amp;$F425,'Emission factors'!$J$3:$J$201&amp;'Emission factors'!$K$3:$K$201,0),MATCH('Buildings - Grid Electricity'!U$6,'Emission factors'!$K$2:$V$2,0)))*$K425)</f>
        <v/>
      </c>
      <c r="V425" s="269" t="str">
        <f>IF(OR($N425="",BuildingsElectricityTable[[#This Row],[RSD]]=""),"",BuildingsElectricityTable[[#This Row],[Total emissions (kgCO2e)]]*(1+BuildingsElectricityTable[[#This Row],[RSD]]))</f>
        <v/>
      </c>
      <c r="W425" s="270" t="str">
        <f>IF(OR($N425="",BuildingsElectricityTable[[#This Row],[RSD]]=""),"",BuildingsElectricityTable[[#This Row],[Total emissions (kgCO2e)]]*(1-BuildingsElectricityTable[[#This Row],[RSD]]))</f>
        <v/>
      </c>
      <c r="X425" s="271" t="str" cm="1">
        <f t="array" ref="X425">IF(OR($E425="",$I425=""),"",(INDEX('Emission factors'!$K$3:$V$201,MATCH('Buildings - Grid Electricity'!$E425&amp;$F425,'Emission factors'!$J$3:$J$201&amp;'Emission factors'!$K$3:$K$201,0),MATCH('Buildings - Grid Electricity'!X$6,'Emission factors'!$K$2:$V$2,0)))*$K425)</f>
        <v/>
      </c>
      <c r="Y425" s="30"/>
    </row>
    <row r="426" spans="1:25" ht="15" outlineLevel="1" thickBot="1" x14ac:dyDescent="0.4">
      <c r="A426" s="319"/>
      <c r="B426" s="216"/>
      <c r="C426" s="216"/>
      <c r="D426" s="489" t="str">
        <f>IFERROR(INDEX(BuildingInformationTable[Site type],MATCH(BuildingsElectricityTable[[#This Row],[Site name]],BuildingInformationTable[Site name],0)),"")</f>
        <v/>
      </c>
      <c r="E426" s="490" t="str">
        <f t="shared" si="35"/>
        <v/>
      </c>
      <c r="F426" s="490" t="str">
        <f t="shared" si="36"/>
        <v/>
      </c>
      <c r="G426" s="491"/>
      <c r="H426" s="492" t="str">
        <f>IF(G426="","",INDEX(Lists!$BA$4:$BC$31,MATCH(E426,Lists!$AZ$4:$AZ$31,0),MATCH(G426,Lists!$BA$3:$BC$3,0)))</f>
        <v/>
      </c>
      <c r="I426" s="267"/>
      <c r="J426" s="490" t="str">
        <f t="shared" si="37"/>
        <v/>
      </c>
      <c r="K426" s="493" t="str" cm="1">
        <f t="array" ref="K426">IF(OR($E426="",$D426="",$I426="",$J426=""),"",IF(J426=L426,I426,(INDEX('Emission factors'!$K$3:$V$201,MATCH(E426&amp;F426,'Emission factors'!$J$3:$J$201&amp;'Emission factors'!$K$3:$K$201,0),MATCH(K$6,'Emission factors'!$K$2:$V$2,0)))*I426))</f>
        <v/>
      </c>
      <c r="L426" s="494" t="str">
        <f>IF(OR($E426="",$D426="",$I426="",$J426=""),"",INDEX('Emission factors'!$K$3:$V$201,MATCH('Buildings - Grid Electricity'!$E426,'Emission factors'!$J$3:$J$201,0),MATCH($L$6,'Emission factors'!$K$2:$V$2,0)))</f>
        <v/>
      </c>
      <c r="M426" s="495" t="str" cm="1">
        <f t="array" ref="M426">IF(OR(E426="",I426="",BuildingsElectricityTable[[#This Row],[Units]]=""),"",INDEX('Emission factors'!$K$3:$V$201,MATCH('Buildings - Grid Electricity'!$E426&amp;F426,'Emission factors'!$J$3:$J$201&amp;'Emission factors'!$K$3:$K$201,0),MATCH('Buildings - Grid Electricity'!$M$6,'Emission factors'!$K$2:$V$2,0)))</f>
        <v/>
      </c>
      <c r="N426" s="496" t="str">
        <f>IF(OR(K426="",M426=""),"",SUM(BuildingsElectricityTable[[#This Row],[Direct]:[Indirect WTT]]))</f>
        <v/>
      </c>
      <c r="O426" s="268"/>
      <c r="P426" s="497"/>
      <c r="Q426" s="157" t="str" cm="1">
        <f t="array" ref="Q426">IF(OR($E426="",$I426=""),"",(INDEX('Emission factors'!$K$3:$V$201,MATCH('Buildings - Grid Electricity'!$E426&amp;$F426,'Emission factors'!$J$3:$J$201&amp;'Emission factors'!$K$3:$K$201,0),MATCH('Buildings - Grid Electricity'!Q$6,'Emission factors'!$K$2:$V$2,0)))*$K426)</f>
        <v/>
      </c>
      <c r="R426" s="157" t="str" cm="1">
        <f t="array" ref="R426">IF(OR($E426="",$I426=""),"",(INDEX('Emission factors'!$K$3:$V$201,MATCH('Buildings - Grid Electricity'!$E426&amp;$F426,'Emission factors'!$J$3:$J$201&amp;'Emission factors'!$K$3:$K$201,0),MATCH('Buildings - Grid Electricity'!R$6,'Emission factors'!$K$2:$V$2,0)))*$K426)</f>
        <v/>
      </c>
      <c r="S426" s="157" t="str" cm="1">
        <f t="array" ref="S426">IF(OR($E426="",$I426=""),"",(INDEX('Emission factors'!$K$3:$V$201,MATCH('Buildings - Grid Electricity'!$E426&amp;$F426,'Emission factors'!$J$3:$J$201&amp;'Emission factors'!$K$3:$K$201,0),MATCH('Buildings - Grid Electricity'!S$6,'Emission factors'!$K$2:$V$2,0)))*$K426)</f>
        <v/>
      </c>
      <c r="T426" s="157" t="str" cm="1">
        <f t="array" ref="T426">IF(OR($E426="",$I426=""),"",(INDEX('Emission factors'!$K$3:$V$201,MATCH('Buildings - Grid Electricity'!$E426&amp;$F426,'Emission factors'!$J$3:$J$201&amp;'Emission factors'!$K$3:$K$201,0),MATCH('Buildings - Grid Electricity'!T$6,'Emission factors'!$K$2:$V$2,0)))*$K426)</f>
        <v/>
      </c>
      <c r="U426" s="157" t="str" cm="1">
        <f t="array" ref="U426">IF(OR($E426="",$I426=""),"",(INDEX('Emission factors'!$K$3:$V$201,MATCH('Buildings - Grid Electricity'!$E426&amp;$F426,'Emission factors'!$J$3:$J$201&amp;'Emission factors'!$K$3:$K$201,0),MATCH('Buildings - Grid Electricity'!U$6,'Emission factors'!$K$2:$V$2,0)))*$K426)</f>
        <v/>
      </c>
      <c r="V426" s="269" t="str">
        <f>IF(OR($N426="",BuildingsElectricityTable[[#This Row],[RSD]]=""),"",BuildingsElectricityTable[[#This Row],[Total emissions (kgCO2e)]]*(1+BuildingsElectricityTable[[#This Row],[RSD]]))</f>
        <v/>
      </c>
      <c r="W426" s="270" t="str">
        <f>IF(OR($N426="",BuildingsElectricityTable[[#This Row],[RSD]]=""),"",BuildingsElectricityTable[[#This Row],[Total emissions (kgCO2e)]]*(1-BuildingsElectricityTable[[#This Row],[RSD]]))</f>
        <v/>
      </c>
      <c r="X426" s="271" t="str" cm="1">
        <f t="array" ref="X426">IF(OR($E426="",$I426=""),"",(INDEX('Emission factors'!$K$3:$V$201,MATCH('Buildings - Grid Electricity'!$E426&amp;$F426,'Emission factors'!$J$3:$J$201&amp;'Emission factors'!$K$3:$K$201,0),MATCH('Buildings - Grid Electricity'!X$6,'Emission factors'!$K$2:$V$2,0)))*$K426)</f>
        <v/>
      </c>
      <c r="Y426" s="30"/>
    </row>
    <row r="427" spans="1:25" ht="15" outlineLevel="1" thickBot="1" x14ac:dyDescent="0.4">
      <c r="A427" s="319"/>
      <c r="B427" s="216"/>
      <c r="C427" s="216"/>
      <c r="D427" s="489" t="str">
        <f>IFERROR(INDEX(BuildingInformationTable[Site type],MATCH(BuildingsElectricityTable[[#This Row],[Site name]],BuildingInformationTable[Site name],0)),"")</f>
        <v/>
      </c>
      <c r="E427" s="490" t="str">
        <f t="shared" si="35"/>
        <v/>
      </c>
      <c r="F427" s="490" t="str">
        <f t="shared" si="36"/>
        <v/>
      </c>
      <c r="G427" s="491"/>
      <c r="H427" s="492" t="str">
        <f>IF(G427="","",INDEX(Lists!$BA$4:$BC$31,MATCH(E427,Lists!$AZ$4:$AZ$31,0),MATCH(G427,Lists!$BA$3:$BC$3,0)))</f>
        <v/>
      </c>
      <c r="I427" s="267"/>
      <c r="J427" s="490" t="str">
        <f t="shared" si="37"/>
        <v/>
      </c>
      <c r="K427" s="493" t="str" cm="1">
        <f t="array" ref="K427">IF(OR($E427="",$D427="",$I427="",$J427=""),"",IF(J427=L427,I427,(INDEX('Emission factors'!$K$3:$V$201,MATCH(E427&amp;F427,'Emission factors'!$J$3:$J$201&amp;'Emission factors'!$K$3:$K$201,0),MATCH(K$6,'Emission factors'!$K$2:$V$2,0)))*I427))</f>
        <v/>
      </c>
      <c r="L427" s="494" t="str">
        <f>IF(OR($E427="",$D427="",$I427="",$J427=""),"",INDEX('Emission factors'!$K$3:$V$201,MATCH('Buildings - Grid Electricity'!$E427,'Emission factors'!$J$3:$J$201,0),MATCH($L$6,'Emission factors'!$K$2:$V$2,0)))</f>
        <v/>
      </c>
      <c r="M427" s="495" t="str" cm="1">
        <f t="array" ref="M427">IF(OR(E427="",I427="",BuildingsElectricityTable[[#This Row],[Units]]=""),"",INDEX('Emission factors'!$K$3:$V$201,MATCH('Buildings - Grid Electricity'!$E427&amp;F427,'Emission factors'!$J$3:$J$201&amp;'Emission factors'!$K$3:$K$201,0),MATCH('Buildings - Grid Electricity'!$M$6,'Emission factors'!$K$2:$V$2,0)))</f>
        <v/>
      </c>
      <c r="N427" s="496" t="str">
        <f>IF(OR(K427="",M427=""),"",SUM(BuildingsElectricityTable[[#This Row],[Direct]:[Indirect WTT]]))</f>
        <v/>
      </c>
      <c r="O427" s="268"/>
      <c r="P427" s="497"/>
      <c r="Q427" s="157" t="str" cm="1">
        <f t="array" ref="Q427">IF(OR($E427="",$I427=""),"",(INDEX('Emission factors'!$K$3:$V$201,MATCH('Buildings - Grid Electricity'!$E427&amp;$F427,'Emission factors'!$J$3:$J$201&amp;'Emission factors'!$K$3:$K$201,0),MATCH('Buildings - Grid Electricity'!Q$6,'Emission factors'!$K$2:$V$2,0)))*$K427)</f>
        <v/>
      </c>
      <c r="R427" s="157" t="str" cm="1">
        <f t="array" ref="R427">IF(OR($E427="",$I427=""),"",(INDEX('Emission factors'!$K$3:$V$201,MATCH('Buildings - Grid Electricity'!$E427&amp;$F427,'Emission factors'!$J$3:$J$201&amp;'Emission factors'!$K$3:$K$201,0),MATCH('Buildings - Grid Electricity'!R$6,'Emission factors'!$K$2:$V$2,0)))*$K427)</f>
        <v/>
      </c>
      <c r="S427" s="157" t="str" cm="1">
        <f t="array" ref="S427">IF(OR($E427="",$I427=""),"",(INDEX('Emission factors'!$K$3:$V$201,MATCH('Buildings - Grid Electricity'!$E427&amp;$F427,'Emission factors'!$J$3:$J$201&amp;'Emission factors'!$K$3:$K$201,0),MATCH('Buildings - Grid Electricity'!S$6,'Emission factors'!$K$2:$V$2,0)))*$K427)</f>
        <v/>
      </c>
      <c r="T427" s="157" t="str" cm="1">
        <f t="array" ref="T427">IF(OR($E427="",$I427=""),"",(INDEX('Emission factors'!$K$3:$V$201,MATCH('Buildings - Grid Electricity'!$E427&amp;$F427,'Emission factors'!$J$3:$J$201&amp;'Emission factors'!$K$3:$K$201,0),MATCH('Buildings - Grid Electricity'!T$6,'Emission factors'!$K$2:$V$2,0)))*$K427)</f>
        <v/>
      </c>
      <c r="U427" s="157" t="str" cm="1">
        <f t="array" ref="U427">IF(OR($E427="",$I427=""),"",(INDEX('Emission factors'!$K$3:$V$201,MATCH('Buildings - Grid Electricity'!$E427&amp;$F427,'Emission factors'!$J$3:$J$201&amp;'Emission factors'!$K$3:$K$201,0),MATCH('Buildings - Grid Electricity'!U$6,'Emission factors'!$K$2:$V$2,0)))*$K427)</f>
        <v/>
      </c>
      <c r="V427" s="269" t="str">
        <f>IF(OR($N427="",BuildingsElectricityTable[[#This Row],[RSD]]=""),"",BuildingsElectricityTable[[#This Row],[Total emissions (kgCO2e)]]*(1+BuildingsElectricityTable[[#This Row],[RSD]]))</f>
        <v/>
      </c>
      <c r="W427" s="270" t="str">
        <f>IF(OR($N427="",BuildingsElectricityTable[[#This Row],[RSD]]=""),"",BuildingsElectricityTable[[#This Row],[Total emissions (kgCO2e)]]*(1-BuildingsElectricityTable[[#This Row],[RSD]]))</f>
        <v/>
      </c>
      <c r="X427" s="271" t="str" cm="1">
        <f t="array" ref="X427">IF(OR($E427="",$I427=""),"",(INDEX('Emission factors'!$K$3:$V$201,MATCH('Buildings - Grid Electricity'!$E427&amp;$F427,'Emission factors'!$J$3:$J$201&amp;'Emission factors'!$K$3:$K$201,0),MATCH('Buildings - Grid Electricity'!X$6,'Emission factors'!$K$2:$V$2,0)))*$K427)</f>
        <v/>
      </c>
      <c r="Y427" s="30"/>
    </row>
    <row r="428" spans="1:25" ht="15" outlineLevel="1" thickBot="1" x14ac:dyDescent="0.4">
      <c r="A428" s="319"/>
      <c r="B428" s="216"/>
      <c r="C428" s="216"/>
      <c r="D428" s="489" t="str">
        <f>IFERROR(INDEX(BuildingInformationTable[Site type],MATCH(BuildingsElectricityTable[[#This Row],[Site name]],BuildingInformationTable[Site name],0)),"")</f>
        <v/>
      </c>
      <c r="E428" s="490" t="str">
        <f t="shared" si="35"/>
        <v/>
      </c>
      <c r="F428" s="490" t="str">
        <f t="shared" si="36"/>
        <v/>
      </c>
      <c r="G428" s="491"/>
      <c r="H428" s="492" t="str">
        <f>IF(G428="","",INDEX(Lists!$BA$4:$BC$31,MATCH(E428,Lists!$AZ$4:$AZ$31,0),MATCH(G428,Lists!$BA$3:$BC$3,0)))</f>
        <v/>
      </c>
      <c r="I428" s="267"/>
      <c r="J428" s="490" t="str">
        <f t="shared" si="37"/>
        <v/>
      </c>
      <c r="K428" s="493" t="str" cm="1">
        <f t="array" ref="K428">IF(OR($E428="",$D428="",$I428="",$J428=""),"",IF(J428=L428,I428,(INDEX('Emission factors'!$K$3:$V$201,MATCH(E428&amp;F428,'Emission factors'!$J$3:$J$201&amp;'Emission factors'!$K$3:$K$201,0),MATCH(K$6,'Emission factors'!$K$2:$V$2,0)))*I428))</f>
        <v/>
      </c>
      <c r="L428" s="494" t="str">
        <f>IF(OR($E428="",$D428="",$I428="",$J428=""),"",INDEX('Emission factors'!$K$3:$V$201,MATCH('Buildings - Grid Electricity'!$E428,'Emission factors'!$J$3:$J$201,0),MATCH($L$6,'Emission factors'!$K$2:$V$2,0)))</f>
        <v/>
      </c>
      <c r="M428" s="495" t="str" cm="1">
        <f t="array" ref="M428">IF(OR(E428="",I428="",BuildingsElectricityTable[[#This Row],[Units]]=""),"",INDEX('Emission factors'!$K$3:$V$201,MATCH('Buildings - Grid Electricity'!$E428&amp;F428,'Emission factors'!$J$3:$J$201&amp;'Emission factors'!$K$3:$K$201,0),MATCH('Buildings - Grid Electricity'!$M$6,'Emission factors'!$K$2:$V$2,0)))</f>
        <v/>
      </c>
      <c r="N428" s="496" t="str">
        <f>IF(OR(K428="",M428=""),"",SUM(BuildingsElectricityTable[[#This Row],[Direct]:[Indirect WTT]]))</f>
        <v/>
      </c>
      <c r="O428" s="268"/>
      <c r="P428" s="497"/>
      <c r="Q428" s="157" t="str" cm="1">
        <f t="array" ref="Q428">IF(OR($E428="",$I428=""),"",(INDEX('Emission factors'!$K$3:$V$201,MATCH('Buildings - Grid Electricity'!$E428&amp;$F428,'Emission factors'!$J$3:$J$201&amp;'Emission factors'!$K$3:$K$201,0),MATCH('Buildings - Grid Electricity'!Q$6,'Emission factors'!$K$2:$V$2,0)))*$K428)</f>
        <v/>
      </c>
      <c r="R428" s="157" t="str" cm="1">
        <f t="array" ref="R428">IF(OR($E428="",$I428=""),"",(INDEX('Emission factors'!$K$3:$V$201,MATCH('Buildings - Grid Electricity'!$E428&amp;$F428,'Emission factors'!$J$3:$J$201&amp;'Emission factors'!$K$3:$K$201,0),MATCH('Buildings - Grid Electricity'!R$6,'Emission factors'!$K$2:$V$2,0)))*$K428)</f>
        <v/>
      </c>
      <c r="S428" s="157" t="str" cm="1">
        <f t="array" ref="S428">IF(OR($E428="",$I428=""),"",(INDEX('Emission factors'!$K$3:$V$201,MATCH('Buildings - Grid Electricity'!$E428&amp;$F428,'Emission factors'!$J$3:$J$201&amp;'Emission factors'!$K$3:$K$201,0),MATCH('Buildings - Grid Electricity'!S$6,'Emission factors'!$K$2:$V$2,0)))*$K428)</f>
        <v/>
      </c>
      <c r="T428" s="157" t="str" cm="1">
        <f t="array" ref="T428">IF(OR($E428="",$I428=""),"",(INDEX('Emission factors'!$K$3:$V$201,MATCH('Buildings - Grid Electricity'!$E428&amp;$F428,'Emission factors'!$J$3:$J$201&amp;'Emission factors'!$K$3:$K$201,0),MATCH('Buildings - Grid Electricity'!T$6,'Emission factors'!$K$2:$V$2,0)))*$K428)</f>
        <v/>
      </c>
      <c r="U428" s="157" t="str" cm="1">
        <f t="array" ref="U428">IF(OR($E428="",$I428=""),"",(INDEX('Emission factors'!$K$3:$V$201,MATCH('Buildings - Grid Electricity'!$E428&amp;$F428,'Emission factors'!$J$3:$J$201&amp;'Emission factors'!$K$3:$K$201,0),MATCH('Buildings - Grid Electricity'!U$6,'Emission factors'!$K$2:$V$2,0)))*$K428)</f>
        <v/>
      </c>
      <c r="V428" s="269" t="str">
        <f>IF(OR($N428="",BuildingsElectricityTable[[#This Row],[RSD]]=""),"",BuildingsElectricityTable[[#This Row],[Total emissions (kgCO2e)]]*(1+BuildingsElectricityTable[[#This Row],[RSD]]))</f>
        <v/>
      </c>
      <c r="W428" s="270" t="str">
        <f>IF(OR($N428="",BuildingsElectricityTable[[#This Row],[RSD]]=""),"",BuildingsElectricityTable[[#This Row],[Total emissions (kgCO2e)]]*(1-BuildingsElectricityTable[[#This Row],[RSD]]))</f>
        <v/>
      </c>
      <c r="X428" s="271" t="str" cm="1">
        <f t="array" ref="X428">IF(OR($E428="",$I428=""),"",(INDEX('Emission factors'!$K$3:$V$201,MATCH('Buildings - Grid Electricity'!$E428&amp;$F428,'Emission factors'!$J$3:$J$201&amp;'Emission factors'!$K$3:$K$201,0),MATCH('Buildings - Grid Electricity'!X$6,'Emission factors'!$K$2:$V$2,0)))*$K428)</f>
        <v/>
      </c>
      <c r="Y428" s="30"/>
    </row>
    <row r="429" spans="1:25" ht="15" outlineLevel="1" thickBot="1" x14ac:dyDescent="0.4">
      <c r="A429" s="319"/>
      <c r="B429" s="216"/>
      <c r="C429" s="216"/>
      <c r="D429" s="489" t="str">
        <f>IFERROR(INDEX(BuildingInformationTable[Site type],MATCH(BuildingsElectricityTable[[#This Row],[Site name]],BuildingInformationTable[Site name],0)),"")</f>
        <v/>
      </c>
      <c r="E429" s="490" t="str">
        <f t="shared" si="35"/>
        <v/>
      </c>
      <c r="F429" s="490" t="str">
        <f t="shared" si="36"/>
        <v/>
      </c>
      <c r="G429" s="491"/>
      <c r="H429" s="492" t="str">
        <f>IF(G429="","",INDEX(Lists!$BA$4:$BC$31,MATCH(E429,Lists!$AZ$4:$AZ$31,0),MATCH(G429,Lists!$BA$3:$BC$3,0)))</f>
        <v/>
      </c>
      <c r="I429" s="267"/>
      <c r="J429" s="490" t="str">
        <f t="shared" si="37"/>
        <v/>
      </c>
      <c r="K429" s="493" t="str" cm="1">
        <f t="array" ref="K429">IF(OR($E429="",$D429="",$I429="",$J429=""),"",IF(J429=L429,I429,(INDEX('Emission factors'!$K$3:$V$201,MATCH(E429&amp;F429,'Emission factors'!$J$3:$J$201&amp;'Emission factors'!$K$3:$K$201,0),MATCH(K$6,'Emission factors'!$K$2:$V$2,0)))*I429))</f>
        <v/>
      </c>
      <c r="L429" s="494" t="str">
        <f>IF(OR($E429="",$D429="",$I429="",$J429=""),"",INDEX('Emission factors'!$K$3:$V$201,MATCH('Buildings - Grid Electricity'!$E429,'Emission factors'!$J$3:$J$201,0),MATCH($L$6,'Emission factors'!$K$2:$V$2,0)))</f>
        <v/>
      </c>
      <c r="M429" s="495" t="str" cm="1">
        <f t="array" ref="M429">IF(OR(E429="",I429="",BuildingsElectricityTable[[#This Row],[Units]]=""),"",INDEX('Emission factors'!$K$3:$V$201,MATCH('Buildings - Grid Electricity'!$E429&amp;F429,'Emission factors'!$J$3:$J$201&amp;'Emission factors'!$K$3:$K$201,0),MATCH('Buildings - Grid Electricity'!$M$6,'Emission factors'!$K$2:$V$2,0)))</f>
        <v/>
      </c>
      <c r="N429" s="496" t="str">
        <f>IF(OR(K429="",M429=""),"",SUM(BuildingsElectricityTable[[#This Row],[Direct]:[Indirect WTT]]))</f>
        <v/>
      </c>
      <c r="O429" s="268"/>
      <c r="P429" s="497"/>
      <c r="Q429" s="157" t="str" cm="1">
        <f t="array" ref="Q429">IF(OR($E429="",$I429=""),"",(INDEX('Emission factors'!$K$3:$V$201,MATCH('Buildings - Grid Electricity'!$E429&amp;$F429,'Emission factors'!$J$3:$J$201&amp;'Emission factors'!$K$3:$K$201,0),MATCH('Buildings - Grid Electricity'!Q$6,'Emission factors'!$K$2:$V$2,0)))*$K429)</f>
        <v/>
      </c>
      <c r="R429" s="157" t="str" cm="1">
        <f t="array" ref="R429">IF(OR($E429="",$I429=""),"",(INDEX('Emission factors'!$K$3:$V$201,MATCH('Buildings - Grid Electricity'!$E429&amp;$F429,'Emission factors'!$J$3:$J$201&amp;'Emission factors'!$K$3:$K$201,0),MATCH('Buildings - Grid Electricity'!R$6,'Emission factors'!$K$2:$V$2,0)))*$K429)</f>
        <v/>
      </c>
      <c r="S429" s="157" t="str" cm="1">
        <f t="array" ref="S429">IF(OR($E429="",$I429=""),"",(INDEX('Emission factors'!$K$3:$V$201,MATCH('Buildings - Grid Electricity'!$E429&amp;$F429,'Emission factors'!$J$3:$J$201&amp;'Emission factors'!$K$3:$K$201,0),MATCH('Buildings - Grid Electricity'!S$6,'Emission factors'!$K$2:$V$2,0)))*$K429)</f>
        <v/>
      </c>
      <c r="T429" s="157" t="str" cm="1">
        <f t="array" ref="T429">IF(OR($E429="",$I429=""),"",(INDEX('Emission factors'!$K$3:$V$201,MATCH('Buildings - Grid Electricity'!$E429&amp;$F429,'Emission factors'!$J$3:$J$201&amp;'Emission factors'!$K$3:$K$201,0),MATCH('Buildings - Grid Electricity'!T$6,'Emission factors'!$K$2:$V$2,0)))*$K429)</f>
        <v/>
      </c>
      <c r="U429" s="157" t="str" cm="1">
        <f t="array" ref="U429">IF(OR($E429="",$I429=""),"",(INDEX('Emission factors'!$K$3:$V$201,MATCH('Buildings - Grid Electricity'!$E429&amp;$F429,'Emission factors'!$J$3:$J$201&amp;'Emission factors'!$K$3:$K$201,0),MATCH('Buildings - Grid Electricity'!U$6,'Emission factors'!$K$2:$V$2,0)))*$K429)</f>
        <v/>
      </c>
      <c r="V429" s="269" t="str">
        <f>IF(OR($N429="",BuildingsElectricityTable[[#This Row],[RSD]]=""),"",BuildingsElectricityTable[[#This Row],[Total emissions (kgCO2e)]]*(1+BuildingsElectricityTable[[#This Row],[RSD]]))</f>
        <v/>
      </c>
      <c r="W429" s="270" t="str">
        <f>IF(OR($N429="",BuildingsElectricityTable[[#This Row],[RSD]]=""),"",BuildingsElectricityTable[[#This Row],[Total emissions (kgCO2e)]]*(1-BuildingsElectricityTable[[#This Row],[RSD]]))</f>
        <v/>
      </c>
      <c r="X429" s="271" t="str" cm="1">
        <f t="array" ref="X429">IF(OR($E429="",$I429=""),"",(INDEX('Emission factors'!$K$3:$V$201,MATCH('Buildings - Grid Electricity'!$E429&amp;$F429,'Emission factors'!$J$3:$J$201&amp;'Emission factors'!$K$3:$K$201,0),MATCH('Buildings - Grid Electricity'!X$6,'Emission factors'!$K$2:$V$2,0)))*$K429)</f>
        <v/>
      </c>
      <c r="Y429" s="30"/>
    </row>
    <row r="430" spans="1:25" ht="15" outlineLevel="1" thickBot="1" x14ac:dyDescent="0.4">
      <c r="A430" s="319"/>
      <c r="B430" s="216"/>
      <c r="C430" s="216"/>
      <c r="D430" s="489" t="str">
        <f>IFERROR(INDEX(BuildingInformationTable[Site type],MATCH(BuildingsElectricityTable[[#This Row],[Site name]],BuildingInformationTable[Site name],0)),"")</f>
        <v/>
      </c>
      <c r="E430" s="490" t="str">
        <f t="shared" si="35"/>
        <v/>
      </c>
      <c r="F430" s="490" t="str">
        <f t="shared" si="36"/>
        <v/>
      </c>
      <c r="G430" s="491"/>
      <c r="H430" s="492" t="str">
        <f>IF(G430="","",INDEX(Lists!$BA$4:$BC$31,MATCH(E430,Lists!$AZ$4:$AZ$31,0),MATCH(G430,Lists!$BA$3:$BC$3,0)))</f>
        <v/>
      </c>
      <c r="I430" s="267"/>
      <c r="J430" s="490" t="str">
        <f t="shared" si="37"/>
        <v/>
      </c>
      <c r="K430" s="493" t="str" cm="1">
        <f t="array" ref="K430">IF(OR($E430="",$D430="",$I430="",$J430=""),"",IF(J430=L430,I430,(INDEX('Emission factors'!$K$3:$V$201,MATCH(E430&amp;F430,'Emission factors'!$J$3:$J$201&amp;'Emission factors'!$K$3:$K$201,0),MATCH(K$6,'Emission factors'!$K$2:$V$2,0)))*I430))</f>
        <v/>
      </c>
      <c r="L430" s="494" t="str">
        <f>IF(OR($E430="",$D430="",$I430="",$J430=""),"",INDEX('Emission factors'!$K$3:$V$201,MATCH('Buildings - Grid Electricity'!$E430,'Emission factors'!$J$3:$J$201,0),MATCH($L$6,'Emission factors'!$K$2:$V$2,0)))</f>
        <v/>
      </c>
      <c r="M430" s="495" t="str" cm="1">
        <f t="array" ref="M430">IF(OR(E430="",I430="",BuildingsElectricityTable[[#This Row],[Units]]=""),"",INDEX('Emission factors'!$K$3:$V$201,MATCH('Buildings - Grid Electricity'!$E430&amp;F430,'Emission factors'!$J$3:$J$201&amp;'Emission factors'!$K$3:$K$201,0),MATCH('Buildings - Grid Electricity'!$M$6,'Emission factors'!$K$2:$V$2,0)))</f>
        <v/>
      </c>
      <c r="N430" s="496" t="str">
        <f>IF(OR(K430="",M430=""),"",SUM(BuildingsElectricityTable[[#This Row],[Direct]:[Indirect WTT]]))</f>
        <v/>
      </c>
      <c r="O430" s="268"/>
      <c r="P430" s="497"/>
      <c r="Q430" s="157" t="str" cm="1">
        <f t="array" ref="Q430">IF(OR($E430="",$I430=""),"",(INDEX('Emission factors'!$K$3:$V$201,MATCH('Buildings - Grid Electricity'!$E430&amp;$F430,'Emission factors'!$J$3:$J$201&amp;'Emission factors'!$K$3:$K$201,0),MATCH('Buildings - Grid Electricity'!Q$6,'Emission factors'!$K$2:$V$2,0)))*$K430)</f>
        <v/>
      </c>
      <c r="R430" s="157" t="str" cm="1">
        <f t="array" ref="R430">IF(OR($E430="",$I430=""),"",(INDEX('Emission factors'!$K$3:$V$201,MATCH('Buildings - Grid Electricity'!$E430&amp;$F430,'Emission factors'!$J$3:$J$201&amp;'Emission factors'!$K$3:$K$201,0),MATCH('Buildings - Grid Electricity'!R$6,'Emission factors'!$K$2:$V$2,0)))*$K430)</f>
        <v/>
      </c>
      <c r="S430" s="157" t="str" cm="1">
        <f t="array" ref="S430">IF(OR($E430="",$I430=""),"",(INDEX('Emission factors'!$K$3:$V$201,MATCH('Buildings - Grid Electricity'!$E430&amp;$F430,'Emission factors'!$J$3:$J$201&amp;'Emission factors'!$K$3:$K$201,0),MATCH('Buildings - Grid Electricity'!S$6,'Emission factors'!$K$2:$V$2,0)))*$K430)</f>
        <v/>
      </c>
      <c r="T430" s="157" t="str" cm="1">
        <f t="array" ref="T430">IF(OR($E430="",$I430=""),"",(INDEX('Emission factors'!$K$3:$V$201,MATCH('Buildings - Grid Electricity'!$E430&amp;$F430,'Emission factors'!$J$3:$J$201&amp;'Emission factors'!$K$3:$K$201,0),MATCH('Buildings - Grid Electricity'!T$6,'Emission factors'!$K$2:$V$2,0)))*$K430)</f>
        <v/>
      </c>
      <c r="U430" s="157" t="str" cm="1">
        <f t="array" ref="U430">IF(OR($E430="",$I430=""),"",(INDEX('Emission factors'!$K$3:$V$201,MATCH('Buildings - Grid Electricity'!$E430&amp;$F430,'Emission factors'!$J$3:$J$201&amp;'Emission factors'!$K$3:$K$201,0),MATCH('Buildings - Grid Electricity'!U$6,'Emission factors'!$K$2:$V$2,0)))*$K430)</f>
        <v/>
      </c>
      <c r="V430" s="269" t="str">
        <f>IF(OR($N430="",BuildingsElectricityTable[[#This Row],[RSD]]=""),"",BuildingsElectricityTable[[#This Row],[Total emissions (kgCO2e)]]*(1+BuildingsElectricityTable[[#This Row],[RSD]]))</f>
        <v/>
      </c>
      <c r="W430" s="270" t="str">
        <f>IF(OR($N430="",BuildingsElectricityTable[[#This Row],[RSD]]=""),"",BuildingsElectricityTable[[#This Row],[Total emissions (kgCO2e)]]*(1-BuildingsElectricityTable[[#This Row],[RSD]]))</f>
        <v/>
      </c>
      <c r="X430" s="271" t="str" cm="1">
        <f t="array" ref="X430">IF(OR($E430="",$I430=""),"",(INDEX('Emission factors'!$K$3:$V$201,MATCH('Buildings - Grid Electricity'!$E430&amp;$F430,'Emission factors'!$J$3:$J$201&amp;'Emission factors'!$K$3:$K$201,0),MATCH('Buildings - Grid Electricity'!X$6,'Emission factors'!$K$2:$V$2,0)))*$K430)</f>
        <v/>
      </c>
      <c r="Y430" s="30"/>
    </row>
    <row r="431" spans="1:25" ht="15" outlineLevel="1" thickBot="1" x14ac:dyDescent="0.4">
      <c r="A431" s="319"/>
      <c r="B431" s="216"/>
      <c r="C431" s="216"/>
      <c r="D431" s="489" t="str">
        <f>IFERROR(INDEX(BuildingInformationTable[Site type],MATCH(BuildingsElectricityTable[[#This Row],[Site name]],BuildingInformationTable[Site name],0)),"")</f>
        <v/>
      </c>
      <c r="E431" s="490" t="str">
        <f t="shared" si="35"/>
        <v/>
      </c>
      <c r="F431" s="490" t="str">
        <f t="shared" si="36"/>
        <v/>
      </c>
      <c r="G431" s="491"/>
      <c r="H431" s="492" t="str">
        <f>IF(G431="","",INDEX(Lists!$BA$4:$BC$31,MATCH(E431,Lists!$AZ$4:$AZ$31,0),MATCH(G431,Lists!$BA$3:$BC$3,0)))</f>
        <v/>
      </c>
      <c r="I431" s="267"/>
      <c r="J431" s="490" t="str">
        <f t="shared" si="37"/>
        <v/>
      </c>
      <c r="K431" s="493" t="str" cm="1">
        <f t="array" ref="K431">IF(OR($E431="",$D431="",$I431="",$J431=""),"",IF(J431=L431,I431,(INDEX('Emission factors'!$K$3:$V$201,MATCH(E431&amp;F431,'Emission factors'!$J$3:$J$201&amp;'Emission factors'!$K$3:$K$201,0),MATCH(K$6,'Emission factors'!$K$2:$V$2,0)))*I431))</f>
        <v/>
      </c>
      <c r="L431" s="494" t="str">
        <f>IF(OR($E431="",$D431="",$I431="",$J431=""),"",INDEX('Emission factors'!$K$3:$V$201,MATCH('Buildings - Grid Electricity'!$E431,'Emission factors'!$J$3:$J$201,0),MATCH($L$6,'Emission factors'!$K$2:$V$2,0)))</f>
        <v/>
      </c>
      <c r="M431" s="495" t="str" cm="1">
        <f t="array" ref="M431">IF(OR(E431="",I431="",BuildingsElectricityTable[[#This Row],[Units]]=""),"",INDEX('Emission factors'!$K$3:$V$201,MATCH('Buildings - Grid Electricity'!$E431&amp;F431,'Emission factors'!$J$3:$J$201&amp;'Emission factors'!$K$3:$K$201,0),MATCH('Buildings - Grid Electricity'!$M$6,'Emission factors'!$K$2:$V$2,0)))</f>
        <v/>
      </c>
      <c r="N431" s="496" t="str">
        <f>IF(OR(K431="",M431=""),"",SUM(BuildingsElectricityTable[[#This Row],[Direct]:[Indirect WTT]]))</f>
        <v/>
      </c>
      <c r="O431" s="268"/>
      <c r="P431" s="497"/>
      <c r="Q431" s="157" t="str" cm="1">
        <f t="array" ref="Q431">IF(OR($E431="",$I431=""),"",(INDEX('Emission factors'!$K$3:$V$201,MATCH('Buildings - Grid Electricity'!$E431&amp;$F431,'Emission factors'!$J$3:$J$201&amp;'Emission factors'!$K$3:$K$201,0),MATCH('Buildings - Grid Electricity'!Q$6,'Emission factors'!$K$2:$V$2,0)))*$K431)</f>
        <v/>
      </c>
      <c r="R431" s="157" t="str" cm="1">
        <f t="array" ref="R431">IF(OR($E431="",$I431=""),"",(INDEX('Emission factors'!$K$3:$V$201,MATCH('Buildings - Grid Electricity'!$E431&amp;$F431,'Emission factors'!$J$3:$J$201&amp;'Emission factors'!$K$3:$K$201,0),MATCH('Buildings - Grid Electricity'!R$6,'Emission factors'!$K$2:$V$2,0)))*$K431)</f>
        <v/>
      </c>
      <c r="S431" s="157" t="str" cm="1">
        <f t="array" ref="S431">IF(OR($E431="",$I431=""),"",(INDEX('Emission factors'!$K$3:$V$201,MATCH('Buildings - Grid Electricity'!$E431&amp;$F431,'Emission factors'!$J$3:$J$201&amp;'Emission factors'!$K$3:$K$201,0),MATCH('Buildings - Grid Electricity'!S$6,'Emission factors'!$K$2:$V$2,0)))*$K431)</f>
        <v/>
      </c>
      <c r="T431" s="157" t="str" cm="1">
        <f t="array" ref="T431">IF(OR($E431="",$I431=""),"",(INDEX('Emission factors'!$K$3:$V$201,MATCH('Buildings - Grid Electricity'!$E431&amp;$F431,'Emission factors'!$J$3:$J$201&amp;'Emission factors'!$K$3:$K$201,0),MATCH('Buildings - Grid Electricity'!T$6,'Emission factors'!$K$2:$V$2,0)))*$K431)</f>
        <v/>
      </c>
      <c r="U431" s="157" t="str" cm="1">
        <f t="array" ref="U431">IF(OR($E431="",$I431=""),"",(INDEX('Emission factors'!$K$3:$V$201,MATCH('Buildings - Grid Electricity'!$E431&amp;$F431,'Emission factors'!$J$3:$J$201&amp;'Emission factors'!$K$3:$K$201,0),MATCH('Buildings - Grid Electricity'!U$6,'Emission factors'!$K$2:$V$2,0)))*$K431)</f>
        <v/>
      </c>
      <c r="V431" s="269" t="str">
        <f>IF(OR($N431="",BuildingsElectricityTable[[#This Row],[RSD]]=""),"",BuildingsElectricityTable[[#This Row],[Total emissions (kgCO2e)]]*(1+BuildingsElectricityTable[[#This Row],[RSD]]))</f>
        <v/>
      </c>
      <c r="W431" s="270" t="str">
        <f>IF(OR($N431="",BuildingsElectricityTable[[#This Row],[RSD]]=""),"",BuildingsElectricityTable[[#This Row],[Total emissions (kgCO2e)]]*(1-BuildingsElectricityTable[[#This Row],[RSD]]))</f>
        <v/>
      </c>
      <c r="X431" s="271" t="str" cm="1">
        <f t="array" ref="X431">IF(OR($E431="",$I431=""),"",(INDEX('Emission factors'!$K$3:$V$201,MATCH('Buildings - Grid Electricity'!$E431&amp;$F431,'Emission factors'!$J$3:$J$201&amp;'Emission factors'!$K$3:$K$201,0),MATCH('Buildings - Grid Electricity'!X$6,'Emission factors'!$K$2:$V$2,0)))*$K431)</f>
        <v/>
      </c>
      <c r="Y431" s="30"/>
    </row>
    <row r="432" spans="1:25" ht="15" outlineLevel="1" thickBot="1" x14ac:dyDescent="0.4">
      <c r="A432" s="319"/>
      <c r="B432" s="216"/>
      <c r="C432" s="216"/>
      <c r="D432" s="489" t="str">
        <f>IFERROR(INDEX(BuildingInformationTable[Site type],MATCH(BuildingsElectricityTable[[#This Row],[Site name]],BuildingInformationTable[Site name],0)),"")</f>
        <v/>
      </c>
      <c r="E432" s="490" t="str">
        <f t="shared" si="35"/>
        <v/>
      </c>
      <c r="F432" s="490" t="str">
        <f t="shared" si="36"/>
        <v/>
      </c>
      <c r="G432" s="491"/>
      <c r="H432" s="492" t="str">
        <f>IF(G432="","",INDEX(Lists!$BA$4:$BC$31,MATCH(E432,Lists!$AZ$4:$AZ$31,0),MATCH(G432,Lists!$BA$3:$BC$3,0)))</f>
        <v/>
      </c>
      <c r="I432" s="267"/>
      <c r="J432" s="490" t="str">
        <f t="shared" si="37"/>
        <v/>
      </c>
      <c r="K432" s="493" t="str" cm="1">
        <f t="array" ref="K432">IF(OR($E432="",$D432="",$I432="",$J432=""),"",IF(J432=L432,I432,(INDEX('Emission factors'!$K$3:$V$201,MATCH(E432&amp;F432,'Emission factors'!$J$3:$J$201&amp;'Emission factors'!$K$3:$K$201,0),MATCH(K$6,'Emission factors'!$K$2:$V$2,0)))*I432))</f>
        <v/>
      </c>
      <c r="L432" s="494" t="str">
        <f>IF(OR($E432="",$D432="",$I432="",$J432=""),"",INDEX('Emission factors'!$K$3:$V$201,MATCH('Buildings - Grid Electricity'!$E432,'Emission factors'!$J$3:$J$201,0),MATCH($L$6,'Emission factors'!$K$2:$V$2,0)))</f>
        <v/>
      </c>
      <c r="M432" s="495" t="str" cm="1">
        <f t="array" ref="M432">IF(OR(E432="",I432="",BuildingsElectricityTable[[#This Row],[Units]]=""),"",INDEX('Emission factors'!$K$3:$V$201,MATCH('Buildings - Grid Electricity'!$E432&amp;F432,'Emission factors'!$J$3:$J$201&amp;'Emission factors'!$K$3:$K$201,0),MATCH('Buildings - Grid Electricity'!$M$6,'Emission factors'!$K$2:$V$2,0)))</f>
        <v/>
      </c>
      <c r="N432" s="496" t="str">
        <f>IF(OR(K432="",M432=""),"",SUM(BuildingsElectricityTable[[#This Row],[Direct]:[Indirect WTT]]))</f>
        <v/>
      </c>
      <c r="O432" s="268"/>
      <c r="P432" s="497"/>
      <c r="Q432" s="157" t="str" cm="1">
        <f t="array" ref="Q432">IF(OR($E432="",$I432=""),"",(INDEX('Emission factors'!$K$3:$V$201,MATCH('Buildings - Grid Electricity'!$E432&amp;$F432,'Emission factors'!$J$3:$J$201&amp;'Emission factors'!$K$3:$K$201,0),MATCH('Buildings - Grid Electricity'!Q$6,'Emission factors'!$K$2:$V$2,0)))*$K432)</f>
        <v/>
      </c>
      <c r="R432" s="157" t="str" cm="1">
        <f t="array" ref="R432">IF(OR($E432="",$I432=""),"",(INDEX('Emission factors'!$K$3:$V$201,MATCH('Buildings - Grid Electricity'!$E432&amp;$F432,'Emission factors'!$J$3:$J$201&amp;'Emission factors'!$K$3:$K$201,0),MATCH('Buildings - Grid Electricity'!R$6,'Emission factors'!$K$2:$V$2,0)))*$K432)</f>
        <v/>
      </c>
      <c r="S432" s="157" t="str" cm="1">
        <f t="array" ref="S432">IF(OR($E432="",$I432=""),"",(INDEX('Emission factors'!$K$3:$V$201,MATCH('Buildings - Grid Electricity'!$E432&amp;$F432,'Emission factors'!$J$3:$J$201&amp;'Emission factors'!$K$3:$K$201,0),MATCH('Buildings - Grid Electricity'!S$6,'Emission factors'!$K$2:$V$2,0)))*$K432)</f>
        <v/>
      </c>
      <c r="T432" s="157" t="str" cm="1">
        <f t="array" ref="T432">IF(OR($E432="",$I432=""),"",(INDEX('Emission factors'!$K$3:$V$201,MATCH('Buildings - Grid Electricity'!$E432&amp;$F432,'Emission factors'!$J$3:$J$201&amp;'Emission factors'!$K$3:$K$201,0),MATCH('Buildings - Grid Electricity'!T$6,'Emission factors'!$K$2:$V$2,0)))*$K432)</f>
        <v/>
      </c>
      <c r="U432" s="157" t="str" cm="1">
        <f t="array" ref="U432">IF(OR($E432="",$I432=""),"",(INDEX('Emission factors'!$K$3:$V$201,MATCH('Buildings - Grid Electricity'!$E432&amp;$F432,'Emission factors'!$J$3:$J$201&amp;'Emission factors'!$K$3:$K$201,0),MATCH('Buildings - Grid Electricity'!U$6,'Emission factors'!$K$2:$V$2,0)))*$K432)</f>
        <v/>
      </c>
      <c r="V432" s="269" t="str">
        <f>IF(OR($N432="",BuildingsElectricityTable[[#This Row],[RSD]]=""),"",BuildingsElectricityTable[[#This Row],[Total emissions (kgCO2e)]]*(1+BuildingsElectricityTable[[#This Row],[RSD]]))</f>
        <v/>
      </c>
      <c r="W432" s="270" t="str">
        <f>IF(OR($N432="",BuildingsElectricityTable[[#This Row],[RSD]]=""),"",BuildingsElectricityTable[[#This Row],[Total emissions (kgCO2e)]]*(1-BuildingsElectricityTable[[#This Row],[RSD]]))</f>
        <v/>
      </c>
      <c r="X432" s="271" t="str" cm="1">
        <f t="array" ref="X432">IF(OR($E432="",$I432=""),"",(INDEX('Emission factors'!$K$3:$V$201,MATCH('Buildings - Grid Electricity'!$E432&amp;$F432,'Emission factors'!$J$3:$J$201&amp;'Emission factors'!$K$3:$K$201,0),MATCH('Buildings - Grid Electricity'!X$6,'Emission factors'!$K$2:$V$2,0)))*$K432)</f>
        <v/>
      </c>
      <c r="Y432" s="30"/>
    </row>
    <row r="433" spans="1:25" ht="15" outlineLevel="1" thickBot="1" x14ac:dyDescent="0.4">
      <c r="A433" s="319"/>
      <c r="B433" s="216"/>
      <c r="C433" s="216"/>
      <c r="D433" s="489" t="str">
        <f>IFERROR(INDEX(BuildingInformationTable[Site type],MATCH(BuildingsElectricityTable[[#This Row],[Site name]],BuildingInformationTable[Site name],0)),"")</f>
        <v/>
      </c>
      <c r="E433" s="490" t="str">
        <f t="shared" si="35"/>
        <v/>
      </c>
      <c r="F433" s="490" t="str">
        <f t="shared" si="36"/>
        <v/>
      </c>
      <c r="G433" s="491"/>
      <c r="H433" s="492" t="str">
        <f>IF(G433="","",INDEX(Lists!$BA$4:$BC$31,MATCH(E433,Lists!$AZ$4:$AZ$31,0),MATCH(G433,Lists!$BA$3:$BC$3,0)))</f>
        <v/>
      </c>
      <c r="I433" s="267"/>
      <c r="J433" s="490" t="str">
        <f t="shared" si="37"/>
        <v/>
      </c>
      <c r="K433" s="493" t="str" cm="1">
        <f t="array" ref="K433">IF(OR($E433="",$D433="",$I433="",$J433=""),"",IF(J433=L433,I433,(INDEX('Emission factors'!$K$3:$V$201,MATCH(E433&amp;F433,'Emission factors'!$J$3:$J$201&amp;'Emission factors'!$K$3:$K$201,0),MATCH(K$6,'Emission factors'!$K$2:$V$2,0)))*I433))</f>
        <v/>
      </c>
      <c r="L433" s="494" t="str">
        <f>IF(OR($E433="",$D433="",$I433="",$J433=""),"",INDEX('Emission factors'!$K$3:$V$201,MATCH('Buildings - Grid Electricity'!$E433,'Emission factors'!$J$3:$J$201,0),MATCH($L$6,'Emission factors'!$K$2:$V$2,0)))</f>
        <v/>
      </c>
      <c r="M433" s="495" t="str" cm="1">
        <f t="array" ref="M433">IF(OR(E433="",I433="",BuildingsElectricityTable[[#This Row],[Units]]=""),"",INDEX('Emission factors'!$K$3:$V$201,MATCH('Buildings - Grid Electricity'!$E433&amp;F433,'Emission factors'!$J$3:$J$201&amp;'Emission factors'!$K$3:$K$201,0),MATCH('Buildings - Grid Electricity'!$M$6,'Emission factors'!$K$2:$V$2,0)))</f>
        <v/>
      </c>
      <c r="N433" s="496" t="str">
        <f>IF(OR(K433="",M433=""),"",SUM(BuildingsElectricityTable[[#This Row],[Direct]:[Indirect WTT]]))</f>
        <v/>
      </c>
      <c r="O433" s="268"/>
      <c r="P433" s="497"/>
      <c r="Q433" s="157" t="str" cm="1">
        <f t="array" ref="Q433">IF(OR($E433="",$I433=""),"",(INDEX('Emission factors'!$K$3:$V$201,MATCH('Buildings - Grid Electricity'!$E433&amp;$F433,'Emission factors'!$J$3:$J$201&amp;'Emission factors'!$K$3:$K$201,0),MATCH('Buildings - Grid Electricity'!Q$6,'Emission factors'!$K$2:$V$2,0)))*$K433)</f>
        <v/>
      </c>
      <c r="R433" s="157" t="str" cm="1">
        <f t="array" ref="R433">IF(OR($E433="",$I433=""),"",(INDEX('Emission factors'!$K$3:$V$201,MATCH('Buildings - Grid Electricity'!$E433&amp;$F433,'Emission factors'!$J$3:$J$201&amp;'Emission factors'!$K$3:$K$201,0),MATCH('Buildings - Grid Electricity'!R$6,'Emission factors'!$K$2:$V$2,0)))*$K433)</f>
        <v/>
      </c>
      <c r="S433" s="157" t="str" cm="1">
        <f t="array" ref="S433">IF(OR($E433="",$I433=""),"",(INDEX('Emission factors'!$K$3:$V$201,MATCH('Buildings - Grid Electricity'!$E433&amp;$F433,'Emission factors'!$J$3:$J$201&amp;'Emission factors'!$K$3:$K$201,0),MATCH('Buildings - Grid Electricity'!S$6,'Emission factors'!$K$2:$V$2,0)))*$K433)</f>
        <v/>
      </c>
      <c r="T433" s="157" t="str" cm="1">
        <f t="array" ref="T433">IF(OR($E433="",$I433=""),"",(INDEX('Emission factors'!$K$3:$V$201,MATCH('Buildings - Grid Electricity'!$E433&amp;$F433,'Emission factors'!$J$3:$J$201&amp;'Emission factors'!$K$3:$K$201,0),MATCH('Buildings - Grid Electricity'!T$6,'Emission factors'!$K$2:$V$2,0)))*$K433)</f>
        <v/>
      </c>
      <c r="U433" s="157" t="str" cm="1">
        <f t="array" ref="U433">IF(OR($E433="",$I433=""),"",(INDEX('Emission factors'!$K$3:$V$201,MATCH('Buildings - Grid Electricity'!$E433&amp;$F433,'Emission factors'!$J$3:$J$201&amp;'Emission factors'!$K$3:$K$201,0),MATCH('Buildings - Grid Electricity'!U$6,'Emission factors'!$K$2:$V$2,0)))*$K433)</f>
        <v/>
      </c>
      <c r="V433" s="269" t="str">
        <f>IF(OR($N433="",BuildingsElectricityTable[[#This Row],[RSD]]=""),"",BuildingsElectricityTable[[#This Row],[Total emissions (kgCO2e)]]*(1+BuildingsElectricityTable[[#This Row],[RSD]]))</f>
        <v/>
      </c>
      <c r="W433" s="270" t="str">
        <f>IF(OR($N433="",BuildingsElectricityTable[[#This Row],[RSD]]=""),"",BuildingsElectricityTable[[#This Row],[Total emissions (kgCO2e)]]*(1-BuildingsElectricityTable[[#This Row],[RSD]]))</f>
        <v/>
      </c>
      <c r="X433" s="271" t="str" cm="1">
        <f t="array" ref="X433">IF(OR($E433="",$I433=""),"",(INDEX('Emission factors'!$K$3:$V$201,MATCH('Buildings - Grid Electricity'!$E433&amp;$F433,'Emission factors'!$J$3:$J$201&amp;'Emission factors'!$K$3:$K$201,0),MATCH('Buildings - Grid Electricity'!X$6,'Emission factors'!$K$2:$V$2,0)))*$K433)</f>
        <v/>
      </c>
      <c r="Y433" s="30"/>
    </row>
    <row r="434" spans="1:25" ht="15" outlineLevel="1" thickBot="1" x14ac:dyDescent="0.4">
      <c r="A434" s="319"/>
      <c r="B434" s="216"/>
      <c r="C434" s="216"/>
      <c r="D434" s="489" t="str">
        <f>IFERROR(INDEX(BuildingInformationTable[Site type],MATCH(BuildingsElectricityTable[[#This Row],[Site name]],BuildingInformationTable[Site name],0)),"")</f>
        <v/>
      </c>
      <c r="E434" s="490" t="str">
        <f t="shared" ref="E434:E451" si="38">IF(B434="", "", "Grid electricity")</f>
        <v/>
      </c>
      <c r="F434" s="490" t="str">
        <f t="shared" ref="F434:F451" si="39">IF(E434="Grid electricity", "Consumption based", "")</f>
        <v/>
      </c>
      <c r="G434" s="491"/>
      <c r="H434" s="492" t="str">
        <f>IF(G434="","",INDEX(Lists!$BA$4:$BC$31,MATCH(E434,Lists!$AZ$4:$AZ$31,0),MATCH(G434,Lists!$BA$3:$BC$3,0)))</f>
        <v/>
      </c>
      <c r="I434" s="267"/>
      <c r="J434" s="490" t="str">
        <f t="shared" ref="J434:J451" si="40">IF(I434="", "", "kWh")</f>
        <v/>
      </c>
      <c r="K434" s="493" t="str" cm="1">
        <f t="array" ref="K434">IF(OR($E434="",$D434="",$I434="",$J434=""),"",IF(J434=L434,I434,(INDEX('Emission factors'!$K$3:$V$201,MATCH(E434&amp;F434,'Emission factors'!$J$3:$J$201&amp;'Emission factors'!$K$3:$K$201,0),MATCH(K$6,'Emission factors'!$K$2:$V$2,0)))*I434))</f>
        <v/>
      </c>
      <c r="L434" s="494" t="str">
        <f>IF(OR($E434="",$D434="",$I434="",$J434=""),"",INDEX('Emission factors'!$K$3:$V$201,MATCH('Buildings - Grid Electricity'!$E434,'Emission factors'!$J$3:$J$201,0),MATCH($L$6,'Emission factors'!$K$2:$V$2,0)))</f>
        <v/>
      </c>
      <c r="M434" s="495" t="str" cm="1">
        <f t="array" ref="M434">IF(OR(E434="",I434="",BuildingsElectricityTable[[#This Row],[Units]]=""),"",INDEX('Emission factors'!$K$3:$V$201,MATCH('Buildings - Grid Electricity'!$E434&amp;F434,'Emission factors'!$J$3:$J$201&amp;'Emission factors'!$K$3:$K$201,0),MATCH('Buildings - Grid Electricity'!$M$6,'Emission factors'!$K$2:$V$2,0)))</f>
        <v/>
      </c>
      <c r="N434" s="496" t="str">
        <f>IF(OR(K434="",M434=""),"",SUM(BuildingsElectricityTable[[#This Row],[Direct]:[Indirect WTT]]))</f>
        <v/>
      </c>
      <c r="O434" s="268"/>
      <c r="P434" s="497"/>
      <c r="Q434" s="157" t="str" cm="1">
        <f t="array" ref="Q434">IF(OR($E434="",$I434=""),"",(INDEX('Emission factors'!$K$3:$V$201,MATCH('Buildings - Grid Electricity'!$E434&amp;$F434,'Emission factors'!$J$3:$J$201&amp;'Emission factors'!$K$3:$K$201,0),MATCH('Buildings - Grid Electricity'!Q$6,'Emission factors'!$K$2:$V$2,0)))*$K434)</f>
        <v/>
      </c>
      <c r="R434" s="157" t="str" cm="1">
        <f t="array" ref="R434">IF(OR($E434="",$I434=""),"",(INDEX('Emission factors'!$K$3:$V$201,MATCH('Buildings - Grid Electricity'!$E434&amp;$F434,'Emission factors'!$J$3:$J$201&amp;'Emission factors'!$K$3:$K$201,0),MATCH('Buildings - Grid Electricity'!R$6,'Emission factors'!$K$2:$V$2,0)))*$K434)</f>
        <v/>
      </c>
      <c r="S434" s="157" t="str" cm="1">
        <f t="array" ref="S434">IF(OR($E434="",$I434=""),"",(INDEX('Emission factors'!$K$3:$V$201,MATCH('Buildings - Grid Electricity'!$E434&amp;$F434,'Emission factors'!$J$3:$J$201&amp;'Emission factors'!$K$3:$K$201,0),MATCH('Buildings - Grid Electricity'!S$6,'Emission factors'!$K$2:$V$2,0)))*$K434)</f>
        <v/>
      </c>
      <c r="T434" s="157" t="str" cm="1">
        <f t="array" ref="T434">IF(OR($E434="",$I434=""),"",(INDEX('Emission factors'!$K$3:$V$201,MATCH('Buildings - Grid Electricity'!$E434&amp;$F434,'Emission factors'!$J$3:$J$201&amp;'Emission factors'!$K$3:$K$201,0),MATCH('Buildings - Grid Electricity'!T$6,'Emission factors'!$K$2:$V$2,0)))*$K434)</f>
        <v/>
      </c>
      <c r="U434" s="157" t="str" cm="1">
        <f t="array" ref="U434">IF(OR($E434="",$I434=""),"",(INDEX('Emission factors'!$K$3:$V$201,MATCH('Buildings - Grid Electricity'!$E434&amp;$F434,'Emission factors'!$J$3:$J$201&amp;'Emission factors'!$K$3:$K$201,0),MATCH('Buildings - Grid Electricity'!U$6,'Emission factors'!$K$2:$V$2,0)))*$K434)</f>
        <v/>
      </c>
      <c r="V434" s="269" t="str">
        <f>IF(OR($N434="",BuildingsElectricityTable[[#This Row],[RSD]]=""),"",BuildingsElectricityTable[[#This Row],[Total emissions (kgCO2e)]]*(1+BuildingsElectricityTable[[#This Row],[RSD]]))</f>
        <v/>
      </c>
      <c r="W434" s="270" t="str">
        <f>IF(OR($N434="",BuildingsElectricityTable[[#This Row],[RSD]]=""),"",BuildingsElectricityTable[[#This Row],[Total emissions (kgCO2e)]]*(1-BuildingsElectricityTable[[#This Row],[RSD]]))</f>
        <v/>
      </c>
      <c r="X434" s="271" t="str" cm="1">
        <f t="array" ref="X434">IF(OR($E434="",$I434=""),"",(INDEX('Emission factors'!$K$3:$V$201,MATCH('Buildings - Grid Electricity'!$E434&amp;$F434,'Emission factors'!$J$3:$J$201&amp;'Emission factors'!$K$3:$K$201,0),MATCH('Buildings - Grid Electricity'!X$6,'Emission factors'!$K$2:$V$2,0)))*$K434)</f>
        <v/>
      </c>
      <c r="Y434" s="30"/>
    </row>
    <row r="435" spans="1:25" ht="15" outlineLevel="1" thickBot="1" x14ac:dyDescent="0.4">
      <c r="A435" s="319"/>
      <c r="B435" s="216"/>
      <c r="C435" s="216"/>
      <c r="D435" s="489" t="str">
        <f>IFERROR(INDEX(BuildingInformationTable[Site type],MATCH(BuildingsElectricityTable[[#This Row],[Site name]],BuildingInformationTable[Site name],0)),"")</f>
        <v/>
      </c>
      <c r="E435" s="490" t="str">
        <f t="shared" si="38"/>
        <v/>
      </c>
      <c r="F435" s="490" t="str">
        <f t="shared" si="39"/>
        <v/>
      </c>
      <c r="G435" s="491"/>
      <c r="H435" s="492" t="str">
        <f>IF(G435="","",INDEX(Lists!$BA$4:$BC$31,MATCH(E435,Lists!$AZ$4:$AZ$31,0),MATCH(G435,Lists!$BA$3:$BC$3,0)))</f>
        <v/>
      </c>
      <c r="I435" s="267"/>
      <c r="J435" s="490" t="str">
        <f t="shared" si="40"/>
        <v/>
      </c>
      <c r="K435" s="493" t="str" cm="1">
        <f t="array" ref="K435">IF(OR($E435="",$D435="",$I435="",$J435=""),"",IF(J435=L435,I435,(INDEX('Emission factors'!$K$3:$V$201,MATCH(E435&amp;F435,'Emission factors'!$J$3:$J$201&amp;'Emission factors'!$K$3:$K$201,0),MATCH(K$6,'Emission factors'!$K$2:$V$2,0)))*I435))</f>
        <v/>
      </c>
      <c r="L435" s="494" t="str">
        <f>IF(OR($E435="",$D435="",$I435="",$J435=""),"",INDEX('Emission factors'!$K$3:$V$201,MATCH('Buildings - Grid Electricity'!$E435,'Emission factors'!$J$3:$J$201,0),MATCH($L$6,'Emission factors'!$K$2:$V$2,0)))</f>
        <v/>
      </c>
      <c r="M435" s="495" t="str" cm="1">
        <f t="array" ref="M435">IF(OR(E435="",I435="",BuildingsElectricityTable[[#This Row],[Units]]=""),"",INDEX('Emission factors'!$K$3:$V$201,MATCH('Buildings - Grid Electricity'!$E435&amp;F435,'Emission factors'!$J$3:$J$201&amp;'Emission factors'!$K$3:$K$201,0),MATCH('Buildings - Grid Electricity'!$M$6,'Emission factors'!$K$2:$V$2,0)))</f>
        <v/>
      </c>
      <c r="N435" s="496" t="str">
        <f>IF(OR(K435="",M435=""),"",SUM(BuildingsElectricityTable[[#This Row],[Direct]:[Indirect WTT]]))</f>
        <v/>
      </c>
      <c r="O435" s="268"/>
      <c r="P435" s="497"/>
      <c r="Q435" s="157" t="str" cm="1">
        <f t="array" ref="Q435">IF(OR($E435="",$I435=""),"",(INDEX('Emission factors'!$K$3:$V$201,MATCH('Buildings - Grid Electricity'!$E435&amp;$F435,'Emission factors'!$J$3:$J$201&amp;'Emission factors'!$K$3:$K$201,0),MATCH('Buildings - Grid Electricity'!Q$6,'Emission factors'!$K$2:$V$2,0)))*$K435)</f>
        <v/>
      </c>
      <c r="R435" s="157" t="str" cm="1">
        <f t="array" ref="R435">IF(OR($E435="",$I435=""),"",(INDEX('Emission factors'!$K$3:$V$201,MATCH('Buildings - Grid Electricity'!$E435&amp;$F435,'Emission factors'!$J$3:$J$201&amp;'Emission factors'!$K$3:$K$201,0),MATCH('Buildings - Grid Electricity'!R$6,'Emission factors'!$K$2:$V$2,0)))*$K435)</f>
        <v/>
      </c>
      <c r="S435" s="157" t="str" cm="1">
        <f t="array" ref="S435">IF(OR($E435="",$I435=""),"",(INDEX('Emission factors'!$K$3:$V$201,MATCH('Buildings - Grid Electricity'!$E435&amp;$F435,'Emission factors'!$J$3:$J$201&amp;'Emission factors'!$K$3:$K$201,0),MATCH('Buildings - Grid Electricity'!S$6,'Emission factors'!$K$2:$V$2,0)))*$K435)</f>
        <v/>
      </c>
      <c r="T435" s="157" t="str" cm="1">
        <f t="array" ref="T435">IF(OR($E435="",$I435=""),"",(INDEX('Emission factors'!$K$3:$V$201,MATCH('Buildings - Grid Electricity'!$E435&amp;$F435,'Emission factors'!$J$3:$J$201&amp;'Emission factors'!$K$3:$K$201,0),MATCH('Buildings - Grid Electricity'!T$6,'Emission factors'!$K$2:$V$2,0)))*$K435)</f>
        <v/>
      </c>
      <c r="U435" s="157" t="str" cm="1">
        <f t="array" ref="U435">IF(OR($E435="",$I435=""),"",(INDEX('Emission factors'!$K$3:$V$201,MATCH('Buildings - Grid Electricity'!$E435&amp;$F435,'Emission factors'!$J$3:$J$201&amp;'Emission factors'!$K$3:$K$201,0),MATCH('Buildings - Grid Electricity'!U$6,'Emission factors'!$K$2:$V$2,0)))*$K435)</f>
        <v/>
      </c>
      <c r="V435" s="269" t="str">
        <f>IF(OR($N435="",BuildingsElectricityTable[[#This Row],[RSD]]=""),"",BuildingsElectricityTable[[#This Row],[Total emissions (kgCO2e)]]*(1+BuildingsElectricityTable[[#This Row],[RSD]]))</f>
        <v/>
      </c>
      <c r="W435" s="270" t="str">
        <f>IF(OR($N435="",BuildingsElectricityTable[[#This Row],[RSD]]=""),"",BuildingsElectricityTable[[#This Row],[Total emissions (kgCO2e)]]*(1-BuildingsElectricityTable[[#This Row],[RSD]]))</f>
        <v/>
      </c>
      <c r="X435" s="271" t="str" cm="1">
        <f t="array" ref="X435">IF(OR($E435="",$I435=""),"",(INDEX('Emission factors'!$K$3:$V$201,MATCH('Buildings - Grid Electricity'!$E435&amp;$F435,'Emission factors'!$J$3:$J$201&amp;'Emission factors'!$K$3:$K$201,0),MATCH('Buildings - Grid Electricity'!X$6,'Emission factors'!$K$2:$V$2,0)))*$K435)</f>
        <v/>
      </c>
      <c r="Y435" s="30"/>
    </row>
    <row r="436" spans="1:25" ht="15" outlineLevel="1" thickBot="1" x14ac:dyDescent="0.4">
      <c r="A436" s="319"/>
      <c r="B436" s="216"/>
      <c r="C436" s="216"/>
      <c r="D436" s="489" t="str">
        <f>IFERROR(INDEX(BuildingInformationTable[Site type],MATCH(BuildingsElectricityTable[[#This Row],[Site name]],BuildingInformationTable[Site name],0)),"")</f>
        <v/>
      </c>
      <c r="E436" s="490" t="str">
        <f t="shared" si="38"/>
        <v/>
      </c>
      <c r="F436" s="490" t="str">
        <f t="shared" si="39"/>
        <v/>
      </c>
      <c r="G436" s="491"/>
      <c r="H436" s="492" t="str">
        <f>IF(G436="","",INDEX(Lists!$BA$4:$BC$31,MATCH(E436,Lists!$AZ$4:$AZ$31,0),MATCH(G436,Lists!$BA$3:$BC$3,0)))</f>
        <v/>
      </c>
      <c r="I436" s="267"/>
      <c r="J436" s="490" t="str">
        <f t="shared" si="40"/>
        <v/>
      </c>
      <c r="K436" s="493" t="str" cm="1">
        <f t="array" ref="K436">IF(OR($E436="",$D436="",$I436="",$J436=""),"",IF(J436=L436,I436,(INDEX('Emission factors'!$K$3:$V$201,MATCH(E436&amp;F436,'Emission factors'!$J$3:$J$201&amp;'Emission factors'!$K$3:$K$201,0),MATCH(K$6,'Emission factors'!$K$2:$V$2,0)))*I436))</f>
        <v/>
      </c>
      <c r="L436" s="494" t="str">
        <f>IF(OR($E436="",$D436="",$I436="",$J436=""),"",INDEX('Emission factors'!$K$3:$V$201,MATCH('Buildings - Grid Electricity'!$E436,'Emission factors'!$J$3:$J$201,0),MATCH($L$6,'Emission factors'!$K$2:$V$2,0)))</f>
        <v/>
      </c>
      <c r="M436" s="495" t="str" cm="1">
        <f t="array" ref="M436">IF(OR(E436="",I436="",BuildingsElectricityTable[[#This Row],[Units]]=""),"",INDEX('Emission factors'!$K$3:$V$201,MATCH('Buildings - Grid Electricity'!$E436&amp;F436,'Emission factors'!$J$3:$J$201&amp;'Emission factors'!$K$3:$K$201,0),MATCH('Buildings - Grid Electricity'!$M$6,'Emission factors'!$K$2:$V$2,0)))</f>
        <v/>
      </c>
      <c r="N436" s="496" t="str">
        <f>IF(OR(K436="",M436=""),"",SUM(BuildingsElectricityTable[[#This Row],[Direct]:[Indirect WTT]]))</f>
        <v/>
      </c>
      <c r="O436" s="268"/>
      <c r="P436" s="497"/>
      <c r="Q436" s="157" t="str" cm="1">
        <f t="array" ref="Q436">IF(OR($E436="",$I436=""),"",(INDEX('Emission factors'!$K$3:$V$201,MATCH('Buildings - Grid Electricity'!$E436&amp;$F436,'Emission factors'!$J$3:$J$201&amp;'Emission factors'!$K$3:$K$201,0),MATCH('Buildings - Grid Electricity'!Q$6,'Emission factors'!$K$2:$V$2,0)))*$K436)</f>
        <v/>
      </c>
      <c r="R436" s="157" t="str" cm="1">
        <f t="array" ref="R436">IF(OR($E436="",$I436=""),"",(INDEX('Emission factors'!$K$3:$V$201,MATCH('Buildings - Grid Electricity'!$E436&amp;$F436,'Emission factors'!$J$3:$J$201&amp;'Emission factors'!$K$3:$K$201,0),MATCH('Buildings - Grid Electricity'!R$6,'Emission factors'!$K$2:$V$2,0)))*$K436)</f>
        <v/>
      </c>
      <c r="S436" s="157" t="str" cm="1">
        <f t="array" ref="S436">IF(OR($E436="",$I436=""),"",(INDEX('Emission factors'!$K$3:$V$201,MATCH('Buildings - Grid Electricity'!$E436&amp;$F436,'Emission factors'!$J$3:$J$201&amp;'Emission factors'!$K$3:$K$201,0),MATCH('Buildings - Grid Electricity'!S$6,'Emission factors'!$K$2:$V$2,0)))*$K436)</f>
        <v/>
      </c>
      <c r="T436" s="157" t="str" cm="1">
        <f t="array" ref="T436">IF(OR($E436="",$I436=""),"",(INDEX('Emission factors'!$K$3:$V$201,MATCH('Buildings - Grid Electricity'!$E436&amp;$F436,'Emission factors'!$J$3:$J$201&amp;'Emission factors'!$K$3:$K$201,0),MATCH('Buildings - Grid Electricity'!T$6,'Emission factors'!$K$2:$V$2,0)))*$K436)</f>
        <v/>
      </c>
      <c r="U436" s="157" t="str" cm="1">
        <f t="array" ref="U436">IF(OR($E436="",$I436=""),"",(INDEX('Emission factors'!$K$3:$V$201,MATCH('Buildings - Grid Electricity'!$E436&amp;$F436,'Emission factors'!$J$3:$J$201&amp;'Emission factors'!$K$3:$K$201,0),MATCH('Buildings - Grid Electricity'!U$6,'Emission factors'!$K$2:$V$2,0)))*$K436)</f>
        <v/>
      </c>
      <c r="V436" s="269" t="str">
        <f>IF(OR($N436="",BuildingsElectricityTable[[#This Row],[RSD]]=""),"",BuildingsElectricityTable[[#This Row],[Total emissions (kgCO2e)]]*(1+BuildingsElectricityTable[[#This Row],[RSD]]))</f>
        <v/>
      </c>
      <c r="W436" s="270" t="str">
        <f>IF(OR($N436="",BuildingsElectricityTable[[#This Row],[RSD]]=""),"",BuildingsElectricityTable[[#This Row],[Total emissions (kgCO2e)]]*(1-BuildingsElectricityTable[[#This Row],[RSD]]))</f>
        <v/>
      </c>
      <c r="X436" s="271" t="str" cm="1">
        <f t="array" ref="X436">IF(OR($E436="",$I436=""),"",(INDEX('Emission factors'!$K$3:$V$201,MATCH('Buildings - Grid Electricity'!$E436&amp;$F436,'Emission factors'!$J$3:$J$201&amp;'Emission factors'!$K$3:$K$201,0),MATCH('Buildings - Grid Electricity'!X$6,'Emission factors'!$K$2:$V$2,0)))*$K436)</f>
        <v/>
      </c>
      <c r="Y436" s="30"/>
    </row>
    <row r="437" spans="1:25" ht="15" outlineLevel="1" thickBot="1" x14ac:dyDescent="0.4">
      <c r="A437" s="319"/>
      <c r="B437" s="216"/>
      <c r="C437" s="216"/>
      <c r="D437" s="489" t="str">
        <f>IFERROR(INDEX(BuildingInformationTable[Site type],MATCH(BuildingsElectricityTable[[#This Row],[Site name]],BuildingInformationTable[Site name],0)),"")</f>
        <v/>
      </c>
      <c r="E437" s="490" t="str">
        <f t="shared" si="38"/>
        <v/>
      </c>
      <c r="F437" s="490" t="str">
        <f t="shared" si="39"/>
        <v/>
      </c>
      <c r="G437" s="491"/>
      <c r="H437" s="492" t="str">
        <f>IF(G437="","",INDEX(Lists!$BA$4:$BC$31,MATCH(E437,Lists!$AZ$4:$AZ$31,0),MATCH(G437,Lists!$BA$3:$BC$3,0)))</f>
        <v/>
      </c>
      <c r="I437" s="267"/>
      <c r="J437" s="490" t="str">
        <f t="shared" si="40"/>
        <v/>
      </c>
      <c r="K437" s="493" t="str" cm="1">
        <f t="array" ref="K437">IF(OR($E437="",$D437="",$I437="",$J437=""),"",IF(J437=L437,I437,(INDEX('Emission factors'!$K$3:$V$201,MATCH(E437&amp;F437,'Emission factors'!$J$3:$J$201&amp;'Emission factors'!$K$3:$K$201,0),MATCH(K$6,'Emission factors'!$K$2:$V$2,0)))*I437))</f>
        <v/>
      </c>
      <c r="L437" s="494" t="str">
        <f>IF(OR($E437="",$D437="",$I437="",$J437=""),"",INDEX('Emission factors'!$K$3:$V$201,MATCH('Buildings - Grid Electricity'!$E437,'Emission factors'!$J$3:$J$201,0),MATCH($L$6,'Emission factors'!$K$2:$V$2,0)))</f>
        <v/>
      </c>
      <c r="M437" s="495" t="str" cm="1">
        <f t="array" ref="M437">IF(OR(E437="",I437="",BuildingsElectricityTable[[#This Row],[Units]]=""),"",INDEX('Emission factors'!$K$3:$V$201,MATCH('Buildings - Grid Electricity'!$E437&amp;F437,'Emission factors'!$J$3:$J$201&amp;'Emission factors'!$K$3:$K$201,0),MATCH('Buildings - Grid Electricity'!$M$6,'Emission factors'!$K$2:$V$2,0)))</f>
        <v/>
      </c>
      <c r="N437" s="496" t="str">
        <f>IF(OR(K437="",M437=""),"",SUM(BuildingsElectricityTable[[#This Row],[Direct]:[Indirect WTT]]))</f>
        <v/>
      </c>
      <c r="O437" s="268"/>
      <c r="P437" s="497"/>
      <c r="Q437" s="157" t="str" cm="1">
        <f t="array" ref="Q437">IF(OR($E437="",$I437=""),"",(INDEX('Emission factors'!$K$3:$V$201,MATCH('Buildings - Grid Electricity'!$E437&amp;$F437,'Emission factors'!$J$3:$J$201&amp;'Emission factors'!$K$3:$K$201,0),MATCH('Buildings - Grid Electricity'!Q$6,'Emission factors'!$K$2:$V$2,0)))*$K437)</f>
        <v/>
      </c>
      <c r="R437" s="157" t="str" cm="1">
        <f t="array" ref="R437">IF(OR($E437="",$I437=""),"",(INDEX('Emission factors'!$K$3:$V$201,MATCH('Buildings - Grid Electricity'!$E437&amp;$F437,'Emission factors'!$J$3:$J$201&amp;'Emission factors'!$K$3:$K$201,0),MATCH('Buildings - Grid Electricity'!R$6,'Emission factors'!$K$2:$V$2,0)))*$K437)</f>
        <v/>
      </c>
      <c r="S437" s="157" t="str" cm="1">
        <f t="array" ref="S437">IF(OR($E437="",$I437=""),"",(INDEX('Emission factors'!$K$3:$V$201,MATCH('Buildings - Grid Electricity'!$E437&amp;$F437,'Emission factors'!$J$3:$J$201&amp;'Emission factors'!$K$3:$K$201,0),MATCH('Buildings - Grid Electricity'!S$6,'Emission factors'!$K$2:$V$2,0)))*$K437)</f>
        <v/>
      </c>
      <c r="T437" s="157" t="str" cm="1">
        <f t="array" ref="T437">IF(OR($E437="",$I437=""),"",(INDEX('Emission factors'!$K$3:$V$201,MATCH('Buildings - Grid Electricity'!$E437&amp;$F437,'Emission factors'!$J$3:$J$201&amp;'Emission factors'!$K$3:$K$201,0),MATCH('Buildings - Grid Electricity'!T$6,'Emission factors'!$K$2:$V$2,0)))*$K437)</f>
        <v/>
      </c>
      <c r="U437" s="157" t="str" cm="1">
        <f t="array" ref="U437">IF(OR($E437="",$I437=""),"",(INDEX('Emission factors'!$K$3:$V$201,MATCH('Buildings - Grid Electricity'!$E437&amp;$F437,'Emission factors'!$J$3:$J$201&amp;'Emission factors'!$K$3:$K$201,0),MATCH('Buildings - Grid Electricity'!U$6,'Emission factors'!$K$2:$V$2,0)))*$K437)</f>
        <v/>
      </c>
      <c r="V437" s="269" t="str">
        <f>IF(OR($N437="",BuildingsElectricityTable[[#This Row],[RSD]]=""),"",BuildingsElectricityTable[[#This Row],[Total emissions (kgCO2e)]]*(1+BuildingsElectricityTable[[#This Row],[RSD]]))</f>
        <v/>
      </c>
      <c r="W437" s="270" t="str">
        <f>IF(OR($N437="",BuildingsElectricityTable[[#This Row],[RSD]]=""),"",BuildingsElectricityTable[[#This Row],[Total emissions (kgCO2e)]]*(1-BuildingsElectricityTable[[#This Row],[RSD]]))</f>
        <v/>
      </c>
      <c r="X437" s="271" t="str" cm="1">
        <f t="array" ref="X437">IF(OR($E437="",$I437=""),"",(INDEX('Emission factors'!$K$3:$V$201,MATCH('Buildings - Grid Electricity'!$E437&amp;$F437,'Emission factors'!$J$3:$J$201&amp;'Emission factors'!$K$3:$K$201,0),MATCH('Buildings - Grid Electricity'!X$6,'Emission factors'!$K$2:$V$2,0)))*$K437)</f>
        <v/>
      </c>
      <c r="Y437" s="30"/>
    </row>
    <row r="438" spans="1:25" ht="15" outlineLevel="1" thickBot="1" x14ac:dyDescent="0.4">
      <c r="A438" s="319"/>
      <c r="B438" s="216"/>
      <c r="C438" s="216"/>
      <c r="D438" s="489" t="str">
        <f>IFERROR(INDEX(BuildingInformationTable[Site type],MATCH(BuildingsElectricityTable[[#This Row],[Site name]],BuildingInformationTable[Site name],0)),"")</f>
        <v/>
      </c>
      <c r="E438" s="490" t="str">
        <f t="shared" si="38"/>
        <v/>
      </c>
      <c r="F438" s="490" t="str">
        <f t="shared" si="39"/>
        <v/>
      </c>
      <c r="G438" s="491"/>
      <c r="H438" s="492" t="str">
        <f>IF(G438="","",INDEX(Lists!$BA$4:$BC$31,MATCH(E438,Lists!$AZ$4:$AZ$31,0),MATCH(G438,Lists!$BA$3:$BC$3,0)))</f>
        <v/>
      </c>
      <c r="I438" s="267"/>
      <c r="J438" s="490" t="str">
        <f t="shared" si="40"/>
        <v/>
      </c>
      <c r="K438" s="493" t="str" cm="1">
        <f t="array" ref="K438">IF(OR($E438="",$D438="",$I438="",$J438=""),"",IF(J438=L438,I438,(INDEX('Emission factors'!$K$3:$V$201,MATCH(E438&amp;F438,'Emission factors'!$J$3:$J$201&amp;'Emission factors'!$K$3:$K$201,0),MATCH(K$6,'Emission factors'!$K$2:$V$2,0)))*I438))</f>
        <v/>
      </c>
      <c r="L438" s="494" t="str">
        <f>IF(OR($E438="",$D438="",$I438="",$J438=""),"",INDEX('Emission factors'!$K$3:$V$201,MATCH('Buildings - Grid Electricity'!$E438,'Emission factors'!$J$3:$J$201,0),MATCH($L$6,'Emission factors'!$K$2:$V$2,0)))</f>
        <v/>
      </c>
      <c r="M438" s="495" t="str" cm="1">
        <f t="array" ref="M438">IF(OR(E438="",I438="",BuildingsElectricityTable[[#This Row],[Units]]=""),"",INDEX('Emission factors'!$K$3:$V$201,MATCH('Buildings - Grid Electricity'!$E438&amp;F438,'Emission factors'!$J$3:$J$201&amp;'Emission factors'!$K$3:$K$201,0),MATCH('Buildings - Grid Electricity'!$M$6,'Emission factors'!$K$2:$V$2,0)))</f>
        <v/>
      </c>
      <c r="N438" s="496" t="str">
        <f>IF(OR(K438="",M438=""),"",SUM(BuildingsElectricityTable[[#This Row],[Direct]:[Indirect WTT]]))</f>
        <v/>
      </c>
      <c r="O438" s="268"/>
      <c r="P438" s="497"/>
      <c r="Q438" s="157" t="str" cm="1">
        <f t="array" ref="Q438">IF(OR($E438="",$I438=""),"",(INDEX('Emission factors'!$K$3:$V$201,MATCH('Buildings - Grid Electricity'!$E438&amp;$F438,'Emission factors'!$J$3:$J$201&amp;'Emission factors'!$K$3:$K$201,0),MATCH('Buildings - Grid Electricity'!Q$6,'Emission factors'!$K$2:$V$2,0)))*$K438)</f>
        <v/>
      </c>
      <c r="R438" s="157" t="str" cm="1">
        <f t="array" ref="R438">IF(OR($E438="",$I438=""),"",(INDEX('Emission factors'!$K$3:$V$201,MATCH('Buildings - Grid Electricity'!$E438&amp;$F438,'Emission factors'!$J$3:$J$201&amp;'Emission factors'!$K$3:$K$201,0),MATCH('Buildings - Grid Electricity'!R$6,'Emission factors'!$K$2:$V$2,0)))*$K438)</f>
        <v/>
      </c>
      <c r="S438" s="157" t="str" cm="1">
        <f t="array" ref="S438">IF(OR($E438="",$I438=""),"",(INDEX('Emission factors'!$K$3:$V$201,MATCH('Buildings - Grid Electricity'!$E438&amp;$F438,'Emission factors'!$J$3:$J$201&amp;'Emission factors'!$K$3:$K$201,0),MATCH('Buildings - Grid Electricity'!S$6,'Emission factors'!$K$2:$V$2,0)))*$K438)</f>
        <v/>
      </c>
      <c r="T438" s="157" t="str" cm="1">
        <f t="array" ref="T438">IF(OR($E438="",$I438=""),"",(INDEX('Emission factors'!$K$3:$V$201,MATCH('Buildings - Grid Electricity'!$E438&amp;$F438,'Emission factors'!$J$3:$J$201&amp;'Emission factors'!$K$3:$K$201,0),MATCH('Buildings - Grid Electricity'!T$6,'Emission factors'!$K$2:$V$2,0)))*$K438)</f>
        <v/>
      </c>
      <c r="U438" s="157" t="str" cm="1">
        <f t="array" ref="U438">IF(OR($E438="",$I438=""),"",(INDEX('Emission factors'!$K$3:$V$201,MATCH('Buildings - Grid Electricity'!$E438&amp;$F438,'Emission factors'!$J$3:$J$201&amp;'Emission factors'!$K$3:$K$201,0),MATCH('Buildings - Grid Electricity'!U$6,'Emission factors'!$K$2:$V$2,0)))*$K438)</f>
        <v/>
      </c>
      <c r="V438" s="269" t="str">
        <f>IF(OR($N438="",BuildingsElectricityTable[[#This Row],[RSD]]=""),"",BuildingsElectricityTable[[#This Row],[Total emissions (kgCO2e)]]*(1+BuildingsElectricityTable[[#This Row],[RSD]]))</f>
        <v/>
      </c>
      <c r="W438" s="270" t="str">
        <f>IF(OR($N438="",BuildingsElectricityTable[[#This Row],[RSD]]=""),"",BuildingsElectricityTable[[#This Row],[Total emissions (kgCO2e)]]*(1-BuildingsElectricityTable[[#This Row],[RSD]]))</f>
        <v/>
      </c>
      <c r="X438" s="271" t="str" cm="1">
        <f t="array" ref="X438">IF(OR($E438="",$I438=""),"",(INDEX('Emission factors'!$K$3:$V$201,MATCH('Buildings - Grid Electricity'!$E438&amp;$F438,'Emission factors'!$J$3:$J$201&amp;'Emission factors'!$K$3:$K$201,0),MATCH('Buildings - Grid Electricity'!X$6,'Emission factors'!$K$2:$V$2,0)))*$K438)</f>
        <v/>
      </c>
      <c r="Y438" s="30"/>
    </row>
    <row r="439" spans="1:25" ht="15" outlineLevel="1" thickBot="1" x14ac:dyDescent="0.4">
      <c r="A439" s="319"/>
      <c r="B439" s="216"/>
      <c r="C439" s="216"/>
      <c r="D439" s="489" t="str">
        <f>IFERROR(INDEX(BuildingInformationTable[Site type],MATCH(BuildingsElectricityTable[[#This Row],[Site name]],BuildingInformationTable[Site name],0)),"")</f>
        <v/>
      </c>
      <c r="E439" s="490" t="str">
        <f t="shared" si="38"/>
        <v/>
      </c>
      <c r="F439" s="490" t="str">
        <f t="shared" si="39"/>
        <v/>
      </c>
      <c r="G439" s="491"/>
      <c r="H439" s="492" t="str">
        <f>IF(G439="","",INDEX(Lists!$BA$4:$BC$31,MATCH(E439,Lists!$AZ$4:$AZ$31,0),MATCH(G439,Lists!$BA$3:$BC$3,0)))</f>
        <v/>
      </c>
      <c r="I439" s="267"/>
      <c r="J439" s="490" t="str">
        <f t="shared" si="40"/>
        <v/>
      </c>
      <c r="K439" s="493" t="str" cm="1">
        <f t="array" ref="K439">IF(OR($E439="",$D439="",$I439="",$J439=""),"",IF(J439=L439,I439,(INDEX('Emission factors'!$K$3:$V$201,MATCH(E439&amp;F439,'Emission factors'!$J$3:$J$201&amp;'Emission factors'!$K$3:$K$201,0),MATCH(K$6,'Emission factors'!$K$2:$V$2,0)))*I439))</f>
        <v/>
      </c>
      <c r="L439" s="494" t="str">
        <f>IF(OR($E439="",$D439="",$I439="",$J439=""),"",INDEX('Emission factors'!$K$3:$V$201,MATCH('Buildings - Grid Electricity'!$E439,'Emission factors'!$J$3:$J$201,0),MATCH($L$6,'Emission factors'!$K$2:$V$2,0)))</f>
        <v/>
      </c>
      <c r="M439" s="495" t="str" cm="1">
        <f t="array" ref="M439">IF(OR(E439="",I439="",BuildingsElectricityTable[[#This Row],[Units]]=""),"",INDEX('Emission factors'!$K$3:$V$201,MATCH('Buildings - Grid Electricity'!$E439&amp;F439,'Emission factors'!$J$3:$J$201&amp;'Emission factors'!$K$3:$K$201,0),MATCH('Buildings - Grid Electricity'!$M$6,'Emission factors'!$K$2:$V$2,0)))</f>
        <v/>
      </c>
      <c r="N439" s="496" t="str">
        <f>IF(OR(K439="",M439=""),"",SUM(BuildingsElectricityTable[[#This Row],[Direct]:[Indirect WTT]]))</f>
        <v/>
      </c>
      <c r="O439" s="268"/>
      <c r="P439" s="497"/>
      <c r="Q439" s="157" t="str" cm="1">
        <f t="array" ref="Q439">IF(OR($E439="",$I439=""),"",(INDEX('Emission factors'!$K$3:$V$201,MATCH('Buildings - Grid Electricity'!$E439&amp;$F439,'Emission factors'!$J$3:$J$201&amp;'Emission factors'!$K$3:$K$201,0),MATCH('Buildings - Grid Electricity'!Q$6,'Emission factors'!$K$2:$V$2,0)))*$K439)</f>
        <v/>
      </c>
      <c r="R439" s="157" t="str" cm="1">
        <f t="array" ref="R439">IF(OR($E439="",$I439=""),"",(INDEX('Emission factors'!$K$3:$V$201,MATCH('Buildings - Grid Electricity'!$E439&amp;$F439,'Emission factors'!$J$3:$J$201&amp;'Emission factors'!$K$3:$K$201,0),MATCH('Buildings - Grid Electricity'!R$6,'Emission factors'!$K$2:$V$2,0)))*$K439)</f>
        <v/>
      </c>
      <c r="S439" s="157" t="str" cm="1">
        <f t="array" ref="S439">IF(OR($E439="",$I439=""),"",(INDEX('Emission factors'!$K$3:$V$201,MATCH('Buildings - Grid Electricity'!$E439&amp;$F439,'Emission factors'!$J$3:$J$201&amp;'Emission factors'!$K$3:$K$201,0),MATCH('Buildings - Grid Electricity'!S$6,'Emission factors'!$K$2:$V$2,0)))*$K439)</f>
        <v/>
      </c>
      <c r="T439" s="157" t="str" cm="1">
        <f t="array" ref="T439">IF(OR($E439="",$I439=""),"",(INDEX('Emission factors'!$K$3:$V$201,MATCH('Buildings - Grid Electricity'!$E439&amp;$F439,'Emission factors'!$J$3:$J$201&amp;'Emission factors'!$K$3:$K$201,0),MATCH('Buildings - Grid Electricity'!T$6,'Emission factors'!$K$2:$V$2,0)))*$K439)</f>
        <v/>
      </c>
      <c r="U439" s="157" t="str" cm="1">
        <f t="array" ref="U439">IF(OR($E439="",$I439=""),"",(INDEX('Emission factors'!$K$3:$V$201,MATCH('Buildings - Grid Electricity'!$E439&amp;$F439,'Emission factors'!$J$3:$J$201&amp;'Emission factors'!$K$3:$K$201,0),MATCH('Buildings - Grid Electricity'!U$6,'Emission factors'!$K$2:$V$2,0)))*$K439)</f>
        <v/>
      </c>
      <c r="V439" s="269" t="str">
        <f>IF(OR($N439="",BuildingsElectricityTable[[#This Row],[RSD]]=""),"",BuildingsElectricityTable[[#This Row],[Total emissions (kgCO2e)]]*(1+BuildingsElectricityTable[[#This Row],[RSD]]))</f>
        <v/>
      </c>
      <c r="W439" s="270" t="str">
        <f>IF(OR($N439="",BuildingsElectricityTable[[#This Row],[RSD]]=""),"",BuildingsElectricityTable[[#This Row],[Total emissions (kgCO2e)]]*(1-BuildingsElectricityTable[[#This Row],[RSD]]))</f>
        <v/>
      </c>
      <c r="X439" s="271" t="str" cm="1">
        <f t="array" ref="X439">IF(OR($E439="",$I439=""),"",(INDEX('Emission factors'!$K$3:$V$201,MATCH('Buildings - Grid Electricity'!$E439&amp;$F439,'Emission factors'!$J$3:$J$201&amp;'Emission factors'!$K$3:$K$201,0),MATCH('Buildings - Grid Electricity'!X$6,'Emission factors'!$K$2:$V$2,0)))*$K439)</f>
        <v/>
      </c>
      <c r="Y439" s="30"/>
    </row>
    <row r="440" spans="1:25" ht="15" outlineLevel="1" thickBot="1" x14ac:dyDescent="0.4">
      <c r="A440" s="319"/>
      <c r="B440" s="216"/>
      <c r="C440" s="216"/>
      <c r="D440" s="489" t="str">
        <f>IFERROR(INDEX(BuildingInformationTable[Site type],MATCH(BuildingsElectricityTable[[#This Row],[Site name]],BuildingInformationTable[Site name],0)),"")</f>
        <v/>
      </c>
      <c r="E440" s="490" t="str">
        <f t="shared" si="38"/>
        <v/>
      </c>
      <c r="F440" s="490" t="str">
        <f t="shared" si="39"/>
        <v/>
      </c>
      <c r="G440" s="491"/>
      <c r="H440" s="492" t="str">
        <f>IF(G440="","",INDEX(Lists!$BA$4:$BC$31,MATCH(E440,Lists!$AZ$4:$AZ$31,0),MATCH(G440,Lists!$BA$3:$BC$3,0)))</f>
        <v/>
      </c>
      <c r="I440" s="267"/>
      <c r="J440" s="490" t="str">
        <f t="shared" si="40"/>
        <v/>
      </c>
      <c r="K440" s="493" t="str" cm="1">
        <f t="array" ref="K440">IF(OR($E440="",$D440="",$I440="",$J440=""),"",IF(J440=L440,I440,(INDEX('Emission factors'!$K$3:$V$201,MATCH(E440&amp;F440,'Emission factors'!$J$3:$J$201&amp;'Emission factors'!$K$3:$K$201,0),MATCH(K$6,'Emission factors'!$K$2:$V$2,0)))*I440))</f>
        <v/>
      </c>
      <c r="L440" s="494" t="str">
        <f>IF(OR($E440="",$D440="",$I440="",$J440=""),"",INDEX('Emission factors'!$K$3:$V$201,MATCH('Buildings - Grid Electricity'!$E440,'Emission factors'!$J$3:$J$201,0),MATCH($L$6,'Emission factors'!$K$2:$V$2,0)))</f>
        <v/>
      </c>
      <c r="M440" s="495" t="str" cm="1">
        <f t="array" ref="M440">IF(OR(E440="",I440="",BuildingsElectricityTable[[#This Row],[Units]]=""),"",INDEX('Emission factors'!$K$3:$V$201,MATCH('Buildings - Grid Electricity'!$E440&amp;F440,'Emission factors'!$J$3:$J$201&amp;'Emission factors'!$K$3:$K$201,0),MATCH('Buildings - Grid Electricity'!$M$6,'Emission factors'!$K$2:$V$2,0)))</f>
        <v/>
      </c>
      <c r="N440" s="496" t="str">
        <f>IF(OR(K440="",M440=""),"",SUM(BuildingsElectricityTable[[#This Row],[Direct]:[Indirect WTT]]))</f>
        <v/>
      </c>
      <c r="O440" s="268"/>
      <c r="P440" s="497"/>
      <c r="Q440" s="157" t="str" cm="1">
        <f t="array" ref="Q440">IF(OR($E440="",$I440=""),"",(INDEX('Emission factors'!$K$3:$V$201,MATCH('Buildings - Grid Electricity'!$E440&amp;$F440,'Emission factors'!$J$3:$J$201&amp;'Emission factors'!$K$3:$K$201,0),MATCH('Buildings - Grid Electricity'!Q$6,'Emission factors'!$K$2:$V$2,0)))*$K440)</f>
        <v/>
      </c>
      <c r="R440" s="157" t="str" cm="1">
        <f t="array" ref="R440">IF(OR($E440="",$I440=""),"",(INDEX('Emission factors'!$K$3:$V$201,MATCH('Buildings - Grid Electricity'!$E440&amp;$F440,'Emission factors'!$J$3:$J$201&amp;'Emission factors'!$K$3:$K$201,0),MATCH('Buildings - Grid Electricity'!R$6,'Emission factors'!$K$2:$V$2,0)))*$K440)</f>
        <v/>
      </c>
      <c r="S440" s="157" t="str" cm="1">
        <f t="array" ref="S440">IF(OR($E440="",$I440=""),"",(INDEX('Emission factors'!$K$3:$V$201,MATCH('Buildings - Grid Electricity'!$E440&amp;$F440,'Emission factors'!$J$3:$J$201&amp;'Emission factors'!$K$3:$K$201,0),MATCH('Buildings - Grid Electricity'!S$6,'Emission factors'!$K$2:$V$2,0)))*$K440)</f>
        <v/>
      </c>
      <c r="T440" s="157" t="str" cm="1">
        <f t="array" ref="T440">IF(OR($E440="",$I440=""),"",(INDEX('Emission factors'!$K$3:$V$201,MATCH('Buildings - Grid Electricity'!$E440&amp;$F440,'Emission factors'!$J$3:$J$201&amp;'Emission factors'!$K$3:$K$201,0),MATCH('Buildings - Grid Electricity'!T$6,'Emission factors'!$K$2:$V$2,0)))*$K440)</f>
        <v/>
      </c>
      <c r="U440" s="157" t="str" cm="1">
        <f t="array" ref="U440">IF(OR($E440="",$I440=""),"",(INDEX('Emission factors'!$K$3:$V$201,MATCH('Buildings - Grid Electricity'!$E440&amp;$F440,'Emission factors'!$J$3:$J$201&amp;'Emission factors'!$K$3:$K$201,0),MATCH('Buildings - Grid Electricity'!U$6,'Emission factors'!$K$2:$V$2,0)))*$K440)</f>
        <v/>
      </c>
      <c r="V440" s="269" t="str">
        <f>IF(OR($N440="",BuildingsElectricityTable[[#This Row],[RSD]]=""),"",BuildingsElectricityTable[[#This Row],[Total emissions (kgCO2e)]]*(1+BuildingsElectricityTable[[#This Row],[RSD]]))</f>
        <v/>
      </c>
      <c r="W440" s="270" t="str">
        <f>IF(OR($N440="",BuildingsElectricityTable[[#This Row],[RSD]]=""),"",BuildingsElectricityTable[[#This Row],[Total emissions (kgCO2e)]]*(1-BuildingsElectricityTable[[#This Row],[RSD]]))</f>
        <v/>
      </c>
      <c r="X440" s="271" t="str" cm="1">
        <f t="array" ref="X440">IF(OR($E440="",$I440=""),"",(INDEX('Emission factors'!$K$3:$V$201,MATCH('Buildings - Grid Electricity'!$E440&amp;$F440,'Emission factors'!$J$3:$J$201&amp;'Emission factors'!$K$3:$K$201,0),MATCH('Buildings - Grid Electricity'!X$6,'Emission factors'!$K$2:$V$2,0)))*$K440)</f>
        <v/>
      </c>
      <c r="Y440" s="30"/>
    </row>
    <row r="441" spans="1:25" ht="15" outlineLevel="1" thickBot="1" x14ac:dyDescent="0.4">
      <c r="A441" s="319"/>
      <c r="B441" s="216"/>
      <c r="C441" s="216"/>
      <c r="D441" s="489" t="str">
        <f>IFERROR(INDEX(BuildingInformationTable[Site type],MATCH(BuildingsElectricityTable[[#This Row],[Site name]],BuildingInformationTable[Site name],0)),"")</f>
        <v/>
      </c>
      <c r="E441" s="490" t="str">
        <f t="shared" si="38"/>
        <v/>
      </c>
      <c r="F441" s="490" t="str">
        <f t="shared" si="39"/>
        <v/>
      </c>
      <c r="G441" s="491"/>
      <c r="H441" s="492" t="str">
        <f>IF(G441="","",INDEX(Lists!$BA$4:$BC$31,MATCH(E441,Lists!$AZ$4:$AZ$31,0),MATCH(G441,Lists!$BA$3:$BC$3,0)))</f>
        <v/>
      </c>
      <c r="I441" s="267"/>
      <c r="J441" s="490" t="str">
        <f t="shared" si="40"/>
        <v/>
      </c>
      <c r="K441" s="493" t="str" cm="1">
        <f t="array" ref="K441">IF(OR($E441="",$D441="",$I441="",$J441=""),"",IF(J441=L441,I441,(INDEX('Emission factors'!$K$3:$V$201,MATCH(E441&amp;F441,'Emission factors'!$J$3:$J$201&amp;'Emission factors'!$K$3:$K$201,0),MATCH(K$6,'Emission factors'!$K$2:$V$2,0)))*I441))</f>
        <v/>
      </c>
      <c r="L441" s="494" t="str">
        <f>IF(OR($E441="",$D441="",$I441="",$J441=""),"",INDEX('Emission factors'!$K$3:$V$201,MATCH('Buildings - Grid Electricity'!$E441,'Emission factors'!$J$3:$J$201,0),MATCH($L$6,'Emission factors'!$K$2:$V$2,0)))</f>
        <v/>
      </c>
      <c r="M441" s="495" t="str" cm="1">
        <f t="array" ref="M441">IF(OR(E441="",I441="",BuildingsElectricityTable[[#This Row],[Units]]=""),"",INDEX('Emission factors'!$K$3:$V$201,MATCH('Buildings - Grid Electricity'!$E441&amp;F441,'Emission factors'!$J$3:$J$201&amp;'Emission factors'!$K$3:$K$201,0),MATCH('Buildings - Grid Electricity'!$M$6,'Emission factors'!$K$2:$V$2,0)))</f>
        <v/>
      </c>
      <c r="N441" s="496" t="str">
        <f>IF(OR(K441="",M441=""),"",SUM(BuildingsElectricityTable[[#This Row],[Direct]:[Indirect WTT]]))</f>
        <v/>
      </c>
      <c r="O441" s="268"/>
      <c r="P441" s="497"/>
      <c r="Q441" s="157" t="str" cm="1">
        <f t="array" ref="Q441">IF(OR($E441="",$I441=""),"",(INDEX('Emission factors'!$K$3:$V$201,MATCH('Buildings - Grid Electricity'!$E441&amp;$F441,'Emission factors'!$J$3:$J$201&amp;'Emission factors'!$K$3:$K$201,0),MATCH('Buildings - Grid Electricity'!Q$6,'Emission factors'!$K$2:$V$2,0)))*$K441)</f>
        <v/>
      </c>
      <c r="R441" s="157" t="str" cm="1">
        <f t="array" ref="R441">IF(OR($E441="",$I441=""),"",(INDEX('Emission factors'!$K$3:$V$201,MATCH('Buildings - Grid Electricity'!$E441&amp;$F441,'Emission factors'!$J$3:$J$201&amp;'Emission factors'!$K$3:$K$201,0),MATCH('Buildings - Grid Electricity'!R$6,'Emission factors'!$K$2:$V$2,0)))*$K441)</f>
        <v/>
      </c>
      <c r="S441" s="157" t="str" cm="1">
        <f t="array" ref="S441">IF(OR($E441="",$I441=""),"",(INDEX('Emission factors'!$K$3:$V$201,MATCH('Buildings - Grid Electricity'!$E441&amp;$F441,'Emission factors'!$J$3:$J$201&amp;'Emission factors'!$K$3:$K$201,0),MATCH('Buildings - Grid Electricity'!S$6,'Emission factors'!$K$2:$V$2,0)))*$K441)</f>
        <v/>
      </c>
      <c r="T441" s="157" t="str" cm="1">
        <f t="array" ref="T441">IF(OR($E441="",$I441=""),"",(INDEX('Emission factors'!$K$3:$V$201,MATCH('Buildings - Grid Electricity'!$E441&amp;$F441,'Emission factors'!$J$3:$J$201&amp;'Emission factors'!$K$3:$K$201,0),MATCH('Buildings - Grid Electricity'!T$6,'Emission factors'!$K$2:$V$2,0)))*$K441)</f>
        <v/>
      </c>
      <c r="U441" s="157" t="str" cm="1">
        <f t="array" ref="U441">IF(OR($E441="",$I441=""),"",(INDEX('Emission factors'!$K$3:$V$201,MATCH('Buildings - Grid Electricity'!$E441&amp;$F441,'Emission factors'!$J$3:$J$201&amp;'Emission factors'!$K$3:$K$201,0),MATCH('Buildings - Grid Electricity'!U$6,'Emission factors'!$K$2:$V$2,0)))*$K441)</f>
        <v/>
      </c>
      <c r="V441" s="269" t="str">
        <f>IF(OR($N441="",BuildingsElectricityTable[[#This Row],[RSD]]=""),"",BuildingsElectricityTable[[#This Row],[Total emissions (kgCO2e)]]*(1+BuildingsElectricityTable[[#This Row],[RSD]]))</f>
        <v/>
      </c>
      <c r="W441" s="270" t="str">
        <f>IF(OR($N441="",BuildingsElectricityTable[[#This Row],[RSD]]=""),"",BuildingsElectricityTable[[#This Row],[Total emissions (kgCO2e)]]*(1-BuildingsElectricityTable[[#This Row],[RSD]]))</f>
        <v/>
      </c>
      <c r="X441" s="271" t="str" cm="1">
        <f t="array" ref="X441">IF(OR($E441="",$I441=""),"",(INDEX('Emission factors'!$K$3:$V$201,MATCH('Buildings - Grid Electricity'!$E441&amp;$F441,'Emission factors'!$J$3:$J$201&amp;'Emission factors'!$K$3:$K$201,0),MATCH('Buildings - Grid Electricity'!X$6,'Emission factors'!$K$2:$V$2,0)))*$K441)</f>
        <v/>
      </c>
      <c r="Y441" s="30"/>
    </row>
    <row r="442" spans="1:25" ht="15" outlineLevel="1" thickBot="1" x14ac:dyDescent="0.4">
      <c r="A442" s="319"/>
      <c r="B442" s="216"/>
      <c r="C442" s="216"/>
      <c r="D442" s="489" t="str">
        <f>IFERROR(INDEX(BuildingInformationTable[Site type],MATCH(BuildingsElectricityTable[[#This Row],[Site name]],BuildingInformationTable[Site name],0)),"")</f>
        <v/>
      </c>
      <c r="E442" s="490" t="str">
        <f t="shared" si="38"/>
        <v/>
      </c>
      <c r="F442" s="490" t="str">
        <f t="shared" si="39"/>
        <v/>
      </c>
      <c r="G442" s="491"/>
      <c r="H442" s="492" t="str">
        <f>IF(G442="","",INDEX(Lists!$BA$4:$BC$31,MATCH(E442,Lists!$AZ$4:$AZ$31,0),MATCH(G442,Lists!$BA$3:$BC$3,0)))</f>
        <v/>
      </c>
      <c r="I442" s="267"/>
      <c r="J442" s="490" t="str">
        <f t="shared" si="40"/>
        <v/>
      </c>
      <c r="K442" s="493" t="str" cm="1">
        <f t="array" ref="K442">IF(OR($E442="",$D442="",$I442="",$J442=""),"",IF(J442=L442,I442,(INDEX('Emission factors'!$K$3:$V$201,MATCH(E442&amp;F442,'Emission factors'!$J$3:$J$201&amp;'Emission factors'!$K$3:$K$201,0),MATCH(K$6,'Emission factors'!$K$2:$V$2,0)))*I442))</f>
        <v/>
      </c>
      <c r="L442" s="494" t="str">
        <f>IF(OR($E442="",$D442="",$I442="",$J442=""),"",INDEX('Emission factors'!$K$3:$V$201,MATCH('Buildings - Grid Electricity'!$E442,'Emission factors'!$J$3:$J$201,0),MATCH($L$6,'Emission factors'!$K$2:$V$2,0)))</f>
        <v/>
      </c>
      <c r="M442" s="495" t="str" cm="1">
        <f t="array" ref="M442">IF(OR(E442="",I442="",BuildingsElectricityTable[[#This Row],[Units]]=""),"",INDEX('Emission factors'!$K$3:$V$201,MATCH('Buildings - Grid Electricity'!$E442&amp;F442,'Emission factors'!$J$3:$J$201&amp;'Emission factors'!$K$3:$K$201,0),MATCH('Buildings - Grid Electricity'!$M$6,'Emission factors'!$K$2:$V$2,0)))</f>
        <v/>
      </c>
      <c r="N442" s="496" t="str">
        <f>IF(OR(K442="",M442=""),"",SUM(BuildingsElectricityTable[[#This Row],[Direct]:[Indirect WTT]]))</f>
        <v/>
      </c>
      <c r="O442" s="268"/>
      <c r="P442" s="497"/>
      <c r="Q442" s="157" t="str" cm="1">
        <f t="array" ref="Q442">IF(OR($E442="",$I442=""),"",(INDEX('Emission factors'!$K$3:$V$201,MATCH('Buildings - Grid Electricity'!$E442&amp;$F442,'Emission factors'!$J$3:$J$201&amp;'Emission factors'!$K$3:$K$201,0),MATCH('Buildings - Grid Electricity'!Q$6,'Emission factors'!$K$2:$V$2,0)))*$K442)</f>
        <v/>
      </c>
      <c r="R442" s="157" t="str" cm="1">
        <f t="array" ref="R442">IF(OR($E442="",$I442=""),"",(INDEX('Emission factors'!$K$3:$V$201,MATCH('Buildings - Grid Electricity'!$E442&amp;$F442,'Emission factors'!$J$3:$J$201&amp;'Emission factors'!$K$3:$K$201,0),MATCH('Buildings - Grid Electricity'!R$6,'Emission factors'!$K$2:$V$2,0)))*$K442)</f>
        <v/>
      </c>
      <c r="S442" s="157" t="str" cm="1">
        <f t="array" ref="S442">IF(OR($E442="",$I442=""),"",(INDEX('Emission factors'!$K$3:$V$201,MATCH('Buildings - Grid Electricity'!$E442&amp;$F442,'Emission factors'!$J$3:$J$201&amp;'Emission factors'!$K$3:$K$201,0),MATCH('Buildings - Grid Electricity'!S$6,'Emission factors'!$K$2:$V$2,0)))*$K442)</f>
        <v/>
      </c>
      <c r="T442" s="157" t="str" cm="1">
        <f t="array" ref="T442">IF(OR($E442="",$I442=""),"",(INDEX('Emission factors'!$K$3:$V$201,MATCH('Buildings - Grid Electricity'!$E442&amp;$F442,'Emission factors'!$J$3:$J$201&amp;'Emission factors'!$K$3:$K$201,0),MATCH('Buildings - Grid Electricity'!T$6,'Emission factors'!$K$2:$V$2,0)))*$K442)</f>
        <v/>
      </c>
      <c r="U442" s="157" t="str" cm="1">
        <f t="array" ref="U442">IF(OR($E442="",$I442=""),"",(INDEX('Emission factors'!$K$3:$V$201,MATCH('Buildings - Grid Electricity'!$E442&amp;$F442,'Emission factors'!$J$3:$J$201&amp;'Emission factors'!$K$3:$K$201,0),MATCH('Buildings - Grid Electricity'!U$6,'Emission factors'!$K$2:$V$2,0)))*$K442)</f>
        <v/>
      </c>
      <c r="V442" s="269" t="str">
        <f>IF(OR($N442="",BuildingsElectricityTable[[#This Row],[RSD]]=""),"",BuildingsElectricityTable[[#This Row],[Total emissions (kgCO2e)]]*(1+BuildingsElectricityTable[[#This Row],[RSD]]))</f>
        <v/>
      </c>
      <c r="W442" s="270" t="str">
        <f>IF(OR($N442="",BuildingsElectricityTable[[#This Row],[RSD]]=""),"",BuildingsElectricityTable[[#This Row],[Total emissions (kgCO2e)]]*(1-BuildingsElectricityTable[[#This Row],[RSD]]))</f>
        <v/>
      </c>
      <c r="X442" s="271" t="str" cm="1">
        <f t="array" ref="X442">IF(OR($E442="",$I442=""),"",(INDEX('Emission factors'!$K$3:$V$201,MATCH('Buildings - Grid Electricity'!$E442&amp;$F442,'Emission factors'!$J$3:$J$201&amp;'Emission factors'!$K$3:$K$201,0),MATCH('Buildings - Grid Electricity'!X$6,'Emission factors'!$K$2:$V$2,0)))*$K442)</f>
        <v/>
      </c>
      <c r="Y442" s="30"/>
    </row>
    <row r="443" spans="1:25" ht="15" outlineLevel="1" thickBot="1" x14ac:dyDescent="0.4">
      <c r="A443" s="319"/>
      <c r="B443" s="216"/>
      <c r="C443" s="216"/>
      <c r="D443" s="489" t="str">
        <f>IFERROR(INDEX(BuildingInformationTable[Site type],MATCH(BuildingsElectricityTable[[#This Row],[Site name]],BuildingInformationTable[Site name],0)),"")</f>
        <v/>
      </c>
      <c r="E443" s="490" t="str">
        <f t="shared" si="38"/>
        <v/>
      </c>
      <c r="F443" s="490" t="str">
        <f t="shared" si="39"/>
        <v/>
      </c>
      <c r="G443" s="491"/>
      <c r="H443" s="492" t="str">
        <f>IF(G443="","",INDEX(Lists!$BA$4:$BC$31,MATCH(E443,Lists!$AZ$4:$AZ$31,0),MATCH(G443,Lists!$BA$3:$BC$3,0)))</f>
        <v/>
      </c>
      <c r="I443" s="267"/>
      <c r="J443" s="490" t="str">
        <f t="shared" si="40"/>
        <v/>
      </c>
      <c r="K443" s="493" t="str" cm="1">
        <f t="array" ref="K443">IF(OR($E443="",$D443="",$I443="",$J443=""),"",IF(J443=L443,I443,(INDEX('Emission factors'!$K$3:$V$201,MATCH(E443&amp;F443,'Emission factors'!$J$3:$J$201&amp;'Emission factors'!$K$3:$K$201,0),MATCH(K$6,'Emission factors'!$K$2:$V$2,0)))*I443))</f>
        <v/>
      </c>
      <c r="L443" s="494" t="str">
        <f>IF(OR($E443="",$D443="",$I443="",$J443=""),"",INDEX('Emission factors'!$K$3:$V$201,MATCH('Buildings - Grid Electricity'!$E443,'Emission factors'!$J$3:$J$201,0),MATCH($L$6,'Emission factors'!$K$2:$V$2,0)))</f>
        <v/>
      </c>
      <c r="M443" s="495" t="str" cm="1">
        <f t="array" ref="M443">IF(OR(E443="",I443="",BuildingsElectricityTable[[#This Row],[Units]]=""),"",INDEX('Emission factors'!$K$3:$V$201,MATCH('Buildings - Grid Electricity'!$E443&amp;F443,'Emission factors'!$J$3:$J$201&amp;'Emission factors'!$K$3:$K$201,0),MATCH('Buildings - Grid Electricity'!$M$6,'Emission factors'!$K$2:$V$2,0)))</f>
        <v/>
      </c>
      <c r="N443" s="496" t="str">
        <f>IF(OR(K443="",M443=""),"",SUM(BuildingsElectricityTable[[#This Row],[Direct]:[Indirect WTT]]))</f>
        <v/>
      </c>
      <c r="O443" s="268"/>
      <c r="P443" s="497"/>
      <c r="Q443" s="157" t="str" cm="1">
        <f t="array" ref="Q443">IF(OR($E443="",$I443=""),"",(INDEX('Emission factors'!$K$3:$V$201,MATCH('Buildings - Grid Electricity'!$E443&amp;$F443,'Emission factors'!$J$3:$J$201&amp;'Emission factors'!$K$3:$K$201,0),MATCH('Buildings - Grid Electricity'!Q$6,'Emission factors'!$K$2:$V$2,0)))*$K443)</f>
        <v/>
      </c>
      <c r="R443" s="157" t="str" cm="1">
        <f t="array" ref="R443">IF(OR($E443="",$I443=""),"",(INDEX('Emission factors'!$K$3:$V$201,MATCH('Buildings - Grid Electricity'!$E443&amp;$F443,'Emission factors'!$J$3:$J$201&amp;'Emission factors'!$K$3:$K$201,0),MATCH('Buildings - Grid Electricity'!R$6,'Emission factors'!$K$2:$V$2,0)))*$K443)</f>
        <v/>
      </c>
      <c r="S443" s="157" t="str" cm="1">
        <f t="array" ref="S443">IF(OR($E443="",$I443=""),"",(INDEX('Emission factors'!$K$3:$V$201,MATCH('Buildings - Grid Electricity'!$E443&amp;$F443,'Emission factors'!$J$3:$J$201&amp;'Emission factors'!$K$3:$K$201,0),MATCH('Buildings - Grid Electricity'!S$6,'Emission factors'!$K$2:$V$2,0)))*$K443)</f>
        <v/>
      </c>
      <c r="T443" s="157" t="str" cm="1">
        <f t="array" ref="T443">IF(OR($E443="",$I443=""),"",(INDEX('Emission factors'!$K$3:$V$201,MATCH('Buildings - Grid Electricity'!$E443&amp;$F443,'Emission factors'!$J$3:$J$201&amp;'Emission factors'!$K$3:$K$201,0),MATCH('Buildings - Grid Electricity'!T$6,'Emission factors'!$K$2:$V$2,0)))*$K443)</f>
        <v/>
      </c>
      <c r="U443" s="157" t="str" cm="1">
        <f t="array" ref="U443">IF(OR($E443="",$I443=""),"",(INDEX('Emission factors'!$K$3:$V$201,MATCH('Buildings - Grid Electricity'!$E443&amp;$F443,'Emission factors'!$J$3:$J$201&amp;'Emission factors'!$K$3:$K$201,0),MATCH('Buildings - Grid Electricity'!U$6,'Emission factors'!$K$2:$V$2,0)))*$K443)</f>
        <v/>
      </c>
      <c r="V443" s="269" t="str">
        <f>IF(OR($N443="",BuildingsElectricityTable[[#This Row],[RSD]]=""),"",BuildingsElectricityTable[[#This Row],[Total emissions (kgCO2e)]]*(1+BuildingsElectricityTable[[#This Row],[RSD]]))</f>
        <v/>
      </c>
      <c r="W443" s="270" t="str">
        <f>IF(OR($N443="",BuildingsElectricityTable[[#This Row],[RSD]]=""),"",BuildingsElectricityTable[[#This Row],[Total emissions (kgCO2e)]]*(1-BuildingsElectricityTable[[#This Row],[RSD]]))</f>
        <v/>
      </c>
      <c r="X443" s="271" t="str" cm="1">
        <f t="array" ref="X443">IF(OR($E443="",$I443=""),"",(INDEX('Emission factors'!$K$3:$V$201,MATCH('Buildings - Grid Electricity'!$E443&amp;$F443,'Emission factors'!$J$3:$J$201&amp;'Emission factors'!$K$3:$K$201,0),MATCH('Buildings - Grid Electricity'!X$6,'Emission factors'!$K$2:$V$2,0)))*$K443)</f>
        <v/>
      </c>
      <c r="Y443" s="30"/>
    </row>
    <row r="444" spans="1:25" ht="15" outlineLevel="1" thickBot="1" x14ac:dyDescent="0.4">
      <c r="A444" s="319"/>
      <c r="B444" s="216"/>
      <c r="C444" s="216"/>
      <c r="D444" s="489" t="str">
        <f>IFERROR(INDEX(BuildingInformationTable[Site type],MATCH(BuildingsElectricityTable[[#This Row],[Site name]],BuildingInformationTable[Site name],0)),"")</f>
        <v/>
      </c>
      <c r="E444" s="490" t="str">
        <f t="shared" si="38"/>
        <v/>
      </c>
      <c r="F444" s="490" t="str">
        <f t="shared" si="39"/>
        <v/>
      </c>
      <c r="G444" s="491"/>
      <c r="H444" s="492" t="str">
        <f>IF(G444="","",INDEX(Lists!$BA$4:$BC$31,MATCH(E444,Lists!$AZ$4:$AZ$31,0),MATCH(G444,Lists!$BA$3:$BC$3,0)))</f>
        <v/>
      </c>
      <c r="I444" s="267"/>
      <c r="J444" s="490" t="str">
        <f t="shared" si="40"/>
        <v/>
      </c>
      <c r="K444" s="493" t="str" cm="1">
        <f t="array" ref="K444">IF(OR($E444="",$D444="",$I444="",$J444=""),"",IF(J444=L444,I444,(INDEX('Emission factors'!$K$3:$V$201,MATCH(E444&amp;F444,'Emission factors'!$J$3:$J$201&amp;'Emission factors'!$K$3:$K$201,0),MATCH(K$6,'Emission factors'!$K$2:$V$2,0)))*I444))</f>
        <v/>
      </c>
      <c r="L444" s="494" t="str">
        <f>IF(OR($E444="",$D444="",$I444="",$J444=""),"",INDEX('Emission factors'!$K$3:$V$201,MATCH('Buildings - Grid Electricity'!$E444,'Emission factors'!$J$3:$J$201,0),MATCH($L$6,'Emission factors'!$K$2:$V$2,0)))</f>
        <v/>
      </c>
      <c r="M444" s="495" t="str" cm="1">
        <f t="array" ref="M444">IF(OR(E444="",I444="",BuildingsElectricityTable[[#This Row],[Units]]=""),"",INDEX('Emission factors'!$K$3:$V$201,MATCH('Buildings - Grid Electricity'!$E444&amp;F444,'Emission factors'!$J$3:$J$201&amp;'Emission factors'!$K$3:$K$201,0),MATCH('Buildings - Grid Electricity'!$M$6,'Emission factors'!$K$2:$V$2,0)))</f>
        <v/>
      </c>
      <c r="N444" s="496" t="str">
        <f>IF(OR(K444="",M444=""),"",SUM(BuildingsElectricityTable[[#This Row],[Direct]:[Indirect WTT]]))</f>
        <v/>
      </c>
      <c r="O444" s="268"/>
      <c r="P444" s="497"/>
      <c r="Q444" s="157" t="str" cm="1">
        <f t="array" ref="Q444">IF(OR($E444="",$I444=""),"",(INDEX('Emission factors'!$K$3:$V$201,MATCH('Buildings - Grid Electricity'!$E444&amp;$F444,'Emission factors'!$J$3:$J$201&amp;'Emission factors'!$K$3:$K$201,0),MATCH('Buildings - Grid Electricity'!Q$6,'Emission factors'!$K$2:$V$2,0)))*$K444)</f>
        <v/>
      </c>
      <c r="R444" s="157" t="str" cm="1">
        <f t="array" ref="R444">IF(OR($E444="",$I444=""),"",(INDEX('Emission factors'!$K$3:$V$201,MATCH('Buildings - Grid Electricity'!$E444&amp;$F444,'Emission factors'!$J$3:$J$201&amp;'Emission factors'!$K$3:$K$201,0),MATCH('Buildings - Grid Electricity'!R$6,'Emission factors'!$K$2:$V$2,0)))*$K444)</f>
        <v/>
      </c>
      <c r="S444" s="157" t="str" cm="1">
        <f t="array" ref="S444">IF(OR($E444="",$I444=""),"",(INDEX('Emission factors'!$K$3:$V$201,MATCH('Buildings - Grid Electricity'!$E444&amp;$F444,'Emission factors'!$J$3:$J$201&amp;'Emission factors'!$K$3:$K$201,0),MATCH('Buildings - Grid Electricity'!S$6,'Emission factors'!$K$2:$V$2,0)))*$K444)</f>
        <v/>
      </c>
      <c r="T444" s="157" t="str" cm="1">
        <f t="array" ref="T444">IF(OR($E444="",$I444=""),"",(INDEX('Emission factors'!$K$3:$V$201,MATCH('Buildings - Grid Electricity'!$E444&amp;$F444,'Emission factors'!$J$3:$J$201&amp;'Emission factors'!$K$3:$K$201,0),MATCH('Buildings - Grid Electricity'!T$6,'Emission factors'!$K$2:$V$2,0)))*$K444)</f>
        <v/>
      </c>
      <c r="U444" s="157" t="str" cm="1">
        <f t="array" ref="U444">IF(OR($E444="",$I444=""),"",(INDEX('Emission factors'!$K$3:$V$201,MATCH('Buildings - Grid Electricity'!$E444&amp;$F444,'Emission factors'!$J$3:$J$201&amp;'Emission factors'!$K$3:$K$201,0),MATCH('Buildings - Grid Electricity'!U$6,'Emission factors'!$K$2:$V$2,0)))*$K444)</f>
        <v/>
      </c>
      <c r="V444" s="269" t="str">
        <f>IF(OR($N444="",BuildingsElectricityTable[[#This Row],[RSD]]=""),"",BuildingsElectricityTable[[#This Row],[Total emissions (kgCO2e)]]*(1+BuildingsElectricityTable[[#This Row],[RSD]]))</f>
        <v/>
      </c>
      <c r="W444" s="270" t="str">
        <f>IF(OR($N444="",BuildingsElectricityTable[[#This Row],[RSD]]=""),"",BuildingsElectricityTable[[#This Row],[Total emissions (kgCO2e)]]*(1-BuildingsElectricityTable[[#This Row],[RSD]]))</f>
        <v/>
      </c>
      <c r="X444" s="271" t="str" cm="1">
        <f t="array" ref="X444">IF(OR($E444="",$I444=""),"",(INDEX('Emission factors'!$K$3:$V$201,MATCH('Buildings - Grid Electricity'!$E444&amp;$F444,'Emission factors'!$J$3:$J$201&amp;'Emission factors'!$K$3:$K$201,0),MATCH('Buildings - Grid Electricity'!X$6,'Emission factors'!$K$2:$V$2,0)))*$K444)</f>
        <v/>
      </c>
      <c r="Y444" s="30"/>
    </row>
    <row r="445" spans="1:25" ht="15" outlineLevel="1" thickBot="1" x14ac:dyDescent="0.4">
      <c r="A445" s="319"/>
      <c r="B445" s="216"/>
      <c r="C445" s="216"/>
      <c r="D445" s="489" t="str">
        <f>IFERROR(INDEX(BuildingInformationTable[Site type],MATCH(BuildingsElectricityTable[[#This Row],[Site name]],BuildingInformationTable[Site name],0)),"")</f>
        <v/>
      </c>
      <c r="E445" s="490" t="str">
        <f t="shared" si="38"/>
        <v/>
      </c>
      <c r="F445" s="490" t="str">
        <f t="shared" si="39"/>
        <v/>
      </c>
      <c r="G445" s="491"/>
      <c r="H445" s="492" t="str">
        <f>IF(G445="","",INDEX(Lists!$BA$4:$BC$31,MATCH(E445,Lists!$AZ$4:$AZ$31,0),MATCH(G445,Lists!$BA$3:$BC$3,0)))</f>
        <v/>
      </c>
      <c r="I445" s="267"/>
      <c r="J445" s="490" t="str">
        <f t="shared" si="40"/>
        <v/>
      </c>
      <c r="K445" s="493" t="str" cm="1">
        <f t="array" ref="K445">IF(OR($E445="",$D445="",$I445="",$J445=""),"",IF(J445=L445,I445,(INDEX('Emission factors'!$K$3:$V$201,MATCH(E445&amp;F445,'Emission factors'!$J$3:$J$201&amp;'Emission factors'!$K$3:$K$201,0),MATCH(K$6,'Emission factors'!$K$2:$V$2,0)))*I445))</f>
        <v/>
      </c>
      <c r="L445" s="494" t="str">
        <f>IF(OR($E445="",$D445="",$I445="",$J445=""),"",INDEX('Emission factors'!$K$3:$V$201,MATCH('Buildings - Grid Electricity'!$E445,'Emission factors'!$J$3:$J$201,0),MATCH($L$6,'Emission factors'!$K$2:$V$2,0)))</f>
        <v/>
      </c>
      <c r="M445" s="495" t="str" cm="1">
        <f t="array" ref="M445">IF(OR(E445="",I445="",BuildingsElectricityTable[[#This Row],[Units]]=""),"",INDEX('Emission factors'!$K$3:$V$201,MATCH('Buildings - Grid Electricity'!$E445&amp;F445,'Emission factors'!$J$3:$J$201&amp;'Emission factors'!$K$3:$K$201,0),MATCH('Buildings - Grid Electricity'!$M$6,'Emission factors'!$K$2:$V$2,0)))</f>
        <v/>
      </c>
      <c r="N445" s="496" t="str">
        <f>IF(OR(K445="",M445=""),"",SUM(BuildingsElectricityTable[[#This Row],[Direct]:[Indirect WTT]]))</f>
        <v/>
      </c>
      <c r="O445" s="268"/>
      <c r="P445" s="497"/>
      <c r="Q445" s="157" t="str" cm="1">
        <f t="array" ref="Q445">IF(OR($E445="",$I445=""),"",(INDEX('Emission factors'!$K$3:$V$201,MATCH('Buildings - Grid Electricity'!$E445&amp;$F445,'Emission factors'!$J$3:$J$201&amp;'Emission factors'!$K$3:$K$201,0),MATCH('Buildings - Grid Electricity'!Q$6,'Emission factors'!$K$2:$V$2,0)))*$K445)</f>
        <v/>
      </c>
      <c r="R445" s="157" t="str" cm="1">
        <f t="array" ref="R445">IF(OR($E445="",$I445=""),"",(INDEX('Emission factors'!$K$3:$V$201,MATCH('Buildings - Grid Electricity'!$E445&amp;$F445,'Emission factors'!$J$3:$J$201&amp;'Emission factors'!$K$3:$K$201,0),MATCH('Buildings - Grid Electricity'!R$6,'Emission factors'!$K$2:$V$2,0)))*$K445)</f>
        <v/>
      </c>
      <c r="S445" s="157" t="str" cm="1">
        <f t="array" ref="S445">IF(OR($E445="",$I445=""),"",(INDEX('Emission factors'!$K$3:$V$201,MATCH('Buildings - Grid Electricity'!$E445&amp;$F445,'Emission factors'!$J$3:$J$201&amp;'Emission factors'!$K$3:$K$201,0),MATCH('Buildings - Grid Electricity'!S$6,'Emission factors'!$K$2:$V$2,0)))*$K445)</f>
        <v/>
      </c>
      <c r="T445" s="157" t="str" cm="1">
        <f t="array" ref="T445">IF(OR($E445="",$I445=""),"",(INDEX('Emission factors'!$K$3:$V$201,MATCH('Buildings - Grid Electricity'!$E445&amp;$F445,'Emission factors'!$J$3:$J$201&amp;'Emission factors'!$K$3:$K$201,0),MATCH('Buildings - Grid Electricity'!T$6,'Emission factors'!$K$2:$V$2,0)))*$K445)</f>
        <v/>
      </c>
      <c r="U445" s="157" t="str" cm="1">
        <f t="array" ref="U445">IF(OR($E445="",$I445=""),"",(INDEX('Emission factors'!$K$3:$V$201,MATCH('Buildings - Grid Electricity'!$E445&amp;$F445,'Emission factors'!$J$3:$J$201&amp;'Emission factors'!$K$3:$K$201,0),MATCH('Buildings - Grid Electricity'!U$6,'Emission factors'!$K$2:$V$2,0)))*$K445)</f>
        <v/>
      </c>
      <c r="V445" s="269" t="str">
        <f>IF(OR($N445="",BuildingsElectricityTable[[#This Row],[RSD]]=""),"",BuildingsElectricityTable[[#This Row],[Total emissions (kgCO2e)]]*(1+BuildingsElectricityTable[[#This Row],[RSD]]))</f>
        <v/>
      </c>
      <c r="W445" s="270" t="str">
        <f>IF(OR($N445="",BuildingsElectricityTable[[#This Row],[RSD]]=""),"",BuildingsElectricityTable[[#This Row],[Total emissions (kgCO2e)]]*(1-BuildingsElectricityTable[[#This Row],[RSD]]))</f>
        <v/>
      </c>
      <c r="X445" s="271" t="str" cm="1">
        <f t="array" ref="X445">IF(OR($E445="",$I445=""),"",(INDEX('Emission factors'!$K$3:$V$201,MATCH('Buildings - Grid Electricity'!$E445&amp;$F445,'Emission factors'!$J$3:$J$201&amp;'Emission factors'!$K$3:$K$201,0),MATCH('Buildings - Grid Electricity'!X$6,'Emission factors'!$K$2:$V$2,0)))*$K445)</f>
        <v/>
      </c>
      <c r="Y445" s="30"/>
    </row>
    <row r="446" spans="1:25" ht="15" outlineLevel="1" thickBot="1" x14ac:dyDescent="0.4">
      <c r="A446" s="319"/>
      <c r="B446" s="216"/>
      <c r="C446" s="216"/>
      <c r="D446" s="489" t="str">
        <f>IFERROR(INDEX(BuildingInformationTable[Site type],MATCH(BuildingsElectricityTable[[#This Row],[Site name]],BuildingInformationTable[Site name],0)),"")</f>
        <v/>
      </c>
      <c r="E446" s="490" t="str">
        <f t="shared" si="38"/>
        <v/>
      </c>
      <c r="F446" s="490" t="str">
        <f t="shared" si="39"/>
        <v/>
      </c>
      <c r="G446" s="491"/>
      <c r="H446" s="492" t="str">
        <f>IF(G446="","",INDEX(Lists!$BA$4:$BC$31,MATCH(E446,Lists!$AZ$4:$AZ$31,0),MATCH(G446,Lists!$BA$3:$BC$3,0)))</f>
        <v/>
      </c>
      <c r="I446" s="267"/>
      <c r="J446" s="490" t="str">
        <f t="shared" si="40"/>
        <v/>
      </c>
      <c r="K446" s="493" t="str" cm="1">
        <f t="array" ref="K446">IF(OR($E446="",$D446="",$I446="",$J446=""),"",IF(J446=L446,I446,(INDEX('Emission factors'!$K$3:$V$201,MATCH(E446&amp;F446,'Emission factors'!$J$3:$J$201&amp;'Emission factors'!$K$3:$K$201,0),MATCH(K$6,'Emission factors'!$K$2:$V$2,0)))*I446))</f>
        <v/>
      </c>
      <c r="L446" s="494" t="str">
        <f>IF(OR($E446="",$D446="",$I446="",$J446=""),"",INDEX('Emission factors'!$K$3:$V$201,MATCH('Buildings - Grid Electricity'!$E446,'Emission factors'!$J$3:$J$201,0),MATCH($L$6,'Emission factors'!$K$2:$V$2,0)))</f>
        <v/>
      </c>
      <c r="M446" s="495" t="str" cm="1">
        <f t="array" ref="M446">IF(OR(E446="",I446="",BuildingsElectricityTable[[#This Row],[Units]]=""),"",INDEX('Emission factors'!$K$3:$V$201,MATCH('Buildings - Grid Electricity'!$E446&amp;F446,'Emission factors'!$J$3:$J$201&amp;'Emission factors'!$K$3:$K$201,0),MATCH('Buildings - Grid Electricity'!$M$6,'Emission factors'!$K$2:$V$2,0)))</f>
        <v/>
      </c>
      <c r="N446" s="496" t="str">
        <f>IF(OR(K446="",M446=""),"",SUM(BuildingsElectricityTable[[#This Row],[Direct]:[Indirect WTT]]))</f>
        <v/>
      </c>
      <c r="O446" s="268"/>
      <c r="P446" s="497"/>
      <c r="Q446" s="157" t="str" cm="1">
        <f t="array" ref="Q446">IF(OR($E446="",$I446=""),"",(INDEX('Emission factors'!$K$3:$V$201,MATCH('Buildings - Grid Electricity'!$E446&amp;$F446,'Emission factors'!$J$3:$J$201&amp;'Emission factors'!$K$3:$K$201,0),MATCH('Buildings - Grid Electricity'!Q$6,'Emission factors'!$K$2:$V$2,0)))*$K446)</f>
        <v/>
      </c>
      <c r="R446" s="157" t="str" cm="1">
        <f t="array" ref="R446">IF(OR($E446="",$I446=""),"",(INDEX('Emission factors'!$K$3:$V$201,MATCH('Buildings - Grid Electricity'!$E446&amp;$F446,'Emission factors'!$J$3:$J$201&amp;'Emission factors'!$K$3:$K$201,0),MATCH('Buildings - Grid Electricity'!R$6,'Emission factors'!$K$2:$V$2,0)))*$K446)</f>
        <v/>
      </c>
      <c r="S446" s="157" t="str" cm="1">
        <f t="array" ref="S446">IF(OR($E446="",$I446=""),"",(INDEX('Emission factors'!$K$3:$V$201,MATCH('Buildings - Grid Electricity'!$E446&amp;$F446,'Emission factors'!$J$3:$J$201&amp;'Emission factors'!$K$3:$K$201,0),MATCH('Buildings - Grid Electricity'!S$6,'Emission factors'!$K$2:$V$2,0)))*$K446)</f>
        <v/>
      </c>
      <c r="T446" s="157" t="str" cm="1">
        <f t="array" ref="T446">IF(OR($E446="",$I446=""),"",(INDEX('Emission factors'!$K$3:$V$201,MATCH('Buildings - Grid Electricity'!$E446&amp;$F446,'Emission factors'!$J$3:$J$201&amp;'Emission factors'!$K$3:$K$201,0),MATCH('Buildings - Grid Electricity'!T$6,'Emission factors'!$K$2:$V$2,0)))*$K446)</f>
        <v/>
      </c>
      <c r="U446" s="157" t="str" cm="1">
        <f t="array" ref="U446">IF(OR($E446="",$I446=""),"",(INDEX('Emission factors'!$K$3:$V$201,MATCH('Buildings - Grid Electricity'!$E446&amp;$F446,'Emission factors'!$J$3:$J$201&amp;'Emission factors'!$K$3:$K$201,0),MATCH('Buildings - Grid Electricity'!U$6,'Emission factors'!$K$2:$V$2,0)))*$K446)</f>
        <v/>
      </c>
      <c r="V446" s="269" t="str">
        <f>IF(OR($N446="",BuildingsElectricityTable[[#This Row],[RSD]]=""),"",BuildingsElectricityTable[[#This Row],[Total emissions (kgCO2e)]]*(1+BuildingsElectricityTable[[#This Row],[RSD]]))</f>
        <v/>
      </c>
      <c r="W446" s="270" t="str">
        <f>IF(OR($N446="",BuildingsElectricityTable[[#This Row],[RSD]]=""),"",BuildingsElectricityTable[[#This Row],[Total emissions (kgCO2e)]]*(1-BuildingsElectricityTable[[#This Row],[RSD]]))</f>
        <v/>
      </c>
      <c r="X446" s="271" t="str" cm="1">
        <f t="array" ref="X446">IF(OR($E446="",$I446=""),"",(INDEX('Emission factors'!$K$3:$V$201,MATCH('Buildings - Grid Electricity'!$E446&amp;$F446,'Emission factors'!$J$3:$J$201&amp;'Emission factors'!$K$3:$K$201,0),MATCH('Buildings - Grid Electricity'!X$6,'Emission factors'!$K$2:$V$2,0)))*$K446)</f>
        <v/>
      </c>
      <c r="Y446" s="30"/>
    </row>
    <row r="447" spans="1:25" ht="15" outlineLevel="1" thickBot="1" x14ac:dyDescent="0.4">
      <c r="A447" s="319"/>
      <c r="B447" s="216"/>
      <c r="C447" s="216"/>
      <c r="D447" s="489" t="str">
        <f>IFERROR(INDEX(BuildingInformationTable[Site type],MATCH(BuildingsElectricityTable[[#This Row],[Site name]],BuildingInformationTable[Site name],0)),"")</f>
        <v/>
      </c>
      <c r="E447" s="490" t="str">
        <f t="shared" si="38"/>
        <v/>
      </c>
      <c r="F447" s="490" t="str">
        <f t="shared" si="39"/>
        <v/>
      </c>
      <c r="G447" s="491"/>
      <c r="H447" s="492" t="str">
        <f>IF(G447="","",INDEX(Lists!$BA$4:$BC$31,MATCH(E447,Lists!$AZ$4:$AZ$31,0),MATCH(G447,Lists!$BA$3:$BC$3,0)))</f>
        <v/>
      </c>
      <c r="I447" s="267"/>
      <c r="J447" s="490" t="str">
        <f t="shared" si="40"/>
        <v/>
      </c>
      <c r="K447" s="493" t="str" cm="1">
        <f t="array" ref="K447">IF(OR($E447="",$D447="",$I447="",$J447=""),"",IF(J447=L447,I447,(INDEX('Emission factors'!$K$3:$V$201,MATCH(E447&amp;F447,'Emission factors'!$J$3:$J$201&amp;'Emission factors'!$K$3:$K$201,0),MATCH(K$6,'Emission factors'!$K$2:$V$2,0)))*I447))</f>
        <v/>
      </c>
      <c r="L447" s="494" t="str">
        <f>IF(OR($E447="",$D447="",$I447="",$J447=""),"",INDEX('Emission factors'!$K$3:$V$201,MATCH('Buildings - Grid Electricity'!$E447,'Emission factors'!$J$3:$J$201,0),MATCH($L$6,'Emission factors'!$K$2:$V$2,0)))</f>
        <v/>
      </c>
      <c r="M447" s="495" t="str" cm="1">
        <f t="array" ref="M447">IF(OR(E447="",I447="",BuildingsElectricityTable[[#This Row],[Units]]=""),"",INDEX('Emission factors'!$K$3:$V$201,MATCH('Buildings - Grid Electricity'!$E447&amp;F447,'Emission factors'!$J$3:$J$201&amp;'Emission factors'!$K$3:$K$201,0),MATCH('Buildings - Grid Electricity'!$M$6,'Emission factors'!$K$2:$V$2,0)))</f>
        <v/>
      </c>
      <c r="N447" s="496" t="str">
        <f>IF(OR(K447="",M447=""),"",SUM(BuildingsElectricityTable[[#This Row],[Direct]:[Indirect WTT]]))</f>
        <v/>
      </c>
      <c r="O447" s="268"/>
      <c r="P447" s="497"/>
      <c r="Q447" s="157" t="str" cm="1">
        <f t="array" ref="Q447">IF(OR($E447="",$I447=""),"",(INDEX('Emission factors'!$K$3:$V$201,MATCH('Buildings - Grid Electricity'!$E447&amp;$F447,'Emission factors'!$J$3:$J$201&amp;'Emission factors'!$K$3:$K$201,0),MATCH('Buildings - Grid Electricity'!Q$6,'Emission factors'!$K$2:$V$2,0)))*$K447)</f>
        <v/>
      </c>
      <c r="R447" s="157" t="str" cm="1">
        <f t="array" ref="R447">IF(OR($E447="",$I447=""),"",(INDEX('Emission factors'!$K$3:$V$201,MATCH('Buildings - Grid Electricity'!$E447&amp;$F447,'Emission factors'!$J$3:$J$201&amp;'Emission factors'!$K$3:$K$201,0),MATCH('Buildings - Grid Electricity'!R$6,'Emission factors'!$K$2:$V$2,0)))*$K447)</f>
        <v/>
      </c>
      <c r="S447" s="157" t="str" cm="1">
        <f t="array" ref="S447">IF(OR($E447="",$I447=""),"",(INDEX('Emission factors'!$K$3:$V$201,MATCH('Buildings - Grid Electricity'!$E447&amp;$F447,'Emission factors'!$J$3:$J$201&amp;'Emission factors'!$K$3:$K$201,0),MATCH('Buildings - Grid Electricity'!S$6,'Emission factors'!$K$2:$V$2,0)))*$K447)</f>
        <v/>
      </c>
      <c r="T447" s="157" t="str" cm="1">
        <f t="array" ref="T447">IF(OR($E447="",$I447=""),"",(INDEX('Emission factors'!$K$3:$V$201,MATCH('Buildings - Grid Electricity'!$E447&amp;$F447,'Emission factors'!$J$3:$J$201&amp;'Emission factors'!$K$3:$K$201,0),MATCH('Buildings - Grid Electricity'!T$6,'Emission factors'!$K$2:$V$2,0)))*$K447)</f>
        <v/>
      </c>
      <c r="U447" s="157" t="str" cm="1">
        <f t="array" ref="U447">IF(OR($E447="",$I447=""),"",(INDEX('Emission factors'!$K$3:$V$201,MATCH('Buildings - Grid Electricity'!$E447&amp;$F447,'Emission factors'!$J$3:$J$201&amp;'Emission factors'!$K$3:$K$201,0),MATCH('Buildings - Grid Electricity'!U$6,'Emission factors'!$K$2:$V$2,0)))*$K447)</f>
        <v/>
      </c>
      <c r="V447" s="269" t="str">
        <f>IF(OR($N447="",BuildingsElectricityTable[[#This Row],[RSD]]=""),"",BuildingsElectricityTable[[#This Row],[Total emissions (kgCO2e)]]*(1+BuildingsElectricityTable[[#This Row],[RSD]]))</f>
        <v/>
      </c>
      <c r="W447" s="270" t="str">
        <f>IF(OR($N447="",BuildingsElectricityTable[[#This Row],[RSD]]=""),"",BuildingsElectricityTable[[#This Row],[Total emissions (kgCO2e)]]*(1-BuildingsElectricityTable[[#This Row],[RSD]]))</f>
        <v/>
      </c>
      <c r="X447" s="271" t="str" cm="1">
        <f t="array" ref="X447">IF(OR($E447="",$I447=""),"",(INDEX('Emission factors'!$K$3:$V$201,MATCH('Buildings - Grid Electricity'!$E447&amp;$F447,'Emission factors'!$J$3:$J$201&amp;'Emission factors'!$K$3:$K$201,0),MATCH('Buildings - Grid Electricity'!X$6,'Emission factors'!$K$2:$V$2,0)))*$K447)</f>
        <v/>
      </c>
      <c r="Y447" s="30"/>
    </row>
    <row r="448" spans="1:25" ht="15" outlineLevel="1" thickBot="1" x14ac:dyDescent="0.4">
      <c r="A448" s="319"/>
      <c r="B448" s="216"/>
      <c r="C448" s="216"/>
      <c r="D448" s="489" t="str">
        <f>IFERROR(INDEX(BuildingInformationTable[Site type],MATCH(BuildingsElectricityTable[[#This Row],[Site name]],BuildingInformationTable[Site name],0)),"")</f>
        <v/>
      </c>
      <c r="E448" s="490" t="str">
        <f t="shared" si="38"/>
        <v/>
      </c>
      <c r="F448" s="490" t="str">
        <f t="shared" si="39"/>
        <v/>
      </c>
      <c r="G448" s="491"/>
      <c r="H448" s="492" t="str">
        <f>IF(G448="","",INDEX(Lists!$BA$4:$BC$31,MATCH(E448,Lists!$AZ$4:$AZ$31,0),MATCH(G448,Lists!$BA$3:$BC$3,0)))</f>
        <v/>
      </c>
      <c r="I448" s="267"/>
      <c r="J448" s="490" t="str">
        <f t="shared" si="40"/>
        <v/>
      </c>
      <c r="K448" s="493" t="str" cm="1">
        <f t="array" ref="K448">IF(OR($E448="",$D448="",$I448="",$J448=""),"",IF(J448=L448,I448,(INDEX('Emission factors'!$K$3:$V$201,MATCH(E448&amp;F448,'Emission factors'!$J$3:$J$201&amp;'Emission factors'!$K$3:$K$201,0),MATCH(K$6,'Emission factors'!$K$2:$V$2,0)))*I448))</f>
        <v/>
      </c>
      <c r="L448" s="494" t="str">
        <f>IF(OR($E448="",$D448="",$I448="",$J448=""),"",INDEX('Emission factors'!$K$3:$V$201,MATCH('Buildings - Grid Electricity'!$E448,'Emission factors'!$J$3:$J$201,0),MATCH($L$6,'Emission factors'!$K$2:$V$2,0)))</f>
        <v/>
      </c>
      <c r="M448" s="495" t="str" cm="1">
        <f t="array" ref="M448">IF(OR(E448="",I448="",BuildingsElectricityTable[[#This Row],[Units]]=""),"",INDEX('Emission factors'!$K$3:$V$201,MATCH('Buildings - Grid Electricity'!$E448&amp;F448,'Emission factors'!$J$3:$J$201&amp;'Emission factors'!$K$3:$K$201,0),MATCH('Buildings - Grid Electricity'!$M$6,'Emission factors'!$K$2:$V$2,0)))</f>
        <v/>
      </c>
      <c r="N448" s="496" t="str">
        <f>IF(OR(K448="",M448=""),"",SUM(BuildingsElectricityTable[[#This Row],[Direct]:[Indirect WTT]]))</f>
        <v/>
      </c>
      <c r="O448" s="268"/>
      <c r="P448" s="497"/>
      <c r="Q448" s="157" t="str" cm="1">
        <f t="array" ref="Q448">IF(OR($E448="",$I448=""),"",(INDEX('Emission factors'!$K$3:$V$201,MATCH('Buildings - Grid Electricity'!$E448&amp;$F448,'Emission factors'!$J$3:$J$201&amp;'Emission factors'!$K$3:$K$201,0),MATCH('Buildings - Grid Electricity'!Q$6,'Emission factors'!$K$2:$V$2,0)))*$K448)</f>
        <v/>
      </c>
      <c r="R448" s="157" t="str" cm="1">
        <f t="array" ref="R448">IF(OR($E448="",$I448=""),"",(INDEX('Emission factors'!$K$3:$V$201,MATCH('Buildings - Grid Electricity'!$E448&amp;$F448,'Emission factors'!$J$3:$J$201&amp;'Emission factors'!$K$3:$K$201,0),MATCH('Buildings - Grid Electricity'!R$6,'Emission factors'!$K$2:$V$2,0)))*$K448)</f>
        <v/>
      </c>
      <c r="S448" s="157" t="str" cm="1">
        <f t="array" ref="S448">IF(OR($E448="",$I448=""),"",(INDEX('Emission factors'!$K$3:$V$201,MATCH('Buildings - Grid Electricity'!$E448&amp;$F448,'Emission factors'!$J$3:$J$201&amp;'Emission factors'!$K$3:$K$201,0),MATCH('Buildings - Grid Electricity'!S$6,'Emission factors'!$K$2:$V$2,0)))*$K448)</f>
        <v/>
      </c>
      <c r="T448" s="157" t="str" cm="1">
        <f t="array" ref="T448">IF(OR($E448="",$I448=""),"",(INDEX('Emission factors'!$K$3:$V$201,MATCH('Buildings - Grid Electricity'!$E448&amp;$F448,'Emission factors'!$J$3:$J$201&amp;'Emission factors'!$K$3:$K$201,0),MATCH('Buildings - Grid Electricity'!T$6,'Emission factors'!$K$2:$V$2,0)))*$K448)</f>
        <v/>
      </c>
      <c r="U448" s="157" t="str" cm="1">
        <f t="array" ref="U448">IF(OR($E448="",$I448=""),"",(INDEX('Emission factors'!$K$3:$V$201,MATCH('Buildings - Grid Electricity'!$E448&amp;$F448,'Emission factors'!$J$3:$J$201&amp;'Emission factors'!$K$3:$K$201,0),MATCH('Buildings - Grid Electricity'!U$6,'Emission factors'!$K$2:$V$2,0)))*$K448)</f>
        <v/>
      </c>
      <c r="V448" s="269" t="str">
        <f>IF(OR($N448="",BuildingsElectricityTable[[#This Row],[RSD]]=""),"",BuildingsElectricityTable[[#This Row],[Total emissions (kgCO2e)]]*(1+BuildingsElectricityTable[[#This Row],[RSD]]))</f>
        <v/>
      </c>
      <c r="W448" s="270" t="str">
        <f>IF(OR($N448="",BuildingsElectricityTable[[#This Row],[RSD]]=""),"",BuildingsElectricityTable[[#This Row],[Total emissions (kgCO2e)]]*(1-BuildingsElectricityTable[[#This Row],[RSD]]))</f>
        <v/>
      </c>
      <c r="X448" s="271" t="str" cm="1">
        <f t="array" ref="X448">IF(OR($E448="",$I448=""),"",(INDEX('Emission factors'!$K$3:$V$201,MATCH('Buildings - Grid Electricity'!$E448&amp;$F448,'Emission factors'!$J$3:$J$201&amp;'Emission factors'!$K$3:$K$201,0),MATCH('Buildings - Grid Electricity'!X$6,'Emission factors'!$K$2:$V$2,0)))*$K448)</f>
        <v/>
      </c>
      <c r="Y448" s="30"/>
    </row>
    <row r="449" spans="1:27" ht="15" outlineLevel="1" thickBot="1" x14ac:dyDescent="0.4">
      <c r="A449" s="319"/>
      <c r="B449" s="216"/>
      <c r="C449" s="216"/>
      <c r="D449" s="489" t="str">
        <f>IFERROR(INDEX(BuildingInformationTable[Site type],MATCH(BuildingsElectricityTable[[#This Row],[Site name]],BuildingInformationTable[Site name],0)),"")</f>
        <v/>
      </c>
      <c r="E449" s="490" t="str">
        <f t="shared" si="38"/>
        <v/>
      </c>
      <c r="F449" s="490" t="str">
        <f t="shared" si="39"/>
        <v/>
      </c>
      <c r="G449" s="491"/>
      <c r="H449" s="492" t="str">
        <f>IF(G449="","",INDEX(Lists!$BA$4:$BC$31,MATCH(E449,Lists!$AZ$4:$AZ$31,0),MATCH(G449,Lists!$BA$3:$BC$3,0)))</f>
        <v/>
      </c>
      <c r="I449" s="267"/>
      <c r="J449" s="490" t="str">
        <f t="shared" si="40"/>
        <v/>
      </c>
      <c r="K449" s="493" t="str" cm="1">
        <f t="array" ref="K449">IF(OR($E449="",$D449="",$I449="",$J449=""),"",IF(J449=L449,I449,(INDEX('Emission factors'!$K$3:$V$201,MATCH(E449&amp;F449,'Emission factors'!$J$3:$J$201&amp;'Emission factors'!$K$3:$K$201,0),MATCH(K$6,'Emission factors'!$K$2:$V$2,0)))*I449))</f>
        <v/>
      </c>
      <c r="L449" s="494" t="str">
        <f>IF(OR($E449="",$D449="",$I449="",$J449=""),"",INDEX('Emission factors'!$K$3:$V$201,MATCH('Buildings - Grid Electricity'!$E449,'Emission factors'!$J$3:$J$201,0),MATCH($L$6,'Emission factors'!$K$2:$V$2,0)))</f>
        <v/>
      </c>
      <c r="M449" s="495" t="str" cm="1">
        <f t="array" ref="M449">IF(OR(E449="",I449="",BuildingsElectricityTable[[#This Row],[Units]]=""),"",INDEX('Emission factors'!$K$3:$V$201,MATCH('Buildings - Grid Electricity'!$E449&amp;F449,'Emission factors'!$J$3:$J$201&amp;'Emission factors'!$K$3:$K$201,0),MATCH('Buildings - Grid Electricity'!$M$6,'Emission factors'!$K$2:$V$2,0)))</f>
        <v/>
      </c>
      <c r="N449" s="496" t="str">
        <f>IF(OR(K449="",M449=""),"",SUM(BuildingsElectricityTable[[#This Row],[Direct]:[Indirect WTT]]))</f>
        <v/>
      </c>
      <c r="O449" s="268"/>
      <c r="P449" s="497"/>
      <c r="Q449" s="157" t="str" cm="1">
        <f t="array" ref="Q449">IF(OR($E449="",$I449=""),"",(INDEX('Emission factors'!$K$3:$V$201,MATCH('Buildings - Grid Electricity'!$E449&amp;$F449,'Emission factors'!$J$3:$J$201&amp;'Emission factors'!$K$3:$K$201,0),MATCH('Buildings - Grid Electricity'!Q$6,'Emission factors'!$K$2:$V$2,0)))*$K449)</f>
        <v/>
      </c>
      <c r="R449" s="157" t="str" cm="1">
        <f t="array" ref="R449">IF(OR($E449="",$I449=""),"",(INDEX('Emission factors'!$K$3:$V$201,MATCH('Buildings - Grid Electricity'!$E449&amp;$F449,'Emission factors'!$J$3:$J$201&amp;'Emission factors'!$K$3:$K$201,0),MATCH('Buildings - Grid Electricity'!R$6,'Emission factors'!$K$2:$V$2,0)))*$K449)</f>
        <v/>
      </c>
      <c r="S449" s="157" t="str" cm="1">
        <f t="array" ref="S449">IF(OR($E449="",$I449=""),"",(INDEX('Emission factors'!$K$3:$V$201,MATCH('Buildings - Grid Electricity'!$E449&amp;$F449,'Emission factors'!$J$3:$J$201&amp;'Emission factors'!$K$3:$K$201,0),MATCH('Buildings - Grid Electricity'!S$6,'Emission factors'!$K$2:$V$2,0)))*$K449)</f>
        <v/>
      </c>
      <c r="T449" s="157" t="str" cm="1">
        <f t="array" ref="T449">IF(OR($E449="",$I449=""),"",(INDEX('Emission factors'!$K$3:$V$201,MATCH('Buildings - Grid Electricity'!$E449&amp;$F449,'Emission factors'!$J$3:$J$201&amp;'Emission factors'!$K$3:$K$201,0),MATCH('Buildings - Grid Electricity'!T$6,'Emission factors'!$K$2:$V$2,0)))*$K449)</f>
        <v/>
      </c>
      <c r="U449" s="157" t="str" cm="1">
        <f t="array" ref="U449">IF(OR($E449="",$I449=""),"",(INDEX('Emission factors'!$K$3:$V$201,MATCH('Buildings - Grid Electricity'!$E449&amp;$F449,'Emission factors'!$J$3:$J$201&amp;'Emission factors'!$K$3:$K$201,0),MATCH('Buildings - Grid Electricity'!U$6,'Emission factors'!$K$2:$V$2,0)))*$K449)</f>
        <v/>
      </c>
      <c r="V449" s="269" t="str">
        <f>IF(OR($N449="",BuildingsElectricityTable[[#This Row],[RSD]]=""),"",BuildingsElectricityTable[[#This Row],[Total emissions (kgCO2e)]]*(1+BuildingsElectricityTable[[#This Row],[RSD]]))</f>
        <v/>
      </c>
      <c r="W449" s="270" t="str">
        <f>IF(OR($N449="",BuildingsElectricityTable[[#This Row],[RSD]]=""),"",BuildingsElectricityTable[[#This Row],[Total emissions (kgCO2e)]]*(1-BuildingsElectricityTable[[#This Row],[RSD]]))</f>
        <v/>
      </c>
      <c r="X449" s="271" t="str" cm="1">
        <f t="array" ref="X449">IF(OR($E449="",$I449=""),"",(INDEX('Emission factors'!$K$3:$V$201,MATCH('Buildings - Grid Electricity'!$E449&amp;$F449,'Emission factors'!$J$3:$J$201&amp;'Emission factors'!$K$3:$K$201,0),MATCH('Buildings - Grid Electricity'!X$6,'Emission factors'!$K$2:$V$2,0)))*$K449)</f>
        <v/>
      </c>
      <c r="Y449" s="30"/>
    </row>
    <row r="450" spans="1:27" ht="15" outlineLevel="1" thickBot="1" x14ac:dyDescent="0.4">
      <c r="A450" s="319"/>
      <c r="B450" s="216"/>
      <c r="C450" s="216"/>
      <c r="D450" s="489" t="str">
        <f>IFERROR(INDEX(BuildingInformationTable[Site type],MATCH(BuildingsElectricityTable[[#This Row],[Site name]],BuildingInformationTable[Site name],0)),"")</f>
        <v/>
      </c>
      <c r="E450" s="490" t="str">
        <f t="shared" si="38"/>
        <v/>
      </c>
      <c r="F450" s="490" t="str">
        <f t="shared" si="39"/>
        <v/>
      </c>
      <c r="G450" s="491"/>
      <c r="H450" s="492" t="str">
        <f>IF(G450="","",INDEX(Lists!$BA$4:$BC$31,MATCH(E450,Lists!$AZ$4:$AZ$31,0),MATCH(G450,Lists!$BA$3:$BC$3,0)))</f>
        <v/>
      </c>
      <c r="I450" s="267"/>
      <c r="J450" s="490" t="str">
        <f t="shared" si="40"/>
        <v/>
      </c>
      <c r="K450" s="493" t="str" cm="1">
        <f t="array" ref="K450">IF(OR($E450="",$D450="",$I450="",$J450=""),"",IF(J450=L450,I450,(INDEX('Emission factors'!$K$3:$V$201,MATCH(E450&amp;F450,'Emission factors'!$J$3:$J$201&amp;'Emission factors'!$K$3:$K$201,0),MATCH(K$6,'Emission factors'!$K$2:$V$2,0)))*I450))</f>
        <v/>
      </c>
      <c r="L450" s="494" t="str">
        <f>IF(OR($E450="",$D450="",$I450="",$J450=""),"",INDEX('Emission factors'!$K$3:$V$201,MATCH('Buildings - Grid Electricity'!$E450,'Emission factors'!$J$3:$J$201,0),MATCH($L$6,'Emission factors'!$K$2:$V$2,0)))</f>
        <v/>
      </c>
      <c r="M450" s="495" t="str" cm="1">
        <f t="array" ref="M450">IF(OR(E450="",I450="",BuildingsElectricityTable[[#This Row],[Units]]=""),"",INDEX('Emission factors'!$K$3:$V$201,MATCH('Buildings - Grid Electricity'!$E450&amp;F450,'Emission factors'!$J$3:$J$201&amp;'Emission factors'!$K$3:$K$201,0),MATCH('Buildings - Grid Electricity'!$M$6,'Emission factors'!$K$2:$V$2,0)))</f>
        <v/>
      </c>
      <c r="N450" s="496" t="str">
        <f>IF(OR(K450="",M450=""),"",SUM(BuildingsElectricityTable[[#This Row],[Direct]:[Indirect WTT]]))</f>
        <v/>
      </c>
      <c r="O450" s="268"/>
      <c r="P450" s="497"/>
      <c r="Q450" s="157" t="str" cm="1">
        <f t="array" ref="Q450">IF(OR($E450="",$I450=""),"",(INDEX('Emission factors'!$K$3:$V$201,MATCH('Buildings - Grid Electricity'!$E450&amp;$F450,'Emission factors'!$J$3:$J$201&amp;'Emission factors'!$K$3:$K$201,0),MATCH('Buildings - Grid Electricity'!Q$6,'Emission factors'!$K$2:$V$2,0)))*$K450)</f>
        <v/>
      </c>
      <c r="R450" s="157" t="str" cm="1">
        <f t="array" ref="R450">IF(OR($E450="",$I450=""),"",(INDEX('Emission factors'!$K$3:$V$201,MATCH('Buildings - Grid Electricity'!$E450&amp;$F450,'Emission factors'!$J$3:$J$201&amp;'Emission factors'!$K$3:$K$201,0),MATCH('Buildings - Grid Electricity'!R$6,'Emission factors'!$K$2:$V$2,0)))*$K450)</f>
        <v/>
      </c>
      <c r="S450" s="157" t="str" cm="1">
        <f t="array" ref="S450">IF(OR($E450="",$I450=""),"",(INDEX('Emission factors'!$K$3:$V$201,MATCH('Buildings - Grid Electricity'!$E450&amp;$F450,'Emission factors'!$J$3:$J$201&amp;'Emission factors'!$K$3:$K$201,0),MATCH('Buildings - Grid Electricity'!S$6,'Emission factors'!$K$2:$V$2,0)))*$K450)</f>
        <v/>
      </c>
      <c r="T450" s="157" t="str" cm="1">
        <f t="array" ref="T450">IF(OR($E450="",$I450=""),"",(INDEX('Emission factors'!$K$3:$V$201,MATCH('Buildings - Grid Electricity'!$E450&amp;$F450,'Emission factors'!$J$3:$J$201&amp;'Emission factors'!$K$3:$K$201,0),MATCH('Buildings - Grid Electricity'!T$6,'Emission factors'!$K$2:$V$2,0)))*$K450)</f>
        <v/>
      </c>
      <c r="U450" s="157" t="str" cm="1">
        <f t="array" ref="U450">IF(OR($E450="",$I450=""),"",(INDEX('Emission factors'!$K$3:$V$201,MATCH('Buildings - Grid Electricity'!$E450&amp;$F450,'Emission factors'!$J$3:$J$201&amp;'Emission factors'!$K$3:$K$201,0),MATCH('Buildings - Grid Electricity'!U$6,'Emission factors'!$K$2:$V$2,0)))*$K450)</f>
        <v/>
      </c>
      <c r="V450" s="269" t="str">
        <f>IF(OR($N450="",BuildingsElectricityTable[[#This Row],[RSD]]=""),"",BuildingsElectricityTable[[#This Row],[Total emissions (kgCO2e)]]*(1+BuildingsElectricityTable[[#This Row],[RSD]]))</f>
        <v/>
      </c>
      <c r="W450" s="270" t="str">
        <f>IF(OR($N450="",BuildingsElectricityTable[[#This Row],[RSD]]=""),"",BuildingsElectricityTable[[#This Row],[Total emissions (kgCO2e)]]*(1-BuildingsElectricityTable[[#This Row],[RSD]]))</f>
        <v/>
      </c>
      <c r="X450" s="271" t="str" cm="1">
        <f t="array" ref="X450">IF(OR($E450="",$I450=""),"",(INDEX('Emission factors'!$K$3:$V$201,MATCH('Buildings - Grid Electricity'!$E450&amp;$F450,'Emission factors'!$J$3:$J$201&amp;'Emission factors'!$K$3:$K$201,0),MATCH('Buildings - Grid Electricity'!X$6,'Emission factors'!$K$2:$V$2,0)))*$K450)</f>
        <v/>
      </c>
      <c r="Y450" s="30"/>
    </row>
    <row r="451" spans="1:27" ht="15" outlineLevel="1" thickBot="1" x14ac:dyDescent="0.4">
      <c r="A451" s="319"/>
      <c r="B451" s="216"/>
      <c r="C451" s="216"/>
      <c r="D451" s="489" t="str">
        <f>IFERROR(INDEX(BuildingInformationTable[Site type],MATCH(BuildingsElectricityTable[[#This Row],[Site name]],BuildingInformationTable[Site name],0)),"")</f>
        <v/>
      </c>
      <c r="E451" s="490" t="str">
        <f t="shared" si="38"/>
        <v/>
      </c>
      <c r="F451" s="490" t="str">
        <f t="shared" si="39"/>
        <v/>
      </c>
      <c r="G451" s="491"/>
      <c r="H451" s="492" t="str">
        <f>IF(G451="","",INDEX(Lists!$BA$4:$BC$31,MATCH(E451,Lists!$AZ$4:$AZ$31,0),MATCH(G451,Lists!$BA$3:$BC$3,0)))</f>
        <v/>
      </c>
      <c r="I451" s="267"/>
      <c r="J451" s="490" t="str">
        <f t="shared" si="40"/>
        <v/>
      </c>
      <c r="K451" s="493" t="str" cm="1">
        <f t="array" ref="K451">IF(OR($E451="",$D451="",$I451="",$J451=""),"",IF(J451=L451,I451,(INDEX('Emission factors'!$K$3:$V$201,MATCH(E451&amp;F451,'Emission factors'!$J$3:$J$201&amp;'Emission factors'!$K$3:$K$201,0),MATCH(K$6,'Emission factors'!$K$2:$V$2,0)))*I451))</f>
        <v/>
      </c>
      <c r="L451" s="494" t="str">
        <f>IF(OR($E451="",$D451="",$I451="",$J451=""),"",INDEX('Emission factors'!$K$3:$V$201,MATCH('Buildings - Grid Electricity'!$E451,'Emission factors'!$J$3:$J$201,0),MATCH($L$6,'Emission factors'!$K$2:$V$2,0)))</f>
        <v/>
      </c>
      <c r="M451" s="495" t="str" cm="1">
        <f t="array" ref="M451">IF(OR(E451="",I451="",BuildingsElectricityTable[[#This Row],[Units]]=""),"",INDEX('Emission factors'!$K$3:$V$201,MATCH('Buildings - Grid Electricity'!$E451&amp;F451,'Emission factors'!$J$3:$J$201&amp;'Emission factors'!$K$3:$K$201,0),MATCH('Buildings - Grid Electricity'!$M$6,'Emission factors'!$K$2:$V$2,0)))</f>
        <v/>
      </c>
      <c r="N451" s="496" t="str">
        <f>IF(OR(K451="",M451=""),"",SUM(BuildingsElectricityTable[[#This Row],[Direct]:[Indirect WTT]]))</f>
        <v/>
      </c>
      <c r="O451" s="268"/>
      <c r="P451" s="497"/>
      <c r="Q451" s="157" t="str" cm="1">
        <f t="array" ref="Q451">IF(OR($E451="",$I451=""),"",(INDEX('Emission factors'!$K$3:$V$201,MATCH('Buildings - Grid Electricity'!$E451&amp;$F451,'Emission factors'!$J$3:$J$201&amp;'Emission factors'!$K$3:$K$201,0),MATCH('Buildings - Grid Electricity'!Q$6,'Emission factors'!$K$2:$V$2,0)))*$K451)</f>
        <v/>
      </c>
      <c r="R451" s="157" t="str" cm="1">
        <f t="array" ref="R451">IF(OR($E451="",$I451=""),"",(INDEX('Emission factors'!$K$3:$V$201,MATCH('Buildings - Grid Electricity'!$E451&amp;$F451,'Emission factors'!$J$3:$J$201&amp;'Emission factors'!$K$3:$K$201,0),MATCH('Buildings - Grid Electricity'!R$6,'Emission factors'!$K$2:$V$2,0)))*$K451)</f>
        <v/>
      </c>
      <c r="S451" s="157" t="str" cm="1">
        <f t="array" ref="S451">IF(OR($E451="",$I451=""),"",(INDEX('Emission factors'!$K$3:$V$201,MATCH('Buildings - Grid Electricity'!$E451&amp;$F451,'Emission factors'!$J$3:$J$201&amp;'Emission factors'!$K$3:$K$201,0),MATCH('Buildings - Grid Electricity'!S$6,'Emission factors'!$K$2:$V$2,0)))*$K451)</f>
        <v/>
      </c>
      <c r="T451" s="157" t="str" cm="1">
        <f t="array" ref="T451">IF(OR($E451="",$I451=""),"",(INDEX('Emission factors'!$K$3:$V$201,MATCH('Buildings - Grid Electricity'!$E451&amp;$F451,'Emission factors'!$J$3:$J$201&amp;'Emission factors'!$K$3:$K$201,0),MATCH('Buildings - Grid Electricity'!T$6,'Emission factors'!$K$2:$V$2,0)))*$K451)</f>
        <v/>
      </c>
      <c r="U451" s="157" t="str" cm="1">
        <f t="array" ref="U451">IF(OR($E451="",$I451=""),"",(INDEX('Emission factors'!$K$3:$V$201,MATCH('Buildings - Grid Electricity'!$E451&amp;$F451,'Emission factors'!$J$3:$J$201&amp;'Emission factors'!$K$3:$K$201,0),MATCH('Buildings - Grid Electricity'!U$6,'Emission factors'!$K$2:$V$2,0)))*$K451)</f>
        <v/>
      </c>
      <c r="V451" s="269" t="str">
        <f>IF(OR($N451="",BuildingsElectricityTable[[#This Row],[RSD]]=""),"",BuildingsElectricityTable[[#This Row],[Total emissions (kgCO2e)]]*(1+BuildingsElectricityTable[[#This Row],[RSD]]))</f>
        <v/>
      </c>
      <c r="W451" s="270" t="str">
        <f>IF(OR($N451="",BuildingsElectricityTable[[#This Row],[RSD]]=""),"",BuildingsElectricityTable[[#This Row],[Total emissions (kgCO2e)]]*(1-BuildingsElectricityTable[[#This Row],[RSD]]))</f>
        <v/>
      </c>
      <c r="X451" s="271" t="str" cm="1">
        <f t="array" ref="X451">IF(OR($E451="",$I451=""),"",(INDEX('Emission factors'!$K$3:$V$201,MATCH('Buildings - Grid Electricity'!$E451&amp;$F451,'Emission factors'!$J$3:$J$201&amp;'Emission factors'!$K$3:$K$201,0),MATCH('Buildings - Grid Electricity'!X$6,'Emission factors'!$K$2:$V$2,0)))*$K451)</f>
        <v/>
      </c>
      <c r="Y451" s="30"/>
    </row>
    <row r="452" spans="1:27" ht="15" outlineLevel="1" thickBot="1" x14ac:dyDescent="0.4">
      <c r="A452" s="319"/>
      <c r="B452" s="216"/>
      <c r="C452" s="216"/>
      <c r="D452" s="233" t="str">
        <f>IFERROR(INDEX(BuildingInformationTable[Site type],MATCH(BuildingsElectricityTable[[#This Row],[Site name]],BuildingInformationTable[Site name],0)),"")</f>
        <v/>
      </c>
      <c r="E452" s="311" t="str">
        <f t="shared" si="32"/>
        <v/>
      </c>
      <c r="F452" s="311" t="str">
        <f t="shared" si="0"/>
        <v/>
      </c>
      <c r="G452" s="72"/>
      <c r="H452" s="98" t="str">
        <f>IF(G452="","",INDEX(Lists!$BA$4:$BC$31,MATCH(E452,Lists!$AZ$4:$AZ$31,0),MATCH(G452,Lists!$BA$3:$BC$3,0)))</f>
        <v/>
      </c>
      <c r="I452" s="70"/>
      <c r="J452" s="311" t="str">
        <f t="shared" si="34"/>
        <v/>
      </c>
      <c r="K452" s="75" t="str" cm="1">
        <f t="array" ref="K452">IF(OR($E452="",$D452="",$I452="",$J452=""),"",IF(J452=L452,I452,(INDEX('Emission factors'!$K$3:$V$201,MATCH(E452&amp;F452,'Emission factors'!$J$3:$J$201&amp;'Emission factors'!$K$3:$K$201,0),MATCH(K$6,'Emission factors'!$K$2:$V$2,0)))*I452))</f>
        <v/>
      </c>
      <c r="L452" s="312" t="str">
        <f>IF(OR($E452="",$D452="",$I452="",$J452=""),"",INDEX('Emission factors'!$K$3:$V$201,MATCH('Buildings - Grid Electricity'!$E452,'Emission factors'!$J$3:$J$201,0),MATCH($L$6,'Emission factors'!$K$2:$V$2,0)))</f>
        <v/>
      </c>
      <c r="M452" s="313" t="str" cm="1">
        <f t="array" ref="M452">IF(OR(E452="",I452="",BuildingsElectricityTable[[#This Row],[Units]]=""),"",INDEX('Emission factors'!$K$3:$V$201,MATCH('Buildings - Grid Electricity'!$E452&amp;F452,'Emission factors'!$J$3:$J$201&amp;'Emission factors'!$K$3:$K$201,0),MATCH('Buildings - Grid Electricity'!$M$6,'Emission factors'!$K$2:$V$2,0)))</f>
        <v/>
      </c>
      <c r="N452" s="156" t="str">
        <f>IF(OR(K452="",M452=""),"",SUM(BuildingsElectricityTable[[#This Row],[Direct]:[Indirect WTT]]))</f>
        <v/>
      </c>
      <c r="O452" s="71"/>
      <c r="P452" s="190"/>
      <c r="Q452" s="157" t="str" cm="1">
        <f t="array" ref="Q452">IF(OR($E452="",$I452=""),"",(INDEX('Emission factors'!$K$3:$V$201,MATCH('Buildings - Grid Electricity'!$E452&amp;$F452,'Emission factors'!$J$3:$J$201&amp;'Emission factors'!$K$3:$K$201,0),MATCH('Buildings - Grid Electricity'!Q$6,'Emission factors'!$K$2:$V$2,0)))*$K452)</f>
        <v/>
      </c>
      <c r="R452" s="157" t="str" cm="1">
        <f t="array" ref="R452">IF(OR($E452="",$I452=""),"",(INDEX('Emission factors'!$K$3:$V$201,MATCH('Buildings - Grid Electricity'!$E452&amp;$F452,'Emission factors'!$J$3:$J$201&amp;'Emission factors'!$K$3:$K$201,0),MATCH('Buildings - Grid Electricity'!R$6,'Emission factors'!$K$2:$V$2,0)))*$K452)</f>
        <v/>
      </c>
      <c r="S452" s="157" t="str" cm="1">
        <f t="array" ref="S452">IF(OR($E452="",$I452=""),"",(INDEX('Emission factors'!$K$3:$V$201,MATCH('Buildings - Grid Electricity'!$E452&amp;$F452,'Emission factors'!$J$3:$J$201&amp;'Emission factors'!$K$3:$K$201,0),MATCH('Buildings - Grid Electricity'!S$6,'Emission factors'!$K$2:$V$2,0)))*$K452)</f>
        <v/>
      </c>
      <c r="T452" s="157" t="str" cm="1">
        <f t="array" ref="T452">IF(OR($E452="",$I452=""),"",(INDEX('Emission factors'!$K$3:$V$201,MATCH('Buildings - Grid Electricity'!$E452&amp;$F452,'Emission factors'!$J$3:$J$201&amp;'Emission factors'!$K$3:$K$201,0),MATCH('Buildings - Grid Electricity'!T$6,'Emission factors'!$K$2:$V$2,0)))*$K452)</f>
        <v/>
      </c>
      <c r="U452" s="157" t="str" cm="1">
        <f t="array" ref="U452">IF(OR($E452="",$I452=""),"",(INDEX('Emission factors'!$K$3:$V$201,MATCH('Buildings - Grid Electricity'!$E452&amp;$F452,'Emission factors'!$J$3:$J$201&amp;'Emission factors'!$K$3:$K$201,0),MATCH('Buildings - Grid Electricity'!U$6,'Emission factors'!$K$2:$V$2,0)))*$K452)</f>
        <v/>
      </c>
      <c r="V452" s="158" t="str">
        <f>IF(OR($N452="",BuildingsElectricityTable[[#This Row],[RSD]]=""),"",BuildingsElectricityTable[[#This Row],[Total emissions (kgCO2e)]]*(1+BuildingsElectricityTable[[#This Row],[RSD]]))</f>
        <v/>
      </c>
      <c r="W452" s="159" t="str">
        <f>IF(OR($N452="",BuildingsElectricityTable[[#This Row],[RSD]]=""),"",BuildingsElectricityTable[[#This Row],[Total emissions (kgCO2e)]]*(1-BuildingsElectricityTable[[#This Row],[RSD]]))</f>
        <v/>
      </c>
      <c r="X452" s="191" t="str" cm="1">
        <f t="array" ref="X452">IF(OR($E452="",$I452=""),"",(INDEX('Emission factors'!$K$3:$V$201,MATCH('Buildings - Grid Electricity'!$E452&amp;$F452,'Emission factors'!$J$3:$J$201&amp;'Emission factors'!$K$3:$K$201,0),MATCH('Buildings - Grid Electricity'!X$6,'Emission factors'!$K$2:$V$2,0)))*$K452)</f>
        <v/>
      </c>
      <c r="Y452" s="30"/>
      <c r="Z452" s="1" cm="1">
        <f t="array" ref="Z452">IF(OR(ISERROR(B452:X452)),1,0)</f>
        <v>0</v>
      </c>
      <c r="AA452" s="1">
        <f t="shared" si="33"/>
        <v>0</v>
      </c>
    </row>
    <row r="453" spans="1:27" ht="15" outlineLevel="1" thickBot="1" x14ac:dyDescent="0.4">
      <c r="A453" s="319"/>
      <c r="B453" s="216"/>
      <c r="C453" s="216"/>
      <c r="D453" s="233" t="str">
        <f>IFERROR(INDEX(BuildingInformationTable[Site type],MATCH(BuildingsElectricityTable[[#This Row],[Site name]],BuildingInformationTable[Site name],0)),"")</f>
        <v/>
      </c>
      <c r="E453" s="311" t="str">
        <f t="shared" si="32"/>
        <v/>
      </c>
      <c r="F453" s="311" t="str">
        <f t="shared" si="0"/>
        <v/>
      </c>
      <c r="G453" s="72"/>
      <c r="H453" s="98" t="str">
        <f>IF(G453="","",INDEX(Lists!$BA$4:$BC$31,MATCH(E453,Lists!$AZ$4:$AZ$31,0),MATCH(G453,Lists!$BA$3:$BC$3,0)))</f>
        <v/>
      </c>
      <c r="I453" s="70"/>
      <c r="J453" s="311" t="str">
        <f t="shared" si="34"/>
        <v/>
      </c>
      <c r="K453" s="75" t="str" cm="1">
        <f t="array" ref="K453">IF(OR($E453="",$D453="",$I453="",$J453=""),"",IF(J453=L453,I453,(INDEX('Emission factors'!$K$3:$V$201,MATCH(E453&amp;F453,'Emission factors'!$J$3:$J$201&amp;'Emission factors'!$K$3:$K$201,0),MATCH(K$6,'Emission factors'!$K$2:$V$2,0)))*I453))</f>
        <v/>
      </c>
      <c r="L453" s="312" t="str">
        <f>IF(OR($E453="",$D453="",$I453="",$J453=""),"",INDEX('Emission factors'!$K$3:$V$201,MATCH('Buildings - Grid Electricity'!$E453,'Emission factors'!$J$3:$J$201,0),MATCH($L$6,'Emission factors'!$K$2:$V$2,0)))</f>
        <v/>
      </c>
      <c r="M453" s="313" t="str" cm="1">
        <f t="array" ref="M453">IF(OR(E453="",I453="",BuildingsElectricityTable[[#This Row],[Units]]=""),"",INDEX('Emission factors'!$K$3:$V$201,MATCH('Buildings - Grid Electricity'!$E453&amp;F453,'Emission factors'!$J$3:$J$201&amp;'Emission factors'!$K$3:$K$201,0),MATCH('Buildings - Grid Electricity'!$M$6,'Emission factors'!$K$2:$V$2,0)))</f>
        <v/>
      </c>
      <c r="N453" s="156" t="str">
        <f>IF(OR(K453="",M453=""),"",SUM(BuildingsElectricityTable[[#This Row],[Direct]:[Indirect WTT]]))</f>
        <v/>
      </c>
      <c r="O453" s="71"/>
      <c r="P453" s="190"/>
      <c r="Q453" s="157" t="str" cm="1">
        <f t="array" ref="Q453">IF(OR($E453="",$I453=""),"",(INDEX('Emission factors'!$K$3:$V$201,MATCH('Buildings - Grid Electricity'!$E453&amp;$F453,'Emission factors'!$J$3:$J$201&amp;'Emission factors'!$K$3:$K$201,0),MATCH('Buildings - Grid Electricity'!Q$6,'Emission factors'!$K$2:$V$2,0)))*$K453)</f>
        <v/>
      </c>
      <c r="R453" s="157" t="str" cm="1">
        <f t="array" ref="R453">IF(OR($E453="",$I453=""),"",(INDEX('Emission factors'!$K$3:$V$201,MATCH('Buildings - Grid Electricity'!$E453&amp;$F453,'Emission factors'!$J$3:$J$201&amp;'Emission factors'!$K$3:$K$201,0),MATCH('Buildings - Grid Electricity'!R$6,'Emission factors'!$K$2:$V$2,0)))*$K453)</f>
        <v/>
      </c>
      <c r="S453" s="157" t="str" cm="1">
        <f t="array" ref="S453">IF(OR($E453="",$I453=""),"",(INDEX('Emission factors'!$K$3:$V$201,MATCH('Buildings - Grid Electricity'!$E453&amp;$F453,'Emission factors'!$J$3:$J$201&amp;'Emission factors'!$K$3:$K$201,0),MATCH('Buildings - Grid Electricity'!S$6,'Emission factors'!$K$2:$V$2,0)))*$K453)</f>
        <v/>
      </c>
      <c r="T453" s="157" t="str" cm="1">
        <f t="array" ref="T453">IF(OR($E453="",$I453=""),"",(INDEX('Emission factors'!$K$3:$V$201,MATCH('Buildings - Grid Electricity'!$E453&amp;$F453,'Emission factors'!$J$3:$J$201&amp;'Emission factors'!$K$3:$K$201,0),MATCH('Buildings - Grid Electricity'!T$6,'Emission factors'!$K$2:$V$2,0)))*$K453)</f>
        <v/>
      </c>
      <c r="U453" s="157" t="str" cm="1">
        <f t="array" ref="U453">IF(OR($E453="",$I453=""),"",(INDEX('Emission factors'!$K$3:$V$201,MATCH('Buildings - Grid Electricity'!$E453&amp;$F453,'Emission factors'!$J$3:$J$201&amp;'Emission factors'!$K$3:$K$201,0),MATCH('Buildings - Grid Electricity'!U$6,'Emission factors'!$K$2:$V$2,0)))*$K453)</f>
        <v/>
      </c>
      <c r="V453" s="158" t="str">
        <f>IF(OR($N453="",BuildingsElectricityTable[[#This Row],[RSD]]=""),"",BuildingsElectricityTable[[#This Row],[Total emissions (kgCO2e)]]*(1+BuildingsElectricityTable[[#This Row],[RSD]]))</f>
        <v/>
      </c>
      <c r="W453" s="159" t="str">
        <f>IF(OR($N453="",BuildingsElectricityTable[[#This Row],[RSD]]=""),"",BuildingsElectricityTable[[#This Row],[Total emissions (kgCO2e)]]*(1-BuildingsElectricityTable[[#This Row],[RSD]]))</f>
        <v/>
      </c>
      <c r="X453" s="191" t="str" cm="1">
        <f t="array" ref="X453">IF(OR($E453="",$I453=""),"",(INDEX('Emission factors'!$K$3:$V$201,MATCH('Buildings - Grid Electricity'!$E453&amp;$F453,'Emission factors'!$J$3:$J$201&amp;'Emission factors'!$K$3:$K$201,0),MATCH('Buildings - Grid Electricity'!X$6,'Emission factors'!$K$2:$V$2,0)))*$K453)</f>
        <v/>
      </c>
      <c r="Y453" s="30"/>
      <c r="Z453" s="1" cm="1">
        <f t="array" ref="Z453">IF(OR(ISERROR(B453:X453)),1,0)</f>
        <v>0</v>
      </c>
      <c r="AA453" s="1">
        <f t="shared" si="33"/>
        <v>0</v>
      </c>
    </row>
    <row r="454" spans="1:27" ht="15" outlineLevel="1" thickBot="1" x14ac:dyDescent="0.4">
      <c r="A454" s="319"/>
      <c r="B454" s="216"/>
      <c r="C454" s="216"/>
      <c r="D454" s="233" t="str">
        <f>IFERROR(INDEX(BuildingInformationTable[Site type],MATCH(BuildingsElectricityTable[[#This Row],[Site name]],BuildingInformationTable[Site name],0)),"")</f>
        <v/>
      </c>
      <c r="E454" s="311" t="str">
        <f t="shared" si="32"/>
        <v/>
      </c>
      <c r="F454" s="311" t="str">
        <f t="shared" ref="F454:F500" si="41">IF(E454="Grid electricity", "Consumption based", "")</f>
        <v/>
      </c>
      <c r="G454" s="72"/>
      <c r="H454" s="98" t="str">
        <f>IF(G454="","",INDEX(Lists!$BA$4:$BC$31,MATCH(E454,Lists!$AZ$4:$AZ$31,0),MATCH(G454,Lists!$BA$3:$BC$3,0)))</f>
        <v/>
      </c>
      <c r="I454" s="70"/>
      <c r="J454" s="311" t="str">
        <f t="shared" ref="J454:J485" si="42">IF(I454="", "", "kWh")</f>
        <v/>
      </c>
      <c r="K454" s="75" t="str" cm="1">
        <f t="array" ref="K454">IF(OR($E454="",$D454="",$I454="",$J454=""),"",IF(J454=L454,I454,(INDEX('Emission factors'!$K$3:$V$201,MATCH(E454&amp;F454,'Emission factors'!$J$3:$J$201&amp;'Emission factors'!$K$3:$K$201,0),MATCH(K$6,'Emission factors'!$K$2:$V$2,0)))*I454))</f>
        <v/>
      </c>
      <c r="L454" s="312" t="str">
        <f>IF(OR($E454="",$D454="",$I454="",$J454=""),"",INDEX('Emission factors'!$K$3:$V$201,MATCH('Buildings - Grid Electricity'!$E454,'Emission factors'!$J$3:$J$201,0),MATCH($L$6,'Emission factors'!$K$2:$V$2,0)))</f>
        <v/>
      </c>
      <c r="M454" s="313" t="str" cm="1">
        <f t="array" ref="M454">IF(OR(E454="",I454="",BuildingsElectricityTable[[#This Row],[Units]]=""),"",INDEX('Emission factors'!$K$3:$V$201,MATCH('Buildings - Grid Electricity'!$E454&amp;F454,'Emission factors'!$J$3:$J$201&amp;'Emission factors'!$K$3:$K$201,0),MATCH('Buildings - Grid Electricity'!$M$6,'Emission factors'!$K$2:$V$2,0)))</f>
        <v/>
      </c>
      <c r="N454" s="156" t="str">
        <f>IF(OR(K454="",M454=""),"",SUM(BuildingsElectricityTable[[#This Row],[Direct]:[Indirect WTT]]))</f>
        <v/>
      </c>
      <c r="O454" s="71"/>
      <c r="P454" s="190"/>
      <c r="Q454" s="157" t="str" cm="1">
        <f t="array" ref="Q454">IF(OR($E454="",$I454=""),"",(INDEX('Emission factors'!$K$3:$V$201,MATCH('Buildings - Grid Electricity'!$E454&amp;$F454,'Emission factors'!$J$3:$J$201&amp;'Emission factors'!$K$3:$K$201,0),MATCH('Buildings - Grid Electricity'!Q$6,'Emission factors'!$K$2:$V$2,0)))*$K454)</f>
        <v/>
      </c>
      <c r="R454" s="157" t="str" cm="1">
        <f t="array" ref="R454">IF(OR($E454="",$I454=""),"",(INDEX('Emission factors'!$K$3:$V$201,MATCH('Buildings - Grid Electricity'!$E454&amp;$F454,'Emission factors'!$J$3:$J$201&amp;'Emission factors'!$K$3:$K$201,0),MATCH('Buildings - Grid Electricity'!R$6,'Emission factors'!$K$2:$V$2,0)))*$K454)</f>
        <v/>
      </c>
      <c r="S454" s="157" t="str" cm="1">
        <f t="array" ref="S454">IF(OR($E454="",$I454=""),"",(INDEX('Emission factors'!$K$3:$V$201,MATCH('Buildings - Grid Electricity'!$E454&amp;$F454,'Emission factors'!$J$3:$J$201&amp;'Emission factors'!$K$3:$K$201,0),MATCH('Buildings - Grid Electricity'!S$6,'Emission factors'!$K$2:$V$2,0)))*$K454)</f>
        <v/>
      </c>
      <c r="T454" s="157" t="str" cm="1">
        <f t="array" ref="T454">IF(OR($E454="",$I454=""),"",(INDEX('Emission factors'!$K$3:$V$201,MATCH('Buildings - Grid Electricity'!$E454&amp;$F454,'Emission factors'!$J$3:$J$201&amp;'Emission factors'!$K$3:$K$201,0),MATCH('Buildings - Grid Electricity'!T$6,'Emission factors'!$K$2:$V$2,0)))*$K454)</f>
        <v/>
      </c>
      <c r="U454" s="157" t="str" cm="1">
        <f t="array" ref="U454">IF(OR($E454="",$I454=""),"",(INDEX('Emission factors'!$K$3:$V$201,MATCH('Buildings - Grid Electricity'!$E454&amp;$F454,'Emission factors'!$J$3:$J$201&amp;'Emission factors'!$K$3:$K$201,0),MATCH('Buildings - Grid Electricity'!U$6,'Emission factors'!$K$2:$V$2,0)))*$K454)</f>
        <v/>
      </c>
      <c r="V454" s="158" t="str">
        <f>IF(OR($N454="",BuildingsElectricityTable[[#This Row],[RSD]]=""),"",BuildingsElectricityTable[[#This Row],[Total emissions (kgCO2e)]]*(1+BuildingsElectricityTable[[#This Row],[RSD]]))</f>
        <v/>
      </c>
      <c r="W454" s="159" t="str">
        <f>IF(OR($N454="",BuildingsElectricityTable[[#This Row],[RSD]]=""),"",BuildingsElectricityTable[[#This Row],[Total emissions (kgCO2e)]]*(1-BuildingsElectricityTable[[#This Row],[RSD]]))</f>
        <v/>
      </c>
      <c r="X454" s="191" t="str" cm="1">
        <f t="array" ref="X454">IF(OR($E454="",$I454=""),"",(INDEX('Emission factors'!$K$3:$V$201,MATCH('Buildings - Grid Electricity'!$E454&amp;$F454,'Emission factors'!$J$3:$J$201&amp;'Emission factors'!$K$3:$K$201,0),MATCH('Buildings - Grid Electricity'!X$6,'Emission factors'!$K$2:$V$2,0)))*$K454)</f>
        <v/>
      </c>
      <c r="Y454" s="30"/>
      <c r="Z454" s="1" cm="1">
        <f t="array" ref="Z454">IF(OR(ISERROR(B454:X454)),1,0)</f>
        <v>0</v>
      </c>
      <c r="AA454" s="1">
        <f t="shared" si="33"/>
        <v>0</v>
      </c>
    </row>
    <row r="455" spans="1:27" ht="15" outlineLevel="1" thickBot="1" x14ac:dyDescent="0.4">
      <c r="A455" s="319"/>
      <c r="B455" s="216"/>
      <c r="C455" s="216"/>
      <c r="D455" s="233" t="str">
        <f>IFERROR(INDEX(BuildingInformationTable[Site type],MATCH(BuildingsElectricityTable[[#This Row],[Site name]],BuildingInformationTable[Site name],0)),"")</f>
        <v/>
      </c>
      <c r="E455" s="311" t="str">
        <f t="shared" ref="E455:E500" si="43">IF(B455="", "", "Grid electricity")</f>
        <v/>
      </c>
      <c r="F455" s="311" t="str">
        <f t="shared" si="41"/>
        <v/>
      </c>
      <c r="G455" s="72"/>
      <c r="H455" s="98" t="str">
        <f>IF(G455="","",INDEX(Lists!$BA$4:$BC$31,MATCH(E455,Lists!$AZ$4:$AZ$31,0),MATCH(G455,Lists!$BA$3:$BC$3,0)))</f>
        <v/>
      </c>
      <c r="I455" s="70"/>
      <c r="J455" s="311" t="str">
        <f t="shared" si="42"/>
        <v/>
      </c>
      <c r="K455" s="75" t="str" cm="1">
        <f t="array" ref="K455">IF(OR($E455="",$D455="",$I455="",$J455=""),"",IF(J455=L455,I455,(INDEX('Emission factors'!$K$3:$V$201,MATCH(E455&amp;F455,'Emission factors'!$J$3:$J$201&amp;'Emission factors'!$K$3:$K$201,0),MATCH(K$6,'Emission factors'!$K$2:$V$2,0)))*I455))</f>
        <v/>
      </c>
      <c r="L455" s="312" t="str">
        <f>IF(OR($E455="",$D455="",$I455="",$J455=""),"",INDEX('Emission factors'!$K$3:$V$201,MATCH('Buildings - Grid Electricity'!$E455,'Emission factors'!$J$3:$J$201,0),MATCH($L$6,'Emission factors'!$K$2:$V$2,0)))</f>
        <v/>
      </c>
      <c r="M455" s="313" t="str" cm="1">
        <f t="array" ref="M455">IF(OR(E455="",I455="",BuildingsElectricityTable[[#This Row],[Units]]=""),"",INDEX('Emission factors'!$K$3:$V$201,MATCH('Buildings - Grid Electricity'!$E455&amp;F455,'Emission factors'!$J$3:$J$201&amp;'Emission factors'!$K$3:$K$201,0),MATCH('Buildings - Grid Electricity'!$M$6,'Emission factors'!$K$2:$V$2,0)))</f>
        <v/>
      </c>
      <c r="N455" s="156" t="str">
        <f>IF(OR(K455="",M455=""),"",SUM(BuildingsElectricityTable[[#This Row],[Direct]:[Indirect WTT]]))</f>
        <v/>
      </c>
      <c r="O455" s="71"/>
      <c r="P455" s="190"/>
      <c r="Q455" s="157" t="str" cm="1">
        <f t="array" ref="Q455">IF(OR($E455="",$I455=""),"",(INDEX('Emission factors'!$K$3:$V$201,MATCH('Buildings - Grid Electricity'!$E455&amp;$F455,'Emission factors'!$J$3:$J$201&amp;'Emission factors'!$K$3:$K$201,0),MATCH('Buildings - Grid Electricity'!Q$6,'Emission factors'!$K$2:$V$2,0)))*$K455)</f>
        <v/>
      </c>
      <c r="R455" s="157" t="str" cm="1">
        <f t="array" ref="R455">IF(OR($E455="",$I455=""),"",(INDEX('Emission factors'!$K$3:$V$201,MATCH('Buildings - Grid Electricity'!$E455&amp;$F455,'Emission factors'!$J$3:$J$201&amp;'Emission factors'!$K$3:$K$201,0),MATCH('Buildings - Grid Electricity'!R$6,'Emission factors'!$K$2:$V$2,0)))*$K455)</f>
        <v/>
      </c>
      <c r="S455" s="157" t="str" cm="1">
        <f t="array" ref="S455">IF(OR($E455="",$I455=""),"",(INDEX('Emission factors'!$K$3:$V$201,MATCH('Buildings - Grid Electricity'!$E455&amp;$F455,'Emission factors'!$J$3:$J$201&amp;'Emission factors'!$K$3:$K$201,0),MATCH('Buildings - Grid Electricity'!S$6,'Emission factors'!$K$2:$V$2,0)))*$K455)</f>
        <v/>
      </c>
      <c r="T455" s="157" t="str" cm="1">
        <f t="array" ref="T455">IF(OR($E455="",$I455=""),"",(INDEX('Emission factors'!$K$3:$V$201,MATCH('Buildings - Grid Electricity'!$E455&amp;$F455,'Emission factors'!$J$3:$J$201&amp;'Emission factors'!$K$3:$K$201,0),MATCH('Buildings - Grid Electricity'!T$6,'Emission factors'!$K$2:$V$2,0)))*$K455)</f>
        <v/>
      </c>
      <c r="U455" s="157" t="str" cm="1">
        <f t="array" ref="U455">IF(OR($E455="",$I455=""),"",(INDEX('Emission factors'!$K$3:$V$201,MATCH('Buildings - Grid Electricity'!$E455&amp;$F455,'Emission factors'!$J$3:$J$201&amp;'Emission factors'!$K$3:$K$201,0),MATCH('Buildings - Grid Electricity'!U$6,'Emission factors'!$K$2:$V$2,0)))*$K455)</f>
        <v/>
      </c>
      <c r="V455" s="158" t="str">
        <f>IF(OR($N455="",BuildingsElectricityTable[[#This Row],[RSD]]=""),"",BuildingsElectricityTable[[#This Row],[Total emissions (kgCO2e)]]*(1+BuildingsElectricityTable[[#This Row],[RSD]]))</f>
        <v/>
      </c>
      <c r="W455" s="159" t="str">
        <f>IF(OR($N455="",BuildingsElectricityTable[[#This Row],[RSD]]=""),"",BuildingsElectricityTable[[#This Row],[Total emissions (kgCO2e)]]*(1-BuildingsElectricityTable[[#This Row],[RSD]]))</f>
        <v/>
      </c>
      <c r="X455" s="191" t="str" cm="1">
        <f t="array" ref="X455">IF(OR($E455="",$I455=""),"",(INDEX('Emission factors'!$K$3:$V$201,MATCH('Buildings - Grid Electricity'!$E455&amp;$F455,'Emission factors'!$J$3:$J$201&amp;'Emission factors'!$K$3:$K$201,0),MATCH('Buildings - Grid Electricity'!X$6,'Emission factors'!$K$2:$V$2,0)))*$K455)</f>
        <v/>
      </c>
      <c r="Y455" s="30"/>
      <c r="Z455" s="1" cm="1">
        <f t="array" ref="Z455">IF(OR(ISERROR(B455:X455)),1,0)</f>
        <v>0</v>
      </c>
      <c r="AA455" s="1">
        <f t="shared" ref="AA455:AA499" si="44">IF(AND(B455="",E455="",I455="",J455=""),0,1)</f>
        <v>0</v>
      </c>
    </row>
    <row r="456" spans="1:27" ht="15" outlineLevel="1" thickBot="1" x14ac:dyDescent="0.4">
      <c r="A456" s="319"/>
      <c r="B456" s="216"/>
      <c r="C456" s="216"/>
      <c r="D456" s="233" t="str">
        <f>IFERROR(INDEX(BuildingInformationTable[Site type],MATCH(BuildingsElectricityTable[[#This Row],[Site name]],BuildingInformationTable[Site name],0)),"")</f>
        <v/>
      </c>
      <c r="E456" s="311" t="str">
        <f t="shared" si="43"/>
        <v/>
      </c>
      <c r="F456" s="311" t="str">
        <f t="shared" si="41"/>
        <v/>
      </c>
      <c r="G456" s="72"/>
      <c r="H456" s="98" t="str">
        <f>IF(G456="","",INDEX(Lists!$BA$4:$BC$31,MATCH(E456,Lists!$AZ$4:$AZ$31,0),MATCH(G456,Lists!$BA$3:$BC$3,0)))</f>
        <v/>
      </c>
      <c r="I456" s="70"/>
      <c r="J456" s="311" t="str">
        <f t="shared" si="42"/>
        <v/>
      </c>
      <c r="K456" s="75" t="str" cm="1">
        <f t="array" ref="K456">IF(OR($E456="",$D456="",$I456="",$J456=""),"",IF(J456=L456,I456,(INDEX('Emission factors'!$K$3:$V$201,MATCH(E456&amp;F456,'Emission factors'!$J$3:$J$201&amp;'Emission factors'!$K$3:$K$201,0),MATCH(K$6,'Emission factors'!$K$2:$V$2,0)))*I456))</f>
        <v/>
      </c>
      <c r="L456" s="312" t="str">
        <f>IF(OR($E456="",$D456="",$I456="",$J456=""),"",INDEX('Emission factors'!$K$3:$V$201,MATCH('Buildings - Grid Electricity'!$E456,'Emission factors'!$J$3:$J$201,0),MATCH($L$6,'Emission factors'!$K$2:$V$2,0)))</f>
        <v/>
      </c>
      <c r="M456" s="313" t="str" cm="1">
        <f t="array" ref="M456">IF(OR(E456="",I456="",BuildingsElectricityTable[[#This Row],[Units]]=""),"",INDEX('Emission factors'!$K$3:$V$201,MATCH('Buildings - Grid Electricity'!$E456&amp;F456,'Emission factors'!$J$3:$J$201&amp;'Emission factors'!$K$3:$K$201,0),MATCH('Buildings - Grid Electricity'!$M$6,'Emission factors'!$K$2:$V$2,0)))</f>
        <v/>
      </c>
      <c r="N456" s="156" t="str">
        <f>IF(OR(K456="",M456=""),"",SUM(BuildingsElectricityTable[[#This Row],[Direct]:[Indirect WTT]]))</f>
        <v/>
      </c>
      <c r="O456" s="71"/>
      <c r="P456" s="190"/>
      <c r="Q456" s="157" t="str" cm="1">
        <f t="array" ref="Q456">IF(OR($E456="",$I456=""),"",(INDEX('Emission factors'!$K$3:$V$201,MATCH('Buildings - Grid Electricity'!$E456&amp;$F456,'Emission factors'!$J$3:$J$201&amp;'Emission factors'!$K$3:$K$201,0),MATCH('Buildings - Grid Electricity'!Q$6,'Emission factors'!$K$2:$V$2,0)))*$K456)</f>
        <v/>
      </c>
      <c r="R456" s="157" t="str" cm="1">
        <f t="array" ref="R456">IF(OR($E456="",$I456=""),"",(INDEX('Emission factors'!$K$3:$V$201,MATCH('Buildings - Grid Electricity'!$E456&amp;$F456,'Emission factors'!$J$3:$J$201&amp;'Emission factors'!$K$3:$K$201,0),MATCH('Buildings - Grid Electricity'!R$6,'Emission factors'!$K$2:$V$2,0)))*$K456)</f>
        <v/>
      </c>
      <c r="S456" s="157" t="str" cm="1">
        <f t="array" ref="S456">IF(OR($E456="",$I456=""),"",(INDEX('Emission factors'!$K$3:$V$201,MATCH('Buildings - Grid Electricity'!$E456&amp;$F456,'Emission factors'!$J$3:$J$201&amp;'Emission factors'!$K$3:$K$201,0),MATCH('Buildings - Grid Electricity'!S$6,'Emission factors'!$K$2:$V$2,0)))*$K456)</f>
        <v/>
      </c>
      <c r="T456" s="157" t="str" cm="1">
        <f t="array" ref="T456">IF(OR($E456="",$I456=""),"",(INDEX('Emission factors'!$K$3:$V$201,MATCH('Buildings - Grid Electricity'!$E456&amp;$F456,'Emission factors'!$J$3:$J$201&amp;'Emission factors'!$K$3:$K$201,0),MATCH('Buildings - Grid Electricity'!T$6,'Emission factors'!$K$2:$V$2,0)))*$K456)</f>
        <v/>
      </c>
      <c r="U456" s="157" t="str" cm="1">
        <f t="array" ref="U456">IF(OR($E456="",$I456=""),"",(INDEX('Emission factors'!$K$3:$V$201,MATCH('Buildings - Grid Electricity'!$E456&amp;$F456,'Emission factors'!$J$3:$J$201&amp;'Emission factors'!$K$3:$K$201,0),MATCH('Buildings - Grid Electricity'!U$6,'Emission factors'!$K$2:$V$2,0)))*$K456)</f>
        <v/>
      </c>
      <c r="V456" s="158" t="str">
        <f>IF(OR($N456="",BuildingsElectricityTable[[#This Row],[RSD]]=""),"",BuildingsElectricityTable[[#This Row],[Total emissions (kgCO2e)]]*(1+BuildingsElectricityTable[[#This Row],[RSD]]))</f>
        <v/>
      </c>
      <c r="W456" s="159" t="str">
        <f>IF(OR($N456="",BuildingsElectricityTable[[#This Row],[RSD]]=""),"",BuildingsElectricityTable[[#This Row],[Total emissions (kgCO2e)]]*(1-BuildingsElectricityTable[[#This Row],[RSD]]))</f>
        <v/>
      </c>
      <c r="X456" s="191" t="str" cm="1">
        <f t="array" ref="X456">IF(OR($E456="",$I456=""),"",(INDEX('Emission factors'!$K$3:$V$201,MATCH('Buildings - Grid Electricity'!$E456&amp;$F456,'Emission factors'!$J$3:$J$201&amp;'Emission factors'!$K$3:$K$201,0),MATCH('Buildings - Grid Electricity'!X$6,'Emission factors'!$K$2:$V$2,0)))*$K456)</f>
        <v/>
      </c>
      <c r="Y456" s="30"/>
      <c r="Z456" s="1" cm="1">
        <f t="array" ref="Z456">IF(OR(ISERROR(B456:X456)),1,0)</f>
        <v>0</v>
      </c>
      <c r="AA456" s="1">
        <f t="shared" si="44"/>
        <v>0</v>
      </c>
    </row>
    <row r="457" spans="1:27" ht="15" outlineLevel="1" thickBot="1" x14ac:dyDescent="0.4">
      <c r="A457" s="319"/>
      <c r="B457" s="216"/>
      <c r="C457" s="216"/>
      <c r="D457" s="233" t="str">
        <f>IFERROR(INDEX(BuildingInformationTable[Site type],MATCH(BuildingsElectricityTable[[#This Row],[Site name]],BuildingInformationTable[Site name],0)),"")</f>
        <v/>
      </c>
      <c r="E457" s="311" t="str">
        <f t="shared" si="43"/>
        <v/>
      </c>
      <c r="F457" s="311" t="str">
        <f t="shared" si="41"/>
        <v/>
      </c>
      <c r="G457" s="72"/>
      <c r="H457" s="98" t="str">
        <f>IF(G457="","",INDEX(Lists!$BA$4:$BC$31,MATCH(E457,Lists!$AZ$4:$AZ$31,0),MATCH(G457,Lists!$BA$3:$BC$3,0)))</f>
        <v/>
      </c>
      <c r="I457" s="70"/>
      <c r="J457" s="311" t="str">
        <f t="shared" si="42"/>
        <v/>
      </c>
      <c r="K457" s="75" t="str" cm="1">
        <f t="array" ref="K457">IF(OR($E457="",$D457="",$I457="",$J457=""),"",IF(J457=L457,I457,(INDEX('Emission factors'!$K$3:$V$201,MATCH(E457&amp;F457,'Emission factors'!$J$3:$J$201&amp;'Emission factors'!$K$3:$K$201,0),MATCH(K$6,'Emission factors'!$K$2:$V$2,0)))*I457))</f>
        <v/>
      </c>
      <c r="L457" s="312" t="str">
        <f>IF(OR($E457="",$D457="",$I457="",$J457=""),"",INDEX('Emission factors'!$K$3:$V$201,MATCH('Buildings - Grid Electricity'!$E457,'Emission factors'!$J$3:$J$201,0),MATCH($L$6,'Emission factors'!$K$2:$V$2,0)))</f>
        <v/>
      </c>
      <c r="M457" s="313" t="str" cm="1">
        <f t="array" ref="M457">IF(OR(E457="",I457="",BuildingsElectricityTable[[#This Row],[Units]]=""),"",INDEX('Emission factors'!$K$3:$V$201,MATCH('Buildings - Grid Electricity'!$E457&amp;F457,'Emission factors'!$J$3:$J$201&amp;'Emission factors'!$K$3:$K$201,0),MATCH('Buildings - Grid Electricity'!$M$6,'Emission factors'!$K$2:$V$2,0)))</f>
        <v/>
      </c>
      <c r="N457" s="156" t="str">
        <f>IF(OR(K457="",M457=""),"",SUM(BuildingsElectricityTable[[#This Row],[Direct]:[Indirect WTT]]))</f>
        <v/>
      </c>
      <c r="O457" s="71"/>
      <c r="P457" s="190"/>
      <c r="Q457" s="157" t="str" cm="1">
        <f t="array" ref="Q457">IF(OR($E457="",$I457=""),"",(INDEX('Emission factors'!$K$3:$V$201,MATCH('Buildings - Grid Electricity'!$E457&amp;$F457,'Emission factors'!$J$3:$J$201&amp;'Emission factors'!$K$3:$K$201,0),MATCH('Buildings - Grid Electricity'!Q$6,'Emission factors'!$K$2:$V$2,0)))*$K457)</f>
        <v/>
      </c>
      <c r="R457" s="157" t="str" cm="1">
        <f t="array" ref="R457">IF(OR($E457="",$I457=""),"",(INDEX('Emission factors'!$K$3:$V$201,MATCH('Buildings - Grid Electricity'!$E457&amp;$F457,'Emission factors'!$J$3:$J$201&amp;'Emission factors'!$K$3:$K$201,0),MATCH('Buildings - Grid Electricity'!R$6,'Emission factors'!$K$2:$V$2,0)))*$K457)</f>
        <v/>
      </c>
      <c r="S457" s="157" t="str" cm="1">
        <f t="array" ref="S457">IF(OR($E457="",$I457=""),"",(INDEX('Emission factors'!$K$3:$V$201,MATCH('Buildings - Grid Electricity'!$E457&amp;$F457,'Emission factors'!$J$3:$J$201&amp;'Emission factors'!$K$3:$K$201,0),MATCH('Buildings - Grid Electricity'!S$6,'Emission factors'!$K$2:$V$2,0)))*$K457)</f>
        <v/>
      </c>
      <c r="T457" s="157" t="str" cm="1">
        <f t="array" ref="T457">IF(OR($E457="",$I457=""),"",(INDEX('Emission factors'!$K$3:$V$201,MATCH('Buildings - Grid Electricity'!$E457&amp;$F457,'Emission factors'!$J$3:$J$201&amp;'Emission factors'!$K$3:$K$201,0),MATCH('Buildings - Grid Electricity'!T$6,'Emission factors'!$K$2:$V$2,0)))*$K457)</f>
        <v/>
      </c>
      <c r="U457" s="157" t="str" cm="1">
        <f t="array" ref="U457">IF(OR($E457="",$I457=""),"",(INDEX('Emission factors'!$K$3:$V$201,MATCH('Buildings - Grid Electricity'!$E457&amp;$F457,'Emission factors'!$J$3:$J$201&amp;'Emission factors'!$K$3:$K$201,0),MATCH('Buildings - Grid Electricity'!U$6,'Emission factors'!$K$2:$V$2,0)))*$K457)</f>
        <v/>
      </c>
      <c r="V457" s="158" t="str">
        <f>IF(OR($N457="",BuildingsElectricityTable[[#This Row],[RSD]]=""),"",BuildingsElectricityTable[[#This Row],[Total emissions (kgCO2e)]]*(1+BuildingsElectricityTable[[#This Row],[RSD]]))</f>
        <v/>
      </c>
      <c r="W457" s="159" t="str">
        <f>IF(OR($N457="",BuildingsElectricityTable[[#This Row],[RSD]]=""),"",BuildingsElectricityTable[[#This Row],[Total emissions (kgCO2e)]]*(1-BuildingsElectricityTable[[#This Row],[RSD]]))</f>
        <v/>
      </c>
      <c r="X457" s="191" t="str" cm="1">
        <f t="array" ref="X457">IF(OR($E457="",$I457=""),"",(INDEX('Emission factors'!$K$3:$V$201,MATCH('Buildings - Grid Electricity'!$E457&amp;$F457,'Emission factors'!$J$3:$J$201&amp;'Emission factors'!$K$3:$K$201,0),MATCH('Buildings - Grid Electricity'!X$6,'Emission factors'!$K$2:$V$2,0)))*$K457)</f>
        <v/>
      </c>
      <c r="Y457" s="30"/>
      <c r="Z457" s="1" cm="1">
        <f t="array" ref="Z457">IF(OR(ISERROR(B457:X457)),1,0)</f>
        <v>0</v>
      </c>
      <c r="AA457" s="1">
        <f t="shared" si="44"/>
        <v>0</v>
      </c>
    </row>
    <row r="458" spans="1:27" ht="15" outlineLevel="1" thickBot="1" x14ac:dyDescent="0.4">
      <c r="A458" s="319"/>
      <c r="B458" s="216"/>
      <c r="C458" s="216"/>
      <c r="D458" s="233" t="str">
        <f>IFERROR(INDEX(BuildingInformationTable[Site type],MATCH(BuildingsElectricityTable[[#This Row],[Site name]],BuildingInformationTable[Site name],0)),"")</f>
        <v/>
      </c>
      <c r="E458" s="311" t="str">
        <f t="shared" si="43"/>
        <v/>
      </c>
      <c r="F458" s="311" t="str">
        <f t="shared" si="41"/>
        <v/>
      </c>
      <c r="G458" s="72"/>
      <c r="H458" s="98" t="str">
        <f>IF(G458="","",INDEX(Lists!$BA$4:$BC$31,MATCH(E458,Lists!$AZ$4:$AZ$31,0),MATCH(G458,Lists!$BA$3:$BC$3,0)))</f>
        <v/>
      </c>
      <c r="I458" s="70"/>
      <c r="J458" s="311" t="str">
        <f t="shared" si="42"/>
        <v/>
      </c>
      <c r="K458" s="75" t="str" cm="1">
        <f t="array" ref="K458">IF(OR($E458="",$D458="",$I458="",$J458=""),"",IF(J458=L458,I458,(INDEX('Emission factors'!$K$3:$V$201,MATCH(E458&amp;F458,'Emission factors'!$J$3:$J$201&amp;'Emission factors'!$K$3:$K$201,0),MATCH(K$6,'Emission factors'!$K$2:$V$2,0)))*I458))</f>
        <v/>
      </c>
      <c r="L458" s="312" t="str">
        <f>IF(OR($E458="",$D458="",$I458="",$J458=""),"",INDEX('Emission factors'!$K$3:$V$201,MATCH('Buildings - Grid Electricity'!$E458,'Emission factors'!$J$3:$J$201,0),MATCH($L$6,'Emission factors'!$K$2:$V$2,0)))</f>
        <v/>
      </c>
      <c r="M458" s="313" t="str" cm="1">
        <f t="array" ref="M458">IF(OR(E458="",I458="",BuildingsElectricityTable[[#This Row],[Units]]=""),"",INDEX('Emission factors'!$K$3:$V$201,MATCH('Buildings - Grid Electricity'!$E458&amp;F458,'Emission factors'!$J$3:$J$201&amp;'Emission factors'!$K$3:$K$201,0),MATCH('Buildings - Grid Electricity'!$M$6,'Emission factors'!$K$2:$V$2,0)))</f>
        <v/>
      </c>
      <c r="N458" s="156" t="str">
        <f>IF(OR(K458="",M458=""),"",SUM(BuildingsElectricityTable[[#This Row],[Direct]:[Indirect WTT]]))</f>
        <v/>
      </c>
      <c r="O458" s="71"/>
      <c r="P458" s="190"/>
      <c r="Q458" s="157" t="str" cm="1">
        <f t="array" ref="Q458">IF(OR($E458="",$I458=""),"",(INDEX('Emission factors'!$K$3:$V$201,MATCH('Buildings - Grid Electricity'!$E458&amp;$F458,'Emission factors'!$J$3:$J$201&amp;'Emission factors'!$K$3:$K$201,0),MATCH('Buildings - Grid Electricity'!Q$6,'Emission factors'!$K$2:$V$2,0)))*$K458)</f>
        <v/>
      </c>
      <c r="R458" s="157" t="str" cm="1">
        <f t="array" ref="R458">IF(OR($E458="",$I458=""),"",(INDEX('Emission factors'!$K$3:$V$201,MATCH('Buildings - Grid Electricity'!$E458&amp;$F458,'Emission factors'!$J$3:$J$201&amp;'Emission factors'!$K$3:$K$201,0),MATCH('Buildings - Grid Electricity'!R$6,'Emission factors'!$K$2:$V$2,0)))*$K458)</f>
        <v/>
      </c>
      <c r="S458" s="157" t="str" cm="1">
        <f t="array" ref="S458">IF(OR($E458="",$I458=""),"",(INDEX('Emission factors'!$K$3:$V$201,MATCH('Buildings - Grid Electricity'!$E458&amp;$F458,'Emission factors'!$J$3:$J$201&amp;'Emission factors'!$K$3:$K$201,0),MATCH('Buildings - Grid Electricity'!S$6,'Emission factors'!$K$2:$V$2,0)))*$K458)</f>
        <v/>
      </c>
      <c r="T458" s="157" t="str" cm="1">
        <f t="array" ref="T458">IF(OR($E458="",$I458=""),"",(INDEX('Emission factors'!$K$3:$V$201,MATCH('Buildings - Grid Electricity'!$E458&amp;$F458,'Emission factors'!$J$3:$J$201&amp;'Emission factors'!$K$3:$K$201,0),MATCH('Buildings - Grid Electricity'!T$6,'Emission factors'!$K$2:$V$2,0)))*$K458)</f>
        <v/>
      </c>
      <c r="U458" s="157" t="str" cm="1">
        <f t="array" ref="U458">IF(OR($E458="",$I458=""),"",(INDEX('Emission factors'!$K$3:$V$201,MATCH('Buildings - Grid Electricity'!$E458&amp;$F458,'Emission factors'!$J$3:$J$201&amp;'Emission factors'!$K$3:$K$201,0),MATCH('Buildings - Grid Electricity'!U$6,'Emission factors'!$K$2:$V$2,0)))*$K458)</f>
        <v/>
      </c>
      <c r="V458" s="158" t="str">
        <f>IF(OR($N458="",BuildingsElectricityTable[[#This Row],[RSD]]=""),"",BuildingsElectricityTable[[#This Row],[Total emissions (kgCO2e)]]*(1+BuildingsElectricityTable[[#This Row],[RSD]]))</f>
        <v/>
      </c>
      <c r="W458" s="159" t="str">
        <f>IF(OR($N458="",BuildingsElectricityTable[[#This Row],[RSD]]=""),"",BuildingsElectricityTable[[#This Row],[Total emissions (kgCO2e)]]*(1-BuildingsElectricityTable[[#This Row],[RSD]]))</f>
        <v/>
      </c>
      <c r="X458" s="191" t="str" cm="1">
        <f t="array" ref="X458">IF(OR($E458="",$I458=""),"",(INDEX('Emission factors'!$K$3:$V$201,MATCH('Buildings - Grid Electricity'!$E458&amp;$F458,'Emission factors'!$J$3:$J$201&amp;'Emission factors'!$K$3:$K$201,0),MATCH('Buildings - Grid Electricity'!X$6,'Emission factors'!$K$2:$V$2,0)))*$K458)</f>
        <v/>
      </c>
      <c r="Y458" s="30"/>
      <c r="Z458" s="1" cm="1">
        <f t="array" ref="Z458">IF(OR(ISERROR(B458:X458)),1,0)</f>
        <v>0</v>
      </c>
      <c r="AA458" s="1">
        <f t="shared" si="44"/>
        <v>0</v>
      </c>
    </row>
    <row r="459" spans="1:27" ht="15" outlineLevel="1" thickBot="1" x14ac:dyDescent="0.4">
      <c r="A459" s="319"/>
      <c r="B459" s="216"/>
      <c r="C459" s="216"/>
      <c r="D459" s="233" t="str">
        <f>IFERROR(INDEX(BuildingInformationTable[Site type],MATCH(BuildingsElectricityTable[[#This Row],[Site name]],BuildingInformationTable[Site name],0)),"")</f>
        <v/>
      </c>
      <c r="E459" s="311" t="str">
        <f t="shared" si="43"/>
        <v/>
      </c>
      <c r="F459" s="311" t="str">
        <f t="shared" si="41"/>
        <v/>
      </c>
      <c r="G459" s="72"/>
      <c r="H459" s="98" t="str">
        <f>IF(G459="","",INDEX(Lists!$BA$4:$BC$31,MATCH(E459,Lists!$AZ$4:$AZ$31,0),MATCH(G459,Lists!$BA$3:$BC$3,0)))</f>
        <v/>
      </c>
      <c r="I459" s="70"/>
      <c r="J459" s="311" t="str">
        <f t="shared" si="42"/>
        <v/>
      </c>
      <c r="K459" s="75" t="str" cm="1">
        <f t="array" ref="K459">IF(OR($E459="",$D459="",$I459="",$J459=""),"",IF(J459=L459,I459,(INDEX('Emission factors'!$K$3:$V$201,MATCH(E459&amp;F459,'Emission factors'!$J$3:$J$201&amp;'Emission factors'!$K$3:$K$201,0),MATCH(K$6,'Emission factors'!$K$2:$V$2,0)))*I459))</f>
        <v/>
      </c>
      <c r="L459" s="312" t="str">
        <f>IF(OR($E459="",$D459="",$I459="",$J459=""),"",INDEX('Emission factors'!$K$3:$V$201,MATCH('Buildings - Grid Electricity'!$E459,'Emission factors'!$J$3:$J$201,0),MATCH($L$6,'Emission factors'!$K$2:$V$2,0)))</f>
        <v/>
      </c>
      <c r="M459" s="313" t="str" cm="1">
        <f t="array" ref="M459">IF(OR(E459="",I459="",BuildingsElectricityTable[[#This Row],[Units]]=""),"",INDEX('Emission factors'!$K$3:$V$201,MATCH('Buildings - Grid Electricity'!$E459&amp;F459,'Emission factors'!$J$3:$J$201&amp;'Emission factors'!$K$3:$K$201,0),MATCH('Buildings - Grid Electricity'!$M$6,'Emission factors'!$K$2:$V$2,0)))</f>
        <v/>
      </c>
      <c r="N459" s="156" t="str">
        <f>IF(OR(K459="",M459=""),"",SUM(BuildingsElectricityTable[[#This Row],[Direct]:[Indirect WTT]]))</f>
        <v/>
      </c>
      <c r="O459" s="71"/>
      <c r="P459" s="190"/>
      <c r="Q459" s="157" t="str" cm="1">
        <f t="array" ref="Q459">IF(OR($E459="",$I459=""),"",(INDEX('Emission factors'!$K$3:$V$201,MATCH('Buildings - Grid Electricity'!$E459&amp;$F459,'Emission factors'!$J$3:$J$201&amp;'Emission factors'!$K$3:$K$201,0),MATCH('Buildings - Grid Electricity'!Q$6,'Emission factors'!$K$2:$V$2,0)))*$K459)</f>
        <v/>
      </c>
      <c r="R459" s="157" t="str" cm="1">
        <f t="array" ref="R459">IF(OR($E459="",$I459=""),"",(INDEX('Emission factors'!$K$3:$V$201,MATCH('Buildings - Grid Electricity'!$E459&amp;$F459,'Emission factors'!$J$3:$J$201&amp;'Emission factors'!$K$3:$K$201,0),MATCH('Buildings - Grid Electricity'!R$6,'Emission factors'!$K$2:$V$2,0)))*$K459)</f>
        <v/>
      </c>
      <c r="S459" s="157" t="str" cm="1">
        <f t="array" ref="S459">IF(OR($E459="",$I459=""),"",(INDEX('Emission factors'!$K$3:$V$201,MATCH('Buildings - Grid Electricity'!$E459&amp;$F459,'Emission factors'!$J$3:$J$201&amp;'Emission factors'!$K$3:$K$201,0),MATCH('Buildings - Grid Electricity'!S$6,'Emission factors'!$K$2:$V$2,0)))*$K459)</f>
        <v/>
      </c>
      <c r="T459" s="157" t="str" cm="1">
        <f t="array" ref="T459">IF(OR($E459="",$I459=""),"",(INDEX('Emission factors'!$K$3:$V$201,MATCH('Buildings - Grid Electricity'!$E459&amp;$F459,'Emission factors'!$J$3:$J$201&amp;'Emission factors'!$K$3:$K$201,0),MATCH('Buildings - Grid Electricity'!T$6,'Emission factors'!$K$2:$V$2,0)))*$K459)</f>
        <v/>
      </c>
      <c r="U459" s="157" t="str" cm="1">
        <f t="array" ref="U459">IF(OR($E459="",$I459=""),"",(INDEX('Emission factors'!$K$3:$V$201,MATCH('Buildings - Grid Electricity'!$E459&amp;$F459,'Emission factors'!$J$3:$J$201&amp;'Emission factors'!$K$3:$K$201,0),MATCH('Buildings - Grid Electricity'!U$6,'Emission factors'!$K$2:$V$2,0)))*$K459)</f>
        <v/>
      </c>
      <c r="V459" s="158" t="str">
        <f>IF(OR($N459="",BuildingsElectricityTable[[#This Row],[RSD]]=""),"",BuildingsElectricityTable[[#This Row],[Total emissions (kgCO2e)]]*(1+BuildingsElectricityTable[[#This Row],[RSD]]))</f>
        <v/>
      </c>
      <c r="W459" s="159" t="str">
        <f>IF(OR($N459="",BuildingsElectricityTable[[#This Row],[RSD]]=""),"",BuildingsElectricityTable[[#This Row],[Total emissions (kgCO2e)]]*(1-BuildingsElectricityTable[[#This Row],[RSD]]))</f>
        <v/>
      </c>
      <c r="X459" s="191" t="str" cm="1">
        <f t="array" ref="X459">IF(OR($E459="",$I459=""),"",(INDEX('Emission factors'!$K$3:$V$201,MATCH('Buildings - Grid Electricity'!$E459&amp;$F459,'Emission factors'!$J$3:$J$201&amp;'Emission factors'!$K$3:$K$201,0),MATCH('Buildings - Grid Electricity'!X$6,'Emission factors'!$K$2:$V$2,0)))*$K459)</f>
        <v/>
      </c>
      <c r="Y459" s="30"/>
      <c r="Z459" s="1" cm="1">
        <f t="array" ref="Z459">IF(OR(ISERROR(B459:X459)),1,0)</f>
        <v>0</v>
      </c>
      <c r="AA459" s="1">
        <f t="shared" si="44"/>
        <v>0</v>
      </c>
    </row>
    <row r="460" spans="1:27" ht="15" outlineLevel="1" thickBot="1" x14ac:dyDescent="0.4">
      <c r="A460" s="319"/>
      <c r="B460" s="216"/>
      <c r="C460" s="216"/>
      <c r="D460" s="233" t="str">
        <f>IFERROR(INDEX(BuildingInformationTable[Site type],MATCH(BuildingsElectricityTable[[#This Row],[Site name]],BuildingInformationTable[Site name],0)),"")</f>
        <v/>
      </c>
      <c r="E460" s="311" t="str">
        <f t="shared" si="43"/>
        <v/>
      </c>
      <c r="F460" s="311" t="str">
        <f t="shared" si="41"/>
        <v/>
      </c>
      <c r="G460" s="72"/>
      <c r="H460" s="98" t="str">
        <f>IF(G460="","",INDEX(Lists!$BA$4:$BC$31,MATCH(E460,Lists!$AZ$4:$AZ$31,0),MATCH(G460,Lists!$BA$3:$BC$3,0)))</f>
        <v/>
      </c>
      <c r="I460" s="70"/>
      <c r="J460" s="311" t="str">
        <f t="shared" si="42"/>
        <v/>
      </c>
      <c r="K460" s="75" t="str" cm="1">
        <f t="array" ref="K460">IF(OR($E460="",$D460="",$I460="",$J460=""),"",IF(J460=L460,I460,(INDEX('Emission factors'!$K$3:$V$201,MATCH(E460&amp;F460,'Emission factors'!$J$3:$J$201&amp;'Emission factors'!$K$3:$K$201,0),MATCH(K$6,'Emission factors'!$K$2:$V$2,0)))*I460))</f>
        <v/>
      </c>
      <c r="L460" s="312" t="str">
        <f>IF(OR($E460="",$D460="",$I460="",$J460=""),"",INDEX('Emission factors'!$K$3:$V$201,MATCH('Buildings - Grid Electricity'!$E460,'Emission factors'!$J$3:$J$201,0),MATCH($L$6,'Emission factors'!$K$2:$V$2,0)))</f>
        <v/>
      </c>
      <c r="M460" s="313" t="str" cm="1">
        <f t="array" ref="M460">IF(OR(E460="",I460="",BuildingsElectricityTable[[#This Row],[Units]]=""),"",INDEX('Emission factors'!$K$3:$V$201,MATCH('Buildings - Grid Electricity'!$E460&amp;F460,'Emission factors'!$J$3:$J$201&amp;'Emission factors'!$K$3:$K$201,0),MATCH('Buildings - Grid Electricity'!$M$6,'Emission factors'!$K$2:$V$2,0)))</f>
        <v/>
      </c>
      <c r="N460" s="156" t="str">
        <f>IF(OR(K460="",M460=""),"",SUM(BuildingsElectricityTable[[#This Row],[Direct]:[Indirect WTT]]))</f>
        <v/>
      </c>
      <c r="O460" s="71"/>
      <c r="P460" s="190"/>
      <c r="Q460" s="157" t="str" cm="1">
        <f t="array" ref="Q460">IF(OR($E460="",$I460=""),"",(INDEX('Emission factors'!$K$3:$V$201,MATCH('Buildings - Grid Electricity'!$E460&amp;$F460,'Emission factors'!$J$3:$J$201&amp;'Emission factors'!$K$3:$K$201,0),MATCH('Buildings - Grid Electricity'!Q$6,'Emission factors'!$K$2:$V$2,0)))*$K460)</f>
        <v/>
      </c>
      <c r="R460" s="157" t="str" cm="1">
        <f t="array" ref="R460">IF(OR($E460="",$I460=""),"",(INDEX('Emission factors'!$K$3:$V$201,MATCH('Buildings - Grid Electricity'!$E460&amp;$F460,'Emission factors'!$J$3:$J$201&amp;'Emission factors'!$K$3:$K$201,0),MATCH('Buildings - Grid Electricity'!R$6,'Emission factors'!$K$2:$V$2,0)))*$K460)</f>
        <v/>
      </c>
      <c r="S460" s="157" t="str" cm="1">
        <f t="array" ref="S460">IF(OR($E460="",$I460=""),"",(INDEX('Emission factors'!$K$3:$V$201,MATCH('Buildings - Grid Electricity'!$E460&amp;$F460,'Emission factors'!$J$3:$J$201&amp;'Emission factors'!$K$3:$K$201,0),MATCH('Buildings - Grid Electricity'!S$6,'Emission factors'!$K$2:$V$2,0)))*$K460)</f>
        <v/>
      </c>
      <c r="T460" s="157" t="str" cm="1">
        <f t="array" ref="T460">IF(OR($E460="",$I460=""),"",(INDEX('Emission factors'!$K$3:$V$201,MATCH('Buildings - Grid Electricity'!$E460&amp;$F460,'Emission factors'!$J$3:$J$201&amp;'Emission factors'!$K$3:$K$201,0),MATCH('Buildings - Grid Electricity'!T$6,'Emission factors'!$K$2:$V$2,0)))*$K460)</f>
        <v/>
      </c>
      <c r="U460" s="157" t="str" cm="1">
        <f t="array" ref="U460">IF(OR($E460="",$I460=""),"",(INDEX('Emission factors'!$K$3:$V$201,MATCH('Buildings - Grid Electricity'!$E460&amp;$F460,'Emission factors'!$J$3:$J$201&amp;'Emission factors'!$K$3:$K$201,0),MATCH('Buildings - Grid Electricity'!U$6,'Emission factors'!$K$2:$V$2,0)))*$K460)</f>
        <v/>
      </c>
      <c r="V460" s="158" t="str">
        <f>IF(OR($N460="",BuildingsElectricityTable[[#This Row],[RSD]]=""),"",BuildingsElectricityTable[[#This Row],[Total emissions (kgCO2e)]]*(1+BuildingsElectricityTable[[#This Row],[RSD]]))</f>
        <v/>
      </c>
      <c r="W460" s="159" t="str">
        <f>IF(OR($N460="",BuildingsElectricityTable[[#This Row],[RSD]]=""),"",BuildingsElectricityTable[[#This Row],[Total emissions (kgCO2e)]]*(1-BuildingsElectricityTable[[#This Row],[RSD]]))</f>
        <v/>
      </c>
      <c r="X460" s="191" t="str" cm="1">
        <f t="array" ref="X460">IF(OR($E460="",$I460=""),"",(INDEX('Emission factors'!$K$3:$V$201,MATCH('Buildings - Grid Electricity'!$E460&amp;$F460,'Emission factors'!$J$3:$J$201&amp;'Emission factors'!$K$3:$K$201,0),MATCH('Buildings - Grid Electricity'!X$6,'Emission factors'!$K$2:$V$2,0)))*$K460)</f>
        <v/>
      </c>
      <c r="Y460" s="30"/>
      <c r="Z460" s="1" cm="1">
        <f t="array" ref="Z460">IF(OR(ISERROR(B460:X460)),1,0)</f>
        <v>0</v>
      </c>
      <c r="AA460" s="1">
        <f t="shared" si="44"/>
        <v>0</v>
      </c>
    </row>
    <row r="461" spans="1:27" ht="15" outlineLevel="1" thickBot="1" x14ac:dyDescent="0.4">
      <c r="A461" s="319"/>
      <c r="B461" s="216"/>
      <c r="C461" s="216"/>
      <c r="D461" s="233" t="str">
        <f>IFERROR(INDEX(BuildingInformationTable[Site type],MATCH(BuildingsElectricityTable[[#This Row],[Site name]],BuildingInformationTable[Site name],0)),"")</f>
        <v/>
      </c>
      <c r="E461" s="311" t="str">
        <f t="shared" si="43"/>
        <v/>
      </c>
      <c r="F461" s="311" t="str">
        <f t="shared" si="41"/>
        <v/>
      </c>
      <c r="G461" s="72"/>
      <c r="H461" s="98" t="str">
        <f>IF(G461="","",INDEX(Lists!$BA$4:$BC$31,MATCH(E461,Lists!$AZ$4:$AZ$31,0),MATCH(G461,Lists!$BA$3:$BC$3,0)))</f>
        <v/>
      </c>
      <c r="I461" s="70"/>
      <c r="J461" s="311" t="str">
        <f t="shared" si="42"/>
        <v/>
      </c>
      <c r="K461" s="75" t="str" cm="1">
        <f t="array" ref="K461">IF(OR($E461="",$D461="",$I461="",$J461=""),"",IF(J461=L461,I461,(INDEX('Emission factors'!$K$3:$V$201,MATCH(E461&amp;F461,'Emission factors'!$J$3:$J$201&amp;'Emission factors'!$K$3:$K$201,0),MATCH(K$6,'Emission factors'!$K$2:$V$2,0)))*I461))</f>
        <v/>
      </c>
      <c r="L461" s="312" t="str">
        <f>IF(OR($E461="",$D461="",$I461="",$J461=""),"",INDEX('Emission factors'!$K$3:$V$201,MATCH('Buildings - Grid Electricity'!$E461,'Emission factors'!$J$3:$J$201,0),MATCH($L$6,'Emission factors'!$K$2:$V$2,0)))</f>
        <v/>
      </c>
      <c r="M461" s="313" t="str" cm="1">
        <f t="array" ref="M461">IF(OR(E461="",I461="",BuildingsElectricityTable[[#This Row],[Units]]=""),"",INDEX('Emission factors'!$K$3:$V$201,MATCH('Buildings - Grid Electricity'!$E461&amp;F461,'Emission factors'!$J$3:$J$201&amp;'Emission factors'!$K$3:$K$201,0),MATCH('Buildings - Grid Electricity'!$M$6,'Emission factors'!$K$2:$V$2,0)))</f>
        <v/>
      </c>
      <c r="N461" s="156" t="str">
        <f>IF(OR(K461="",M461=""),"",SUM(BuildingsElectricityTable[[#This Row],[Direct]:[Indirect WTT]]))</f>
        <v/>
      </c>
      <c r="O461" s="71"/>
      <c r="P461" s="190"/>
      <c r="Q461" s="157" t="str" cm="1">
        <f t="array" ref="Q461">IF(OR($E461="",$I461=""),"",(INDEX('Emission factors'!$K$3:$V$201,MATCH('Buildings - Grid Electricity'!$E461&amp;$F461,'Emission factors'!$J$3:$J$201&amp;'Emission factors'!$K$3:$K$201,0),MATCH('Buildings - Grid Electricity'!Q$6,'Emission factors'!$K$2:$V$2,0)))*$K461)</f>
        <v/>
      </c>
      <c r="R461" s="157" t="str" cm="1">
        <f t="array" ref="R461">IF(OR($E461="",$I461=""),"",(INDEX('Emission factors'!$K$3:$V$201,MATCH('Buildings - Grid Electricity'!$E461&amp;$F461,'Emission factors'!$J$3:$J$201&amp;'Emission factors'!$K$3:$K$201,0),MATCH('Buildings - Grid Electricity'!R$6,'Emission factors'!$K$2:$V$2,0)))*$K461)</f>
        <v/>
      </c>
      <c r="S461" s="157" t="str" cm="1">
        <f t="array" ref="S461">IF(OR($E461="",$I461=""),"",(INDEX('Emission factors'!$K$3:$V$201,MATCH('Buildings - Grid Electricity'!$E461&amp;$F461,'Emission factors'!$J$3:$J$201&amp;'Emission factors'!$K$3:$K$201,0),MATCH('Buildings - Grid Electricity'!S$6,'Emission factors'!$K$2:$V$2,0)))*$K461)</f>
        <v/>
      </c>
      <c r="T461" s="157" t="str" cm="1">
        <f t="array" ref="T461">IF(OR($E461="",$I461=""),"",(INDEX('Emission factors'!$K$3:$V$201,MATCH('Buildings - Grid Electricity'!$E461&amp;$F461,'Emission factors'!$J$3:$J$201&amp;'Emission factors'!$K$3:$K$201,0),MATCH('Buildings - Grid Electricity'!T$6,'Emission factors'!$K$2:$V$2,0)))*$K461)</f>
        <v/>
      </c>
      <c r="U461" s="157" t="str" cm="1">
        <f t="array" ref="U461">IF(OR($E461="",$I461=""),"",(INDEX('Emission factors'!$K$3:$V$201,MATCH('Buildings - Grid Electricity'!$E461&amp;$F461,'Emission factors'!$J$3:$J$201&amp;'Emission factors'!$K$3:$K$201,0),MATCH('Buildings - Grid Electricity'!U$6,'Emission factors'!$K$2:$V$2,0)))*$K461)</f>
        <v/>
      </c>
      <c r="V461" s="158" t="str">
        <f>IF(OR($N461="",BuildingsElectricityTable[[#This Row],[RSD]]=""),"",BuildingsElectricityTable[[#This Row],[Total emissions (kgCO2e)]]*(1+BuildingsElectricityTable[[#This Row],[RSD]]))</f>
        <v/>
      </c>
      <c r="W461" s="159" t="str">
        <f>IF(OR($N461="",BuildingsElectricityTable[[#This Row],[RSD]]=""),"",BuildingsElectricityTable[[#This Row],[Total emissions (kgCO2e)]]*(1-BuildingsElectricityTable[[#This Row],[RSD]]))</f>
        <v/>
      </c>
      <c r="X461" s="191" t="str" cm="1">
        <f t="array" ref="X461">IF(OR($E461="",$I461=""),"",(INDEX('Emission factors'!$K$3:$V$201,MATCH('Buildings - Grid Electricity'!$E461&amp;$F461,'Emission factors'!$J$3:$J$201&amp;'Emission factors'!$K$3:$K$201,0),MATCH('Buildings - Grid Electricity'!X$6,'Emission factors'!$K$2:$V$2,0)))*$K461)</f>
        <v/>
      </c>
      <c r="Y461" s="30"/>
      <c r="Z461" s="1" cm="1">
        <f t="array" ref="Z461">IF(OR(ISERROR(B461:X461)),1,0)</f>
        <v>0</v>
      </c>
      <c r="AA461" s="1">
        <f t="shared" si="44"/>
        <v>0</v>
      </c>
    </row>
    <row r="462" spans="1:27" ht="15" outlineLevel="1" thickBot="1" x14ac:dyDescent="0.4">
      <c r="A462" s="319"/>
      <c r="B462" s="216"/>
      <c r="C462" s="216"/>
      <c r="D462" s="233" t="str">
        <f>IFERROR(INDEX(BuildingInformationTable[Site type],MATCH(BuildingsElectricityTable[[#This Row],[Site name]],BuildingInformationTable[Site name],0)),"")</f>
        <v/>
      </c>
      <c r="E462" s="311" t="str">
        <f t="shared" si="43"/>
        <v/>
      </c>
      <c r="F462" s="311" t="str">
        <f t="shared" si="41"/>
        <v/>
      </c>
      <c r="G462" s="72"/>
      <c r="H462" s="98" t="str">
        <f>IF(G462="","",INDEX(Lists!$BA$4:$BC$31,MATCH(E462,Lists!$AZ$4:$AZ$31,0),MATCH(G462,Lists!$BA$3:$BC$3,0)))</f>
        <v/>
      </c>
      <c r="I462" s="70"/>
      <c r="J462" s="311" t="str">
        <f t="shared" si="42"/>
        <v/>
      </c>
      <c r="K462" s="75" t="str" cm="1">
        <f t="array" ref="K462">IF(OR($E462="",$D462="",$I462="",$J462=""),"",IF(J462=L462,I462,(INDEX('Emission factors'!$K$3:$V$201,MATCH(E462&amp;F462,'Emission factors'!$J$3:$J$201&amp;'Emission factors'!$K$3:$K$201,0),MATCH(K$6,'Emission factors'!$K$2:$V$2,0)))*I462))</f>
        <v/>
      </c>
      <c r="L462" s="312" t="str">
        <f>IF(OR($E462="",$D462="",$I462="",$J462=""),"",INDEX('Emission factors'!$K$3:$V$201,MATCH('Buildings - Grid Electricity'!$E462,'Emission factors'!$J$3:$J$201,0),MATCH($L$6,'Emission factors'!$K$2:$V$2,0)))</f>
        <v/>
      </c>
      <c r="M462" s="313" t="str" cm="1">
        <f t="array" ref="M462">IF(OR(E462="",I462="",BuildingsElectricityTable[[#This Row],[Units]]=""),"",INDEX('Emission factors'!$K$3:$V$201,MATCH('Buildings - Grid Electricity'!$E462&amp;F462,'Emission factors'!$J$3:$J$201&amp;'Emission factors'!$K$3:$K$201,0),MATCH('Buildings - Grid Electricity'!$M$6,'Emission factors'!$K$2:$V$2,0)))</f>
        <v/>
      </c>
      <c r="N462" s="156" t="str">
        <f>IF(OR(K462="",M462=""),"",SUM(BuildingsElectricityTable[[#This Row],[Direct]:[Indirect WTT]]))</f>
        <v/>
      </c>
      <c r="O462" s="71"/>
      <c r="P462" s="190"/>
      <c r="Q462" s="157" t="str" cm="1">
        <f t="array" ref="Q462">IF(OR($E462="",$I462=""),"",(INDEX('Emission factors'!$K$3:$V$201,MATCH('Buildings - Grid Electricity'!$E462&amp;$F462,'Emission factors'!$J$3:$J$201&amp;'Emission factors'!$K$3:$K$201,0),MATCH('Buildings - Grid Electricity'!Q$6,'Emission factors'!$K$2:$V$2,0)))*$K462)</f>
        <v/>
      </c>
      <c r="R462" s="157" t="str" cm="1">
        <f t="array" ref="R462">IF(OR($E462="",$I462=""),"",(INDEX('Emission factors'!$K$3:$V$201,MATCH('Buildings - Grid Electricity'!$E462&amp;$F462,'Emission factors'!$J$3:$J$201&amp;'Emission factors'!$K$3:$K$201,0),MATCH('Buildings - Grid Electricity'!R$6,'Emission factors'!$K$2:$V$2,0)))*$K462)</f>
        <v/>
      </c>
      <c r="S462" s="157" t="str" cm="1">
        <f t="array" ref="S462">IF(OR($E462="",$I462=""),"",(INDEX('Emission factors'!$K$3:$V$201,MATCH('Buildings - Grid Electricity'!$E462&amp;$F462,'Emission factors'!$J$3:$J$201&amp;'Emission factors'!$K$3:$K$201,0),MATCH('Buildings - Grid Electricity'!S$6,'Emission factors'!$K$2:$V$2,0)))*$K462)</f>
        <v/>
      </c>
      <c r="T462" s="157" t="str" cm="1">
        <f t="array" ref="T462">IF(OR($E462="",$I462=""),"",(INDEX('Emission factors'!$K$3:$V$201,MATCH('Buildings - Grid Electricity'!$E462&amp;$F462,'Emission factors'!$J$3:$J$201&amp;'Emission factors'!$K$3:$K$201,0),MATCH('Buildings - Grid Electricity'!T$6,'Emission factors'!$K$2:$V$2,0)))*$K462)</f>
        <v/>
      </c>
      <c r="U462" s="157" t="str" cm="1">
        <f t="array" ref="U462">IF(OR($E462="",$I462=""),"",(INDEX('Emission factors'!$K$3:$V$201,MATCH('Buildings - Grid Electricity'!$E462&amp;$F462,'Emission factors'!$J$3:$J$201&amp;'Emission factors'!$K$3:$K$201,0),MATCH('Buildings - Grid Electricity'!U$6,'Emission factors'!$K$2:$V$2,0)))*$K462)</f>
        <v/>
      </c>
      <c r="V462" s="158" t="str">
        <f>IF(OR($N462="",BuildingsElectricityTable[[#This Row],[RSD]]=""),"",BuildingsElectricityTable[[#This Row],[Total emissions (kgCO2e)]]*(1+BuildingsElectricityTable[[#This Row],[RSD]]))</f>
        <v/>
      </c>
      <c r="W462" s="159" t="str">
        <f>IF(OR($N462="",BuildingsElectricityTable[[#This Row],[RSD]]=""),"",BuildingsElectricityTable[[#This Row],[Total emissions (kgCO2e)]]*(1-BuildingsElectricityTable[[#This Row],[RSD]]))</f>
        <v/>
      </c>
      <c r="X462" s="191" t="str" cm="1">
        <f t="array" ref="X462">IF(OR($E462="",$I462=""),"",(INDEX('Emission factors'!$K$3:$V$201,MATCH('Buildings - Grid Electricity'!$E462&amp;$F462,'Emission factors'!$J$3:$J$201&amp;'Emission factors'!$K$3:$K$201,0),MATCH('Buildings - Grid Electricity'!X$6,'Emission factors'!$K$2:$V$2,0)))*$K462)</f>
        <v/>
      </c>
      <c r="Y462" s="30"/>
      <c r="Z462" s="1" cm="1">
        <f t="array" ref="Z462">IF(OR(ISERROR(B462:X462)),1,0)</f>
        <v>0</v>
      </c>
      <c r="AA462" s="1">
        <f t="shared" si="44"/>
        <v>0</v>
      </c>
    </row>
    <row r="463" spans="1:27" ht="15" outlineLevel="1" thickBot="1" x14ac:dyDescent="0.4">
      <c r="A463" s="319"/>
      <c r="B463" s="216"/>
      <c r="C463" s="216"/>
      <c r="D463" s="233" t="str">
        <f>IFERROR(INDEX(BuildingInformationTable[Site type],MATCH(BuildingsElectricityTable[[#This Row],[Site name]],BuildingInformationTable[Site name],0)),"")</f>
        <v/>
      </c>
      <c r="E463" s="311" t="str">
        <f t="shared" si="43"/>
        <v/>
      </c>
      <c r="F463" s="311" t="str">
        <f t="shared" si="41"/>
        <v/>
      </c>
      <c r="G463" s="72"/>
      <c r="H463" s="98" t="str">
        <f>IF(G463="","",INDEX(Lists!$BA$4:$BC$31,MATCH(E463,Lists!$AZ$4:$AZ$31,0),MATCH(G463,Lists!$BA$3:$BC$3,0)))</f>
        <v/>
      </c>
      <c r="I463" s="70"/>
      <c r="J463" s="311" t="str">
        <f t="shared" si="42"/>
        <v/>
      </c>
      <c r="K463" s="75" t="str" cm="1">
        <f t="array" ref="K463">IF(OR($E463="",$D463="",$I463="",$J463=""),"",IF(J463=L463,I463,(INDEX('Emission factors'!$K$3:$V$201,MATCH(E463&amp;F463,'Emission factors'!$J$3:$J$201&amp;'Emission factors'!$K$3:$K$201,0),MATCH(K$6,'Emission factors'!$K$2:$V$2,0)))*I463))</f>
        <v/>
      </c>
      <c r="L463" s="312" t="str">
        <f>IF(OR($E463="",$D463="",$I463="",$J463=""),"",INDEX('Emission factors'!$K$3:$V$201,MATCH('Buildings - Grid Electricity'!$E463,'Emission factors'!$J$3:$J$201,0),MATCH($L$6,'Emission factors'!$K$2:$V$2,0)))</f>
        <v/>
      </c>
      <c r="M463" s="313" t="str" cm="1">
        <f t="array" ref="M463">IF(OR(E463="",I463="",BuildingsElectricityTable[[#This Row],[Units]]=""),"",INDEX('Emission factors'!$K$3:$V$201,MATCH('Buildings - Grid Electricity'!$E463&amp;F463,'Emission factors'!$J$3:$J$201&amp;'Emission factors'!$K$3:$K$201,0),MATCH('Buildings - Grid Electricity'!$M$6,'Emission factors'!$K$2:$V$2,0)))</f>
        <v/>
      </c>
      <c r="N463" s="156" t="str">
        <f>IF(OR(K463="",M463=""),"",SUM(BuildingsElectricityTable[[#This Row],[Direct]:[Indirect WTT]]))</f>
        <v/>
      </c>
      <c r="O463" s="71"/>
      <c r="P463" s="190"/>
      <c r="Q463" s="157" t="str" cm="1">
        <f t="array" ref="Q463">IF(OR($E463="",$I463=""),"",(INDEX('Emission factors'!$K$3:$V$201,MATCH('Buildings - Grid Electricity'!$E463&amp;$F463,'Emission factors'!$J$3:$J$201&amp;'Emission factors'!$K$3:$K$201,0),MATCH('Buildings - Grid Electricity'!Q$6,'Emission factors'!$K$2:$V$2,0)))*$K463)</f>
        <v/>
      </c>
      <c r="R463" s="157" t="str" cm="1">
        <f t="array" ref="R463">IF(OR($E463="",$I463=""),"",(INDEX('Emission factors'!$K$3:$V$201,MATCH('Buildings - Grid Electricity'!$E463&amp;$F463,'Emission factors'!$J$3:$J$201&amp;'Emission factors'!$K$3:$K$201,0),MATCH('Buildings - Grid Electricity'!R$6,'Emission factors'!$K$2:$V$2,0)))*$K463)</f>
        <v/>
      </c>
      <c r="S463" s="157" t="str" cm="1">
        <f t="array" ref="S463">IF(OR($E463="",$I463=""),"",(INDEX('Emission factors'!$K$3:$V$201,MATCH('Buildings - Grid Electricity'!$E463&amp;$F463,'Emission factors'!$J$3:$J$201&amp;'Emission factors'!$K$3:$K$201,0),MATCH('Buildings - Grid Electricity'!S$6,'Emission factors'!$K$2:$V$2,0)))*$K463)</f>
        <v/>
      </c>
      <c r="T463" s="157" t="str" cm="1">
        <f t="array" ref="T463">IF(OR($E463="",$I463=""),"",(INDEX('Emission factors'!$K$3:$V$201,MATCH('Buildings - Grid Electricity'!$E463&amp;$F463,'Emission factors'!$J$3:$J$201&amp;'Emission factors'!$K$3:$K$201,0),MATCH('Buildings - Grid Electricity'!T$6,'Emission factors'!$K$2:$V$2,0)))*$K463)</f>
        <v/>
      </c>
      <c r="U463" s="157" t="str" cm="1">
        <f t="array" ref="U463">IF(OR($E463="",$I463=""),"",(INDEX('Emission factors'!$K$3:$V$201,MATCH('Buildings - Grid Electricity'!$E463&amp;$F463,'Emission factors'!$J$3:$J$201&amp;'Emission factors'!$K$3:$K$201,0),MATCH('Buildings - Grid Electricity'!U$6,'Emission factors'!$K$2:$V$2,0)))*$K463)</f>
        <v/>
      </c>
      <c r="V463" s="158" t="str">
        <f>IF(OR($N463="",BuildingsElectricityTable[[#This Row],[RSD]]=""),"",BuildingsElectricityTable[[#This Row],[Total emissions (kgCO2e)]]*(1+BuildingsElectricityTable[[#This Row],[RSD]]))</f>
        <v/>
      </c>
      <c r="W463" s="159" t="str">
        <f>IF(OR($N463="",BuildingsElectricityTable[[#This Row],[RSD]]=""),"",BuildingsElectricityTable[[#This Row],[Total emissions (kgCO2e)]]*(1-BuildingsElectricityTable[[#This Row],[RSD]]))</f>
        <v/>
      </c>
      <c r="X463" s="191" t="str" cm="1">
        <f t="array" ref="X463">IF(OR($E463="",$I463=""),"",(INDEX('Emission factors'!$K$3:$V$201,MATCH('Buildings - Grid Electricity'!$E463&amp;$F463,'Emission factors'!$J$3:$J$201&amp;'Emission factors'!$K$3:$K$201,0),MATCH('Buildings - Grid Electricity'!X$6,'Emission factors'!$K$2:$V$2,0)))*$K463)</f>
        <v/>
      </c>
      <c r="Y463" s="30"/>
      <c r="Z463" s="1" cm="1">
        <f t="array" ref="Z463">IF(OR(ISERROR(B463:X463)),1,0)</f>
        <v>0</v>
      </c>
      <c r="AA463" s="1">
        <f t="shared" si="44"/>
        <v>0</v>
      </c>
    </row>
    <row r="464" spans="1:27" ht="15" outlineLevel="1" thickBot="1" x14ac:dyDescent="0.4">
      <c r="A464" s="319"/>
      <c r="B464" s="216"/>
      <c r="C464" s="216"/>
      <c r="D464" s="233" t="str">
        <f>IFERROR(INDEX(BuildingInformationTable[Site type],MATCH(BuildingsElectricityTable[[#This Row],[Site name]],BuildingInformationTable[Site name],0)),"")</f>
        <v/>
      </c>
      <c r="E464" s="311" t="str">
        <f t="shared" si="43"/>
        <v/>
      </c>
      <c r="F464" s="311" t="str">
        <f t="shared" si="41"/>
        <v/>
      </c>
      <c r="G464" s="72"/>
      <c r="H464" s="98" t="str">
        <f>IF(G464="","",INDEX(Lists!$BA$4:$BC$31,MATCH(E464,Lists!$AZ$4:$AZ$31,0),MATCH(G464,Lists!$BA$3:$BC$3,0)))</f>
        <v/>
      </c>
      <c r="I464" s="70"/>
      <c r="J464" s="311" t="str">
        <f t="shared" si="42"/>
        <v/>
      </c>
      <c r="K464" s="75" t="str" cm="1">
        <f t="array" ref="K464">IF(OR($E464="",$D464="",$I464="",$J464=""),"",IF(J464=L464,I464,(INDEX('Emission factors'!$K$3:$V$201,MATCH(E464&amp;F464,'Emission factors'!$J$3:$J$201&amp;'Emission factors'!$K$3:$K$201,0),MATCH(K$6,'Emission factors'!$K$2:$V$2,0)))*I464))</f>
        <v/>
      </c>
      <c r="L464" s="312" t="str">
        <f>IF(OR($E464="",$D464="",$I464="",$J464=""),"",INDEX('Emission factors'!$K$3:$V$201,MATCH('Buildings - Grid Electricity'!$E464,'Emission factors'!$J$3:$J$201,0),MATCH($L$6,'Emission factors'!$K$2:$V$2,0)))</f>
        <v/>
      </c>
      <c r="M464" s="313" t="str" cm="1">
        <f t="array" ref="M464">IF(OR(E464="",I464="",BuildingsElectricityTable[[#This Row],[Units]]=""),"",INDEX('Emission factors'!$K$3:$V$201,MATCH('Buildings - Grid Electricity'!$E464&amp;F464,'Emission factors'!$J$3:$J$201&amp;'Emission factors'!$K$3:$K$201,0),MATCH('Buildings - Grid Electricity'!$M$6,'Emission factors'!$K$2:$V$2,0)))</f>
        <v/>
      </c>
      <c r="N464" s="156" t="str">
        <f>IF(OR(K464="",M464=""),"",SUM(BuildingsElectricityTable[[#This Row],[Direct]:[Indirect WTT]]))</f>
        <v/>
      </c>
      <c r="O464" s="71"/>
      <c r="P464" s="190"/>
      <c r="Q464" s="157" t="str" cm="1">
        <f t="array" ref="Q464">IF(OR($E464="",$I464=""),"",(INDEX('Emission factors'!$K$3:$V$201,MATCH('Buildings - Grid Electricity'!$E464&amp;$F464,'Emission factors'!$J$3:$J$201&amp;'Emission factors'!$K$3:$K$201,0),MATCH('Buildings - Grid Electricity'!Q$6,'Emission factors'!$K$2:$V$2,0)))*$K464)</f>
        <v/>
      </c>
      <c r="R464" s="157" t="str" cm="1">
        <f t="array" ref="R464">IF(OR($E464="",$I464=""),"",(INDEX('Emission factors'!$K$3:$V$201,MATCH('Buildings - Grid Electricity'!$E464&amp;$F464,'Emission factors'!$J$3:$J$201&amp;'Emission factors'!$K$3:$K$201,0),MATCH('Buildings - Grid Electricity'!R$6,'Emission factors'!$K$2:$V$2,0)))*$K464)</f>
        <v/>
      </c>
      <c r="S464" s="157" t="str" cm="1">
        <f t="array" ref="S464">IF(OR($E464="",$I464=""),"",(INDEX('Emission factors'!$K$3:$V$201,MATCH('Buildings - Grid Electricity'!$E464&amp;$F464,'Emission factors'!$J$3:$J$201&amp;'Emission factors'!$K$3:$K$201,0),MATCH('Buildings - Grid Electricity'!S$6,'Emission factors'!$K$2:$V$2,0)))*$K464)</f>
        <v/>
      </c>
      <c r="T464" s="157" t="str" cm="1">
        <f t="array" ref="T464">IF(OR($E464="",$I464=""),"",(INDEX('Emission factors'!$K$3:$V$201,MATCH('Buildings - Grid Electricity'!$E464&amp;$F464,'Emission factors'!$J$3:$J$201&amp;'Emission factors'!$K$3:$K$201,0),MATCH('Buildings - Grid Electricity'!T$6,'Emission factors'!$K$2:$V$2,0)))*$K464)</f>
        <v/>
      </c>
      <c r="U464" s="157" t="str" cm="1">
        <f t="array" ref="U464">IF(OR($E464="",$I464=""),"",(INDEX('Emission factors'!$K$3:$V$201,MATCH('Buildings - Grid Electricity'!$E464&amp;$F464,'Emission factors'!$J$3:$J$201&amp;'Emission factors'!$K$3:$K$201,0),MATCH('Buildings - Grid Electricity'!U$6,'Emission factors'!$K$2:$V$2,0)))*$K464)</f>
        <v/>
      </c>
      <c r="V464" s="158" t="str">
        <f>IF(OR($N464="",BuildingsElectricityTable[[#This Row],[RSD]]=""),"",BuildingsElectricityTable[[#This Row],[Total emissions (kgCO2e)]]*(1+BuildingsElectricityTable[[#This Row],[RSD]]))</f>
        <v/>
      </c>
      <c r="W464" s="159" t="str">
        <f>IF(OR($N464="",BuildingsElectricityTable[[#This Row],[RSD]]=""),"",BuildingsElectricityTable[[#This Row],[Total emissions (kgCO2e)]]*(1-BuildingsElectricityTable[[#This Row],[RSD]]))</f>
        <v/>
      </c>
      <c r="X464" s="191" t="str" cm="1">
        <f t="array" ref="X464">IF(OR($E464="",$I464=""),"",(INDEX('Emission factors'!$K$3:$V$201,MATCH('Buildings - Grid Electricity'!$E464&amp;$F464,'Emission factors'!$J$3:$J$201&amp;'Emission factors'!$K$3:$K$201,0),MATCH('Buildings - Grid Electricity'!X$6,'Emission factors'!$K$2:$V$2,0)))*$K464)</f>
        <v/>
      </c>
      <c r="Y464" s="30"/>
      <c r="Z464" s="1" cm="1">
        <f t="array" ref="Z464">IF(OR(ISERROR(B464:X464)),1,0)</f>
        <v>0</v>
      </c>
      <c r="AA464" s="1">
        <f t="shared" si="44"/>
        <v>0</v>
      </c>
    </row>
    <row r="465" spans="1:27" ht="15" outlineLevel="1" thickBot="1" x14ac:dyDescent="0.4">
      <c r="A465" s="319"/>
      <c r="B465" s="216"/>
      <c r="C465" s="216"/>
      <c r="D465" s="233" t="str">
        <f>IFERROR(INDEX(BuildingInformationTable[Site type],MATCH(BuildingsElectricityTable[[#This Row],[Site name]],BuildingInformationTable[Site name],0)),"")</f>
        <v/>
      </c>
      <c r="E465" s="311" t="str">
        <f t="shared" si="43"/>
        <v/>
      </c>
      <c r="F465" s="311" t="str">
        <f t="shared" si="41"/>
        <v/>
      </c>
      <c r="G465" s="72"/>
      <c r="H465" s="98" t="str">
        <f>IF(G465="","",INDEX(Lists!$BA$4:$BC$31,MATCH(E465,Lists!$AZ$4:$AZ$31,0),MATCH(G465,Lists!$BA$3:$BC$3,0)))</f>
        <v/>
      </c>
      <c r="I465" s="70"/>
      <c r="J465" s="311" t="str">
        <f t="shared" si="42"/>
        <v/>
      </c>
      <c r="K465" s="75" t="str" cm="1">
        <f t="array" ref="K465">IF(OR($E465="",$D465="",$I465="",$J465=""),"",IF(J465=L465,I465,(INDEX('Emission factors'!$K$3:$V$201,MATCH(E465&amp;F465,'Emission factors'!$J$3:$J$201&amp;'Emission factors'!$K$3:$K$201,0),MATCH(K$6,'Emission factors'!$K$2:$V$2,0)))*I465))</f>
        <v/>
      </c>
      <c r="L465" s="312" t="str">
        <f>IF(OR($E465="",$D465="",$I465="",$J465=""),"",INDEX('Emission factors'!$K$3:$V$201,MATCH('Buildings - Grid Electricity'!$E465,'Emission factors'!$J$3:$J$201,0),MATCH($L$6,'Emission factors'!$K$2:$V$2,0)))</f>
        <v/>
      </c>
      <c r="M465" s="313" t="str" cm="1">
        <f t="array" ref="M465">IF(OR(E465="",I465="",BuildingsElectricityTable[[#This Row],[Units]]=""),"",INDEX('Emission factors'!$K$3:$V$201,MATCH('Buildings - Grid Electricity'!$E465&amp;F465,'Emission factors'!$J$3:$J$201&amp;'Emission factors'!$K$3:$K$201,0),MATCH('Buildings - Grid Electricity'!$M$6,'Emission factors'!$K$2:$V$2,0)))</f>
        <v/>
      </c>
      <c r="N465" s="156" t="str">
        <f>IF(OR(K465="",M465=""),"",SUM(BuildingsElectricityTable[[#This Row],[Direct]:[Indirect WTT]]))</f>
        <v/>
      </c>
      <c r="O465" s="71"/>
      <c r="P465" s="190"/>
      <c r="Q465" s="157" t="str" cm="1">
        <f t="array" ref="Q465">IF(OR($E465="",$I465=""),"",(INDEX('Emission factors'!$K$3:$V$201,MATCH('Buildings - Grid Electricity'!$E465&amp;$F465,'Emission factors'!$J$3:$J$201&amp;'Emission factors'!$K$3:$K$201,0),MATCH('Buildings - Grid Electricity'!Q$6,'Emission factors'!$K$2:$V$2,0)))*$K465)</f>
        <v/>
      </c>
      <c r="R465" s="157" t="str" cm="1">
        <f t="array" ref="R465">IF(OR($E465="",$I465=""),"",(INDEX('Emission factors'!$K$3:$V$201,MATCH('Buildings - Grid Electricity'!$E465&amp;$F465,'Emission factors'!$J$3:$J$201&amp;'Emission factors'!$K$3:$K$201,0),MATCH('Buildings - Grid Electricity'!R$6,'Emission factors'!$K$2:$V$2,0)))*$K465)</f>
        <v/>
      </c>
      <c r="S465" s="157" t="str" cm="1">
        <f t="array" ref="S465">IF(OR($E465="",$I465=""),"",(INDEX('Emission factors'!$K$3:$V$201,MATCH('Buildings - Grid Electricity'!$E465&amp;$F465,'Emission factors'!$J$3:$J$201&amp;'Emission factors'!$K$3:$K$201,0),MATCH('Buildings - Grid Electricity'!S$6,'Emission factors'!$K$2:$V$2,0)))*$K465)</f>
        <v/>
      </c>
      <c r="T465" s="157" t="str" cm="1">
        <f t="array" ref="T465">IF(OR($E465="",$I465=""),"",(INDEX('Emission factors'!$K$3:$V$201,MATCH('Buildings - Grid Electricity'!$E465&amp;$F465,'Emission factors'!$J$3:$J$201&amp;'Emission factors'!$K$3:$K$201,0),MATCH('Buildings - Grid Electricity'!T$6,'Emission factors'!$K$2:$V$2,0)))*$K465)</f>
        <v/>
      </c>
      <c r="U465" s="157" t="str" cm="1">
        <f t="array" ref="U465">IF(OR($E465="",$I465=""),"",(INDEX('Emission factors'!$K$3:$V$201,MATCH('Buildings - Grid Electricity'!$E465&amp;$F465,'Emission factors'!$J$3:$J$201&amp;'Emission factors'!$K$3:$K$201,0),MATCH('Buildings - Grid Electricity'!U$6,'Emission factors'!$K$2:$V$2,0)))*$K465)</f>
        <v/>
      </c>
      <c r="V465" s="158" t="str">
        <f>IF(OR($N465="",BuildingsElectricityTable[[#This Row],[RSD]]=""),"",BuildingsElectricityTable[[#This Row],[Total emissions (kgCO2e)]]*(1+BuildingsElectricityTable[[#This Row],[RSD]]))</f>
        <v/>
      </c>
      <c r="W465" s="159" t="str">
        <f>IF(OR($N465="",BuildingsElectricityTable[[#This Row],[RSD]]=""),"",BuildingsElectricityTable[[#This Row],[Total emissions (kgCO2e)]]*(1-BuildingsElectricityTable[[#This Row],[RSD]]))</f>
        <v/>
      </c>
      <c r="X465" s="191" t="str" cm="1">
        <f t="array" ref="X465">IF(OR($E465="",$I465=""),"",(INDEX('Emission factors'!$K$3:$V$201,MATCH('Buildings - Grid Electricity'!$E465&amp;$F465,'Emission factors'!$J$3:$J$201&amp;'Emission factors'!$K$3:$K$201,0),MATCH('Buildings - Grid Electricity'!X$6,'Emission factors'!$K$2:$V$2,0)))*$K465)</f>
        <v/>
      </c>
      <c r="Y465" s="30"/>
      <c r="Z465" s="1" cm="1">
        <f t="array" ref="Z465">IF(OR(ISERROR(B465:X465)),1,0)</f>
        <v>0</v>
      </c>
      <c r="AA465" s="1">
        <f t="shared" si="44"/>
        <v>0</v>
      </c>
    </row>
    <row r="466" spans="1:27" ht="15" outlineLevel="1" thickBot="1" x14ac:dyDescent="0.4">
      <c r="A466" s="319"/>
      <c r="B466" s="216"/>
      <c r="C466" s="216"/>
      <c r="D466" s="233" t="str">
        <f>IFERROR(INDEX(BuildingInformationTable[Site type],MATCH(BuildingsElectricityTable[[#This Row],[Site name]],BuildingInformationTable[Site name],0)),"")</f>
        <v/>
      </c>
      <c r="E466" s="311" t="str">
        <f t="shared" si="43"/>
        <v/>
      </c>
      <c r="F466" s="311" t="str">
        <f t="shared" si="41"/>
        <v/>
      </c>
      <c r="G466" s="72"/>
      <c r="H466" s="98" t="str">
        <f>IF(G466="","",INDEX(Lists!$BA$4:$BC$31,MATCH(E466,Lists!$AZ$4:$AZ$31,0),MATCH(G466,Lists!$BA$3:$BC$3,0)))</f>
        <v/>
      </c>
      <c r="I466" s="70"/>
      <c r="J466" s="311" t="str">
        <f t="shared" si="42"/>
        <v/>
      </c>
      <c r="K466" s="75" t="str" cm="1">
        <f t="array" ref="K466">IF(OR($E466="",$D466="",$I466="",$J466=""),"",IF(J466=L466,I466,(INDEX('Emission factors'!$K$3:$V$201,MATCH(E466&amp;F466,'Emission factors'!$J$3:$J$201&amp;'Emission factors'!$K$3:$K$201,0),MATCH(K$6,'Emission factors'!$K$2:$V$2,0)))*I466))</f>
        <v/>
      </c>
      <c r="L466" s="312" t="str">
        <f>IF(OR($E466="",$D466="",$I466="",$J466=""),"",INDEX('Emission factors'!$K$3:$V$201,MATCH('Buildings - Grid Electricity'!$E466,'Emission factors'!$J$3:$J$201,0),MATCH($L$6,'Emission factors'!$K$2:$V$2,0)))</f>
        <v/>
      </c>
      <c r="M466" s="313" t="str" cm="1">
        <f t="array" ref="M466">IF(OR(E466="",I466="",BuildingsElectricityTable[[#This Row],[Units]]=""),"",INDEX('Emission factors'!$K$3:$V$201,MATCH('Buildings - Grid Electricity'!$E466&amp;F466,'Emission factors'!$J$3:$J$201&amp;'Emission factors'!$K$3:$K$201,0),MATCH('Buildings - Grid Electricity'!$M$6,'Emission factors'!$K$2:$V$2,0)))</f>
        <v/>
      </c>
      <c r="N466" s="156" t="str">
        <f>IF(OR(K466="",M466=""),"",SUM(BuildingsElectricityTable[[#This Row],[Direct]:[Indirect WTT]]))</f>
        <v/>
      </c>
      <c r="O466" s="71"/>
      <c r="P466" s="190"/>
      <c r="Q466" s="157" t="str" cm="1">
        <f t="array" ref="Q466">IF(OR($E466="",$I466=""),"",(INDEX('Emission factors'!$K$3:$V$201,MATCH('Buildings - Grid Electricity'!$E466&amp;$F466,'Emission factors'!$J$3:$J$201&amp;'Emission factors'!$K$3:$K$201,0),MATCH('Buildings - Grid Electricity'!Q$6,'Emission factors'!$K$2:$V$2,0)))*$K466)</f>
        <v/>
      </c>
      <c r="R466" s="157" t="str" cm="1">
        <f t="array" ref="R466">IF(OR($E466="",$I466=""),"",(INDEX('Emission factors'!$K$3:$V$201,MATCH('Buildings - Grid Electricity'!$E466&amp;$F466,'Emission factors'!$J$3:$J$201&amp;'Emission factors'!$K$3:$K$201,0),MATCH('Buildings - Grid Electricity'!R$6,'Emission factors'!$K$2:$V$2,0)))*$K466)</f>
        <v/>
      </c>
      <c r="S466" s="157" t="str" cm="1">
        <f t="array" ref="S466">IF(OR($E466="",$I466=""),"",(INDEX('Emission factors'!$K$3:$V$201,MATCH('Buildings - Grid Electricity'!$E466&amp;$F466,'Emission factors'!$J$3:$J$201&amp;'Emission factors'!$K$3:$K$201,0),MATCH('Buildings - Grid Electricity'!S$6,'Emission factors'!$K$2:$V$2,0)))*$K466)</f>
        <v/>
      </c>
      <c r="T466" s="157" t="str" cm="1">
        <f t="array" ref="T466">IF(OR($E466="",$I466=""),"",(INDEX('Emission factors'!$K$3:$V$201,MATCH('Buildings - Grid Electricity'!$E466&amp;$F466,'Emission factors'!$J$3:$J$201&amp;'Emission factors'!$K$3:$K$201,0),MATCH('Buildings - Grid Electricity'!T$6,'Emission factors'!$K$2:$V$2,0)))*$K466)</f>
        <v/>
      </c>
      <c r="U466" s="157" t="str" cm="1">
        <f t="array" ref="U466">IF(OR($E466="",$I466=""),"",(INDEX('Emission factors'!$K$3:$V$201,MATCH('Buildings - Grid Electricity'!$E466&amp;$F466,'Emission factors'!$J$3:$J$201&amp;'Emission factors'!$K$3:$K$201,0),MATCH('Buildings - Grid Electricity'!U$6,'Emission factors'!$K$2:$V$2,0)))*$K466)</f>
        <v/>
      </c>
      <c r="V466" s="158" t="str">
        <f>IF(OR($N466="",BuildingsElectricityTable[[#This Row],[RSD]]=""),"",BuildingsElectricityTable[[#This Row],[Total emissions (kgCO2e)]]*(1+BuildingsElectricityTable[[#This Row],[RSD]]))</f>
        <v/>
      </c>
      <c r="W466" s="159" t="str">
        <f>IF(OR($N466="",BuildingsElectricityTable[[#This Row],[RSD]]=""),"",BuildingsElectricityTable[[#This Row],[Total emissions (kgCO2e)]]*(1-BuildingsElectricityTable[[#This Row],[RSD]]))</f>
        <v/>
      </c>
      <c r="X466" s="191" t="str" cm="1">
        <f t="array" ref="X466">IF(OR($E466="",$I466=""),"",(INDEX('Emission factors'!$K$3:$V$201,MATCH('Buildings - Grid Electricity'!$E466&amp;$F466,'Emission factors'!$J$3:$J$201&amp;'Emission factors'!$K$3:$K$201,0),MATCH('Buildings - Grid Electricity'!X$6,'Emission factors'!$K$2:$V$2,0)))*$K466)</f>
        <v/>
      </c>
      <c r="Y466" s="30"/>
      <c r="Z466" s="1" cm="1">
        <f t="array" ref="Z466">IF(OR(ISERROR(B466:X466)),1,0)</f>
        <v>0</v>
      </c>
      <c r="AA466" s="1">
        <f t="shared" si="44"/>
        <v>0</v>
      </c>
    </row>
    <row r="467" spans="1:27" ht="15" outlineLevel="1" thickBot="1" x14ac:dyDescent="0.4">
      <c r="A467" s="319"/>
      <c r="B467" s="216"/>
      <c r="C467" s="216"/>
      <c r="D467" s="233" t="str">
        <f>IFERROR(INDEX(BuildingInformationTable[Site type],MATCH(BuildingsElectricityTable[[#This Row],[Site name]],BuildingInformationTable[Site name],0)),"")</f>
        <v/>
      </c>
      <c r="E467" s="311" t="str">
        <f t="shared" si="43"/>
        <v/>
      </c>
      <c r="F467" s="311" t="str">
        <f t="shared" si="41"/>
        <v/>
      </c>
      <c r="G467" s="72"/>
      <c r="H467" s="98" t="str">
        <f>IF(G467="","",INDEX(Lists!$BA$4:$BC$31,MATCH(E467,Lists!$AZ$4:$AZ$31,0),MATCH(G467,Lists!$BA$3:$BC$3,0)))</f>
        <v/>
      </c>
      <c r="I467" s="70"/>
      <c r="J467" s="311" t="str">
        <f t="shared" si="42"/>
        <v/>
      </c>
      <c r="K467" s="75" t="str" cm="1">
        <f t="array" ref="K467">IF(OR($E467="",$D467="",$I467="",$J467=""),"",IF(J467=L467,I467,(INDEX('Emission factors'!$K$3:$V$201,MATCH(E467&amp;F467,'Emission factors'!$J$3:$J$201&amp;'Emission factors'!$K$3:$K$201,0),MATCH(K$6,'Emission factors'!$K$2:$V$2,0)))*I467))</f>
        <v/>
      </c>
      <c r="L467" s="312" t="str">
        <f>IF(OR($E467="",$D467="",$I467="",$J467=""),"",INDEX('Emission factors'!$K$3:$V$201,MATCH('Buildings - Grid Electricity'!$E467,'Emission factors'!$J$3:$J$201,0),MATCH($L$6,'Emission factors'!$K$2:$V$2,0)))</f>
        <v/>
      </c>
      <c r="M467" s="313" t="str" cm="1">
        <f t="array" ref="M467">IF(OR(E467="",I467="",BuildingsElectricityTable[[#This Row],[Units]]=""),"",INDEX('Emission factors'!$K$3:$V$201,MATCH('Buildings - Grid Electricity'!$E467&amp;F467,'Emission factors'!$J$3:$J$201&amp;'Emission factors'!$K$3:$K$201,0),MATCH('Buildings - Grid Electricity'!$M$6,'Emission factors'!$K$2:$V$2,0)))</f>
        <v/>
      </c>
      <c r="N467" s="156" t="str">
        <f>IF(OR(K467="",M467=""),"",SUM(BuildingsElectricityTable[[#This Row],[Direct]:[Indirect WTT]]))</f>
        <v/>
      </c>
      <c r="O467" s="71"/>
      <c r="P467" s="190"/>
      <c r="Q467" s="157" t="str" cm="1">
        <f t="array" ref="Q467">IF(OR($E467="",$I467=""),"",(INDEX('Emission factors'!$K$3:$V$201,MATCH('Buildings - Grid Electricity'!$E467&amp;$F467,'Emission factors'!$J$3:$J$201&amp;'Emission factors'!$K$3:$K$201,0),MATCH('Buildings - Grid Electricity'!Q$6,'Emission factors'!$K$2:$V$2,0)))*$K467)</f>
        <v/>
      </c>
      <c r="R467" s="157" t="str" cm="1">
        <f t="array" ref="R467">IF(OR($E467="",$I467=""),"",(INDEX('Emission factors'!$K$3:$V$201,MATCH('Buildings - Grid Electricity'!$E467&amp;$F467,'Emission factors'!$J$3:$J$201&amp;'Emission factors'!$K$3:$K$201,0),MATCH('Buildings - Grid Electricity'!R$6,'Emission factors'!$K$2:$V$2,0)))*$K467)</f>
        <v/>
      </c>
      <c r="S467" s="157" t="str" cm="1">
        <f t="array" ref="S467">IF(OR($E467="",$I467=""),"",(INDEX('Emission factors'!$K$3:$V$201,MATCH('Buildings - Grid Electricity'!$E467&amp;$F467,'Emission factors'!$J$3:$J$201&amp;'Emission factors'!$K$3:$K$201,0),MATCH('Buildings - Grid Electricity'!S$6,'Emission factors'!$K$2:$V$2,0)))*$K467)</f>
        <v/>
      </c>
      <c r="T467" s="157" t="str" cm="1">
        <f t="array" ref="T467">IF(OR($E467="",$I467=""),"",(INDEX('Emission factors'!$K$3:$V$201,MATCH('Buildings - Grid Electricity'!$E467&amp;$F467,'Emission factors'!$J$3:$J$201&amp;'Emission factors'!$K$3:$K$201,0),MATCH('Buildings - Grid Electricity'!T$6,'Emission factors'!$K$2:$V$2,0)))*$K467)</f>
        <v/>
      </c>
      <c r="U467" s="157" t="str" cm="1">
        <f t="array" ref="U467">IF(OR($E467="",$I467=""),"",(INDEX('Emission factors'!$K$3:$V$201,MATCH('Buildings - Grid Electricity'!$E467&amp;$F467,'Emission factors'!$J$3:$J$201&amp;'Emission factors'!$K$3:$K$201,0),MATCH('Buildings - Grid Electricity'!U$6,'Emission factors'!$K$2:$V$2,0)))*$K467)</f>
        <v/>
      </c>
      <c r="V467" s="158" t="str">
        <f>IF(OR($N467="",BuildingsElectricityTable[[#This Row],[RSD]]=""),"",BuildingsElectricityTable[[#This Row],[Total emissions (kgCO2e)]]*(1+BuildingsElectricityTable[[#This Row],[RSD]]))</f>
        <v/>
      </c>
      <c r="W467" s="159" t="str">
        <f>IF(OR($N467="",BuildingsElectricityTable[[#This Row],[RSD]]=""),"",BuildingsElectricityTable[[#This Row],[Total emissions (kgCO2e)]]*(1-BuildingsElectricityTable[[#This Row],[RSD]]))</f>
        <v/>
      </c>
      <c r="X467" s="191" t="str" cm="1">
        <f t="array" ref="X467">IF(OR($E467="",$I467=""),"",(INDEX('Emission factors'!$K$3:$V$201,MATCH('Buildings - Grid Electricity'!$E467&amp;$F467,'Emission factors'!$J$3:$J$201&amp;'Emission factors'!$K$3:$K$201,0),MATCH('Buildings - Grid Electricity'!X$6,'Emission factors'!$K$2:$V$2,0)))*$K467)</f>
        <v/>
      </c>
      <c r="Y467" s="30"/>
      <c r="Z467" s="1" cm="1">
        <f t="array" ref="Z467">IF(OR(ISERROR(B467:X467)),1,0)</f>
        <v>0</v>
      </c>
      <c r="AA467" s="1">
        <f t="shared" si="44"/>
        <v>0</v>
      </c>
    </row>
    <row r="468" spans="1:27" ht="15" outlineLevel="1" thickBot="1" x14ac:dyDescent="0.4">
      <c r="A468" s="319"/>
      <c r="B468" s="216"/>
      <c r="C468" s="216"/>
      <c r="D468" s="233" t="str">
        <f>IFERROR(INDEX(BuildingInformationTable[Site type],MATCH(BuildingsElectricityTable[[#This Row],[Site name]],BuildingInformationTable[Site name],0)),"")</f>
        <v/>
      </c>
      <c r="E468" s="311" t="str">
        <f t="shared" si="43"/>
        <v/>
      </c>
      <c r="F468" s="311" t="str">
        <f t="shared" si="41"/>
        <v/>
      </c>
      <c r="G468" s="72"/>
      <c r="H468" s="98" t="str">
        <f>IF(G468="","",INDEX(Lists!$BA$4:$BC$31,MATCH(E468,Lists!$AZ$4:$AZ$31,0),MATCH(G468,Lists!$BA$3:$BC$3,0)))</f>
        <v/>
      </c>
      <c r="I468" s="70"/>
      <c r="J468" s="311" t="str">
        <f t="shared" si="42"/>
        <v/>
      </c>
      <c r="K468" s="75" t="str" cm="1">
        <f t="array" ref="K468">IF(OR($E468="",$D468="",$I468="",$J468=""),"",IF(J468=L468,I468,(INDEX('Emission factors'!$K$3:$V$201,MATCH(E468&amp;F468,'Emission factors'!$J$3:$J$201&amp;'Emission factors'!$K$3:$K$201,0),MATCH(K$6,'Emission factors'!$K$2:$V$2,0)))*I468))</f>
        <v/>
      </c>
      <c r="L468" s="312" t="str">
        <f>IF(OR($E468="",$D468="",$I468="",$J468=""),"",INDEX('Emission factors'!$K$3:$V$201,MATCH('Buildings - Grid Electricity'!$E468,'Emission factors'!$J$3:$J$201,0),MATCH($L$6,'Emission factors'!$K$2:$V$2,0)))</f>
        <v/>
      </c>
      <c r="M468" s="313" t="str" cm="1">
        <f t="array" ref="M468">IF(OR(E468="",I468="",BuildingsElectricityTable[[#This Row],[Units]]=""),"",INDEX('Emission factors'!$K$3:$V$201,MATCH('Buildings - Grid Electricity'!$E468&amp;F468,'Emission factors'!$J$3:$J$201&amp;'Emission factors'!$K$3:$K$201,0),MATCH('Buildings - Grid Electricity'!$M$6,'Emission factors'!$K$2:$V$2,0)))</f>
        <v/>
      </c>
      <c r="N468" s="156" t="str">
        <f>IF(OR(K468="",M468=""),"",SUM(BuildingsElectricityTable[[#This Row],[Direct]:[Indirect WTT]]))</f>
        <v/>
      </c>
      <c r="O468" s="71"/>
      <c r="P468" s="72"/>
      <c r="Q468" s="157" t="str" cm="1">
        <f t="array" ref="Q468">IF(OR($E468="",$I468=""),"",(INDEX('Emission factors'!$K$3:$V$201,MATCH('Buildings - Grid Electricity'!$E468&amp;$F468,'Emission factors'!$J$3:$J$201&amp;'Emission factors'!$K$3:$K$201,0),MATCH('Buildings - Grid Electricity'!Q$6,'Emission factors'!$K$2:$V$2,0)))*$K468)</f>
        <v/>
      </c>
      <c r="R468" s="157" t="str" cm="1">
        <f t="array" ref="R468">IF(OR($E468="",$I468=""),"",(INDEX('Emission factors'!$K$3:$V$201,MATCH('Buildings - Grid Electricity'!$E468&amp;$F468,'Emission factors'!$J$3:$J$201&amp;'Emission factors'!$K$3:$K$201,0),MATCH('Buildings - Grid Electricity'!R$6,'Emission factors'!$K$2:$V$2,0)))*$K468)</f>
        <v/>
      </c>
      <c r="S468" s="157" t="str" cm="1">
        <f t="array" ref="S468">IF(OR($E468="",$I468=""),"",(INDEX('Emission factors'!$K$3:$V$201,MATCH('Buildings - Grid Electricity'!$E468&amp;$F468,'Emission factors'!$J$3:$J$201&amp;'Emission factors'!$K$3:$K$201,0),MATCH('Buildings - Grid Electricity'!S$6,'Emission factors'!$K$2:$V$2,0)))*$K468)</f>
        <v/>
      </c>
      <c r="T468" s="157" t="str" cm="1">
        <f t="array" ref="T468">IF(OR($E468="",$I468=""),"",(INDEX('Emission factors'!$K$3:$V$201,MATCH('Buildings - Grid Electricity'!$E468&amp;$F468,'Emission factors'!$J$3:$J$201&amp;'Emission factors'!$K$3:$K$201,0),MATCH('Buildings - Grid Electricity'!T$6,'Emission factors'!$K$2:$V$2,0)))*$K468)</f>
        <v/>
      </c>
      <c r="U468" s="157" t="str" cm="1">
        <f t="array" ref="U468">IF(OR($E468="",$I468=""),"",(INDEX('Emission factors'!$K$3:$V$201,MATCH('Buildings - Grid Electricity'!$E468&amp;$F468,'Emission factors'!$J$3:$J$201&amp;'Emission factors'!$K$3:$K$201,0),MATCH('Buildings - Grid Electricity'!U$6,'Emission factors'!$K$2:$V$2,0)))*$K468)</f>
        <v/>
      </c>
      <c r="V468" s="158" t="str">
        <f>IF(OR($N468="",BuildingsElectricityTable[[#This Row],[RSD]]=""),"",BuildingsElectricityTable[[#This Row],[Total emissions (kgCO2e)]]*(1+BuildingsElectricityTable[[#This Row],[RSD]]))</f>
        <v/>
      </c>
      <c r="W468" s="159" t="str">
        <f>IF(OR($N468="",BuildingsElectricityTable[[#This Row],[RSD]]=""),"",BuildingsElectricityTable[[#This Row],[Total emissions (kgCO2e)]]*(1-BuildingsElectricityTable[[#This Row],[RSD]]))</f>
        <v/>
      </c>
      <c r="X468" s="169" t="str" cm="1">
        <f t="array" ref="X468">IF(OR($E468="",$I468=""),"",(INDEX('Emission factors'!$K$3:$V$201,MATCH('Buildings - Grid Electricity'!$E468&amp;$F468,'Emission factors'!$J$3:$J$201&amp;'Emission factors'!$K$3:$K$201,0),MATCH('Buildings - Grid Electricity'!X$6,'Emission factors'!$K$2:$V$2,0)))*$K468)</f>
        <v/>
      </c>
      <c r="Y468" s="30"/>
      <c r="Z468" s="1" cm="1">
        <f t="array" ref="Z468">IF(OR(ISERROR(B468:X468)),1,0)</f>
        <v>0</v>
      </c>
      <c r="AA468" s="1">
        <f t="shared" si="44"/>
        <v>0</v>
      </c>
    </row>
    <row r="469" spans="1:27" ht="15" outlineLevel="1" thickBot="1" x14ac:dyDescent="0.4">
      <c r="A469" s="319"/>
      <c r="B469" s="216"/>
      <c r="C469" s="216"/>
      <c r="D469" s="233" t="str">
        <f>IFERROR(INDEX(BuildingInformationTable[Site type],MATCH(BuildingsElectricityTable[[#This Row],[Site name]],BuildingInformationTable[Site name],0)),"")</f>
        <v/>
      </c>
      <c r="E469" s="311" t="str">
        <f t="shared" si="43"/>
        <v/>
      </c>
      <c r="F469" s="311" t="str">
        <f t="shared" si="41"/>
        <v/>
      </c>
      <c r="G469" s="72"/>
      <c r="H469" s="98" t="str">
        <f>IF(G469="","",INDEX(Lists!$BA$4:$BC$31,MATCH(E469,Lists!$AZ$4:$AZ$31,0),MATCH(G469,Lists!$BA$3:$BC$3,0)))</f>
        <v/>
      </c>
      <c r="I469" s="70"/>
      <c r="J469" s="311" t="str">
        <f t="shared" si="42"/>
        <v/>
      </c>
      <c r="K469" s="75" t="str" cm="1">
        <f t="array" ref="K469">IF(OR($E469="",$D469="",$I469="",$J469=""),"",IF(J469=L469,I469,(INDEX('Emission factors'!$K$3:$V$201,MATCH(E469&amp;F469,'Emission factors'!$J$3:$J$201&amp;'Emission factors'!$K$3:$K$201,0),MATCH(K$6,'Emission factors'!$K$2:$V$2,0)))*I469))</f>
        <v/>
      </c>
      <c r="L469" s="312" t="str">
        <f>IF(OR($E469="",$D469="",$I469="",$J469=""),"",INDEX('Emission factors'!$K$3:$V$201,MATCH('Buildings - Grid Electricity'!$E469,'Emission factors'!$J$3:$J$201,0),MATCH($L$6,'Emission factors'!$K$2:$V$2,0)))</f>
        <v/>
      </c>
      <c r="M469" s="313" t="str" cm="1">
        <f t="array" ref="M469">IF(OR(E469="",I469="",BuildingsElectricityTable[[#This Row],[Units]]=""),"",INDEX('Emission factors'!$K$3:$V$201,MATCH('Buildings - Grid Electricity'!$E469&amp;F469,'Emission factors'!$J$3:$J$201&amp;'Emission factors'!$K$3:$K$201,0),MATCH('Buildings - Grid Electricity'!$M$6,'Emission factors'!$K$2:$V$2,0)))</f>
        <v/>
      </c>
      <c r="N469" s="156" t="str">
        <f>IF(OR(K469="",M469=""),"",SUM(BuildingsElectricityTable[[#This Row],[Direct]:[Indirect WTT]]))</f>
        <v/>
      </c>
      <c r="O469" s="71"/>
      <c r="P469" s="72"/>
      <c r="Q469" s="157" t="str" cm="1">
        <f t="array" ref="Q469">IF(OR($E469="",$I469=""),"",(INDEX('Emission factors'!$K$3:$V$201,MATCH('Buildings - Grid Electricity'!$E469&amp;$F469,'Emission factors'!$J$3:$J$201&amp;'Emission factors'!$K$3:$K$201,0),MATCH('Buildings - Grid Electricity'!Q$6,'Emission factors'!$K$2:$V$2,0)))*$K469)</f>
        <v/>
      </c>
      <c r="R469" s="157" t="str" cm="1">
        <f t="array" ref="R469">IF(OR($E469="",$I469=""),"",(INDEX('Emission factors'!$K$3:$V$201,MATCH('Buildings - Grid Electricity'!$E469&amp;$F469,'Emission factors'!$J$3:$J$201&amp;'Emission factors'!$K$3:$K$201,0),MATCH('Buildings - Grid Electricity'!R$6,'Emission factors'!$K$2:$V$2,0)))*$K469)</f>
        <v/>
      </c>
      <c r="S469" s="157" t="str" cm="1">
        <f t="array" ref="S469">IF(OR($E469="",$I469=""),"",(INDEX('Emission factors'!$K$3:$V$201,MATCH('Buildings - Grid Electricity'!$E469&amp;$F469,'Emission factors'!$J$3:$J$201&amp;'Emission factors'!$K$3:$K$201,0),MATCH('Buildings - Grid Electricity'!S$6,'Emission factors'!$K$2:$V$2,0)))*$K469)</f>
        <v/>
      </c>
      <c r="T469" s="157" t="str" cm="1">
        <f t="array" ref="T469">IF(OR($E469="",$I469=""),"",(INDEX('Emission factors'!$K$3:$V$201,MATCH('Buildings - Grid Electricity'!$E469&amp;$F469,'Emission factors'!$J$3:$J$201&amp;'Emission factors'!$K$3:$K$201,0),MATCH('Buildings - Grid Electricity'!T$6,'Emission factors'!$K$2:$V$2,0)))*$K469)</f>
        <v/>
      </c>
      <c r="U469" s="157" t="str" cm="1">
        <f t="array" ref="U469">IF(OR($E469="",$I469=""),"",(INDEX('Emission factors'!$K$3:$V$201,MATCH('Buildings - Grid Electricity'!$E469&amp;$F469,'Emission factors'!$J$3:$J$201&amp;'Emission factors'!$K$3:$K$201,0),MATCH('Buildings - Grid Electricity'!U$6,'Emission factors'!$K$2:$V$2,0)))*$K469)</f>
        <v/>
      </c>
      <c r="V469" s="158" t="str">
        <f>IF(OR($N469="",BuildingsElectricityTable[[#This Row],[RSD]]=""),"",BuildingsElectricityTable[[#This Row],[Total emissions (kgCO2e)]]*(1+BuildingsElectricityTable[[#This Row],[RSD]]))</f>
        <v/>
      </c>
      <c r="W469" s="159" t="str">
        <f>IF(OR($N469="",BuildingsElectricityTable[[#This Row],[RSD]]=""),"",BuildingsElectricityTable[[#This Row],[Total emissions (kgCO2e)]]*(1-BuildingsElectricityTable[[#This Row],[RSD]]))</f>
        <v/>
      </c>
      <c r="X469" s="169" t="str" cm="1">
        <f t="array" ref="X469">IF(OR($E469="",$I469=""),"",(INDEX('Emission factors'!$K$3:$V$201,MATCH('Buildings - Grid Electricity'!$E469&amp;$F469,'Emission factors'!$J$3:$J$201&amp;'Emission factors'!$K$3:$K$201,0),MATCH('Buildings - Grid Electricity'!X$6,'Emission factors'!$K$2:$V$2,0)))*$K469)</f>
        <v/>
      </c>
      <c r="Y469" s="30"/>
      <c r="Z469" s="1" cm="1">
        <f t="array" ref="Z469">IF(OR(ISERROR(B469:X469)),1,0)</f>
        <v>0</v>
      </c>
      <c r="AA469" s="1">
        <f t="shared" si="44"/>
        <v>0</v>
      </c>
    </row>
    <row r="470" spans="1:27" ht="15" outlineLevel="1" thickBot="1" x14ac:dyDescent="0.4">
      <c r="A470" s="319"/>
      <c r="B470" s="216"/>
      <c r="C470" s="216"/>
      <c r="D470" s="233" t="str">
        <f>IFERROR(INDEX(BuildingInformationTable[Site type],MATCH(BuildingsElectricityTable[[#This Row],[Site name]],BuildingInformationTable[Site name],0)),"")</f>
        <v/>
      </c>
      <c r="E470" s="311" t="str">
        <f t="shared" si="43"/>
        <v/>
      </c>
      <c r="F470" s="311" t="str">
        <f t="shared" si="41"/>
        <v/>
      </c>
      <c r="G470" s="72"/>
      <c r="H470" s="98" t="str">
        <f>IF(G470="","",INDEX(Lists!$BA$4:$BC$31,MATCH(E470,Lists!$AZ$4:$AZ$31,0),MATCH(G470,Lists!$BA$3:$BC$3,0)))</f>
        <v/>
      </c>
      <c r="I470" s="70"/>
      <c r="J470" s="311" t="str">
        <f t="shared" si="42"/>
        <v/>
      </c>
      <c r="K470" s="75" t="str" cm="1">
        <f t="array" ref="K470">IF(OR($E470="",$D470="",$I470="",$J470=""),"",IF(J470=L470,I470,(INDEX('Emission factors'!$K$3:$V$201,MATCH(E470&amp;F470,'Emission factors'!$J$3:$J$201&amp;'Emission factors'!$K$3:$K$201,0),MATCH(K$6,'Emission factors'!$K$2:$V$2,0)))*I470))</f>
        <v/>
      </c>
      <c r="L470" s="312" t="str">
        <f>IF(OR($E470="",$D470="",$I470="",$J470=""),"",INDEX('Emission factors'!$K$3:$V$201,MATCH('Buildings - Grid Electricity'!$E470,'Emission factors'!$J$3:$J$201,0),MATCH($L$6,'Emission factors'!$K$2:$V$2,0)))</f>
        <v/>
      </c>
      <c r="M470" s="313" t="str" cm="1">
        <f t="array" ref="M470">IF(OR(E470="",I470="",BuildingsElectricityTable[[#This Row],[Units]]=""),"",INDEX('Emission factors'!$K$3:$V$201,MATCH('Buildings - Grid Electricity'!$E470&amp;F470,'Emission factors'!$J$3:$J$201&amp;'Emission factors'!$K$3:$K$201,0),MATCH('Buildings - Grid Electricity'!$M$6,'Emission factors'!$K$2:$V$2,0)))</f>
        <v/>
      </c>
      <c r="N470" s="156" t="str">
        <f>IF(OR(K470="",M470=""),"",SUM(BuildingsElectricityTable[[#This Row],[Direct]:[Indirect WTT]]))</f>
        <v/>
      </c>
      <c r="O470" s="71"/>
      <c r="P470" s="72"/>
      <c r="Q470" s="157" t="str" cm="1">
        <f t="array" ref="Q470">IF(OR($E470="",$I470=""),"",(INDEX('Emission factors'!$K$3:$V$201,MATCH('Buildings - Grid Electricity'!$E470&amp;$F470,'Emission factors'!$J$3:$J$201&amp;'Emission factors'!$K$3:$K$201,0),MATCH('Buildings - Grid Electricity'!Q$6,'Emission factors'!$K$2:$V$2,0)))*$K470)</f>
        <v/>
      </c>
      <c r="R470" s="157" t="str" cm="1">
        <f t="array" ref="R470">IF(OR($E470="",$I470=""),"",(INDEX('Emission factors'!$K$3:$V$201,MATCH('Buildings - Grid Electricity'!$E470&amp;$F470,'Emission factors'!$J$3:$J$201&amp;'Emission factors'!$K$3:$K$201,0),MATCH('Buildings - Grid Electricity'!R$6,'Emission factors'!$K$2:$V$2,0)))*$K470)</f>
        <v/>
      </c>
      <c r="S470" s="157" t="str" cm="1">
        <f t="array" ref="S470">IF(OR($E470="",$I470=""),"",(INDEX('Emission factors'!$K$3:$V$201,MATCH('Buildings - Grid Electricity'!$E470&amp;$F470,'Emission factors'!$J$3:$J$201&amp;'Emission factors'!$K$3:$K$201,0),MATCH('Buildings - Grid Electricity'!S$6,'Emission factors'!$K$2:$V$2,0)))*$K470)</f>
        <v/>
      </c>
      <c r="T470" s="157" t="str" cm="1">
        <f t="array" ref="T470">IF(OR($E470="",$I470=""),"",(INDEX('Emission factors'!$K$3:$V$201,MATCH('Buildings - Grid Electricity'!$E470&amp;$F470,'Emission factors'!$J$3:$J$201&amp;'Emission factors'!$K$3:$K$201,0),MATCH('Buildings - Grid Electricity'!T$6,'Emission factors'!$K$2:$V$2,0)))*$K470)</f>
        <v/>
      </c>
      <c r="U470" s="157" t="str" cm="1">
        <f t="array" ref="U470">IF(OR($E470="",$I470=""),"",(INDEX('Emission factors'!$K$3:$V$201,MATCH('Buildings - Grid Electricity'!$E470&amp;$F470,'Emission factors'!$J$3:$J$201&amp;'Emission factors'!$K$3:$K$201,0),MATCH('Buildings - Grid Electricity'!U$6,'Emission factors'!$K$2:$V$2,0)))*$K470)</f>
        <v/>
      </c>
      <c r="V470" s="158" t="str">
        <f>IF(OR($N470="",BuildingsElectricityTable[[#This Row],[RSD]]=""),"",BuildingsElectricityTable[[#This Row],[Total emissions (kgCO2e)]]*(1+BuildingsElectricityTable[[#This Row],[RSD]]))</f>
        <v/>
      </c>
      <c r="W470" s="159" t="str">
        <f>IF(OR($N470="",BuildingsElectricityTable[[#This Row],[RSD]]=""),"",BuildingsElectricityTable[[#This Row],[Total emissions (kgCO2e)]]*(1-BuildingsElectricityTable[[#This Row],[RSD]]))</f>
        <v/>
      </c>
      <c r="X470" s="169" t="str" cm="1">
        <f t="array" ref="X470">IF(OR($E470="",$I470=""),"",(INDEX('Emission factors'!$K$3:$V$201,MATCH('Buildings - Grid Electricity'!$E470&amp;$F470,'Emission factors'!$J$3:$J$201&amp;'Emission factors'!$K$3:$K$201,0),MATCH('Buildings - Grid Electricity'!X$6,'Emission factors'!$K$2:$V$2,0)))*$K470)</f>
        <v/>
      </c>
      <c r="Y470" s="30"/>
      <c r="Z470" s="1" cm="1">
        <f t="array" ref="Z470">IF(OR(ISERROR(B470:X470)),1,0)</f>
        <v>0</v>
      </c>
      <c r="AA470" s="1">
        <f t="shared" si="44"/>
        <v>0</v>
      </c>
    </row>
    <row r="471" spans="1:27" ht="15" outlineLevel="1" thickBot="1" x14ac:dyDescent="0.4">
      <c r="A471" s="319"/>
      <c r="B471" s="216"/>
      <c r="C471" s="216"/>
      <c r="D471" s="233" t="str">
        <f>IFERROR(INDEX(BuildingInformationTable[Site type],MATCH(BuildingsElectricityTable[[#This Row],[Site name]],BuildingInformationTable[Site name],0)),"")</f>
        <v/>
      </c>
      <c r="E471" s="311" t="str">
        <f t="shared" si="43"/>
        <v/>
      </c>
      <c r="F471" s="311" t="str">
        <f t="shared" si="41"/>
        <v/>
      </c>
      <c r="G471" s="72"/>
      <c r="H471" s="98" t="str">
        <f>IF(G471="","",INDEX(Lists!$BA$4:$BC$31,MATCH(E471,Lists!$AZ$4:$AZ$31,0),MATCH(G471,Lists!$BA$3:$BC$3,0)))</f>
        <v/>
      </c>
      <c r="I471" s="70"/>
      <c r="J471" s="311" t="str">
        <f t="shared" si="42"/>
        <v/>
      </c>
      <c r="K471" s="75" t="str" cm="1">
        <f t="array" ref="K471">IF(OR($E471="",$D471="",$I471="",$J471=""),"",IF(J471=L471,I471,(INDEX('Emission factors'!$K$3:$V$201,MATCH(E471&amp;F471,'Emission factors'!$J$3:$J$201&amp;'Emission factors'!$K$3:$K$201,0),MATCH(K$6,'Emission factors'!$K$2:$V$2,0)))*I471))</f>
        <v/>
      </c>
      <c r="L471" s="312" t="str">
        <f>IF(OR($E471="",$D471="",$I471="",$J471=""),"",INDEX('Emission factors'!$K$3:$V$201,MATCH('Buildings - Grid Electricity'!$E471,'Emission factors'!$J$3:$J$201,0),MATCH($L$6,'Emission factors'!$K$2:$V$2,0)))</f>
        <v/>
      </c>
      <c r="M471" s="313" t="str" cm="1">
        <f t="array" ref="M471">IF(OR(E471="",I471="",BuildingsElectricityTable[[#This Row],[Units]]=""),"",INDEX('Emission factors'!$K$3:$V$201,MATCH('Buildings - Grid Electricity'!$E471&amp;F471,'Emission factors'!$J$3:$J$201&amp;'Emission factors'!$K$3:$K$201,0),MATCH('Buildings - Grid Electricity'!$M$6,'Emission factors'!$K$2:$V$2,0)))</f>
        <v/>
      </c>
      <c r="N471" s="156" t="str">
        <f>IF(OR(K471="",M471=""),"",SUM(BuildingsElectricityTable[[#This Row],[Direct]:[Indirect WTT]]))</f>
        <v/>
      </c>
      <c r="O471" s="71"/>
      <c r="P471" s="72"/>
      <c r="Q471" s="157" t="str" cm="1">
        <f t="array" ref="Q471">IF(OR($E471="",$I471=""),"",(INDEX('Emission factors'!$K$3:$V$201,MATCH('Buildings - Grid Electricity'!$E471&amp;$F471,'Emission factors'!$J$3:$J$201&amp;'Emission factors'!$K$3:$K$201,0),MATCH('Buildings - Grid Electricity'!Q$6,'Emission factors'!$K$2:$V$2,0)))*$K471)</f>
        <v/>
      </c>
      <c r="R471" s="157" t="str" cm="1">
        <f t="array" ref="R471">IF(OR($E471="",$I471=""),"",(INDEX('Emission factors'!$K$3:$V$201,MATCH('Buildings - Grid Electricity'!$E471&amp;$F471,'Emission factors'!$J$3:$J$201&amp;'Emission factors'!$K$3:$K$201,0),MATCH('Buildings - Grid Electricity'!R$6,'Emission factors'!$K$2:$V$2,0)))*$K471)</f>
        <v/>
      </c>
      <c r="S471" s="157" t="str" cm="1">
        <f t="array" ref="S471">IF(OR($E471="",$I471=""),"",(INDEX('Emission factors'!$K$3:$V$201,MATCH('Buildings - Grid Electricity'!$E471&amp;$F471,'Emission factors'!$J$3:$J$201&amp;'Emission factors'!$K$3:$K$201,0),MATCH('Buildings - Grid Electricity'!S$6,'Emission factors'!$K$2:$V$2,0)))*$K471)</f>
        <v/>
      </c>
      <c r="T471" s="157" t="str" cm="1">
        <f t="array" ref="T471">IF(OR($E471="",$I471=""),"",(INDEX('Emission factors'!$K$3:$V$201,MATCH('Buildings - Grid Electricity'!$E471&amp;$F471,'Emission factors'!$J$3:$J$201&amp;'Emission factors'!$K$3:$K$201,0),MATCH('Buildings - Grid Electricity'!T$6,'Emission factors'!$K$2:$V$2,0)))*$K471)</f>
        <v/>
      </c>
      <c r="U471" s="157" t="str" cm="1">
        <f t="array" ref="U471">IF(OR($E471="",$I471=""),"",(INDEX('Emission factors'!$K$3:$V$201,MATCH('Buildings - Grid Electricity'!$E471&amp;$F471,'Emission factors'!$J$3:$J$201&amp;'Emission factors'!$K$3:$K$201,0),MATCH('Buildings - Grid Electricity'!U$6,'Emission factors'!$K$2:$V$2,0)))*$K471)</f>
        <v/>
      </c>
      <c r="V471" s="158" t="str">
        <f>IF(OR($N471="",BuildingsElectricityTable[[#This Row],[RSD]]=""),"",BuildingsElectricityTable[[#This Row],[Total emissions (kgCO2e)]]*(1+BuildingsElectricityTable[[#This Row],[RSD]]))</f>
        <v/>
      </c>
      <c r="W471" s="159" t="str">
        <f>IF(OR($N471="",BuildingsElectricityTable[[#This Row],[RSD]]=""),"",BuildingsElectricityTable[[#This Row],[Total emissions (kgCO2e)]]*(1-BuildingsElectricityTable[[#This Row],[RSD]]))</f>
        <v/>
      </c>
      <c r="X471" s="169" t="str" cm="1">
        <f t="array" ref="X471">IF(OR($E471="",$I471=""),"",(INDEX('Emission factors'!$K$3:$V$201,MATCH('Buildings - Grid Electricity'!$E471&amp;$F471,'Emission factors'!$J$3:$J$201&amp;'Emission factors'!$K$3:$K$201,0),MATCH('Buildings - Grid Electricity'!X$6,'Emission factors'!$K$2:$V$2,0)))*$K471)</f>
        <v/>
      </c>
      <c r="Y471" s="30"/>
      <c r="Z471" s="1" cm="1">
        <f t="array" ref="Z471">IF(OR(ISERROR(B471:X471)),1,0)</f>
        <v>0</v>
      </c>
      <c r="AA471" s="1">
        <f t="shared" si="44"/>
        <v>0</v>
      </c>
    </row>
    <row r="472" spans="1:27" ht="15" outlineLevel="1" thickBot="1" x14ac:dyDescent="0.4">
      <c r="A472" s="319"/>
      <c r="B472" s="216"/>
      <c r="C472" s="216"/>
      <c r="D472" s="233" t="str">
        <f>IFERROR(INDEX(BuildingInformationTable[Site type],MATCH(BuildingsElectricityTable[[#This Row],[Site name]],BuildingInformationTable[Site name],0)),"")</f>
        <v/>
      </c>
      <c r="E472" s="311" t="str">
        <f t="shared" si="43"/>
        <v/>
      </c>
      <c r="F472" s="311" t="str">
        <f t="shared" si="41"/>
        <v/>
      </c>
      <c r="G472" s="72"/>
      <c r="H472" s="98" t="str">
        <f>IF(G472="","",INDEX(Lists!$BA$4:$BC$31,MATCH(E472,Lists!$AZ$4:$AZ$31,0),MATCH(G472,Lists!$BA$3:$BC$3,0)))</f>
        <v/>
      </c>
      <c r="I472" s="70"/>
      <c r="J472" s="311" t="str">
        <f t="shared" si="42"/>
        <v/>
      </c>
      <c r="K472" s="75" t="str" cm="1">
        <f t="array" ref="K472">IF(OR($E472="",$D472="",$I472="",$J472=""),"",IF(J472=L472,I472,(INDEX('Emission factors'!$K$3:$V$201,MATCH(E472&amp;F472,'Emission factors'!$J$3:$J$201&amp;'Emission factors'!$K$3:$K$201,0),MATCH(K$6,'Emission factors'!$K$2:$V$2,0)))*I472))</f>
        <v/>
      </c>
      <c r="L472" s="312" t="str">
        <f>IF(OR($E472="",$D472="",$I472="",$J472=""),"",INDEX('Emission factors'!$K$3:$V$201,MATCH('Buildings - Grid Electricity'!$E472,'Emission factors'!$J$3:$J$201,0),MATCH($L$6,'Emission factors'!$K$2:$V$2,0)))</f>
        <v/>
      </c>
      <c r="M472" s="313" t="str" cm="1">
        <f t="array" ref="M472">IF(OR(E472="",I472="",BuildingsElectricityTable[[#This Row],[Units]]=""),"",INDEX('Emission factors'!$K$3:$V$201,MATCH('Buildings - Grid Electricity'!$E472&amp;F472,'Emission factors'!$J$3:$J$201&amp;'Emission factors'!$K$3:$K$201,0),MATCH('Buildings - Grid Electricity'!$M$6,'Emission factors'!$K$2:$V$2,0)))</f>
        <v/>
      </c>
      <c r="N472" s="156" t="str">
        <f>IF(OR(K472="",M472=""),"",SUM(BuildingsElectricityTable[[#This Row],[Direct]:[Indirect WTT]]))</f>
        <v/>
      </c>
      <c r="O472" s="71"/>
      <c r="P472" s="72"/>
      <c r="Q472" s="157" t="str" cm="1">
        <f t="array" ref="Q472">IF(OR($E472="",$I472=""),"",(INDEX('Emission factors'!$K$3:$V$201,MATCH('Buildings - Grid Electricity'!$E472&amp;$F472,'Emission factors'!$J$3:$J$201&amp;'Emission factors'!$K$3:$K$201,0),MATCH('Buildings - Grid Electricity'!Q$6,'Emission factors'!$K$2:$V$2,0)))*$K472)</f>
        <v/>
      </c>
      <c r="R472" s="157" t="str" cm="1">
        <f t="array" ref="R472">IF(OR($E472="",$I472=""),"",(INDEX('Emission factors'!$K$3:$V$201,MATCH('Buildings - Grid Electricity'!$E472&amp;$F472,'Emission factors'!$J$3:$J$201&amp;'Emission factors'!$K$3:$K$201,0),MATCH('Buildings - Grid Electricity'!R$6,'Emission factors'!$K$2:$V$2,0)))*$K472)</f>
        <v/>
      </c>
      <c r="S472" s="157" t="str" cm="1">
        <f t="array" ref="S472">IF(OR($E472="",$I472=""),"",(INDEX('Emission factors'!$K$3:$V$201,MATCH('Buildings - Grid Electricity'!$E472&amp;$F472,'Emission factors'!$J$3:$J$201&amp;'Emission factors'!$K$3:$K$201,0),MATCH('Buildings - Grid Electricity'!S$6,'Emission factors'!$K$2:$V$2,0)))*$K472)</f>
        <v/>
      </c>
      <c r="T472" s="157" t="str" cm="1">
        <f t="array" ref="T472">IF(OR($E472="",$I472=""),"",(INDEX('Emission factors'!$K$3:$V$201,MATCH('Buildings - Grid Electricity'!$E472&amp;$F472,'Emission factors'!$J$3:$J$201&amp;'Emission factors'!$K$3:$K$201,0),MATCH('Buildings - Grid Electricity'!T$6,'Emission factors'!$K$2:$V$2,0)))*$K472)</f>
        <v/>
      </c>
      <c r="U472" s="157" t="str" cm="1">
        <f t="array" ref="U472">IF(OR($E472="",$I472=""),"",(INDEX('Emission factors'!$K$3:$V$201,MATCH('Buildings - Grid Electricity'!$E472&amp;$F472,'Emission factors'!$J$3:$J$201&amp;'Emission factors'!$K$3:$K$201,0),MATCH('Buildings - Grid Electricity'!U$6,'Emission factors'!$K$2:$V$2,0)))*$K472)</f>
        <v/>
      </c>
      <c r="V472" s="158" t="str">
        <f>IF(OR($N472="",BuildingsElectricityTable[[#This Row],[RSD]]=""),"",BuildingsElectricityTable[[#This Row],[Total emissions (kgCO2e)]]*(1+BuildingsElectricityTable[[#This Row],[RSD]]))</f>
        <v/>
      </c>
      <c r="W472" s="159" t="str">
        <f>IF(OR($N472="",BuildingsElectricityTable[[#This Row],[RSD]]=""),"",BuildingsElectricityTable[[#This Row],[Total emissions (kgCO2e)]]*(1-BuildingsElectricityTable[[#This Row],[RSD]]))</f>
        <v/>
      </c>
      <c r="X472" s="169" t="str" cm="1">
        <f t="array" ref="X472">IF(OR($E472="",$I472=""),"",(INDEX('Emission factors'!$K$3:$V$201,MATCH('Buildings - Grid Electricity'!$E472&amp;$F472,'Emission factors'!$J$3:$J$201&amp;'Emission factors'!$K$3:$K$201,0),MATCH('Buildings - Grid Electricity'!X$6,'Emission factors'!$K$2:$V$2,0)))*$K472)</f>
        <v/>
      </c>
      <c r="Y472" s="30"/>
      <c r="Z472" s="1" cm="1">
        <f t="array" ref="Z472">IF(OR(ISERROR(B472:X472)),1,0)</f>
        <v>0</v>
      </c>
      <c r="AA472" s="1">
        <f t="shared" si="44"/>
        <v>0</v>
      </c>
    </row>
    <row r="473" spans="1:27" ht="15" outlineLevel="1" thickBot="1" x14ac:dyDescent="0.4">
      <c r="A473" s="319"/>
      <c r="B473" s="216"/>
      <c r="C473" s="216"/>
      <c r="D473" s="233" t="str">
        <f>IFERROR(INDEX(BuildingInformationTable[Site type],MATCH(BuildingsElectricityTable[[#This Row],[Site name]],BuildingInformationTable[Site name],0)),"")</f>
        <v/>
      </c>
      <c r="E473" s="311" t="str">
        <f t="shared" si="43"/>
        <v/>
      </c>
      <c r="F473" s="311" t="str">
        <f t="shared" si="41"/>
        <v/>
      </c>
      <c r="G473" s="72"/>
      <c r="H473" s="98" t="str">
        <f>IF(G473="","",INDEX(Lists!$BA$4:$BC$31,MATCH(E473,Lists!$AZ$4:$AZ$31,0),MATCH(G473,Lists!$BA$3:$BC$3,0)))</f>
        <v/>
      </c>
      <c r="I473" s="70"/>
      <c r="J473" s="311" t="str">
        <f t="shared" si="42"/>
        <v/>
      </c>
      <c r="K473" s="75" t="str" cm="1">
        <f t="array" ref="K473">IF(OR($E473="",$D473="",$I473="",$J473=""),"",IF(J473=L473,I473,(INDEX('Emission factors'!$K$3:$V$201,MATCH(E473&amp;F473,'Emission factors'!$J$3:$J$201&amp;'Emission factors'!$K$3:$K$201,0),MATCH(K$6,'Emission factors'!$K$2:$V$2,0)))*I473))</f>
        <v/>
      </c>
      <c r="L473" s="312" t="str">
        <f>IF(OR($E473="",$D473="",$I473="",$J473=""),"",INDEX('Emission factors'!$K$3:$V$201,MATCH('Buildings - Grid Electricity'!$E473,'Emission factors'!$J$3:$J$201,0),MATCH($L$6,'Emission factors'!$K$2:$V$2,0)))</f>
        <v/>
      </c>
      <c r="M473" s="313" t="str" cm="1">
        <f t="array" ref="M473">IF(OR(E473="",I473="",BuildingsElectricityTable[[#This Row],[Units]]=""),"",INDEX('Emission factors'!$K$3:$V$201,MATCH('Buildings - Grid Electricity'!$E473&amp;F473,'Emission factors'!$J$3:$J$201&amp;'Emission factors'!$K$3:$K$201,0),MATCH('Buildings - Grid Electricity'!$M$6,'Emission factors'!$K$2:$V$2,0)))</f>
        <v/>
      </c>
      <c r="N473" s="156" t="str">
        <f>IF(OR(K473="",M473=""),"",SUM(BuildingsElectricityTable[[#This Row],[Direct]:[Indirect WTT]]))</f>
        <v/>
      </c>
      <c r="O473" s="71"/>
      <c r="P473" s="72"/>
      <c r="Q473" s="157" t="str" cm="1">
        <f t="array" ref="Q473">IF(OR($E473="",$I473=""),"",(INDEX('Emission factors'!$K$3:$V$201,MATCH('Buildings - Grid Electricity'!$E473&amp;$F473,'Emission factors'!$J$3:$J$201&amp;'Emission factors'!$K$3:$K$201,0),MATCH('Buildings - Grid Electricity'!Q$6,'Emission factors'!$K$2:$V$2,0)))*$K473)</f>
        <v/>
      </c>
      <c r="R473" s="157" t="str" cm="1">
        <f t="array" ref="R473">IF(OR($E473="",$I473=""),"",(INDEX('Emission factors'!$K$3:$V$201,MATCH('Buildings - Grid Electricity'!$E473&amp;$F473,'Emission factors'!$J$3:$J$201&amp;'Emission factors'!$K$3:$K$201,0),MATCH('Buildings - Grid Electricity'!R$6,'Emission factors'!$K$2:$V$2,0)))*$K473)</f>
        <v/>
      </c>
      <c r="S473" s="157" t="str" cm="1">
        <f t="array" ref="S473">IF(OR($E473="",$I473=""),"",(INDEX('Emission factors'!$K$3:$V$201,MATCH('Buildings - Grid Electricity'!$E473&amp;$F473,'Emission factors'!$J$3:$J$201&amp;'Emission factors'!$K$3:$K$201,0),MATCH('Buildings - Grid Electricity'!S$6,'Emission factors'!$K$2:$V$2,0)))*$K473)</f>
        <v/>
      </c>
      <c r="T473" s="157" t="str" cm="1">
        <f t="array" ref="T473">IF(OR($E473="",$I473=""),"",(INDEX('Emission factors'!$K$3:$V$201,MATCH('Buildings - Grid Electricity'!$E473&amp;$F473,'Emission factors'!$J$3:$J$201&amp;'Emission factors'!$K$3:$K$201,0),MATCH('Buildings - Grid Electricity'!T$6,'Emission factors'!$K$2:$V$2,0)))*$K473)</f>
        <v/>
      </c>
      <c r="U473" s="157" t="str" cm="1">
        <f t="array" ref="U473">IF(OR($E473="",$I473=""),"",(INDEX('Emission factors'!$K$3:$V$201,MATCH('Buildings - Grid Electricity'!$E473&amp;$F473,'Emission factors'!$J$3:$J$201&amp;'Emission factors'!$K$3:$K$201,0),MATCH('Buildings - Grid Electricity'!U$6,'Emission factors'!$K$2:$V$2,0)))*$K473)</f>
        <v/>
      </c>
      <c r="V473" s="158" t="str">
        <f>IF(OR($N473="",BuildingsElectricityTable[[#This Row],[RSD]]=""),"",BuildingsElectricityTable[[#This Row],[Total emissions (kgCO2e)]]*(1+BuildingsElectricityTable[[#This Row],[RSD]]))</f>
        <v/>
      </c>
      <c r="W473" s="159" t="str">
        <f>IF(OR($N473="",BuildingsElectricityTable[[#This Row],[RSD]]=""),"",BuildingsElectricityTable[[#This Row],[Total emissions (kgCO2e)]]*(1-BuildingsElectricityTable[[#This Row],[RSD]]))</f>
        <v/>
      </c>
      <c r="X473" s="169" t="str" cm="1">
        <f t="array" ref="X473">IF(OR($E473="",$I473=""),"",(INDEX('Emission factors'!$K$3:$V$201,MATCH('Buildings - Grid Electricity'!$E473&amp;$F473,'Emission factors'!$J$3:$J$201&amp;'Emission factors'!$K$3:$K$201,0),MATCH('Buildings - Grid Electricity'!X$6,'Emission factors'!$K$2:$V$2,0)))*$K473)</f>
        <v/>
      </c>
      <c r="Y473" s="30"/>
      <c r="Z473" s="1" cm="1">
        <f t="array" ref="Z473">IF(OR(ISERROR(B473:X473)),1,0)</f>
        <v>0</v>
      </c>
      <c r="AA473" s="1">
        <f t="shared" si="44"/>
        <v>0</v>
      </c>
    </row>
    <row r="474" spans="1:27" ht="15" outlineLevel="1" thickBot="1" x14ac:dyDescent="0.4">
      <c r="A474" s="319"/>
      <c r="B474" s="216"/>
      <c r="C474" s="216"/>
      <c r="D474" s="233" t="str">
        <f>IFERROR(INDEX(BuildingInformationTable[Site type],MATCH(BuildingsElectricityTable[[#This Row],[Site name]],BuildingInformationTable[Site name],0)),"")</f>
        <v/>
      </c>
      <c r="E474" s="311" t="str">
        <f t="shared" si="43"/>
        <v/>
      </c>
      <c r="F474" s="311" t="str">
        <f t="shared" si="41"/>
        <v/>
      </c>
      <c r="G474" s="72"/>
      <c r="H474" s="98" t="str">
        <f>IF(G474="","",INDEX(Lists!$BA$4:$BC$31,MATCH(E474,Lists!$AZ$4:$AZ$31,0),MATCH(G474,Lists!$BA$3:$BC$3,0)))</f>
        <v/>
      </c>
      <c r="I474" s="70"/>
      <c r="J474" s="311" t="str">
        <f t="shared" si="42"/>
        <v/>
      </c>
      <c r="K474" s="75" t="str" cm="1">
        <f t="array" ref="K474">IF(OR($E474="",$D474="",$I474="",$J474=""),"",IF(J474=L474,I474,(INDEX('Emission factors'!$K$3:$V$201,MATCH(E474&amp;F474,'Emission factors'!$J$3:$J$201&amp;'Emission factors'!$K$3:$K$201,0),MATCH(K$6,'Emission factors'!$K$2:$V$2,0)))*I474))</f>
        <v/>
      </c>
      <c r="L474" s="312" t="str">
        <f>IF(OR($E474="",$D474="",$I474="",$J474=""),"",INDEX('Emission factors'!$K$3:$V$201,MATCH('Buildings - Grid Electricity'!$E474,'Emission factors'!$J$3:$J$201,0),MATCH($L$6,'Emission factors'!$K$2:$V$2,0)))</f>
        <v/>
      </c>
      <c r="M474" s="313" t="str" cm="1">
        <f t="array" ref="M474">IF(OR(E474="",I474="",BuildingsElectricityTable[[#This Row],[Units]]=""),"",INDEX('Emission factors'!$K$3:$V$201,MATCH('Buildings - Grid Electricity'!$E474&amp;F474,'Emission factors'!$J$3:$J$201&amp;'Emission factors'!$K$3:$K$201,0),MATCH('Buildings - Grid Electricity'!$M$6,'Emission factors'!$K$2:$V$2,0)))</f>
        <v/>
      </c>
      <c r="N474" s="156" t="str">
        <f>IF(OR(K474="",M474=""),"",SUM(BuildingsElectricityTable[[#This Row],[Direct]:[Indirect WTT]]))</f>
        <v/>
      </c>
      <c r="O474" s="71"/>
      <c r="P474" s="72"/>
      <c r="Q474" s="157" t="str" cm="1">
        <f t="array" ref="Q474">IF(OR($E474="",$I474=""),"",(INDEX('Emission factors'!$K$3:$V$201,MATCH('Buildings - Grid Electricity'!$E474&amp;$F474,'Emission factors'!$J$3:$J$201&amp;'Emission factors'!$K$3:$K$201,0),MATCH('Buildings - Grid Electricity'!Q$6,'Emission factors'!$K$2:$V$2,0)))*$K474)</f>
        <v/>
      </c>
      <c r="R474" s="157" t="str" cm="1">
        <f t="array" ref="R474">IF(OR($E474="",$I474=""),"",(INDEX('Emission factors'!$K$3:$V$201,MATCH('Buildings - Grid Electricity'!$E474&amp;$F474,'Emission factors'!$J$3:$J$201&amp;'Emission factors'!$K$3:$K$201,0),MATCH('Buildings - Grid Electricity'!R$6,'Emission factors'!$K$2:$V$2,0)))*$K474)</f>
        <v/>
      </c>
      <c r="S474" s="157" t="str" cm="1">
        <f t="array" ref="S474">IF(OR($E474="",$I474=""),"",(INDEX('Emission factors'!$K$3:$V$201,MATCH('Buildings - Grid Electricity'!$E474&amp;$F474,'Emission factors'!$J$3:$J$201&amp;'Emission factors'!$K$3:$K$201,0),MATCH('Buildings - Grid Electricity'!S$6,'Emission factors'!$K$2:$V$2,0)))*$K474)</f>
        <v/>
      </c>
      <c r="T474" s="157" t="str" cm="1">
        <f t="array" ref="T474">IF(OR($E474="",$I474=""),"",(INDEX('Emission factors'!$K$3:$V$201,MATCH('Buildings - Grid Electricity'!$E474&amp;$F474,'Emission factors'!$J$3:$J$201&amp;'Emission factors'!$K$3:$K$201,0),MATCH('Buildings - Grid Electricity'!T$6,'Emission factors'!$K$2:$V$2,0)))*$K474)</f>
        <v/>
      </c>
      <c r="U474" s="157" t="str" cm="1">
        <f t="array" ref="U474">IF(OR($E474="",$I474=""),"",(INDEX('Emission factors'!$K$3:$V$201,MATCH('Buildings - Grid Electricity'!$E474&amp;$F474,'Emission factors'!$J$3:$J$201&amp;'Emission factors'!$K$3:$K$201,0),MATCH('Buildings - Grid Electricity'!U$6,'Emission factors'!$K$2:$V$2,0)))*$K474)</f>
        <v/>
      </c>
      <c r="V474" s="158" t="str">
        <f>IF(OR($N474="",BuildingsElectricityTable[[#This Row],[RSD]]=""),"",BuildingsElectricityTable[[#This Row],[Total emissions (kgCO2e)]]*(1+BuildingsElectricityTable[[#This Row],[RSD]]))</f>
        <v/>
      </c>
      <c r="W474" s="159" t="str">
        <f>IF(OR($N474="",BuildingsElectricityTable[[#This Row],[RSD]]=""),"",BuildingsElectricityTable[[#This Row],[Total emissions (kgCO2e)]]*(1-BuildingsElectricityTable[[#This Row],[RSD]]))</f>
        <v/>
      </c>
      <c r="X474" s="169" t="str" cm="1">
        <f t="array" ref="X474">IF(OR($E474="",$I474=""),"",(INDEX('Emission factors'!$K$3:$V$201,MATCH('Buildings - Grid Electricity'!$E474&amp;$F474,'Emission factors'!$J$3:$J$201&amp;'Emission factors'!$K$3:$K$201,0),MATCH('Buildings - Grid Electricity'!X$6,'Emission factors'!$K$2:$V$2,0)))*$K474)</f>
        <v/>
      </c>
      <c r="Y474" s="30"/>
      <c r="Z474" s="1" cm="1">
        <f t="array" ref="Z474">IF(OR(ISERROR(B474:X474)),1,0)</f>
        <v>0</v>
      </c>
      <c r="AA474" s="1">
        <f t="shared" si="44"/>
        <v>0</v>
      </c>
    </row>
    <row r="475" spans="1:27" ht="15" outlineLevel="1" thickBot="1" x14ac:dyDescent="0.4">
      <c r="A475" s="319"/>
      <c r="B475" s="216"/>
      <c r="C475" s="216"/>
      <c r="D475" s="233" t="str">
        <f>IFERROR(INDEX(BuildingInformationTable[Site type],MATCH(BuildingsElectricityTable[[#This Row],[Site name]],BuildingInformationTable[Site name],0)),"")</f>
        <v/>
      </c>
      <c r="E475" s="311" t="str">
        <f t="shared" si="43"/>
        <v/>
      </c>
      <c r="F475" s="311" t="str">
        <f t="shared" si="41"/>
        <v/>
      </c>
      <c r="G475" s="72"/>
      <c r="H475" s="98" t="str">
        <f>IF(G475="","",INDEX(Lists!$BA$4:$BC$31,MATCH(E475,Lists!$AZ$4:$AZ$31,0),MATCH(G475,Lists!$BA$3:$BC$3,0)))</f>
        <v/>
      </c>
      <c r="I475" s="70"/>
      <c r="J475" s="311" t="str">
        <f t="shared" si="42"/>
        <v/>
      </c>
      <c r="K475" s="75" t="str" cm="1">
        <f t="array" ref="K475">IF(OR($E475="",$D475="",$I475="",$J475=""),"",IF(J475=L475,I475,(INDEX('Emission factors'!$K$3:$V$201,MATCH(E475&amp;F475,'Emission factors'!$J$3:$J$201&amp;'Emission factors'!$K$3:$K$201,0),MATCH(K$6,'Emission factors'!$K$2:$V$2,0)))*I475))</f>
        <v/>
      </c>
      <c r="L475" s="312" t="str">
        <f>IF(OR($E475="",$D475="",$I475="",$J475=""),"",INDEX('Emission factors'!$K$3:$V$201,MATCH('Buildings - Grid Electricity'!$E475,'Emission factors'!$J$3:$J$201,0),MATCH($L$6,'Emission factors'!$K$2:$V$2,0)))</f>
        <v/>
      </c>
      <c r="M475" s="313" t="str" cm="1">
        <f t="array" ref="M475">IF(OR(E475="",I475="",BuildingsElectricityTable[[#This Row],[Units]]=""),"",INDEX('Emission factors'!$K$3:$V$201,MATCH('Buildings - Grid Electricity'!$E475&amp;F475,'Emission factors'!$J$3:$J$201&amp;'Emission factors'!$K$3:$K$201,0),MATCH('Buildings - Grid Electricity'!$M$6,'Emission factors'!$K$2:$V$2,0)))</f>
        <v/>
      </c>
      <c r="N475" s="156" t="str">
        <f>IF(OR(K475="",M475=""),"",SUM(BuildingsElectricityTable[[#This Row],[Direct]:[Indirect WTT]]))</f>
        <v/>
      </c>
      <c r="O475" s="71"/>
      <c r="P475" s="72"/>
      <c r="Q475" s="157" t="str" cm="1">
        <f t="array" ref="Q475">IF(OR($E475="",$I475=""),"",(INDEX('Emission factors'!$K$3:$V$201,MATCH('Buildings - Grid Electricity'!$E475&amp;$F475,'Emission factors'!$J$3:$J$201&amp;'Emission factors'!$K$3:$K$201,0),MATCH('Buildings - Grid Electricity'!Q$6,'Emission factors'!$K$2:$V$2,0)))*$K475)</f>
        <v/>
      </c>
      <c r="R475" s="157" t="str" cm="1">
        <f t="array" ref="R475">IF(OR($E475="",$I475=""),"",(INDEX('Emission factors'!$K$3:$V$201,MATCH('Buildings - Grid Electricity'!$E475&amp;$F475,'Emission factors'!$J$3:$J$201&amp;'Emission factors'!$K$3:$K$201,0),MATCH('Buildings - Grid Electricity'!R$6,'Emission factors'!$K$2:$V$2,0)))*$K475)</f>
        <v/>
      </c>
      <c r="S475" s="157" t="str" cm="1">
        <f t="array" ref="S475">IF(OR($E475="",$I475=""),"",(INDEX('Emission factors'!$K$3:$V$201,MATCH('Buildings - Grid Electricity'!$E475&amp;$F475,'Emission factors'!$J$3:$J$201&amp;'Emission factors'!$K$3:$K$201,0),MATCH('Buildings - Grid Electricity'!S$6,'Emission factors'!$K$2:$V$2,0)))*$K475)</f>
        <v/>
      </c>
      <c r="T475" s="157" t="str" cm="1">
        <f t="array" ref="T475">IF(OR($E475="",$I475=""),"",(INDEX('Emission factors'!$K$3:$V$201,MATCH('Buildings - Grid Electricity'!$E475&amp;$F475,'Emission factors'!$J$3:$J$201&amp;'Emission factors'!$K$3:$K$201,0),MATCH('Buildings - Grid Electricity'!T$6,'Emission factors'!$K$2:$V$2,0)))*$K475)</f>
        <v/>
      </c>
      <c r="U475" s="157" t="str" cm="1">
        <f t="array" ref="U475">IF(OR($E475="",$I475=""),"",(INDEX('Emission factors'!$K$3:$V$201,MATCH('Buildings - Grid Electricity'!$E475&amp;$F475,'Emission factors'!$J$3:$J$201&amp;'Emission factors'!$K$3:$K$201,0),MATCH('Buildings - Grid Electricity'!U$6,'Emission factors'!$K$2:$V$2,0)))*$K475)</f>
        <v/>
      </c>
      <c r="V475" s="158" t="str">
        <f>IF(OR($N475="",BuildingsElectricityTable[[#This Row],[RSD]]=""),"",BuildingsElectricityTable[[#This Row],[Total emissions (kgCO2e)]]*(1+BuildingsElectricityTable[[#This Row],[RSD]]))</f>
        <v/>
      </c>
      <c r="W475" s="159" t="str">
        <f>IF(OR($N475="",BuildingsElectricityTable[[#This Row],[RSD]]=""),"",BuildingsElectricityTable[[#This Row],[Total emissions (kgCO2e)]]*(1-BuildingsElectricityTable[[#This Row],[RSD]]))</f>
        <v/>
      </c>
      <c r="X475" s="169" t="str" cm="1">
        <f t="array" ref="X475">IF(OR($E475="",$I475=""),"",(INDEX('Emission factors'!$K$3:$V$201,MATCH('Buildings - Grid Electricity'!$E475&amp;$F475,'Emission factors'!$J$3:$J$201&amp;'Emission factors'!$K$3:$K$201,0),MATCH('Buildings - Grid Electricity'!X$6,'Emission factors'!$K$2:$V$2,0)))*$K475)</f>
        <v/>
      </c>
      <c r="Y475" s="30"/>
      <c r="Z475" s="1" cm="1">
        <f t="array" ref="Z475">IF(OR(ISERROR(B475:X475)),1,0)</f>
        <v>0</v>
      </c>
      <c r="AA475" s="1">
        <f t="shared" si="44"/>
        <v>0</v>
      </c>
    </row>
    <row r="476" spans="1:27" ht="15" outlineLevel="1" thickBot="1" x14ac:dyDescent="0.4">
      <c r="A476" s="319"/>
      <c r="B476" s="216"/>
      <c r="C476" s="216"/>
      <c r="D476" s="233" t="str">
        <f>IFERROR(INDEX(BuildingInformationTable[Site type],MATCH(BuildingsElectricityTable[[#This Row],[Site name]],BuildingInformationTable[Site name],0)),"")</f>
        <v/>
      </c>
      <c r="E476" s="311" t="str">
        <f t="shared" si="43"/>
        <v/>
      </c>
      <c r="F476" s="311" t="str">
        <f t="shared" si="41"/>
        <v/>
      </c>
      <c r="G476" s="72"/>
      <c r="H476" s="98" t="str">
        <f>IF(G476="","",INDEX(Lists!$BA$4:$BC$31,MATCH(E476,Lists!$AZ$4:$AZ$31,0),MATCH(G476,Lists!$BA$3:$BC$3,0)))</f>
        <v/>
      </c>
      <c r="I476" s="70"/>
      <c r="J476" s="311" t="str">
        <f t="shared" si="42"/>
        <v/>
      </c>
      <c r="K476" s="75" t="str" cm="1">
        <f t="array" ref="K476">IF(OR($E476="",$D476="",$I476="",$J476=""),"",IF(J476=L476,I476,(INDEX('Emission factors'!$K$3:$V$201,MATCH(E476&amp;F476,'Emission factors'!$J$3:$J$201&amp;'Emission factors'!$K$3:$K$201,0),MATCH(K$6,'Emission factors'!$K$2:$V$2,0)))*I476))</f>
        <v/>
      </c>
      <c r="L476" s="312" t="str">
        <f>IF(OR($E476="",$D476="",$I476="",$J476=""),"",INDEX('Emission factors'!$K$3:$V$201,MATCH('Buildings - Grid Electricity'!$E476,'Emission factors'!$J$3:$J$201,0),MATCH($L$6,'Emission factors'!$K$2:$V$2,0)))</f>
        <v/>
      </c>
      <c r="M476" s="313" t="str" cm="1">
        <f t="array" ref="M476">IF(OR(E476="",I476="",BuildingsElectricityTable[[#This Row],[Units]]=""),"",INDEX('Emission factors'!$K$3:$V$201,MATCH('Buildings - Grid Electricity'!$E476&amp;F476,'Emission factors'!$J$3:$J$201&amp;'Emission factors'!$K$3:$K$201,0),MATCH('Buildings - Grid Electricity'!$M$6,'Emission factors'!$K$2:$V$2,0)))</f>
        <v/>
      </c>
      <c r="N476" s="156" t="str">
        <f>IF(OR(K476="",M476=""),"",SUM(BuildingsElectricityTable[[#This Row],[Direct]:[Indirect WTT]]))</f>
        <v/>
      </c>
      <c r="O476" s="71"/>
      <c r="P476" s="72"/>
      <c r="Q476" s="157" t="str" cm="1">
        <f t="array" ref="Q476">IF(OR($E476="",$I476=""),"",(INDEX('Emission factors'!$K$3:$V$201,MATCH('Buildings - Grid Electricity'!$E476&amp;$F476,'Emission factors'!$J$3:$J$201&amp;'Emission factors'!$K$3:$K$201,0),MATCH('Buildings - Grid Electricity'!Q$6,'Emission factors'!$K$2:$V$2,0)))*$K476)</f>
        <v/>
      </c>
      <c r="R476" s="157" t="str" cm="1">
        <f t="array" ref="R476">IF(OR($E476="",$I476=""),"",(INDEX('Emission factors'!$K$3:$V$201,MATCH('Buildings - Grid Electricity'!$E476&amp;$F476,'Emission factors'!$J$3:$J$201&amp;'Emission factors'!$K$3:$K$201,0),MATCH('Buildings - Grid Electricity'!R$6,'Emission factors'!$K$2:$V$2,0)))*$K476)</f>
        <v/>
      </c>
      <c r="S476" s="157" t="str" cm="1">
        <f t="array" ref="S476">IF(OR($E476="",$I476=""),"",(INDEX('Emission factors'!$K$3:$V$201,MATCH('Buildings - Grid Electricity'!$E476&amp;$F476,'Emission factors'!$J$3:$J$201&amp;'Emission factors'!$K$3:$K$201,0),MATCH('Buildings - Grid Electricity'!S$6,'Emission factors'!$K$2:$V$2,0)))*$K476)</f>
        <v/>
      </c>
      <c r="T476" s="157" t="str" cm="1">
        <f t="array" ref="T476">IF(OR($E476="",$I476=""),"",(INDEX('Emission factors'!$K$3:$V$201,MATCH('Buildings - Grid Electricity'!$E476&amp;$F476,'Emission factors'!$J$3:$J$201&amp;'Emission factors'!$K$3:$K$201,0),MATCH('Buildings - Grid Electricity'!T$6,'Emission factors'!$K$2:$V$2,0)))*$K476)</f>
        <v/>
      </c>
      <c r="U476" s="157" t="str" cm="1">
        <f t="array" ref="U476">IF(OR($E476="",$I476=""),"",(INDEX('Emission factors'!$K$3:$V$201,MATCH('Buildings - Grid Electricity'!$E476&amp;$F476,'Emission factors'!$J$3:$J$201&amp;'Emission factors'!$K$3:$K$201,0),MATCH('Buildings - Grid Electricity'!U$6,'Emission factors'!$K$2:$V$2,0)))*$K476)</f>
        <v/>
      </c>
      <c r="V476" s="158" t="str">
        <f>IF(OR($N476="",BuildingsElectricityTable[[#This Row],[RSD]]=""),"",BuildingsElectricityTable[[#This Row],[Total emissions (kgCO2e)]]*(1+BuildingsElectricityTable[[#This Row],[RSD]]))</f>
        <v/>
      </c>
      <c r="W476" s="159" t="str">
        <f>IF(OR($N476="",BuildingsElectricityTable[[#This Row],[RSD]]=""),"",BuildingsElectricityTable[[#This Row],[Total emissions (kgCO2e)]]*(1-BuildingsElectricityTable[[#This Row],[RSD]]))</f>
        <v/>
      </c>
      <c r="X476" s="169" t="str" cm="1">
        <f t="array" ref="X476">IF(OR($E476="",$I476=""),"",(INDEX('Emission factors'!$K$3:$V$201,MATCH('Buildings - Grid Electricity'!$E476&amp;$F476,'Emission factors'!$J$3:$J$201&amp;'Emission factors'!$K$3:$K$201,0),MATCH('Buildings - Grid Electricity'!X$6,'Emission factors'!$K$2:$V$2,0)))*$K476)</f>
        <v/>
      </c>
      <c r="Y476" s="30"/>
      <c r="Z476" s="1" cm="1">
        <f t="array" ref="Z476">IF(OR(ISERROR(B476:X476)),1,0)</f>
        <v>0</v>
      </c>
      <c r="AA476" s="1">
        <f t="shared" si="44"/>
        <v>0</v>
      </c>
    </row>
    <row r="477" spans="1:27" ht="15" outlineLevel="1" thickBot="1" x14ac:dyDescent="0.4">
      <c r="A477" s="319"/>
      <c r="B477" s="216"/>
      <c r="C477" s="216"/>
      <c r="D477" s="233" t="str">
        <f>IFERROR(INDEX(BuildingInformationTable[Site type],MATCH(BuildingsElectricityTable[[#This Row],[Site name]],BuildingInformationTable[Site name],0)),"")</f>
        <v/>
      </c>
      <c r="E477" s="311" t="str">
        <f t="shared" si="43"/>
        <v/>
      </c>
      <c r="F477" s="311" t="str">
        <f t="shared" si="41"/>
        <v/>
      </c>
      <c r="G477" s="72"/>
      <c r="H477" s="98" t="str">
        <f>IF(G477="","",INDEX(Lists!$BA$4:$BC$31,MATCH(E477,Lists!$AZ$4:$AZ$31,0),MATCH(G477,Lists!$BA$3:$BC$3,0)))</f>
        <v/>
      </c>
      <c r="I477" s="70"/>
      <c r="J477" s="311" t="str">
        <f t="shared" si="42"/>
        <v/>
      </c>
      <c r="K477" s="75" t="str" cm="1">
        <f t="array" ref="K477">IF(OR($E477="",$D477="",$I477="",$J477=""),"",IF(J477=L477,I477,(INDEX('Emission factors'!$K$3:$V$201,MATCH(E477&amp;F477,'Emission factors'!$J$3:$J$201&amp;'Emission factors'!$K$3:$K$201,0),MATCH(K$6,'Emission factors'!$K$2:$V$2,0)))*I477))</f>
        <v/>
      </c>
      <c r="L477" s="312" t="str">
        <f>IF(OR($E477="",$D477="",$I477="",$J477=""),"",INDEX('Emission factors'!$K$3:$V$201,MATCH('Buildings - Grid Electricity'!$E477,'Emission factors'!$J$3:$J$201,0),MATCH($L$6,'Emission factors'!$K$2:$V$2,0)))</f>
        <v/>
      </c>
      <c r="M477" s="313" t="str" cm="1">
        <f t="array" ref="M477">IF(OR(E477="",I477="",BuildingsElectricityTable[[#This Row],[Units]]=""),"",INDEX('Emission factors'!$K$3:$V$201,MATCH('Buildings - Grid Electricity'!$E477&amp;F477,'Emission factors'!$J$3:$J$201&amp;'Emission factors'!$K$3:$K$201,0),MATCH('Buildings - Grid Electricity'!$M$6,'Emission factors'!$K$2:$V$2,0)))</f>
        <v/>
      </c>
      <c r="N477" s="156" t="str">
        <f>IF(OR(K477="",M477=""),"",SUM(BuildingsElectricityTable[[#This Row],[Direct]:[Indirect WTT]]))</f>
        <v/>
      </c>
      <c r="O477" s="71"/>
      <c r="P477" s="72"/>
      <c r="Q477" s="157" t="str" cm="1">
        <f t="array" ref="Q477">IF(OR($E477="",$I477=""),"",(INDEX('Emission factors'!$K$3:$V$201,MATCH('Buildings - Grid Electricity'!$E477&amp;$F477,'Emission factors'!$J$3:$J$201&amp;'Emission factors'!$K$3:$K$201,0),MATCH('Buildings - Grid Electricity'!Q$6,'Emission factors'!$K$2:$V$2,0)))*$K477)</f>
        <v/>
      </c>
      <c r="R477" s="157" t="str" cm="1">
        <f t="array" ref="R477">IF(OR($E477="",$I477=""),"",(INDEX('Emission factors'!$K$3:$V$201,MATCH('Buildings - Grid Electricity'!$E477&amp;$F477,'Emission factors'!$J$3:$J$201&amp;'Emission factors'!$K$3:$K$201,0),MATCH('Buildings - Grid Electricity'!R$6,'Emission factors'!$K$2:$V$2,0)))*$K477)</f>
        <v/>
      </c>
      <c r="S477" s="157" t="str" cm="1">
        <f t="array" ref="S477">IF(OR($E477="",$I477=""),"",(INDEX('Emission factors'!$K$3:$V$201,MATCH('Buildings - Grid Electricity'!$E477&amp;$F477,'Emission factors'!$J$3:$J$201&amp;'Emission factors'!$K$3:$K$201,0),MATCH('Buildings - Grid Electricity'!S$6,'Emission factors'!$K$2:$V$2,0)))*$K477)</f>
        <v/>
      </c>
      <c r="T477" s="157" t="str" cm="1">
        <f t="array" ref="T477">IF(OR($E477="",$I477=""),"",(INDEX('Emission factors'!$K$3:$V$201,MATCH('Buildings - Grid Electricity'!$E477&amp;$F477,'Emission factors'!$J$3:$J$201&amp;'Emission factors'!$K$3:$K$201,0),MATCH('Buildings - Grid Electricity'!T$6,'Emission factors'!$K$2:$V$2,0)))*$K477)</f>
        <v/>
      </c>
      <c r="U477" s="157" t="str" cm="1">
        <f t="array" ref="U477">IF(OR($E477="",$I477=""),"",(INDEX('Emission factors'!$K$3:$V$201,MATCH('Buildings - Grid Electricity'!$E477&amp;$F477,'Emission factors'!$J$3:$J$201&amp;'Emission factors'!$K$3:$K$201,0),MATCH('Buildings - Grid Electricity'!U$6,'Emission factors'!$K$2:$V$2,0)))*$K477)</f>
        <v/>
      </c>
      <c r="V477" s="158" t="str">
        <f>IF(OR($N477="",BuildingsElectricityTable[[#This Row],[RSD]]=""),"",BuildingsElectricityTable[[#This Row],[Total emissions (kgCO2e)]]*(1+BuildingsElectricityTable[[#This Row],[RSD]]))</f>
        <v/>
      </c>
      <c r="W477" s="159" t="str">
        <f>IF(OR($N477="",BuildingsElectricityTable[[#This Row],[RSD]]=""),"",BuildingsElectricityTable[[#This Row],[Total emissions (kgCO2e)]]*(1-BuildingsElectricityTable[[#This Row],[RSD]]))</f>
        <v/>
      </c>
      <c r="X477" s="169" t="str" cm="1">
        <f t="array" ref="X477">IF(OR($E477="",$I477=""),"",(INDEX('Emission factors'!$K$3:$V$201,MATCH('Buildings - Grid Electricity'!$E477&amp;$F477,'Emission factors'!$J$3:$J$201&amp;'Emission factors'!$K$3:$K$201,0),MATCH('Buildings - Grid Electricity'!X$6,'Emission factors'!$K$2:$V$2,0)))*$K477)</f>
        <v/>
      </c>
      <c r="Y477" s="30"/>
      <c r="Z477" s="1" cm="1">
        <f t="array" ref="Z477">IF(OR(ISERROR(B477:X477)),1,0)</f>
        <v>0</v>
      </c>
      <c r="AA477" s="1">
        <f t="shared" si="44"/>
        <v>0</v>
      </c>
    </row>
    <row r="478" spans="1:27" ht="15" outlineLevel="1" thickBot="1" x14ac:dyDescent="0.4">
      <c r="A478" s="319"/>
      <c r="B478" s="216"/>
      <c r="C478" s="216"/>
      <c r="D478" s="233" t="str">
        <f>IFERROR(INDEX(BuildingInformationTable[Site type],MATCH(BuildingsElectricityTable[[#This Row],[Site name]],BuildingInformationTable[Site name],0)),"")</f>
        <v/>
      </c>
      <c r="E478" s="311" t="str">
        <f t="shared" si="43"/>
        <v/>
      </c>
      <c r="F478" s="311" t="str">
        <f t="shared" si="41"/>
        <v/>
      </c>
      <c r="G478" s="72"/>
      <c r="H478" s="98" t="str">
        <f>IF(G478="","",INDEX(Lists!$BA$4:$BC$31,MATCH(E478,Lists!$AZ$4:$AZ$31,0),MATCH(G478,Lists!$BA$3:$BC$3,0)))</f>
        <v/>
      </c>
      <c r="I478" s="70"/>
      <c r="J478" s="311" t="str">
        <f t="shared" si="42"/>
        <v/>
      </c>
      <c r="K478" s="75" t="str" cm="1">
        <f t="array" ref="K478">IF(OR($E478="",$D478="",$I478="",$J478=""),"",IF(J478=L478,I478,(INDEX('Emission factors'!$K$3:$V$201,MATCH(E478&amp;F478,'Emission factors'!$J$3:$J$201&amp;'Emission factors'!$K$3:$K$201,0),MATCH(K$6,'Emission factors'!$K$2:$V$2,0)))*I478))</f>
        <v/>
      </c>
      <c r="L478" s="312" t="str">
        <f>IF(OR($E478="",$D478="",$I478="",$J478=""),"",INDEX('Emission factors'!$K$3:$V$201,MATCH('Buildings - Grid Electricity'!$E478,'Emission factors'!$J$3:$J$201,0),MATCH($L$6,'Emission factors'!$K$2:$V$2,0)))</f>
        <v/>
      </c>
      <c r="M478" s="313" t="str" cm="1">
        <f t="array" ref="M478">IF(OR(E478="",I478="",BuildingsElectricityTable[[#This Row],[Units]]=""),"",INDEX('Emission factors'!$K$3:$V$201,MATCH('Buildings - Grid Electricity'!$E478&amp;F478,'Emission factors'!$J$3:$J$201&amp;'Emission factors'!$K$3:$K$201,0),MATCH('Buildings - Grid Electricity'!$M$6,'Emission factors'!$K$2:$V$2,0)))</f>
        <v/>
      </c>
      <c r="N478" s="156" t="str">
        <f>IF(OR(K478="",M478=""),"",SUM(BuildingsElectricityTable[[#This Row],[Direct]:[Indirect WTT]]))</f>
        <v/>
      </c>
      <c r="O478" s="71"/>
      <c r="P478" s="72"/>
      <c r="Q478" s="157" t="str" cm="1">
        <f t="array" ref="Q478">IF(OR($E478="",$I478=""),"",(INDEX('Emission factors'!$K$3:$V$201,MATCH('Buildings - Grid Electricity'!$E478&amp;$F478,'Emission factors'!$J$3:$J$201&amp;'Emission factors'!$K$3:$K$201,0),MATCH('Buildings - Grid Electricity'!Q$6,'Emission factors'!$K$2:$V$2,0)))*$K478)</f>
        <v/>
      </c>
      <c r="R478" s="157" t="str" cm="1">
        <f t="array" ref="R478">IF(OR($E478="",$I478=""),"",(INDEX('Emission factors'!$K$3:$V$201,MATCH('Buildings - Grid Electricity'!$E478&amp;$F478,'Emission factors'!$J$3:$J$201&amp;'Emission factors'!$K$3:$K$201,0),MATCH('Buildings - Grid Electricity'!R$6,'Emission factors'!$K$2:$V$2,0)))*$K478)</f>
        <v/>
      </c>
      <c r="S478" s="157" t="str" cm="1">
        <f t="array" ref="S478">IF(OR($E478="",$I478=""),"",(INDEX('Emission factors'!$K$3:$V$201,MATCH('Buildings - Grid Electricity'!$E478&amp;$F478,'Emission factors'!$J$3:$J$201&amp;'Emission factors'!$K$3:$K$201,0),MATCH('Buildings - Grid Electricity'!S$6,'Emission factors'!$K$2:$V$2,0)))*$K478)</f>
        <v/>
      </c>
      <c r="T478" s="157" t="str" cm="1">
        <f t="array" ref="T478">IF(OR($E478="",$I478=""),"",(INDEX('Emission factors'!$K$3:$V$201,MATCH('Buildings - Grid Electricity'!$E478&amp;$F478,'Emission factors'!$J$3:$J$201&amp;'Emission factors'!$K$3:$K$201,0),MATCH('Buildings - Grid Electricity'!T$6,'Emission factors'!$K$2:$V$2,0)))*$K478)</f>
        <v/>
      </c>
      <c r="U478" s="157" t="str" cm="1">
        <f t="array" ref="U478">IF(OR($E478="",$I478=""),"",(INDEX('Emission factors'!$K$3:$V$201,MATCH('Buildings - Grid Electricity'!$E478&amp;$F478,'Emission factors'!$J$3:$J$201&amp;'Emission factors'!$K$3:$K$201,0),MATCH('Buildings - Grid Electricity'!U$6,'Emission factors'!$K$2:$V$2,0)))*$K478)</f>
        <v/>
      </c>
      <c r="V478" s="158" t="str">
        <f>IF(OR($N478="",BuildingsElectricityTable[[#This Row],[RSD]]=""),"",BuildingsElectricityTable[[#This Row],[Total emissions (kgCO2e)]]*(1+BuildingsElectricityTable[[#This Row],[RSD]]))</f>
        <v/>
      </c>
      <c r="W478" s="159" t="str">
        <f>IF(OR($N478="",BuildingsElectricityTable[[#This Row],[RSD]]=""),"",BuildingsElectricityTable[[#This Row],[Total emissions (kgCO2e)]]*(1-BuildingsElectricityTable[[#This Row],[RSD]]))</f>
        <v/>
      </c>
      <c r="X478" s="169" t="str" cm="1">
        <f t="array" ref="X478">IF(OR($E478="",$I478=""),"",(INDEX('Emission factors'!$K$3:$V$201,MATCH('Buildings - Grid Electricity'!$E478&amp;$F478,'Emission factors'!$J$3:$J$201&amp;'Emission factors'!$K$3:$K$201,0),MATCH('Buildings - Grid Electricity'!X$6,'Emission factors'!$K$2:$V$2,0)))*$K478)</f>
        <v/>
      </c>
      <c r="Y478" s="30"/>
      <c r="Z478" s="1" cm="1">
        <f t="array" ref="Z478">IF(OR(ISERROR(B478:X478)),1,0)</f>
        <v>0</v>
      </c>
      <c r="AA478" s="1">
        <f t="shared" si="44"/>
        <v>0</v>
      </c>
    </row>
    <row r="479" spans="1:27" ht="15" outlineLevel="1" thickBot="1" x14ac:dyDescent="0.4">
      <c r="A479" s="319"/>
      <c r="B479" s="216"/>
      <c r="C479" s="216"/>
      <c r="D479" s="233" t="str">
        <f>IFERROR(INDEX(BuildingInformationTable[Site type],MATCH(BuildingsElectricityTable[[#This Row],[Site name]],BuildingInformationTable[Site name],0)),"")</f>
        <v/>
      </c>
      <c r="E479" s="311" t="str">
        <f t="shared" si="43"/>
        <v/>
      </c>
      <c r="F479" s="311" t="str">
        <f t="shared" si="41"/>
        <v/>
      </c>
      <c r="G479" s="72"/>
      <c r="H479" s="98" t="str">
        <f>IF(G479="","",INDEX(Lists!$BA$4:$BC$31,MATCH(E479,Lists!$AZ$4:$AZ$31,0),MATCH(G479,Lists!$BA$3:$BC$3,0)))</f>
        <v/>
      </c>
      <c r="I479" s="70"/>
      <c r="J479" s="311" t="str">
        <f t="shared" si="42"/>
        <v/>
      </c>
      <c r="K479" s="75" t="str" cm="1">
        <f t="array" ref="K479">IF(OR($E479="",$D479="",$I479="",$J479=""),"",IF(J479=L479,I479,(INDEX('Emission factors'!$K$3:$V$201,MATCH(E479&amp;F479,'Emission factors'!$J$3:$J$201&amp;'Emission factors'!$K$3:$K$201,0),MATCH(K$6,'Emission factors'!$K$2:$V$2,0)))*I479))</f>
        <v/>
      </c>
      <c r="L479" s="312" t="str">
        <f>IF(OR($E479="",$D479="",$I479="",$J479=""),"",INDEX('Emission factors'!$K$3:$V$201,MATCH('Buildings - Grid Electricity'!$E479,'Emission factors'!$J$3:$J$201,0),MATCH($L$6,'Emission factors'!$K$2:$V$2,0)))</f>
        <v/>
      </c>
      <c r="M479" s="313" t="str" cm="1">
        <f t="array" ref="M479">IF(OR(E479="",I479="",BuildingsElectricityTable[[#This Row],[Units]]=""),"",INDEX('Emission factors'!$K$3:$V$201,MATCH('Buildings - Grid Electricity'!$E479&amp;F479,'Emission factors'!$J$3:$J$201&amp;'Emission factors'!$K$3:$K$201,0),MATCH('Buildings - Grid Electricity'!$M$6,'Emission factors'!$K$2:$V$2,0)))</f>
        <v/>
      </c>
      <c r="N479" s="156" t="str">
        <f>IF(OR(K479="",M479=""),"",SUM(BuildingsElectricityTable[[#This Row],[Direct]:[Indirect WTT]]))</f>
        <v/>
      </c>
      <c r="O479" s="71"/>
      <c r="P479" s="72"/>
      <c r="Q479" s="157" t="str" cm="1">
        <f t="array" ref="Q479">IF(OR($E479="",$I479=""),"",(INDEX('Emission factors'!$K$3:$V$201,MATCH('Buildings - Grid Electricity'!$E479&amp;$F479,'Emission factors'!$J$3:$J$201&amp;'Emission factors'!$K$3:$K$201,0),MATCH('Buildings - Grid Electricity'!Q$6,'Emission factors'!$K$2:$V$2,0)))*$K479)</f>
        <v/>
      </c>
      <c r="R479" s="157" t="str" cm="1">
        <f t="array" ref="R479">IF(OR($E479="",$I479=""),"",(INDEX('Emission factors'!$K$3:$V$201,MATCH('Buildings - Grid Electricity'!$E479&amp;$F479,'Emission factors'!$J$3:$J$201&amp;'Emission factors'!$K$3:$K$201,0),MATCH('Buildings - Grid Electricity'!R$6,'Emission factors'!$K$2:$V$2,0)))*$K479)</f>
        <v/>
      </c>
      <c r="S479" s="157" t="str" cm="1">
        <f t="array" ref="S479">IF(OR($E479="",$I479=""),"",(INDEX('Emission factors'!$K$3:$V$201,MATCH('Buildings - Grid Electricity'!$E479&amp;$F479,'Emission factors'!$J$3:$J$201&amp;'Emission factors'!$K$3:$K$201,0),MATCH('Buildings - Grid Electricity'!S$6,'Emission factors'!$K$2:$V$2,0)))*$K479)</f>
        <v/>
      </c>
      <c r="T479" s="157" t="str" cm="1">
        <f t="array" ref="T479">IF(OR($E479="",$I479=""),"",(INDEX('Emission factors'!$K$3:$V$201,MATCH('Buildings - Grid Electricity'!$E479&amp;$F479,'Emission factors'!$J$3:$J$201&amp;'Emission factors'!$K$3:$K$201,0),MATCH('Buildings - Grid Electricity'!T$6,'Emission factors'!$K$2:$V$2,0)))*$K479)</f>
        <v/>
      </c>
      <c r="U479" s="157" t="str" cm="1">
        <f t="array" ref="U479">IF(OR($E479="",$I479=""),"",(INDEX('Emission factors'!$K$3:$V$201,MATCH('Buildings - Grid Electricity'!$E479&amp;$F479,'Emission factors'!$J$3:$J$201&amp;'Emission factors'!$K$3:$K$201,0),MATCH('Buildings - Grid Electricity'!U$6,'Emission factors'!$K$2:$V$2,0)))*$K479)</f>
        <v/>
      </c>
      <c r="V479" s="158" t="str">
        <f>IF(OR($N479="",BuildingsElectricityTable[[#This Row],[RSD]]=""),"",BuildingsElectricityTable[[#This Row],[Total emissions (kgCO2e)]]*(1+BuildingsElectricityTable[[#This Row],[RSD]]))</f>
        <v/>
      </c>
      <c r="W479" s="159" t="str">
        <f>IF(OR($N479="",BuildingsElectricityTable[[#This Row],[RSD]]=""),"",BuildingsElectricityTable[[#This Row],[Total emissions (kgCO2e)]]*(1-BuildingsElectricityTable[[#This Row],[RSD]]))</f>
        <v/>
      </c>
      <c r="X479" s="169" t="str" cm="1">
        <f t="array" ref="X479">IF(OR($E479="",$I479=""),"",(INDEX('Emission factors'!$K$3:$V$201,MATCH('Buildings - Grid Electricity'!$E479&amp;$F479,'Emission factors'!$J$3:$J$201&amp;'Emission factors'!$K$3:$K$201,0),MATCH('Buildings - Grid Electricity'!X$6,'Emission factors'!$K$2:$V$2,0)))*$K479)</f>
        <v/>
      </c>
      <c r="Y479" s="30"/>
      <c r="Z479" s="1" cm="1">
        <f t="array" ref="Z479">IF(OR(ISERROR(B479:X479)),1,0)</f>
        <v>0</v>
      </c>
      <c r="AA479" s="1">
        <f t="shared" si="44"/>
        <v>0</v>
      </c>
    </row>
    <row r="480" spans="1:27" ht="15" outlineLevel="1" thickBot="1" x14ac:dyDescent="0.4">
      <c r="A480" s="319"/>
      <c r="B480" s="216"/>
      <c r="C480" s="216"/>
      <c r="D480" s="233" t="str">
        <f>IFERROR(INDEX(BuildingInformationTable[Site type],MATCH(BuildingsElectricityTable[[#This Row],[Site name]],BuildingInformationTable[Site name],0)),"")</f>
        <v/>
      </c>
      <c r="E480" s="311" t="str">
        <f t="shared" si="43"/>
        <v/>
      </c>
      <c r="F480" s="311" t="str">
        <f t="shared" si="41"/>
        <v/>
      </c>
      <c r="G480" s="72"/>
      <c r="H480" s="98" t="str">
        <f>IF(G480="","",INDEX(Lists!$BA$4:$BC$31,MATCH(E480,Lists!$AZ$4:$AZ$31,0),MATCH(G480,Lists!$BA$3:$BC$3,0)))</f>
        <v/>
      </c>
      <c r="I480" s="70"/>
      <c r="J480" s="311" t="str">
        <f t="shared" si="42"/>
        <v/>
      </c>
      <c r="K480" s="75" t="str" cm="1">
        <f t="array" ref="K480">IF(OR($E480="",$D480="",$I480="",$J480=""),"",IF(J480=L480,I480,(INDEX('Emission factors'!$K$3:$V$201,MATCH(E480&amp;F480,'Emission factors'!$J$3:$J$201&amp;'Emission factors'!$K$3:$K$201,0),MATCH(K$6,'Emission factors'!$K$2:$V$2,0)))*I480))</f>
        <v/>
      </c>
      <c r="L480" s="312" t="str">
        <f>IF(OR($E480="",$D480="",$I480="",$J480=""),"",INDEX('Emission factors'!$K$3:$V$201,MATCH('Buildings - Grid Electricity'!$E480,'Emission factors'!$J$3:$J$201,0),MATCH($L$6,'Emission factors'!$K$2:$V$2,0)))</f>
        <v/>
      </c>
      <c r="M480" s="313" t="str" cm="1">
        <f t="array" ref="M480">IF(OR(E480="",I480="",BuildingsElectricityTable[[#This Row],[Units]]=""),"",INDEX('Emission factors'!$K$3:$V$201,MATCH('Buildings - Grid Electricity'!$E480&amp;F480,'Emission factors'!$J$3:$J$201&amp;'Emission factors'!$K$3:$K$201,0),MATCH('Buildings - Grid Electricity'!$M$6,'Emission factors'!$K$2:$V$2,0)))</f>
        <v/>
      </c>
      <c r="N480" s="156" t="str">
        <f>IF(OR(K480="",M480=""),"",SUM(BuildingsElectricityTable[[#This Row],[Direct]:[Indirect WTT]]))</f>
        <v/>
      </c>
      <c r="O480" s="71"/>
      <c r="P480" s="72"/>
      <c r="Q480" s="157" t="str" cm="1">
        <f t="array" ref="Q480">IF(OR($E480="",$I480=""),"",(INDEX('Emission factors'!$K$3:$V$201,MATCH('Buildings - Grid Electricity'!$E480&amp;$F480,'Emission factors'!$J$3:$J$201&amp;'Emission factors'!$K$3:$K$201,0),MATCH('Buildings - Grid Electricity'!Q$6,'Emission factors'!$K$2:$V$2,0)))*$K480)</f>
        <v/>
      </c>
      <c r="R480" s="157" t="str" cm="1">
        <f t="array" ref="R480">IF(OR($E480="",$I480=""),"",(INDEX('Emission factors'!$K$3:$V$201,MATCH('Buildings - Grid Electricity'!$E480&amp;$F480,'Emission factors'!$J$3:$J$201&amp;'Emission factors'!$K$3:$K$201,0),MATCH('Buildings - Grid Electricity'!R$6,'Emission factors'!$K$2:$V$2,0)))*$K480)</f>
        <v/>
      </c>
      <c r="S480" s="157" t="str" cm="1">
        <f t="array" ref="S480">IF(OR($E480="",$I480=""),"",(INDEX('Emission factors'!$K$3:$V$201,MATCH('Buildings - Grid Electricity'!$E480&amp;$F480,'Emission factors'!$J$3:$J$201&amp;'Emission factors'!$K$3:$K$201,0),MATCH('Buildings - Grid Electricity'!S$6,'Emission factors'!$K$2:$V$2,0)))*$K480)</f>
        <v/>
      </c>
      <c r="T480" s="157" t="str" cm="1">
        <f t="array" ref="T480">IF(OR($E480="",$I480=""),"",(INDEX('Emission factors'!$K$3:$V$201,MATCH('Buildings - Grid Electricity'!$E480&amp;$F480,'Emission factors'!$J$3:$J$201&amp;'Emission factors'!$K$3:$K$201,0),MATCH('Buildings - Grid Electricity'!T$6,'Emission factors'!$K$2:$V$2,0)))*$K480)</f>
        <v/>
      </c>
      <c r="U480" s="157" t="str" cm="1">
        <f t="array" ref="U480">IF(OR($E480="",$I480=""),"",(INDEX('Emission factors'!$K$3:$V$201,MATCH('Buildings - Grid Electricity'!$E480&amp;$F480,'Emission factors'!$J$3:$J$201&amp;'Emission factors'!$K$3:$K$201,0),MATCH('Buildings - Grid Electricity'!U$6,'Emission factors'!$K$2:$V$2,0)))*$K480)</f>
        <v/>
      </c>
      <c r="V480" s="158" t="str">
        <f>IF(OR($N480="",BuildingsElectricityTable[[#This Row],[RSD]]=""),"",BuildingsElectricityTable[[#This Row],[Total emissions (kgCO2e)]]*(1+BuildingsElectricityTable[[#This Row],[RSD]]))</f>
        <v/>
      </c>
      <c r="W480" s="159" t="str">
        <f>IF(OR($N480="",BuildingsElectricityTable[[#This Row],[RSD]]=""),"",BuildingsElectricityTable[[#This Row],[Total emissions (kgCO2e)]]*(1-BuildingsElectricityTable[[#This Row],[RSD]]))</f>
        <v/>
      </c>
      <c r="X480" s="169" t="str" cm="1">
        <f t="array" ref="X480">IF(OR($E480="",$I480=""),"",(INDEX('Emission factors'!$K$3:$V$201,MATCH('Buildings - Grid Electricity'!$E480&amp;$F480,'Emission factors'!$J$3:$J$201&amp;'Emission factors'!$K$3:$K$201,0),MATCH('Buildings - Grid Electricity'!X$6,'Emission factors'!$K$2:$V$2,0)))*$K480)</f>
        <v/>
      </c>
      <c r="Y480" s="30"/>
      <c r="Z480" s="1" cm="1">
        <f t="array" ref="Z480">IF(OR(ISERROR(B480:X480)),1,0)</f>
        <v>0</v>
      </c>
      <c r="AA480" s="1">
        <f t="shared" si="44"/>
        <v>0</v>
      </c>
    </row>
    <row r="481" spans="1:27" ht="15" outlineLevel="1" thickBot="1" x14ac:dyDescent="0.4">
      <c r="A481" s="319"/>
      <c r="B481" s="216"/>
      <c r="C481" s="216"/>
      <c r="D481" s="233" t="str">
        <f>IFERROR(INDEX(BuildingInformationTable[Site type],MATCH(BuildingsElectricityTable[[#This Row],[Site name]],BuildingInformationTable[Site name],0)),"")</f>
        <v/>
      </c>
      <c r="E481" s="311" t="str">
        <f t="shared" si="43"/>
        <v/>
      </c>
      <c r="F481" s="311" t="str">
        <f t="shared" si="41"/>
        <v/>
      </c>
      <c r="G481" s="72"/>
      <c r="H481" s="98" t="str">
        <f>IF(G481="","",INDEX(Lists!$BA$4:$BC$31,MATCH(E481,Lists!$AZ$4:$AZ$31,0),MATCH(G481,Lists!$BA$3:$BC$3,0)))</f>
        <v/>
      </c>
      <c r="I481" s="70"/>
      <c r="J481" s="311" t="str">
        <f t="shared" si="42"/>
        <v/>
      </c>
      <c r="K481" s="75" t="str" cm="1">
        <f t="array" ref="K481">IF(OR($E481="",$D481="",$I481="",$J481=""),"",IF(J481=L481,I481,(INDEX('Emission factors'!$K$3:$V$201,MATCH(E481&amp;F481,'Emission factors'!$J$3:$J$201&amp;'Emission factors'!$K$3:$K$201,0),MATCH(K$6,'Emission factors'!$K$2:$V$2,0)))*I481))</f>
        <v/>
      </c>
      <c r="L481" s="312" t="str">
        <f>IF(OR($E481="",$D481="",$I481="",$J481=""),"",INDEX('Emission factors'!$K$3:$V$201,MATCH('Buildings - Grid Electricity'!$E481,'Emission factors'!$J$3:$J$201,0),MATCH($L$6,'Emission factors'!$K$2:$V$2,0)))</f>
        <v/>
      </c>
      <c r="M481" s="313" t="str" cm="1">
        <f t="array" ref="M481">IF(OR(E481="",I481="",BuildingsElectricityTable[[#This Row],[Units]]=""),"",INDEX('Emission factors'!$K$3:$V$201,MATCH('Buildings - Grid Electricity'!$E481&amp;F481,'Emission factors'!$J$3:$J$201&amp;'Emission factors'!$K$3:$K$201,0),MATCH('Buildings - Grid Electricity'!$M$6,'Emission factors'!$K$2:$V$2,0)))</f>
        <v/>
      </c>
      <c r="N481" s="156" t="str">
        <f>IF(OR(K481="",M481=""),"",SUM(BuildingsElectricityTable[[#This Row],[Direct]:[Indirect WTT]]))</f>
        <v/>
      </c>
      <c r="O481" s="71"/>
      <c r="P481" s="72"/>
      <c r="Q481" s="157" t="str" cm="1">
        <f t="array" ref="Q481">IF(OR($E481="",$I481=""),"",(INDEX('Emission factors'!$K$3:$V$201,MATCH('Buildings - Grid Electricity'!$E481&amp;$F481,'Emission factors'!$J$3:$J$201&amp;'Emission factors'!$K$3:$K$201,0),MATCH('Buildings - Grid Electricity'!Q$6,'Emission factors'!$K$2:$V$2,0)))*$K481)</f>
        <v/>
      </c>
      <c r="R481" s="157" t="str" cm="1">
        <f t="array" ref="R481">IF(OR($E481="",$I481=""),"",(INDEX('Emission factors'!$K$3:$V$201,MATCH('Buildings - Grid Electricity'!$E481&amp;$F481,'Emission factors'!$J$3:$J$201&amp;'Emission factors'!$K$3:$K$201,0),MATCH('Buildings - Grid Electricity'!R$6,'Emission factors'!$K$2:$V$2,0)))*$K481)</f>
        <v/>
      </c>
      <c r="S481" s="157" t="str" cm="1">
        <f t="array" ref="S481">IF(OR($E481="",$I481=""),"",(INDEX('Emission factors'!$K$3:$V$201,MATCH('Buildings - Grid Electricity'!$E481&amp;$F481,'Emission factors'!$J$3:$J$201&amp;'Emission factors'!$K$3:$K$201,0),MATCH('Buildings - Grid Electricity'!S$6,'Emission factors'!$K$2:$V$2,0)))*$K481)</f>
        <v/>
      </c>
      <c r="T481" s="157" t="str" cm="1">
        <f t="array" ref="T481">IF(OR($E481="",$I481=""),"",(INDEX('Emission factors'!$K$3:$V$201,MATCH('Buildings - Grid Electricity'!$E481&amp;$F481,'Emission factors'!$J$3:$J$201&amp;'Emission factors'!$K$3:$K$201,0),MATCH('Buildings - Grid Electricity'!T$6,'Emission factors'!$K$2:$V$2,0)))*$K481)</f>
        <v/>
      </c>
      <c r="U481" s="157" t="str" cm="1">
        <f t="array" ref="U481">IF(OR($E481="",$I481=""),"",(INDEX('Emission factors'!$K$3:$V$201,MATCH('Buildings - Grid Electricity'!$E481&amp;$F481,'Emission factors'!$J$3:$J$201&amp;'Emission factors'!$K$3:$K$201,0),MATCH('Buildings - Grid Electricity'!U$6,'Emission factors'!$K$2:$V$2,0)))*$K481)</f>
        <v/>
      </c>
      <c r="V481" s="158" t="str">
        <f>IF(OR($N481="",BuildingsElectricityTable[[#This Row],[RSD]]=""),"",BuildingsElectricityTable[[#This Row],[Total emissions (kgCO2e)]]*(1+BuildingsElectricityTable[[#This Row],[RSD]]))</f>
        <v/>
      </c>
      <c r="W481" s="159" t="str">
        <f>IF(OR($N481="",BuildingsElectricityTable[[#This Row],[RSD]]=""),"",BuildingsElectricityTable[[#This Row],[Total emissions (kgCO2e)]]*(1-BuildingsElectricityTable[[#This Row],[RSD]]))</f>
        <v/>
      </c>
      <c r="X481" s="169" t="str" cm="1">
        <f t="array" ref="X481">IF(OR($E481="",$I481=""),"",(INDEX('Emission factors'!$K$3:$V$201,MATCH('Buildings - Grid Electricity'!$E481&amp;$F481,'Emission factors'!$J$3:$J$201&amp;'Emission factors'!$K$3:$K$201,0),MATCH('Buildings - Grid Electricity'!X$6,'Emission factors'!$K$2:$V$2,0)))*$K481)</f>
        <v/>
      </c>
      <c r="Y481" s="30"/>
      <c r="Z481" s="1" cm="1">
        <f t="array" ref="Z481">IF(OR(ISERROR(B481:X481)),1,0)</f>
        <v>0</v>
      </c>
      <c r="AA481" s="1">
        <f t="shared" si="44"/>
        <v>0</v>
      </c>
    </row>
    <row r="482" spans="1:27" ht="15" outlineLevel="1" thickBot="1" x14ac:dyDescent="0.4">
      <c r="A482" s="319"/>
      <c r="B482" s="216"/>
      <c r="C482" s="216"/>
      <c r="D482" s="233" t="str">
        <f>IFERROR(INDEX(BuildingInformationTable[Site type],MATCH(BuildingsElectricityTable[[#This Row],[Site name]],BuildingInformationTable[Site name],0)),"")</f>
        <v/>
      </c>
      <c r="E482" s="311" t="str">
        <f t="shared" si="43"/>
        <v/>
      </c>
      <c r="F482" s="311" t="str">
        <f t="shared" si="41"/>
        <v/>
      </c>
      <c r="G482" s="72"/>
      <c r="H482" s="98" t="str">
        <f>IF(G482="","",INDEX(Lists!$BA$4:$BC$31,MATCH(E482,Lists!$AZ$4:$AZ$31,0),MATCH(G482,Lists!$BA$3:$BC$3,0)))</f>
        <v/>
      </c>
      <c r="I482" s="70"/>
      <c r="J482" s="311" t="str">
        <f t="shared" si="42"/>
        <v/>
      </c>
      <c r="K482" s="75" t="str" cm="1">
        <f t="array" ref="K482">IF(OR($E482="",$D482="",$I482="",$J482=""),"",IF(J482=L482,I482,(INDEX('Emission factors'!$K$3:$V$201,MATCH(E482&amp;F482,'Emission factors'!$J$3:$J$201&amp;'Emission factors'!$K$3:$K$201,0),MATCH(K$6,'Emission factors'!$K$2:$V$2,0)))*I482))</f>
        <v/>
      </c>
      <c r="L482" s="312" t="str">
        <f>IF(OR($E482="",$D482="",$I482="",$J482=""),"",INDEX('Emission factors'!$K$3:$V$201,MATCH('Buildings - Grid Electricity'!$E482,'Emission factors'!$J$3:$J$201,0),MATCH($L$6,'Emission factors'!$K$2:$V$2,0)))</f>
        <v/>
      </c>
      <c r="M482" s="313" t="str" cm="1">
        <f t="array" ref="M482">IF(OR(E482="",I482="",BuildingsElectricityTable[[#This Row],[Units]]=""),"",INDEX('Emission factors'!$K$3:$V$201,MATCH('Buildings - Grid Electricity'!$E482&amp;F482,'Emission factors'!$J$3:$J$201&amp;'Emission factors'!$K$3:$K$201,0),MATCH('Buildings - Grid Electricity'!$M$6,'Emission factors'!$K$2:$V$2,0)))</f>
        <v/>
      </c>
      <c r="N482" s="156" t="str">
        <f>IF(OR(K482="",M482=""),"",SUM(BuildingsElectricityTable[[#This Row],[Direct]:[Indirect WTT]]))</f>
        <v/>
      </c>
      <c r="O482" s="71"/>
      <c r="P482" s="72"/>
      <c r="Q482" s="157" t="str" cm="1">
        <f t="array" ref="Q482">IF(OR($E482="",$I482=""),"",(INDEX('Emission factors'!$K$3:$V$201,MATCH('Buildings - Grid Electricity'!$E482&amp;$F482,'Emission factors'!$J$3:$J$201&amp;'Emission factors'!$K$3:$K$201,0),MATCH('Buildings - Grid Electricity'!Q$6,'Emission factors'!$K$2:$V$2,0)))*$K482)</f>
        <v/>
      </c>
      <c r="R482" s="157" t="str" cm="1">
        <f t="array" ref="R482">IF(OR($E482="",$I482=""),"",(INDEX('Emission factors'!$K$3:$V$201,MATCH('Buildings - Grid Electricity'!$E482&amp;$F482,'Emission factors'!$J$3:$J$201&amp;'Emission factors'!$K$3:$K$201,0),MATCH('Buildings - Grid Electricity'!R$6,'Emission factors'!$K$2:$V$2,0)))*$K482)</f>
        <v/>
      </c>
      <c r="S482" s="157" t="str" cm="1">
        <f t="array" ref="S482">IF(OR($E482="",$I482=""),"",(INDEX('Emission factors'!$K$3:$V$201,MATCH('Buildings - Grid Electricity'!$E482&amp;$F482,'Emission factors'!$J$3:$J$201&amp;'Emission factors'!$K$3:$K$201,0),MATCH('Buildings - Grid Electricity'!S$6,'Emission factors'!$K$2:$V$2,0)))*$K482)</f>
        <v/>
      </c>
      <c r="T482" s="157" t="str" cm="1">
        <f t="array" ref="T482">IF(OR($E482="",$I482=""),"",(INDEX('Emission factors'!$K$3:$V$201,MATCH('Buildings - Grid Electricity'!$E482&amp;$F482,'Emission factors'!$J$3:$J$201&amp;'Emission factors'!$K$3:$K$201,0),MATCH('Buildings - Grid Electricity'!T$6,'Emission factors'!$K$2:$V$2,0)))*$K482)</f>
        <v/>
      </c>
      <c r="U482" s="157" t="str" cm="1">
        <f t="array" ref="U482">IF(OR($E482="",$I482=""),"",(INDEX('Emission factors'!$K$3:$V$201,MATCH('Buildings - Grid Electricity'!$E482&amp;$F482,'Emission factors'!$J$3:$J$201&amp;'Emission factors'!$K$3:$K$201,0),MATCH('Buildings - Grid Electricity'!U$6,'Emission factors'!$K$2:$V$2,0)))*$K482)</f>
        <v/>
      </c>
      <c r="V482" s="158" t="str">
        <f>IF(OR($N482="",BuildingsElectricityTable[[#This Row],[RSD]]=""),"",BuildingsElectricityTable[[#This Row],[Total emissions (kgCO2e)]]*(1+BuildingsElectricityTable[[#This Row],[RSD]]))</f>
        <v/>
      </c>
      <c r="W482" s="159" t="str">
        <f>IF(OR($N482="",BuildingsElectricityTable[[#This Row],[RSD]]=""),"",BuildingsElectricityTable[[#This Row],[Total emissions (kgCO2e)]]*(1-BuildingsElectricityTable[[#This Row],[RSD]]))</f>
        <v/>
      </c>
      <c r="X482" s="169" t="str" cm="1">
        <f t="array" ref="X482">IF(OR($E482="",$I482=""),"",(INDEX('Emission factors'!$K$3:$V$201,MATCH('Buildings - Grid Electricity'!$E482&amp;$F482,'Emission factors'!$J$3:$J$201&amp;'Emission factors'!$K$3:$K$201,0),MATCH('Buildings - Grid Electricity'!X$6,'Emission factors'!$K$2:$V$2,0)))*$K482)</f>
        <v/>
      </c>
      <c r="Y482" s="30"/>
      <c r="Z482" s="1" cm="1">
        <f t="array" ref="Z482">IF(OR(ISERROR(B482:X482)),1,0)</f>
        <v>0</v>
      </c>
      <c r="AA482" s="1">
        <f t="shared" si="44"/>
        <v>0</v>
      </c>
    </row>
    <row r="483" spans="1:27" ht="15" outlineLevel="1" thickBot="1" x14ac:dyDescent="0.4">
      <c r="A483" s="319"/>
      <c r="B483" s="216"/>
      <c r="C483" s="216"/>
      <c r="D483" s="233" t="str">
        <f>IFERROR(INDEX(BuildingInformationTable[Site type],MATCH(BuildingsElectricityTable[[#This Row],[Site name]],BuildingInformationTable[Site name],0)),"")</f>
        <v/>
      </c>
      <c r="E483" s="311" t="str">
        <f t="shared" si="43"/>
        <v/>
      </c>
      <c r="F483" s="311" t="str">
        <f t="shared" si="41"/>
        <v/>
      </c>
      <c r="G483" s="72"/>
      <c r="H483" s="98" t="str">
        <f>IF(G483="","",INDEX(Lists!$BA$4:$BC$31,MATCH(E483,Lists!$AZ$4:$AZ$31,0),MATCH(G483,Lists!$BA$3:$BC$3,0)))</f>
        <v/>
      </c>
      <c r="I483" s="70"/>
      <c r="J483" s="311" t="str">
        <f t="shared" si="42"/>
        <v/>
      </c>
      <c r="K483" s="75" t="str" cm="1">
        <f t="array" ref="K483">IF(OR($E483="",$D483="",$I483="",$J483=""),"",IF(J483=L483,I483,(INDEX('Emission factors'!$K$3:$V$201,MATCH(E483&amp;F483,'Emission factors'!$J$3:$J$201&amp;'Emission factors'!$K$3:$K$201,0),MATCH(K$6,'Emission factors'!$K$2:$V$2,0)))*I483))</f>
        <v/>
      </c>
      <c r="L483" s="312" t="str">
        <f>IF(OR($E483="",$D483="",$I483="",$J483=""),"",INDEX('Emission factors'!$K$3:$V$201,MATCH('Buildings - Grid Electricity'!$E483,'Emission factors'!$J$3:$J$201,0),MATCH($L$6,'Emission factors'!$K$2:$V$2,0)))</f>
        <v/>
      </c>
      <c r="M483" s="313" t="str" cm="1">
        <f t="array" ref="M483">IF(OR(E483="",I483="",BuildingsElectricityTable[[#This Row],[Units]]=""),"",INDEX('Emission factors'!$K$3:$V$201,MATCH('Buildings - Grid Electricity'!$E483&amp;F483,'Emission factors'!$J$3:$J$201&amp;'Emission factors'!$K$3:$K$201,0),MATCH('Buildings - Grid Electricity'!$M$6,'Emission factors'!$K$2:$V$2,0)))</f>
        <v/>
      </c>
      <c r="N483" s="156" t="str">
        <f>IF(OR(K483="",M483=""),"",SUM(BuildingsElectricityTable[[#This Row],[Direct]:[Indirect WTT]]))</f>
        <v/>
      </c>
      <c r="O483" s="71"/>
      <c r="P483" s="72"/>
      <c r="Q483" s="157" t="str" cm="1">
        <f t="array" ref="Q483">IF(OR($E483="",$I483=""),"",(INDEX('Emission factors'!$K$3:$V$201,MATCH('Buildings - Grid Electricity'!$E483&amp;$F483,'Emission factors'!$J$3:$J$201&amp;'Emission factors'!$K$3:$K$201,0),MATCH('Buildings - Grid Electricity'!Q$6,'Emission factors'!$K$2:$V$2,0)))*$K483)</f>
        <v/>
      </c>
      <c r="R483" s="157" t="str" cm="1">
        <f t="array" ref="R483">IF(OR($E483="",$I483=""),"",(INDEX('Emission factors'!$K$3:$V$201,MATCH('Buildings - Grid Electricity'!$E483&amp;$F483,'Emission factors'!$J$3:$J$201&amp;'Emission factors'!$K$3:$K$201,0),MATCH('Buildings - Grid Electricity'!R$6,'Emission factors'!$K$2:$V$2,0)))*$K483)</f>
        <v/>
      </c>
      <c r="S483" s="157" t="str" cm="1">
        <f t="array" ref="S483">IF(OR($E483="",$I483=""),"",(INDEX('Emission factors'!$K$3:$V$201,MATCH('Buildings - Grid Electricity'!$E483&amp;$F483,'Emission factors'!$J$3:$J$201&amp;'Emission factors'!$K$3:$K$201,0),MATCH('Buildings - Grid Electricity'!S$6,'Emission factors'!$K$2:$V$2,0)))*$K483)</f>
        <v/>
      </c>
      <c r="T483" s="157" t="str" cm="1">
        <f t="array" ref="T483">IF(OR($E483="",$I483=""),"",(INDEX('Emission factors'!$K$3:$V$201,MATCH('Buildings - Grid Electricity'!$E483&amp;$F483,'Emission factors'!$J$3:$J$201&amp;'Emission factors'!$K$3:$K$201,0),MATCH('Buildings - Grid Electricity'!T$6,'Emission factors'!$K$2:$V$2,0)))*$K483)</f>
        <v/>
      </c>
      <c r="U483" s="157" t="str" cm="1">
        <f t="array" ref="U483">IF(OR($E483="",$I483=""),"",(INDEX('Emission factors'!$K$3:$V$201,MATCH('Buildings - Grid Electricity'!$E483&amp;$F483,'Emission factors'!$J$3:$J$201&amp;'Emission factors'!$K$3:$K$201,0),MATCH('Buildings - Grid Electricity'!U$6,'Emission factors'!$K$2:$V$2,0)))*$K483)</f>
        <v/>
      </c>
      <c r="V483" s="158" t="str">
        <f>IF(OR($N483="",BuildingsElectricityTable[[#This Row],[RSD]]=""),"",BuildingsElectricityTable[[#This Row],[Total emissions (kgCO2e)]]*(1+BuildingsElectricityTable[[#This Row],[RSD]]))</f>
        <v/>
      </c>
      <c r="W483" s="159" t="str">
        <f>IF(OR($N483="",BuildingsElectricityTable[[#This Row],[RSD]]=""),"",BuildingsElectricityTable[[#This Row],[Total emissions (kgCO2e)]]*(1-BuildingsElectricityTable[[#This Row],[RSD]]))</f>
        <v/>
      </c>
      <c r="X483" s="169" t="str" cm="1">
        <f t="array" ref="X483">IF(OR($E483="",$I483=""),"",(INDEX('Emission factors'!$K$3:$V$201,MATCH('Buildings - Grid Electricity'!$E483&amp;$F483,'Emission factors'!$J$3:$J$201&amp;'Emission factors'!$K$3:$K$201,0),MATCH('Buildings - Grid Electricity'!X$6,'Emission factors'!$K$2:$V$2,0)))*$K483)</f>
        <v/>
      </c>
      <c r="Y483" s="30"/>
      <c r="Z483" s="1" cm="1">
        <f t="array" ref="Z483">IF(OR(ISERROR(B483:X483)),1,0)</f>
        <v>0</v>
      </c>
      <c r="AA483" s="1">
        <f t="shared" si="44"/>
        <v>0</v>
      </c>
    </row>
    <row r="484" spans="1:27" ht="15" outlineLevel="1" thickBot="1" x14ac:dyDescent="0.4">
      <c r="A484" s="319"/>
      <c r="B484" s="216"/>
      <c r="C484" s="216"/>
      <c r="D484" s="233" t="str">
        <f>IFERROR(INDEX(BuildingInformationTable[Site type],MATCH(BuildingsElectricityTable[[#This Row],[Site name]],BuildingInformationTable[Site name],0)),"")</f>
        <v/>
      </c>
      <c r="E484" s="311" t="str">
        <f t="shared" si="43"/>
        <v/>
      </c>
      <c r="F484" s="311" t="str">
        <f t="shared" si="41"/>
        <v/>
      </c>
      <c r="G484" s="72"/>
      <c r="H484" s="98" t="str">
        <f>IF(G484="","",INDEX(Lists!$BA$4:$BC$31,MATCH(E484,Lists!$AZ$4:$AZ$31,0),MATCH(G484,Lists!$BA$3:$BC$3,0)))</f>
        <v/>
      </c>
      <c r="I484" s="70"/>
      <c r="J484" s="311" t="str">
        <f t="shared" si="42"/>
        <v/>
      </c>
      <c r="K484" s="75" t="str" cm="1">
        <f t="array" ref="K484">IF(OR($E484="",$D484="",$I484="",$J484=""),"",IF(J484=L484,I484,(INDEX('Emission factors'!$K$3:$V$201,MATCH(E484&amp;F484,'Emission factors'!$J$3:$J$201&amp;'Emission factors'!$K$3:$K$201,0),MATCH(K$6,'Emission factors'!$K$2:$V$2,0)))*I484))</f>
        <v/>
      </c>
      <c r="L484" s="312" t="str">
        <f>IF(OR($E484="",$D484="",$I484="",$J484=""),"",INDEX('Emission factors'!$K$3:$V$201,MATCH('Buildings - Grid Electricity'!$E484,'Emission factors'!$J$3:$J$201,0),MATCH($L$6,'Emission factors'!$K$2:$V$2,0)))</f>
        <v/>
      </c>
      <c r="M484" s="313" t="str" cm="1">
        <f t="array" ref="M484">IF(OR(E484="",I484="",BuildingsElectricityTable[[#This Row],[Units]]=""),"",INDEX('Emission factors'!$K$3:$V$201,MATCH('Buildings - Grid Electricity'!$E484&amp;F484,'Emission factors'!$J$3:$J$201&amp;'Emission factors'!$K$3:$K$201,0),MATCH('Buildings - Grid Electricity'!$M$6,'Emission factors'!$K$2:$V$2,0)))</f>
        <v/>
      </c>
      <c r="N484" s="156" t="str">
        <f>IF(OR(K484="",M484=""),"",SUM(BuildingsElectricityTable[[#This Row],[Direct]:[Indirect WTT]]))</f>
        <v/>
      </c>
      <c r="O484" s="71"/>
      <c r="P484" s="72"/>
      <c r="Q484" s="157" t="str" cm="1">
        <f t="array" ref="Q484">IF(OR($E484="",$I484=""),"",(INDEX('Emission factors'!$K$3:$V$201,MATCH('Buildings - Grid Electricity'!$E484&amp;$F484,'Emission factors'!$J$3:$J$201&amp;'Emission factors'!$K$3:$K$201,0),MATCH('Buildings - Grid Electricity'!Q$6,'Emission factors'!$K$2:$V$2,0)))*$K484)</f>
        <v/>
      </c>
      <c r="R484" s="157" t="str" cm="1">
        <f t="array" ref="R484">IF(OR($E484="",$I484=""),"",(INDEX('Emission factors'!$K$3:$V$201,MATCH('Buildings - Grid Electricity'!$E484&amp;$F484,'Emission factors'!$J$3:$J$201&amp;'Emission factors'!$K$3:$K$201,0),MATCH('Buildings - Grid Electricity'!R$6,'Emission factors'!$K$2:$V$2,0)))*$K484)</f>
        <v/>
      </c>
      <c r="S484" s="157" t="str" cm="1">
        <f t="array" ref="S484">IF(OR($E484="",$I484=""),"",(INDEX('Emission factors'!$K$3:$V$201,MATCH('Buildings - Grid Electricity'!$E484&amp;$F484,'Emission factors'!$J$3:$J$201&amp;'Emission factors'!$K$3:$K$201,0),MATCH('Buildings - Grid Electricity'!S$6,'Emission factors'!$K$2:$V$2,0)))*$K484)</f>
        <v/>
      </c>
      <c r="T484" s="157" t="str" cm="1">
        <f t="array" ref="T484">IF(OR($E484="",$I484=""),"",(INDEX('Emission factors'!$K$3:$V$201,MATCH('Buildings - Grid Electricity'!$E484&amp;$F484,'Emission factors'!$J$3:$J$201&amp;'Emission factors'!$K$3:$K$201,0),MATCH('Buildings - Grid Electricity'!T$6,'Emission factors'!$K$2:$V$2,0)))*$K484)</f>
        <v/>
      </c>
      <c r="U484" s="157" t="str" cm="1">
        <f t="array" ref="U484">IF(OR($E484="",$I484=""),"",(INDEX('Emission factors'!$K$3:$V$201,MATCH('Buildings - Grid Electricity'!$E484&amp;$F484,'Emission factors'!$J$3:$J$201&amp;'Emission factors'!$K$3:$K$201,0),MATCH('Buildings - Grid Electricity'!U$6,'Emission factors'!$K$2:$V$2,0)))*$K484)</f>
        <v/>
      </c>
      <c r="V484" s="158" t="str">
        <f>IF(OR($N484="",BuildingsElectricityTable[[#This Row],[RSD]]=""),"",BuildingsElectricityTable[[#This Row],[Total emissions (kgCO2e)]]*(1+BuildingsElectricityTable[[#This Row],[RSD]]))</f>
        <v/>
      </c>
      <c r="W484" s="159" t="str">
        <f>IF(OR($N484="",BuildingsElectricityTable[[#This Row],[RSD]]=""),"",BuildingsElectricityTable[[#This Row],[Total emissions (kgCO2e)]]*(1-BuildingsElectricityTable[[#This Row],[RSD]]))</f>
        <v/>
      </c>
      <c r="X484" s="169" t="str" cm="1">
        <f t="array" ref="X484">IF(OR($E484="",$I484=""),"",(INDEX('Emission factors'!$K$3:$V$201,MATCH('Buildings - Grid Electricity'!$E484&amp;$F484,'Emission factors'!$J$3:$J$201&amp;'Emission factors'!$K$3:$K$201,0),MATCH('Buildings - Grid Electricity'!X$6,'Emission factors'!$K$2:$V$2,0)))*$K484)</f>
        <v/>
      </c>
      <c r="Y484" s="30"/>
      <c r="Z484" s="1" cm="1">
        <f t="array" ref="Z484">IF(OR(ISERROR(B484:X484)),1,0)</f>
        <v>0</v>
      </c>
      <c r="AA484" s="1">
        <f t="shared" si="44"/>
        <v>0</v>
      </c>
    </row>
    <row r="485" spans="1:27" ht="15" outlineLevel="1" thickBot="1" x14ac:dyDescent="0.4">
      <c r="A485" s="319"/>
      <c r="B485" s="216"/>
      <c r="C485" s="216"/>
      <c r="D485" s="233" t="str">
        <f>IFERROR(INDEX(BuildingInformationTable[Site type],MATCH(BuildingsElectricityTable[[#This Row],[Site name]],BuildingInformationTable[Site name],0)),"")</f>
        <v/>
      </c>
      <c r="E485" s="311" t="str">
        <f t="shared" si="43"/>
        <v/>
      </c>
      <c r="F485" s="311" t="str">
        <f t="shared" si="41"/>
        <v/>
      </c>
      <c r="G485" s="72"/>
      <c r="H485" s="98" t="str">
        <f>IF(G485="","",INDEX(Lists!$BA$4:$BC$31,MATCH(E485,Lists!$AZ$4:$AZ$31,0),MATCH(G485,Lists!$BA$3:$BC$3,0)))</f>
        <v/>
      </c>
      <c r="I485" s="70"/>
      <c r="J485" s="311" t="str">
        <f t="shared" si="42"/>
        <v/>
      </c>
      <c r="K485" s="75" t="str" cm="1">
        <f t="array" ref="K485">IF(OR($E485="",$D485="",$I485="",$J485=""),"",IF(J485=L485,I485,(INDEX('Emission factors'!$K$3:$V$201,MATCH(E485&amp;F485,'Emission factors'!$J$3:$J$201&amp;'Emission factors'!$K$3:$K$201,0),MATCH(K$6,'Emission factors'!$K$2:$V$2,0)))*I485))</f>
        <v/>
      </c>
      <c r="L485" s="312" t="str">
        <f>IF(OR($E485="",$D485="",$I485="",$J485=""),"",INDEX('Emission factors'!$K$3:$V$201,MATCH('Buildings - Grid Electricity'!$E485,'Emission factors'!$J$3:$J$201,0),MATCH($L$6,'Emission factors'!$K$2:$V$2,0)))</f>
        <v/>
      </c>
      <c r="M485" s="313" t="str" cm="1">
        <f t="array" ref="M485">IF(OR(E485="",I485="",BuildingsElectricityTable[[#This Row],[Units]]=""),"",INDEX('Emission factors'!$K$3:$V$201,MATCH('Buildings - Grid Electricity'!$E485&amp;F485,'Emission factors'!$J$3:$J$201&amp;'Emission factors'!$K$3:$K$201,0),MATCH('Buildings - Grid Electricity'!$M$6,'Emission factors'!$K$2:$V$2,0)))</f>
        <v/>
      </c>
      <c r="N485" s="156" t="str">
        <f>IF(OR(K485="",M485=""),"",SUM(BuildingsElectricityTable[[#This Row],[Direct]:[Indirect WTT]]))</f>
        <v/>
      </c>
      <c r="O485" s="71"/>
      <c r="P485" s="72"/>
      <c r="Q485" s="157" t="str" cm="1">
        <f t="array" ref="Q485">IF(OR($E485="",$I485=""),"",(INDEX('Emission factors'!$K$3:$V$201,MATCH('Buildings - Grid Electricity'!$E485&amp;$F485,'Emission factors'!$J$3:$J$201&amp;'Emission factors'!$K$3:$K$201,0),MATCH('Buildings - Grid Electricity'!Q$6,'Emission factors'!$K$2:$V$2,0)))*$K485)</f>
        <v/>
      </c>
      <c r="R485" s="157" t="str" cm="1">
        <f t="array" ref="R485">IF(OR($E485="",$I485=""),"",(INDEX('Emission factors'!$K$3:$V$201,MATCH('Buildings - Grid Electricity'!$E485&amp;$F485,'Emission factors'!$J$3:$J$201&amp;'Emission factors'!$K$3:$K$201,0),MATCH('Buildings - Grid Electricity'!R$6,'Emission factors'!$K$2:$V$2,0)))*$K485)</f>
        <v/>
      </c>
      <c r="S485" s="157" t="str" cm="1">
        <f t="array" ref="S485">IF(OR($E485="",$I485=""),"",(INDEX('Emission factors'!$K$3:$V$201,MATCH('Buildings - Grid Electricity'!$E485&amp;$F485,'Emission factors'!$J$3:$J$201&amp;'Emission factors'!$K$3:$K$201,0),MATCH('Buildings - Grid Electricity'!S$6,'Emission factors'!$K$2:$V$2,0)))*$K485)</f>
        <v/>
      </c>
      <c r="T485" s="157" t="str" cm="1">
        <f t="array" ref="T485">IF(OR($E485="",$I485=""),"",(INDEX('Emission factors'!$K$3:$V$201,MATCH('Buildings - Grid Electricity'!$E485&amp;$F485,'Emission factors'!$J$3:$J$201&amp;'Emission factors'!$K$3:$K$201,0),MATCH('Buildings - Grid Electricity'!T$6,'Emission factors'!$K$2:$V$2,0)))*$K485)</f>
        <v/>
      </c>
      <c r="U485" s="157" t="str" cm="1">
        <f t="array" ref="U485">IF(OR($E485="",$I485=""),"",(INDEX('Emission factors'!$K$3:$V$201,MATCH('Buildings - Grid Electricity'!$E485&amp;$F485,'Emission factors'!$J$3:$J$201&amp;'Emission factors'!$K$3:$K$201,0),MATCH('Buildings - Grid Electricity'!U$6,'Emission factors'!$K$2:$V$2,0)))*$K485)</f>
        <v/>
      </c>
      <c r="V485" s="158" t="str">
        <f>IF(OR($N485="",BuildingsElectricityTable[[#This Row],[RSD]]=""),"",BuildingsElectricityTable[[#This Row],[Total emissions (kgCO2e)]]*(1+BuildingsElectricityTable[[#This Row],[RSD]]))</f>
        <v/>
      </c>
      <c r="W485" s="159" t="str">
        <f>IF(OR($N485="",BuildingsElectricityTable[[#This Row],[RSD]]=""),"",BuildingsElectricityTable[[#This Row],[Total emissions (kgCO2e)]]*(1-BuildingsElectricityTable[[#This Row],[RSD]]))</f>
        <v/>
      </c>
      <c r="X485" s="169" t="str" cm="1">
        <f t="array" ref="X485">IF(OR($E485="",$I485=""),"",(INDEX('Emission factors'!$K$3:$V$201,MATCH('Buildings - Grid Electricity'!$E485&amp;$F485,'Emission factors'!$J$3:$J$201&amp;'Emission factors'!$K$3:$K$201,0),MATCH('Buildings - Grid Electricity'!X$6,'Emission factors'!$K$2:$V$2,0)))*$K485)</f>
        <v/>
      </c>
      <c r="Y485" s="30"/>
      <c r="Z485" s="1" cm="1">
        <f t="array" ref="Z485">IF(OR(ISERROR(B485:X485)),1,0)</f>
        <v>0</v>
      </c>
      <c r="AA485" s="1">
        <f t="shared" si="44"/>
        <v>0</v>
      </c>
    </row>
    <row r="486" spans="1:27" ht="15" outlineLevel="1" thickBot="1" x14ac:dyDescent="0.4">
      <c r="A486" s="319"/>
      <c r="B486" s="216"/>
      <c r="C486" s="216"/>
      <c r="D486" s="233" t="str">
        <f>IFERROR(INDEX(BuildingInformationTable[Site type],MATCH(BuildingsElectricityTable[[#This Row],[Site name]],BuildingInformationTable[Site name],0)),"")</f>
        <v/>
      </c>
      <c r="E486" s="311" t="str">
        <f t="shared" si="43"/>
        <v/>
      </c>
      <c r="F486" s="311" t="str">
        <f t="shared" si="41"/>
        <v/>
      </c>
      <c r="G486" s="72"/>
      <c r="H486" s="98" t="str">
        <f>IF(G486="","",INDEX(Lists!$BA$4:$BC$31,MATCH(E486,Lists!$AZ$4:$AZ$31,0),MATCH(G486,Lists!$BA$3:$BC$3,0)))</f>
        <v/>
      </c>
      <c r="I486" s="70"/>
      <c r="J486" s="311" t="str">
        <f t="shared" ref="J486:J500" si="45">IF(I486="", "", "kWh")</f>
        <v/>
      </c>
      <c r="K486" s="75" t="str" cm="1">
        <f t="array" ref="K486">IF(OR($E486="",$D486="",$I486="",$J486=""),"",IF(J486=L486,I486,(INDEX('Emission factors'!$K$3:$V$201,MATCH(E486&amp;F486,'Emission factors'!$J$3:$J$201&amp;'Emission factors'!$K$3:$K$201,0),MATCH(K$6,'Emission factors'!$K$2:$V$2,0)))*I486))</f>
        <v/>
      </c>
      <c r="L486" s="312" t="str">
        <f>IF(OR($E486="",$D486="",$I486="",$J486=""),"",INDEX('Emission factors'!$K$3:$V$201,MATCH('Buildings - Grid Electricity'!$E486,'Emission factors'!$J$3:$J$201,0),MATCH($L$6,'Emission factors'!$K$2:$V$2,0)))</f>
        <v/>
      </c>
      <c r="M486" s="313" t="str" cm="1">
        <f t="array" ref="M486">IF(OR(E486="",I486="",BuildingsElectricityTable[[#This Row],[Units]]=""),"",INDEX('Emission factors'!$K$3:$V$201,MATCH('Buildings - Grid Electricity'!$E486&amp;F486,'Emission factors'!$J$3:$J$201&amp;'Emission factors'!$K$3:$K$201,0),MATCH('Buildings - Grid Electricity'!$M$6,'Emission factors'!$K$2:$V$2,0)))</f>
        <v/>
      </c>
      <c r="N486" s="156" t="str">
        <f>IF(OR(K486="",M486=""),"",SUM(BuildingsElectricityTable[[#This Row],[Direct]:[Indirect WTT]]))</f>
        <v/>
      </c>
      <c r="O486" s="71"/>
      <c r="P486" s="72"/>
      <c r="Q486" s="157" t="str" cm="1">
        <f t="array" ref="Q486">IF(OR($E486="",$I486=""),"",(INDEX('Emission factors'!$K$3:$V$201,MATCH('Buildings - Grid Electricity'!$E486&amp;$F486,'Emission factors'!$J$3:$J$201&amp;'Emission factors'!$K$3:$K$201,0),MATCH('Buildings - Grid Electricity'!Q$6,'Emission factors'!$K$2:$V$2,0)))*$K486)</f>
        <v/>
      </c>
      <c r="R486" s="157" t="str" cm="1">
        <f t="array" ref="R486">IF(OR($E486="",$I486=""),"",(INDEX('Emission factors'!$K$3:$V$201,MATCH('Buildings - Grid Electricity'!$E486&amp;$F486,'Emission factors'!$J$3:$J$201&amp;'Emission factors'!$K$3:$K$201,0),MATCH('Buildings - Grid Electricity'!R$6,'Emission factors'!$K$2:$V$2,0)))*$K486)</f>
        <v/>
      </c>
      <c r="S486" s="157" t="str" cm="1">
        <f t="array" ref="S486">IF(OR($E486="",$I486=""),"",(INDEX('Emission factors'!$K$3:$V$201,MATCH('Buildings - Grid Electricity'!$E486&amp;$F486,'Emission factors'!$J$3:$J$201&amp;'Emission factors'!$K$3:$K$201,0),MATCH('Buildings - Grid Electricity'!S$6,'Emission factors'!$K$2:$V$2,0)))*$K486)</f>
        <v/>
      </c>
      <c r="T486" s="157" t="str" cm="1">
        <f t="array" ref="T486">IF(OR($E486="",$I486=""),"",(INDEX('Emission factors'!$K$3:$V$201,MATCH('Buildings - Grid Electricity'!$E486&amp;$F486,'Emission factors'!$J$3:$J$201&amp;'Emission factors'!$K$3:$K$201,0),MATCH('Buildings - Grid Electricity'!T$6,'Emission factors'!$K$2:$V$2,0)))*$K486)</f>
        <v/>
      </c>
      <c r="U486" s="157" t="str" cm="1">
        <f t="array" ref="U486">IF(OR($E486="",$I486=""),"",(INDEX('Emission factors'!$K$3:$V$201,MATCH('Buildings - Grid Electricity'!$E486&amp;$F486,'Emission factors'!$J$3:$J$201&amp;'Emission factors'!$K$3:$K$201,0),MATCH('Buildings - Grid Electricity'!U$6,'Emission factors'!$K$2:$V$2,0)))*$K486)</f>
        <v/>
      </c>
      <c r="V486" s="158" t="str">
        <f>IF(OR($N486="",BuildingsElectricityTable[[#This Row],[RSD]]=""),"",BuildingsElectricityTable[[#This Row],[Total emissions (kgCO2e)]]*(1+BuildingsElectricityTable[[#This Row],[RSD]]))</f>
        <v/>
      </c>
      <c r="W486" s="159" t="str">
        <f>IF(OR($N486="",BuildingsElectricityTable[[#This Row],[RSD]]=""),"",BuildingsElectricityTable[[#This Row],[Total emissions (kgCO2e)]]*(1-BuildingsElectricityTable[[#This Row],[RSD]]))</f>
        <v/>
      </c>
      <c r="X486" s="169" t="str" cm="1">
        <f t="array" ref="X486">IF(OR($E486="",$I486=""),"",(INDEX('Emission factors'!$K$3:$V$201,MATCH('Buildings - Grid Electricity'!$E486&amp;$F486,'Emission factors'!$J$3:$J$201&amp;'Emission factors'!$K$3:$K$201,0),MATCH('Buildings - Grid Electricity'!X$6,'Emission factors'!$K$2:$V$2,0)))*$K486)</f>
        <v/>
      </c>
      <c r="Y486" s="30"/>
      <c r="Z486" s="1" cm="1">
        <f t="array" ref="Z486">IF(OR(ISERROR(B486:X486)),1,0)</f>
        <v>0</v>
      </c>
      <c r="AA486" s="1">
        <f t="shared" si="44"/>
        <v>0</v>
      </c>
    </row>
    <row r="487" spans="1:27" ht="15" outlineLevel="1" thickBot="1" x14ac:dyDescent="0.4">
      <c r="A487" s="319"/>
      <c r="B487" s="216"/>
      <c r="C487" s="216"/>
      <c r="D487" s="233" t="str">
        <f>IFERROR(INDEX(BuildingInformationTable[Site type],MATCH(BuildingsElectricityTable[[#This Row],[Site name]],BuildingInformationTable[Site name],0)),"")</f>
        <v/>
      </c>
      <c r="E487" s="311" t="str">
        <f t="shared" si="43"/>
        <v/>
      </c>
      <c r="F487" s="311" t="str">
        <f t="shared" si="41"/>
        <v/>
      </c>
      <c r="G487" s="72"/>
      <c r="H487" s="98" t="str">
        <f>IF(G487="","",INDEX(Lists!$BA$4:$BC$31,MATCH(E487,Lists!$AZ$4:$AZ$31,0),MATCH(G487,Lists!$BA$3:$BC$3,0)))</f>
        <v/>
      </c>
      <c r="I487" s="70"/>
      <c r="J487" s="311" t="str">
        <f t="shared" si="45"/>
        <v/>
      </c>
      <c r="K487" s="75" t="str" cm="1">
        <f t="array" ref="K487">IF(OR($E487="",$D487="",$I487="",$J487=""),"",IF(J487=L487,I487,(INDEX('Emission factors'!$K$3:$V$201,MATCH(E487&amp;F487,'Emission factors'!$J$3:$J$201&amp;'Emission factors'!$K$3:$K$201,0),MATCH(K$6,'Emission factors'!$K$2:$V$2,0)))*I487))</f>
        <v/>
      </c>
      <c r="L487" s="312" t="str">
        <f>IF(OR($E487="",$D487="",$I487="",$J487=""),"",INDEX('Emission factors'!$K$3:$V$201,MATCH('Buildings - Grid Electricity'!$E487,'Emission factors'!$J$3:$J$201,0),MATCH($L$6,'Emission factors'!$K$2:$V$2,0)))</f>
        <v/>
      </c>
      <c r="M487" s="313" t="str" cm="1">
        <f t="array" ref="M487">IF(OR(E487="",I487="",BuildingsElectricityTable[[#This Row],[Units]]=""),"",INDEX('Emission factors'!$K$3:$V$201,MATCH('Buildings - Grid Electricity'!$E487&amp;F487,'Emission factors'!$J$3:$J$201&amp;'Emission factors'!$K$3:$K$201,0),MATCH('Buildings - Grid Electricity'!$M$6,'Emission factors'!$K$2:$V$2,0)))</f>
        <v/>
      </c>
      <c r="N487" s="156" t="str">
        <f>IF(OR(K487="",M487=""),"",SUM(BuildingsElectricityTable[[#This Row],[Direct]:[Indirect WTT]]))</f>
        <v/>
      </c>
      <c r="O487" s="71"/>
      <c r="P487" s="72"/>
      <c r="Q487" s="157" t="str" cm="1">
        <f t="array" ref="Q487">IF(OR($E487="",$I487=""),"",(INDEX('Emission factors'!$K$3:$V$201,MATCH('Buildings - Grid Electricity'!$E487&amp;$F487,'Emission factors'!$J$3:$J$201&amp;'Emission factors'!$K$3:$K$201,0),MATCH('Buildings - Grid Electricity'!Q$6,'Emission factors'!$K$2:$V$2,0)))*$K487)</f>
        <v/>
      </c>
      <c r="R487" s="157" t="str" cm="1">
        <f t="array" ref="R487">IF(OR($E487="",$I487=""),"",(INDEX('Emission factors'!$K$3:$V$201,MATCH('Buildings - Grid Electricity'!$E487&amp;$F487,'Emission factors'!$J$3:$J$201&amp;'Emission factors'!$K$3:$K$201,0),MATCH('Buildings - Grid Electricity'!R$6,'Emission factors'!$K$2:$V$2,0)))*$K487)</f>
        <v/>
      </c>
      <c r="S487" s="157" t="str" cm="1">
        <f t="array" ref="S487">IF(OR($E487="",$I487=""),"",(INDEX('Emission factors'!$K$3:$V$201,MATCH('Buildings - Grid Electricity'!$E487&amp;$F487,'Emission factors'!$J$3:$J$201&amp;'Emission factors'!$K$3:$K$201,0),MATCH('Buildings - Grid Electricity'!S$6,'Emission factors'!$K$2:$V$2,0)))*$K487)</f>
        <v/>
      </c>
      <c r="T487" s="157" t="str" cm="1">
        <f t="array" ref="T487">IF(OR($E487="",$I487=""),"",(INDEX('Emission factors'!$K$3:$V$201,MATCH('Buildings - Grid Electricity'!$E487&amp;$F487,'Emission factors'!$J$3:$J$201&amp;'Emission factors'!$K$3:$K$201,0),MATCH('Buildings - Grid Electricity'!T$6,'Emission factors'!$K$2:$V$2,0)))*$K487)</f>
        <v/>
      </c>
      <c r="U487" s="157" t="str" cm="1">
        <f t="array" ref="U487">IF(OR($E487="",$I487=""),"",(INDEX('Emission factors'!$K$3:$V$201,MATCH('Buildings - Grid Electricity'!$E487&amp;$F487,'Emission factors'!$J$3:$J$201&amp;'Emission factors'!$K$3:$K$201,0),MATCH('Buildings - Grid Electricity'!U$6,'Emission factors'!$K$2:$V$2,0)))*$K487)</f>
        <v/>
      </c>
      <c r="V487" s="158" t="str">
        <f>IF(OR($N487="",BuildingsElectricityTable[[#This Row],[RSD]]=""),"",BuildingsElectricityTable[[#This Row],[Total emissions (kgCO2e)]]*(1+BuildingsElectricityTable[[#This Row],[RSD]]))</f>
        <v/>
      </c>
      <c r="W487" s="159" t="str">
        <f>IF(OR($N487="",BuildingsElectricityTable[[#This Row],[RSD]]=""),"",BuildingsElectricityTable[[#This Row],[Total emissions (kgCO2e)]]*(1-BuildingsElectricityTable[[#This Row],[RSD]]))</f>
        <v/>
      </c>
      <c r="X487" s="169" t="str" cm="1">
        <f t="array" ref="X487">IF(OR($E487="",$I487=""),"",(INDEX('Emission factors'!$K$3:$V$201,MATCH('Buildings - Grid Electricity'!$E487&amp;$F487,'Emission factors'!$J$3:$J$201&amp;'Emission factors'!$K$3:$K$201,0),MATCH('Buildings - Grid Electricity'!X$6,'Emission factors'!$K$2:$V$2,0)))*$K487)</f>
        <v/>
      </c>
      <c r="Y487" s="30"/>
      <c r="Z487" s="1" cm="1">
        <f t="array" ref="Z487">IF(OR(ISERROR(B487:X487)),1,0)</f>
        <v>0</v>
      </c>
      <c r="AA487" s="1">
        <f t="shared" si="44"/>
        <v>0</v>
      </c>
    </row>
    <row r="488" spans="1:27" ht="15" outlineLevel="1" thickBot="1" x14ac:dyDescent="0.4">
      <c r="A488" s="319"/>
      <c r="B488" s="216"/>
      <c r="C488" s="216"/>
      <c r="D488" s="233" t="str">
        <f>IFERROR(INDEX(BuildingInformationTable[Site type],MATCH(BuildingsElectricityTable[[#This Row],[Site name]],BuildingInformationTable[Site name],0)),"")</f>
        <v/>
      </c>
      <c r="E488" s="311" t="str">
        <f t="shared" si="43"/>
        <v/>
      </c>
      <c r="F488" s="311" t="str">
        <f t="shared" si="41"/>
        <v/>
      </c>
      <c r="G488" s="72"/>
      <c r="H488" s="98" t="str">
        <f>IF(G488="","",INDEX(Lists!$BA$4:$BC$31,MATCH(E488,Lists!$AZ$4:$AZ$31,0),MATCH(G488,Lists!$BA$3:$BC$3,0)))</f>
        <v/>
      </c>
      <c r="I488" s="70"/>
      <c r="J488" s="311" t="str">
        <f t="shared" si="45"/>
        <v/>
      </c>
      <c r="K488" s="75" t="str" cm="1">
        <f t="array" ref="K488">IF(OR($E488="",$D488="",$I488="",$J488=""),"",IF(J488=L488,I488,(INDEX('Emission factors'!$K$3:$V$201,MATCH(E488&amp;F488,'Emission factors'!$J$3:$J$201&amp;'Emission factors'!$K$3:$K$201,0),MATCH(K$6,'Emission factors'!$K$2:$V$2,0)))*I488))</f>
        <v/>
      </c>
      <c r="L488" s="312" t="str">
        <f>IF(OR($E488="",$D488="",$I488="",$J488=""),"",INDEX('Emission factors'!$K$3:$V$201,MATCH('Buildings - Grid Electricity'!$E488,'Emission factors'!$J$3:$J$201,0),MATCH($L$6,'Emission factors'!$K$2:$V$2,0)))</f>
        <v/>
      </c>
      <c r="M488" s="313" t="str" cm="1">
        <f t="array" ref="M488">IF(OR(E488="",I488="",BuildingsElectricityTable[[#This Row],[Units]]=""),"",INDEX('Emission factors'!$K$3:$V$201,MATCH('Buildings - Grid Electricity'!$E488&amp;F488,'Emission factors'!$J$3:$J$201&amp;'Emission factors'!$K$3:$K$201,0),MATCH('Buildings - Grid Electricity'!$M$6,'Emission factors'!$K$2:$V$2,0)))</f>
        <v/>
      </c>
      <c r="N488" s="156" t="str">
        <f>IF(OR(K488="",M488=""),"",SUM(BuildingsElectricityTable[[#This Row],[Direct]:[Indirect WTT]]))</f>
        <v/>
      </c>
      <c r="O488" s="71"/>
      <c r="P488" s="72"/>
      <c r="Q488" s="157" t="str" cm="1">
        <f t="array" ref="Q488">IF(OR($E488="",$I488=""),"",(INDEX('Emission factors'!$K$3:$V$201,MATCH('Buildings - Grid Electricity'!$E488&amp;$F488,'Emission factors'!$J$3:$J$201&amp;'Emission factors'!$K$3:$K$201,0),MATCH('Buildings - Grid Electricity'!Q$6,'Emission factors'!$K$2:$V$2,0)))*$K488)</f>
        <v/>
      </c>
      <c r="R488" s="157" t="str" cm="1">
        <f t="array" ref="R488">IF(OR($E488="",$I488=""),"",(INDEX('Emission factors'!$K$3:$V$201,MATCH('Buildings - Grid Electricity'!$E488&amp;$F488,'Emission factors'!$J$3:$J$201&amp;'Emission factors'!$K$3:$K$201,0),MATCH('Buildings - Grid Electricity'!R$6,'Emission factors'!$K$2:$V$2,0)))*$K488)</f>
        <v/>
      </c>
      <c r="S488" s="157" t="str" cm="1">
        <f t="array" ref="S488">IF(OR($E488="",$I488=""),"",(INDEX('Emission factors'!$K$3:$V$201,MATCH('Buildings - Grid Electricity'!$E488&amp;$F488,'Emission factors'!$J$3:$J$201&amp;'Emission factors'!$K$3:$K$201,0),MATCH('Buildings - Grid Electricity'!S$6,'Emission factors'!$K$2:$V$2,0)))*$K488)</f>
        <v/>
      </c>
      <c r="T488" s="157" t="str" cm="1">
        <f t="array" ref="T488">IF(OR($E488="",$I488=""),"",(INDEX('Emission factors'!$K$3:$V$201,MATCH('Buildings - Grid Electricity'!$E488&amp;$F488,'Emission factors'!$J$3:$J$201&amp;'Emission factors'!$K$3:$K$201,0),MATCH('Buildings - Grid Electricity'!T$6,'Emission factors'!$K$2:$V$2,0)))*$K488)</f>
        <v/>
      </c>
      <c r="U488" s="157" t="str" cm="1">
        <f t="array" ref="U488">IF(OR($E488="",$I488=""),"",(INDEX('Emission factors'!$K$3:$V$201,MATCH('Buildings - Grid Electricity'!$E488&amp;$F488,'Emission factors'!$J$3:$J$201&amp;'Emission factors'!$K$3:$K$201,0),MATCH('Buildings - Grid Electricity'!U$6,'Emission factors'!$K$2:$V$2,0)))*$K488)</f>
        <v/>
      </c>
      <c r="V488" s="158" t="str">
        <f>IF(OR($N488="",BuildingsElectricityTable[[#This Row],[RSD]]=""),"",BuildingsElectricityTable[[#This Row],[Total emissions (kgCO2e)]]*(1+BuildingsElectricityTable[[#This Row],[RSD]]))</f>
        <v/>
      </c>
      <c r="W488" s="159" t="str">
        <f>IF(OR($N488="",BuildingsElectricityTable[[#This Row],[RSD]]=""),"",BuildingsElectricityTable[[#This Row],[Total emissions (kgCO2e)]]*(1-BuildingsElectricityTable[[#This Row],[RSD]]))</f>
        <v/>
      </c>
      <c r="X488" s="169" t="str" cm="1">
        <f t="array" ref="X488">IF(OR($E488="",$I488=""),"",(INDEX('Emission factors'!$K$3:$V$201,MATCH('Buildings - Grid Electricity'!$E488&amp;$F488,'Emission factors'!$J$3:$J$201&amp;'Emission factors'!$K$3:$K$201,0),MATCH('Buildings - Grid Electricity'!X$6,'Emission factors'!$K$2:$V$2,0)))*$K488)</f>
        <v/>
      </c>
      <c r="Y488" s="30"/>
      <c r="Z488" s="1" cm="1">
        <f t="array" ref="Z488">IF(OR(ISERROR(B488:X488)),1,0)</f>
        <v>0</v>
      </c>
      <c r="AA488" s="1">
        <f t="shared" si="44"/>
        <v>0</v>
      </c>
    </row>
    <row r="489" spans="1:27" ht="15" outlineLevel="1" thickBot="1" x14ac:dyDescent="0.4">
      <c r="A489" s="319"/>
      <c r="B489" s="216"/>
      <c r="C489" s="216"/>
      <c r="D489" s="233" t="str">
        <f>IFERROR(INDEX(BuildingInformationTable[Site type],MATCH(BuildingsElectricityTable[[#This Row],[Site name]],BuildingInformationTable[Site name],0)),"")</f>
        <v/>
      </c>
      <c r="E489" s="311" t="str">
        <f t="shared" si="43"/>
        <v/>
      </c>
      <c r="F489" s="311" t="str">
        <f t="shared" si="41"/>
        <v/>
      </c>
      <c r="G489" s="72"/>
      <c r="H489" s="98" t="str">
        <f>IF(G489="","",INDEX(Lists!$BA$4:$BC$31,MATCH(E489,Lists!$AZ$4:$AZ$31,0),MATCH(G489,Lists!$BA$3:$BC$3,0)))</f>
        <v/>
      </c>
      <c r="I489" s="70"/>
      <c r="J489" s="311" t="str">
        <f t="shared" si="45"/>
        <v/>
      </c>
      <c r="K489" s="75" t="str" cm="1">
        <f t="array" ref="K489">IF(OR($E489="",$D489="",$I489="",$J489=""),"",IF(J489=L489,I489,(INDEX('Emission factors'!$K$3:$V$201,MATCH(E489&amp;F489,'Emission factors'!$J$3:$J$201&amp;'Emission factors'!$K$3:$K$201,0),MATCH(K$6,'Emission factors'!$K$2:$V$2,0)))*I489))</f>
        <v/>
      </c>
      <c r="L489" s="312" t="str">
        <f>IF(OR($E489="",$D489="",$I489="",$J489=""),"",INDEX('Emission factors'!$K$3:$V$201,MATCH('Buildings - Grid Electricity'!$E489,'Emission factors'!$J$3:$J$201,0),MATCH($L$6,'Emission factors'!$K$2:$V$2,0)))</f>
        <v/>
      </c>
      <c r="M489" s="313" t="str" cm="1">
        <f t="array" ref="M489">IF(OR(E489="",I489="",BuildingsElectricityTable[[#This Row],[Units]]=""),"",INDEX('Emission factors'!$K$3:$V$201,MATCH('Buildings - Grid Electricity'!$E489&amp;F489,'Emission factors'!$J$3:$J$201&amp;'Emission factors'!$K$3:$K$201,0),MATCH('Buildings - Grid Electricity'!$M$6,'Emission factors'!$K$2:$V$2,0)))</f>
        <v/>
      </c>
      <c r="N489" s="156" t="str">
        <f>IF(OR(K489="",M489=""),"",SUM(BuildingsElectricityTable[[#This Row],[Direct]:[Indirect WTT]]))</f>
        <v/>
      </c>
      <c r="O489" s="71"/>
      <c r="P489" s="72"/>
      <c r="Q489" s="157" t="str" cm="1">
        <f t="array" ref="Q489">IF(OR($E489="",$I489=""),"",(INDEX('Emission factors'!$K$3:$V$201,MATCH('Buildings - Grid Electricity'!$E489&amp;$F489,'Emission factors'!$J$3:$J$201&amp;'Emission factors'!$K$3:$K$201,0),MATCH('Buildings - Grid Electricity'!Q$6,'Emission factors'!$K$2:$V$2,0)))*$K489)</f>
        <v/>
      </c>
      <c r="R489" s="157" t="str" cm="1">
        <f t="array" ref="R489">IF(OR($E489="",$I489=""),"",(INDEX('Emission factors'!$K$3:$V$201,MATCH('Buildings - Grid Electricity'!$E489&amp;$F489,'Emission factors'!$J$3:$J$201&amp;'Emission factors'!$K$3:$K$201,0),MATCH('Buildings - Grid Electricity'!R$6,'Emission factors'!$K$2:$V$2,0)))*$K489)</f>
        <v/>
      </c>
      <c r="S489" s="157" t="str" cm="1">
        <f t="array" ref="S489">IF(OR($E489="",$I489=""),"",(INDEX('Emission factors'!$K$3:$V$201,MATCH('Buildings - Grid Electricity'!$E489&amp;$F489,'Emission factors'!$J$3:$J$201&amp;'Emission factors'!$K$3:$K$201,0),MATCH('Buildings - Grid Electricity'!S$6,'Emission factors'!$K$2:$V$2,0)))*$K489)</f>
        <v/>
      </c>
      <c r="T489" s="157" t="str" cm="1">
        <f t="array" ref="T489">IF(OR($E489="",$I489=""),"",(INDEX('Emission factors'!$K$3:$V$201,MATCH('Buildings - Grid Electricity'!$E489&amp;$F489,'Emission factors'!$J$3:$J$201&amp;'Emission factors'!$K$3:$K$201,0),MATCH('Buildings - Grid Electricity'!T$6,'Emission factors'!$K$2:$V$2,0)))*$K489)</f>
        <v/>
      </c>
      <c r="U489" s="157" t="str" cm="1">
        <f t="array" ref="U489">IF(OR($E489="",$I489=""),"",(INDEX('Emission factors'!$K$3:$V$201,MATCH('Buildings - Grid Electricity'!$E489&amp;$F489,'Emission factors'!$J$3:$J$201&amp;'Emission factors'!$K$3:$K$201,0),MATCH('Buildings - Grid Electricity'!U$6,'Emission factors'!$K$2:$V$2,0)))*$K489)</f>
        <v/>
      </c>
      <c r="V489" s="158" t="str">
        <f>IF(OR($N489="",BuildingsElectricityTable[[#This Row],[RSD]]=""),"",BuildingsElectricityTable[[#This Row],[Total emissions (kgCO2e)]]*(1+BuildingsElectricityTable[[#This Row],[RSD]]))</f>
        <v/>
      </c>
      <c r="W489" s="159" t="str">
        <f>IF(OR($N489="",BuildingsElectricityTable[[#This Row],[RSD]]=""),"",BuildingsElectricityTable[[#This Row],[Total emissions (kgCO2e)]]*(1-BuildingsElectricityTable[[#This Row],[RSD]]))</f>
        <v/>
      </c>
      <c r="X489" s="169" t="str" cm="1">
        <f t="array" ref="X489">IF(OR($E489="",$I489=""),"",(INDEX('Emission factors'!$K$3:$V$201,MATCH('Buildings - Grid Electricity'!$E489&amp;$F489,'Emission factors'!$J$3:$J$201&amp;'Emission factors'!$K$3:$K$201,0),MATCH('Buildings - Grid Electricity'!X$6,'Emission factors'!$K$2:$V$2,0)))*$K489)</f>
        <v/>
      </c>
      <c r="Y489" s="30"/>
      <c r="Z489" s="1" cm="1">
        <f t="array" ref="Z489">IF(OR(ISERROR(B489:X489)),1,0)</f>
        <v>0</v>
      </c>
      <c r="AA489" s="1">
        <f t="shared" si="44"/>
        <v>0</v>
      </c>
    </row>
    <row r="490" spans="1:27" ht="15" outlineLevel="1" thickBot="1" x14ac:dyDescent="0.4">
      <c r="A490" s="319"/>
      <c r="B490" s="216"/>
      <c r="C490" s="216"/>
      <c r="D490" s="233" t="str">
        <f>IFERROR(INDEX(BuildingInformationTable[Site type],MATCH(BuildingsElectricityTable[[#This Row],[Site name]],BuildingInformationTable[Site name],0)),"")</f>
        <v/>
      </c>
      <c r="E490" s="311" t="str">
        <f t="shared" si="43"/>
        <v/>
      </c>
      <c r="F490" s="311" t="str">
        <f t="shared" si="41"/>
        <v/>
      </c>
      <c r="G490" s="72"/>
      <c r="H490" s="98" t="str">
        <f>IF(G490="","",INDEX(Lists!$BA$4:$BC$31,MATCH(E490,Lists!$AZ$4:$AZ$31,0),MATCH(G490,Lists!$BA$3:$BC$3,0)))</f>
        <v/>
      </c>
      <c r="I490" s="70"/>
      <c r="J490" s="311" t="str">
        <f t="shared" si="45"/>
        <v/>
      </c>
      <c r="K490" s="75" t="str" cm="1">
        <f t="array" ref="K490">IF(OR($E490="",$D490="",$I490="",$J490=""),"",IF(J490=L490,I490,(INDEX('Emission factors'!$K$3:$V$201,MATCH(E490&amp;F490,'Emission factors'!$J$3:$J$201&amp;'Emission factors'!$K$3:$K$201,0),MATCH(K$6,'Emission factors'!$K$2:$V$2,0)))*I490))</f>
        <v/>
      </c>
      <c r="L490" s="312" t="str">
        <f>IF(OR($E490="",$D490="",$I490="",$J490=""),"",INDEX('Emission factors'!$K$3:$V$201,MATCH('Buildings - Grid Electricity'!$E490,'Emission factors'!$J$3:$J$201,0),MATCH($L$6,'Emission factors'!$K$2:$V$2,0)))</f>
        <v/>
      </c>
      <c r="M490" s="313" t="str" cm="1">
        <f t="array" ref="M490">IF(OR(E490="",I490="",BuildingsElectricityTable[[#This Row],[Units]]=""),"",INDEX('Emission factors'!$K$3:$V$201,MATCH('Buildings - Grid Electricity'!$E490&amp;F490,'Emission factors'!$J$3:$J$201&amp;'Emission factors'!$K$3:$K$201,0),MATCH('Buildings - Grid Electricity'!$M$6,'Emission factors'!$K$2:$V$2,0)))</f>
        <v/>
      </c>
      <c r="N490" s="156" t="str">
        <f>IF(OR(K490="",M490=""),"",SUM(BuildingsElectricityTable[[#This Row],[Direct]:[Indirect WTT]]))</f>
        <v/>
      </c>
      <c r="O490" s="71"/>
      <c r="P490" s="72"/>
      <c r="Q490" s="157" t="str" cm="1">
        <f t="array" ref="Q490">IF(OR($E490="",$I490=""),"",(INDEX('Emission factors'!$K$3:$V$201,MATCH('Buildings - Grid Electricity'!$E490&amp;$F490,'Emission factors'!$J$3:$J$201&amp;'Emission factors'!$K$3:$K$201,0),MATCH('Buildings - Grid Electricity'!Q$6,'Emission factors'!$K$2:$V$2,0)))*$K490)</f>
        <v/>
      </c>
      <c r="R490" s="157" t="str" cm="1">
        <f t="array" ref="R490">IF(OR($E490="",$I490=""),"",(INDEX('Emission factors'!$K$3:$V$201,MATCH('Buildings - Grid Electricity'!$E490&amp;$F490,'Emission factors'!$J$3:$J$201&amp;'Emission factors'!$K$3:$K$201,0),MATCH('Buildings - Grid Electricity'!R$6,'Emission factors'!$K$2:$V$2,0)))*$K490)</f>
        <v/>
      </c>
      <c r="S490" s="157" t="str" cm="1">
        <f t="array" ref="S490">IF(OR($E490="",$I490=""),"",(INDEX('Emission factors'!$K$3:$V$201,MATCH('Buildings - Grid Electricity'!$E490&amp;$F490,'Emission factors'!$J$3:$J$201&amp;'Emission factors'!$K$3:$K$201,0),MATCH('Buildings - Grid Electricity'!S$6,'Emission factors'!$K$2:$V$2,0)))*$K490)</f>
        <v/>
      </c>
      <c r="T490" s="157" t="str" cm="1">
        <f t="array" ref="T490">IF(OR($E490="",$I490=""),"",(INDEX('Emission factors'!$K$3:$V$201,MATCH('Buildings - Grid Electricity'!$E490&amp;$F490,'Emission factors'!$J$3:$J$201&amp;'Emission factors'!$K$3:$K$201,0),MATCH('Buildings - Grid Electricity'!T$6,'Emission factors'!$K$2:$V$2,0)))*$K490)</f>
        <v/>
      </c>
      <c r="U490" s="157" t="str" cm="1">
        <f t="array" ref="U490">IF(OR($E490="",$I490=""),"",(INDEX('Emission factors'!$K$3:$V$201,MATCH('Buildings - Grid Electricity'!$E490&amp;$F490,'Emission factors'!$J$3:$J$201&amp;'Emission factors'!$K$3:$K$201,0),MATCH('Buildings - Grid Electricity'!U$6,'Emission factors'!$K$2:$V$2,0)))*$K490)</f>
        <v/>
      </c>
      <c r="V490" s="158" t="str">
        <f>IF(OR($N490="",BuildingsElectricityTable[[#This Row],[RSD]]=""),"",BuildingsElectricityTable[[#This Row],[Total emissions (kgCO2e)]]*(1+BuildingsElectricityTable[[#This Row],[RSD]]))</f>
        <v/>
      </c>
      <c r="W490" s="159" t="str">
        <f>IF(OR($N490="",BuildingsElectricityTable[[#This Row],[RSD]]=""),"",BuildingsElectricityTable[[#This Row],[Total emissions (kgCO2e)]]*(1-BuildingsElectricityTable[[#This Row],[RSD]]))</f>
        <v/>
      </c>
      <c r="X490" s="169" t="str" cm="1">
        <f t="array" ref="X490">IF(OR($E490="",$I490=""),"",(INDEX('Emission factors'!$K$3:$V$201,MATCH('Buildings - Grid Electricity'!$E490&amp;$F490,'Emission factors'!$J$3:$J$201&amp;'Emission factors'!$K$3:$K$201,0),MATCH('Buildings - Grid Electricity'!X$6,'Emission factors'!$K$2:$V$2,0)))*$K490)</f>
        <v/>
      </c>
      <c r="Y490" s="30"/>
      <c r="Z490" s="1" cm="1">
        <f t="array" ref="Z490">IF(OR(ISERROR(B490:X490)),1,0)</f>
        <v>0</v>
      </c>
      <c r="AA490" s="1">
        <f t="shared" si="44"/>
        <v>0</v>
      </c>
    </row>
    <row r="491" spans="1:27" ht="15" outlineLevel="1" thickBot="1" x14ac:dyDescent="0.4">
      <c r="A491" s="319"/>
      <c r="B491" s="216"/>
      <c r="C491" s="216"/>
      <c r="D491" s="233" t="str">
        <f>IFERROR(INDEX(BuildingInformationTable[Site type],MATCH(BuildingsElectricityTable[[#This Row],[Site name]],BuildingInformationTable[Site name],0)),"")</f>
        <v/>
      </c>
      <c r="E491" s="311" t="str">
        <f t="shared" si="43"/>
        <v/>
      </c>
      <c r="F491" s="311" t="str">
        <f t="shared" si="41"/>
        <v/>
      </c>
      <c r="G491" s="72"/>
      <c r="H491" s="98" t="str">
        <f>IF(G491="","",INDEX(Lists!$BA$4:$BC$31,MATCH(E491,Lists!$AZ$4:$AZ$31,0),MATCH(G491,Lists!$BA$3:$BC$3,0)))</f>
        <v/>
      </c>
      <c r="I491" s="70"/>
      <c r="J491" s="311" t="str">
        <f t="shared" si="45"/>
        <v/>
      </c>
      <c r="K491" s="75" t="str" cm="1">
        <f t="array" ref="K491">IF(OR($E491="",$D491="",$I491="",$J491=""),"",IF(J491=L491,I491,(INDEX('Emission factors'!$K$3:$V$201,MATCH(E491&amp;F491,'Emission factors'!$J$3:$J$201&amp;'Emission factors'!$K$3:$K$201,0),MATCH(K$6,'Emission factors'!$K$2:$V$2,0)))*I491))</f>
        <v/>
      </c>
      <c r="L491" s="312" t="str">
        <f>IF(OR($E491="",$D491="",$I491="",$J491=""),"",INDEX('Emission factors'!$K$3:$V$201,MATCH('Buildings - Grid Electricity'!$E491,'Emission factors'!$J$3:$J$201,0),MATCH($L$6,'Emission factors'!$K$2:$V$2,0)))</f>
        <v/>
      </c>
      <c r="M491" s="313" t="str" cm="1">
        <f t="array" ref="M491">IF(OR(E491="",I491="",BuildingsElectricityTable[[#This Row],[Units]]=""),"",INDEX('Emission factors'!$K$3:$V$201,MATCH('Buildings - Grid Electricity'!$E491&amp;F491,'Emission factors'!$J$3:$J$201&amp;'Emission factors'!$K$3:$K$201,0),MATCH('Buildings - Grid Electricity'!$M$6,'Emission factors'!$K$2:$V$2,0)))</f>
        <v/>
      </c>
      <c r="N491" s="156" t="str">
        <f>IF(OR(K491="",M491=""),"",SUM(BuildingsElectricityTable[[#This Row],[Direct]:[Indirect WTT]]))</f>
        <v/>
      </c>
      <c r="O491" s="71"/>
      <c r="P491" s="72"/>
      <c r="Q491" s="157" t="str" cm="1">
        <f t="array" ref="Q491">IF(OR($E491="",$I491=""),"",(INDEX('Emission factors'!$K$3:$V$201,MATCH('Buildings - Grid Electricity'!$E491&amp;$F491,'Emission factors'!$J$3:$J$201&amp;'Emission factors'!$K$3:$K$201,0),MATCH('Buildings - Grid Electricity'!Q$6,'Emission factors'!$K$2:$V$2,0)))*$K491)</f>
        <v/>
      </c>
      <c r="R491" s="157" t="str" cm="1">
        <f t="array" ref="R491">IF(OR($E491="",$I491=""),"",(INDEX('Emission factors'!$K$3:$V$201,MATCH('Buildings - Grid Electricity'!$E491&amp;$F491,'Emission factors'!$J$3:$J$201&amp;'Emission factors'!$K$3:$K$201,0),MATCH('Buildings - Grid Electricity'!R$6,'Emission factors'!$K$2:$V$2,0)))*$K491)</f>
        <v/>
      </c>
      <c r="S491" s="157" t="str" cm="1">
        <f t="array" ref="S491">IF(OR($E491="",$I491=""),"",(INDEX('Emission factors'!$K$3:$V$201,MATCH('Buildings - Grid Electricity'!$E491&amp;$F491,'Emission factors'!$J$3:$J$201&amp;'Emission factors'!$K$3:$K$201,0),MATCH('Buildings - Grid Electricity'!S$6,'Emission factors'!$K$2:$V$2,0)))*$K491)</f>
        <v/>
      </c>
      <c r="T491" s="157" t="str" cm="1">
        <f t="array" ref="T491">IF(OR($E491="",$I491=""),"",(INDEX('Emission factors'!$K$3:$V$201,MATCH('Buildings - Grid Electricity'!$E491&amp;$F491,'Emission factors'!$J$3:$J$201&amp;'Emission factors'!$K$3:$K$201,0),MATCH('Buildings - Grid Electricity'!T$6,'Emission factors'!$K$2:$V$2,0)))*$K491)</f>
        <v/>
      </c>
      <c r="U491" s="157" t="str" cm="1">
        <f t="array" ref="U491">IF(OR($E491="",$I491=""),"",(INDEX('Emission factors'!$K$3:$V$201,MATCH('Buildings - Grid Electricity'!$E491&amp;$F491,'Emission factors'!$J$3:$J$201&amp;'Emission factors'!$K$3:$K$201,0),MATCH('Buildings - Grid Electricity'!U$6,'Emission factors'!$K$2:$V$2,0)))*$K491)</f>
        <v/>
      </c>
      <c r="V491" s="158" t="str">
        <f>IF(OR($N491="",BuildingsElectricityTable[[#This Row],[RSD]]=""),"",BuildingsElectricityTable[[#This Row],[Total emissions (kgCO2e)]]*(1+BuildingsElectricityTable[[#This Row],[RSD]]))</f>
        <v/>
      </c>
      <c r="W491" s="159" t="str">
        <f>IF(OR($N491="",BuildingsElectricityTable[[#This Row],[RSD]]=""),"",BuildingsElectricityTable[[#This Row],[Total emissions (kgCO2e)]]*(1-BuildingsElectricityTable[[#This Row],[RSD]]))</f>
        <v/>
      </c>
      <c r="X491" s="169" t="str" cm="1">
        <f t="array" ref="X491">IF(OR($E491="",$I491=""),"",(INDEX('Emission factors'!$K$3:$V$201,MATCH('Buildings - Grid Electricity'!$E491&amp;$F491,'Emission factors'!$J$3:$J$201&amp;'Emission factors'!$K$3:$K$201,0),MATCH('Buildings - Grid Electricity'!X$6,'Emission factors'!$K$2:$V$2,0)))*$K491)</f>
        <v/>
      </c>
      <c r="Y491" s="30"/>
      <c r="Z491" s="1" cm="1">
        <f t="array" ref="Z491">IF(OR(ISERROR(B491:X491)),1,0)</f>
        <v>0</v>
      </c>
      <c r="AA491" s="1">
        <f t="shared" si="44"/>
        <v>0</v>
      </c>
    </row>
    <row r="492" spans="1:27" ht="15" outlineLevel="1" thickBot="1" x14ac:dyDescent="0.4">
      <c r="A492" s="319"/>
      <c r="B492" s="216"/>
      <c r="C492" s="216"/>
      <c r="D492" s="233" t="str">
        <f>IFERROR(INDEX(BuildingInformationTable[Site type],MATCH(BuildingsElectricityTable[[#This Row],[Site name]],BuildingInformationTable[Site name],0)),"")</f>
        <v/>
      </c>
      <c r="E492" s="311" t="str">
        <f t="shared" si="43"/>
        <v/>
      </c>
      <c r="F492" s="311" t="str">
        <f t="shared" si="41"/>
        <v/>
      </c>
      <c r="G492" s="72"/>
      <c r="H492" s="98" t="str">
        <f>IF(G492="","",INDEX(Lists!$BA$4:$BC$31,MATCH(E492,Lists!$AZ$4:$AZ$31,0),MATCH(G492,Lists!$BA$3:$BC$3,0)))</f>
        <v/>
      </c>
      <c r="I492" s="70"/>
      <c r="J492" s="311" t="str">
        <f t="shared" si="45"/>
        <v/>
      </c>
      <c r="K492" s="75" t="str" cm="1">
        <f t="array" ref="K492">IF(OR($E492="",$D492="",$I492="",$J492=""),"",IF(J492=L492,I492,(INDEX('Emission factors'!$K$3:$V$201,MATCH(E492&amp;F492,'Emission factors'!$J$3:$J$201&amp;'Emission factors'!$K$3:$K$201,0),MATCH(K$6,'Emission factors'!$K$2:$V$2,0)))*I492))</f>
        <v/>
      </c>
      <c r="L492" s="312" t="str">
        <f>IF(OR($E492="",$D492="",$I492="",$J492=""),"",INDEX('Emission factors'!$K$3:$V$201,MATCH('Buildings - Grid Electricity'!$E492,'Emission factors'!$J$3:$J$201,0),MATCH($L$6,'Emission factors'!$K$2:$V$2,0)))</f>
        <v/>
      </c>
      <c r="M492" s="313" t="str" cm="1">
        <f t="array" ref="M492">IF(OR(E492="",I492="",BuildingsElectricityTable[[#This Row],[Units]]=""),"",INDEX('Emission factors'!$K$3:$V$201,MATCH('Buildings - Grid Electricity'!$E492&amp;F492,'Emission factors'!$J$3:$J$201&amp;'Emission factors'!$K$3:$K$201,0),MATCH('Buildings - Grid Electricity'!$M$6,'Emission factors'!$K$2:$V$2,0)))</f>
        <v/>
      </c>
      <c r="N492" s="156" t="str">
        <f>IF(OR(K492="",M492=""),"",SUM(BuildingsElectricityTable[[#This Row],[Direct]:[Indirect WTT]]))</f>
        <v/>
      </c>
      <c r="O492" s="71"/>
      <c r="P492" s="72"/>
      <c r="Q492" s="157" t="str" cm="1">
        <f t="array" ref="Q492">IF(OR($E492="",$I492=""),"",(INDEX('Emission factors'!$K$3:$V$201,MATCH('Buildings - Grid Electricity'!$E492&amp;$F492,'Emission factors'!$J$3:$J$201&amp;'Emission factors'!$K$3:$K$201,0),MATCH('Buildings - Grid Electricity'!Q$6,'Emission factors'!$K$2:$V$2,0)))*$K492)</f>
        <v/>
      </c>
      <c r="R492" s="157" t="str" cm="1">
        <f t="array" ref="R492">IF(OR($E492="",$I492=""),"",(INDEX('Emission factors'!$K$3:$V$201,MATCH('Buildings - Grid Electricity'!$E492&amp;$F492,'Emission factors'!$J$3:$J$201&amp;'Emission factors'!$K$3:$K$201,0),MATCH('Buildings - Grid Electricity'!R$6,'Emission factors'!$K$2:$V$2,0)))*$K492)</f>
        <v/>
      </c>
      <c r="S492" s="157" t="str" cm="1">
        <f t="array" ref="S492">IF(OR($E492="",$I492=""),"",(INDEX('Emission factors'!$K$3:$V$201,MATCH('Buildings - Grid Electricity'!$E492&amp;$F492,'Emission factors'!$J$3:$J$201&amp;'Emission factors'!$K$3:$K$201,0),MATCH('Buildings - Grid Electricity'!S$6,'Emission factors'!$K$2:$V$2,0)))*$K492)</f>
        <v/>
      </c>
      <c r="T492" s="157" t="str" cm="1">
        <f t="array" ref="T492">IF(OR($E492="",$I492=""),"",(INDEX('Emission factors'!$K$3:$V$201,MATCH('Buildings - Grid Electricity'!$E492&amp;$F492,'Emission factors'!$J$3:$J$201&amp;'Emission factors'!$K$3:$K$201,0),MATCH('Buildings - Grid Electricity'!T$6,'Emission factors'!$K$2:$V$2,0)))*$K492)</f>
        <v/>
      </c>
      <c r="U492" s="157" t="str" cm="1">
        <f t="array" ref="U492">IF(OR($E492="",$I492=""),"",(INDEX('Emission factors'!$K$3:$V$201,MATCH('Buildings - Grid Electricity'!$E492&amp;$F492,'Emission factors'!$J$3:$J$201&amp;'Emission factors'!$K$3:$K$201,0),MATCH('Buildings - Grid Electricity'!U$6,'Emission factors'!$K$2:$V$2,0)))*$K492)</f>
        <v/>
      </c>
      <c r="V492" s="158" t="str">
        <f>IF(OR($N492="",BuildingsElectricityTable[[#This Row],[RSD]]=""),"",BuildingsElectricityTable[[#This Row],[Total emissions (kgCO2e)]]*(1+BuildingsElectricityTable[[#This Row],[RSD]]))</f>
        <v/>
      </c>
      <c r="W492" s="159" t="str">
        <f>IF(OR($N492="",BuildingsElectricityTable[[#This Row],[RSD]]=""),"",BuildingsElectricityTable[[#This Row],[Total emissions (kgCO2e)]]*(1-BuildingsElectricityTable[[#This Row],[RSD]]))</f>
        <v/>
      </c>
      <c r="X492" s="169" t="str" cm="1">
        <f t="array" ref="X492">IF(OR($E492="",$I492=""),"",(INDEX('Emission factors'!$K$3:$V$201,MATCH('Buildings - Grid Electricity'!$E492&amp;$F492,'Emission factors'!$J$3:$J$201&amp;'Emission factors'!$K$3:$K$201,0),MATCH('Buildings - Grid Electricity'!X$6,'Emission factors'!$K$2:$V$2,0)))*$K492)</f>
        <v/>
      </c>
      <c r="Y492" s="30"/>
      <c r="Z492" s="1" cm="1">
        <f t="array" ref="Z492">IF(OR(ISERROR(B492:X492)),1,0)</f>
        <v>0</v>
      </c>
      <c r="AA492" s="1">
        <f t="shared" si="44"/>
        <v>0</v>
      </c>
    </row>
    <row r="493" spans="1:27" ht="15" outlineLevel="1" thickBot="1" x14ac:dyDescent="0.4">
      <c r="A493" s="319"/>
      <c r="B493" s="216"/>
      <c r="C493" s="216"/>
      <c r="D493" s="233" t="str">
        <f>IFERROR(INDEX(BuildingInformationTable[Site type],MATCH(BuildingsElectricityTable[[#This Row],[Site name]],BuildingInformationTable[Site name],0)),"")</f>
        <v/>
      </c>
      <c r="E493" s="311" t="str">
        <f t="shared" si="43"/>
        <v/>
      </c>
      <c r="F493" s="311" t="str">
        <f t="shared" si="41"/>
        <v/>
      </c>
      <c r="G493" s="72"/>
      <c r="H493" s="98" t="str">
        <f>IF(G493="","",INDEX(Lists!$BA$4:$BC$31,MATCH(E493,Lists!$AZ$4:$AZ$31,0),MATCH(G493,Lists!$BA$3:$BC$3,0)))</f>
        <v/>
      </c>
      <c r="I493" s="70"/>
      <c r="J493" s="311" t="str">
        <f t="shared" si="45"/>
        <v/>
      </c>
      <c r="K493" s="75" t="str" cm="1">
        <f t="array" ref="K493">IF(OR($E493="",$D493="",$I493="",$J493=""),"",IF(J493=L493,I493,(INDEX('Emission factors'!$K$3:$V$201,MATCH(E493&amp;F493,'Emission factors'!$J$3:$J$201&amp;'Emission factors'!$K$3:$K$201,0),MATCH(K$6,'Emission factors'!$K$2:$V$2,0)))*I493))</f>
        <v/>
      </c>
      <c r="L493" s="312" t="str">
        <f>IF(OR($E493="",$D493="",$I493="",$J493=""),"",INDEX('Emission factors'!$K$3:$V$201,MATCH('Buildings - Grid Electricity'!$E493,'Emission factors'!$J$3:$J$201,0),MATCH($L$6,'Emission factors'!$K$2:$V$2,0)))</f>
        <v/>
      </c>
      <c r="M493" s="313" t="str" cm="1">
        <f t="array" ref="M493">IF(OR(E493="",I493="",BuildingsElectricityTable[[#This Row],[Units]]=""),"",INDEX('Emission factors'!$K$3:$V$201,MATCH('Buildings - Grid Electricity'!$E493&amp;F493,'Emission factors'!$J$3:$J$201&amp;'Emission factors'!$K$3:$K$201,0),MATCH('Buildings - Grid Electricity'!$M$6,'Emission factors'!$K$2:$V$2,0)))</f>
        <v/>
      </c>
      <c r="N493" s="156" t="str">
        <f>IF(OR(K493="",M493=""),"",SUM(BuildingsElectricityTable[[#This Row],[Direct]:[Indirect WTT]]))</f>
        <v/>
      </c>
      <c r="O493" s="71"/>
      <c r="P493" s="72"/>
      <c r="Q493" s="157" t="str" cm="1">
        <f t="array" ref="Q493">IF(OR($E493="",$I493=""),"",(INDEX('Emission factors'!$K$3:$V$201,MATCH('Buildings - Grid Electricity'!$E493&amp;$F493,'Emission factors'!$J$3:$J$201&amp;'Emission factors'!$K$3:$K$201,0),MATCH('Buildings - Grid Electricity'!Q$6,'Emission factors'!$K$2:$V$2,0)))*$K493)</f>
        <v/>
      </c>
      <c r="R493" s="157" t="str" cm="1">
        <f t="array" ref="R493">IF(OR($E493="",$I493=""),"",(INDEX('Emission factors'!$K$3:$V$201,MATCH('Buildings - Grid Electricity'!$E493&amp;$F493,'Emission factors'!$J$3:$J$201&amp;'Emission factors'!$K$3:$K$201,0),MATCH('Buildings - Grid Electricity'!R$6,'Emission factors'!$K$2:$V$2,0)))*$K493)</f>
        <v/>
      </c>
      <c r="S493" s="157" t="str" cm="1">
        <f t="array" ref="S493">IF(OR($E493="",$I493=""),"",(INDEX('Emission factors'!$K$3:$V$201,MATCH('Buildings - Grid Electricity'!$E493&amp;$F493,'Emission factors'!$J$3:$J$201&amp;'Emission factors'!$K$3:$K$201,0),MATCH('Buildings - Grid Electricity'!S$6,'Emission factors'!$K$2:$V$2,0)))*$K493)</f>
        <v/>
      </c>
      <c r="T493" s="157" t="str" cm="1">
        <f t="array" ref="T493">IF(OR($E493="",$I493=""),"",(INDEX('Emission factors'!$K$3:$V$201,MATCH('Buildings - Grid Electricity'!$E493&amp;$F493,'Emission factors'!$J$3:$J$201&amp;'Emission factors'!$K$3:$K$201,0),MATCH('Buildings - Grid Electricity'!T$6,'Emission factors'!$K$2:$V$2,0)))*$K493)</f>
        <v/>
      </c>
      <c r="U493" s="157" t="str" cm="1">
        <f t="array" ref="U493">IF(OR($E493="",$I493=""),"",(INDEX('Emission factors'!$K$3:$V$201,MATCH('Buildings - Grid Electricity'!$E493&amp;$F493,'Emission factors'!$J$3:$J$201&amp;'Emission factors'!$K$3:$K$201,0),MATCH('Buildings - Grid Electricity'!U$6,'Emission factors'!$K$2:$V$2,0)))*$K493)</f>
        <v/>
      </c>
      <c r="V493" s="158" t="str">
        <f>IF(OR($N493="",BuildingsElectricityTable[[#This Row],[RSD]]=""),"",BuildingsElectricityTable[[#This Row],[Total emissions (kgCO2e)]]*(1+BuildingsElectricityTable[[#This Row],[RSD]]))</f>
        <v/>
      </c>
      <c r="W493" s="159" t="str">
        <f>IF(OR($N493="",BuildingsElectricityTable[[#This Row],[RSD]]=""),"",BuildingsElectricityTable[[#This Row],[Total emissions (kgCO2e)]]*(1-BuildingsElectricityTable[[#This Row],[RSD]]))</f>
        <v/>
      </c>
      <c r="X493" s="169" t="str" cm="1">
        <f t="array" ref="X493">IF(OR($E493="",$I493=""),"",(INDEX('Emission factors'!$K$3:$V$201,MATCH('Buildings - Grid Electricity'!$E493&amp;$F493,'Emission factors'!$J$3:$J$201&amp;'Emission factors'!$K$3:$K$201,0),MATCH('Buildings - Grid Electricity'!X$6,'Emission factors'!$K$2:$V$2,0)))*$K493)</f>
        <v/>
      </c>
      <c r="Y493" s="30"/>
      <c r="Z493" s="1" cm="1">
        <f t="array" ref="Z493">IF(OR(ISERROR(B493:X493)),1,0)</f>
        <v>0</v>
      </c>
      <c r="AA493" s="1">
        <f t="shared" si="44"/>
        <v>0</v>
      </c>
    </row>
    <row r="494" spans="1:27" ht="15" outlineLevel="1" thickBot="1" x14ac:dyDescent="0.4">
      <c r="A494" s="319"/>
      <c r="B494" s="216"/>
      <c r="C494" s="216"/>
      <c r="D494" s="233" t="str">
        <f>IFERROR(INDEX(BuildingInformationTable[Site type],MATCH(BuildingsElectricityTable[[#This Row],[Site name]],BuildingInformationTable[Site name],0)),"")</f>
        <v/>
      </c>
      <c r="E494" s="311" t="str">
        <f t="shared" si="43"/>
        <v/>
      </c>
      <c r="F494" s="311" t="str">
        <f t="shared" si="41"/>
        <v/>
      </c>
      <c r="G494" s="72"/>
      <c r="H494" s="98" t="str">
        <f>IF(G494="","",INDEX(Lists!$BA$4:$BC$31,MATCH(E494,Lists!$AZ$4:$AZ$31,0),MATCH(G494,Lists!$BA$3:$BC$3,0)))</f>
        <v/>
      </c>
      <c r="I494" s="70"/>
      <c r="J494" s="311" t="str">
        <f t="shared" si="45"/>
        <v/>
      </c>
      <c r="K494" s="75" t="str" cm="1">
        <f t="array" ref="K494">IF(OR($E494="",$D494="",$I494="",$J494=""),"",IF(J494=L494,I494,(INDEX('Emission factors'!$K$3:$V$201,MATCH(E494&amp;F494,'Emission factors'!$J$3:$J$201&amp;'Emission factors'!$K$3:$K$201,0),MATCH(K$6,'Emission factors'!$K$2:$V$2,0)))*I494))</f>
        <v/>
      </c>
      <c r="L494" s="312" t="str">
        <f>IF(OR($E494="",$D494="",$I494="",$J494=""),"",INDEX('Emission factors'!$K$3:$V$201,MATCH('Buildings - Grid Electricity'!$E494,'Emission factors'!$J$3:$J$201,0),MATCH($L$6,'Emission factors'!$K$2:$V$2,0)))</f>
        <v/>
      </c>
      <c r="M494" s="313" t="str" cm="1">
        <f t="array" ref="M494">IF(OR(E494="",I494="",BuildingsElectricityTable[[#This Row],[Units]]=""),"",INDEX('Emission factors'!$K$3:$V$201,MATCH('Buildings - Grid Electricity'!$E494&amp;F494,'Emission factors'!$J$3:$J$201&amp;'Emission factors'!$K$3:$K$201,0),MATCH('Buildings - Grid Electricity'!$M$6,'Emission factors'!$K$2:$V$2,0)))</f>
        <v/>
      </c>
      <c r="N494" s="156" t="str">
        <f>IF(OR(K494="",M494=""),"",SUM(BuildingsElectricityTable[[#This Row],[Direct]:[Indirect WTT]]))</f>
        <v/>
      </c>
      <c r="O494" s="71"/>
      <c r="P494" s="72"/>
      <c r="Q494" s="157" t="str" cm="1">
        <f t="array" ref="Q494">IF(OR($E494="",$I494=""),"",(INDEX('Emission factors'!$K$3:$V$201,MATCH('Buildings - Grid Electricity'!$E494&amp;$F494,'Emission factors'!$J$3:$J$201&amp;'Emission factors'!$K$3:$K$201,0),MATCH('Buildings - Grid Electricity'!Q$6,'Emission factors'!$K$2:$V$2,0)))*$K494)</f>
        <v/>
      </c>
      <c r="R494" s="157" t="str" cm="1">
        <f t="array" ref="R494">IF(OR($E494="",$I494=""),"",(INDEX('Emission factors'!$K$3:$V$201,MATCH('Buildings - Grid Electricity'!$E494&amp;$F494,'Emission factors'!$J$3:$J$201&amp;'Emission factors'!$K$3:$K$201,0),MATCH('Buildings - Grid Electricity'!R$6,'Emission factors'!$K$2:$V$2,0)))*$K494)</f>
        <v/>
      </c>
      <c r="S494" s="157" t="str" cm="1">
        <f t="array" ref="S494">IF(OR($E494="",$I494=""),"",(INDEX('Emission factors'!$K$3:$V$201,MATCH('Buildings - Grid Electricity'!$E494&amp;$F494,'Emission factors'!$J$3:$J$201&amp;'Emission factors'!$K$3:$K$201,0),MATCH('Buildings - Grid Electricity'!S$6,'Emission factors'!$K$2:$V$2,0)))*$K494)</f>
        <v/>
      </c>
      <c r="T494" s="157" t="str" cm="1">
        <f t="array" ref="T494">IF(OR($E494="",$I494=""),"",(INDEX('Emission factors'!$K$3:$V$201,MATCH('Buildings - Grid Electricity'!$E494&amp;$F494,'Emission factors'!$J$3:$J$201&amp;'Emission factors'!$K$3:$K$201,0),MATCH('Buildings - Grid Electricity'!T$6,'Emission factors'!$K$2:$V$2,0)))*$K494)</f>
        <v/>
      </c>
      <c r="U494" s="157" t="str" cm="1">
        <f t="array" ref="U494">IF(OR($E494="",$I494=""),"",(INDEX('Emission factors'!$K$3:$V$201,MATCH('Buildings - Grid Electricity'!$E494&amp;$F494,'Emission factors'!$J$3:$J$201&amp;'Emission factors'!$K$3:$K$201,0),MATCH('Buildings - Grid Electricity'!U$6,'Emission factors'!$K$2:$V$2,0)))*$K494)</f>
        <v/>
      </c>
      <c r="V494" s="158" t="str">
        <f>IF(OR($N494="",BuildingsElectricityTable[[#This Row],[RSD]]=""),"",BuildingsElectricityTable[[#This Row],[Total emissions (kgCO2e)]]*(1+BuildingsElectricityTable[[#This Row],[RSD]]))</f>
        <v/>
      </c>
      <c r="W494" s="159" t="str">
        <f>IF(OR($N494="",BuildingsElectricityTable[[#This Row],[RSD]]=""),"",BuildingsElectricityTable[[#This Row],[Total emissions (kgCO2e)]]*(1-BuildingsElectricityTable[[#This Row],[RSD]]))</f>
        <v/>
      </c>
      <c r="X494" s="169" t="str" cm="1">
        <f t="array" ref="X494">IF(OR($E494="",$I494=""),"",(INDEX('Emission factors'!$K$3:$V$201,MATCH('Buildings - Grid Electricity'!$E494&amp;$F494,'Emission factors'!$J$3:$J$201&amp;'Emission factors'!$K$3:$K$201,0),MATCH('Buildings - Grid Electricity'!X$6,'Emission factors'!$K$2:$V$2,0)))*$K494)</f>
        <v/>
      </c>
      <c r="Y494" s="30"/>
      <c r="Z494" s="1" cm="1">
        <f t="array" ref="Z494">IF(OR(ISERROR(B494:X494)),1,0)</f>
        <v>0</v>
      </c>
      <c r="AA494" s="1">
        <f t="shared" si="44"/>
        <v>0</v>
      </c>
    </row>
    <row r="495" spans="1:27" ht="15" outlineLevel="1" thickBot="1" x14ac:dyDescent="0.4">
      <c r="A495" s="319"/>
      <c r="B495" s="216"/>
      <c r="C495" s="216"/>
      <c r="D495" s="233" t="str">
        <f>IFERROR(INDEX(BuildingInformationTable[Site type],MATCH(BuildingsElectricityTable[[#This Row],[Site name]],BuildingInformationTable[Site name],0)),"")</f>
        <v/>
      </c>
      <c r="E495" s="311" t="str">
        <f t="shared" si="43"/>
        <v/>
      </c>
      <c r="F495" s="311" t="str">
        <f t="shared" si="41"/>
        <v/>
      </c>
      <c r="G495" s="72"/>
      <c r="H495" s="98" t="str">
        <f>IF(G495="","",INDEX(Lists!$BA$4:$BC$31,MATCH(E495,Lists!$AZ$4:$AZ$31,0),MATCH(G495,Lists!$BA$3:$BC$3,0)))</f>
        <v/>
      </c>
      <c r="I495" s="70"/>
      <c r="J495" s="311" t="str">
        <f t="shared" si="45"/>
        <v/>
      </c>
      <c r="K495" s="75" t="str" cm="1">
        <f t="array" ref="K495">IF(OR($E495="",$D495="",$I495="",$J495=""),"",IF(J495=L495,I495,(INDEX('Emission factors'!$K$3:$V$201,MATCH(E495&amp;F495,'Emission factors'!$J$3:$J$201&amp;'Emission factors'!$K$3:$K$201,0),MATCH(K$6,'Emission factors'!$K$2:$V$2,0)))*I495))</f>
        <v/>
      </c>
      <c r="L495" s="312" t="str">
        <f>IF(OR($E495="",$D495="",$I495="",$J495=""),"",INDEX('Emission factors'!$K$3:$V$201,MATCH('Buildings - Grid Electricity'!$E495,'Emission factors'!$J$3:$J$201,0),MATCH($L$6,'Emission factors'!$K$2:$V$2,0)))</f>
        <v/>
      </c>
      <c r="M495" s="313" t="str" cm="1">
        <f t="array" ref="M495">IF(OR(E495="",I495="",BuildingsElectricityTable[[#This Row],[Units]]=""),"",INDEX('Emission factors'!$K$3:$V$201,MATCH('Buildings - Grid Electricity'!$E495&amp;F495,'Emission factors'!$J$3:$J$201&amp;'Emission factors'!$K$3:$K$201,0),MATCH('Buildings - Grid Electricity'!$M$6,'Emission factors'!$K$2:$V$2,0)))</f>
        <v/>
      </c>
      <c r="N495" s="156" t="str">
        <f>IF(OR(K495="",M495=""),"",SUM(BuildingsElectricityTable[[#This Row],[Direct]:[Indirect WTT]]))</f>
        <v/>
      </c>
      <c r="O495" s="71"/>
      <c r="P495" s="72"/>
      <c r="Q495" s="157" t="str" cm="1">
        <f t="array" ref="Q495">IF(OR($E495="",$I495=""),"",(INDEX('Emission factors'!$K$3:$V$201,MATCH('Buildings - Grid Electricity'!$E495&amp;$F495,'Emission factors'!$J$3:$J$201&amp;'Emission factors'!$K$3:$K$201,0),MATCH('Buildings - Grid Electricity'!Q$6,'Emission factors'!$K$2:$V$2,0)))*$K495)</f>
        <v/>
      </c>
      <c r="R495" s="157" t="str" cm="1">
        <f t="array" ref="R495">IF(OR($E495="",$I495=""),"",(INDEX('Emission factors'!$K$3:$V$201,MATCH('Buildings - Grid Electricity'!$E495&amp;$F495,'Emission factors'!$J$3:$J$201&amp;'Emission factors'!$K$3:$K$201,0),MATCH('Buildings - Grid Electricity'!R$6,'Emission factors'!$K$2:$V$2,0)))*$K495)</f>
        <v/>
      </c>
      <c r="S495" s="157" t="str" cm="1">
        <f t="array" ref="S495">IF(OR($E495="",$I495=""),"",(INDEX('Emission factors'!$K$3:$V$201,MATCH('Buildings - Grid Electricity'!$E495&amp;$F495,'Emission factors'!$J$3:$J$201&amp;'Emission factors'!$K$3:$K$201,0),MATCH('Buildings - Grid Electricity'!S$6,'Emission factors'!$K$2:$V$2,0)))*$K495)</f>
        <v/>
      </c>
      <c r="T495" s="157" t="str" cm="1">
        <f t="array" ref="T495">IF(OR($E495="",$I495=""),"",(INDEX('Emission factors'!$K$3:$V$201,MATCH('Buildings - Grid Electricity'!$E495&amp;$F495,'Emission factors'!$J$3:$J$201&amp;'Emission factors'!$K$3:$K$201,0),MATCH('Buildings - Grid Electricity'!T$6,'Emission factors'!$K$2:$V$2,0)))*$K495)</f>
        <v/>
      </c>
      <c r="U495" s="157" t="str" cm="1">
        <f t="array" ref="U495">IF(OR($E495="",$I495=""),"",(INDEX('Emission factors'!$K$3:$V$201,MATCH('Buildings - Grid Electricity'!$E495&amp;$F495,'Emission factors'!$J$3:$J$201&amp;'Emission factors'!$K$3:$K$201,0),MATCH('Buildings - Grid Electricity'!U$6,'Emission factors'!$K$2:$V$2,0)))*$K495)</f>
        <v/>
      </c>
      <c r="V495" s="158" t="str">
        <f>IF(OR($N495="",BuildingsElectricityTable[[#This Row],[RSD]]=""),"",BuildingsElectricityTable[[#This Row],[Total emissions (kgCO2e)]]*(1+BuildingsElectricityTable[[#This Row],[RSD]]))</f>
        <v/>
      </c>
      <c r="W495" s="159" t="str">
        <f>IF(OR($N495="",BuildingsElectricityTable[[#This Row],[RSD]]=""),"",BuildingsElectricityTable[[#This Row],[Total emissions (kgCO2e)]]*(1-BuildingsElectricityTable[[#This Row],[RSD]]))</f>
        <v/>
      </c>
      <c r="X495" s="169" t="str" cm="1">
        <f t="array" ref="X495">IF(OR($E495="",$I495=""),"",(INDEX('Emission factors'!$K$3:$V$201,MATCH('Buildings - Grid Electricity'!$E495&amp;$F495,'Emission factors'!$J$3:$J$201&amp;'Emission factors'!$K$3:$K$201,0),MATCH('Buildings - Grid Electricity'!X$6,'Emission factors'!$K$2:$V$2,0)))*$K495)</f>
        <v/>
      </c>
      <c r="Y495" s="30"/>
      <c r="Z495" s="1" cm="1">
        <f t="array" ref="Z495">IF(OR(ISERROR(B495:X495)),1,0)</f>
        <v>0</v>
      </c>
      <c r="AA495" s="1">
        <f t="shared" si="44"/>
        <v>0</v>
      </c>
    </row>
    <row r="496" spans="1:27" ht="15" outlineLevel="1" thickBot="1" x14ac:dyDescent="0.4">
      <c r="A496" s="319"/>
      <c r="B496" s="216"/>
      <c r="C496" s="216"/>
      <c r="D496" s="233" t="str">
        <f>IFERROR(INDEX(BuildingInformationTable[Site type],MATCH(BuildingsElectricityTable[[#This Row],[Site name]],BuildingInformationTable[Site name],0)),"")</f>
        <v/>
      </c>
      <c r="E496" s="311" t="str">
        <f t="shared" si="43"/>
        <v/>
      </c>
      <c r="F496" s="311" t="str">
        <f t="shared" si="41"/>
        <v/>
      </c>
      <c r="G496" s="72"/>
      <c r="H496" s="98" t="str">
        <f>IF(G496="","",INDEX(Lists!$BA$4:$BC$31,MATCH(E496,Lists!$AZ$4:$AZ$31,0),MATCH(G496,Lists!$BA$3:$BC$3,0)))</f>
        <v/>
      </c>
      <c r="I496" s="70"/>
      <c r="J496" s="311" t="str">
        <f t="shared" si="45"/>
        <v/>
      </c>
      <c r="K496" s="75" t="str" cm="1">
        <f t="array" ref="K496">IF(OR($E496="",$D496="",$I496="",$J496=""),"",IF(J496=L496,I496,(INDEX('Emission factors'!$K$3:$V$201,MATCH(E496&amp;F496,'Emission factors'!$J$3:$J$201&amp;'Emission factors'!$K$3:$K$201,0),MATCH(K$6,'Emission factors'!$K$2:$V$2,0)))*I496))</f>
        <v/>
      </c>
      <c r="L496" s="312" t="str">
        <f>IF(OR($E496="",$D496="",$I496="",$J496=""),"",INDEX('Emission factors'!$K$3:$V$201,MATCH('Buildings - Grid Electricity'!$E496,'Emission factors'!$J$3:$J$201,0),MATCH($L$6,'Emission factors'!$K$2:$V$2,0)))</f>
        <v/>
      </c>
      <c r="M496" s="313" t="str" cm="1">
        <f t="array" ref="M496">IF(OR(E496="",I496="",BuildingsElectricityTable[[#This Row],[Units]]=""),"",INDEX('Emission factors'!$K$3:$V$201,MATCH('Buildings - Grid Electricity'!$E496&amp;F496,'Emission factors'!$J$3:$J$201&amp;'Emission factors'!$K$3:$K$201,0),MATCH('Buildings - Grid Electricity'!$M$6,'Emission factors'!$K$2:$V$2,0)))</f>
        <v/>
      </c>
      <c r="N496" s="156" t="str">
        <f>IF(OR(K496="",M496=""),"",SUM(BuildingsElectricityTable[[#This Row],[Direct]:[Indirect WTT]]))</f>
        <v/>
      </c>
      <c r="O496" s="71"/>
      <c r="P496" s="72"/>
      <c r="Q496" s="157" t="str" cm="1">
        <f t="array" ref="Q496">IF(OR($E496="",$I496=""),"",(INDEX('Emission factors'!$K$3:$V$201,MATCH('Buildings - Grid Electricity'!$E496&amp;$F496,'Emission factors'!$J$3:$J$201&amp;'Emission factors'!$K$3:$K$201,0),MATCH('Buildings - Grid Electricity'!Q$6,'Emission factors'!$K$2:$V$2,0)))*$K496)</f>
        <v/>
      </c>
      <c r="R496" s="157" t="str" cm="1">
        <f t="array" ref="R496">IF(OR($E496="",$I496=""),"",(INDEX('Emission factors'!$K$3:$V$201,MATCH('Buildings - Grid Electricity'!$E496&amp;$F496,'Emission factors'!$J$3:$J$201&amp;'Emission factors'!$K$3:$K$201,0),MATCH('Buildings - Grid Electricity'!R$6,'Emission factors'!$K$2:$V$2,0)))*$K496)</f>
        <v/>
      </c>
      <c r="S496" s="157" t="str" cm="1">
        <f t="array" ref="S496">IF(OR($E496="",$I496=""),"",(INDEX('Emission factors'!$K$3:$V$201,MATCH('Buildings - Grid Electricity'!$E496&amp;$F496,'Emission factors'!$J$3:$J$201&amp;'Emission factors'!$K$3:$K$201,0),MATCH('Buildings - Grid Electricity'!S$6,'Emission factors'!$K$2:$V$2,0)))*$K496)</f>
        <v/>
      </c>
      <c r="T496" s="157" t="str" cm="1">
        <f t="array" ref="T496">IF(OR($E496="",$I496=""),"",(INDEX('Emission factors'!$K$3:$V$201,MATCH('Buildings - Grid Electricity'!$E496&amp;$F496,'Emission factors'!$J$3:$J$201&amp;'Emission factors'!$K$3:$K$201,0),MATCH('Buildings - Grid Electricity'!T$6,'Emission factors'!$K$2:$V$2,0)))*$K496)</f>
        <v/>
      </c>
      <c r="U496" s="157" t="str" cm="1">
        <f t="array" ref="U496">IF(OR($E496="",$I496=""),"",(INDEX('Emission factors'!$K$3:$V$201,MATCH('Buildings - Grid Electricity'!$E496&amp;$F496,'Emission factors'!$J$3:$J$201&amp;'Emission factors'!$K$3:$K$201,0),MATCH('Buildings - Grid Electricity'!U$6,'Emission factors'!$K$2:$V$2,0)))*$K496)</f>
        <v/>
      </c>
      <c r="V496" s="158" t="str">
        <f>IF(OR($N496="",BuildingsElectricityTable[[#This Row],[RSD]]=""),"",BuildingsElectricityTable[[#This Row],[Total emissions (kgCO2e)]]*(1+BuildingsElectricityTable[[#This Row],[RSD]]))</f>
        <v/>
      </c>
      <c r="W496" s="159" t="str">
        <f>IF(OR($N496="",BuildingsElectricityTable[[#This Row],[RSD]]=""),"",BuildingsElectricityTable[[#This Row],[Total emissions (kgCO2e)]]*(1-BuildingsElectricityTable[[#This Row],[RSD]]))</f>
        <v/>
      </c>
      <c r="X496" s="169" t="str" cm="1">
        <f t="array" ref="X496">IF(OR($E496="",$I496=""),"",(INDEX('Emission factors'!$K$3:$V$201,MATCH('Buildings - Grid Electricity'!$E496&amp;$F496,'Emission factors'!$J$3:$J$201&amp;'Emission factors'!$K$3:$K$201,0),MATCH('Buildings - Grid Electricity'!X$6,'Emission factors'!$K$2:$V$2,0)))*$K496)</f>
        <v/>
      </c>
      <c r="Y496" s="30"/>
      <c r="Z496" s="1" cm="1">
        <f t="array" ref="Z496">IF(OR(ISERROR(B496:X496)),1,0)</f>
        <v>0</v>
      </c>
      <c r="AA496" s="1">
        <f t="shared" si="44"/>
        <v>0</v>
      </c>
    </row>
    <row r="497" spans="1:27" ht="15" outlineLevel="1" thickBot="1" x14ac:dyDescent="0.4">
      <c r="A497" s="319"/>
      <c r="B497" s="216"/>
      <c r="C497" s="216"/>
      <c r="D497" s="233" t="str">
        <f>IFERROR(INDEX(BuildingInformationTable[Site type],MATCH(BuildingsElectricityTable[[#This Row],[Site name]],BuildingInformationTable[Site name],0)),"")</f>
        <v/>
      </c>
      <c r="E497" s="311" t="str">
        <f t="shared" si="43"/>
        <v/>
      </c>
      <c r="F497" s="311" t="str">
        <f t="shared" si="41"/>
        <v/>
      </c>
      <c r="G497" s="72"/>
      <c r="H497" s="98" t="str">
        <f>IF(G497="","",INDEX(Lists!$BA$4:$BC$31,MATCH(E497,Lists!$AZ$4:$AZ$31,0),MATCH(G497,Lists!$BA$3:$BC$3,0)))</f>
        <v/>
      </c>
      <c r="I497" s="70"/>
      <c r="J497" s="311" t="str">
        <f t="shared" si="45"/>
        <v/>
      </c>
      <c r="K497" s="75" t="str" cm="1">
        <f t="array" ref="K497">IF(OR($E497="",$D497="",$I497="",$J497=""),"",IF(J497=L497,I497,(INDEX('Emission factors'!$K$3:$V$201,MATCH(E497&amp;F497,'Emission factors'!$J$3:$J$201&amp;'Emission factors'!$K$3:$K$201,0),MATCH(K$6,'Emission factors'!$K$2:$V$2,0)))*I497))</f>
        <v/>
      </c>
      <c r="L497" s="312" t="str">
        <f>IF(OR($E497="",$D497="",$I497="",$J497=""),"",INDEX('Emission factors'!$K$3:$V$201,MATCH('Buildings - Grid Electricity'!$E497,'Emission factors'!$J$3:$J$201,0),MATCH($L$6,'Emission factors'!$K$2:$V$2,0)))</f>
        <v/>
      </c>
      <c r="M497" s="313" t="str" cm="1">
        <f t="array" ref="M497">IF(OR(E497="",I497="",BuildingsElectricityTable[[#This Row],[Units]]=""),"",INDEX('Emission factors'!$K$3:$V$201,MATCH('Buildings - Grid Electricity'!$E497&amp;F497,'Emission factors'!$J$3:$J$201&amp;'Emission factors'!$K$3:$K$201,0),MATCH('Buildings - Grid Electricity'!$M$6,'Emission factors'!$K$2:$V$2,0)))</f>
        <v/>
      </c>
      <c r="N497" s="156" t="str">
        <f>IF(OR(K497="",M497=""),"",SUM(BuildingsElectricityTable[[#This Row],[Direct]:[Indirect WTT]]))</f>
        <v/>
      </c>
      <c r="O497" s="71"/>
      <c r="P497" s="72"/>
      <c r="Q497" s="157" t="str" cm="1">
        <f t="array" ref="Q497">IF(OR($E497="",$I497=""),"",(INDEX('Emission factors'!$K$3:$V$201,MATCH('Buildings - Grid Electricity'!$E497&amp;$F497,'Emission factors'!$J$3:$J$201&amp;'Emission factors'!$K$3:$K$201,0),MATCH('Buildings - Grid Electricity'!Q$6,'Emission factors'!$K$2:$V$2,0)))*$K497)</f>
        <v/>
      </c>
      <c r="R497" s="157" t="str" cm="1">
        <f t="array" ref="R497">IF(OR($E497="",$I497=""),"",(INDEX('Emission factors'!$K$3:$V$201,MATCH('Buildings - Grid Electricity'!$E497&amp;$F497,'Emission factors'!$J$3:$J$201&amp;'Emission factors'!$K$3:$K$201,0),MATCH('Buildings - Grid Electricity'!R$6,'Emission factors'!$K$2:$V$2,0)))*$K497)</f>
        <v/>
      </c>
      <c r="S497" s="157" t="str" cm="1">
        <f t="array" ref="S497">IF(OR($E497="",$I497=""),"",(INDEX('Emission factors'!$K$3:$V$201,MATCH('Buildings - Grid Electricity'!$E497&amp;$F497,'Emission factors'!$J$3:$J$201&amp;'Emission factors'!$K$3:$K$201,0),MATCH('Buildings - Grid Electricity'!S$6,'Emission factors'!$K$2:$V$2,0)))*$K497)</f>
        <v/>
      </c>
      <c r="T497" s="157" t="str" cm="1">
        <f t="array" ref="T497">IF(OR($E497="",$I497=""),"",(INDEX('Emission factors'!$K$3:$V$201,MATCH('Buildings - Grid Electricity'!$E497&amp;$F497,'Emission factors'!$J$3:$J$201&amp;'Emission factors'!$K$3:$K$201,0),MATCH('Buildings - Grid Electricity'!T$6,'Emission factors'!$K$2:$V$2,0)))*$K497)</f>
        <v/>
      </c>
      <c r="U497" s="157" t="str" cm="1">
        <f t="array" ref="U497">IF(OR($E497="",$I497=""),"",(INDEX('Emission factors'!$K$3:$V$201,MATCH('Buildings - Grid Electricity'!$E497&amp;$F497,'Emission factors'!$J$3:$J$201&amp;'Emission factors'!$K$3:$K$201,0),MATCH('Buildings - Grid Electricity'!U$6,'Emission factors'!$K$2:$V$2,0)))*$K497)</f>
        <v/>
      </c>
      <c r="V497" s="158" t="str">
        <f>IF(OR($N497="",BuildingsElectricityTable[[#This Row],[RSD]]=""),"",BuildingsElectricityTable[[#This Row],[Total emissions (kgCO2e)]]*(1+BuildingsElectricityTable[[#This Row],[RSD]]))</f>
        <v/>
      </c>
      <c r="W497" s="159" t="str">
        <f>IF(OR($N497="",BuildingsElectricityTable[[#This Row],[RSD]]=""),"",BuildingsElectricityTable[[#This Row],[Total emissions (kgCO2e)]]*(1-BuildingsElectricityTable[[#This Row],[RSD]]))</f>
        <v/>
      </c>
      <c r="X497" s="169" t="str" cm="1">
        <f t="array" ref="X497">IF(OR($E497="",$I497=""),"",(INDEX('Emission factors'!$K$3:$V$201,MATCH('Buildings - Grid Electricity'!$E497&amp;$F497,'Emission factors'!$J$3:$J$201&amp;'Emission factors'!$K$3:$K$201,0),MATCH('Buildings - Grid Electricity'!X$6,'Emission factors'!$K$2:$V$2,0)))*$K497)</f>
        <v/>
      </c>
      <c r="Y497" s="30"/>
      <c r="Z497" s="1" cm="1">
        <f t="array" ref="Z497">IF(OR(ISERROR(B497:X497)),1,0)</f>
        <v>0</v>
      </c>
      <c r="AA497" s="1">
        <f t="shared" si="44"/>
        <v>0</v>
      </c>
    </row>
    <row r="498" spans="1:27" ht="13.4" customHeight="1" outlineLevel="1" thickBot="1" x14ac:dyDescent="0.4">
      <c r="A498" s="319"/>
      <c r="B498" s="216"/>
      <c r="C498" s="216"/>
      <c r="D498" s="233" t="str">
        <f>IFERROR(INDEX(BuildingInformationTable[Site type],MATCH(BuildingsElectricityTable[[#This Row],[Site name]],BuildingInformationTable[Site name],0)),"")</f>
        <v/>
      </c>
      <c r="E498" s="311" t="str">
        <f t="shared" si="43"/>
        <v/>
      </c>
      <c r="F498" s="311" t="str">
        <f t="shared" si="41"/>
        <v/>
      </c>
      <c r="G498" s="72"/>
      <c r="H498" s="98" t="str">
        <f>IF(G498="","",INDEX(Lists!$BA$4:$BC$31,MATCH(E498,Lists!$AZ$4:$AZ$31,0),MATCH(G498,Lists!$BA$3:$BC$3,0)))</f>
        <v/>
      </c>
      <c r="I498" s="70"/>
      <c r="J498" s="311" t="str">
        <f t="shared" si="45"/>
        <v/>
      </c>
      <c r="K498" s="75" t="str" cm="1">
        <f t="array" ref="K498">IF(OR($E498="",$D498="",$I498="",$J498=""),"",IF(J498=L498,I498,(INDEX('Emission factors'!$K$3:$V$201,MATCH(E498&amp;F498,'Emission factors'!$J$3:$J$201&amp;'Emission factors'!$K$3:$K$201,0),MATCH(K$6,'Emission factors'!$K$2:$V$2,0)))*I498))</f>
        <v/>
      </c>
      <c r="L498" s="312" t="str">
        <f>IF(OR($E498="",$D498="",$I498="",$J498=""),"",INDEX('Emission factors'!$K$3:$V$201,MATCH('Buildings - Grid Electricity'!$E498,'Emission factors'!$J$3:$J$201,0),MATCH($L$6,'Emission factors'!$K$2:$V$2,0)))</f>
        <v/>
      </c>
      <c r="M498" s="313" t="str" cm="1">
        <f t="array" ref="M498">IF(OR(E498="",I498="",BuildingsElectricityTable[[#This Row],[Units]]=""),"",INDEX('Emission factors'!$K$3:$V$201,MATCH('Buildings - Grid Electricity'!$E498&amp;F498,'Emission factors'!$J$3:$J$201&amp;'Emission factors'!$K$3:$K$201,0),MATCH('Buildings - Grid Electricity'!$M$6,'Emission factors'!$K$2:$V$2,0)))</f>
        <v/>
      </c>
      <c r="N498" s="156" t="str">
        <f>IF(OR(K498="",M498=""),"",SUM(BuildingsElectricityTable[[#This Row],[Direct]:[Indirect WTT]]))</f>
        <v/>
      </c>
      <c r="O498" s="71"/>
      <c r="P498" s="72"/>
      <c r="Q498" s="157" t="str" cm="1">
        <f t="array" ref="Q498">IF(OR($E498="",$I498=""),"",(INDEX('Emission factors'!$K$3:$V$201,MATCH('Buildings - Grid Electricity'!$E498&amp;$F498,'Emission factors'!$J$3:$J$201&amp;'Emission factors'!$K$3:$K$201,0),MATCH('Buildings - Grid Electricity'!Q$6,'Emission factors'!$K$2:$V$2,0)))*$K498)</f>
        <v/>
      </c>
      <c r="R498" s="157" t="str" cm="1">
        <f t="array" ref="R498">IF(OR($E498="",$I498=""),"",(INDEX('Emission factors'!$K$3:$V$201,MATCH('Buildings - Grid Electricity'!$E498&amp;$F498,'Emission factors'!$J$3:$J$201&amp;'Emission factors'!$K$3:$K$201,0),MATCH('Buildings - Grid Electricity'!R$6,'Emission factors'!$K$2:$V$2,0)))*$K498)</f>
        <v/>
      </c>
      <c r="S498" s="157" t="str" cm="1">
        <f t="array" ref="S498">IF(OR($E498="",$I498=""),"",(INDEX('Emission factors'!$K$3:$V$201,MATCH('Buildings - Grid Electricity'!$E498&amp;$F498,'Emission factors'!$J$3:$J$201&amp;'Emission factors'!$K$3:$K$201,0),MATCH('Buildings - Grid Electricity'!S$6,'Emission factors'!$K$2:$V$2,0)))*$K498)</f>
        <v/>
      </c>
      <c r="T498" s="157" t="str" cm="1">
        <f t="array" ref="T498">IF(OR($E498="",$I498=""),"",(INDEX('Emission factors'!$K$3:$V$201,MATCH('Buildings - Grid Electricity'!$E498&amp;$F498,'Emission factors'!$J$3:$J$201&amp;'Emission factors'!$K$3:$K$201,0),MATCH('Buildings - Grid Electricity'!T$6,'Emission factors'!$K$2:$V$2,0)))*$K498)</f>
        <v/>
      </c>
      <c r="U498" s="157" t="str" cm="1">
        <f t="array" ref="U498">IF(OR($E498="",$I498=""),"",(INDEX('Emission factors'!$K$3:$V$201,MATCH('Buildings - Grid Electricity'!$E498&amp;$F498,'Emission factors'!$J$3:$J$201&amp;'Emission factors'!$K$3:$K$201,0),MATCH('Buildings - Grid Electricity'!U$6,'Emission factors'!$K$2:$V$2,0)))*$K498)</f>
        <v/>
      </c>
      <c r="V498" s="158" t="str">
        <f>IF(OR($N498="",BuildingsElectricityTable[[#This Row],[RSD]]=""),"",BuildingsElectricityTable[[#This Row],[Total emissions (kgCO2e)]]*(1+BuildingsElectricityTable[[#This Row],[RSD]]))</f>
        <v/>
      </c>
      <c r="W498" s="159" t="str">
        <f>IF(OR($N498="",BuildingsElectricityTable[[#This Row],[RSD]]=""),"",BuildingsElectricityTable[[#This Row],[Total emissions (kgCO2e)]]*(1-BuildingsElectricityTable[[#This Row],[RSD]]))</f>
        <v/>
      </c>
      <c r="X498" s="169" t="str" cm="1">
        <f t="array" ref="X498">IF(OR($E498="",$I498=""),"",(INDEX('Emission factors'!$K$3:$V$201,MATCH('Buildings - Grid Electricity'!$E498&amp;$F498,'Emission factors'!$J$3:$J$201&amp;'Emission factors'!$K$3:$K$201,0),MATCH('Buildings - Grid Electricity'!X$6,'Emission factors'!$K$2:$V$2,0)))*$K498)</f>
        <v/>
      </c>
      <c r="Y498" s="30"/>
      <c r="Z498" s="1" cm="1">
        <f t="array" ref="Z498">IF(OR(ISERROR(B498:X498)),1,0)</f>
        <v>0</v>
      </c>
      <c r="AA498" s="1">
        <f t="shared" si="44"/>
        <v>0</v>
      </c>
    </row>
    <row r="499" spans="1:27" ht="15" outlineLevel="1" thickBot="1" x14ac:dyDescent="0.4">
      <c r="B499" s="216"/>
      <c r="C499" s="216"/>
      <c r="D499" s="233" t="str">
        <f>IFERROR(INDEX(BuildingInformationTable[Site type],MATCH(BuildingsElectricityTable[[#This Row],[Site name]],BuildingInformationTable[Site name],0)),"")</f>
        <v/>
      </c>
      <c r="E499" s="311" t="str">
        <f t="shared" si="43"/>
        <v/>
      </c>
      <c r="F499" s="311" t="str">
        <f t="shared" si="41"/>
        <v/>
      </c>
      <c r="G499" s="72"/>
      <c r="H499" s="98" t="str">
        <f>IF(G499="","",INDEX(Lists!$BA$4:$BC$31,MATCH(E499,Lists!$AZ$4:$AZ$31,0),MATCH(G499,Lists!$BA$3:$BC$3,0)))</f>
        <v/>
      </c>
      <c r="I499" s="70"/>
      <c r="J499" s="311" t="str">
        <f t="shared" si="45"/>
        <v/>
      </c>
      <c r="K499" s="75" t="str" cm="1">
        <f t="array" ref="K499">IF(OR($E499="",$D499="",$I499="",$J499=""),"",IF(J499=L499,I499,(INDEX('Emission factors'!$K$3:$V$201,MATCH(E499&amp;F499,'Emission factors'!$J$3:$J$201&amp;'Emission factors'!$K$3:$K$201,0),MATCH(K$6,'Emission factors'!$K$2:$V$2,0)))*I499))</f>
        <v/>
      </c>
      <c r="L499" s="312" t="str">
        <f>IF(OR($E499="",$D499="",$I499="",$J499=""),"",INDEX('Emission factors'!$K$3:$V$201,MATCH('Buildings - Grid Electricity'!$E499,'Emission factors'!$J$3:$J$201,0),MATCH($L$6,'Emission factors'!$K$2:$V$2,0)))</f>
        <v/>
      </c>
      <c r="M499" s="313" t="str" cm="1">
        <f t="array" ref="M499">IF(OR(E499="",I499="",BuildingsElectricityTable[[#This Row],[Units]]=""),"",INDEX('Emission factors'!$K$3:$V$201,MATCH('Buildings - Grid Electricity'!$E499&amp;F499,'Emission factors'!$J$3:$J$201&amp;'Emission factors'!$K$3:$K$201,0),MATCH('Buildings - Grid Electricity'!$M$6,'Emission factors'!$K$2:$V$2,0)))</f>
        <v/>
      </c>
      <c r="N499" s="156" t="str">
        <f>IF(OR(K499="",M499=""),"",SUM(BuildingsElectricityTable[[#This Row],[Direct]:[Indirect WTT]]))</f>
        <v/>
      </c>
      <c r="O499" s="71"/>
      <c r="P499" s="72"/>
      <c r="Q499" s="157" t="str" cm="1">
        <f t="array" ref="Q499">IF(OR($E499="",$I499=""),"",(INDEX('Emission factors'!$K$3:$V$201,MATCH('Buildings - Grid Electricity'!$E499&amp;$F499,'Emission factors'!$J$3:$J$201&amp;'Emission factors'!$K$3:$K$201,0),MATCH('Buildings - Grid Electricity'!Q$6,'Emission factors'!$K$2:$V$2,0)))*$K499)</f>
        <v/>
      </c>
      <c r="R499" s="157" t="str" cm="1">
        <f t="array" ref="R499">IF(OR($E499="",$I499=""),"",(INDEX('Emission factors'!$K$3:$V$201,MATCH('Buildings - Grid Electricity'!$E499&amp;$F499,'Emission factors'!$J$3:$J$201&amp;'Emission factors'!$K$3:$K$201,0),MATCH('Buildings - Grid Electricity'!R$6,'Emission factors'!$K$2:$V$2,0)))*$K499)</f>
        <v/>
      </c>
      <c r="S499" s="157" t="str" cm="1">
        <f t="array" ref="S499">IF(OR($E499="",$I499=""),"",(INDEX('Emission factors'!$K$3:$V$201,MATCH('Buildings - Grid Electricity'!$E499&amp;$F499,'Emission factors'!$J$3:$J$201&amp;'Emission factors'!$K$3:$K$201,0),MATCH('Buildings - Grid Electricity'!S$6,'Emission factors'!$K$2:$V$2,0)))*$K499)</f>
        <v/>
      </c>
      <c r="T499" s="157" t="str" cm="1">
        <f t="array" ref="T499">IF(OR($E499="",$I499=""),"",(INDEX('Emission factors'!$K$3:$V$201,MATCH('Buildings - Grid Electricity'!$E499&amp;$F499,'Emission factors'!$J$3:$J$201&amp;'Emission factors'!$K$3:$K$201,0),MATCH('Buildings - Grid Electricity'!T$6,'Emission factors'!$K$2:$V$2,0)))*$K499)</f>
        <v/>
      </c>
      <c r="U499" s="157" t="str" cm="1">
        <f t="array" ref="U499">IF(OR($E499="",$I499=""),"",(INDEX('Emission factors'!$K$3:$V$201,MATCH('Buildings - Grid Electricity'!$E499&amp;$F499,'Emission factors'!$J$3:$J$201&amp;'Emission factors'!$K$3:$K$201,0),MATCH('Buildings - Grid Electricity'!U$6,'Emission factors'!$K$2:$V$2,0)))*$K499)</f>
        <v/>
      </c>
      <c r="V499" s="158" t="str">
        <f>IF(OR($N499="",BuildingsElectricityTable[[#This Row],[RSD]]=""),"",BuildingsElectricityTable[[#This Row],[Total emissions (kgCO2e)]]*(1+BuildingsElectricityTable[[#This Row],[RSD]]))</f>
        <v/>
      </c>
      <c r="W499" s="159" t="str">
        <f>IF(OR($N499="",BuildingsElectricityTable[[#This Row],[RSD]]=""),"",BuildingsElectricityTable[[#This Row],[Total emissions (kgCO2e)]]*(1-BuildingsElectricityTable[[#This Row],[RSD]]))</f>
        <v/>
      </c>
      <c r="X499" s="169" t="str" cm="1">
        <f t="array" ref="X499">IF(OR($E499="",$I499=""),"",(INDEX('Emission factors'!$K$3:$V$201,MATCH('Buildings - Grid Electricity'!$E499&amp;$F499,'Emission factors'!$J$3:$J$201&amp;'Emission factors'!$K$3:$K$201,0),MATCH('Buildings - Grid Electricity'!X$6,'Emission factors'!$K$2:$V$2,0)))*$K499)</f>
        <v/>
      </c>
      <c r="Y499" s="30"/>
      <c r="Z499" s="1" cm="1">
        <f t="array" ref="Z499">IF(OR(ISERROR(B499:X499)),1,0)</f>
        <v>0</v>
      </c>
      <c r="AA499" s="1">
        <f t="shared" si="44"/>
        <v>0</v>
      </c>
    </row>
    <row r="500" spans="1:27" ht="15" outlineLevel="1" thickBot="1" x14ac:dyDescent="0.4">
      <c r="B500" s="216"/>
      <c r="C500" s="216"/>
      <c r="D500" s="233" t="str">
        <f>IFERROR(INDEX(BuildingInformationTable[Site type],MATCH(BuildingsElectricityTable[[#This Row],[Site name]],BuildingInformationTable[Site name],0)),"")</f>
        <v/>
      </c>
      <c r="E500" s="311" t="str">
        <f t="shared" si="43"/>
        <v/>
      </c>
      <c r="F500" s="311" t="str">
        <f t="shared" si="41"/>
        <v/>
      </c>
      <c r="G500" s="241"/>
      <c r="H500" s="98" t="str">
        <f>IF(G500="","",INDEX(Lists!$BA$4:$BC$31,MATCH(E500,Lists!$AZ$4:$AZ$31,0),MATCH(G500,Lists!$BA$3:$BC$3,0)))</f>
        <v/>
      </c>
      <c r="I500" s="70"/>
      <c r="J500" s="311" t="str">
        <f t="shared" si="45"/>
        <v/>
      </c>
      <c r="K500" s="243" t="str" cm="1">
        <f t="array" ref="K500">IF(OR($E500="",$D500="",$I500="",$J500=""),"",IF(J500=L500,I500,(INDEX('Emission factors'!$K$3:$V$201,MATCH(E500&amp;F500,'Emission factors'!$J$3:$J$201&amp;'Emission factors'!$K$3:$K$201,0),MATCH(K$6,'Emission factors'!$K$2:$V$2,0)))*I500))</f>
        <v/>
      </c>
      <c r="L500" s="314" t="str">
        <f>IF(OR($E500="",$D500="",$I500="",$J500=""),"",INDEX('Emission factors'!$K$3:$V$201,MATCH('Buildings - Grid Electricity'!$E500,'Emission factors'!$J$3:$J$201,0),MATCH($L$6,'Emission factors'!$K$2:$V$2,0)))</f>
        <v/>
      </c>
      <c r="M500" s="315" t="str" cm="1">
        <f t="array" ref="M500">IF(OR(E500="",I500="",BuildingsElectricityTable[[#This Row],[Units]]=""),"",INDEX('Emission factors'!$K$3:$V$201,MATCH('Buildings - Grid Electricity'!$E500&amp;F500,'Emission factors'!$J$3:$J$201&amp;'Emission factors'!$K$3:$K$201,0),MATCH('Buildings - Grid Electricity'!$M$6,'Emission factors'!$K$2:$V$2,0)))</f>
        <v/>
      </c>
      <c r="N500" s="244" t="str">
        <f>IF(OR(K500="",M500=""),"",SUM(BuildingsElectricityTable[[#This Row],[Direct]:[Indirect WTT]]))</f>
        <v/>
      </c>
      <c r="O500" s="71"/>
      <c r="P500" s="245"/>
      <c r="Q500" s="157" t="str" cm="1">
        <f t="array" ref="Q500">IF(OR($E500="",$I500=""),"",(INDEX('Emission factors'!$K$3:$V$201,MATCH('Buildings - Grid Electricity'!$E500&amp;$F500,'Emission factors'!$J$3:$J$201&amp;'Emission factors'!$K$3:$K$201,0),MATCH('Buildings - Grid Electricity'!Q$6,'Emission factors'!$K$2:$V$2,0)))*$K500)</f>
        <v/>
      </c>
      <c r="R500" s="157" t="str" cm="1">
        <f t="array" ref="R500">IF(OR($E500="",$I500=""),"",(INDEX('Emission factors'!$K$3:$V$201,MATCH('Buildings - Grid Electricity'!$E500&amp;$F500,'Emission factors'!$J$3:$J$201&amp;'Emission factors'!$K$3:$K$201,0),MATCH('Buildings - Grid Electricity'!R$6,'Emission factors'!$K$2:$V$2,0)))*$K500)</f>
        <v/>
      </c>
      <c r="S500" s="157" t="str" cm="1">
        <f t="array" ref="S500">IF(OR($E500="",$I500=""),"",(INDEX('Emission factors'!$K$3:$V$201,MATCH('Buildings - Grid Electricity'!$E500&amp;$F500,'Emission factors'!$J$3:$J$201&amp;'Emission factors'!$K$3:$K$201,0),MATCH('Buildings - Grid Electricity'!S$6,'Emission factors'!$K$2:$V$2,0)))*$K500)</f>
        <v/>
      </c>
      <c r="T500" s="157" t="str" cm="1">
        <f t="array" ref="T500">IF(OR($E500="",$I500=""),"",(INDEX('Emission factors'!$K$3:$V$201,MATCH('Buildings - Grid Electricity'!$E500&amp;$F500,'Emission factors'!$J$3:$J$201&amp;'Emission factors'!$K$3:$K$201,0),MATCH('Buildings - Grid Electricity'!T$6,'Emission factors'!$K$2:$V$2,0)))*$K500)</f>
        <v/>
      </c>
      <c r="U500" s="157" t="str" cm="1">
        <f t="array" ref="U500">IF(OR($E500="",$I500=""),"",(INDEX('Emission factors'!$K$3:$V$201,MATCH('Buildings - Grid Electricity'!$E500&amp;$F500,'Emission factors'!$J$3:$J$201&amp;'Emission factors'!$K$3:$K$201,0),MATCH('Buildings - Grid Electricity'!U$6,'Emission factors'!$K$2:$V$2,0)))*$K500)</f>
        <v/>
      </c>
      <c r="V500" s="158" t="str">
        <f>IF(OR($N500="",BuildingsElectricityTable[[#This Row],[RSD]]=""),"",BuildingsElectricityTable[[#This Row],[Total emissions (kgCO2e)]]*(1+BuildingsElectricityTable[[#This Row],[RSD]]))</f>
        <v/>
      </c>
      <c r="W500" s="159" t="str">
        <f>IF(OR($N500="",BuildingsElectricityTable[[#This Row],[RSD]]=""),"",BuildingsElectricityTable[[#This Row],[Total emissions (kgCO2e)]]*(1-BuildingsElectricityTable[[#This Row],[RSD]]))</f>
        <v/>
      </c>
      <c r="X500" s="191" t="str" cm="1">
        <f t="array" ref="X500">IF(OR($E500="",$I500=""),"",(INDEX('Emission factors'!$K$3:$V$201,MATCH('Buildings - Grid Electricity'!$E500&amp;$F500,'Emission factors'!$J$3:$J$201&amp;'Emission factors'!$K$3:$K$201,0),MATCH('Buildings - Grid Electricity'!X$6,'Emission factors'!$K$2:$V$2,0)))*$K500)</f>
        <v/>
      </c>
      <c r="Y500" s="30"/>
    </row>
    <row r="501" spans="1:27" outlineLevel="1" x14ac:dyDescent="0.35">
      <c r="B501" s="316"/>
      <c r="C501" s="316"/>
      <c r="D501" s="316"/>
      <c r="E501" s="316"/>
      <c r="F501" s="316"/>
      <c r="G501" s="316"/>
      <c r="H501" s="316"/>
      <c r="I501" s="316"/>
      <c r="J501" s="316"/>
      <c r="K501" s="316"/>
      <c r="L501" s="316"/>
      <c r="M501" s="316"/>
      <c r="N501" s="316"/>
      <c r="O501" s="316"/>
      <c r="P501" s="316"/>
      <c r="Q501" s="316"/>
      <c r="R501" s="316"/>
      <c r="S501" s="316"/>
      <c r="T501" s="316"/>
      <c r="U501" s="316"/>
      <c r="V501" s="316"/>
      <c r="W501" s="316"/>
      <c r="X501" s="30"/>
    </row>
    <row r="502" spans="1:27" x14ac:dyDescent="0.35">
      <c r="A502" s="320" t="s">
        <v>194</v>
      </c>
      <c r="B502" s="28"/>
      <c r="C502" s="28"/>
      <c r="D502" s="28"/>
      <c r="E502" s="19"/>
      <c r="F502" s="19"/>
      <c r="G502" s="19"/>
      <c r="H502" s="19"/>
      <c r="I502" s="19"/>
      <c r="J502" s="19"/>
      <c r="K502" s="19"/>
      <c r="L502" s="19"/>
      <c r="M502" s="19"/>
      <c r="N502" s="19"/>
      <c r="O502" s="19"/>
      <c r="P502" s="19"/>
      <c r="Q502" s="19"/>
      <c r="R502" s="19"/>
      <c r="S502" s="19"/>
      <c r="T502" s="19"/>
      <c r="U502" s="19"/>
      <c r="V502" s="19"/>
    </row>
    <row r="503" spans="1:27" ht="19" thickBot="1" x14ac:dyDescent="0.5">
      <c r="B503" s="99" t="s">
        <v>195</v>
      </c>
      <c r="C503" s="7"/>
      <c r="D503" s="7"/>
      <c r="E503" s="7"/>
      <c r="F503" s="7"/>
      <c r="G503" s="7"/>
      <c r="H503" s="7"/>
      <c r="I503" s="317" t="str">
        <f>IF($AA$504=0,"No data entered",IF($Z$504=0,"No errors in this table","There are errors in this table see highlighted row(s)"))</f>
        <v>No data entered</v>
      </c>
      <c r="J503" s="7"/>
      <c r="K503" s="7"/>
      <c r="L503" s="7"/>
      <c r="M503" s="7"/>
      <c r="O503" s="318" t="s">
        <v>174</v>
      </c>
      <c r="T503" s="26"/>
      <c r="V503" s="7"/>
      <c r="W503" s="32"/>
      <c r="X503" s="32"/>
      <c r="Y503" s="32"/>
      <c r="Z503" s="32"/>
    </row>
    <row r="504" spans="1:27" ht="34.25" customHeight="1" outlineLevel="1" thickBot="1" x14ac:dyDescent="0.4">
      <c r="B504" s="263" t="s">
        <v>196</v>
      </c>
      <c r="C504" s="264" t="s">
        <v>197</v>
      </c>
      <c r="D504" s="263" t="s">
        <v>178</v>
      </c>
      <c r="E504" s="263" t="s">
        <v>179</v>
      </c>
      <c r="F504" s="263" t="s">
        <v>180</v>
      </c>
      <c r="G504" s="263" t="s">
        <v>181</v>
      </c>
      <c r="H504" s="263" t="s">
        <v>182</v>
      </c>
      <c r="I504" s="263" t="s">
        <v>183</v>
      </c>
      <c r="J504" s="263" t="s">
        <v>184</v>
      </c>
      <c r="K504" s="263" t="s">
        <v>185</v>
      </c>
      <c r="L504" s="263" t="s">
        <v>186</v>
      </c>
      <c r="M504" s="263" t="s">
        <v>187</v>
      </c>
      <c r="N504" s="263" t="s">
        <v>188</v>
      </c>
      <c r="O504" s="263" t="s">
        <v>189</v>
      </c>
      <c r="P504" s="8" t="s">
        <v>92</v>
      </c>
      <c r="Q504" s="8" t="s">
        <v>190</v>
      </c>
      <c r="R504" s="8" t="s">
        <v>191</v>
      </c>
      <c r="S504" s="8" t="s">
        <v>192</v>
      </c>
      <c r="T504" s="8" t="s">
        <v>193</v>
      </c>
      <c r="U504" s="325" t="s">
        <v>100</v>
      </c>
      <c r="V504" s="261" t="s">
        <v>101</v>
      </c>
      <c r="W504" s="266" t="s">
        <v>96</v>
      </c>
      <c r="X504" s="326"/>
      <c r="Z504" s="9">
        <f>SUM(Y505:Y595)</f>
        <v>0</v>
      </c>
      <c r="AA504" s="9">
        <f>SUM(AA505:AA510)</f>
        <v>0</v>
      </c>
    </row>
    <row r="505" spans="1:27" ht="15" outlineLevel="1" thickBot="1" x14ac:dyDescent="0.4">
      <c r="B505" s="6"/>
      <c r="C505" s="76"/>
      <c r="D505" s="312" t="str">
        <f t="shared" ref="D505:D510" si="46">IF(C505="", "", "Grid electricity")</f>
        <v/>
      </c>
      <c r="E505" s="312" t="str">
        <f t="shared" ref="E505:E510" si="47">IF(C505="", "", "Consumption based")</f>
        <v/>
      </c>
      <c r="F505" s="72"/>
      <c r="G505" s="77" t="str">
        <f>IF(F505="","",INDEX(Lists!$BA$4:$BC$31,MATCH(D505,Lists!$AZ$4:$AZ$31,0),MATCH(F505,Lists!$BA$3:$BC$3,0)))</f>
        <v/>
      </c>
      <c r="H505" s="70"/>
      <c r="I505" s="312" t="str">
        <f t="shared" ref="I505:I510" si="48">IF(C505="", "", "kWh")</f>
        <v/>
      </c>
      <c r="J505" s="75" t="str" cm="1">
        <f t="array" ref="J505">IF(OR($D505="",$C505="",$H505="",$I505=""),"",IF(I505=K505,H505,(INDEX('Emission factors'!$K$3:$V$201,MATCH(D505&amp;E505,'Emission factors'!$J$3:$J$201&amp;'Emission factors'!$K$3:$K$201,0),MATCH(J$504,'Emission factors'!$K$2:$V$2,0)))*H505))</f>
        <v/>
      </c>
      <c r="K505" s="312" t="str">
        <f>IF(OR($D505="",$C505="",$H505="",$I505=""),"",INDEX('Emission factors'!$K$3:$V$201,MATCH('Buildings - Grid Electricity'!$D505,'Emission factors'!$J$3:$J$201,0),MATCH($K$504,'Emission factors'!$K$2:$V$2,0)))</f>
        <v/>
      </c>
      <c r="L505" s="313" t="str" cm="1">
        <f t="array" ref="L505">IF(OR(D505="",H505="",StreetlightingTable[[#This Row],[Units]]=""),"",INDEX('Emission factors'!$K$3:$V$201,MATCH('Buildings - Grid Electricity'!$D505&amp;E505,'Emission factors'!$J$3:$J$201&amp;'Emission factors'!$K$3:$K$201,0),MATCH('Buildings - Grid Electricity'!$L$504,'Emission factors'!$K$2:$V$2,0)))</f>
        <v/>
      </c>
      <c r="M505" s="156" t="str">
        <f>IF(OR(J505="",L505=""),"",SUM(StreetlightingTable[[#This Row],[Direct]:[Indirect WTT]]))</f>
        <v/>
      </c>
      <c r="N505" s="71"/>
      <c r="O505" s="72"/>
      <c r="P505" s="157" t="str" cm="1">
        <f t="array" ref="P505">IF(OR($D505="",$H505=""),"",(INDEX('Emission factors'!$K$3:$V$201,MATCH('Buildings - Grid Electricity'!$D505&amp;$E505,'Emission factors'!$J$3:$J$201&amp;'Emission factors'!$K$3:$K$201,0),MATCH('Buildings - Grid Electricity'!Q$6,'Emission factors'!$K$2:$V$2,0)))*$J505)</f>
        <v/>
      </c>
      <c r="Q505" s="157" t="str" cm="1">
        <f t="array" ref="Q505">IF(OR($D505="",$H505=""),"",(INDEX('Emission factors'!$K$3:$V$201,MATCH('Buildings - Grid Electricity'!$D505&amp;$E505,'Emission factors'!$J$3:$J$201&amp;'Emission factors'!$K$3:$K$201,0),MATCH('Buildings - Grid Electricity'!R$6,'Emission factors'!$K$2:$V$2,0)))*$J505)</f>
        <v/>
      </c>
      <c r="R505" s="157" t="str" cm="1">
        <f t="array" ref="R505">IF(OR($D505="",$H505=""),"",(INDEX('Emission factors'!$K$3:$V$201,MATCH('Buildings - Grid Electricity'!$D505&amp;$E505,'Emission factors'!$J$3:$J$201&amp;'Emission factors'!$K$3:$K$201,0),MATCH('Buildings - Grid Electricity'!S$6,'Emission factors'!$K$2:$V$2,0)))*$J505)</f>
        <v/>
      </c>
      <c r="S505" s="157" t="str" cm="1">
        <f t="array" ref="S505">IF(OR($D505="",$H505=""),"",(INDEX('Emission factors'!$K$3:$V$201,MATCH('Buildings - Grid Electricity'!$D505&amp;$E505,'Emission factors'!$J$3:$J$201&amp;'Emission factors'!$K$3:$K$201,0),MATCH('Buildings - Grid Electricity'!T$6,'Emission factors'!$K$2:$V$2,0)))*$J505)</f>
        <v/>
      </c>
      <c r="T505" s="157" t="str" cm="1">
        <f t="array" ref="T505">IF(OR($D505="",$H505=""),"",(INDEX('Emission factors'!$K$3:$V$201,MATCH('Buildings - Grid Electricity'!$D505&amp;$E505,'Emission factors'!$J$3:$J$201&amp;'Emission factors'!$K$3:$K$201,0),MATCH('Buildings - Grid Electricity'!U$6,'Emission factors'!$K$2:$V$2,0)))*$J505)</f>
        <v/>
      </c>
      <c r="U505" s="165" t="str">
        <f>IF(OR($M505="",StreetlightingTable[[#This Row],[RSD]]=""),"",StreetlightingTable[[#This Row],[Total emissions (kgCO2e)]]*(1+StreetlightingTable[[#This Row],[RSD]]))</f>
        <v/>
      </c>
      <c r="V505" s="159" t="str">
        <f>IF(OR($M505="",StreetlightingTable[[#This Row],[RSD]]=""),"",StreetlightingTable[[#This Row],[Total emissions (kgCO2e)]]*(1-StreetlightingTable[[#This Row],[RSD]]))</f>
        <v/>
      </c>
      <c r="W505" s="167" t="str" cm="1">
        <f t="array" ref="W505">IF(OR($D505="",$H505=""),"",(INDEX('Emission factors'!$K$3:$V$201,MATCH('Buildings - Grid Electricity'!$D505&amp;$E505,'Emission factors'!$J$3:$J$201&amp;'Emission factors'!$K$3:$K$201,0),MATCH('Buildings - Grid Electricity'!W$504,'Emission factors'!$K$2:$V$2,0)))*$J505)</f>
        <v/>
      </c>
      <c r="X505" s="326"/>
      <c r="Z505" s="1" cm="1">
        <f t="array" ref="Z505">IF(OR(ISERROR(B505:W505)),1,0)</f>
        <v>0</v>
      </c>
      <c r="AA505" s="1">
        <f t="shared" ref="AA505:AA510" si="49">IF(AND(D505="",H505="",I505=""),0,1)</f>
        <v>0</v>
      </c>
    </row>
    <row r="506" spans="1:27" ht="15" outlineLevel="1" thickBot="1" x14ac:dyDescent="0.4">
      <c r="B506" s="6"/>
      <c r="C506" s="76"/>
      <c r="D506" s="312" t="str">
        <f t="shared" si="46"/>
        <v/>
      </c>
      <c r="E506" s="312" t="str">
        <f t="shared" si="47"/>
        <v/>
      </c>
      <c r="F506" s="72"/>
      <c r="G506" s="77" t="str">
        <f>IF(F506="","",INDEX(Lists!$BA$4:$BC$31,MATCH(D506,Lists!$AZ$4:$AZ$31,0),MATCH(F506,Lists!$BA$3:$BC$3,0)))</f>
        <v/>
      </c>
      <c r="H506" s="70"/>
      <c r="I506" s="312" t="str">
        <f t="shared" si="48"/>
        <v/>
      </c>
      <c r="J506" s="75" t="str" cm="1">
        <f t="array" ref="J506">IF(OR($D506="",$C506="",$H506="",$I506=""),"",IF(I506=K506,H506,(INDEX('Emission factors'!$K$3:$V$201,MATCH(D506&amp;E506,'Emission factors'!$J$3:$J$201&amp;'Emission factors'!$K$3:$K$201,0),MATCH(J$504,'Emission factors'!$K$2:$V$2,0)))*H506))</f>
        <v/>
      </c>
      <c r="K506" s="312" t="str">
        <f>IF(OR($D506="",$C506="",$H506="",$I506=""),"",INDEX('Emission factors'!$K$3:$V$201,MATCH('Buildings - Grid Electricity'!$D506,'Emission factors'!$J$3:$J$201,0),MATCH($K$504,'Emission factors'!$K$2:$V$2,0)))</f>
        <v/>
      </c>
      <c r="L506" s="313" t="str" cm="1">
        <f t="array" ref="L506">IF(OR(D506="",H506="",StreetlightingTable[[#This Row],[Units]]=""),"",INDEX('Emission factors'!$K$3:$V$201,MATCH('Buildings - Grid Electricity'!$D506&amp;E506,'Emission factors'!$J$3:$J$201&amp;'Emission factors'!$K$3:$K$201,0),MATCH('Buildings - Grid Electricity'!$L$504,'Emission factors'!$K$2:$V$2,0)))</f>
        <v/>
      </c>
      <c r="M506" s="156" t="str">
        <f>IF(OR(J506="",L506=""),"",SUM(StreetlightingTable[[#This Row],[Direct]:[Indirect WTT]]))</f>
        <v/>
      </c>
      <c r="N506" s="71"/>
      <c r="O506" s="72"/>
      <c r="P506" s="157" t="str" cm="1">
        <f t="array" ref="P506">IF(OR($D506="",$H506=""),"",(INDEX('Emission factors'!$K$3:$V$201,MATCH('Buildings - Grid Electricity'!$D506&amp;$E506,'Emission factors'!$J$3:$J$201&amp;'Emission factors'!$K$3:$K$201,0),MATCH('Buildings - Grid Electricity'!Q$6,'Emission factors'!$K$2:$V$2,0)))*$J506)</f>
        <v/>
      </c>
      <c r="Q506" s="157" t="str" cm="1">
        <f t="array" ref="Q506">IF(OR($D506="",$H506=""),"",(INDEX('Emission factors'!$K$3:$V$201,MATCH('Buildings - Grid Electricity'!$D506&amp;$E506,'Emission factors'!$J$3:$J$201&amp;'Emission factors'!$K$3:$K$201,0),MATCH('Buildings - Grid Electricity'!R$6,'Emission factors'!$K$2:$V$2,0)))*$J506)</f>
        <v/>
      </c>
      <c r="R506" s="157" t="str" cm="1">
        <f t="array" ref="R506">IF(OR($D506="",$H506=""),"",(INDEX('Emission factors'!$K$3:$V$201,MATCH('Buildings - Grid Electricity'!$D506&amp;$E506,'Emission factors'!$J$3:$J$201&amp;'Emission factors'!$K$3:$K$201,0),MATCH('Buildings - Grid Electricity'!S$6,'Emission factors'!$K$2:$V$2,0)))*$J506)</f>
        <v/>
      </c>
      <c r="S506" s="157" t="str" cm="1">
        <f t="array" ref="S506">IF(OR($D506="",$H506=""),"",(INDEX('Emission factors'!$K$3:$V$201,MATCH('Buildings - Grid Electricity'!$D506&amp;$E506,'Emission factors'!$J$3:$J$201&amp;'Emission factors'!$K$3:$K$201,0),MATCH('Buildings - Grid Electricity'!T$6,'Emission factors'!$K$2:$V$2,0)))*$J506)</f>
        <v/>
      </c>
      <c r="T506" s="157" t="str" cm="1">
        <f t="array" ref="T506">IF(OR($D506="",$H506=""),"",(INDEX('Emission factors'!$K$3:$V$201,MATCH('Buildings - Grid Electricity'!$D506&amp;$E506,'Emission factors'!$J$3:$J$201&amp;'Emission factors'!$K$3:$K$201,0),MATCH('Buildings - Grid Electricity'!U$6,'Emission factors'!$K$2:$V$2,0)))*$J506)</f>
        <v/>
      </c>
      <c r="U506" s="164" t="str">
        <f>IF(OR($M506="",StreetlightingTable[[#This Row],[RSD]]=""),"",StreetlightingTable[[#This Row],[Total emissions (kgCO2e)]]*(1+StreetlightingTable[[#This Row],[RSD]]))</f>
        <v/>
      </c>
      <c r="V506" s="159" t="str">
        <f>IF(OR($M506="",StreetlightingTable[[#This Row],[RSD]]=""),"",StreetlightingTable[[#This Row],[Total emissions (kgCO2e)]]*(1-StreetlightingTable[[#This Row],[RSD]]))</f>
        <v/>
      </c>
      <c r="W506" s="166" t="str" cm="1">
        <f t="array" ref="W506">IF(OR($D506="",$H506=""),"",(INDEX('Emission factors'!$K$3:$V$201,MATCH('Buildings - Grid Electricity'!$D506&amp;$E506,'Emission factors'!$J$3:$J$201&amp;'Emission factors'!$K$3:$K$201,0),MATCH('Buildings - Grid Electricity'!W$504,'Emission factors'!$K$2:$V$2,0)))*$J506)</f>
        <v/>
      </c>
      <c r="X506" s="326"/>
      <c r="Z506" s="1" cm="1">
        <f t="array" ref="Z506">IF(OR(ISERROR(B506:W506)),1,0)</f>
        <v>0</v>
      </c>
      <c r="AA506" s="1">
        <f t="shared" si="49"/>
        <v>0</v>
      </c>
    </row>
    <row r="507" spans="1:27" ht="15" outlineLevel="1" thickBot="1" x14ac:dyDescent="0.4">
      <c r="B507" s="6"/>
      <c r="C507" s="76"/>
      <c r="D507" s="312" t="str">
        <f t="shared" si="46"/>
        <v/>
      </c>
      <c r="E507" s="312" t="str">
        <f t="shared" si="47"/>
        <v/>
      </c>
      <c r="F507" s="72"/>
      <c r="G507" s="77" t="str">
        <f>IF(F507="","",INDEX(Lists!$BA$4:$BC$31,MATCH(D507,Lists!$AZ$4:$AZ$31,0),MATCH(F507,Lists!$BA$3:$BC$3,0)))</f>
        <v/>
      </c>
      <c r="H507" s="70"/>
      <c r="I507" s="312" t="str">
        <f t="shared" si="48"/>
        <v/>
      </c>
      <c r="J507" s="75" t="str" cm="1">
        <f t="array" ref="J507">IF(OR($D507="",$C507="",$H507="",$I507=""),"",IF(I507=K507,H507,(INDEX('Emission factors'!$K$3:$V$201,MATCH(D507&amp;E507,'Emission factors'!$J$3:$J$201&amp;'Emission factors'!$K$3:$K$201,0),MATCH(J$504,'Emission factors'!$K$2:$V$2,0)))*H507))</f>
        <v/>
      </c>
      <c r="K507" s="312" t="str">
        <f>IF(OR($D507="",$C507="",$H507="",$I507=""),"",INDEX('Emission factors'!$K$3:$V$201,MATCH('Buildings - Grid Electricity'!$D507,'Emission factors'!$J$3:$J$201,0),MATCH($K$504,'Emission factors'!$K$2:$V$2,0)))</f>
        <v/>
      </c>
      <c r="L507" s="313" t="str" cm="1">
        <f t="array" ref="L507">IF(OR(D507="",H507="",StreetlightingTable[[#This Row],[Units]]=""),"",INDEX('Emission factors'!$K$3:$V$201,MATCH('Buildings - Grid Electricity'!$D507&amp;E507,'Emission factors'!$J$3:$J$201&amp;'Emission factors'!$K$3:$K$201,0),MATCH('Buildings - Grid Electricity'!$L$504,'Emission factors'!$K$2:$V$2,0)))</f>
        <v/>
      </c>
      <c r="M507" s="156" t="str">
        <f>IF(OR(J507="",L507=""),"",SUM(StreetlightingTable[[#This Row],[Direct]:[Indirect WTT]]))</f>
        <v/>
      </c>
      <c r="N507" s="71"/>
      <c r="O507" s="72"/>
      <c r="P507" s="157" t="str" cm="1">
        <f t="array" ref="P507">IF(OR($D507="",$H507=""),"",(INDEX('Emission factors'!$K$3:$V$201,MATCH('Buildings - Grid Electricity'!$D507&amp;$E507,'Emission factors'!$J$3:$J$201&amp;'Emission factors'!$K$3:$K$201,0),MATCH('Buildings - Grid Electricity'!Q$6,'Emission factors'!$K$2:$V$2,0)))*$J507)</f>
        <v/>
      </c>
      <c r="Q507" s="160" t="str" cm="1">
        <f t="array" ref="Q507">IF(OR($D507="",$H507=""),"",(INDEX('Emission factors'!$K$3:$V$201,MATCH('Buildings - Grid Electricity'!$D507&amp;$E507,'Emission factors'!$J$3:$J$201&amp;'Emission factors'!$K$3:$K$201,0),MATCH('Buildings - Grid Electricity'!R$6,'Emission factors'!$K$2:$V$2,0)))*$J507)</f>
        <v/>
      </c>
      <c r="R507" s="157" t="str" cm="1">
        <f t="array" ref="R507">IF(OR($D507="",$H507=""),"",(INDEX('Emission factors'!$K$3:$V$201,MATCH('Buildings - Grid Electricity'!$D507&amp;$E507,'Emission factors'!$J$3:$J$201&amp;'Emission factors'!$K$3:$K$201,0),MATCH('Buildings - Grid Electricity'!S$6,'Emission factors'!$K$2:$V$2,0)))*$J507)</f>
        <v/>
      </c>
      <c r="S507" s="157" t="str" cm="1">
        <f t="array" ref="S507">IF(OR($D507="",$H507=""),"",(INDEX('Emission factors'!$K$3:$V$201,MATCH('Buildings - Grid Electricity'!$D507&amp;$E507,'Emission factors'!$J$3:$J$201&amp;'Emission factors'!$K$3:$K$201,0),MATCH('Buildings - Grid Electricity'!T$6,'Emission factors'!$K$2:$V$2,0)))*$J507)</f>
        <v/>
      </c>
      <c r="T507" s="157" t="str" cm="1">
        <f t="array" ref="T507">IF(OR($D507="",$H507=""),"",(INDEX('Emission factors'!$K$3:$V$201,MATCH('Buildings - Grid Electricity'!$D507&amp;$E507,'Emission factors'!$J$3:$J$201&amp;'Emission factors'!$K$3:$K$201,0),MATCH('Buildings - Grid Electricity'!U$6,'Emission factors'!$K$2:$V$2,0)))*$J507)</f>
        <v/>
      </c>
      <c r="U507" s="158" t="str">
        <f>IF(OR($M507="",StreetlightingTable[[#This Row],[RSD]]=""),"",StreetlightingTable[[#This Row],[Total emissions (kgCO2e)]]*(1+StreetlightingTable[[#This Row],[RSD]]))</f>
        <v/>
      </c>
      <c r="V507" s="159" t="str">
        <f>IF(OR($M507="",StreetlightingTable[[#This Row],[RSD]]=""),"",StreetlightingTable[[#This Row],[Total emissions (kgCO2e)]]*(1-StreetlightingTable[[#This Row],[RSD]]))</f>
        <v/>
      </c>
      <c r="W507" s="168" t="str" cm="1">
        <f t="array" ref="W507">IF(OR($D507="",$H507=""),"",(INDEX('Emission factors'!$K$3:$V$201,MATCH('Buildings - Grid Electricity'!$D507&amp;$E507,'Emission factors'!$J$3:$J$201&amp;'Emission factors'!$K$3:$K$201,0),MATCH('Buildings - Grid Electricity'!W$504,'Emission factors'!$K$2:$V$2,0)))*$J507)</f>
        <v/>
      </c>
      <c r="X507" s="326"/>
      <c r="Z507" s="1" cm="1">
        <f t="array" ref="Z507">IF(OR(ISERROR(B507:W507)),1,0)</f>
        <v>0</v>
      </c>
      <c r="AA507" s="1">
        <f t="shared" si="49"/>
        <v>0</v>
      </c>
    </row>
    <row r="508" spans="1:27" ht="15" outlineLevel="1" thickBot="1" x14ac:dyDescent="0.4">
      <c r="B508" s="6"/>
      <c r="C508" s="76"/>
      <c r="D508" s="312" t="str">
        <f t="shared" si="46"/>
        <v/>
      </c>
      <c r="E508" s="312" t="str">
        <f t="shared" si="47"/>
        <v/>
      </c>
      <c r="F508" s="72"/>
      <c r="G508" s="77" t="str">
        <f>IF(F508="","",INDEX(Lists!$BA$4:$BC$31,MATCH(D508,Lists!$AZ$4:$AZ$31,0),MATCH(F508,Lists!$BA$3:$BC$3,0)))</f>
        <v/>
      </c>
      <c r="H508" s="70"/>
      <c r="I508" s="312" t="str">
        <f t="shared" si="48"/>
        <v/>
      </c>
      <c r="J508" s="75" t="str" cm="1">
        <f t="array" ref="J508">IF(OR($D508="",$C508="",$H508="",$I508=""),"",IF(I508=K508,H508,(INDEX('Emission factors'!$K$3:$V$201,MATCH(D508&amp;E508,'Emission factors'!$J$3:$J$201&amp;'Emission factors'!$K$3:$K$201,0),MATCH(J$504,'Emission factors'!$K$2:$V$2,0)))*H508))</f>
        <v/>
      </c>
      <c r="K508" s="312" t="str">
        <f>IF(OR($D508="",$C508="",$H508="",$I508=""),"",INDEX('Emission factors'!$K$3:$V$201,MATCH('Buildings - Grid Electricity'!$D508,'Emission factors'!$J$3:$J$201,0),MATCH($K$504,'Emission factors'!$K$2:$V$2,0)))</f>
        <v/>
      </c>
      <c r="L508" s="313" t="str" cm="1">
        <f t="array" ref="L508">IF(OR(D508="",H508="",StreetlightingTable[[#This Row],[Units]]=""),"",INDEX('Emission factors'!$K$3:$V$201,MATCH('Buildings - Grid Electricity'!$D508&amp;E508,'Emission factors'!$J$3:$J$201&amp;'Emission factors'!$K$3:$K$201,0),MATCH('Buildings - Grid Electricity'!$L$504,'Emission factors'!$K$2:$V$2,0)))</f>
        <v/>
      </c>
      <c r="M508" s="156" t="str">
        <f>IF(OR(J508="",L508=""),"",SUM(StreetlightingTable[[#This Row],[Direct]:[Indirect WTT]]))</f>
        <v/>
      </c>
      <c r="N508" s="71"/>
      <c r="O508" s="72"/>
      <c r="P508" s="157" t="str" cm="1">
        <f t="array" ref="P508">IF(OR($D508="",$H508=""),"",(INDEX('Emission factors'!$K$3:$V$201,MATCH('Buildings - Grid Electricity'!$D508&amp;$E508,'Emission factors'!$J$3:$J$201&amp;'Emission factors'!$K$3:$K$201,0),MATCH('Buildings - Grid Electricity'!Q$6,'Emission factors'!$K$2:$V$2,0)))*$J508)</f>
        <v/>
      </c>
      <c r="Q508" s="157" t="str" cm="1">
        <f t="array" ref="Q508">IF(OR($D508="",$H508=""),"",(INDEX('Emission factors'!$K$3:$V$201,MATCH('Buildings - Grid Electricity'!$D508&amp;$E508,'Emission factors'!$J$3:$J$201&amp;'Emission factors'!$K$3:$K$201,0),MATCH('Buildings - Grid Electricity'!R$6,'Emission factors'!$K$2:$V$2,0)))*$J508)</f>
        <v/>
      </c>
      <c r="R508" s="157" t="str" cm="1">
        <f t="array" ref="R508">IF(OR($D508="",$H508=""),"",(INDEX('Emission factors'!$K$3:$V$201,MATCH('Buildings - Grid Electricity'!$D508&amp;$E508,'Emission factors'!$J$3:$J$201&amp;'Emission factors'!$K$3:$K$201,0),MATCH('Buildings - Grid Electricity'!S$6,'Emission factors'!$K$2:$V$2,0)))*$J508)</f>
        <v/>
      </c>
      <c r="S508" s="157" t="str" cm="1">
        <f t="array" ref="S508">IF(OR($D508="",$H508=""),"",(INDEX('Emission factors'!$K$3:$V$201,MATCH('Buildings - Grid Electricity'!$D508&amp;$E508,'Emission factors'!$J$3:$J$201&amp;'Emission factors'!$K$3:$K$201,0),MATCH('Buildings - Grid Electricity'!T$6,'Emission factors'!$K$2:$V$2,0)))*$J508)</f>
        <v/>
      </c>
      <c r="T508" s="157" t="str" cm="1">
        <f t="array" ref="T508">IF(OR($D508="",$H508=""),"",(INDEX('Emission factors'!$K$3:$V$201,MATCH('Buildings - Grid Electricity'!$D508&amp;$E508,'Emission factors'!$J$3:$J$201&amp;'Emission factors'!$K$3:$K$201,0),MATCH('Buildings - Grid Electricity'!U$6,'Emission factors'!$K$2:$V$2,0)))*$J508)</f>
        <v/>
      </c>
      <c r="U508" s="158" t="str">
        <f>IF(OR($M508="",StreetlightingTable[[#This Row],[RSD]]=""),"",StreetlightingTable[[#This Row],[Total emissions (kgCO2e)]]*(1+StreetlightingTable[[#This Row],[RSD]]))</f>
        <v/>
      </c>
      <c r="V508" s="159" t="str">
        <f>IF(OR($M508="",StreetlightingTable[[#This Row],[RSD]]=""),"",StreetlightingTable[[#This Row],[Total emissions (kgCO2e)]]*(1-StreetlightingTable[[#This Row],[RSD]]))</f>
        <v/>
      </c>
      <c r="W508" s="169" t="str" cm="1">
        <f t="array" ref="W508">IF(OR($D508="",$H508=""),"",(INDEX('Emission factors'!$K$3:$V$201,MATCH('Buildings - Grid Electricity'!$D508&amp;$E508,'Emission factors'!$J$3:$J$201&amp;'Emission factors'!$K$3:$K$201,0),MATCH('Buildings - Grid Electricity'!W$504,'Emission factors'!$K$2:$V$2,0)))*$J508)</f>
        <v/>
      </c>
      <c r="X508" s="326"/>
      <c r="Z508" s="1" cm="1">
        <f t="array" ref="Z508">IF(OR(ISERROR(B508:W508)),1,0)</f>
        <v>0</v>
      </c>
      <c r="AA508" s="1">
        <f t="shared" si="49"/>
        <v>0</v>
      </c>
    </row>
    <row r="509" spans="1:27" ht="15" outlineLevel="1" thickBot="1" x14ac:dyDescent="0.4">
      <c r="B509" s="6"/>
      <c r="C509" s="76"/>
      <c r="D509" s="312" t="str">
        <f t="shared" si="46"/>
        <v/>
      </c>
      <c r="E509" s="312" t="str">
        <f t="shared" si="47"/>
        <v/>
      </c>
      <c r="F509" s="72"/>
      <c r="G509" s="77" t="str">
        <f>IF(F509="","",INDEX(Lists!$BA$4:$BC$31,MATCH(D509,Lists!$AZ$4:$AZ$31,0),MATCH(F509,Lists!$BA$3:$BC$3,0)))</f>
        <v/>
      </c>
      <c r="H509" s="70"/>
      <c r="I509" s="312" t="str">
        <f t="shared" si="48"/>
        <v/>
      </c>
      <c r="J509" s="75" t="str" cm="1">
        <f t="array" ref="J509">IF(OR($D509="",$C509="",$H509="",$I509=""),"",IF(I509=K509,H509,(INDEX('Emission factors'!$K$3:$V$201,MATCH(D509&amp;E509,'Emission factors'!$J$3:$J$201&amp;'Emission factors'!$K$3:$K$201,0),MATCH(J$504,'Emission factors'!$K$2:$V$2,0)))*H509))</f>
        <v/>
      </c>
      <c r="K509" s="312" t="str">
        <f>IF(OR($D509="",$C509="",$H509="",$I509=""),"",INDEX('Emission factors'!$K$3:$V$201,MATCH('Buildings - Grid Electricity'!$D509,'Emission factors'!$J$3:$J$201,0),MATCH($K$504,'Emission factors'!$K$2:$V$2,0)))</f>
        <v/>
      </c>
      <c r="L509" s="313" t="str" cm="1">
        <f t="array" ref="L509">IF(OR(D509="",H509="",StreetlightingTable[[#This Row],[Units]]=""),"",INDEX('Emission factors'!$K$3:$V$201,MATCH('Buildings - Grid Electricity'!$D509&amp;E509,'Emission factors'!$J$3:$J$201&amp;'Emission factors'!$K$3:$K$201,0),MATCH('Buildings - Grid Electricity'!$L$504,'Emission factors'!$K$2:$V$2,0)))</f>
        <v/>
      </c>
      <c r="M509" s="156" t="str">
        <f>IF(OR(J509="",L509=""),"",SUM(StreetlightingTable[[#This Row],[Direct]:[Indirect WTT]]))</f>
        <v/>
      </c>
      <c r="N509" s="71"/>
      <c r="O509" s="72"/>
      <c r="P509" s="157" t="str" cm="1">
        <f t="array" ref="P509">IF(OR($D509="",$H509=""),"",(INDEX('Emission factors'!$K$3:$V$201,MATCH('Buildings - Grid Electricity'!$D509&amp;$E509,'Emission factors'!$J$3:$J$201&amp;'Emission factors'!$K$3:$K$201,0),MATCH('Buildings - Grid Electricity'!Q$6,'Emission factors'!$K$2:$V$2,0)))*$J509)</f>
        <v/>
      </c>
      <c r="Q509" s="157" t="str" cm="1">
        <f t="array" ref="Q509">IF(OR($D509="",$H509=""),"",(INDEX('Emission factors'!$K$3:$V$201,MATCH('Buildings - Grid Electricity'!$D509&amp;$E509,'Emission factors'!$J$3:$J$201&amp;'Emission factors'!$K$3:$K$201,0),MATCH('Buildings - Grid Electricity'!R$6,'Emission factors'!$K$2:$V$2,0)))*$J509)</f>
        <v/>
      </c>
      <c r="R509" s="157" t="str" cm="1">
        <f t="array" ref="R509">IF(OR($D509="",$H509=""),"",(INDEX('Emission factors'!$K$3:$V$201,MATCH('Buildings - Grid Electricity'!$D509&amp;$E509,'Emission factors'!$J$3:$J$201&amp;'Emission factors'!$K$3:$K$201,0),MATCH('Buildings - Grid Electricity'!S$6,'Emission factors'!$K$2:$V$2,0)))*$J509)</f>
        <v/>
      </c>
      <c r="S509" s="157" t="str" cm="1">
        <f t="array" ref="S509">IF(OR($D509="",$H509=""),"",(INDEX('Emission factors'!$K$3:$V$201,MATCH('Buildings - Grid Electricity'!$D509&amp;$E509,'Emission factors'!$J$3:$J$201&amp;'Emission factors'!$K$3:$K$201,0),MATCH('Buildings - Grid Electricity'!T$6,'Emission factors'!$K$2:$V$2,0)))*$J509)</f>
        <v/>
      </c>
      <c r="T509" s="157" t="str" cm="1">
        <f t="array" ref="T509">IF(OR($D509="",$H509=""),"",(INDEX('Emission factors'!$K$3:$V$201,MATCH('Buildings - Grid Electricity'!$D509&amp;$E509,'Emission factors'!$J$3:$J$201&amp;'Emission factors'!$K$3:$K$201,0),MATCH('Buildings - Grid Electricity'!U$6,'Emission factors'!$K$2:$V$2,0)))*$J509)</f>
        <v/>
      </c>
      <c r="U509" s="158" t="str">
        <f>IF(OR($M509="",StreetlightingTable[[#This Row],[RSD]]=""),"",StreetlightingTable[[#This Row],[Total emissions (kgCO2e)]]*(1+StreetlightingTable[[#This Row],[RSD]]))</f>
        <v/>
      </c>
      <c r="V509" s="159" t="str">
        <f>IF(OR($M509="",StreetlightingTable[[#This Row],[RSD]]=""),"",StreetlightingTable[[#This Row],[Total emissions (kgCO2e)]]*(1-StreetlightingTable[[#This Row],[RSD]]))</f>
        <v/>
      </c>
      <c r="W509" s="169" t="str" cm="1">
        <f t="array" ref="W509">IF(OR($D509="",$H509=""),"",(INDEX('Emission factors'!$K$3:$V$201,MATCH('Buildings - Grid Electricity'!$D509&amp;$E509,'Emission factors'!$J$3:$J$201&amp;'Emission factors'!$K$3:$K$201,0),MATCH('Buildings - Grid Electricity'!W$504,'Emission factors'!$K$2:$V$2,0)))*$J509)</f>
        <v/>
      </c>
      <c r="X509" s="326"/>
      <c r="Z509" s="1" cm="1">
        <f t="array" ref="Z509">IF(OR(ISERROR(B509:W509)),1,0)</f>
        <v>0</v>
      </c>
      <c r="AA509" s="1">
        <f t="shared" si="49"/>
        <v>0</v>
      </c>
    </row>
    <row r="510" spans="1:27" ht="15" outlineLevel="1" thickBot="1" x14ac:dyDescent="0.4">
      <c r="B510" s="6"/>
      <c r="C510" s="76"/>
      <c r="D510" s="312" t="str">
        <f t="shared" si="46"/>
        <v/>
      </c>
      <c r="E510" s="312" t="str">
        <f t="shared" si="47"/>
        <v/>
      </c>
      <c r="F510" s="72"/>
      <c r="G510" s="77" t="str">
        <f>IF(F510="","",INDEX(Lists!$BA$4:$BC$31,MATCH(D510,Lists!$AZ$4:$AZ$31,0),MATCH(F510,Lists!$BA$3:$BC$3,0)))</f>
        <v/>
      </c>
      <c r="H510" s="70"/>
      <c r="I510" s="312" t="str">
        <f t="shared" si="48"/>
        <v/>
      </c>
      <c r="J510" s="75" t="str" cm="1">
        <f t="array" ref="J510">IF(OR($D510="",$C510="",$H510="",$I510=""),"",IF(I510=K510,H510,(INDEX('Emission factors'!$K$3:$V$201,MATCH(D510&amp;E510,'Emission factors'!$J$3:$J$201&amp;'Emission factors'!$K$3:$K$201,0),MATCH(J$504,'Emission factors'!$K$2:$V$2,0)))*H510))</f>
        <v/>
      </c>
      <c r="K510" s="312" t="str">
        <f>IF(OR($D510="",$C510="",$H510="",$I510=""),"",INDEX('Emission factors'!$K$3:$V$201,MATCH('Buildings - Grid Electricity'!$D510,'Emission factors'!$J$3:$J$201,0),MATCH($K$504,'Emission factors'!$K$2:$V$2,0)))</f>
        <v/>
      </c>
      <c r="L510" s="313" t="str" cm="1">
        <f t="array" ref="L510">IF(OR(D510="",H510="",StreetlightingTable[[#This Row],[Units]]=""),"",INDEX('Emission factors'!$K$3:$V$201,MATCH('Buildings - Grid Electricity'!$D510&amp;E510,'Emission factors'!$J$3:$J$201&amp;'Emission factors'!$K$3:$K$201,0),MATCH('Buildings - Grid Electricity'!$L$504,'Emission factors'!$K$2:$V$2,0)))</f>
        <v/>
      </c>
      <c r="M510" s="156" t="str">
        <f>IF(OR(J510="",L510=""),"",SUM(StreetlightingTable[[#This Row],[Direct]:[Indirect WTT]]))</f>
        <v/>
      </c>
      <c r="N510" s="71"/>
      <c r="O510" s="72"/>
      <c r="P510" s="157" t="str" cm="1">
        <f t="array" ref="P510">IF(OR($D510="",$H510=""),"",(INDEX('Emission factors'!$K$3:$V$201,MATCH('Buildings - Grid Electricity'!$D510&amp;$E510,'Emission factors'!$J$3:$J$201&amp;'Emission factors'!$K$3:$K$201,0),MATCH('Buildings - Grid Electricity'!Q$6,'Emission factors'!$K$2:$V$2,0)))*$J510)</f>
        <v/>
      </c>
      <c r="Q510" s="157" t="str" cm="1">
        <f t="array" ref="Q510">IF(OR($D510="",$H510=""),"",(INDEX('Emission factors'!$K$3:$V$201,MATCH('Buildings - Grid Electricity'!$D510&amp;$E510,'Emission factors'!$J$3:$J$201&amp;'Emission factors'!$K$3:$K$201,0),MATCH('Buildings - Grid Electricity'!R$6,'Emission factors'!$K$2:$V$2,0)))*$J510)</f>
        <v/>
      </c>
      <c r="R510" s="157" t="str" cm="1">
        <f t="array" ref="R510">IF(OR($D510="",$H510=""),"",(INDEX('Emission factors'!$K$3:$V$201,MATCH('Buildings - Grid Electricity'!$D510&amp;$E510,'Emission factors'!$J$3:$J$201&amp;'Emission factors'!$K$3:$K$201,0),MATCH('Buildings - Grid Electricity'!S$6,'Emission factors'!$K$2:$V$2,0)))*$J510)</f>
        <v/>
      </c>
      <c r="S510" s="157" t="str" cm="1">
        <f t="array" ref="S510">IF(OR($D510="",$H510=""),"",(INDEX('Emission factors'!$K$3:$V$201,MATCH('Buildings - Grid Electricity'!$D510&amp;$E510,'Emission factors'!$J$3:$J$201&amp;'Emission factors'!$K$3:$K$201,0),MATCH('Buildings - Grid Electricity'!T$6,'Emission factors'!$K$2:$V$2,0)))*$J510)</f>
        <v/>
      </c>
      <c r="T510" s="157" t="str" cm="1">
        <f t="array" ref="T510">IF(OR($D510="",$H510=""),"",(INDEX('Emission factors'!$K$3:$V$201,MATCH('Buildings - Grid Electricity'!$D510&amp;$E510,'Emission factors'!$J$3:$J$201&amp;'Emission factors'!$K$3:$K$201,0),MATCH('Buildings - Grid Electricity'!U$6,'Emission factors'!$K$2:$V$2,0)))*$J510)</f>
        <v/>
      </c>
      <c r="U510" s="158" t="str">
        <f>IF(OR($M510="",StreetlightingTable[[#This Row],[RSD]]=""),"",StreetlightingTable[[#This Row],[Total emissions (kgCO2e)]]*(1+StreetlightingTable[[#This Row],[RSD]]))</f>
        <v/>
      </c>
      <c r="V510" s="159" t="str">
        <f>IF(OR($M510="",StreetlightingTable[[#This Row],[RSD]]=""),"",StreetlightingTable[[#This Row],[Total emissions (kgCO2e)]]*(1-StreetlightingTable[[#This Row],[RSD]]))</f>
        <v/>
      </c>
      <c r="W510" s="170" t="str" cm="1">
        <f t="array" ref="W510">IF(OR($D510="",$H510=""),"",(INDEX('Emission factors'!$K$3:$V$201,MATCH('Buildings - Grid Electricity'!$D510&amp;$E510,'Emission factors'!$J$3:$J$201&amp;'Emission factors'!$K$3:$K$201,0),MATCH('Buildings - Grid Electricity'!W$504,'Emission factors'!$K$2:$V$2,0)))*$J510)</f>
        <v/>
      </c>
      <c r="X510" s="326"/>
      <c r="Z510" s="1" cm="1">
        <f t="array" ref="Z510">IF(OR(ISERROR(B510:W510)),1,0)</f>
        <v>0</v>
      </c>
      <c r="AA510" s="1">
        <f t="shared" si="49"/>
        <v>0</v>
      </c>
    </row>
    <row r="511" spans="1:27" x14ac:dyDescent="0.35">
      <c r="A511" s="320" t="s">
        <v>194</v>
      </c>
      <c r="U511" s="321"/>
      <c r="V511" s="30"/>
    </row>
    <row r="512" spans="1:27" x14ac:dyDescent="0.35">
      <c r="U512" s="321"/>
      <c r="V512" s="30"/>
    </row>
    <row r="514" ht="32.75" customHeight="1" x14ac:dyDescent="0.35"/>
    <row r="521" ht="14.75" customHeight="1" x14ac:dyDescent="0.35"/>
    <row r="522" ht="15" customHeight="1" x14ac:dyDescent="0.35"/>
    <row r="523" ht="15" customHeight="1" x14ac:dyDescent="0.35"/>
    <row r="531" spans="2:22" x14ac:dyDescent="0.35">
      <c r="B531" s="19"/>
      <c r="C531" s="19"/>
      <c r="D531" s="19"/>
      <c r="E531" s="19"/>
      <c r="F531" s="19"/>
      <c r="G531" s="19"/>
      <c r="H531" s="19"/>
      <c r="I531" s="19"/>
      <c r="J531" s="19"/>
      <c r="K531" s="19"/>
      <c r="L531" s="19"/>
      <c r="M531" s="19"/>
      <c r="N531" s="19"/>
      <c r="O531" s="19"/>
      <c r="P531" s="19"/>
      <c r="Q531" s="19"/>
      <c r="R531" s="19"/>
      <c r="S531" s="19"/>
      <c r="T531" s="19"/>
      <c r="U531" s="19"/>
      <c r="V531" s="19"/>
    </row>
  </sheetData>
  <sheetProtection algorithmName="SHA-512" hashValue="gIoaIEazK5DokQHIBk9vt3yxrR9KPgksWPxvDDyg1poUrXxMRelutNU01O2yoXeZIOBNklXV1Euaw9LBPYCvXQ==" saltValue="fTr7A6N/elEqpiDrD3x6Qg==" spinCount="100000" sheet="1" formatRows="0"/>
  <mergeCells count="7">
    <mergeCell ref="Q1:R1"/>
    <mergeCell ref="Q2:R2"/>
    <mergeCell ref="B2:M2"/>
    <mergeCell ref="B3:M3"/>
    <mergeCell ref="B4:M4"/>
    <mergeCell ref="O2:P2"/>
    <mergeCell ref="O1:P1"/>
  </mergeCells>
  <phoneticPr fontId="22" type="noConversion"/>
  <conditionalFormatting sqref="B7:X500 B505:W510">
    <cfRule type="expression" dxfId="68" priority="46">
      <formula>IF($Z7=1,1,0)</formula>
    </cfRule>
  </conditionalFormatting>
  <conditionalFormatting sqref="I503">
    <cfRule type="containsText" dxfId="67" priority="4" operator="containsText" text="There are errors">
      <formula>NOT(ISERROR(SEARCH("There are errors",I503)))</formula>
    </cfRule>
    <cfRule type="containsText" dxfId="66" priority="5" operator="containsText" text="No errors in this table">
      <formula>NOT(ISERROR(SEARCH("No errors in this table",I503)))</formula>
    </cfRule>
  </conditionalFormatting>
  <conditionalFormatting sqref="J5">
    <cfRule type="containsText" dxfId="65" priority="6" operator="containsText" text="There are errors">
      <formula>NOT(ISERROR(SEARCH("There are errors",J5)))</formula>
    </cfRule>
    <cfRule type="containsText" dxfId="64" priority="7" operator="containsText" text="No errors in this table">
      <formula>NOT(ISERROR(SEARCH("No errors in this table",J5)))</formula>
    </cfRule>
  </conditionalFormatting>
  <dataValidations count="14">
    <dataValidation type="list" allowBlank="1" showInputMessage="1" showErrorMessage="1" sqref="F505:F510 G7:G500" xr:uid="{00000000-0002-0000-0200-000000000000}">
      <formula1>Methodologyall</formula1>
    </dataValidation>
    <dataValidation type="list" allowBlank="1" showInputMessage="1" showErrorMessage="1" sqref="O505:O510 P7:P500" xr:uid="{00000000-0002-0000-0200-000001000000}">
      <formula1>Ease</formula1>
    </dataValidation>
    <dataValidation type="list" allowBlank="1" showInputMessage="1" showErrorMessage="1" sqref="C505:C510" xr:uid="{00000000-0002-0000-0200-000006000000}">
      <formula1>INDIRECT(SUBSTITUTE($C$504," ",""))</formula1>
    </dataValidation>
    <dataValidation type="decimal" operator="greaterThan" allowBlank="1" showInputMessage="1" showErrorMessage="1" errorTitle="Numeric data" error="Please enter a number greater than zero" sqref="H505:H510 I7:I500" xr:uid="{00000000-0002-0000-0200-00000F000000}">
      <formula1>0</formula1>
    </dataValidation>
    <dataValidation type="list" allowBlank="1" showInputMessage="1" showErrorMessage="1" sqref="I505:I510" xr:uid="{E425075D-512E-459F-AEC2-CB89F9FDE944}">
      <formula1>INDIRECT(CONCATENATE(SUBSTITUTE($D505," ","")&amp;$I$504))</formula1>
    </dataValidation>
    <dataValidation allowBlank="1" showInputMessage="1" showErrorMessage="1" promptTitle="Info" prompt="Please add the building name here." sqref="B6" xr:uid="{4DBCC632-8214-48F4-B7AF-CA103DBBF7F1}"/>
    <dataValidation allowBlank="1" showInputMessage="1" showErrorMessage="1" promptTitle="Info" prompt="Please enter ownership struture, this determines where emissions are allocated with regards to scope. See guidance - table 6 for details" sqref="D6" xr:uid="{26DECE18-C427-42D4-AEE0-3B248988141A}"/>
    <dataValidation allowBlank="1" showInputMessage="1" showErrorMessage="1" promptTitle="Info" prompt="Please select the emissions or fuel source from the dropdown. Further details can be found in the guidance - section 7.2" sqref="E6" xr:uid="{F3C591A3-C18F-4329-B211-C76316CA1B90}"/>
    <dataValidation allowBlank="1" showInputMessage="1" showErrorMessage="1" promptTitle="Info" prompt="Please add further details about the fuel/emissions source from the dropdown. See guidance - section 7.2 for further information." sqref="F6" xr:uid="{1417E841-0EF0-444B-8126-115D67E43F93}"/>
    <dataValidation allowBlank="1" showInputMessage="1" showErrorMessage="1" promptTitle="Info" prompt="This is the uncertainty in the data and is calculated automatically. See guidance - section 4 for more details" sqref="H6" xr:uid="{AFB13E70-2D5A-4929-A5ED-921F40920640}"/>
    <dataValidation allowBlank="1" showInputMessage="1" showErrorMessage="1" promptTitle="Info" prompt="The tier reflects the relevance of the data, see guidance - table 7 for more details." sqref="G6" xr:uid="{24895648-A0BA-4941-8AEE-EA1F06CAFC6F}"/>
    <dataValidation allowBlank="1" showErrorMessage="1" promptTitle="Info" prompt="Please select the relevant unit from the dropdown for the data entered." sqref="J6" xr:uid="{5CA4A6BE-8D0A-4F25-9468-2D5AD4CC2711}"/>
    <dataValidation allowBlank="1" showInputMessage="1" showErrorMessage="1" promptTitle="Info" prompt="Please add the meter number here. Enter N/A if sites are aggregated. " sqref="C6" xr:uid="{640FDBA9-FF54-480D-898E-8612F50908D0}"/>
    <dataValidation allowBlank="1" showInputMessage="1" showErrorMessage="1" promptTitle="Info:" prompt="Please enter your consumption data here. " sqref="I6" xr:uid="{AEBCB90E-18C5-417A-B703-3FC2C4879D97}"/>
  </dataValidations>
  <pageMargins left="0.7" right="0.7" top="0.75" bottom="0.75" header="0.3" footer="0.3"/>
  <pageSetup paperSize="9" orientation="portrait" r:id="rId1"/>
  <tableParts count="2">
    <tablePart r:id="rId2"/>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3A268913-7042-4BDA-8CC9-6F76CD61C49E}">
          <x14:formula1>
            <xm:f>'Site Information'!$B$7:$B$1000</xm:f>
          </x14:formula1>
          <xm:sqref>B7:B500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3A874-7DF3-49E0-86C2-2A907F51ECE5}">
  <sheetPr>
    <tabColor rgb="FF27CCF9"/>
  </sheetPr>
  <dimension ref="A1:AG342"/>
  <sheetViews>
    <sheetView topLeftCell="K1" zoomScale="74" zoomScaleNormal="90" workbookViewId="0">
      <selection activeCell="Z1" sqref="Z1:AA1048576"/>
    </sheetView>
  </sheetViews>
  <sheetFormatPr defaultColWidth="8.54296875" defaultRowHeight="14.5" outlineLevelRow="1" x14ac:dyDescent="0.35"/>
  <cols>
    <col min="1" max="1" width="3.6328125" style="316" customWidth="1"/>
    <col min="2" max="2" width="27.6328125" style="1" customWidth="1"/>
    <col min="3" max="3" width="19.36328125" style="1" customWidth="1"/>
    <col min="4" max="4" width="20.36328125" style="1" customWidth="1"/>
    <col min="5" max="5" width="16.6328125" style="1" customWidth="1"/>
    <col min="6" max="6" width="13.36328125" style="1" customWidth="1"/>
    <col min="7" max="7" width="14.6328125" style="1" customWidth="1"/>
    <col min="8" max="8" width="11.453125" style="1" customWidth="1"/>
    <col min="9" max="9" width="22.6328125" style="1" customWidth="1"/>
    <col min="10" max="10" width="19" style="1" customWidth="1"/>
    <col min="11" max="11" width="19.453125" style="1" customWidth="1"/>
    <col min="12" max="12" width="18.6328125" style="1" customWidth="1"/>
    <col min="13" max="13" width="20.54296875" style="1" customWidth="1"/>
    <col min="14" max="14" width="22.453125" style="1" customWidth="1"/>
    <col min="15" max="15" width="12.36328125" style="1" customWidth="1"/>
    <col min="16" max="16" width="13.36328125" style="1" customWidth="1"/>
    <col min="17" max="17" width="12.36328125" style="1" customWidth="1"/>
    <col min="18" max="18" width="10.6328125" style="1" customWidth="1"/>
    <col min="19" max="19" width="11.54296875" style="1" customWidth="1"/>
    <col min="20" max="20" width="10.54296875" style="1" customWidth="1"/>
    <col min="21" max="23" width="12.6328125" style="1" bestFit="1" customWidth="1"/>
    <col min="24" max="24" width="8.54296875" style="1"/>
    <col min="25" max="25" width="9.36328125" style="1" customWidth="1"/>
    <col min="26" max="26" width="9.6328125" style="1" hidden="1" customWidth="1"/>
    <col min="27" max="27" width="8.54296875" style="1" hidden="1" customWidth="1"/>
    <col min="28" max="28" width="14.453125" style="1" bestFit="1" customWidth="1"/>
    <col min="29" max="16384" width="8.54296875" style="1"/>
  </cols>
  <sheetData>
    <row r="1" spans="1:33" ht="15" thickBot="1" x14ac:dyDescent="0.4">
      <c r="D1" s="11"/>
      <c r="N1" s="304" t="s">
        <v>155</v>
      </c>
      <c r="O1" s="554" t="s">
        <v>9</v>
      </c>
      <c r="P1" s="555"/>
      <c r="Q1" s="556" t="s">
        <v>13</v>
      </c>
      <c r="R1" s="557"/>
      <c r="S1" s="30"/>
    </row>
    <row r="2" spans="1:33" ht="19" thickBot="1" x14ac:dyDescent="0.4">
      <c r="B2" s="562" t="s">
        <v>198</v>
      </c>
      <c r="C2" s="563"/>
      <c r="D2" s="563"/>
      <c r="E2" s="563"/>
      <c r="F2" s="563"/>
      <c r="G2" s="563"/>
      <c r="H2" s="563"/>
      <c r="I2" s="563"/>
      <c r="J2" s="563"/>
      <c r="K2" s="563"/>
      <c r="L2" s="563"/>
      <c r="M2" s="564"/>
      <c r="N2" s="18"/>
      <c r="O2" s="558" t="s">
        <v>11</v>
      </c>
      <c r="P2" s="559"/>
      <c r="Q2" s="560" t="s">
        <v>15</v>
      </c>
      <c r="R2" s="561"/>
      <c r="S2" s="30"/>
    </row>
    <row r="3" spans="1:33" ht="47" customHeight="1" thickBot="1" x14ac:dyDescent="0.4">
      <c r="B3" s="565" t="s">
        <v>199</v>
      </c>
      <c r="C3" s="566"/>
      <c r="D3" s="566"/>
      <c r="E3" s="566"/>
      <c r="F3" s="566"/>
      <c r="G3" s="566"/>
      <c r="H3" s="566"/>
      <c r="I3" s="566"/>
      <c r="J3" s="566"/>
      <c r="K3" s="566"/>
      <c r="L3" s="566"/>
      <c r="M3" s="567"/>
      <c r="O3" s="19"/>
      <c r="P3" s="19"/>
      <c r="Q3" s="19"/>
      <c r="R3" s="19"/>
    </row>
    <row r="4" spans="1:33" ht="140.75" customHeight="1" x14ac:dyDescent="0.35">
      <c r="B4" s="565" t="s">
        <v>173</v>
      </c>
      <c r="C4" s="566"/>
      <c r="D4" s="566"/>
      <c r="E4" s="566"/>
      <c r="F4" s="566"/>
      <c r="G4" s="566"/>
      <c r="H4" s="566"/>
      <c r="I4" s="566"/>
      <c r="J4" s="566"/>
      <c r="K4" s="566"/>
      <c r="L4" s="566"/>
      <c r="M4" s="566"/>
      <c r="O4" s="11"/>
    </row>
    <row r="5" spans="1:33" ht="19" thickBot="1" x14ac:dyDescent="0.5">
      <c r="B5" s="20" t="s">
        <v>198</v>
      </c>
      <c r="C5" s="29"/>
      <c r="D5" s="7"/>
      <c r="E5" s="7"/>
      <c r="F5" s="7"/>
      <c r="G5" s="7"/>
      <c r="H5" s="7"/>
      <c r="J5" s="317" t="str">
        <f>IF($AA$6=0,"No data entered",IF($Z$6=0,"No errors in this table","There are errors in this table see highlighted row(s)"))</f>
        <v>No data entered</v>
      </c>
      <c r="K5" s="7"/>
      <c r="L5"/>
      <c r="M5" s="7"/>
      <c r="N5" s="7"/>
      <c r="O5" s="318" t="s">
        <v>174</v>
      </c>
      <c r="T5" s="26"/>
      <c r="V5" s="7"/>
      <c r="Z5" s="9" t="s">
        <v>175</v>
      </c>
      <c r="AA5" s="9" t="s">
        <v>161</v>
      </c>
    </row>
    <row r="6" spans="1:33" ht="35.25" customHeight="1" outlineLevel="1" thickBot="1" x14ac:dyDescent="0.4">
      <c r="A6" s="319"/>
      <c r="B6" s="263" t="s">
        <v>162</v>
      </c>
      <c r="C6" s="264" t="s">
        <v>200</v>
      </c>
      <c r="D6" s="264" t="s">
        <v>177</v>
      </c>
      <c r="E6" s="263" t="s">
        <v>178</v>
      </c>
      <c r="F6" s="263" t="s">
        <v>179</v>
      </c>
      <c r="G6" s="263" t="s">
        <v>180</v>
      </c>
      <c r="H6" s="263" t="s">
        <v>181</v>
      </c>
      <c r="I6" s="263" t="s">
        <v>182</v>
      </c>
      <c r="J6" s="263" t="s">
        <v>183</v>
      </c>
      <c r="K6" s="263" t="s">
        <v>184</v>
      </c>
      <c r="L6" s="263" t="s">
        <v>185</v>
      </c>
      <c r="M6" s="263" t="s">
        <v>186</v>
      </c>
      <c r="N6" s="263" t="s">
        <v>187</v>
      </c>
      <c r="O6" s="263" t="s">
        <v>188</v>
      </c>
      <c r="P6" s="263" t="s">
        <v>189</v>
      </c>
      <c r="Q6" s="8" t="s">
        <v>92</v>
      </c>
      <c r="R6" s="8" t="s">
        <v>190</v>
      </c>
      <c r="S6" s="8" t="s">
        <v>191</v>
      </c>
      <c r="T6" s="8" t="s">
        <v>192</v>
      </c>
      <c r="U6" s="8" t="s">
        <v>193</v>
      </c>
      <c r="V6" s="8" t="s">
        <v>100</v>
      </c>
      <c r="W6" s="261" t="s">
        <v>101</v>
      </c>
      <c r="X6" s="266" t="s">
        <v>96</v>
      </c>
      <c r="Y6" s="30"/>
      <c r="Z6" s="9">
        <f>SUM(Z7:Z300)</f>
        <v>0</v>
      </c>
      <c r="AA6" s="9">
        <f>SUM(AA7:AA300)</f>
        <v>0</v>
      </c>
      <c r="AC6"/>
      <c r="AD6"/>
      <c r="AE6"/>
      <c r="AF6"/>
      <c r="AG6"/>
    </row>
    <row r="7" spans="1:33" ht="15" outlineLevel="1" thickBot="1" x14ac:dyDescent="0.4">
      <c r="B7" s="215"/>
      <c r="C7" s="215"/>
      <c r="D7" s="233" t="str">
        <f>IFERROR(INDEX(BuildingInformationTable[Site type],MATCH(BuildingsHeatFuelsTable[[#This Row],[Site name]],BuildingInformationTable[Site name],0)),"")</f>
        <v/>
      </c>
      <c r="E7" s="72"/>
      <c r="F7" s="72"/>
      <c r="G7" s="72"/>
      <c r="H7" s="98" t="str">
        <f>IF(G7="","",INDEX(Lists!$BA$4:$BC$31,MATCH(E7,Lists!$AZ$4:$AZ$31,0),MATCH(G7,Lists!$BA$3:$BC$3,0)))</f>
        <v/>
      </c>
      <c r="I7" s="70"/>
      <c r="J7" s="72"/>
      <c r="K7" s="75" t="str" cm="1">
        <f t="array" ref="K7">IF(OR($E7="",$D7="",$I7="",$J7=""),"",IF(J7=L7,I7,(INDEX('Emission factors'!$K$3:$V$201,MATCH(E7&amp;F7,'Emission factors'!$J$3:$J$201&amp;'Emission factors'!$K$3:$K$201,0),MATCH(K$6,'Emission factors'!$K$2:$V$2,0)))*I7))</f>
        <v/>
      </c>
      <c r="L7" s="312" t="str">
        <f>IF(OR($E7="",$D7="",$I7="",$J7=""),"",INDEX('Emission factors'!$K$3:$V$201,MATCH('Buildings - Heat &amp; Fuels'!$E7,'Emission factors'!$J$3:$J$201,0),MATCH($L$6,'Emission factors'!$K$2:$V$2,0)))</f>
        <v/>
      </c>
      <c r="M7" s="313" t="str" cm="1">
        <f t="array" ref="M7">IF(OR(E7="",I7="",BuildingsHeatFuelsTable[[#This Row],[Units]]=""),"",INDEX('Emission factors'!$K$3:$V$201,MATCH('Buildings - Heat &amp; Fuels'!$E7&amp;F7,'Emission factors'!$J$3:$J$201&amp;'Emission factors'!$K$3:$K$201,0),MATCH('Buildings - Heat &amp; Fuels'!$M$6,'Emission factors'!$K$2:$V$2,0)))</f>
        <v/>
      </c>
      <c r="N7" s="156" t="str">
        <f>IF(OR(K7="",M7=""),"",SUM(BuildingsHeatFuelsTable[[#This Row],[Direct]:[Indirect WTT]]))</f>
        <v/>
      </c>
      <c r="O7" s="71"/>
      <c r="P7" s="72"/>
      <c r="Q7" s="157" t="str" cm="1">
        <f t="array" ref="Q7">IF(OR($E7="",$I7=""),"",(INDEX('Emission factors'!$K$3:$V$201,MATCH('Buildings - Heat &amp; Fuels'!$E7&amp;$F7,'Emission factors'!$J$3:$J$201&amp;'Emission factors'!$K$3:$K$201,0),MATCH('Buildings - Heat &amp; Fuels'!Q$6,'Emission factors'!$K$2:$V$2,0)))*$K7)</f>
        <v/>
      </c>
      <c r="R7" s="157" t="str" cm="1">
        <f t="array" ref="R7">IF(OR($E7="",$I7=""),"",(INDEX('Emission factors'!$K$3:$V$201,MATCH('Buildings - Heat &amp; Fuels'!$E7&amp;$F7,'Emission factors'!$J$3:$J$201&amp;'Emission factors'!$K$3:$K$201,0),MATCH('Buildings - Heat &amp; Fuels'!R$6,'Emission factors'!$K$2:$V$2,0)))*$K7)</f>
        <v/>
      </c>
      <c r="S7" s="157" t="str" cm="1">
        <f t="array" ref="S7">IF(OR($E7="",$I7=""),"",(INDEX('Emission factors'!$K$3:$V$201,MATCH('Buildings - Heat &amp; Fuels'!$E7&amp;$F7,'Emission factors'!$J$3:$J$201&amp;'Emission factors'!$K$3:$K$201,0),MATCH('Buildings - Heat &amp; Fuels'!S$6,'Emission factors'!$K$2:$V$2,0)))*$K7)</f>
        <v/>
      </c>
      <c r="T7" s="157" t="str" cm="1">
        <f t="array" ref="T7">IF(OR($E7="",$I7=""),"",(INDEX('Emission factors'!$K$3:$V$201,MATCH('Buildings - Heat &amp; Fuels'!$E7&amp;$F7,'Emission factors'!$J$3:$J$201&amp;'Emission factors'!$K$3:$K$201,0),MATCH('Buildings - Heat &amp; Fuels'!T$6,'Emission factors'!$K$2:$V$2,0)))*$K7)</f>
        <v/>
      </c>
      <c r="U7" s="157" t="str" cm="1">
        <f t="array" ref="U7">IF(OR($E7="",$I7=""),"",(INDEX('Emission factors'!$K$3:$V$201,MATCH('Buildings - Heat &amp; Fuels'!$E7&amp;$F7,'Emission factors'!$J$3:$J$201&amp;'Emission factors'!$K$3:$K$201,0),MATCH('Buildings - Heat &amp; Fuels'!U$6,'Emission factors'!$K$2:$V$2,0)))*$K7)</f>
        <v/>
      </c>
      <c r="V7" s="158" t="str">
        <f>IF(OR($N7="",BuildingsHeatFuelsTable[[#This Row],[RSD]]=""),"",BuildingsHeatFuelsTable[[#This Row],[Total emissions (kgCO2e)]]*(1+BuildingsHeatFuelsTable[[#This Row],[RSD]]))</f>
        <v/>
      </c>
      <c r="W7" s="159" t="str">
        <f>IF(OR($N7="",BuildingsHeatFuelsTable[[#This Row],[RSD]]=""),"",BuildingsHeatFuelsTable[[#This Row],[Total emissions (kgCO2e)]]*(1-BuildingsHeatFuelsTable[[#This Row],[RSD]]))</f>
        <v/>
      </c>
      <c r="X7" s="169" t="str" cm="1">
        <f t="array" ref="X7">IF(OR($E7="",$I7=""),"",(INDEX('Emission factors'!$K$3:$V$201,MATCH('Buildings - Heat &amp; Fuels'!$E7&amp;$F7,'Emission factors'!$J$3:$J$201&amp;'Emission factors'!$K$3:$K$201,0),MATCH('Buildings - Heat &amp; Fuels'!X$6,'Emission factors'!$K$2:$V$2,0)))*$K7)</f>
        <v/>
      </c>
      <c r="Y7" s="30"/>
      <c r="Z7" s="1" cm="1">
        <f t="array" ref="Z7">IF(OR(ISERROR(B7:X7)),1,0)</f>
        <v>0</v>
      </c>
      <c r="AA7" s="1">
        <f>IF(AND(B7="",E7="",I7="",J7=""),0,1)</f>
        <v>0</v>
      </c>
    </row>
    <row r="8" spans="1:33" ht="15" outlineLevel="1" thickBot="1" x14ac:dyDescent="0.4">
      <c r="A8" s="319"/>
      <c r="B8" s="215"/>
      <c r="C8" s="215"/>
      <c r="D8" s="233" t="str">
        <f>IFERROR(INDEX(BuildingInformationTable[Site type],MATCH(BuildingsHeatFuelsTable[[#This Row],[Site name]],BuildingInformationTable[Site name],0)),"")</f>
        <v/>
      </c>
      <c r="E8" s="72"/>
      <c r="F8" s="72"/>
      <c r="G8" s="72"/>
      <c r="H8" s="98" t="str">
        <f>IF(G8="","",INDEX(Lists!$BA$4:$BC$31,MATCH(E8,Lists!$AZ$4:$AZ$31,0),MATCH(G8,Lists!$BA$3:$BC$3,0)))</f>
        <v/>
      </c>
      <c r="I8" s="70"/>
      <c r="J8" s="72"/>
      <c r="K8" s="75" t="str" cm="1">
        <f t="array" ref="K8">IF(OR($E8="",$D8="",$I8="",$J8=""),"",IF(J8=L8,I8,(INDEX('Emission factors'!$K$3:$V$201,MATCH(E8&amp;F8,'Emission factors'!$J$3:$J$201&amp;'Emission factors'!$K$3:$K$201,0),MATCH(K$6,'Emission factors'!$K$2:$V$2,0)))*I8))</f>
        <v/>
      </c>
      <c r="L8" s="312" t="str">
        <f>IF(OR($E8="",$D8="",$I8="",$J8=""),"",INDEX('Emission factors'!$K$3:$V$201,MATCH('Buildings - Heat &amp; Fuels'!$E8,'Emission factors'!$J$3:$J$201,0),MATCH($L$6,'Emission factors'!$K$2:$V$2,0)))</f>
        <v/>
      </c>
      <c r="M8" s="313" t="str" cm="1">
        <f t="array" ref="M8">IF(OR(E8="",I8="",BuildingsHeatFuelsTable[[#This Row],[Units]]=""),"",INDEX('Emission factors'!$K$3:$V$201,MATCH('Buildings - Heat &amp; Fuels'!$E8&amp;F8,'Emission factors'!$J$3:$J$201&amp;'Emission factors'!$K$3:$K$201,0),MATCH('Buildings - Heat &amp; Fuels'!$M$6,'Emission factors'!$K$2:$V$2,0)))</f>
        <v/>
      </c>
      <c r="N8" s="156" t="str">
        <f>IF(OR(K8="",M8=""),"",SUM(BuildingsHeatFuelsTable[[#This Row],[Direct]:[Indirect WTT]]))</f>
        <v/>
      </c>
      <c r="O8" s="71"/>
      <c r="P8" s="72"/>
      <c r="Q8" s="157" t="str" cm="1">
        <f t="array" ref="Q8">IF(OR($E8="",$I8=""),"",(INDEX('Emission factors'!$K$3:$V$201,MATCH('Buildings - Heat &amp; Fuels'!$E8&amp;$F8,'Emission factors'!$J$3:$J$201&amp;'Emission factors'!$K$3:$K$201,0),MATCH('Buildings - Heat &amp; Fuels'!Q$6,'Emission factors'!$K$2:$V$2,0)))*$K8)</f>
        <v/>
      </c>
      <c r="R8" s="157" t="str" cm="1">
        <f t="array" ref="R8">IF(OR($E8="",$I8=""),"",(INDEX('Emission factors'!$K$3:$V$201,MATCH('Buildings - Heat &amp; Fuels'!$E8&amp;$F8,'Emission factors'!$J$3:$J$201&amp;'Emission factors'!$K$3:$K$201,0),MATCH('Buildings - Heat &amp; Fuels'!R$6,'Emission factors'!$K$2:$V$2,0)))*$K8)</f>
        <v/>
      </c>
      <c r="S8" s="157" t="str" cm="1">
        <f t="array" ref="S8">IF(OR($E8="",$I8=""),"",(INDEX('Emission factors'!$K$3:$V$201,MATCH('Buildings - Heat &amp; Fuels'!$E8&amp;$F8,'Emission factors'!$J$3:$J$201&amp;'Emission factors'!$K$3:$K$201,0),MATCH('Buildings - Heat &amp; Fuels'!S$6,'Emission factors'!$K$2:$V$2,0)))*$K8)</f>
        <v/>
      </c>
      <c r="T8" s="157" t="str" cm="1">
        <f t="array" ref="T8">IF(OR($E8="",$I8=""),"",(INDEX('Emission factors'!$K$3:$V$201,MATCH('Buildings - Heat &amp; Fuels'!$E8&amp;$F8,'Emission factors'!$J$3:$J$201&amp;'Emission factors'!$K$3:$K$201,0),MATCH('Buildings - Heat &amp; Fuels'!T$6,'Emission factors'!$K$2:$V$2,0)))*$K8)</f>
        <v/>
      </c>
      <c r="U8" s="157" t="str" cm="1">
        <f t="array" ref="U8">IF(OR($E8="",$I8=""),"",(INDEX('Emission factors'!$K$3:$V$201,MATCH('Buildings - Heat &amp; Fuels'!$E8&amp;$F8,'Emission factors'!$J$3:$J$201&amp;'Emission factors'!$K$3:$K$201,0),MATCH('Buildings - Heat &amp; Fuels'!U$6,'Emission factors'!$K$2:$V$2,0)))*$K8)</f>
        <v/>
      </c>
      <c r="V8" s="158" t="str">
        <f>IF(OR($N8="",BuildingsHeatFuelsTable[[#This Row],[RSD]]=""),"",BuildingsHeatFuelsTable[[#This Row],[Total emissions (kgCO2e)]]*(1+BuildingsHeatFuelsTable[[#This Row],[RSD]]))</f>
        <v/>
      </c>
      <c r="W8" s="159" t="str">
        <f>IF(OR($N8="",BuildingsHeatFuelsTable[[#This Row],[RSD]]=""),"",BuildingsHeatFuelsTable[[#This Row],[Total emissions (kgCO2e)]]*(1-BuildingsHeatFuelsTable[[#This Row],[RSD]]))</f>
        <v/>
      </c>
      <c r="X8" s="169" t="str" cm="1">
        <f t="array" ref="X8">IF(OR($E8="",$I8=""),"",(INDEX('Emission factors'!$K$3:$V$201,MATCH('Buildings - Heat &amp; Fuels'!$E8&amp;$F8,'Emission factors'!$J$3:$J$201&amp;'Emission factors'!$K$3:$K$201,0),MATCH('Buildings - Heat &amp; Fuels'!X$6,'Emission factors'!$K$2:$V$2,0)))*$K8)</f>
        <v/>
      </c>
      <c r="Y8" s="30"/>
      <c r="Z8" s="1" cm="1">
        <f t="array" ref="Z8">IF(OR(ISERROR(B8:X8)),1,0)</f>
        <v>0</v>
      </c>
      <c r="AA8" s="1">
        <f t="shared" ref="AA8:AA244" si="0">IF(AND(E8="",I8="",J8=""),0,1)</f>
        <v>0</v>
      </c>
    </row>
    <row r="9" spans="1:33" ht="15" outlineLevel="1" thickBot="1" x14ac:dyDescent="0.4">
      <c r="A9" s="319"/>
      <c r="B9" s="215"/>
      <c r="C9" s="215"/>
      <c r="D9" s="233" t="str">
        <f>IFERROR(INDEX(BuildingInformationTable[Site type],MATCH(BuildingsHeatFuelsTable[[#This Row],[Site name]],BuildingInformationTable[Site name],0)),"")</f>
        <v/>
      </c>
      <c r="E9" s="72"/>
      <c r="F9" s="72"/>
      <c r="G9" s="72"/>
      <c r="H9" s="98" t="str">
        <f>IF(G9="","",INDEX(Lists!$BA$4:$BC$31,MATCH(E9,Lists!$AZ$4:$AZ$31,0),MATCH(G9,Lists!$BA$3:$BC$3,0)))</f>
        <v/>
      </c>
      <c r="I9" s="70"/>
      <c r="J9" s="72"/>
      <c r="K9" s="75" t="str" cm="1">
        <f t="array" ref="K9">IF(OR($E9="",$D9="",$I9="",$J9=""),"",IF(J9=L9,I9,(INDEX('Emission factors'!$K$3:$V$201,MATCH(E9&amp;F9,'Emission factors'!$J$3:$J$201&amp;'Emission factors'!$K$3:$K$201,0),MATCH(K$6,'Emission factors'!$K$2:$V$2,0)))*I9))</f>
        <v/>
      </c>
      <c r="L9" s="312" t="str">
        <f>IF(OR($E9="",$D9="",$I9="",$J9=""),"",INDEX('Emission factors'!$K$3:$V$201,MATCH('Buildings - Heat &amp; Fuels'!$E9,'Emission factors'!$J$3:$J$201,0),MATCH($L$6,'Emission factors'!$K$2:$V$2,0)))</f>
        <v/>
      </c>
      <c r="M9" s="313" t="str" cm="1">
        <f t="array" ref="M9">IF(OR(E9="",I9="",BuildingsHeatFuelsTable[[#This Row],[Units]]=""),"",INDEX('Emission factors'!$K$3:$V$201,MATCH('Buildings - Heat &amp; Fuels'!$E9&amp;F9,'Emission factors'!$J$3:$J$201&amp;'Emission factors'!$K$3:$K$201,0),MATCH('Buildings - Heat &amp; Fuels'!$M$6,'Emission factors'!$K$2:$V$2,0)))</f>
        <v/>
      </c>
      <c r="N9" s="156" t="str">
        <f>IF(OR(K9="",M9=""),"",SUM(BuildingsHeatFuelsTable[[#This Row],[Direct]:[Indirect WTT]]))</f>
        <v/>
      </c>
      <c r="O9" s="71"/>
      <c r="P9" s="72"/>
      <c r="Q9" s="157" t="str" cm="1">
        <f t="array" ref="Q9">IF(OR($E9="",$I9=""),"",(INDEX('Emission factors'!$K$3:$V$201,MATCH('Buildings - Heat &amp; Fuels'!$E9&amp;$F9,'Emission factors'!$J$3:$J$201&amp;'Emission factors'!$K$3:$K$201,0),MATCH('Buildings - Heat &amp; Fuels'!Q$6,'Emission factors'!$K$2:$V$2,0)))*$K9)</f>
        <v/>
      </c>
      <c r="R9" s="157" t="str" cm="1">
        <f t="array" ref="R9">IF(OR($E9="",$I9=""),"",(INDEX('Emission factors'!$K$3:$V$201,MATCH('Buildings - Heat &amp; Fuels'!$E9&amp;$F9,'Emission factors'!$J$3:$J$201&amp;'Emission factors'!$K$3:$K$201,0),MATCH('Buildings - Heat &amp; Fuels'!R$6,'Emission factors'!$K$2:$V$2,0)))*$K9)</f>
        <v/>
      </c>
      <c r="S9" s="157" t="str" cm="1">
        <f t="array" ref="S9">IF(OR($E9="",$I9=""),"",(INDEX('Emission factors'!$K$3:$V$201,MATCH('Buildings - Heat &amp; Fuels'!$E9&amp;$F9,'Emission factors'!$J$3:$J$201&amp;'Emission factors'!$K$3:$K$201,0),MATCH('Buildings - Heat &amp; Fuels'!S$6,'Emission factors'!$K$2:$V$2,0)))*$K9)</f>
        <v/>
      </c>
      <c r="T9" s="157" t="str" cm="1">
        <f t="array" ref="T9">IF(OR($E9="",$I9=""),"",(INDEX('Emission factors'!$K$3:$V$201,MATCH('Buildings - Heat &amp; Fuels'!$E9&amp;$F9,'Emission factors'!$J$3:$J$201&amp;'Emission factors'!$K$3:$K$201,0),MATCH('Buildings - Heat &amp; Fuels'!T$6,'Emission factors'!$K$2:$V$2,0)))*$K9)</f>
        <v/>
      </c>
      <c r="U9" s="157" t="str" cm="1">
        <f t="array" ref="U9">IF(OR($E9="",$I9=""),"",(INDEX('Emission factors'!$K$3:$V$201,MATCH('Buildings - Heat &amp; Fuels'!$E9&amp;$F9,'Emission factors'!$J$3:$J$201&amp;'Emission factors'!$K$3:$K$201,0),MATCH('Buildings - Heat &amp; Fuels'!U$6,'Emission factors'!$K$2:$V$2,0)))*$K9)</f>
        <v/>
      </c>
      <c r="V9" s="158" t="str">
        <f>IF(OR($N9="",BuildingsHeatFuelsTable[[#This Row],[RSD]]=""),"",BuildingsHeatFuelsTable[[#This Row],[Total emissions (kgCO2e)]]*(1+BuildingsHeatFuelsTable[[#This Row],[RSD]]))</f>
        <v/>
      </c>
      <c r="W9" s="159" t="str">
        <f>IF(OR($N9="",BuildingsHeatFuelsTable[[#This Row],[RSD]]=""),"",BuildingsHeatFuelsTable[[#This Row],[Total emissions (kgCO2e)]]*(1-BuildingsHeatFuelsTable[[#This Row],[RSD]]))</f>
        <v/>
      </c>
      <c r="X9" s="169" t="str" cm="1">
        <f t="array" ref="X9">IF(OR($E9="",$I9=""),"",(INDEX('Emission factors'!$K$3:$V$201,MATCH('Buildings - Heat &amp; Fuels'!$E9&amp;$F9,'Emission factors'!$J$3:$J$201&amp;'Emission factors'!$K$3:$K$201,0),MATCH('Buildings - Heat &amp; Fuels'!X$6,'Emission factors'!$K$2:$V$2,0)))*$K9)</f>
        <v/>
      </c>
      <c r="Y9" s="30"/>
      <c r="Z9" s="1" cm="1">
        <f t="array" ref="Z9">IF(OR(ISERROR(B9:X9)),1,0)</f>
        <v>0</v>
      </c>
      <c r="AA9" s="1">
        <f t="shared" si="0"/>
        <v>0</v>
      </c>
    </row>
    <row r="10" spans="1:33" ht="15" outlineLevel="1" thickBot="1" x14ac:dyDescent="0.4">
      <c r="A10" s="319"/>
      <c r="B10" s="216"/>
      <c r="C10" s="216"/>
      <c r="D10" s="489" t="str">
        <f>IFERROR(INDEX(BuildingInformationTable[Site type],MATCH(BuildingsHeatFuelsTable[[#This Row],[Site name]],BuildingInformationTable[Site name],0)),"")</f>
        <v/>
      </c>
      <c r="E10" s="491"/>
      <c r="F10" s="491"/>
      <c r="G10" s="491"/>
      <c r="H10" s="492" t="str">
        <f>IF(G10="","",INDEX(Lists!$BA$4:$BC$31,MATCH(E10,Lists!$AZ$4:$AZ$31,0),MATCH(G10,Lists!$BA$3:$BC$3,0)))</f>
        <v/>
      </c>
      <c r="I10" s="267"/>
      <c r="J10" s="491"/>
      <c r="K10" s="493" t="str" cm="1">
        <f t="array" ref="K10">IF(OR($E10="",$D10="",$I10="",$J10=""),"",IF(J10=L10,I10,(INDEX('Emission factors'!$K$3:$V$201,MATCH(E10&amp;F10,'Emission factors'!$J$3:$J$201&amp;'Emission factors'!$K$3:$K$201,0),MATCH(K$6,'Emission factors'!$K$2:$V$2,0)))*I10))</f>
        <v/>
      </c>
      <c r="L10" s="494" t="str">
        <f>IF(OR($E10="",$D10="",$I10="",$J10=""),"",INDEX('Emission factors'!$K$3:$V$201,MATCH('Buildings - Heat &amp; Fuels'!$E10,'Emission factors'!$J$3:$J$201,0),MATCH($L$6,'Emission factors'!$K$2:$V$2,0)))</f>
        <v/>
      </c>
      <c r="M10" s="495" t="str" cm="1">
        <f t="array" ref="M10">IF(OR(E10="",I10="",BuildingsHeatFuelsTable[[#This Row],[Units]]=""),"",INDEX('Emission factors'!$K$3:$V$201,MATCH('Buildings - Heat &amp; Fuels'!$E10&amp;F10,'Emission factors'!$J$3:$J$201&amp;'Emission factors'!$K$3:$K$201,0),MATCH('Buildings - Heat &amp; Fuels'!$M$6,'Emission factors'!$K$2:$V$2,0)))</f>
        <v/>
      </c>
      <c r="N10" s="496" t="str">
        <f>IF(OR(K10="",M10=""),"",SUM(BuildingsHeatFuelsTable[[#This Row],[Direct]:[Indirect WTT]]))</f>
        <v/>
      </c>
      <c r="O10" s="268"/>
      <c r="P10" s="497"/>
      <c r="Q10" s="157" t="str" cm="1">
        <f t="array" ref="Q10">IF(OR($E10="",$I10=""),"",(INDEX('Emission factors'!$K$3:$V$201,MATCH('Buildings - Heat &amp; Fuels'!$E10&amp;$F10,'Emission factors'!$J$3:$J$201&amp;'Emission factors'!$K$3:$K$201,0),MATCH('Buildings - Heat &amp; Fuels'!Q$6,'Emission factors'!$K$2:$V$2,0)))*$K10)</f>
        <v/>
      </c>
      <c r="R10" s="157" t="str" cm="1">
        <f t="array" ref="R10">IF(OR($E10="",$I10=""),"",(INDEX('Emission factors'!$K$3:$V$201,MATCH('Buildings - Heat &amp; Fuels'!$E10&amp;$F10,'Emission factors'!$J$3:$J$201&amp;'Emission factors'!$K$3:$K$201,0),MATCH('Buildings - Heat &amp; Fuels'!R$6,'Emission factors'!$K$2:$V$2,0)))*$K10)</f>
        <v/>
      </c>
      <c r="S10" s="157" t="str" cm="1">
        <f t="array" ref="S10">IF(OR($E10="",$I10=""),"",(INDEX('Emission factors'!$K$3:$V$201,MATCH('Buildings - Heat &amp; Fuels'!$E10&amp;$F10,'Emission factors'!$J$3:$J$201&amp;'Emission factors'!$K$3:$K$201,0),MATCH('Buildings - Heat &amp; Fuels'!S$6,'Emission factors'!$K$2:$V$2,0)))*$K10)</f>
        <v/>
      </c>
      <c r="T10" s="157" t="str" cm="1">
        <f t="array" ref="T10">IF(OR($E10="",$I10=""),"",(INDEX('Emission factors'!$K$3:$V$201,MATCH('Buildings - Heat &amp; Fuels'!$E10&amp;$F10,'Emission factors'!$J$3:$J$201&amp;'Emission factors'!$K$3:$K$201,0),MATCH('Buildings - Heat &amp; Fuels'!T$6,'Emission factors'!$K$2:$V$2,0)))*$K10)</f>
        <v/>
      </c>
      <c r="U10" s="157" t="str" cm="1">
        <f t="array" ref="U10">IF(OR($E10="",$I10=""),"",(INDEX('Emission factors'!$K$3:$V$201,MATCH('Buildings - Heat &amp; Fuels'!$E10&amp;$F10,'Emission factors'!$J$3:$J$201&amp;'Emission factors'!$K$3:$K$201,0),MATCH('Buildings - Heat &amp; Fuels'!U$6,'Emission factors'!$K$2:$V$2,0)))*$K10)</f>
        <v/>
      </c>
      <c r="V10" s="158" t="str">
        <f>IF(OR($N10="",BuildingsHeatFuelsTable[[#This Row],[RSD]]=""),"",BuildingsHeatFuelsTable[[#This Row],[Total emissions (kgCO2e)]]*(1+BuildingsHeatFuelsTable[[#This Row],[RSD]]))</f>
        <v/>
      </c>
      <c r="W10" s="159" t="str">
        <f>IF(OR($N10="",BuildingsHeatFuelsTable[[#This Row],[RSD]]=""),"",BuildingsHeatFuelsTable[[#This Row],[Total emissions (kgCO2e)]]*(1-BuildingsHeatFuelsTable[[#This Row],[RSD]]))</f>
        <v/>
      </c>
      <c r="X10" s="169" t="str" cm="1">
        <f t="array" ref="X10">IF(OR($E10="",$I10=""),"",(INDEX('Emission factors'!$K$3:$V$201,MATCH('Buildings - Heat &amp; Fuels'!$E10&amp;$F10,'Emission factors'!$J$3:$J$201&amp;'Emission factors'!$K$3:$K$201,0),MATCH('Buildings - Heat &amp; Fuels'!X$6,'Emission factors'!$K$2:$V$2,0)))*$K10)</f>
        <v/>
      </c>
      <c r="Y10" s="30"/>
      <c r="Z10" s="1" cm="1">
        <f t="array" ref="Z10">IF(OR(ISERROR(B10:X10)),1,0)</f>
        <v>0</v>
      </c>
      <c r="AA10" s="1">
        <f t="shared" si="0"/>
        <v>0</v>
      </c>
    </row>
    <row r="11" spans="1:33" ht="15" outlineLevel="1" thickBot="1" x14ac:dyDescent="0.4">
      <c r="A11" s="319"/>
      <c r="B11" s="216"/>
      <c r="C11" s="216"/>
      <c r="D11" s="489" t="str">
        <f>IFERROR(INDEX(BuildingInformationTable[Site type],MATCH(BuildingsHeatFuelsTable[[#This Row],[Site name]],BuildingInformationTable[Site name],0)),"")</f>
        <v/>
      </c>
      <c r="E11" s="491"/>
      <c r="F11" s="491"/>
      <c r="G11" s="491"/>
      <c r="H11" s="492" t="str">
        <f>IF(G11="","",INDEX(Lists!$BA$4:$BC$31,MATCH(E11,Lists!$AZ$4:$AZ$31,0),MATCH(G11,Lists!$BA$3:$BC$3,0)))</f>
        <v/>
      </c>
      <c r="I11" s="267"/>
      <c r="J11" s="491"/>
      <c r="K11" s="493" t="str" cm="1">
        <f t="array" ref="K11">IF(OR($E11="",$D11="",$I11="",$J11=""),"",IF(J11=L11,I11,(INDEX('Emission factors'!$K$3:$V$201,MATCH(E11&amp;F11,'Emission factors'!$J$3:$J$201&amp;'Emission factors'!$K$3:$K$201,0),MATCH(K$6,'Emission factors'!$K$2:$V$2,0)))*I11))</f>
        <v/>
      </c>
      <c r="L11" s="494" t="str">
        <f>IF(OR($E11="",$D11="",$I11="",$J11=""),"",INDEX('Emission factors'!$K$3:$V$201,MATCH('Buildings - Heat &amp; Fuels'!$E11,'Emission factors'!$J$3:$J$201,0),MATCH($L$6,'Emission factors'!$K$2:$V$2,0)))</f>
        <v/>
      </c>
      <c r="M11" s="495" t="str" cm="1">
        <f t="array" ref="M11">IF(OR(E11="",I11="",BuildingsHeatFuelsTable[[#This Row],[Units]]=""),"",INDEX('Emission factors'!$K$3:$V$201,MATCH('Buildings - Heat &amp; Fuels'!$E11&amp;F11,'Emission factors'!$J$3:$J$201&amp;'Emission factors'!$K$3:$K$201,0),MATCH('Buildings - Heat &amp; Fuels'!$M$6,'Emission factors'!$K$2:$V$2,0)))</f>
        <v/>
      </c>
      <c r="N11" s="496" t="str">
        <f>IF(OR(K11="",M11=""),"",SUM(BuildingsHeatFuelsTable[[#This Row],[Direct]:[Indirect WTT]]))</f>
        <v/>
      </c>
      <c r="O11" s="268"/>
      <c r="P11" s="497"/>
      <c r="Q11" s="157" t="str" cm="1">
        <f t="array" ref="Q11">IF(OR($E11="",$I11=""),"",(INDEX('Emission factors'!$K$3:$V$201,MATCH('Buildings - Heat &amp; Fuels'!$E11&amp;$F11,'Emission factors'!$J$3:$J$201&amp;'Emission factors'!$K$3:$K$201,0),MATCH('Buildings - Heat &amp; Fuels'!Q$6,'Emission factors'!$K$2:$V$2,0)))*$K11)</f>
        <v/>
      </c>
      <c r="R11" s="157" t="str" cm="1">
        <f t="array" ref="R11">IF(OR($E11="",$I11=""),"",(INDEX('Emission factors'!$K$3:$V$201,MATCH('Buildings - Heat &amp; Fuels'!$E11&amp;$F11,'Emission factors'!$J$3:$J$201&amp;'Emission factors'!$K$3:$K$201,0),MATCH('Buildings - Heat &amp; Fuels'!R$6,'Emission factors'!$K$2:$V$2,0)))*$K11)</f>
        <v/>
      </c>
      <c r="S11" s="157" t="str" cm="1">
        <f t="array" ref="S11">IF(OR($E11="",$I11=""),"",(INDEX('Emission factors'!$K$3:$V$201,MATCH('Buildings - Heat &amp; Fuels'!$E11&amp;$F11,'Emission factors'!$J$3:$J$201&amp;'Emission factors'!$K$3:$K$201,0),MATCH('Buildings - Heat &amp; Fuels'!S$6,'Emission factors'!$K$2:$V$2,0)))*$K11)</f>
        <v/>
      </c>
      <c r="T11" s="157" t="str" cm="1">
        <f t="array" ref="T11">IF(OR($E11="",$I11=""),"",(INDEX('Emission factors'!$K$3:$V$201,MATCH('Buildings - Heat &amp; Fuels'!$E11&amp;$F11,'Emission factors'!$J$3:$J$201&amp;'Emission factors'!$K$3:$K$201,0),MATCH('Buildings - Heat &amp; Fuels'!T$6,'Emission factors'!$K$2:$V$2,0)))*$K11)</f>
        <v/>
      </c>
      <c r="U11" s="157" t="str" cm="1">
        <f t="array" ref="U11">IF(OR($E11="",$I11=""),"",(INDEX('Emission factors'!$K$3:$V$201,MATCH('Buildings - Heat &amp; Fuels'!$E11&amp;$F11,'Emission factors'!$J$3:$J$201&amp;'Emission factors'!$K$3:$K$201,0),MATCH('Buildings - Heat &amp; Fuels'!U$6,'Emission factors'!$K$2:$V$2,0)))*$K11)</f>
        <v/>
      </c>
      <c r="V11" s="158" t="str">
        <f>IF(OR($N11="",BuildingsHeatFuelsTable[[#This Row],[RSD]]=""),"",BuildingsHeatFuelsTable[[#This Row],[Total emissions (kgCO2e)]]*(1+BuildingsHeatFuelsTable[[#This Row],[RSD]]))</f>
        <v/>
      </c>
      <c r="W11" s="159" t="str">
        <f>IF(OR($N11="",BuildingsHeatFuelsTable[[#This Row],[RSD]]=""),"",BuildingsHeatFuelsTable[[#This Row],[Total emissions (kgCO2e)]]*(1-BuildingsHeatFuelsTable[[#This Row],[RSD]]))</f>
        <v/>
      </c>
      <c r="X11" s="169" t="str" cm="1">
        <f t="array" ref="X11">IF(OR($E11="",$I11=""),"",(INDEX('Emission factors'!$K$3:$V$201,MATCH('Buildings - Heat &amp; Fuels'!$E11&amp;$F11,'Emission factors'!$J$3:$J$201&amp;'Emission factors'!$K$3:$K$201,0),MATCH('Buildings - Heat &amp; Fuels'!X$6,'Emission factors'!$K$2:$V$2,0)))*$K11)</f>
        <v/>
      </c>
      <c r="Y11" s="30"/>
      <c r="Z11" s="1" cm="1">
        <f t="array" ref="Z11">IF(OR(ISERROR(B11:X11)),1,0)</f>
        <v>0</v>
      </c>
      <c r="AA11" s="1">
        <f t="shared" si="0"/>
        <v>0</v>
      </c>
    </row>
    <row r="12" spans="1:33" ht="15" outlineLevel="1" thickBot="1" x14ac:dyDescent="0.4">
      <c r="A12" s="319"/>
      <c r="B12" s="216"/>
      <c r="C12" s="216"/>
      <c r="D12" s="489" t="str">
        <f>IFERROR(INDEX(BuildingInformationTable[Site type],MATCH(BuildingsHeatFuelsTable[[#This Row],[Site name]],BuildingInformationTable[Site name],0)),"")</f>
        <v/>
      </c>
      <c r="E12" s="491"/>
      <c r="F12" s="491"/>
      <c r="G12" s="491"/>
      <c r="H12" s="492" t="str">
        <f>IF(G12="","",INDEX(Lists!$BA$4:$BC$31,MATCH(E12,Lists!$AZ$4:$AZ$31,0),MATCH(G12,Lists!$BA$3:$BC$3,0)))</f>
        <v/>
      </c>
      <c r="I12" s="267"/>
      <c r="J12" s="491"/>
      <c r="K12" s="493" t="str" cm="1">
        <f t="array" ref="K12">IF(OR($E12="",$D12="",$I12="",$J12=""),"",IF(J12=L12,I12,(INDEX('Emission factors'!$K$3:$V$201,MATCH(E12&amp;F12,'Emission factors'!$J$3:$J$201&amp;'Emission factors'!$K$3:$K$201,0),MATCH(K$6,'Emission factors'!$K$2:$V$2,0)))*I12))</f>
        <v/>
      </c>
      <c r="L12" s="494" t="str">
        <f>IF(OR($E12="",$D12="",$I12="",$J12=""),"",INDEX('Emission factors'!$K$3:$V$201,MATCH('Buildings - Heat &amp; Fuels'!$E12,'Emission factors'!$J$3:$J$201,0),MATCH($L$6,'Emission factors'!$K$2:$V$2,0)))</f>
        <v/>
      </c>
      <c r="M12" s="495" t="str" cm="1">
        <f t="array" ref="M12">IF(OR(E12="",I12="",BuildingsHeatFuelsTable[[#This Row],[Units]]=""),"",INDEX('Emission factors'!$K$3:$V$201,MATCH('Buildings - Heat &amp; Fuels'!$E12&amp;F12,'Emission factors'!$J$3:$J$201&amp;'Emission factors'!$K$3:$K$201,0),MATCH('Buildings - Heat &amp; Fuels'!$M$6,'Emission factors'!$K$2:$V$2,0)))</f>
        <v/>
      </c>
      <c r="N12" s="496" t="str">
        <f>IF(OR(K12="",M12=""),"",SUM(BuildingsHeatFuelsTable[[#This Row],[Direct]:[Indirect WTT]]))</f>
        <v/>
      </c>
      <c r="O12" s="268"/>
      <c r="P12" s="497"/>
      <c r="Q12" s="157" t="str" cm="1">
        <f t="array" ref="Q12">IF(OR($E12="",$I12=""),"",(INDEX('Emission factors'!$K$3:$V$201,MATCH('Buildings - Heat &amp; Fuels'!$E12&amp;$F12,'Emission factors'!$J$3:$J$201&amp;'Emission factors'!$K$3:$K$201,0),MATCH('Buildings - Heat &amp; Fuels'!Q$6,'Emission factors'!$K$2:$V$2,0)))*$K12)</f>
        <v/>
      </c>
      <c r="R12" s="157" t="str" cm="1">
        <f t="array" ref="R12">IF(OR($E12="",$I12=""),"",(INDEX('Emission factors'!$K$3:$V$201,MATCH('Buildings - Heat &amp; Fuels'!$E12&amp;$F12,'Emission factors'!$J$3:$J$201&amp;'Emission factors'!$K$3:$K$201,0),MATCH('Buildings - Heat &amp; Fuels'!R$6,'Emission factors'!$K$2:$V$2,0)))*$K12)</f>
        <v/>
      </c>
      <c r="S12" s="157" t="str" cm="1">
        <f t="array" ref="S12">IF(OR($E12="",$I12=""),"",(INDEX('Emission factors'!$K$3:$V$201,MATCH('Buildings - Heat &amp; Fuels'!$E12&amp;$F12,'Emission factors'!$J$3:$J$201&amp;'Emission factors'!$K$3:$K$201,0),MATCH('Buildings - Heat &amp; Fuels'!S$6,'Emission factors'!$K$2:$V$2,0)))*$K12)</f>
        <v/>
      </c>
      <c r="T12" s="157" t="str" cm="1">
        <f t="array" ref="T12">IF(OR($E12="",$I12=""),"",(INDEX('Emission factors'!$K$3:$V$201,MATCH('Buildings - Heat &amp; Fuels'!$E12&amp;$F12,'Emission factors'!$J$3:$J$201&amp;'Emission factors'!$K$3:$K$201,0),MATCH('Buildings - Heat &amp; Fuels'!T$6,'Emission factors'!$K$2:$V$2,0)))*$K12)</f>
        <v/>
      </c>
      <c r="U12" s="157" t="str" cm="1">
        <f t="array" ref="U12">IF(OR($E12="",$I12=""),"",(INDEX('Emission factors'!$K$3:$V$201,MATCH('Buildings - Heat &amp; Fuels'!$E12&amp;$F12,'Emission factors'!$J$3:$J$201&amp;'Emission factors'!$K$3:$K$201,0),MATCH('Buildings - Heat &amp; Fuels'!U$6,'Emission factors'!$K$2:$V$2,0)))*$K12)</f>
        <v/>
      </c>
      <c r="V12" s="158" t="str">
        <f>IF(OR($N12="",BuildingsHeatFuelsTable[[#This Row],[RSD]]=""),"",BuildingsHeatFuelsTable[[#This Row],[Total emissions (kgCO2e)]]*(1+BuildingsHeatFuelsTable[[#This Row],[RSD]]))</f>
        <v/>
      </c>
      <c r="W12" s="159" t="str">
        <f>IF(OR($N12="",BuildingsHeatFuelsTable[[#This Row],[RSD]]=""),"",BuildingsHeatFuelsTable[[#This Row],[Total emissions (kgCO2e)]]*(1-BuildingsHeatFuelsTable[[#This Row],[RSD]]))</f>
        <v/>
      </c>
      <c r="X12" s="169" t="str" cm="1">
        <f t="array" ref="X12">IF(OR($E12="",$I12=""),"",(INDEX('Emission factors'!$K$3:$V$201,MATCH('Buildings - Heat &amp; Fuels'!$E12&amp;$F12,'Emission factors'!$J$3:$J$201&amp;'Emission factors'!$K$3:$K$201,0),MATCH('Buildings - Heat &amp; Fuels'!X$6,'Emission factors'!$K$2:$V$2,0)))*$K12)</f>
        <v/>
      </c>
      <c r="Y12" s="30"/>
      <c r="Z12" s="1" cm="1">
        <f t="array" ref="Z12">IF(OR(ISERROR(B12:X12)),1,0)</f>
        <v>0</v>
      </c>
      <c r="AA12" s="1">
        <f t="shared" si="0"/>
        <v>0</v>
      </c>
    </row>
    <row r="13" spans="1:33" ht="15" outlineLevel="1" thickBot="1" x14ac:dyDescent="0.4">
      <c r="A13" s="319"/>
      <c r="B13" s="216"/>
      <c r="C13" s="216"/>
      <c r="D13" s="489" t="str">
        <f>IFERROR(INDEX(BuildingInformationTable[Site type],MATCH(BuildingsHeatFuelsTable[[#This Row],[Site name]],BuildingInformationTable[Site name],0)),"")</f>
        <v/>
      </c>
      <c r="E13" s="491"/>
      <c r="F13" s="491"/>
      <c r="G13" s="491"/>
      <c r="H13" s="492" t="str">
        <f>IF(G13="","",INDEX(Lists!$BA$4:$BC$31,MATCH(E13,Lists!$AZ$4:$AZ$31,0),MATCH(G13,Lists!$BA$3:$BC$3,0)))</f>
        <v/>
      </c>
      <c r="I13" s="267"/>
      <c r="J13" s="491"/>
      <c r="K13" s="493" t="str" cm="1">
        <f t="array" ref="K13">IF(OR($E13="",$D13="",$I13="",$J13=""),"",IF(J13=L13,I13,(INDEX('Emission factors'!$K$3:$V$201,MATCH(E13&amp;F13,'Emission factors'!$J$3:$J$201&amp;'Emission factors'!$K$3:$K$201,0),MATCH(K$6,'Emission factors'!$K$2:$V$2,0)))*I13))</f>
        <v/>
      </c>
      <c r="L13" s="494" t="str">
        <f>IF(OR($E13="",$D13="",$I13="",$J13=""),"",INDEX('Emission factors'!$K$3:$V$201,MATCH('Buildings - Heat &amp; Fuels'!$E13,'Emission factors'!$J$3:$J$201,0),MATCH($L$6,'Emission factors'!$K$2:$V$2,0)))</f>
        <v/>
      </c>
      <c r="M13" s="495" t="str" cm="1">
        <f t="array" ref="M13">IF(OR(E13="",I13="",BuildingsHeatFuelsTable[[#This Row],[Units]]=""),"",INDEX('Emission factors'!$K$3:$V$201,MATCH('Buildings - Heat &amp; Fuels'!$E13&amp;F13,'Emission factors'!$J$3:$J$201&amp;'Emission factors'!$K$3:$K$201,0),MATCH('Buildings - Heat &amp; Fuels'!$M$6,'Emission factors'!$K$2:$V$2,0)))</f>
        <v/>
      </c>
      <c r="N13" s="496" t="str">
        <f>IF(OR(K13="",M13=""),"",SUM(BuildingsHeatFuelsTable[[#This Row],[Direct]:[Indirect WTT]]))</f>
        <v/>
      </c>
      <c r="O13" s="268"/>
      <c r="P13" s="497"/>
      <c r="Q13" s="157" t="str" cm="1">
        <f t="array" ref="Q13">IF(OR($E13="",$I13=""),"",(INDEX('Emission factors'!$K$3:$V$201,MATCH('Buildings - Heat &amp; Fuels'!$E13&amp;$F13,'Emission factors'!$J$3:$J$201&amp;'Emission factors'!$K$3:$K$201,0),MATCH('Buildings - Heat &amp; Fuels'!Q$6,'Emission factors'!$K$2:$V$2,0)))*$K13)</f>
        <v/>
      </c>
      <c r="R13" s="157" t="str" cm="1">
        <f t="array" ref="R13">IF(OR($E13="",$I13=""),"",(INDEX('Emission factors'!$K$3:$V$201,MATCH('Buildings - Heat &amp; Fuels'!$E13&amp;$F13,'Emission factors'!$J$3:$J$201&amp;'Emission factors'!$K$3:$K$201,0),MATCH('Buildings - Heat &amp; Fuels'!R$6,'Emission factors'!$K$2:$V$2,0)))*$K13)</f>
        <v/>
      </c>
      <c r="S13" s="157" t="str" cm="1">
        <f t="array" ref="S13">IF(OR($E13="",$I13=""),"",(INDEX('Emission factors'!$K$3:$V$201,MATCH('Buildings - Heat &amp; Fuels'!$E13&amp;$F13,'Emission factors'!$J$3:$J$201&amp;'Emission factors'!$K$3:$K$201,0),MATCH('Buildings - Heat &amp; Fuels'!S$6,'Emission factors'!$K$2:$V$2,0)))*$K13)</f>
        <v/>
      </c>
      <c r="T13" s="157" t="str" cm="1">
        <f t="array" ref="T13">IF(OR($E13="",$I13=""),"",(INDEX('Emission factors'!$K$3:$V$201,MATCH('Buildings - Heat &amp; Fuels'!$E13&amp;$F13,'Emission factors'!$J$3:$J$201&amp;'Emission factors'!$K$3:$K$201,0),MATCH('Buildings - Heat &amp; Fuels'!T$6,'Emission factors'!$K$2:$V$2,0)))*$K13)</f>
        <v/>
      </c>
      <c r="U13" s="157" t="str" cm="1">
        <f t="array" ref="U13">IF(OR($E13="",$I13=""),"",(INDEX('Emission factors'!$K$3:$V$201,MATCH('Buildings - Heat &amp; Fuels'!$E13&amp;$F13,'Emission factors'!$J$3:$J$201&amp;'Emission factors'!$K$3:$K$201,0),MATCH('Buildings - Heat &amp; Fuels'!U$6,'Emission factors'!$K$2:$V$2,0)))*$K13)</f>
        <v/>
      </c>
      <c r="V13" s="158" t="str">
        <f>IF(OR($N13="",BuildingsHeatFuelsTable[[#This Row],[RSD]]=""),"",BuildingsHeatFuelsTable[[#This Row],[Total emissions (kgCO2e)]]*(1+BuildingsHeatFuelsTable[[#This Row],[RSD]]))</f>
        <v/>
      </c>
      <c r="W13" s="159" t="str">
        <f>IF(OR($N13="",BuildingsHeatFuelsTable[[#This Row],[RSD]]=""),"",BuildingsHeatFuelsTable[[#This Row],[Total emissions (kgCO2e)]]*(1-BuildingsHeatFuelsTable[[#This Row],[RSD]]))</f>
        <v/>
      </c>
      <c r="X13" s="169" t="str" cm="1">
        <f t="array" ref="X13">IF(OR($E13="",$I13=""),"",(INDEX('Emission factors'!$K$3:$V$201,MATCH('Buildings - Heat &amp; Fuels'!$E13&amp;$F13,'Emission factors'!$J$3:$J$201&amp;'Emission factors'!$K$3:$K$201,0),MATCH('Buildings - Heat &amp; Fuels'!X$6,'Emission factors'!$K$2:$V$2,0)))*$K13)</f>
        <v/>
      </c>
      <c r="Y13" s="30"/>
      <c r="Z13" s="1" cm="1">
        <f t="array" ref="Z13">IF(OR(ISERROR(B13:X13)),1,0)</f>
        <v>0</v>
      </c>
      <c r="AA13" s="1">
        <f t="shared" si="0"/>
        <v>0</v>
      </c>
    </row>
    <row r="14" spans="1:33" ht="15" outlineLevel="1" thickBot="1" x14ac:dyDescent="0.4">
      <c r="A14" s="319"/>
      <c r="B14" s="216"/>
      <c r="C14" s="216"/>
      <c r="D14" s="489" t="str">
        <f>IFERROR(INDEX(BuildingInformationTable[Site type],MATCH(BuildingsHeatFuelsTable[[#This Row],[Site name]],BuildingInformationTable[Site name],0)),"")</f>
        <v/>
      </c>
      <c r="E14" s="491"/>
      <c r="F14" s="491"/>
      <c r="G14" s="491"/>
      <c r="H14" s="492" t="str">
        <f>IF(G14="","",INDEX(Lists!$BA$4:$BC$31,MATCH(E14,Lists!$AZ$4:$AZ$31,0),MATCH(G14,Lists!$BA$3:$BC$3,0)))</f>
        <v/>
      </c>
      <c r="I14" s="267"/>
      <c r="J14" s="491"/>
      <c r="K14" s="493" t="str" cm="1">
        <f t="array" ref="K14">IF(OR($E14="",$D14="",$I14="",$J14=""),"",IF(J14=L14,I14,(INDEX('Emission factors'!$K$3:$V$201,MATCH(E14&amp;F14,'Emission factors'!$J$3:$J$201&amp;'Emission factors'!$K$3:$K$201,0),MATCH(K$6,'Emission factors'!$K$2:$V$2,0)))*I14))</f>
        <v/>
      </c>
      <c r="L14" s="494" t="str">
        <f>IF(OR($E14="",$D14="",$I14="",$J14=""),"",INDEX('Emission factors'!$K$3:$V$201,MATCH('Buildings - Heat &amp; Fuels'!$E14,'Emission factors'!$J$3:$J$201,0),MATCH($L$6,'Emission factors'!$K$2:$V$2,0)))</f>
        <v/>
      </c>
      <c r="M14" s="495" t="str" cm="1">
        <f t="array" ref="M14">IF(OR(E14="",I14="",BuildingsHeatFuelsTable[[#This Row],[Units]]=""),"",INDEX('Emission factors'!$K$3:$V$201,MATCH('Buildings - Heat &amp; Fuels'!$E14&amp;F14,'Emission factors'!$J$3:$J$201&amp;'Emission factors'!$K$3:$K$201,0),MATCH('Buildings - Heat &amp; Fuels'!$M$6,'Emission factors'!$K$2:$V$2,0)))</f>
        <v/>
      </c>
      <c r="N14" s="496" t="str">
        <f>IF(OR(K14="",M14=""),"",SUM(BuildingsHeatFuelsTable[[#This Row],[Direct]:[Indirect WTT]]))</f>
        <v/>
      </c>
      <c r="O14" s="268"/>
      <c r="P14" s="497"/>
      <c r="Q14" s="157" t="str" cm="1">
        <f t="array" ref="Q14">IF(OR($E14="",$I14=""),"",(INDEX('Emission factors'!$K$3:$V$201,MATCH('Buildings - Heat &amp; Fuels'!$E14&amp;$F14,'Emission factors'!$J$3:$J$201&amp;'Emission factors'!$K$3:$K$201,0),MATCH('Buildings - Heat &amp; Fuels'!Q$6,'Emission factors'!$K$2:$V$2,0)))*$K14)</f>
        <v/>
      </c>
      <c r="R14" s="157" t="str" cm="1">
        <f t="array" ref="R14">IF(OR($E14="",$I14=""),"",(INDEX('Emission factors'!$K$3:$V$201,MATCH('Buildings - Heat &amp; Fuels'!$E14&amp;$F14,'Emission factors'!$J$3:$J$201&amp;'Emission factors'!$K$3:$K$201,0),MATCH('Buildings - Heat &amp; Fuels'!R$6,'Emission factors'!$K$2:$V$2,0)))*$K14)</f>
        <v/>
      </c>
      <c r="S14" s="157" t="str" cm="1">
        <f t="array" ref="S14">IF(OR($E14="",$I14=""),"",(INDEX('Emission factors'!$K$3:$V$201,MATCH('Buildings - Heat &amp; Fuels'!$E14&amp;$F14,'Emission factors'!$J$3:$J$201&amp;'Emission factors'!$K$3:$K$201,0),MATCH('Buildings - Heat &amp; Fuels'!S$6,'Emission factors'!$K$2:$V$2,0)))*$K14)</f>
        <v/>
      </c>
      <c r="T14" s="157" t="str" cm="1">
        <f t="array" ref="T14">IF(OR($E14="",$I14=""),"",(INDEX('Emission factors'!$K$3:$V$201,MATCH('Buildings - Heat &amp; Fuels'!$E14&amp;$F14,'Emission factors'!$J$3:$J$201&amp;'Emission factors'!$K$3:$K$201,0),MATCH('Buildings - Heat &amp; Fuels'!T$6,'Emission factors'!$K$2:$V$2,0)))*$K14)</f>
        <v/>
      </c>
      <c r="U14" s="157" t="str" cm="1">
        <f t="array" ref="U14">IF(OR($E14="",$I14=""),"",(INDEX('Emission factors'!$K$3:$V$201,MATCH('Buildings - Heat &amp; Fuels'!$E14&amp;$F14,'Emission factors'!$J$3:$J$201&amp;'Emission factors'!$K$3:$K$201,0),MATCH('Buildings - Heat &amp; Fuels'!U$6,'Emission factors'!$K$2:$V$2,0)))*$K14)</f>
        <v/>
      </c>
      <c r="V14" s="158" t="str">
        <f>IF(OR($N14="",BuildingsHeatFuelsTable[[#This Row],[RSD]]=""),"",BuildingsHeatFuelsTable[[#This Row],[Total emissions (kgCO2e)]]*(1+BuildingsHeatFuelsTable[[#This Row],[RSD]]))</f>
        <v/>
      </c>
      <c r="W14" s="159" t="str">
        <f>IF(OR($N14="",BuildingsHeatFuelsTable[[#This Row],[RSD]]=""),"",BuildingsHeatFuelsTable[[#This Row],[Total emissions (kgCO2e)]]*(1-BuildingsHeatFuelsTable[[#This Row],[RSD]]))</f>
        <v/>
      </c>
      <c r="X14" s="169" t="str" cm="1">
        <f t="array" ref="X14">IF(OR($E14="",$I14=""),"",(INDEX('Emission factors'!$K$3:$V$201,MATCH('Buildings - Heat &amp; Fuels'!$E14&amp;$F14,'Emission factors'!$J$3:$J$201&amp;'Emission factors'!$K$3:$K$201,0),MATCH('Buildings - Heat &amp; Fuels'!X$6,'Emission factors'!$K$2:$V$2,0)))*$K14)</f>
        <v/>
      </c>
      <c r="Y14" s="30"/>
      <c r="Z14" s="1" cm="1">
        <f t="array" ref="Z14">IF(OR(ISERROR(B14:X14)),1,0)</f>
        <v>0</v>
      </c>
      <c r="AA14" s="1">
        <f t="shared" si="0"/>
        <v>0</v>
      </c>
    </row>
    <row r="15" spans="1:33" ht="15" outlineLevel="1" thickBot="1" x14ac:dyDescent="0.4">
      <c r="A15" s="319"/>
      <c r="B15" s="216"/>
      <c r="C15" s="216"/>
      <c r="D15" s="489" t="str">
        <f>IFERROR(INDEX(BuildingInformationTable[Site type],MATCH(BuildingsHeatFuelsTable[[#This Row],[Site name]],BuildingInformationTable[Site name],0)),"")</f>
        <v/>
      </c>
      <c r="E15" s="491"/>
      <c r="F15" s="491"/>
      <c r="G15" s="491"/>
      <c r="H15" s="492" t="str">
        <f>IF(G15="","",INDEX(Lists!$BA$4:$BC$31,MATCH(E15,Lists!$AZ$4:$AZ$31,0),MATCH(G15,Lists!$BA$3:$BC$3,0)))</f>
        <v/>
      </c>
      <c r="I15" s="267"/>
      <c r="J15" s="491"/>
      <c r="K15" s="493" t="str" cm="1">
        <f t="array" ref="K15">IF(OR($E15="",$D15="",$I15="",$J15=""),"",IF(J15=L15,I15,(INDEX('Emission factors'!$K$3:$V$201,MATCH(E15&amp;F15,'Emission factors'!$J$3:$J$201&amp;'Emission factors'!$K$3:$K$201,0),MATCH(K$6,'Emission factors'!$K$2:$V$2,0)))*I15))</f>
        <v/>
      </c>
      <c r="L15" s="494" t="str">
        <f>IF(OR($E15="",$D15="",$I15="",$J15=""),"",INDEX('Emission factors'!$K$3:$V$201,MATCH('Buildings - Heat &amp; Fuels'!$E15,'Emission factors'!$J$3:$J$201,0),MATCH($L$6,'Emission factors'!$K$2:$V$2,0)))</f>
        <v/>
      </c>
      <c r="M15" s="495" t="str" cm="1">
        <f t="array" ref="M15">IF(OR(E15="",I15="",BuildingsHeatFuelsTable[[#This Row],[Units]]=""),"",INDEX('Emission factors'!$K$3:$V$201,MATCH('Buildings - Heat &amp; Fuels'!$E15&amp;F15,'Emission factors'!$J$3:$J$201&amp;'Emission factors'!$K$3:$K$201,0),MATCH('Buildings - Heat &amp; Fuels'!$M$6,'Emission factors'!$K$2:$V$2,0)))</f>
        <v/>
      </c>
      <c r="N15" s="496" t="str">
        <f>IF(OR(K15="",M15=""),"",SUM(BuildingsHeatFuelsTable[[#This Row],[Direct]:[Indirect WTT]]))</f>
        <v/>
      </c>
      <c r="O15" s="268"/>
      <c r="P15" s="497"/>
      <c r="Q15" s="157" t="str" cm="1">
        <f t="array" ref="Q15">IF(OR($E15="",$I15=""),"",(INDEX('Emission factors'!$K$3:$V$201,MATCH('Buildings - Heat &amp; Fuels'!$E15&amp;$F15,'Emission factors'!$J$3:$J$201&amp;'Emission factors'!$K$3:$K$201,0),MATCH('Buildings - Heat &amp; Fuels'!Q$6,'Emission factors'!$K$2:$V$2,0)))*$K15)</f>
        <v/>
      </c>
      <c r="R15" s="157" t="str" cm="1">
        <f t="array" ref="R15">IF(OR($E15="",$I15=""),"",(INDEX('Emission factors'!$K$3:$V$201,MATCH('Buildings - Heat &amp; Fuels'!$E15&amp;$F15,'Emission factors'!$J$3:$J$201&amp;'Emission factors'!$K$3:$K$201,0),MATCH('Buildings - Heat &amp; Fuels'!R$6,'Emission factors'!$K$2:$V$2,0)))*$K15)</f>
        <v/>
      </c>
      <c r="S15" s="157" t="str" cm="1">
        <f t="array" ref="S15">IF(OR($E15="",$I15=""),"",(INDEX('Emission factors'!$K$3:$V$201,MATCH('Buildings - Heat &amp; Fuels'!$E15&amp;$F15,'Emission factors'!$J$3:$J$201&amp;'Emission factors'!$K$3:$K$201,0),MATCH('Buildings - Heat &amp; Fuels'!S$6,'Emission factors'!$K$2:$V$2,0)))*$K15)</f>
        <v/>
      </c>
      <c r="T15" s="157" t="str" cm="1">
        <f t="array" ref="T15">IF(OR($E15="",$I15=""),"",(INDEX('Emission factors'!$K$3:$V$201,MATCH('Buildings - Heat &amp; Fuels'!$E15&amp;$F15,'Emission factors'!$J$3:$J$201&amp;'Emission factors'!$K$3:$K$201,0),MATCH('Buildings - Heat &amp; Fuels'!T$6,'Emission factors'!$K$2:$V$2,0)))*$K15)</f>
        <v/>
      </c>
      <c r="U15" s="157" t="str" cm="1">
        <f t="array" ref="U15">IF(OR($E15="",$I15=""),"",(INDEX('Emission factors'!$K$3:$V$201,MATCH('Buildings - Heat &amp; Fuels'!$E15&amp;$F15,'Emission factors'!$J$3:$J$201&amp;'Emission factors'!$K$3:$K$201,0),MATCH('Buildings - Heat &amp; Fuels'!U$6,'Emission factors'!$K$2:$V$2,0)))*$K15)</f>
        <v/>
      </c>
      <c r="V15" s="158" t="str">
        <f>IF(OR($N15="",BuildingsHeatFuelsTable[[#This Row],[RSD]]=""),"",BuildingsHeatFuelsTable[[#This Row],[Total emissions (kgCO2e)]]*(1+BuildingsHeatFuelsTable[[#This Row],[RSD]]))</f>
        <v/>
      </c>
      <c r="W15" s="159" t="str">
        <f>IF(OR($N15="",BuildingsHeatFuelsTable[[#This Row],[RSD]]=""),"",BuildingsHeatFuelsTable[[#This Row],[Total emissions (kgCO2e)]]*(1-BuildingsHeatFuelsTable[[#This Row],[RSD]]))</f>
        <v/>
      </c>
      <c r="X15" s="169" t="str" cm="1">
        <f t="array" ref="X15">IF(OR($E15="",$I15=""),"",(INDEX('Emission factors'!$K$3:$V$201,MATCH('Buildings - Heat &amp; Fuels'!$E15&amp;$F15,'Emission factors'!$J$3:$J$201&amp;'Emission factors'!$K$3:$K$201,0),MATCH('Buildings - Heat &amp; Fuels'!X$6,'Emission factors'!$K$2:$V$2,0)))*$K15)</f>
        <v/>
      </c>
      <c r="Y15" s="30"/>
      <c r="Z15" s="1" cm="1">
        <f t="array" ref="Z15">IF(OR(ISERROR(B15:X15)),1,0)</f>
        <v>0</v>
      </c>
      <c r="AA15" s="1">
        <f t="shared" si="0"/>
        <v>0</v>
      </c>
    </row>
    <row r="16" spans="1:33" ht="15" outlineLevel="1" thickBot="1" x14ac:dyDescent="0.4">
      <c r="A16" s="319"/>
      <c r="B16" s="216"/>
      <c r="C16" s="216"/>
      <c r="D16" s="489" t="str">
        <f>IFERROR(INDEX(BuildingInformationTable[Site type],MATCH(BuildingsHeatFuelsTable[[#This Row],[Site name]],BuildingInformationTable[Site name],0)),"")</f>
        <v/>
      </c>
      <c r="E16" s="491"/>
      <c r="F16" s="491"/>
      <c r="G16" s="491"/>
      <c r="H16" s="492" t="str">
        <f>IF(G16="","",INDEX(Lists!$BA$4:$BC$31,MATCH(E16,Lists!$AZ$4:$AZ$31,0),MATCH(G16,Lists!$BA$3:$BC$3,0)))</f>
        <v/>
      </c>
      <c r="I16" s="267"/>
      <c r="J16" s="491"/>
      <c r="K16" s="493" t="str" cm="1">
        <f t="array" ref="K16">IF(OR($E16="",$D16="",$I16="",$J16=""),"",IF(J16=L16,I16,(INDEX('Emission factors'!$K$3:$V$201,MATCH(E16&amp;F16,'Emission factors'!$J$3:$J$201&amp;'Emission factors'!$K$3:$K$201,0),MATCH(K$6,'Emission factors'!$K$2:$V$2,0)))*I16))</f>
        <v/>
      </c>
      <c r="L16" s="494" t="str">
        <f>IF(OR($E16="",$D16="",$I16="",$J16=""),"",INDEX('Emission factors'!$K$3:$V$201,MATCH('Buildings - Heat &amp; Fuels'!$E16,'Emission factors'!$J$3:$J$201,0),MATCH($L$6,'Emission factors'!$K$2:$V$2,0)))</f>
        <v/>
      </c>
      <c r="M16" s="495" t="str" cm="1">
        <f t="array" ref="M16">IF(OR(E16="",I16="",BuildingsHeatFuelsTable[[#This Row],[Units]]=""),"",INDEX('Emission factors'!$K$3:$V$201,MATCH('Buildings - Heat &amp; Fuels'!$E16&amp;F16,'Emission factors'!$J$3:$J$201&amp;'Emission factors'!$K$3:$K$201,0),MATCH('Buildings - Heat &amp; Fuels'!$M$6,'Emission factors'!$K$2:$V$2,0)))</f>
        <v/>
      </c>
      <c r="N16" s="496" t="str">
        <f>IF(OR(K16="",M16=""),"",SUM(BuildingsHeatFuelsTable[[#This Row],[Direct]:[Indirect WTT]]))</f>
        <v/>
      </c>
      <c r="O16" s="268"/>
      <c r="P16" s="497"/>
      <c r="Q16" s="157" t="str" cm="1">
        <f t="array" ref="Q16">IF(OR($E16="",$I16=""),"",(INDEX('Emission factors'!$K$3:$V$201,MATCH('Buildings - Heat &amp; Fuels'!$E16&amp;$F16,'Emission factors'!$J$3:$J$201&amp;'Emission factors'!$K$3:$K$201,0),MATCH('Buildings - Heat &amp; Fuels'!Q$6,'Emission factors'!$K$2:$V$2,0)))*$K16)</f>
        <v/>
      </c>
      <c r="R16" s="157" t="str" cm="1">
        <f t="array" ref="R16">IF(OR($E16="",$I16=""),"",(INDEX('Emission factors'!$K$3:$V$201,MATCH('Buildings - Heat &amp; Fuels'!$E16&amp;$F16,'Emission factors'!$J$3:$J$201&amp;'Emission factors'!$K$3:$K$201,0),MATCH('Buildings - Heat &amp; Fuels'!R$6,'Emission factors'!$K$2:$V$2,0)))*$K16)</f>
        <v/>
      </c>
      <c r="S16" s="157" t="str" cm="1">
        <f t="array" ref="S16">IF(OR($E16="",$I16=""),"",(INDEX('Emission factors'!$K$3:$V$201,MATCH('Buildings - Heat &amp; Fuels'!$E16&amp;$F16,'Emission factors'!$J$3:$J$201&amp;'Emission factors'!$K$3:$K$201,0),MATCH('Buildings - Heat &amp; Fuels'!S$6,'Emission factors'!$K$2:$V$2,0)))*$K16)</f>
        <v/>
      </c>
      <c r="T16" s="157" t="str" cm="1">
        <f t="array" ref="T16">IF(OR($E16="",$I16=""),"",(INDEX('Emission factors'!$K$3:$V$201,MATCH('Buildings - Heat &amp; Fuels'!$E16&amp;$F16,'Emission factors'!$J$3:$J$201&amp;'Emission factors'!$K$3:$K$201,0),MATCH('Buildings - Heat &amp; Fuels'!T$6,'Emission factors'!$K$2:$V$2,0)))*$K16)</f>
        <v/>
      </c>
      <c r="U16" s="157" t="str" cm="1">
        <f t="array" ref="U16">IF(OR($E16="",$I16=""),"",(INDEX('Emission factors'!$K$3:$V$201,MATCH('Buildings - Heat &amp; Fuels'!$E16&amp;$F16,'Emission factors'!$J$3:$J$201&amp;'Emission factors'!$K$3:$K$201,0),MATCH('Buildings - Heat &amp; Fuels'!U$6,'Emission factors'!$K$2:$V$2,0)))*$K16)</f>
        <v/>
      </c>
      <c r="V16" s="158" t="str">
        <f>IF(OR($N16="",BuildingsHeatFuelsTable[[#This Row],[RSD]]=""),"",BuildingsHeatFuelsTable[[#This Row],[Total emissions (kgCO2e)]]*(1+BuildingsHeatFuelsTable[[#This Row],[RSD]]))</f>
        <v/>
      </c>
      <c r="W16" s="159" t="str">
        <f>IF(OR($N16="",BuildingsHeatFuelsTable[[#This Row],[RSD]]=""),"",BuildingsHeatFuelsTable[[#This Row],[Total emissions (kgCO2e)]]*(1-BuildingsHeatFuelsTable[[#This Row],[RSD]]))</f>
        <v/>
      </c>
      <c r="X16" s="169" t="str" cm="1">
        <f t="array" ref="X16">IF(OR($E16="",$I16=""),"",(INDEX('Emission factors'!$K$3:$V$201,MATCH('Buildings - Heat &amp; Fuels'!$E16&amp;$F16,'Emission factors'!$J$3:$J$201&amp;'Emission factors'!$K$3:$K$201,0),MATCH('Buildings - Heat &amp; Fuels'!X$6,'Emission factors'!$K$2:$V$2,0)))*$K16)</f>
        <v/>
      </c>
      <c r="Y16" s="30"/>
      <c r="Z16" s="1" cm="1">
        <f t="array" ref="Z16">IF(OR(ISERROR(B16:X16)),1,0)</f>
        <v>0</v>
      </c>
      <c r="AA16" s="1">
        <f t="shared" si="0"/>
        <v>0</v>
      </c>
    </row>
    <row r="17" spans="1:27" ht="15" outlineLevel="1" thickBot="1" x14ac:dyDescent="0.4">
      <c r="A17" s="319"/>
      <c r="B17" s="216"/>
      <c r="C17" s="216"/>
      <c r="D17" s="489" t="str">
        <f>IFERROR(INDEX(BuildingInformationTable[Site type],MATCH(BuildingsHeatFuelsTable[[#This Row],[Site name]],BuildingInformationTable[Site name],0)),"")</f>
        <v/>
      </c>
      <c r="E17" s="491"/>
      <c r="F17" s="491"/>
      <c r="G17" s="491"/>
      <c r="H17" s="492" t="str">
        <f>IF(G17="","",INDEX(Lists!$BA$4:$BC$31,MATCH(E17,Lists!$AZ$4:$AZ$31,0),MATCH(G17,Lists!$BA$3:$BC$3,0)))</f>
        <v/>
      </c>
      <c r="I17" s="267"/>
      <c r="J17" s="491"/>
      <c r="K17" s="493" t="str" cm="1">
        <f t="array" ref="K17">IF(OR($E17="",$D17="",$I17="",$J17=""),"",IF(J17=L17,I17,(INDEX('Emission factors'!$K$3:$V$201,MATCH(E17&amp;F17,'Emission factors'!$J$3:$J$201&amp;'Emission factors'!$K$3:$K$201,0),MATCH(K$6,'Emission factors'!$K$2:$V$2,0)))*I17))</f>
        <v/>
      </c>
      <c r="L17" s="494" t="str">
        <f>IF(OR($E17="",$D17="",$I17="",$J17=""),"",INDEX('Emission factors'!$K$3:$V$201,MATCH('Buildings - Heat &amp; Fuels'!$E17,'Emission factors'!$J$3:$J$201,0),MATCH($L$6,'Emission factors'!$K$2:$V$2,0)))</f>
        <v/>
      </c>
      <c r="M17" s="495" t="str" cm="1">
        <f t="array" ref="M17">IF(OR(E17="",I17="",BuildingsHeatFuelsTable[[#This Row],[Units]]=""),"",INDEX('Emission factors'!$K$3:$V$201,MATCH('Buildings - Heat &amp; Fuels'!$E17&amp;F17,'Emission factors'!$J$3:$J$201&amp;'Emission factors'!$K$3:$K$201,0),MATCH('Buildings - Heat &amp; Fuels'!$M$6,'Emission factors'!$K$2:$V$2,0)))</f>
        <v/>
      </c>
      <c r="N17" s="496" t="str">
        <f>IF(OR(K17="",M17=""),"",SUM(BuildingsHeatFuelsTable[[#This Row],[Direct]:[Indirect WTT]]))</f>
        <v/>
      </c>
      <c r="O17" s="268"/>
      <c r="P17" s="497"/>
      <c r="Q17" s="157" t="str" cm="1">
        <f t="array" ref="Q17">IF(OR($E17="",$I17=""),"",(INDEX('Emission factors'!$K$3:$V$201,MATCH('Buildings - Heat &amp; Fuels'!$E17&amp;$F17,'Emission factors'!$J$3:$J$201&amp;'Emission factors'!$K$3:$K$201,0),MATCH('Buildings - Heat &amp; Fuels'!Q$6,'Emission factors'!$K$2:$V$2,0)))*$K17)</f>
        <v/>
      </c>
      <c r="R17" s="157" t="str" cm="1">
        <f t="array" ref="R17">IF(OR($E17="",$I17=""),"",(INDEX('Emission factors'!$K$3:$V$201,MATCH('Buildings - Heat &amp; Fuels'!$E17&amp;$F17,'Emission factors'!$J$3:$J$201&amp;'Emission factors'!$K$3:$K$201,0),MATCH('Buildings - Heat &amp; Fuels'!R$6,'Emission factors'!$K$2:$V$2,0)))*$K17)</f>
        <v/>
      </c>
      <c r="S17" s="157" t="str" cm="1">
        <f t="array" ref="S17">IF(OR($E17="",$I17=""),"",(INDEX('Emission factors'!$K$3:$V$201,MATCH('Buildings - Heat &amp; Fuels'!$E17&amp;$F17,'Emission factors'!$J$3:$J$201&amp;'Emission factors'!$K$3:$K$201,0),MATCH('Buildings - Heat &amp; Fuels'!S$6,'Emission factors'!$K$2:$V$2,0)))*$K17)</f>
        <v/>
      </c>
      <c r="T17" s="157" t="str" cm="1">
        <f t="array" ref="T17">IF(OR($E17="",$I17=""),"",(INDEX('Emission factors'!$K$3:$V$201,MATCH('Buildings - Heat &amp; Fuels'!$E17&amp;$F17,'Emission factors'!$J$3:$J$201&amp;'Emission factors'!$K$3:$K$201,0),MATCH('Buildings - Heat &amp; Fuels'!T$6,'Emission factors'!$K$2:$V$2,0)))*$K17)</f>
        <v/>
      </c>
      <c r="U17" s="157" t="str" cm="1">
        <f t="array" ref="U17">IF(OR($E17="",$I17=""),"",(INDEX('Emission factors'!$K$3:$V$201,MATCH('Buildings - Heat &amp; Fuels'!$E17&amp;$F17,'Emission factors'!$J$3:$J$201&amp;'Emission factors'!$K$3:$K$201,0),MATCH('Buildings - Heat &amp; Fuels'!U$6,'Emission factors'!$K$2:$V$2,0)))*$K17)</f>
        <v/>
      </c>
      <c r="V17" s="158" t="str">
        <f>IF(OR($N17="",BuildingsHeatFuelsTable[[#This Row],[RSD]]=""),"",BuildingsHeatFuelsTable[[#This Row],[Total emissions (kgCO2e)]]*(1+BuildingsHeatFuelsTable[[#This Row],[RSD]]))</f>
        <v/>
      </c>
      <c r="W17" s="159" t="str">
        <f>IF(OR($N17="",BuildingsHeatFuelsTable[[#This Row],[RSD]]=""),"",BuildingsHeatFuelsTable[[#This Row],[Total emissions (kgCO2e)]]*(1-BuildingsHeatFuelsTable[[#This Row],[RSD]]))</f>
        <v/>
      </c>
      <c r="X17" s="169" t="str" cm="1">
        <f t="array" ref="X17">IF(OR($E17="",$I17=""),"",(INDEX('Emission factors'!$K$3:$V$201,MATCH('Buildings - Heat &amp; Fuels'!$E17&amp;$F17,'Emission factors'!$J$3:$J$201&amp;'Emission factors'!$K$3:$K$201,0),MATCH('Buildings - Heat &amp; Fuels'!X$6,'Emission factors'!$K$2:$V$2,0)))*$K17)</f>
        <v/>
      </c>
      <c r="Y17" s="30"/>
      <c r="Z17" s="1" cm="1">
        <f t="array" ref="Z17">IF(OR(ISERROR(B17:X17)),1,0)</f>
        <v>0</v>
      </c>
      <c r="AA17" s="1">
        <f t="shared" si="0"/>
        <v>0</v>
      </c>
    </row>
    <row r="18" spans="1:27" ht="15" outlineLevel="1" thickBot="1" x14ac:dyDescent="0.4">
      <c r="A18" s="319"/>
      <c r="B18" s="216"/>
      <c r="C18" s="216"/>
      <c r="D18" s="489" t="str">
        <f>IFERROR(INDEX(BuildingInformationTable[Site type],MATCH(BuildingsHeatFuelsTable[[#This Row],[Site name]],BuildingInformationTable[Site name],0)),"")</f>
        <v/>
      </c>
      <c r="E18" s="491"/>
      <c r="F18" s="491"/>
      <c r="G18" s="491"/>
      <c r="H18" s="492" t="str">
        <f>IF(G18="","",INDEX(Lists!$BA$4:$BC$31,MATCH(E18,Lists!$AZ$4:$AZ$31,0),MATCH(G18,Lists!$BA$3:$BC$3,0)))</f>
        <v/>
      </c>
      <c r="I18" s="267"/>
      <c r="J18" s="491"/>
      <c r="K18" s="493" t="str" cm="1">
        <f t="array" ref="K18">IF(OR($E18="",$D18="",$I18="",$J18=""),"",IF(J18=L18,I18,(INDEX('Emission factors'!$K$3:$V$201,MATCH(E18&amp;F18,'Emission factors'!$J$3:$J$201&amp;'Emission factors'!$K$3:$K$201,0),MATCH(K$6,'Emission factors'!$K$2:$V$2,0)))*I18))</f>
        <v/>
      </c>
      <c r="L18" s="494" t="str">
        <f>IF(OR($E18="",$D18="",$I18="",$J18=""),"",INDEX('Emission factors'!$K$3:$V$201,MATCH('Buildings - Heat &amp; Fuels'!$E18,'Emission factors'!$J$3:$J$201,0),MATCH($L$6,'Emission factors'!$K$2:$V$2,0)))</f>
        <v/>
      </c>
      <c r="M18" s="495" t="str" cm="1">
        <f t="array" ref="M18">IF(OR(E18="",I18="",BuildingsHeatFuelsTable[[#This Row],[Units]]=""),"",INDEX('Emission factors'!$K$3:$V$201,MATCH('Buildings - Heat &amp; Fuels'!$E18&amp;F18,'Emission factors'!$J$3:$J$201&amp;'Emission factors'!$K$3:$K$201,0),MATCH('Buildings - Heat &amp; Fuels'!$M$6,'Emission factors'!$K$2:$V$2,0)))</f>
        <v/>
      </c>
      <c r="N18" s="496" t="str">
        <f>IF(OR(K18="",M18=""),"",SUM(BuildingsHeatFuelsTable[[#This Row],[Direct]:[Indirect WTT]]))</f>
        <v/>
      </c>
      <c r="O18" s="268"/>
      <c r="P18" s="497"/>
      <c r="Q18" s="157" t="str" cm="1">
        <f t="array" ref="Q18">IF(OR($E18="",$I18=""),"",(INDEX('Emission factors'!$K$3:$V$201,MATCH('Buildings - Heat &amp; Fuels'!$E18&amp;$F18,'Emission factors'!$J$3:$J$201&amp;'Emission factors'!$K$3:$K$201,0),MATCH('Buildings - Heat &amp; Fuels'!Q$6,'Emission factors'!$K$2:$V$2,0)))*$K18)</f>
        <v/>
      </c>
      <c r="R18" s="157" t="str" cm="1">
        <f t="array" ref="R18">IF(OR($E18="",$I18=""),"",(INDEX('Emission factors'!$K$3:$V$201,MATCH('Buildings - Heat &amp; Fuels'!$E18&amp;$F18,'Emission factors'!$J$3:$J$201&amp;'Emission factors'!$K$3:$K$201,0),MATCH('Buildings - Heat &amp; Fuels'!R$6,'Emission factors'!$K$2:$V$2,0)))*$K18)</f>
        <v/>
      </c>
      <c r="S18" s="157" t="str" cm="1">
        <f t="array" ref="S18">IF(OR($E18="",$I18=""),"",(INDEX('Emission factors'!$K$3:$V$201,MATCH('Buildings - Heat &amp; Fuels'!$E18&amp;$F18,'Emission factors'!$J$3:$J$201&amp;'Emission factors'!$K$3:$K$201,0),MATCH('Buildings - Heat &amp; Fuels'!S$6,'Emission factors'!$K$2:$V$2,0)))*$K18)</f>
        <v/>
      </c>
      <c r="T18" s="157" t="str" cm="1">
        <f t="array" ref="T18">IF(OR($E18="",$I18=""),"",(INDEX('Emission factors'!$K$3:$V$201,MATCH('Buildings - Heat &amp; Fuels'!$E18&amp;$F18,'Emission factors'!$J$3:$J$201&amp;'Emission factors'!$K$3:$K$201,0),MATCH('Buildings - Heat &amp; Fuels'!T$6,'Emission factors'!$K$2:$V$2,0)))*$K18)</f>
        <v/>
      </c>
      <c r="U18" s="157" t="str" cm="1">
        <f t="array" ref="U18">IF(OR($E18="",$I18=""),"",(INDEX('Emission factors'!$K$3:$V$201,MATCH('Buildings - Heat &amp; Fuels'!$E18&amp;$F18,'Emission factors'!$J$3:$J$201&amp;'Emission factors'!$K$3:$K$201,0),MATCH('Buildings - Heat &amp; Fuels'!U$6,'Emission factors'!$K$2:$V$2,0)))*$K18)</f>
        <v/>
      </c>
      <c r="V18" s="158" t="str">
        <f>IF(OR($N18="",BuildingsHeatFuelsTable[[#This Row],[RSD]]=""),"",BuildingsHeatFuelsTable[[#This Row],[Total emissions (kgCO2e)]]*(1+BuildingsHeatFuelsTable[[#This Row],[RSD]]))</f>
        <v/>
      </c>
      <c r="W18" s="159" t="str">
        <f>IF(OR($N18="",BuildingsHeatFuelsTable[[#This Row],[RSD]]=""),"",BuildingsHeatFuelsTable[[#This Row],[Total emissions (kgCO2e)]]*(1-BuildingsHeatFuelsTable[[#This Row],[RSD]]))</f>
        <v/>
      </c>
      <c r="X18" s="169" t="str" cm="1">
        <f t="array" ref="X18">IF(OR($E18="",$I18=""),"",(INDEX('Emission factors'!$K$3:$V$201,MATCH('Buildings - Heat &amp; Fuels'!$E18&amp;$F18,'Emission factors'!$J$3:$J$201&amp;'Emission factors'!$K$3:$K$201,0),MATCH('Buildings - Heat &amp; Fuels'!X$6,'Emission factors'!$K$2:$V$2,0)))*$K18)</f>
        <v/>
      </c>
      <c r="Y18" s="30"/>
      <c r="Z18" s="1" cm="1">
        <f t="array" ref="Z18">IF(OR(ISERROR(B18:X18)),1,0)</f>
        <v>0</v>
      </c>
      <c r="AA18" s="1">
        <f t="shared" si="0"/>
        <v>0</v>
      </c>
    </row>
    <row r="19" spans="1:27" ht="15" outlineLevel="1" thickBot="1" x14ac:dyDescent="0.4">
      <c r="A19" s="319"/>
      <c r="B19" s="216"/>
      <c r="C19" s="216"/>
      <c r="D19" s="489" t="str">
        <f>IFERROR(INDEX(BuildingInformationTable[Site type],MATCH(BuildingsHeatFuelsTable[[#This Row],[Site name]],BuildingInformationTable[Site name],0)),"")</f>
        <v/>
      </c>
      <c r="E19" s="491"/>
      <c r="F19" s="491"/>
      <c r="G19" s="491"/>
      <c r="H19" s="492" t="str">
        <f>IF(G19="","",INDEX(Lists!$BA$4:$BC$31,MATCH(E19,Lists!$AZ$4:$AZ$31,0),MATCH(G19,Lists!$BA$3:$BC$3,0)))</f>
        <v/>
      </c>
      <c r="I19" s="267"/>
      <c r="J19" s="491"/>
      <c r="K19" s="493" t="str" cm="1">
        <f t="array" ref="K19">IF(OR($E19="",$D19="",$I19="",$J19=""),"",IF(J19=L19,I19,(INDEX('Emission factors'!$K$3:$V$201,MATCH(E19&amp;F19,'Emission factors'!$J$3:$J$201&amp;'Emission factors'!$K$3:$K$201,0),MATCH(K$6,'Emission factors'!$K$2:$V$2,0)))*I19))</f>
        <v/>
      </c>
      <c r="L19" s="494" t="str">
        <f>IF(OR($E19="",$D19="",$I19="",$J19=""),"",INDEX('Emission factors'!$K$3:$V$201,MATCH('Buildings - Heat &amp; Fuels'!$E19,'Emission factors'!$J$3:$J$201,0),MATCH($L$6,'Emission factors'!$K$2:$V$2,0)))</f>
        <v/>
      </c>
      <c r="M19" s="495" t="str" cm="1">
        <f t="array" ref="M19">IF(OR(E19="",I19="",BuildingsHeatFuelsTable[[#This Row],[Units]]=""),"",INDEX('Emission factors'!$K$3:$V$201,MATCH('Buildings - Heat &amp; Fuels'!$E19&amp;F19,'Emission factors'!$J$3:$J$201&amp;'Emission factors'!$K$3:$K$201,0),MATCH('Buildings - Heat &amp; Fuels'!$M$6,'Emission factors'!$K$2:$V$2,0)))</f>
        <v/>
      </c>
      <c r="N19" s="496" t="str">
        <f>IF(OR(K19="",M19=""),"",SUM(BuildingsHeatFuelsTable[[#This Row],[Direct]:[Indirect WTT]]))</f>
        <v/>
      </c>
      <c r="O19" s="268"/>
      <c r="P19" s="497"/>
      <c r="Q19" s="157" t="str" cm="1">
        <f t="array" ref="Q19">IF(OR($E19="",$I19=""),"",(INDEX('Emission factors'!$K$3:$V$201,MATCH('Buildings - Heat &amp; Fuels'!$E19&amp;$F19,'Emission factors'!$J$3:$J$201&amp;'Emission factors'!$K$3:$K$201,0),MATCH('Buildings - Heat &amp; Fuels'!Q$6,'Emission factors'!$K$2:$V$2,0)))*$K19)</f>
        <v/>
      </c>
      <c r="R19" s="157" t="str" cm="1">
        <f t="array" ref="R19">IF(OR($E19="",$I19=""),"",(INDEX('Emission factors'!$K$3:$V$201,MATCH('Buildings - Heat &amp; Fuels'!$E19&amp;$F19,'Emission factors'!$J$3:$J$201&amp;'Emission factors'!$K$3:$K$201,0),MATCH('Buildings - Heat &amp; Fuels'!R$6,'Emission factors'!$K$2:$V$2,0)))*$K19)</f>
        <v/>
      </c>
      <c r="S19" s="157" t="str" cm="1">
        <f t="array" ref="S19">IF(OR($E19="",$I19=""),"",(INDEX('Emission factors'!$K$3:$V$201,MATCH('Buildings - Heat &amp; Fuels'!$E19&amp;$F19,'Emission factors'!$J$3:$J$201&amp;'Emission factors'!$K$3:$K$201,0),MATCH('Buildings - Heat &amp; Fuels'!S$6,'Emission factors'!$K$2:$V$2,0)))*$K19)</f>
        <v/>
      </c>
      <c r="T19" s="157" t="str" cm="1">
        <f t="array" ref="T19">IF(OR($E19="",$I19=""),"",(INDEX('Emission factors'!$K$3:$V$201,MATCH('Buildings - Heat &amp; Fuels'!$E19&amp;$F19,'Emission factors'!$J$3:$J$201&amp;'Emission factors'!$K$3:$K$201,0),MATCH('Buildings - Heat &amp; Fuels'!T$6,'Emission factors'!$K$2:$V$2,0)))*$K19)</f>
        <v/>
      </c>
      <c r="U19" s="157" t="str" cm="1">
        <f t="array" ref="U19">IF(OR($E19="",$I19=""),"",(INDEX('Emission factors'!$K$3:$V$201,MATCH('Buildings - Heat &amp; Fuels'!$E19&amp;$F19,'Emission factors'!$J$3:$J$201&amp;'Emission factors'!$K$3:$K$201,0),MATCH('Buildings - Heat &amp; Fuels'!U$6,'Emission factors'!$K$2:$V$2,0)))*$K19)</f>
        <v/>
      </c>
      <c r="V19" s="158" t="str">
        <f>IF(OR($N19="",BuildingsHeatFuelsTable[[#This Row],[RSD]]=""),"",BuildingsHeatFuelsTable[[#This Row],[Total emissions (kgCO2e)]]*(1+BuildingsHeatFuelsTable[[#This Row],[RSD]]))</f>
        <v/>
      </c>
      <c r="W19" s="159" t="str">
        <f>IF(OR($N19="",BuildingsHeatFuelsTable[[#This Row],[RSD]]=""),"",BuildingsHeatFuelsTable[[#This Row],[Total emissions (kgCO2e)]]*(1-BuildingsHeatFuelsTable[[#This Row],[RSD]]))</f>
        <v/>
      </c>
      <c r="X19" s="169" t="str" cm="1">
        <f t="array" ref="X19">IF(OR($E19="",$I19=""),"",(INDEX('Emission factors'!$K$3:$V$201,MATCH('Buildings - Heat &amp; Fuels'!$E19&amp;$F19,'Emission factors'!$J$3:$J$201&amp;'Emission factors'!$K$3:$K$201,0),MATCH('Buildings - Heat &amp; Fuels'!X$6,'Emission factors'!$K$2:$V$2,0)))*$K19)</f>
        <v/>
      </c>
      <c r="Y19" s="30"/>
      <c r="Z19" s="1" cm="1">
        <f t="array" ref="Z19">IF(OR(ISERROR(B19:X19)),1,0)</f>
        <v>0</v>
      </c>
      <c r="AA19" s="1">
        <f t="shared" si="0"/>
        <v>0</v>
      </c>
    </row>
    <row r="20" spans="1:27" ht="15" outlineLevel="1" thickBot="1" x14ac:dyDescent="0.4">
      <c r="A20" s="319"/>
      <c r="B20" s="216"/>
      <c r="C20" s="216"/>
      <c r="D20" s="489" t="str">
        <f>IFERROR(INDEX(BuildingInformationTable[Site type],MATCH(BuildingsHeatFuelsTable[[#This Row],[Site name]],BuildingInformationTable[Site name],0)),"")</f>
        <v/>
      </c>
      <c r="E20" s="491"/>
      <c r="F20" s="491"/>
      <c r="G20" s="491"/>
      <c r="H20" s="492" t="str">
        <f>IF(G20="","",INDEX(Lists!$BA$4:$BC$31,MATCH(E20,Lists!$AZ$4:$AZ$31,0),MATCH(G20,Lists!$BA$3:$BC$3,0)))</f>
        <v/>
      </c>
      <c r="I20" s="267"/>
      <c r="J20" s="491"/>
      <c r="K20" s="493" t="str" cm="1">
        <f t="array" ref="K20">IF(OR($E20="",$D20="",$I20="",$J20=""),"",IF(J20=L20,I20,(INDEX('Emission factors'!$K$3:$V$201,MATCH(E20&amp;F20,'Emission factors'!$J$3:$J$201&amp;'Emission factors'!$K$3:$K$201,0),MATCH(K$6,'Emission factors'!$K$2:$V$2,0)))*I20))</f>
        <v/>
      </c>
      <c r="L20" s="494" t="str">
        <f>IF(OR($E20="",$D20="",$I20="",$J20=""),"",INDEX('Emission factors'!$K$3:$V$201,MATCH('Buildings - Heat &amp; Fuels'!$E20,'Emission factors'!$J$3:$J$201,0),MATCH($L$6,'Emission factors'!$K$2:$V$2,0)))</f>
        <v/>
      </c>
      <c r="M20" s="495" t="str" cm="1">
        <f t="array" ref="M20">IF(OR(E20="",I20="",BuildingsHeatFuelsTable[[#This Row],[Units]]=""),"",INDEX('Emission factors'!$K$3:$V$201,MATCH('Buildings - Heat &amp; Fuels'!$E20&amp;F20,'Emission factors'!$J$3:$J$201&amp;'Emission factors'!$K$3:$K$201,0),MATCH('Buildings - Heat &amp; Fuels'!$M$6,'Emission factors'!$K$2:$V$2,0)))</f>
        <v/>
      </c>
      <c r="N20" s="496" t="str">
        <f>IF(OR(K20="",M20=""),"",SUM(BuildingsHeatFuelsTable[[#This Row],[Direct]:[Indirect WTT]]))</f>
        <v/>
      </c>
      <c r="O20" s="268"/>
      <c r="P20" s="497"/>
      <c r="Q20" s="157" t="str" cm="1">
        <f t="array" ref="Q20">IF(OR($E20="",$I20=""),"",(INDEX('Emission factors'!$K$3:$V$201,MATCH('Buildings - Heat &amp; Fuels'!$E20&amp;$F20,'Emission factors'!$J$3:$J$201&amp;'Emission factors'!$K$3:$K$201,0),MATCH('Buildings - Heat &amp; Fuels'!Q$6,'Emission factors'!$K$2:$V$2,0)))*$K20)</f>
        <v/>
      </c>
      <c r="R20" s="157" t="str" cm="1">
        <f t="array" ref="R20">IF(OR($E20="",$I20=""),"",(INDEX('Emission factors'!$K$3:$V$201,MATCH('Buildings - Heat &amp; Fuels'!$E20&amp;$F20,'Emission factors'!$J$3:$J$201&amp;'Emission factors'!$K$3:$K$201,0),MATCH('Buildings - Heat &amp; Fuels'!R$6,'Emission factors'!$K$2:$V$2,0)))*$K20)</f>
        <v/>
      </c>
      <c r="S20" s="157" t="str" cm="1">
        <f t="array" ref="S20">IF(OR($E20="",$I20=""),"",(INDEX('Emission factors'!$K$3:$V$201,MATCH('Buildings - Heat &amp; Fuels'!$E20&amp;$F20,'Emission factors'!$J$3:$J$201&amp;'Emission factors'!$K$3:$K$201,0),MATCH('Buildings - Heat &amp; Fuels'!S$6,'Emission factors'!$K$2:$V$2,0)))*$K20)</f>
        <v/>
      </c>
      <c r="T20" s="157" t="str" cm="1">
        <f t="array" ref="T20">IF(OR($E20="",$I20=""),"",(INDEX('Emission factors'!$K$3:$V$201,MATCH('Buildings - Heat &amp; Fuels'!$E20&amp;$F20,'Emission factors'!$J$3:$J$201&amp;'Emission factors'!$K$3:$K$201,0),MATCH('Buildings - Heat &amp; Fuels'!T$6,'Emission factors'!$K$2:$V$2,0)))*$K20)</f>
        <v/>
      </c>
      <c r="U20" s="157" t="str" cm="1">
        <f t="array" ref="U20">IF(OR($E20="",$I20=""),"",(INDEX('Emission factors'!$K$3:$V$201,MATCH('Buildings - Heat &amp; Fuels'!$E20&amp;$F20,'Emission factors'!$J$3:$J$201&amp;'Emission factors'!$K$3:$K$201,0),MATCH('Buildings - Heat &amp; Fuels'!U$6,'Emission factors'!$K$2:$V$2,0)))*$K20)</f>
        <v/>
      </c>
      <c r="V20" s="158" t="str">
        <f>IF(OR($N20="",BuildingsHeatFuelsTable[[#This Row],[RSD]]=""),"",BuildingsHeatFuelsTable[[#This Row],[Total emissions (kgCO2e)]]*(1+BuildingsHeatFuelsTable[[#This Row],[RSD]]))</f>
        <v/>
      </c>
      <c r="W20" s="159" t="str">
        <f>IF(OR($N20="",BuildingsHeatFuelsTable[[#This Row],[RSD]]=""),"",BuildingsHeatFuelsTable[[#This Row],[Total emissions (kgCO2e)]]*(1-BuildingsHeatFuelsTable[[#This Row],[RSD]]))</f>
        <v/>
      </c>
      <c r="X20" s="169" t="str" cm="1">
        <f t="array" ref="X20">IF(OR($E20="",$I20=""),"",(INDEX('Emission factors'!$K$3:$V$201,MATCH('Buildings - Heat &amp; Fuels'!$E20&amp;$F20,'Emission factors'!$J$3:$J$201&amp;'Emission factors'!$K$3:$K$201,0),MATCH('Buildings - Heat &amp; Fuels'!X$6,'Emission factors'!$K$2:$V$2,0)))*$K20)</f>
        <v/>
      </c>
      <c r="Y20" s="30"/>
      <c r="Z20" s="1" cm="1">
        <f t="array" ref="Z20">IF(OR(ISERROR(B20:X20)),1,0)</f>
        <v>0</v>
      </c>
      <c r="AA20" s="1">
        <f t="shared" si="0"/>
        <v>0</v>
      </c>
    </row>
    <row r="21" spans="1:27" ht="15" outlineLevel="1" thickBot="1" x14ac:dyDescent="0.4">
      <c r="A21" s="319"/>
      <c r="B21" s="216"/>
      <c r="C21" s="216"/>
      <c r="D21" s="489" t="str">
        <f>IFERROR(INDEX(BuildingInformationTable[Site type],MATCH(BuildingsHeatFuelsTable[[#This Row],[Site name]],BuildingInformationTable[Site name],0)),"")</f>
        <v/>
      </c>
      <c r="E21" s="491"/>
      <c r="F21" s="491"/>
      <c r="G21" s="491"/>
      <c r="H21" s="492" t="str">
        <f>IF(G21="","",INDEX(Lists!$BA$4:$BC$31,MATCH(E21,Lists!$AZ$4:$AZ$31,0),MATCH(G21,Lists!$BA$3:$BC$3,0)))</f>
        <v/>
      </c>
      <c r="I21" s="267"/>
      <c r="J21" s="491"/>
      <c r="K21" s="493" t="str" cm="1">
        <f t="array" ref="K21">IF(OR($E21="",$D21="",$I21="",$J21=""),"",IF(J21=L21,I21,(INDEX('Emission factors'!$K$3:$V$201,MATCH(E21&amp;F21,'Emission factors'!$J$3:$J$201&amp;'Emission factors'!$K$3:$K$201,0),MATCH(K$6,'Emission factors'!$K$2:$V$2,0)))*I21))</f>
        <v/>
      </c>
      <c r="L21" s="494" t="str">
        <f>IF(OR($E21="",$D21="",$I21="",$J21=""),"",INDEX('Emission factors'!$K$3:$V$201,MATCH('Buildings - Heat &amp; Fuels'!$E21,'Emission factors'!$J$3:$J$201,0),MATCH($L$6,'Emission factors'!$K$2:$V$2,0)))</f>
        <v/>
      </c>
      <c r="M21" s="495" t="str" cm="1">
        <f t="array" ref="M21">IF(OR(E21="",I21="",BuildingsHeatFuelsTable[[#This Row],[Units]]=""),"",INDEX('Emission factors'!$K$3:$V$201,MATCH('Buildings - Heat &amp; Fuels'!$E21&amp;F21,'Emission factors'!$J$3:$J$201&amp;'Emission factors'!$K$3:$K$201,0),MATCH('Buildings - Heat &amp; Fuels'!$M$6,'Emission factors'!$K$2:$V$2,0)))</f>
        <v/>
      </c>
      <c r="N21" s="496" t="str">
        <f>IF(OR(K21="",M21=""),"",SUM(BuildingsHeatFuelsTable[[#This Row],[Direct]:[Indirect WTT]]))</f>
        <v/>
      </c>
      <c r="O21" s="268"/>
      <c r="P21" s="497"/>
      <c r="Q21" s="157" t="str" cm="1">
        <f t="array" ref="Q21">IF(OR($E21="",$I21=""),"",(INDEX('Emission factors'!$K$3:$V$201,MATCH('Buildings - Heat &amp; Fuels'!$E21&amp;$F21,'Emission factors'!$J$3:$J$201&amp;'Emission factors'!$K$3:$K$201,0),MATCH('Buildings - Heat &amp; Fuels'!Q$6,'Emission factors'!$K$2:$V$2,0)))*$K21)</f>
        <v/>
      </c>
      <c r="R21" s="157" t="str" cm="1">
        <f t="array" ref="R21">IF(OR($E21="",$I21=""),"",(INDEX('Emission factors'!$K$3:$V$201,MATCH('Buildings - Heat &amp; Fuels'!$E21&amp;$F21,'Emission factors'!$J$3:$J$201&amp;'Emission factors'!$K$3:$K$201,0),MATCH('Buildings - Heat &amp; Fuels'!R$6,'Emission factors'!$K$2:$V$2,0)))*$K21)</f>
        <v/>
      </c>
      <c r="S21" s="157" t="str" cm="1">
        <f t="array" ref="S21">IF(OR($E21="",$I21=""),"",(INDEX('Emission factors'!$K$3:$V$201,MATCH('Buildings - Heat &amp; Fuels'!$E21&amp;$F21,'Emission factors'!$J$3:$J$201&amp;'Emission factors'!$K$3:$K$201,0),MATCH('Buildings - Heat &amp; Fuels'!S$6,'Emission factors'!$K$2:$V$2,0)))*$K21)</f>
        <v/>
      </c>
      <c r="T21" s="157" t="str" cm="1">
        <f t="array" ref="T21">IF(OR($E21="",$I21=""),"",(INDEX('Emission factors'!$K$3:$V$201,MATCH('Buildings - Heat &amp; Fuels'!$E21&amp;$F21,'Emission factors'!$J$3:$J$201&amp;'Emission factors'!$K$3:$K$201,0),MATCH('Buildings - Heat &amp; Fuels'!T$6,'Emission factors'!$K$2:$V$2,0)))*$K21)</f>
        <v/>
      </c>
      <c r="U21" s="157" t="str" cm="1">
        <f t="array" ref="U21">IF(OR($E21="",$I21=""),"",(INDEX('Emission factors'!$K$3:$V$201,MATCH('Buildings - Heat &amp; Fuels'!$E21&amp;$F21,'Emission factors'!$J$3:$J$201&amp;'Emission factors'!$K$3:$K$201,0),MATCH('Buildings - Heat &amp; Fuels'!U$6,'Emission factors'!$K$2:$V$2,0)))*$K21)</f>
        <v/>
      </c>
      <c r="V21" s="158" t="str">
        <f>IF(OR($N21="",BuildingsHeatFuelsTable[[#This Row],[RSD]]=""),"",BuildingsHeatFuelsTable[[#This Row],[Total emissions (kgCO2e)]]*(1+BuildingsHeatFuelsTable[[#This Row],[RSD]]))</f>
        <v/>
      </c>
      <c r="W21" s="159" t="str">
        <f>IF(OR($N21="",BuildingsHeatFuelsTable[[#This Row],[RSD]]=""),"",BuildingsHeatFuelsTable[[#This Row],[Total emissions (kgCO2e)]]*(1-BuildingsHeatFuelsTable[[#This Row],[RSD]]))</f>
        <v/>
      </c>
      <c r="X21" s="169" t="str" cm="1">
        <f t="array" ref="X21">IF(OR($E21="",$I21=""),"",(INDEX('Emission factors'!$K$3:$V$201,MATCH('Buildings - Heat &amp; Fuels'!$E21&amp;$F21,'Emission factors'!$J$3:$J$201&amp;'Emission factors'!$K$3:$K$201,0),MATCH('Buildings - Heat &amp; Fuels'!X$6,'Emission factors'!$K$2:$V$2,0)))*$K21)</f>
        <v/>
      </c>
      <c r="Y21" s="30"/>
      <c r="Z21" s="1" cm="1">
        <f t="array" ref="Z21">IF(OR(ISERROR(B21:X21)),1,0)</f>
        <v>0</v>
      </c>
      <c r="AA21" s="1">
        <f t="shared" si="0"/>
        <v>0</v>
      </c>
    </row>
    <row r="22" spans="1:27" ht="15" outlineLevel="1" thickBot="1" x14ac:dyDescent="0.4">
      <c r="A22" s="319"/>
      <c r="B22" s="216"/>
      <c r="C22" s="216"/>
      <c r="D22" s="489" t="str">
        <f>IFERROR(INDEX(BuildingInformationTable[Site type],MATCH(BuildingsHeatFuelsTable[[#This Row],[Site name]],BuildingInformationTable[Site name],0)),"")</f>
        <v/>
      </c>
      <c r="E22" s="491"/>
      <c r="F22" s="491"/>
      <c r="G22" s="491"/>
      <c r="H22" s="492" t="str">
        <f>IF(G22="","",INDEX(Lists!$BA$4:$BC$31,MATCH(E22,Lists!$AZ$4:$AZ$31,0),MATCH(G22,Lists!$BA$3:$BC$3,0)))</f>
        <v/>
      </c>
      <c r="I22" s="267"/>
      <c r="J22" s="491"/>
      <c r="K22" s="493" t="str" cm="1">
        <f t="array" ref="K22">IF(OR($E22="",$D22="",$I22="",$J22=""),"",IF(J22=L22,I22,(INDEX('Emission factors'!$K$3:$V$201,MATCH(E22&amp;F22,'Emission factors'!$J$3:$J$201&amp;'Emission factors'!$K$3:$K$201,0),MATCH(K$6,'Emission factors'!$K$2:$V$2,0)))*I22))</f>
        <v/>
      </c>
      <c r="L22" s="494" t="str">
        <f>IF(OR($E22="",$D22="",$I22="",$J22=""),"",INDEX('Emission factors'!$K$3:$V$201,MATCH('Buildings - Heat &amp; Fuels'!$E22,'Emission factors'!$J$3:$J$201,0),MATCH($L$6,'Emission factors'!$K$2:$V$2,0)))</f>
        <v/>
      </c>
      <c r="M22" s="495" t="str" cm="1">
        <f t="array" ref="M22">IF(OR(E22="",I22="",BuildingsHeatFuelsTable[[#This Row],[Units]]=""),"",INDEX('Emission factors'!$K$3:$V$201,MATCH('Buildings - Heat &amp; Fuels'!$E22&amp;F22,'Emission factors'!$J$3:$J$201&amp;'Emission factors'!$K$3:$K$201,0),MATCH('Buildings - Heat &amp; Fuels'!$M$6,'Emission factors'!$K$2:$V$2,0)))</f>
        <v/>
      </c>
      <c r="N22" s="496" t="str">
        <f>IF(OR(K22="",M22=""),"",SUM(BuildingsHeatFuelsTable[[#This Row],[Direct]:[Indirect WTT]]))</f>
        <v/>
      </c>
      <c r="O22" s="268"/>
      <c r="P22" s="497"/>
      <c r="Q22" s="157" t="str" cm="1">
        <f t="array" ref="Q22">IF(OR($E22="",$I22=""),"",(INDEX('Emission factors'!$K$3:$V$201,MATCH('Buildings - Heat &amp; Fuels'!$E22&amp;$F22,'Emission factors'!$J$3:$J$201&amp;'Emission factors'!$K$3:$K$201,0),MATCH('Buildings - Heat &amp; Fuels'!Q$6,'Emission factors'!$K$2:$V$2,0)))*$K22)</f>
        <v/>
      </c>
      <c r="R22" s="157" t="str" cm="1">
        <f t="array" ref="R22">IF(OR($E22="",$I22=""),"",(INDEX('Emission factors'!$K$3:$V$201,MATCH('Buildings - Heat &amp; Fuels'!$E22&amp;$F22,'Emission factors'!$J$3:$J$201&amp;'Emission factors'!$K$3:$K$201,0),MATCH('Buildings - Heat &amp; Fuels'!R$6,'Emission factors'!$K$2:$V$2,0)))*$K22)</f>
        <v/>
      </c>
      <c r="S22" s="157" t="str" cm="1">
        <f t="array" ref="S22">IF(OR($E22="",$I22=""),"",(INDEX('Emission factors'!$K$3:$V$201,MATCH('Buildings - Heat &amp; Fuels'!$E22&amp;$F22,'Emission factors'!$J$3:$J$201&amp;'Emission factors'!$K$3:$K$201,0),MATCH('Buildings - Heat &amp; Fuels'!S$6,'Emission factors'!$K$2:$V$2,0)))*$K22)</f>
        <v/>
      </c>
      <c r="T22" s="157" t="str" cm="1">
        <f t="array" ref="T22">IF(OR($E22="",$I22=""),"",(INDEX('Emission factors'!$K$3:$V$201,MATCH('Buildings - Heat &amp; Fuels'!$E22&amp;$F22,'Emission factors'!$J$3:$J$201&amp;'Emission factors'!$K$3:$K$201,0),MATCH('Buildings - Heat &amp; Fuels'!T$6,'Emission factors'!$K$2:$V$2,0)))*$K22)</f>
        <v/>
      </c>
      <c r="U22" s="157" t="str" cm="1">
        <f t="array" ref="U22">IF(OR($E22="",$I22=""),"",(INDEX('Emission factors'!$K$3:$V$201,MATCH('Buildings - Heat &amp; Fuels'!$E22&amp;$F22,'Emission factors'!$J$3:$J$201&amp;'Emission factors'!$K$3:$K$201,0),MATCH('Buildings - Heat &amp; Fuels'!U$6,'Emission factors'!$K$2:$V$2,0)))*$K22)</f>
        <v/>
      </c>
      <c r="V22" s="158" t="str">
        <f>IF(OR($N22="",BuildingsHeatFuelsTable[[#This Row],[RSD]]=""),"",BuildingsHeatFuelsTable[[#This Row],[Total emissions (kgCO2e)]]*(1+BuildingsHeatFuelsTable[[#This Row],[RSD]]))</f>
        <v/>
      </c>
      <c r="W22" s="159" t="str">
        <f>IF(OR($N22="",BuildingsHeatFuelsTable[[#This Row],[RSD]]=""),"",BuildingsHeatFuelsTable[[#This Row],[Total emissions (kgCO2e)]]*(1-BuildingsHeatFuelsTable[[#This Row],[RSD]]))</f>
        <v/>
      </c>
      <c r="X22" s="169" t="str" cm="1">
        <f t="array" ref="X22">IF(OR($E22="",$I22=""),"",(INDEX('Emission factors'!$K$3:$V$201,MATCH('Buildings - Heat &amp; Fuels'!$E22&amp;$F22,'Emission factors'!$J$3:$J$201&amp;'Emission factors'!$K$3:$K$201,0),MATCH('Buildings - Heat &amp; Fuels'!X$6,'Emission factors'!$K$2:$V$2,0)))*$K22)</f>
        <v/>
      </c>
      <c r="Y22" s="30"/>
      <c r="Z22" s="1" cm="1">
        <f t="array" ref="Z22">IF(OR(ISERROR(B22:X22)),1,0)</f>
        <v>0</v>
      </c>
      <c r="AA22" s="1">
        <f t="shared" si="0"/>
        <v>0</v>
      </c>
    </row>
    <row r="23" spans="1:27" ht="15" outlineLevel="1" thickBot="1" x14ac:dyDescent="0.4">
      <c r="A23" s="319"/>
      <c r="B23" s="216"/>
      <c r="C23" s="216"/>
      <c r="D23" s="489" t="str">
        <f>IFERROR(INDEX(BuildingInformationTable[Site type],MATCH(BuildingsHeatFuelsTable[[#This Row],[Site name]],BuildingInformationTable[Site name],0)),"")</f>
        <v/>
      </c>
      <c r="E23" s="491"/>
      <c r="F23" s="491"/>
      <c r="G23" s="491"/>
      <c r="H23" s="492" t="str">
        <f>IF(G23="","",INDEX(Lists!$BA$4:$BC$31,MATCH(E23,Lists!$AZ$4:$AZ$31,0),MATCH(G23,Lists!$BA$3:$BC$3,0)))</f>
        <v/>
      </c>
      <c r="I23" s="267"/>
      <c r="J23" s="491"/>
      <c r="K23" s="493" t="str" cm="1">
        <f t="array" ref="K23">IF(OR($E23="",$D23="",$I23="",$J23=""),"",IF(J23=L23,I23,(INDEX('Emission factors'!$K$3:$V$201,MATCH(E23&amp;F23,'Emission factors'!$J$3:$J$201&amp;'Emission factors'!$K$3:$K$201,0),MATCH(K$6,'Emission factors'!$K$2:$V$2,0)))*I23))</f>
        <v/>
      </c>
      <c r="L23" s="494" t="str">
        <f>IF(OR($E23="",$D23="",$I23="",$J23=""),"",INDEX('Emission factors'!$K$3:$V$201,MATCH('Buildings - Heat &amp; Fuels'!$E23,'Emission factors'!$J$3:$J$201,0),MATCH($L$6,'Emission factors'!$K$2:$V$2,0)))</f>
        <v/>
      </c>
      <c r="M23" s="495" t="str" cm="1">
        <f t="array" ref="M23">IF(OR(E23="",I23="",BuildingsHeatFuelsTable[[#This Row],[Units]]=""),"",INDEX('Emission factors'!$K$3:$V$201,MATCH('Buildings - Heat &amp; Fuels'!$E23&amp;F23,'Emission factors'!$J$3:$J$201&amp;'Emission factors'!$K$3:$K$201,0),MATCH('Buildings - Heat &amp; Fuels'!$M$6,'Emission factors'!$K$2:$V$2,0)))</f>
        <v/>
      </c>
      <c r="N23" s="496" t="str">
        <f>IF(OR(K23="",M23=""),"",SUM(BuildingsHeatFuelsTable[[#This Row],[Direct]:[Indirect WTT]]))</f>
        <v/>
      </c>
      <c r="O23" s="268"/>
      <c r="P23" s="497"/>
      <c r="Q23" s="157" t="str" cm="1">
        <f t="array" ref="Q23">IF(OR($E23="",$I23=""),"",(INDEX('Emission factors'!$K$3:$V$201,MATCH('Buildings - Heat &amp; Fuels'!$E23&amp;$F23,'Emission factors'!$J$3:$J$201&amp;'Emission factors'!$K$3:$K$201,0),MATCH('Buildings - Heat &amp; Fuels'!Q$6,'Emission factors'!$K$2:$V$2,0)))*$K23)</f>
        <v/>
      </c>
      <c r="R23" s="157" t="str" cm="1">
        <f t="array" ref="R23">IF(OR($E23="",$I23=""),"",(INDEX('Emission factors'!$K$3:$V$201,MATCH('Buildings - Heat &amp; Fuels'!$E23&amp;$F23,'Emission factors'!$J$3:$J$201&amp;'Emission factors'!$K$3:$K$201,0),MATCH('Buildings - Heat &amp; Fuels'!R$6,'Emission factors'!$K$2:$V$2,0)))*$K23)</f>
        <v/>
      </c>
      <c r="S23" s="157" t="str" cm="1">
        <f t="array" ref="S23">IF(OR($E23="",$I23=""),"",(INDEX('Emission factors'!$K$3:$V$201,MATCH('Buildings - Heat &amp; Fuels'!$E23&amp;$F23,'Emission factors'!$J$3:$J$201&amp;'Emission factors'!$K$3:$K$201,0),MATCH('Buildings - Heat &amp; Fuels'!S$6,'Emission factors'!$K$2:$V$2,0)))*$K23)</f>
        <v/>
      </c>
      <c r="T23" s="157" t="str" cm="1">
        <f t="array" ref="T23">IF(OR($E23="",$I23=""),"",(INDEX('Emission factors'!$K$3:$V$201,MATCH('Buildings - Heat &amp; Fuels'!$E23&amp;$F23,'Emission factors'!$J$3:$J$201&amp;'Emission factors'!$K$3:$K$201,0),MATCH('Buildings - Heat &amp; Fuels'!T$6,'Emission factors'!$K$2:$V$2,0)))*$K23)</f>
        <v/>
      </c>
      <c r="U23" s="157" t="str" cm="1">
        <f t="array" ref="U23">IF(OR($E23="",$I23=""),"",(INDEX('Emission factors'!$K$3:$V$201,MATCH('Buildings - Heat &amp; Fuels'!$E23&amp;$F23,'Emission factors'!$J$3:$J$201&amp;'Emission factors'!$K$3:$K$201,0),MATCH('Buildings - Heat &amp; Fuels'!U$6,'Emission factors'!$K$2:$V$2,0)))*$K23)</f>
        <v/>
      </c>
      <c r="V23" s="158" t="str">
        <f>IF(OR($N23="",BuildingsHeatFuelsTable[[#This Row],[RSD]]=""),"",BuildingsHeatFuelsTable[[#This Row],[Total emissions (kgCO2e)]]*(1+BuildingsHeatFuelsTable[[#This Row],[RSD]]))</f>
        <v/>
      </c>
      <c r="W23" s="159" t="str">
        <f>IF(OR($N23="",BuildingsHeatFuelsTable[[#This Row],[RSD]]=""),"",BuildingsHeatFuelsTable[[#This Row],[Total emissions (kgCO2e)]]*(1-BuildingsHeatFuelsTable[[#This Row],[RSD]]))</f>
        <v/>
      </c>
      <c r="X23" s="169" t="str" cm="1">
        <f t="array" ref="X23">IF(OR($E23="",$I23=""),"",(INDEX('Emission factors'!$K$3:$V$201,MATCH('Buildings - Heat &amp; Fuels'!$E23&amp;$F23,'Emission factors'!$J$3:$J$201&amp;'Emission factors'!$K$3:$K$201,0),MATCH('Buildings - Heat &amp; Fuels'!X$6,'Emission factors'!$K$2:$V$2,0)))*$K23)</f>
        <v/>
      </c>
      <c r="Y23" s="30"/>
      <c r="Z23" s="1" cm="1">
        <f t="array" ref="Z23">IF(OR(ISERROR(B23:X23)),1,0)</f>
        <v>0</v>
      </c>
      <c r="AA23" s="1">
        <f t="shared" si="0"/>
        <v>0</v>
      </c>
    </row>
    <row r="24" spans="1:27" ht="15" outlineLevel="1" thickBot="1" x14ac:dyDescent="0.4">
      <c r="A24" s="319"/>
      <c r="B24" s="216"/>
      <c r="C24" s="216"/>
      <c r="D24" s="489" t="str">
        <f>IFERROR(INDEX(BuildingInformationTable[Site type],MATCH(BuildingsHeatFuelsTable[[#This Row],[Site name]],BuildingInformationTable[Site name],0)),"")</f>
        <v/>
      </c>
      <c r="E24" s="491"/>
      <c r="F24" s="491"/>
      <c r="G24" s="491"/>
      <c r="H24" s="492" t="str">
        <f>IF(G24="","",INDEX(Lists!$BA$4:$BC$31,MATCH(E24,Lists!$AZ$4:$AZ$31,0),MATCH(G24,Lists!$BA$3:$BC$3,0)))</f>
        <v/>
      </c>
      <c r="I24" s="267"/>
      <c r="J24" s="491"/>
      <c r="K24" s="493" t="str" cm="1">
        <f t="array" ref="K24">IF(OR($E24="",$D24="",$I24="",$J24=""),"",IF(J24=L24,I24,(INDEX('Emission factors'!$K$3:$V$201,MATCH(E24&amp;F24,'Emission factors'!$J$3:$J$201&amp;'Emission factors'!$K$3:$K$201,0),MATCH(K$6,'Emission factors'!$K$2:$V$2,0)))*I24))</f>
        <v/>
      </c>
      <c r="L24" s="494" t="str">
        <f>IF(OR($E24="",$D24="",$I24="",$J24=""),"",INDEX('Emission factors'!$K$3:$V$201,MATCH('Buildings - Heat &amp; Fuels'!$E24,'Emission factors'!$J$3:$J$201,0),MATCH($L$6,'Emission factors'!$K$2:$V$2,0)))</f>
        <v/>
      </c>
      <c r="M24" s="495" t="str" cm="1">
        <f t="array" ref="M24">IF(OR(E24="",I24="",BuildingsHeatFuelsTable[[#This Row],[Units]]=""),"",INDEX('Emission factors'!$K$3:$V$201,MATCH('Buildings - Heat &amp; Fuels'!$E24&amp;F24,'Emission factors'!$J$3:$J$201&amp;'Emission factors'!$K$3:$K$201,0),MATCH('Buildings - Heat &amp; Fuels'!$M$6,'Emission factors'!$K$2:$V$2,0)))</f>
        <v/>
      </c>
      <c r="N24" s="496" t="str">
        <f>IF(OR(K24="",M24=""),"",SUM(BuildingsHeatFuelsTable[[#This Row],[Direct]:[Indirect WTT]]))</f>
        <v/>
      </c>
      <c r="O24" s="268"/>
      <c r="P24" s="497"/>
      <c r="Q24" s="157" t="str" cm="1">
        <f t="array" ref="Q24">IF(OR($E24="",$I24=""),"",(INDEX('Emission factors'!$K$3:$V$201,MATCH('Buildings - Heat &amp; Fuels'!$E24&amp;$F24,'Emission factors'!$J$3:$J$201&amp;'Emission factors'!$K$3:$K$201,0),MATCH('Buildings - Heat &amp; Fuels'!Q$6,'Emission factors'!$K$2:$V$2,0)))*$K24)</f>
        <v/>
      </c>
      <c r="R24" s="157" t="str" cm="1">
        <f t="array" ref="R24">IF(OR($E24="",$I24=""),"",(INDEX('Emission factors'!$K$3:$V$201,MATCH('Buildings - Heat &amp; Fuels'!$E24&amp;$F24,'Emission factors'!$J$3:$J$201&amp;'Emission factors'!$K$3:$K$201,0),MATCH('Buildings - Heat &amp; Fuels'!R$6,'Emission factors'!$K$2:$V$2,0)))*$K24)</f>
        <v/>
      </c>
      <c r="S24" s="157" t="str" cm="1">
        <f t="array" ref="S24">IF(OR($E24="",$I24=""),"",(INDEX('Emission factors'!$K$3:$V$201,MATCH('Buildings - Heat &amp; Fuels'!$E24&amp;$F24,'Emission factors'!$J$3:$J$201&amp;'Emission factors'!$K$3:$K$201,0),MATCH('Buildings - Heat &amp; Fuels'!S$6,'Emission factors'!$K$2:$V$2,0)))*$K24)</f>
        <v/>
      </c>
      <c r="T24" s="157" t="str" cm="1">
        <f t="array" ref="T24">IF(OR($E24="",$I24=""),"",(INDEX('Emission factors'!$K$3:$V$201,MATCH('Buildings - Heat &amp; Fuels'!$E24&amp;$F24,'Emission factors'!$J$3:$J$201&amp;'Emission factors'!$K$3:$K$201,0),MATCH('Buildings - Heat &amp; Fuels'!T$6,'Emission factors'!$K$2:$V$2,0)))*$K24)</f>
        <v/>
      </c>
      <c r="U24" s="157" t="str" cm="1">
        <f t="array" ref="U24">IF(OR($E24="",$I24=""),"",(INDEX('Emission factors'!$K$3:$V$201,MATCH('Buildings - Heat &amp; Fuels'!$E24&amp;$F24,'Emission factors'!$J$3:$J$201&amp;'Emission factors'!$K$3:$K$201,0),MATCH('Buildings - Heat &amp; Fuels'!U$6,'Emission factors'!$K$2:$V$2,0)))*$K24)</f>
        <v/>
      </c>
      <c r="V24" s="158" t="str">
        <f>IF(OR($N24="",BuildingsHeatFuelsTable[[#This Row],[RSD]]=""),"",BuildingsHeatFuelsTable[[#This Row],[Total emissions (kgCO2e)]]*(1+BuildingsHeatFuelsTable[[#This Row],[RSD]]))</f>
        <v/>
      </c>
      <c r="W24" s="159" t="str">
        <f>IF(OR($N24="",BuildingsHeatFuelsTable[[#This Row],[RSD]]=""),"",BuildingsHeatFuelsTable[[#This Row],[Total emissions (kgCO2e)]]*(1-BuildingsHeatFuelsTable[[#This Row],[RSD]]))</f>
        <v/>
      </c>
      <c r="X24" s="169" t="str" cm="1">
        <f t="array" ref="X24">IF(OR($E24="",$I24=""),"",(INDEX('Emission factors'!$K$3:$V$201,MATCH('Buildings - Heat &amp; Fuels'!$E24&amp;$F24,'Emission factors'!$J$3:$J$201&amp;'Emission factors'!$K$3:$K$201,0),MATCH('Buildings - Heat &amp; Fuels'!X$6,'Emission factors'!$K$2:$V$2,0)))*$K24)</f>
        <v/>
      </c>
      <c r="Y24" s="30"/>
      <c r="Z24" s="1" cm="1">
        <f t="array" ref="Z24">IF(OR(ISERROR(B24:X24)),1,0)</f>
        <v>0</v>
      </c>
      <c r="AA24" s="1">
        <f t="shared" si="0"/>
        <v>0</v>
      </c>
    </row>
    <row r="25" spans="1:27" ht="15" outlineLevel="1" thickBot="1" x14ac:dyDescent="0.4">
      <c r="A25" s="319"/>
      <c r="B25" s="216"/>
      <c r="C25" s="216"/>
      <c r="D25" s="489" t="str">
        <f>IFERROR(INDEX(BuildingInformationTable[Site type],MATCH(BuildingsHeatFuelsTable[[#This Row],[Site name]],BuildingInformationTable[Site name],0)),"")</f>
        <v/>
      </c>
      <c r="E25" s="491"/>
      <c r="F25" s="491"/>
      <c r="G25" s="491"/>
      <c r="H25" s="492" t="str">
        <f>IF(G25="","",INDEX(Lists!$BA$4:$BC$31,MATCH(E25,Lists!$AZ$4:$AZ$31,0),MATCH(G25,Lists!$BA$3:$BC$3,0)))</f>
        <v/>
      </c>
      <c r="I25" s="267"/>
      <c r="J25" s="491"/>
      <c r="K25" s="493" t="str" cm="1">
        <f t="array" ref="K25">IF(OR($E25="",$D25="",$I25="",$J25=""),"",IF(J25=L25,I25,(INDEX('Emission factors'!$K$3:$V$201,MATCH(E25&amp;F25,'Emission factors'!$J$3:$J$201&amp;'Emission factors'!$K$3:$K$201,0),MATCH(K$6,'Emission factors'!$K$2:$V$2,0)))*I25))</f>
        <v/>
      </c>
      <c r="L25" s="494" t="str">
        <f>IF(OR($E25="",$D25="",$I25="",$J25=""),"",INDEX('Emission factors'!$K$3:$V$201,MATCH('Buildings - Heat &amp; Fuels'!$E25,'Emission factors'!$J$3:$J$201,0),MATCH($L$6,'Emission factors'!$K$2:$V$2,0)))</f>
        <v/>
      </c>
      <c r="M25" s="495" t="str" cm="1">
        <f t="array" ref="M25">IF(OR(E25="",I25="",BuildingsHeatFuelsTable[[#This Row],[Units]]=""),"",INDEX('Emission factors'!$K$3:$V$201,MATCH('Buildings - Heat &amp; Fuels'!$E25&amp;F25,'Emission factors'!$J$3:$J$201&amp;'Emission factors'!$K$3:$K$201,0),MATCH('Buildings - Heat &amp; Fuels'!$M$6,'Emission factors'!$K$2:$V$2,0)))</f>
        <v/>
      </c>
      <c r="N25" s="496" t="str">
        <f>IF(OR(K25="",M25=""),"",SUM(BuildingsHeatFuelsTable[[#This Row],[Direct]:[Indirect WTT]]))</f>
        <v/>
      </c>
      <c r="O25" s="268"/>
      <c r="P25" s="497"/>
      <c r="Q25" s="157" t="str" cm="1">
        <f t="array" ref="Q25">IF(OR($E25="",$I25=""),"",(INDEX('Emission factors'!$K$3:$V$201,MATCH('Buildings - Heat &amp; Fuels'!$E25&amp;$F25,'Emission factors'!$J$3:$J$201&amp;'Emission factors'!$K$3:$K$201,0),MATCH('Buildings - Heat &amp; Fuels'!Q$6,'Emission factors'!$K$2:$V$2,0)))*$K25)</f>
        <v/>
      </c>
      <c r="R25" s="157" t="str" cm="1">
        <f t="array" ref="R25">IF(OR($E25="",$I25=""),"",(INDEX('Emission factors'!$K$3:$V$201,MATCH('Buildings - Heat &amp; Fuels'!$E25&amp;$F25,'Emission factors'!$J$3:$J$201&amp;'Emission factors'!$K$3:$K$201,0),MATCH('Buildings - Heat &amp; Fuels'!R$6,'Emission factors'!$K$2:$V$2,0)))*$K25)</f>
        <v/>
      </c>
      <c r="S25" s="157" t="str" cm="1">
        <f t="array" ref="S25">IF(OR($E25="",$I25=""),"",(INDEX('Emission factors'!$K$3:$V$201,MATCH('Buildings - Heat &amp; Fuels'!$E25&amp;$F25,'Emission factors'!$J$3:$J$201&amp;'Emission factors'!$K$3:$K$201,0),MATCH('Buildings - Heat &amp; Fuels'!S$6,'Emission factors'!$K$2:$V$2,0)))*$K25)</f>
        <v/>
      </c>
      <c r="T25" s="157" t="str" cm="1">
        <f t="array" ref="T25">IF(OR($E25="",$I25=""),"",(INDEX('Emission factors'!$K$3:$V$201,MATCH('Buildings - Heat &amp; Fuels'!$E25&amp;$F25,'Emission factors'!$J$3:$J$201&amp;'Emission factors'!$K$3:$K$201,0),MATCH('Buildings - Heat &amp; Fuels'!T$6,'Emission factors'!$K$2:$V$2,0)))*$K25)</f>
        <v/>
      </c>
      <c r="U25" s="157" t="str" cm="1">
        <f t="array" ref="U25">IF(OR($E25="",$I25=""),"",(INDEX('Emission factors'!$K$3:$V$201,MATCH('Buildings - Heat &amp; Fuels'!$E25&amp;$F25,'Emission factors'!$J$3:$J$201&amp;'Emission factors'!$K$3:$K$201,0),MATCH('Buildings - Heat &amp; Fuels'!U$6,'Emission factors'!$K$2:$V$2,0)))*$K25)</f>
        <v/>
      </c>
      <c r="V25" s="158" t="str">
        <f>IF(OR($N25="",BuildingsHeatFuelsTable[[#This Row],[RSD]]=""),"",BuildingsHeatFuelsTable[[#This Row],[Total emissions (kgCO2e)]]*(1+BuildingsHeatFuelsTable[[#This Row],[RSD]]))</f>
        <v/>
      </c>
      <c r="W25" s="159" t="str">
        <f>IF(OR($N25="",BuildingsHeatFuelsTable[[#This Row],[RSD]]=""),"",BuildingsHeatFuelsTable[[#This Row],[Total emissions (kgCO2e)]]*(1-BuildingsHeatFuelsTable[[#This Row],[RSD]]))</f>
        <v/>
      </c>
      <c r="X25" s="169" t="str" cm="1">
        <f t="array" ref="X25">IF(OR($E25="",$I25=""),"",(INDEX('Emission factors'!$K$3:$V$201,MATCH('Buildings - Heat &amp; Fuels'!$E25&amp;$F25,'Emission factors'!$J$3:$J$201&amp;'Emission factors'!$K$3:$K$201,0),MATCH('Buildings - Heat &amp; Fuels'!X$6,'Emission factors'!$K$2:$V$2,0)))*$K25)</f>
        <v/>
      </c>
      <c r="Y25" s="30"/>
      <c r="Z25" s="1" cm="1">
        <f t="array" ref="Z25">IF(OR(ISERROR(B25:X25)),1,0)</f>
        <v>0</v>
      </c>
      <c r="AA25" s="1">
        <f t="shared" si="0"/>
        <v>0</v>
      </c>
    </row>
    <row r="26" spans="1:27" ht="15" outlineLevel="1" thickBot="1" x14ac:dyDescent="0.4">
      <c r="A26" s="319"/>
      <c r="B26" s="216"/>
      <c r="C26" s="216"/>
      <c r="D26" s="489" t="str">
        <f>IFERROR(INDEX(BuildingInformationTable[Site type],MATCH(BuildingsHeatFuelsTable[[#This Row],[Site name]],BuildingInformationTable[Site name],0)),"")</f>
        <v/>
      </c>
      <c r="E26" s="491"/>
      <c r="F26" s="491"/>
      <c r="G26" s="491"/>
      <c r="H26" s="492" t="str">
        <f>IF(G26="","",INDEX(Lists!$BA$4:$BC$31,MATCH(E26,Lists!$AZ$4:$AZ$31,0),MATCH(G26,Lists!$BA$3:$BC$3,0)))</f>
        <v/>
      </c>
      <c r="I26" s="267"/>
      <c r="J26" s="491"/>
      <c r="K26" s="493" t="str" cm="1">
        <f t="array" ref="K26">IF(OR($E26="",$D26="",$I26="",$J26=""),"",IF(J26=L26,I26,(INDEX('Emission factors'!$K$3:$V$201,MATCH(E26&amp;F26,'Emission factors'!$J$3:$J$201&amp;'Emission factors'!$K$3:$K$201,0),MATCH(K$6,'Emission factors'!$K$2:$V$2,0)))*I26))</f>
        <v/>
      </c>
      <c r="L26" s="494" t="str">
        <f>IF(OR($E26="",$D26="",$I26="",$J26=""),"",INDEX('Emission factors'!$K$3:$V$201,MATCH('Buildings - Heat &amp; Fuels'!$E26,'Emission factors'!$J$3:$J$201,0),MATCH($L$6,'Emission factors'!$K$2:$V$2,0)))</f>
        <v/>
      </c>
      <c r="M26" s="495" t="str" cm="1">
        <f t="array" ref="M26">IF(OR(E26="",I26="",BuildingsHeatFuelsTable[[#This Row],[Units]]=""),"",INDEX('Emission factors'!$K$3:$V$201,MATCH('Buildings - Heat &amp; Fuels'!$E26&amp;F26,'Emission factors'!$J$3:$J$201&amp;'Emission factors'!$K$3:$K$201,0),MATCH('Buildings - Heat &amp; Fuels'!$M$6,'Emission factors'!$K$2:$V$2,0)))</f>
        <v/>
      </c>
      <c r="N26" s="496" t="str">
        <f>IF(OR(K26="",M26=""),"",SUM(BuildingsHeatFuelsTable[[#This Row],[Direct]:[Indirect WTT]]))</f>
        <v/>
      </c>
      <c r="O26" s="268"/>
      <c r="P26" s="497"/>
      <c r="Q26" s="157" t="str" cm="1">
        <f t="array" ref="Q26">IF(OR($E26="",$I26=""),"",(INDEX('Emission factors'!$K$3:$V$201,MATCH('Buildings - Heat &amp; Fuels'!$E26&amp;$F26,'Emission factors'!$J$3:$J$201&amp;'Emission factors'!$K$3:$K$201,0),MATCH('Buildings - Heat &amp; Fuels'!Q$6,'Emission factors'!$K$2:$V$2,0)))*$K26)</f>
        <v/>
      </c>
      <c r="R26" s="157" t="str" cm="1">
        <f t="array" ref="R26">IF(OR($E26="",$I26=""),"",(INDEX('Emission factors'!$K$3:$V$201,MATCH('Buildings - Heat &amp; Fuels'!$E26&amp;$F26,'Emission factors'!$J$3:$J$201&amp;'Emission factors'!$K$3:$K$201,0),MATCH('Buildings - Heat &amp; Fuels'!R$6,'Emission factors'!$K$2:$V$2,0)))*$K26)</f>
        <v/>
      </c>
      <c r="S26" s="157" t="str" cm="1">
        <f t="array" ref="S26">IF(OR($E26="",$I26=""),"",(INDEX('Emission factors'!$K$3:$V$201,MATCH('Buildings - Heat &amp; Fuels'!$E26&amp;$F26,'Emission factors'!$J$3:$J$201&amp;'Emission factors'!$K$3:$K$201,0),MATCH('Buildings - Heat &amp; Fuels'!S$6,'Emission factors'!$K$2:$V$2,0)))*$K26)</f>
        <v/>
      </c>
      <c r="T26" s="157" t="str" cm="1">
        <f t="array" ref="T26">IF(OR($E26="",$I26=""),"",(INDEX('Emission factors'!$K$3:$V$201,MATCH('Buildings - Heat &amp; Fuels'!$E26&amp;$F26,'Emission factors'!$J$3:$J$201&amp;'Emission factors'!$K$3:$K$201,0),MATCH('Buildings - Heat &amp; Fuels'!T$6,'Emission factors'!$K$2:$V$2,0)))*$K26)</f>
        <v/>
      </c>
      <c r="U26" s="157" t="str" cm="1">
        <f t="array" ref="U26">IF(OR($E26="",$I26=""),"",(INDEX('Emission factors'!$K$3:$V$201,MATCH('Buildings - Heat &amp; Fuels'!$E26&amp;$F26,'Emission factors'!$J$3:$J$201&amp;'Emission factors'!$K$3:$K$201,0),MATCH('Buildings - Heat &amp; Fuels'!U$6,'Emission factors'!$K$2:$V$2,0)))*$K26)</f>
        <v/>
      </c>
      <c r="V26" s="158" t="str">
        <f>IF(OR($N26="",BuildingsHeatFuelsTable[[#This Row],[RSD]]=""),"",BuildingsHeatFuelsTable[[#This Row],[Total emissions (kgCO2e)]]*(1+BuildingsHeatFuelsTable[[#This Row],[RSD]]))</f>
        <v/>
      </c>
      <c r="W26" s="159" t="str">
        <f>IF(OR($N26="",BuildingsHeatFuelsTable[[#This Row],[RSD]]=""),"",BuildingsHeatFuelsTable[[#This Row],[Total emissions (kgCO2e)]]*(1-BuildingsHeatFuelsTable[[#This Row],[RSD]]))</f>
        <v/>
      </c>
      <c r="X26" s="169" t="str" cm="1">
        <f t="array" ref="X26">IF(OR($E26="",$I26=""),"",(INDEX('Emission factors'!$K$3:$V$201,MATCH('Buildings - Heat &amp; Fuels'!$E26&amp;$F26,'Emission factors'!$J$3:$J$201&amp;'Emission factors'!$K$3:$K$201,0),MATCH('Buildings - Heat &amp; Fuels'!X$6,'Emission factors'!$K$2:$V$2,0)))*$K26)</f>
        <v/>
      </c>
      <c r="Y26" s="30"/>
      <c r="Z26" s="1" cm="1">
        <f t="array" ref="Z26">IF(OR(ISERROR(B26:X26)),1,0)</f>
        <v>0</v>
      </c>
      <c r="AA26" s="1">
        <f t="shared" si="0"/>
        <v>0</v>
      </c>
    </row>
    <row r="27" spans="1:27" ht="15" outlineLevel="1" thickBot="1" x14ac:dyDescent="0.4">
      <c r="A27" s="319"/>
      <c r="B27" s="216"/>
      <c r="C27" s="216"/>
      <c r="D27" s="489" t="str">
        <f>IFERROR(INDEX(BuildingInformationTable[Site type],MATCH(BuildingsHeatFuelsTable[[#This Row],[Site name]],BuildingInformationTable[Site name],0)),"")</f>
        <v/>
      </c>
      <c r="E27" s="491"/>
      <c r="F27" s="491"/>
      <c r="G27" s="491"/>
      <c r="H27" s="492" t="str">
        <f>IF(G27="","",INDEX(Lists!$BA$4:$BC$31,MATCH(E27,Lists!$AZ$4:$AZ$31,0),MATCH(G27,Lists!$BA$3:$BC$3,0)))</f>
        <v/>
      </c>
      <c r="I27" s="267"/>
      <c r="J27" s="491"/>
      <c r="K27" s="493" t="str" cm="1">
        <f t="array" ref="K27">IF(OR($E27="",$D27="",$I27="",$J27=""),"",IF(J27=L27,I27,(INDEX('Emission factors'!$K$3:$V$201,MATCH(E27&amp;F27,'Emission factors'!$J$3:$J$201&amp;'Emission factors'!$K$3:$K$201,0),MATCH(K$6,'Emission factors'!$K$2:$V$2,0)))*I27))</f>
        <v/>
      </c>
      <c r="L27" s="494" t="str">
        <f>IF(OR($E27="",$D27="",$I27="",$J27=""),"",INDEX('Emission factors'!$K$3:$V$201,MATCH('Buildings - Heat &amp; Fuels'!$E27,'Emission factors'!$J$3:$J$201,0),MATCH($L$6,'Emission factors'!$K$2:$V$2,0)))</f>
        <v/>
      </c>
      <c r="M27" s="495" t="str" cm="1">
        <f t="array" ref="M27">IF(OR(E27="",I27="",BuildingsHeatFuelsTable[[#This Row],[Units]]=""),"",INDEX('Emission factors'!$K$3:$V$201,MATCH('Buildings - Heat &amp; Fuels'!$E27&amp;F27,'Emission factors'!$J$3:$J$201&amp;'Emission factors'!$K$3:$K$201,0),MATCH('Buildings - Heat &amp; Fuels'!$M$6,'Emission factors'!$K$2:$V$2,0)))</f>
        <v/>
      </c>
      <c r="N27" s="496" t="str">
        <f>IF(OR(K27="",M27=""),"",SUM(BuildingsHeatFuelsTable[[#This Row],[Direct]:[Indirect WTT]]))</f>
        <v/>
      </c>
      <c r="O27" s="268"/>
      <c r="P27" s="497"/>
      <c r="Q27" s="157" t="str" cm="1">
        <f t="array" ref="Q27">IF(OR($E27="",$I27=""),"",(INDEX('Emission factors'!$K$3:$V$201,MATCH('Buildings - Heat &amp; Fuels'!$E27&amp;$F27,'Emission factors'!$J$3:$J$201&amp;'Emission factors'!$K$3:$K$201,0),MATCH('Buildings - Heat &amp; Fuels'!Q$6,'Emission factors'!$K$2:$V$2,0)))*$K27)</f>
        <v/>
      </c>
      <c r="R27" s="157" t="str" cm="1">
        <f t="array" ref="R27">IF(OR($E27="",$I27=""),"",(INDEX('Emission factors'!$K$3:$V$201,MATCH('Buildings - Heat &amp; Fuels'!$E27&amp;$F27,'Emission factors'!$J$3:$J$201&amp;'Emission factors'!$K$3:$K$201,0),MATCH('Buildings - Heat &amp; Fuels'!R$6,'Emission factors'!$K$2:$V$2,0)))*$K27)</f>
        <v/>
      </c>
      <c r="S27" s="157" t="str" cm="1">
        <f t="array" ref="S27">IF(OR($E27="",$I27=""),"",(INDEX('Emission factors'!$K$3:$V$201,MATCH('Buildings - Heat &amp; Fuels'!$E27&amp;$F27,'Emission factors'!$J$3:$J$201&amp;'Emission factors'!$K$3:$K$201,0),MATCH('Buildings - Heat &amp; Fuels'!S$6,'Emission factors'!$K$2:$V$2,0)))*$K27)</f>
        <v/>
      </c>
      <c r="T27" s="157" t="str" cm="1">
        <f t="array" ref="T27">IF(OR($E27="",$I27=""),"",(INDEX('Emission factors'!$K$3:$V$201,MATCH('Buildings - Heat &amp; Fuels'!$E27&amp;$F27,'Emission factors'!$J$3:$J$201&amp;'Emission factors'!$K$3:$K$201,0),MATCH('Buildings - Heat &amp; Fuels'!T$6,'Emission factors'!$K$2:$V$2,0)))*$K27)</f>
        <v/>
      </c>
      <c r="U27" s="157" t="str" cm="1">
        <f t="array" ref="U27">IF(OR($E27="",$I27=""),"",(INDEX('Emission factors'!$K$3:$V$201,MATCH('Buildings - Heat &amp; Fuels'!$E27&amp;$F27,'Emission factors'!$J$3:$J$201&amp;'Emission factors'!$K$3:$K$201,0),MATCH('Buildings - Heat &amp; Fuels'!U$6,'Emission factors'!$K$2:$V$2,0)))*$K27)</f>
        <v/>
      </c>
      <c r="V27" s="158" t="str">
        <f>IF(OR($N27="",BuildingsHeatFuelsTable[[#This Row],[RSD]]=""),"",BuildingsHeatFuelsTable[[#This Row],[Total emissions (kgCO2e)]]*(1+BuildingsHeatFuelsTable[[#This Row],[RSD]]))</f>
        <v/>
      </c>
      <c r="W27" s="159" t="str">
        <f>IF(OR($N27="",BuildingsHeatFuelsTable[[#This Row],[RSD]]=""),"",BuildingsHeatFuelsTable[[#This Row],[Total emissions (kgCO2e)]]*(1-BuildingsHeatFuelsTable[[#This Row],[RSD]]))</f>
        <v/>
      </c>
      <c r="X27" s="169" t="str" cm="1">
        <f t="array" ref="X27">IF(OR($E27="",$I27=""),"",(INDEX('Emission factors'!$K$3:$V$201,MATCH('Buildings - Heat &amp; Fuels'!$E27&amp;$F27,'Emission factors'!$J$3:$J$201&amp;'Emission factors'!$K$3:$K$201,0),MATCH('Buildings - Heat &amp; Fuels'!X$6,'Emission factors'!$K$2:$V$2,0)))*$K27)</f>
        <v/>
      </c>
      <c r="Y27" s="30"/>
      <c r="Z27" s="1" cm="1">
        <f t="array" ref="Z27">IF(OR(ISERROR(B27:X27)),1,0)</f>
        <v>0</v>
      </c>
      <c r="AA27" s="1">
        <f t="shared" si="0"/>
        <v>0</v>
      </c>
    </row>
    <row r="28" spans="1:27" ht="15" outlineLevel="1" thickBot="1" x14ac:dyDescent="0.4">
      <c r="A28" s="319"/>
      <c r="B28" s="216"/>
      <c r="C28" s="216"/>
      <c r="D28" s="489" t="str">
        <f>IFERROR(INDEX(BuildingInformationTable[Site type],MATCH(BuildingsHeatFuelsTable[[#This Row],[Site name]],BuildingInformationTable[Site name],0)),"")</f>
        <v/>
      </c>
      <c r="E28" s="491"/>
      <c r="F28" s="491"/>
      <c r="G28" s="491"/>
      <c r="H28" s="492" t="str">
        <f>IF(G28="","",INDEX(Lists!$BA$4:$BC$31,MATCH(E28,Lists!$AZ$4:$AZ$31,0),MATCH(G28,Lists!$BA$3:$BC$3,0)))</f>
        <v/>
      </c>
      <c r="I28" s="267"/>
      <c r="J28" s="491"/>
      <c r="K28" s="493" t="str" cm="1">
        <f t="array" ref="K28">IF(OR($E28="",$D28="",$I28="",$J28=""),"",IF(J28=L28,I28,(INDEX('Emission factors'!$K$3:$V$201,MATCH(E28&amp;F28,'Emission factors'!$J$3:$J$201&amp;'Emission factors'!$K$3:$K$201,0),MATCH(K$6,'Emission factors'!$K$2:$V$2,0)))*I28))</f>
        <v/>
      </c>
      <c r="L28" s="494" t="str">
        <f>IF(OR($E28="",$D28="",$I28="",$J28=""),"",INDEX('Emission factors'!$K$3:$V$201,MATCH('Buildings - Heat &amp; Fuels'!$E28,'Emission factors'!$J$3:$J$201,0),MATCH($L$6,'Emission factors'!$K$2:$V$2,0)))</f>
        <v/>
      </c>
      <c r="M28" s="495" t="str" cm="1">
        <f t="array" ref="M28">IF(OR(E28="",I28="",BuildingsHeatFuelsTable[[#This Row],[Units]]=""),"",INDEX('Emission factors'!$K$3:$V$201,MATCH('Buildings - Heat &amp; Fuels'!$E28&amp;F28,'Emission factors'!$J$3:$J$201&amp;'Emission factors'!$K$3:$K$201,0),MATCH('Buildings - Heat &amp; Fuels'!$M$6,'Emission factors'!$K$2:$V$2,0)))</f>
        <v/>
      </c>
      <c r="N28" s="496" t="str">
        <f>IF(OR(K28="",M28=""),"",SUM(BuildingsHeatFuelsTable[[#This Row],[Direct]:[Indirect WTT]]))</f>
        <v/>
      </c>
      <c r="O28" s="268"/>
      <c r="P28" s="497"/>
      <c r="Q28" s="157" t="str" cm="1">
        <f t="array" ref="Q28">IF(OR($E28="",$I28=""),"",(INDEX('Emission factors'!$K$3:$V$201,MATCH('Buildings - Heat &amp; Fuels'!$E28&amp;$F28,'Emission factors'!$J$3:$J$201&amp;'Emission factors'!$K$3:$K$201,0),MATCH('Buildings - Heat &amp; Fuels'!Q$6,'Emission factors'!$K$2:$V$2,0)))*$K28)</f>
        <v/>
      </c>
      <c r="R28" s="157" t="str" cm="1">
        <f t="array" ref="R28">IF(OR($E28="",$I28=""),"",(INDEX('Emission factors'!$K$3:$V$201,MATCH('Buildings - Heat &amp; Fuels'!$E28&amp;$F28,'Emission factors'!$J$3:$J$201&amp;'Emission factors'!$K$3:$K$201,0),MATCH('Buildings - Heat &amp; Fuels'!R$6,'Emission factors'!$K$2:$V$2,0)))*$K28)</f>
        <v/>
      </c>
      <c r="S28" s="157" t="str" cm="1">
        <f t="array" ref="S28">IF(OR($E28="",$I28=""),"",(INDEX('Emission factors'!$K$3:$V$201,MATCH('Buildings - Heat &amp; Fuels'!$E28&amp;$F28,'Emission factors'!$J$3:$J$201&amp;'Emission factors'!$K$3:$K$201,0),MATCH('Buildings - Heat &amp; Fuels'!S$6,'Emission factors'!$K$2:$V$2,0)))*$K28)</f>
        <v/>
      </c>
      <c r="T28" s="157" t="str" cm="1">
        <f t="array" ref="T28">IF(OR($E28="",$I28=""),"",(INDEX('Emission factors'!$K$3:$V$201,MATCH('Buildings - Heat &amp; Fuels'!$E28&amp;$F28,'Emission factors'!$J$3:$J$201&amp;'Emission factors'!$K$3:$K$201,0),MATCH('Buildings - Heat &amp; Fuels'!T$6,'Emission factors'!$K$2:$V$2,0)))*$K28)</f>
        <v/>
      </c>
      <c r="U28" s="157" t="str" cm="1">
        <f t="array" ref="U28">IF(OR($E28="",$I28=""),"",(INDEX('Emission factors'!$K$3:$V$201,MATCH('Buildings - Heat &amp; Fuels'!$E28&amp;$F28,'Emission factors'!$J$3:$J$201&amp;'Emission factors'!$K$3:$K$201,0),MATCH('Buildings - Heat &amp; Fuels'!U$6,'Emission factors'!$K$2:$V$2,0)))*$K28)</f>
        <v/>
      </c>
      <c r="V28" s="158" t="str">
        <f>IF(OR($N28="",BuildingsHeatFuelsTable[[#This Row],[RSD]]=""),"",BuildingsHeatFuelsTable[[#This Row],[Total emissions (kgCO2e)]]*(1+BuildingsHeatFuelsTable[[#This Row],[RSD]]))</f>
        <v/>
      </c>
      <c r="W28" s="159" t="str">
        <f>IF(OR($N28="",BuildingsHeatFuelsTable[[#This Row],[RSD]]=""),"",BuildingsHeatFuelsTable[[#This Row],[Total emissions (kgCO2e)]]*(1-BuildingsHeatFuelsTable[[#This Row],[RSD]]))</f>
        <v/>
      </c>
      <c r="X28" s="169" t="str" cm="1">
        <f t="array" ref="X28">IF(OR($E28="",$I28=""),"",(INDEX('Emission factors'!$K$3:$V$201,MATCH('Buildings - Heat &amp; Fuels'!$E28&amp;$F28,'Emission factors'!$J$3:$J$201&amp;'Emission factors'!$K$3:$K$201,0),MATCH('Buildings - Heat &amp; Fuels'!X$6,'Emission factors'!$K$2:$V$2,0)))*$K28)</f>
        <v/>
      </c>
      <c r="Y28" s="30"/>
      <c r="Z28" s="1" cm="1">
        <f t="array" ref="Z28">IF(OR(ISERROR(B28:X28)),1,0)</f>
        <v>0</v>
      </c>
      <c r="AA28" s="1">
        <f t="shared" si="0"/>
        <v>0</v>
      </c>
    </row>
    <row r="29" spans="1:27" ht="15" outlineLevel="1" thickBot="1" x14ac:dyDescent="0.4">
      <c r="A29" s="319"/>
      <c r="B29" s="216"/>
      <c r="C29" s="216"/>
      <c r="D29" s="489" t="str">
        <f>IFERROR(INDEX(BuildingInformationTable[Site type],MATCH(BuildingsHeatFuelsTable[[#This Row],[Site name]],BuildingInformationTable[Site name],0)),"")</f>
        <v/>
      </c>
      <c r="E29" s="491"/>
      <c r="F29" s="491"/>
      <c r="G29" s="491"/>
      <c r="H29" s="492" t="str">
        <f>IF(G29="","",INDEX(Lists!$BA$4:$BC$31,MATCH(E29,Lists!$AZ$4:$AZ$31,0),MATCH(G29,Lists!$BA$3:$BC$3,0)))</f>
        <v/>
      </c>
      <c r="I29" s="267"/>
      <c r="J29" s="491"/>
      <c r="K29" s="493" t="str" cm="1">
        <f t="array" ref="K29">IF(OR($E29="",$D29="",$I29="",$J29=""),"",IF(J29=L29,I29,(INDEX('Emission factors'!$K$3:$V$201,MATCH(E29&amp;F29,'Emission factors'!$J$3:$J$201&amp;'Emission factors'!$K$3:$K$201,0),MATCH(K$6,'Emission factors'!$K$2:$V$2,0)))*I29))</f>
        <v/>
      </c>
      <c r="L29" s="494" t="str">
        <f>IF(OR($E29="",$D29="",$I29="",$J29=""),"",INDEX('Emission factors'!$K$3:$V$201,MATCH('Buildings - Heat &amp; Fuels'!$E29,'Emission factors'!$J$3:$J$201,0),MATCH($L$6,'Emission factors'!$K$2:$V$2,0)))</f>
        <v/>
      </c>
      <c r="M29" s="495" t="str" cm="1">
        <f t="array" ref="M29">IF(OR(E29="",I29="",BuildingsHeatFuelsTable[[#This Row],[Units]]=""),"",INDEX('Emission factors'!$K$3:$V$201,MATCH('Buildings - Heat &amp; Fuels'!$E29&amp;F29,'Emission factors'!$J$3:$J$201&amp;'Emission factors'!$K$3:$K$201,0),MATCH('Buildings - Heat &amp; Fuels'!$M$6,'Emission factors'!$K$2:$V$2,0)))</f>
        <v/>
      </c>
      <c r="N29" s="496" t="str">
        <f>IF(OR(K29="",M29=""),"",SUM(BuildingsHeatFuelsTable[[#This Row],[Direct]:[Indirect WTT]]))</f>
        <v/>
      </c>
      <c r="O29" s="268"/>
      <c r="P29" s="497"/>
      <c r="Q29" s="157" t="str" cm="1">
        <f t="array" ref="Q29">IF(OR($E29="",$I29=""),"",(INDEX('Emission factors'!$K$3:$V$201,MATCH('Buildings - Heat &amp; Fuels'!$E29&amp;$F29,'Emission factors'!$J$3:$J$201&amp;'Emission factors'!$K$3:$K$201,0),MATCH('Buildings - Heat &amp; Fuels'!Q$6,'Emission factors'!$K$2:$V$2,0)))*$K29)</f>
        <v/>
      </c>
      <c r="R29" s="157" t="str" cm="1">
        <f t="array" ref="R29">IF(OR($E29="",$I29=""),"",(INDEX('Emission factors'!$K$3:$V$201,MATCH('Buildings - Heat &amp; Fuels'!$E29&amp;$F29,'Emission factors'!$J$3:$J$201&amp;'Emission factors'!$K$3:$K$201,0),MATCH('Buildings - Heat &amp; Fuels'!R$6,'Emission factors'!$K$2:$V$2,0)))*$K29)</f>
        <v/>
      </c>
      <c r="S29" s="157" t="str" cm="1">
        <f t="array" ref="S29">IF(OR($E29="",$I29=""),"",(INDEX('Emission factors'!$K$3:$V$201,MATCH('Buildings - Heat &amp; Fuels'!$E29&amp;$F29,'Emission factors'!$J$3:$J$201&amp;'Emission factors'!$K$3:$K$201,0),MATCH('Buildings - Heat &amp; Fuels'!S$6,'Emission factors'!$K$2:$V$2,0)))*$K29)</f>
        <v/>
      </c>
      <c r="T29" s="157" t="str" cm="1">
        <f t="array" ref="T29">IF(OR($E29="",$I29=""),"",(INDEX('Emission factors'!$K$3:$V$201,MATCH('Buildings - Heat &amp; Fuels'!$E29&amp;$F29,'Emission factors'!$J$3:$J$201&amp;'Emission factors'!$K$3:$K$201,0),MATCH('Buildings - Heat &amp; Fuels'!T$6,'Emission factors'!$K$2:$V$2,0)))*$K29)</f>
        <v/>
      </c>
      <c r="U29" s="157" t="str" cm="1">
        <f t="array" ref="U29">IF(OR($E29="",$I29=""),"",(INDEX('Emission factors'!$K$3:$V$201,MATCH('Buildings - Heat &amp; Fuels'!$E29&amp;$F29,'Emission factors'!$J$3:$J$201&amp;'Emission factors'!$K$3:$K$201,0),MATCH('Buildings - Heat &amp; Fuels'!U$6,'Emission factors'!$K$2:$V$2,0)))*$K29)</f>
        <v/>
      </c>
      <c r="V29" s="158" t="str">
        <f>IF(OR($N29="",BuildingsHeatFuelsTable[[#This Row],[RSD]]=""),"",BuildingsHeatFuelsTable[[#This Row],[Total emissions (kgCO2e)]]*(1+BuildingsHeatFuelsTable[[#This Row],[RSD]]))</f>
        <v/>
      </c>
      <c r="W29" s="159" t="str">
        <f>IF(OR($N29="",BuildingsHeatFuelsTable[[#This Row],[RSD]]=""),"",BuildingsHeatFuelsTable[[#This Row],[Total emissions (kgCO2e)]]*(1-BuildingsHeatFuelsTable[[#This Row],[RSD]]))</f>
        <v/>
      </c>
      <c r="X29" s="169" t="str" cm="1">
        <f t="array" ref="X29">IF(OR($E29="",$I29=""),"",(INDEX('Emission factors'!$K$3:$V$201,MATCH('Buildings - Heat &amp; Fuels'!$E29&amp;$F29,'Emission factors'!$J$3:$J$201&amp;'Emission factors'!$K$3:$K$201,0),MATCH('Buildings - Heat &amp; Fuels'!X$6,'Emission factors'!$K$2:$V$2,0)))*$K29)</f>
        <v/>
      </c>
      <c r="Y29" s="30"/>
      <c r="Z29" s="1" cm="1">
        <f t="array" ref="Z29">IF(OR(ISERROR(B29:X29)),1,0)</f>
        <v>0</v>
      </c>
      <c r="AA29" s="1">
        <f t="shared" si="0"/>
        <v>0</v>
      </c>
    </row>
    <row r="30" spans="1:27" ht="15" outlineLevel="1" thickBot="1" x14ac:dyDescent="0.4">
      <c r="A30" s="319"/>
      <c r="B30" s="216"/>
      <c r="C30" s="216"/>
      <c r="D30" s="489" t="str">
        <f>IFERROR(INDEX(BuildingInformationTable[Site type],MATCH(BuildingsHeatFuelsTable[[#This Row],[Site name]],BuildingInformationTable[Site name],0)),"")</f>
        <v/>
      </c>
      <c r="E30" s="491"/>
      <c r="F30" s="491"/>
      <c r="G30" s="491"/>
      <c r="H30" s="492" t="str">
        <f>IF(G30="","",INDEX(Lists!$BA$4:$BC$31,MATCH(E30,Lists!$AZ$4:$AZ$31,0),MATCH(G30,Lists!$BA$3:$BC$3,0)))</f>
        <v/>
      </c>
      <c r="I30" s="267"/>
      <c r="J30" s="491"/>
      <c r="K30" s="493" t="str" cm="1">
        <f t="array" ref="K30">IF(OR($E30="",$D30="",$I30="",$J30=""),"",IF(J30=L30,I30,(INDEX('Emission factors'!$K$3:$V$201,MATCH(E30&amp;F30,'Emission factors'!$J$3:$J$201&amp;'Emission factors'!$K$3:$K$201,0),MATCH(K$6,'Emission factors'!$K$2:$V$2,0)))*I30))</f>
        <v/>
      </c>
      <c r="L30" s="494" t="str">
        <f>IF(OR($E30="",$D30="",$I30="",$J30=""),"",INDEX('Emission factors'!$K$3:$V$201,MATCH('Buildings - Heat &amp; Fuels'!$E30,'Emission factors'!$J$3:$J$201,0),MATCH($L$6,'Emission factors'!$K$2:$V$2,0)))</f>
        <v/>
      </c>
      <c r="M30" s="495" t="str" cm="1">
        <f t="array" ref="M30">IF(OR(E30="",I30="",BuildingsHeatFuelsTable[[#This Row],[Units]]=""),"",INDEX('Emission factors'!$K$3:$V$201,MATCH('Buildings - Heat &amp; Fuels'!$E30&amp;F30,'Emission factors'!$J$3:$J$201&amp;'Emission factors'!$K$3:$K$201,0),MATCH('Buildings - Heat &amp; Fuels'!$M$6,'Emission factors'!$K$2:$V$2,0)))</f>
        <v/>
      </c>
      <c r="N30" s="496" t="str">
        <f>IF(OR(K30="",M30=""),"",SUM(BuildingsHeatFuelsTable[[#This Row],[Direct]:[Indirect WTT]]))</f>
        <v/>
      </c>
      <c r="O30" s="268"/>
      <c r="P30" s="497"/>
      <c r="Q30" s="157" t="str" cm="1">
        <f t="array" ref="Q30">IF(OR($E30="",$I30=""),"",(INDEX('Emission factors'!$K$3:$V$201,MATCH('Buildings - Heat &amp; Fuels'!$E30&amp;$F30,'Emission factors'!$J$3:$J$201&amp;'Emission factors'!$K$3:$K$201,0),MATCH('Buildings - Heat &amp; Fuels'!Q$6,'Emission factors'!$K$2:$V$2,0)))*$K30)</f>
        <v/>
      </c>
      <c r="R30" s="157" t="str" cm="1">
        <f t="array" ref="R30">IF(OR($E30="",$I30=""),"",(INDEX('Emission factors'!$K$3:$V$201,MATCH('Buildings - Heat &amp; Fuels'!$E30&amp;$F30,'Emission factors'!$J$3:$J$201&amp;'Emission factors'!$K$3:$K$201,0),MATCH('Buildings - Heat &amp; Fuels'!R$6,'Emission factors'!$K$2:$V$2,0)))*$K30)</f>
        <v/>
      </c>
      <c r="S30" s="157" t="str" cm="1">
        <f t="array" ref="S30">IF(OR($E30="",$I30=""),"",(INDEX('Emission factors'!$K$3:$V$201,MATCH('Buildings - Heat &amp; Fuels'!$E30&amp;$F30,'Emission factors'!$J$3:$J$201&amp;'Emission factors'!$K$3:$K$201,0),MATCH('Buildings - Heat &amp; Fuels'!S$6,'Emission factors'!$K$2:$V$2,0)))*$K30)</f>
        <v/>
      </c>
      <c r="T30" s="157" t="str" cm="1">
        <f t="array" ref="T30">IF(OR($E30="",$I30=""),"",(INDEX('Emission factors'!$K$3:$V$201,MATCH('Buildings - Heat &amp; Fuels'!$E30&amp;$F30,'Emission factors'!$J$3:$J$201&amp;'Emission factors'!$K$3:$K$201,0),MATCH('Buildings - Heat &amp; Fuels'!T$6,'Emission factors'!$K$2:$V$2,0)))*$K30)</f>
        <v/>
      </c>
      <c r="U30" s="157" t="str" cm="1">
        <f t="array" ref="U30">IF(OR($E30="",$I30=""),"",(INDEX('Emission factors'!$K$3:$V$201,MATCH('Buildings - Heat &amp; Fuels'!$E30&amp;$F30,'Emission factors'!$J$3:$J$201&amp;'Emission factors'!$K$3:$K$201,0),MATCH('Buildings - Heat &amp; Fuels'!U$6,'Emission factors'!$K$2:$V$2,0)))*$K30)</f>
        <v/>
      </c>
      <c r="V30" s="158" t="str">
        <f>IF(OR($N30="",BuildingsHeatFuelsTable[[#This Row],[RSD]]=""),"",BuildingsHeatFuelsTable[[#This Row],[Total emissions (kgCO2e)]]*(1+BuildingsHeatFuelsTable[[#This Row],[RSD]]))</f>
        <v/>
      </c>
      <c r="W30" s="159" t="str">
        <f>IF(OR($N30="",BuildingsHeatFuelsTable[[#This Row],[RSD]]=""),"",BuildingsHeatFuelsTable[[#This Row],[Total emissions (kgCO2e)]]*(1-BuildingsHeatFuelsTable[[#This Row],[RSD]]))</f>
        <v/>
      </c>
      <c r="X30" s="169" t="str" cm="1">
        <f t="array" ref="X30">IF(OR($E30="",$I30=""),"",(INDEX('Emission factors'!$K$3:$V$201,MATCH('Buildings - Heat &amp; Fuels'!$E30&amp;$F30,'Emission factors'!$J$3:$J$201&amp;'Emission factors'!$K$3:$K$201,0),MATCH('Buildings - Heat &amp; Fuels'!X$6,'Emission factors'!$K$2:$V$2,0)))*$K30)</f>
        <v/>
      </c>
      <c r="Y30" s="30"/>
      <c r="Z30" s="1" cm="1">
        <f t="array" ref="Z30">IF(OR(ISERROR(B30:X30)),1,0)</f>
        <v>0</v>
      </c>
      <c r="AA30" s="1">
        <f t="shared" si="0"/>
        <v>0</v>
      </c>
    </row>
    <row r="31" spans="1:27" ht="15" outlineLevel="1" thickBot="1" x14ac:dyDescent="0.4">
      <c r="A31" s="319"/>
      <c r="B31" s="216"/>
      <c r="C31" s="216"/>
      <c r="D31" s="489" t="str">
        <f>IFERROR(INDEX(BuildingInformationTable[Site type],MATCH(BuildingsHeatFuelsTable[[#This Row],[Site name]],BuildingInformationTable[Site name],0)),"")</f>
        <v/>
      </c>
      <c r="E31" s="491"/>
      <c r="F31" s="491"/>
      <c r="G31" s="491"/>
      <c r="H31" s="492" t="str">
        <f>IF(G31="","",INDEX(Lists!$BA$4:$BC$31,MATCH(E31,Lists!$AZ$4:$AZ$31,0),MATCH(G31,Lists!$BA$3:$BC$3,0)))</f>
        <v/>
      </c>
      <c r="I31" s="267"/>
      <c r="J31" s="491"/>
      <c r="K31" s="493" t="str" cm="1">
        <f t="array" ref="K31">IF(OR($E31="",$D31="",$I31="",$J31=""),"",IF(J31=L31,I31,(INDEX('Emission factors'!$K$3:$V$201,MATCH(E31&amp;F31,'Emission factors'!$J$3:$J$201&amp;'Emission factors'!$K$3:$K$201,0),MATCH(K$6,'Emission factors'!$K$2:$V$2,0)))*I31))</f>
        <v/>
      </c>
      <c r="L31" s="494" t="str">
        <f>IF(OR($E31="",$D31="",$I31="",$J31=""),"",INDEX('Emission factors'!$K$3:$V$201,MATCH('Buildings - Heat &amp; Fuels'!$E31,'Emission factors'!$J$3:$J$201,0),MATCH($L$6,'Emission factors'!$K$2:$V$2,0)))</f>
        <v/>
      </c>
      <c r="M31" s="495" t="str" cm="1">
        <f t="array" ref="M31">IF(OR(E31="",I31="",BuildingsHeatFuelsTable[[#This Row],[Units]]=""),"",INDEX('Emission factors'!$K$3:$V$201,MATCH('Buildings - Heat &amp; Fuels'!$E31&amp;F31,'Emission factors'!$J$3:$J$201&amp;'Emission factors'!$K$3:$K$201,0),MATCH('Buildings - Heat &amp; Fuels'!$M$6,'Emission factors'!$K$2:$V$2,0)))</f>
        <v/>
      </c>
      <c r="N31" s="496" t="str">
        <f>IF(OR(K31="",M31=""),"",SUM(BuildingsHeatFuelsTable[[#This Row],[Direct]:[Indirect WTT]]))</f>
        <v/>
      </c>
      <c r="O31" s="268"/>
      <c r="P31" s="497"/>
      <c r="Q31" s="157" t="str" cm="1">
        <f t="array" ref="Q31">IF(OR($E31="",$I31=""),"",(INDEX('Emission factors'!$K$3:$V$201,MATCH('Buildings - Heat &amp; Fuels'!$E31&amp;$F31,'Emission factors'!$J$3:$J$201&amp;'Emission factors'!$K$3:$K$201,0),MATCH('Buildings - Heat &amp; Fuels'!Q$6,'Emission factors'!$K$2:$V$2,0)))*$K31)</f>
        <v/>
      </c>
      <c r="R31" s="157" t="str" cm="1">
        <f t="array" ref="R31">IF(OR($E31="",$I31=""),"",(INDEX('Emission factors'!$K$3:$V$201,MATCH('Buildings - Heat &amp; Fuels'!$E31&amp;$F31,'Emission factors'!$J$3:$J$201&amp;'Emission factors'!$K$3:$K$201,0),MATCH('Buildings - Heat &amp; Fuels'!R$6,'Emission factors'!$K$2:$V$2,0)))*$K31)</f>
        <v/>
      </c>
      <c r="S31" s="157" t="str" cm="1">
        <f t="array" ref="S31">IF(OR($E31="",$I31=""),"",(INDEX('Emission factors'!$K$3:$V$201,MATCH('Buildings - Heat &amp; Fuels'!$E31&amp;$F31,'Emission factors'!$J$3:$J$201&amp;'Emission factors'!$K$3:$K$201,0),MATCH('Buildings - Heat &amp; Fuels'!S$6,'Emission factors'!$K$2:$V$2,0)))*$K31)</f>
        <v/>
      </c>
      <c r="T31" s="157" t="str" cm="1">
        <f t="array" ref="T31">IF(OR($E31="",$I31=""),"",(INDEX('Emission factors'!$K$3:$V$201,MATCH('Buildings - Heat &amp; Fuels'!$E31&amp;$F31,'Emission factors'!$J$3:$J$201&amp;'Emission factors'!$K$3:$K$201,0),MATCH('Buildings - Heat &amp; Fuels'!T$6,'Emission factors'!$K$2:$V$2,0)))*$K31)</f>
        <v/>
      </c>
      <c r="U31" s="157" t="str" cm="1">
        <f t="array" ref="U31">IF(OR($E31="",$I31=""),"",(INDEX('Emission factors'!$K$3:$V$201,MATCH('Buildings - Heat &amp; Fuels'!$E31&amp;$F31,'Emission factors'!$J$3:$J$201&amp;'Emission factors'!$K$3:$K$201,0),MATCH('Buildings - Heat &amp; Fuels'!U$6,'Emission factors'!$K$2:$V$2,0)))*$K31)</f>
        <v/>
      </c>
      <c r="V31" s="158" t="str">
        <f>IF(OR($N31="",BuildingsHeatFuelsTable[[#This Row],[RSD]]=""),"",BuildingsHeatFuelsTable[[#This Row],[Total emissions (kgCO2e)]]*(1+BuildingsHeatFuelsTable[[#This Row],[RSD]]))</f>
        <v/>
      </c>
      <c r="W31" s="159" t="str">
        <f>IF(OR($N31="",BuildingsHeatFuelsTable[[#This Row],[RSD]]=""),"",BuildingsHeatFuelsTable[[#This Row],[Total emissions (kgCO2e)]]*(1-BuildingsHeatFuelsTable[[#This Row],[RSD]]))</f>
        <v/>
      </c>
      <c r="X31" s="169" t="str" cm="1">
        <f t="array" ref="X31">IF(OR($E31="",$I31=""),"",(INDEX('Emission factors'!$K$3:$V$201,MATCH('Buildings - Heat &amp; Fuels'!$E31&amp;$F31,'Emission factors'!$J$3:$J$201&amp;'Emission factors'!$K$3:$K$201,0),MATCH('Buildings - Heat &amp; Fuels'!X$6,'Emission factors'!$K$2:$V$2,0)))*$K31)</f>
        <v/>
      </c>
      <c r="Y31" s="30"/>
      <c r="Z31" s="1" cm="1">
        <f t="array" ref="Z31">IF(OR(ISERROR(B31:X31)),1,0)</f>
        <v>0</v>
      </c>
      <c r="AA31" s="1">
        <f t="shared" si="0"/>
        <v>0</v>
      </c>
    </row>
    <row r="32" spans="1:27" ht="15" outlineLevel="1" thickBot="1" x14ac:dyDescent="0.4">
      <c r="A32" s="319"/>
      <c r="B32" s="216"/>
      <c r="C32" s="216"/>
      <c r="D32" s="489" t="str">
        <f>IFERROR(INDEX(BuildingInformationTable[Site type],MATCH(BuildingsHeatFuelsTable[[#This Row],[Site name]],BuildingInformationTable[Site name],0)),"")</f>
        <v/>
      </c>
      <c r="E32" s="491"/>
      <c r="F32" s="491"/>
      <c r="G32" s="491"/>
      <c r="H32" s="492" t="str">
        <f>IF(G32="","",INDEX(Lists!$BA$4:$BC$31,MATCH(E32,Lists!$AZ$4:$AZ$31,0),MATCH(G32,Lists!$BA$3:$BC$3,0)))</f>
        <v/>
      </c>
      <c r="I32" s="267"/>
      <c r="J32" s="491"/>
      <c r="K32" s="493" t="str" cm="1">
        <f t="array" ref="K32">IF(OR($E32="",$D32="",$I32="",$J32=""),"",IF(J32=L32,I32,(INDEX('Emission factors'!$K$3:$V$201,MATCH(E32&amp;F32,'Emission factors'!$J$3:$J$201&amp;'Emission factors'!$K$3:$K$201,0),MATCH(K$6,'Emission factors'!$K$2:$V$2,0)))*I32))</f>
        <v/>
      </c>
      <c r="L32" s="494" t="str">
        <f>IF(OR($E32="",$D32="",$I32="",$J32=""),"",INDEX('Emission factors'!$K$3:$V$201,MATCH('Buildings - Heat &amp; Fuels'!$E32,'Emission factors'!$J$3:$J$201,0),MATCH($L$6,'Emission factors'!$K$2:$V$2,0)))</f>
        <v/>
      </c>
      <c r="M32" s="495" t="str" cm="1">
        <f t="array" ref="M32">IF(OR(E32="",I32="",BuildingsHeatFuelsTable[[#This Row],[Units]]=""),"",INDEX('Emission factors'!$K$3:$V$201,MATCH('Buildings - Heat &amp; Fuels'!$E32&amp;F32,'Emission factors'!$J$3:$J$201&amp;'Emission factors'!$K$3:$K$201,0),MATCH('Buildings - Heat &amp; Fuels'!$M$6,'Emission factors'!$K$2:$V$2,0)))</f>
        <v/>
      </c>
      <c r="N32" s="496" t="str">
        <f>IF(OR(K32="",M32=""),"",SUM(BuildingsHeatFuelsTable[[#This Row],[Direct]:[Indirect WTT]]))</f>
        <v/>
      </c>
      <c r="O32" s="268"/>
      <c r="P32" s="497"/>
      <c r="Q32" s="157" t="str" cm="1">
        <f t="array" ref="Q32">IF(OR($E32="",$I32=""),"",(INDEX('Emission factors'!$K$3:$V$201,MATCH('Buildings - Heat &amp; Fuels'!$E32&amp;$F32,'Emission factors'!$J$3:$J$201&amp;'Emission factors'!$K$3:$K$201,0),MATCH('Buildings - Heat &amp; Fuels'!Q$6,'Emission factors'!$K$2:$V$2,0)))*$K32)</f>
        <v/>
      </c>
      <c r="R32" s="157" t="str" cm="1">
        <f t="array" ref="R32">IF(OR($E32="",$I32=""),"",(INDEX('Emission factors'!$K$3:$V$201,MATCH('Buildings - Heat &amp; Fuels'!$E32&amp;$F32,'Emission factors'!$J$3:$J$201&amp;'Emission factors'!$K$3:$K$201,0),MATCH('Buildings - Heat &amp; Fuels'!R$6,'Emission factors'!$K$2:$V$2,0)))*$K32)</f>
        <v/>
      </c>
      <c r="S32" s="157" t="str" cm="1">
        <f t="array" ref="S32">IF(OR($E32="",$I32=""),"",(INDEX('Emission factors'!$K$3:$V$201,MATCH('Buildings - Heat &amp; Fuels'!$E32&amp;$F32,'Emission factors'!$J$3:$J$201&amp;'Emission factors'!$K$3:$K$201,0),MATCH('Buildings - Heat &amp; Fuels'!S$6,'Emission factors'!$K$2:$V$2,0)))*$K32)</f>
        <v/>
      </c>
      <c r="T32" s="157" t="str" cm="1">
        <f t="array" ref="T32">IF(OR($E32="",$I32=""),"",(INDEX('Emission factors'!$K$3:$V$201,MATCH('Buildings - Heat &amp; Fuels'!$E32&amp;$F32,'Emission factors'!$J$3:$J$201&amp;'Emission factors'!$K$3:$K$201,0),MATCH('Buildings - Heat &amp; Fuels'!T$6,'Emission factors'!$K$2:$V$2,0)))*$K32)</f>
        <v/>
      </c>
      <c r="U32" s="157" t="str" cm="1">
        <f t="array" ref="U32">IF(OR($E32="",$I32=""),"",(INDEX('Emission factors'!$K$3:$V$201,MATCH('Buildings - Heat &amp; Fuels'!$E32&amp;$F32,'Emission factors'!$J$3:$J$201&amp;'Emission factors'!$K$3:$K$201,0),MATCH('Buildings - Heat &amp; Fuels'!U$6,'Emission factors'!$K$2:$V$2,0)))*$K32)</f>
        <v/>
      </c>
      <c r="V32" s="158" t="str">
        <f>IF(OR($N32="",BuildingsHeatFuelsTable[[#This Row],[RSD]]=""),"",BuildingsHeatFuelsTable[[#This Row],[Total emissions (kgCO2e)]]*(1+BuildingsHeatFuelsTable[[#This Row],[RSD]]))</f>
        <v/>
      </c>
      <c r="W32" s="159" t="str">
        <f>IF(OR($N32="",BuildingsHeatFuelsTable[[#This Row],[RSD]]=""),"",BuildingsHeatFuelsTable[[#This Row],[Total emissions (kgCO2e)]]*(1-BuildingsHeatFuelsTable[[#This Row],[RSD]]))</f>
        <v/>
      </c>
      <c r="X32" s="169" t="str" cm="1">
        <f t="array" ref="X32">IF(OR($E32="",$I32=""),"",(INDEX('Emission factors'!$K$3:$V$201,MATCH('Buildings - Heat &amp; Fuels'!$E32&amp;$F32,'Emission factors'!$J$3:$J$201&amp;'Emission factors'!$K$3:$K$201,0),MATCH('Buildings - Heat &amp; Fuels'!X$6,'Emission factors'!$K$2:$V$2,0)))*$K32)</f>
        <v/>
      </c>
      <c r="Y32" s="30"/>
      <c r="Z32" s="1" cm="1">
        <f t="array" ref="Z32">IF(OR(ISERROR(B32:X32)),1,0)</f>
        <v>0</v>
      </c>
      <c r="AA32" s="1">
        <f t="shared" si="0"/>
        <v>0</v>
      </c>
    </row>
    <row r="33" spans="1:27" ht="15" outlineLevel="1" thickBot="1" x14ac:dyDescent="0.4">
      <c r="A33" s="319"/>
      <c r="B33" s="216"/>
      <c r="C33" s="216"/>
      <c r="D33" s="489" t="str">
        <f>IFERROR(INDEX(BuildingInformationTable[Site type],MATCH(BuildingsHeatFuelsTable[[#This Row],[Site name]],BuildingInformationTable[Site name],0)),"")</f>
        <v/>
      </c>
      <c r="E33" s="491"/>
      <c r="F33" s="491"/>
      <c r="G33" s="491"/>
      <c r="H33" s="492" t="str">
        <f>IF(G33="","",INDEX(Lists!$BA$4:$BC$31,MATCH(E33,Lists!$AZ$4:$AZ$31,0),MATCH(G33,Lists!$BA$3:$BC$3,0)))</f>
        <v/>
      </c>
      <c r="I33" s="267"/>
      <c r="J33" s="491"/>
      <c r="K33" s="493" t="str" cm="1">
        <f t="array" ref="K33">IF(OR($E33="",$D33="",$I33="",$J33=""),"",IF(J33=L33,I33,(INDEX('Emission factors'!$K$3:$V$201,MATCH(E33&amp;F33,'Emission factors'!$J$3:$J$201&amp;'Emission factors'!$K$3:$K$201,0),MATCH(K$6,'Emission factors'!$K$2:$V$2,0)))*I33))</f>
        <v/>
      </c>
      <c r="L33" s="494" t="str">
        <f>IF(OR($E33="",$D33="",$I33="",$J33=""),"",INDEX('Emission factors'!$K$3:$V$201,MATCH('Buildings - Heat &amp; Fuels'!$E33,'Emission factors'!$J$3:$J$201,0),MATCH($L$6,'Emission factors'!$K$2:$V$2,0)))</f>
        <v/>
      </c>
      <c r="M33" s="495" t="str" cm="1">
        <f t="array" ref="M33">IF(OR(E33="",I33="",BuildingsHeatFuelsTable[[#This Row],[Units]]=""),"",INDEX('Emission factors'!$K$3:$V$201,MATCH('Buildings - Heat &amp; Fuels'!$E33&amp;F33,'Emission factors'!$J$3:$J$201&amp;'Emission factors'!$K$3:$K$201,0),MATCH('Buildings - Heat &amp; Fuels'!$M$6,'Emission factors'!$K$2:$V$2,0)))</f>
        <v/>
      </c>
      <c r="N33" s="496" t="str">
        <f>IF(OR(K33="",M33=""),"",SUM(BuildingsHeatFuelsTable[[#This Row],[Direct]:[Indirect WTT]]))</f>
        <v/>
      </c>
      <c r="O33" s="268"/>
      <c r="P33" s="497"/>
      <c r="Q33" s="157" t="str" cm="1">
        <f t="array" ref="Q33">IF(OR($E33="",$I33=""),"",(INDEX('Emission factors'!$K$3:$V$201,MATCH('Buildings - Heat &amp; Fuels'!$E33&amp;$F33,'Emission factors'!$J$3:$J$201&amp;'Emission factors'!$K$3:$K$201,0),MATCH('Buildings - Heat &amp; Fuels'!Q$6,'Emission factors'!$K$2:$V$2,0)))*$K33)</f>
        <v/>
      </c>
      <c r="R33" s="157" t="str" cm="1">
        <f t="array" ref="R33">IF(OR($E33="",$I33=""),"",(INDEX('Emission factors'!$K$3:$V$201,MATCH('Buildings - Heat &amp; Fuels'!$E33&amp;$F33,'Emission factors'!$J$3:$J$201&amp;'Emission factors'!$K$3:$K$201,0),MATCH('Buildings - Heat &amp; Fuels'!R$6,'Emission factors'!$K$2:$V$2,0)))*$K33)</f>
        <v/>
      </c>
      <c r="S33" s="157" t="str" cm="1">
        <f t="array" ref="S33">IF(OR($E33="",$I33=""),"",(INDEX('Emission factors'!$K$3:$V$201,MATCH('Buildings - Heat &amp; Fuels'!$E33&amp;$F33,'Emission factors'!$J$3:$J$201&amp;'Emission factors'!$K$3:$K$201,0),MATCH('Buildings - Heat &amp; Fuels'!S$6,'Emission factors'!$K$2:$V$2,0)))*$K33)</f>
        <v/>
      </c>
      <c r="T33" s="157" t="str" cm="1">
        <f t="array" ref="T33">IF(OR($E33="",$I33=""),"",(INDEX('Emission factors'!$K$3:$V$201,MATCH('Buildings - Heat &amp; Fuels'!$E33&amp;$F33,'Emission factors'!$J$3:$J$201&amp;'Emission factors'!$K$3:$K$201,0),MATCH('Buildings - Heat &amp; Fuels'!T$6,'Emission factors'!$K$2:$V$2,0)))*$K33)</f>
        <v/>
      </c>
      <c r="U33" s="157" t="str" cm="1">
        <f t="array" ref="U33">IF(OR($E33="",$I33=""),"",(INDEX('Emission factors'!$K$3:$V$201,MATCH('Buildings - Heat &amp; Fuels'!$E33&amp;$F33,'Emission factors'!$J$3:$J$201&amp;'Emission factors'!$K$3:$K$201,0),MATCH('Buildings - Heat &amp; Fuels'!U$6,'Emission factors'!$K$2:$V$2,0)))*$K33)</f>
        <v/>
      </c>
      <c r="V33" s="158" t="str">
        <f>IF(OR($N33="",BuildingsHeatFuelsTable[[#This Row],[RSD]]=""),"",BuildingsHeatFuelsTable[[#This Row],[Total emissions (kgCO2e)]]*(1+BuildingsHeatFuelsTable[[#This Row],[RSD]]))</f>
        <v/>
      </c>
      <c r="W33" s="159" t="str">
        <f>IF(OR($N33="",BuildingsHeatFuelsTable[[#This Row],[RSD]]=""),"",BuildingsHeatFuelsTable[[#This Row],[Total emissions (kgCO2e)]]*(1-BuildingsHeatFuelsTable[[#This Row],[RSD]]))</f>
        <v/>
      </c>
      <c r="X33" s="169" t="str" cm="1">
        <f t="array" ref="X33">IF(OR($E33="",$I33=""),"",(INDEX('Emission factors'!$K$3:$V$201,MATCH('Buildings - Heat &amp; Fuels'!$E33&amp;$F33,'Emission factors'!$J$3:$J$201&amp;'Emission factors'!$K$3:$K$201,0),MATCH('Buildings - Heat &amp; Fuels'!X$6,'Emission factors'!$K$2:$V$2,0)))*$K33)</f>
        <v/>
      </c>
      <c r="Y33" s="30"/>
      <c r="Z33" s="1" cm="1">
        <f t="array" ref="Z33">IF(OR(ISERROR(B33:X33)),1,0)</f>
        <v>0</v>
      </c>
      <c r="AA33" s="1">
        <f t="shared" si="0"/>
        <v>0</v>
      </c>
    </row>
    <row r="34" spans="1:27" ht="15" outlineLevel="1" thickBot="1" x14ac:dyDescent="0.4">
      <c r="A34" s="319"/>
      <c r="B34" s="216"/>
      <c r="C34" s="216"/>
      <c r="D34" s="489" t="str">
        <f>IFERROR(INDEX(BuildingInformationTable[Site type],MATCH(BuildingsHeatFuelsTable[[#This Row],[Site name]],BuildingInformationTable[Site name],0)),"")</f>
        <v/>
      </c>
      <c r="E34" s="491"/>
      <c r="F34" s="491"/>
      <c r="G34" s="491"/>
      <c r="H34" s="492" t="str">
        <f>IF(G34="","",INDEX(Lists!$BA$4:$BC$31,MATCH(E34,Lists!$AZ$4:$AZ$31,0),MATCH(G34,Lists!$BA$3:$BC$3,0)))</f>
        <v/>
      </c>
      <c r="I34" s="267"/>
      <c r="J34" s="491"/>
      <c r="K34" s="493" t="str" cm="1">
        <f t="array" ref="K34">IF(OR($E34="",$D34="",$I34="",$J34=""),"",IF(J34=L34,I34,(INDEX('Emission factors'!$K$3:$V$201,MATCH(E34&amp;F34,'Emission factors'!$J$3:$J$201&amp;'Emission factors'!$K$3:$K$201,0),MATCH(K$6,'Emission factors'!$K$2:$V$2,0)))*I34))</f>
        <v/>
      </c>
      <c r="L34" s="494" t="str">
        <f>IF(OR($E34="",$D34="",$I34="",$J34=""),"",INDEX('Emission factors'!$K$3:$V$201,MATCH('Buildings - Heat &amp; Fuels'!$E34,'Emission factors'!$J$3:$J$201,0),MATCH($L$6,'Emission factors'!$K$2:$V$2,0)))</f>
        <v/>
      </c>
      <c r="M34" s="495" t="str" cm="1">
        <f t="array" ref="M34">IF(OR(E34="",I34="",BuildingsHeatFuelsTable[[#This Row],[Units]]=""),"",INDEX('Emission factors'!$K$3:$V$201,MATCH('Buildings - Heat &amp; Fuels'!$E34&amp;F34,'Emission factors'!$J$3:$J$201&amp;'Emission factors'!$K$3:$K$201,0),MATCH('Buildings - Heat &amp; Fuels'!$M$6,'Emission factors'!$K$2:$V$2,0)))</f>
        <v/>
      </c>
      <c r="N34" s="496" t="str">
        <f>IF(OR(K34="",M34=""),"",SUM(BuildingsHeatFuelsTable[[#This Row],[Direct]:[Indirect WTT]]))</f>
        <v/>
      </c>
      <c r="O34" s="268"/>
      <c r="P34" s="497"/>
      <c r="Q34" s="157" t="str" cm="1">
        <f t="array" ref="Q34">IF(OR($E34="",$I34=""),"",(INDEX('Emission factors'!$K$3:$V$201,MATCH('Buildings - Heat &amp; Fuels'!$E34&amp;$F34,'Emission factors'!$J$3:$J$201&amp;'Emission factors'!$K$3:$K$201,0),MATCH('Buildings - Heat &amp; Fuels'!Q$6,'Emission factors'!$K$2:$V$2,0)))*$K34)</f>
        <v/>
      </c>
      <c r="R34" s="157" t="str" cm="1">
        <f t="array" ref="R34">IF(OR($E34="",$I34=""),"",(INDEX('Emission factors'!$K$3:$V$201,MATCH('Buildings - Heat &amp; Fuels'!$E34&amp;$F34,'Emission factors'!$J$3:$J$201&amp;'Emission factors'!$K$3:$K$201,0),MATCH('Buildings - Heat &amp; Fuels'!R$6,'Emission factors'!$K$2:$V$2,0)))*$K34)</f>
        <v/>
      </c>
      <c r="S34" s="157" t="str" cm="1">
        <f t="array" ref="S34">IF(OR($E34="",$I34=""),"",(INDEX('Emission factors'!$K$3:$V$201,MATCH('Buildings - Heat &amp; Fuels'!$E34&amp;$F34,'Emission factors'!$J$3:$J$201&amp;'Emission factors'!$K$3:$K$201,0),MATCH('Buildings - Heat &amp; Fuels'!S$6,'Emission factors'!$K$2:$V$2,0)))*$K34)</f>
        <v/>
      </c>
      <c r="T34" s="157" t="str" cm="1">
        <f t="array" ref="T34">IF(OR($E34="",$I34=""),"",(INDEX('Emission factors'!$K$3:$V$201,MATCH('Buildings - Heat &amp; Fuels'!$E34&amp;$F34,'Emission factors'!$J$3:$J$201&amp;'Emission factors'!$K$3:$K$201,0),MATCH('Buildings - Heat &amp; Fuels'!T$6,'Emission factors'!$K$2:$V$2,0)))*$K34)</f>
        <v/>
      </c>
      <c r="U34" s="157" t="str" cm="1">
        <f t="array" ref="U34">IF(OR($E34="",$I34=""),"",(INDEX('Emission factors'!$K$3:$V$201,MATCH('Buildings - Heat &amp; Fuels'!$E34&amp;$F34,'Emission factors'!$J$3:$J$201&amp;'Emission factors'!$K$3:$K$201,0),MATCH('Buildings - Heat &amp; Fuels'!U$6,'Emission factors'!$K$2:$V$2,0)))*$K34)</f>
        <v/>
      </c>
      <c r="V34" s="158" t="str">
        <f>IF(OR($N34="",BuildingsHeatFuelsTable[[#This Row],[RSD]]=""),"",BuildingsHeatFuelsTable[[#This Row],[Total emissions (kgCO2e)]]*(1+BuildingsHeatFuelsTable[[#This Row],[RSD]]))</f>
        <v/>
      </c>
      <c r="W34" s="159" t="str">
        <f>IF(OR($N34="",BuildingsHeatFuelsTable[[#This Row],[RSD]]=""),"",BuildingsHeatFuelsTable[[#This Row],[Total emissions (kgCO2e)]]*(1-BuildingsHeatFuelsTable[[#This Row],[RSD]]))</f>
        <v/>
      </c>
      <c r="X34" s="169" t="str" cm="1">
        <f t="array" ref="X34">IF(OR($E34="",$I34=""),"",(INDEX('Emission factors'!$K$3:$V$201,MATCH('Buildings - Heat &amp; Fuels'!$E34&amp;$F34,'Emission factors'!$J$3:$J$201&amp;'Emission factors'!$K$3:$K$201,0),MATCH('Buildings - Heat &amp; Fuels'!X$6,'Emission factors'!$K$2:$V$2,0)))*$K34)</f>
        <v/>
      </c>
      <c r="Y34" s="30"/>
      <c r="Z34" s="1" cm="1">
        <f t="array" ref="Z34">IF(OR(ISERROR(B34:X34)),1,0)</f>
        <v>0</v>
      </c>
      <c r="AA34" s="1">
        <f t="shared" si="0"/>
        <v>0</v>
      </c>
    </row>
    <row r="35" spans="1:27" ht="15" outlineLevel="1" thickBot="1" x14ac:dyDescent="0.4">
      <c r="A35" s="319"/>
      <c r="B35" s="216"/>
      <c r="C35" s="216"/>
      <c r="D35" s="489" t="str">
        <f>IFERROR(INDEX(BuildingInformationTable[Site type],MATCH(BuildingsHeatFuelsTable[[#This Row],[Site name]],BuildingInformationTable[Site name],0)),"")</f>
        <v/>
      </c>
      <c r="E35" s="491"/>
      <c r="F35" s="491"/>
      <c r="G35" s="491"/>
      <c r="H35" s="492" t="str">
        <f>IF(G35="","",INDEX(Lists!$BA$4:$BC$31,MATCH(E35,Lists!$AZ$4:$AZ$31,0),MATCH(G35,Lists!$BA$3:$BC$3,0)))</f>
        <v/>
      </c>
      <c r="I35" s="267"/>
      <c r="J35" s="491"/>
      <c r="K35" s="493" t="str" cm="1">
        <f t="array" ref="K35">IF(OR($E35="",$D35="",$I35="",$J35=""),"",IF(J35=L35,I35,(INDEX('Emission factors'!$K$3:$V$201,MATCH(E35&amp;F35,'Emission factors'!$J$3:$J$201&amp;'Emission factors'!$K$3:$K$201,0),MATCH(K$6,'Emission factors'!$K$2:$V$2,0)))*I35))</f>
        <v/>
      </c>
      <c r="L35" s="494" t="str">
        <f>IF(OR($E35="",$D35="",$I35="",$J35=""),"",INDEX('Emission factors'!$K$3:$V$201,MATCH('Buildings - Heat &amp; Fuels'!$E35,'Emission factors'!$J$3:$J$201,0),MATCH($L$6,'Emission factors'!$K$2:$V$2,0)))</f>
        <v/>
      </c>
      <c r="M35" s="495" t="str" cm="1">
        <f t="array" ref="M35">IF(OR(E35="",I35="",BuildingsHeatFuelsTable[[#This Row],[Units]]=""),"",INDEX('Emission factors'!$K$3:$V$201,MATCH('Buildings - Heat &amp; Fuels'!$E35&amp;F35,'Emission factors'!$J$3:$J$201&amp;'Emission factors'!$K$3:$K$201,0),MATCH('Buildings - Heat &amp; Fuels'!$M$6,'Emission factors'!$K$2:$V$2,0)))</f>
        <v/>
      </c>
      <c r="N35" s="496" t="str">
        <f>IF(OR(K35="",M35=""),"",SUM(BuildingsHeatFuelsTable[[#This Row],[Direct]:[Indirect WTT]]))</f>
        <v/>
      </c>
      <c r="O35" s="268"/>
      <c r="P35" s="497"/>
      <c r="Q35" s="157" t="str" cm="1">
        <f t="array" ref="Q35">IF(OR($E35="",$I35=""),"",(INDEX('Emission factors'!$K$3:$V$201,MATCH('Buildings - Heat &amp; Fuels'!$E35&amp;$F35,'Emission factors'!$J$3:$J$201&amp;'Emission factors'!$K$3:$K$201,0),MATCH('Buildings - Heat &amp; Fuels'!Q$6,'Emission factors'!$K$2:$V$2,0)))*$K35)</f>
        <v/>
      </c>
      <c r="R35" s="157" t="str" cm="1">
        <f t="array" ref="R35">IF(OR($E35="",$I35=""),"",(INDEX('Emission factors'!$K$3:$V$201,MATCH('Buildings - Heat &amp; Fuels'!$E35&amp;$F35,'Emission factors'!$J$3:$J$201&amp;'Emission factors'!$K$3:$K$201,0),MATCH('Buildings - Heat &amp; Fuels'!R$6,'Emission factors'!$K$2:$V$2,0)))*$K35)</f>
        <v/>
      </c>
      <c r="S35" s="157" t="str" cm="1">
        <f t="array" ref="S35">IF(OR($E35="",$I35=""),"",(INDEX('Emission factors'!$K$3:$V$201,MATCH('Buildings - Heat &amp; Fuels'!$E35&amp;$F35,'Emission factors'!$J$3:$J$201&amp;'Emission factors'!$K$3:$K$201,0),MATCH('Buildings - Heat &amp; Fuels'!S$6,'Emission factors'!$K$2:$V$2,0)))*$K35)</f>
        <v/>
      </c>
      <c r="T35" s="157" t="str" cm="1">
        <f t="array" ref="T35">IF(OR($E35="",$I35=""),"",(INDEX('Emission factors'!$K$3:$V$201,MATCH('Buildings - Heat &amp; Fuels'!$E35&amp;$F35,'Emission factors'!$J$3:$J$201&amp;'Emission factors'!$K$3:$K$201,0),MATCH('Buildings - Heat &amp; Fuels'!T$6,'Emission factors'!$K$2:$V$2,0)))*$K35)</f>
        <v/>
      </c>
      <c r="U35" s="157" t="str" cm="1">
        <f t="array" ref="U35">IF(OR($E35="",$I35=""),"",(INDEX('Emission factors'!$K$3:$V$201,MATCH('Buildings - Heat &amp; Fuels'!$E35&amp;$F35,'Emission factors'!$J$3:$J$201&amp;'Emission factors'!$K$3:$K$201,0),MATCH('Buildings - Heat &amp; Fuels'!U$6,'Emission factors'!$K$2:$V$2,0)))*$K35)</f>
        <v/>
      </c>
      <c r="V35" s="158" t="str">
        <f>IF(OR($N35="",BuildingsHeatFuelsTable[[#This Row],[RSD]]=""),"",BuildingsHeatFuelsTable[[#This Row],[Total emissions (kgCO2e)]]*(1+BuildingsHeatFuelsTable[[#This Row],[RSD]]))</f>
        <v/>
      </c>
      <c r="W35" s="159" t="str">
        <f>IF(OR($N35="",BuildingsHeatFuelsTable[[#This Row],[RSD]]=""),"",BuildingsHeatFuelsTable[[#This Row],[Total emissions (kgCO2e)]]*(1-BuildingsHeatFuelsTable[[#This Row],[RSD]]))</f>
        <v/>
      </c>
      <c r="X35" s="169" t="str" cm="1">
        <f t="array" ref="X35">IF(OR($E35="",$I35=""),"",(INDEX('Emission factors'!$K$3:$V$201,MATCH('Buildings - Heat &amp; Fuels'!$E35&amp;$F35,'Emission factors'!$J$3:$J$201&amp;'Emission factors'!$K$3:$K$201,0),MATCH('Buildings - Heat &amp; Fuels'!X$6,'Emission factors'!$K$2:$V$2,0)))*$K35)</f>
        <v/>
      </c>
      <c r="Y35" s="30"/>
      <c r="Z35" s="1" cm="1">
        <f t="array" ref="Z35">IF(OR(ISERROR(B35:X35)),1,0)</f>
        <v>0</v>
      </c>
      <c r="AA35" s="1">
        <f t="shared" si="0"/>
        <v>0</v>
      </c>
    </row>
    <row r="36" spans="1:27" ht="15" outlineLevel="1" thickBot="1" x14ac:dyDescent="0.4">
      <c r="A36" s="319"/>
      <c r="B36" s="216"/>
      <c r="C36" s="216"/>
      <c r="D36" s="489" t="str">
        <f>IFERROR(INDEX(BuildingInformationTable[Site type],MATCH(BuildingsHeatFuelsTable[[#This Row],[Site name]],BuildingInformationTable[Site name],0)),"")</f>
        <v/>
      </c>
      <c r="E36" s="491"/>
      <c r="F36" s="491"/>
      <c r="G36" s="491"/>
      <c r="H36" s="492" t="str">
        <f>IF(G36="","",INDEX(Lists!$BA$4:$BC$31,MATCH(E36,Lists!$AZ$4:$AZ$31,0),MATCH(G36,Lists!$BA$3:$BC$3,0)))</f>
        <v/>
      </c>
      <c r="I36" s="267"/>
      <c r="J36" s="491"/>
      <c r="K36" s="493" t="str" cm="1">
        <f t="array" ref="K36">IF(OR($E36="",$D36="",$I36="",$J36=""),"",IF(J36=L36,I36,(INDEX('Emission factors'!$K$3:$V$201,MATCH(E36&amp;F36,'Emission factors'!$J$3:$J$201&amp;'Emission factors'!$K$3:$K$201,0),MATCH(K$6,'Emission factors'!$K$2:$V$2,0)))*I36))</f>
        <v/>
      </c>
      <c r="L36" s="494" t="str">
        <f>IF(OR($E36="",$D36="",$I36="",$J36=""),"",INDEX('Emission factors'!$K$3:$V$201,MATCH('Buildings - Heat &amp; Fuels'!$E36,'Emission factors'!$J$3:$J$201,0),MATCH($L$6,'Emission factors'!$K$2:$V$2,0)))</f>
        <v/>
      </c>
      <c r="M36" s="495" t="str" cm="1">
        <f t="array" ref="M36">IF(OR(E36="",I36="",BuildingsHeatFuelsTable[[#This Row],[Units]]=""),"",INDEX('Emission factors'!$K$3:$V$201,MATCH('Buildings - Heat &amp; Fuels'!$E36&amp;F36,'Emission factors'!$J$3:$J$201&amp;'Emission factors'!$K$3:$K$201,0),MATCH('Buildings - Heat &amp; Fuels'!$M$6,'Emission factors'!$K$2:$V$2,0)))</f>
        <v/>
      </c>
      <c r="N36" s="496" t="str">
        <f>IF(OR(K36="",M36=""),"",SUM(BuildingsHeatFuelsTable[[#This Row],[Direct]:[Indirect WTT]]))</f>
        <v/>
      </c>
      <c r="O36" s="268"/>
      <c r="P36" s="497"/>
      <c r="Q36" s="157" t="str" cm="1">
        <f t="array" ref="Q36">IF(OR($E36="",$I36=""),"",(INDEX('Emission factors'!$K$3:$V$201,MATCH('Buildings - Heat &amp; Fuels'!$E36&amp;$F36,'Emission factors'!$J$3:$J$201&amp;'Emission factors'!$K$3:$K$201,0),MATCH('Buildings - Heat &amp; Fuels'!Q$6,'Emission factors'!$K$2:$V$2,0)))*$K36)</f>
        <v/>
      </c>
      <c r="R36" s="157" t="str" cm="1">
        <f t="array" ref="R36">IF(OR($E36="",$I36=""),"",(INDEX('Emission factors'!$K$3:$V$201,MATCH('Buildings - Heat &amp; Fuels'!$E36&amp;$F36,'Emission factors'!$J$3:$J$201&amp;'Emission factors'!$K$3:$K$201,0),MATCH('Buildings - Heat &amp; Fuels'!R$6,'Emission factors'!$K$2:$V$2,0)))*$K36)</f>
        <v/>
      </c>
      <c r="S36" s="157" t="str" cm="1">
        <f t="array" ref="S36">IF(OR($E36="",$I36=""),"",(INDEX('Emission factors'!$K$3:$V$201,MATCH('Buildings - Heat &amp; Fuels'!$E36&amp;$F36,'Emission factors'!$J$3:$J$201&amp;'Emission factors'!$K$3:$K$201,0),MATCH('Buildings - Heat &amp; Fuels'!S$6,'Emission factors'!$K$2:$V$2,0)))*$K36)</f>
        <v/>
      </c>
      <c r="T36" s="157" t="str" cm="1">
        <f t="array" ref="T36">IF(OR($E36="",$I36=""),"",(INDEX('Emission factors'!$K$3:$V$201,MATCH('Buildings - Heat &amp; Fuels'!$E36&amp;$F36,'Emission factors'!$J$3:$J$201&amp;'Emission factors'!$K$3:$K$201,0),MATCH('Buildings - Heat &amp; Fuels'!T$6,'Emission factors'!$K$2:$V$2,0)))*$K36)</f>
        <v/>
      </c>
      <c r="U36" s="157" t="str" cm="1">
        <f t="array" ref="U36">IF(OR($E36="",$I36=""),"",(INDEX('Emission factors'!$K$3:$V$201,MATCH('Buildings - Heat &amp; Fuels'!$E36&amp;$F36,'Emission factors'!$J$3:$J$201&amp;'Emission factors'!$K$3:$K$201,0),MATCH('Buildings - Heat &amp; Fuels'!U$6,'Emission factors'!$K$2:$V$2,0)))*$K36)</f>
        <v/>
      </c>
      <c r="V36" s="158" t="str">
        <f>IF(OR($N36="",BuildingsHeatFuelsTable[[#This Row],[RSD]]=""),"",BuildingsHeatFuelsTable[[#This Row],[Total emissions (kgCO2e)]]*(1+BuildingsHeatFuelsTable[[#This Row],[RSD]]))</f>
        <v/>
      </c>
      <c r="W36" s="159" t="str">
        <f>IF(OR($N36="",BuildingsHeatFuelsTable[[#This Row],[RSD]]=""),"",BuildingsHeatFuelsTable[[#This Row],[Total emissions (kgCO2e)]]*(1-BuildingsHeatFuelsTable[[#This Row],[RSD]]))</f>
        <v/>
      </c>
      <c r="X36" s="169" t="str" cm="1">
        <f t="array" ref="X36">IF(OR($E36="",$I36=""),"",(INDEX('Emission factors'!$K$3:$V$201,MATCH('Buildings - Heat &amp; Fuels'!$E36&amp;$F36,'Emission factors'!$J$3:$J$201&amp;'Emission factors'!$K$3:$K$201,0),MATCH('Buildings - Heat &amp; Fuels'!X$6,'Emission factors'!$K$2:$V$2,0)))*$K36)</f>
        <v/>
      </c>
      <c r="Y36" s="30"/>
      <c r="Z36" s="1" cm="1">
        <f t="array" ref="Z36">IF(OR(ISERROR(B36:X36)),1,0)</f>
        <v>0</v>
      </c>
      <c r="AA36" s="1">
        <f t="shared" si="0"/>
        <v>0</v>
      </c>
    </row>
    <row r="37" spans="1:27" ht="15" outlineLevel="1" thickBot="1" x14ac:dyDescent="0.4">
      <c r="A37" s="319"/>
      <c r="B37" s="216"/>
      <c r="C37" s="216"/>
      <c r="D37" s="489" t="str">
        <f>IFERROR(INDEX(BuildingInformationTable[Site type],MATCH(BuildingsHeatFuelsTable[[#This Row],[Site name]],BuildingInformationTable[Site name],0)),"")</f>
        <v/>
      </c>
      <c r="E37" s="491"/>
      <c r="F37" s="491"/>
      <c r="G37" s="491"/>
      <c r="H37" s="492" t="str">
        <f>IF(G37="","",INDEX(Lists!$BA$4:$BC$31,MATCH(E37,Lists!$AZ$4:$AZ$31,0),MATCH(G37,Lists!$BA$3:$BC$3,0)))</f>
        <v/>
      </c>
      <c r="I37" s="267"/>
      <c r="J37" s="491"/>
      <c r="K37" s="493" t="str" cm="1">
        <f t="array" ref="K37">IF(OR($E37="",$D37="",$I37="",$J37=""),"",IF(J37=L37,I37,(INDEX('Emission factors'!$K$3:$V$201,MATCH(E37&amp;F37,'Emission factors'!$J$3:$J$201&amp;'Emission factors'!$K$3:$K$201,0),MATCH(K$6,'Emission factors'!$K$2:$V$2,0)))*I37))</f>
        <v/>
      </c>
      <c r="L37" s="494" t="str">
        <f>IF(OR($E37="",$D37="",$I37="",$J37=""),"",INDEX('Emission factors'!$K$3:$V$201,MATCH('Buildings - Heat &amp; Fuels'!$E37,'Emission factors'!$J$3:$J$201,0),MATCH($L$6,'Emission factors'!$K$2:$V$2,0)))</f>
        <v/>
      </c>
      <c r="M37" s="495" t="str" cm="1">
        <f t="array" ref="M37">IF(OR(E37="",I37="",BuildingsHeatFuelsTable[[#This Row],[Units]]=""),"",INDEX('Emission factors'!$K$3:$V$201,MATCH('Buildings - Heat &amp; Fuels'!$E37&amp;F37,'Emission factors'!$J$3:$J$201&amp;'Emission factors'!$K$3:$K$201,0),MATCH('Buildings - Heat &amp; Fuels'!$M$6,'Emission factors'!$K$2:$V$2,0)))</f>
        <v/>
      </c>
      <c r="N37" s="496" t="str">
        <f>IF(OR(K37="",M37=""),"",SUM(BuildingsHeatFuelsTable[[#This Row],[Direct]:[Indirect WTT]]))</f>
        <v/>
      </c>
      <c r="O37" s="268"/>
      <c r="P37" s="497"/>
      <c r="Q37" s="157" t="str" cm="1">
        <f t="array" ref="Q37">IF(OR($E37="",$I37=""),"",(INDEX('Emission factors'!$K$3:$V$201,MATCH('Buildings - Heat &amp; Fuels'!$E37&amp;$F37,'Emission factors'!$J$3:$J$201&amp;'Emission factors'!$K$3:$K$201,0),MATCH('Buildings - Heat &amp; Fuels'!Q$6,'Emission factors'!$K$2:$V$2,0)))*$K37)</f>
        <v/>
      </c>
      <c r="R37" s="157" t="str" cm="1">
        <f t="array" ref="R37">IF(OR($E37="",$I37=""),"",(INDEX('Emission factors'!$K$3:$V$201,MATCH('Buildings - Heat &amp; Fuels'!$E37&amp;$F37,'Emission factors'!$J$3:$J$201&amp;'Emission factors'!$K$3:$K$201,0),MATCH('Buildings - Heat &amp; Fuels'!R$6,'Emission factors'!$K$2:$V$2,0)))*$K37)</f>
        <v/>
      </c>
      <c r="S37" s="157" t="str" cm="1">
        <f t="array" ref="S37">IF(OR($E37="",$I37=""),"",(INDEX('Emission factors'!$K$3:$V$201,MATCH('Buildings - Heat &amp; Fuels'!$E37&amp;$F37,'Emission factors'!$J$3:$J$201&amp;'Emission factors'!$K$3:$K$201,0),MATCH('Buildings - Heat &amp; Fuels'!S$6,'Emission factors'!$K$2:$V$2,0)))*$K37)</f>
        <v/>
      </c>
      <c r="T37" s="157" t="str" cm="1">
        <f t="array" ref="T37">IF(OR($E37="",$I37=""),"",(INDEX('Emission factors'!$K$3:$V$201,MATCH('Buildings - Heat &amp; Fuels'!$E37&amp;$F37,'Emission factors'!$J$3:$J$201&amp;'Emission factors'!$K$3:$K$201,0),MATCH('Buildings - Heat &amp; Fuels'!T$6,'Emission factors'!$K$2:$V$2,0)))*$K37)</f>
        <v/>
      </c>
      <c r="U37" s="157" t="str" cm="1">
        <f t="array" ref="U37">IF(OR($E37="",$I37=""),"",(INDEX('Emission factors'!$K$3:$V$201,MATCH('Buildings - Heat &amp; Fuels'!$E37&amp;$F37,'Emission factors'!$J$3:$J$201&amp;'Emission factors'!$K$3:$K$201,0),MATCH('Buildings - Heat &amp; Fuels'!U$6,'Emission factors'!$K$2:$V$2,0)))*$K37)</f>
        <v/>
      </c>
      <c r="V37" s="158" t="str">
        <f>IF(OR($N37="",BuildingsHeatFuelsTable[[#This Row],[RSD]]=""),"",BuildingsHeatFuelsTable[[#This Row],[Total emissions (kgCO2e)]]*(1+BuildingsHeatFuelsTable[[#This Row],[RSD]]))</f>
        <v/>
      </c>
      <c r="W37" s="159" t="str">
        <f>IF(OR($N37="",BuildingsHeatFuelsTable[[#This Row],[RSD]]=""),"",BuildingsHeatFuelsTable[[#This Row],[Total emissions (kgCO2e)]]*(1-BuildingsHeatFuelsTable[[#This Row],[RSD]]))</f>
        <v/>
      </c>
      <c r="X37" s="169" t="str" cm="1">
        <f t="array" ref="X37">IF(OR($E37="",$I37=""),"",(INDEX('Emission factors'!$K$3:$V$201,MATCH('Buildings - Heat &amp; Fuels'!$E37&amp;$F37,'Emission factors'!$J$3:$J$201&amp;'Emission factors'!$K$3:$K$201,0),MATCH('Buildings - Heat &amp; Fuels'!X$6,'Emission factors'!$K$2:$V$2,0)))*$K37)</f>
        <v/>
      </c>
      <c r="Y37" s="30"/>
      <c r="Z37" s="1" cm="1">
        <f t="array" ref="Z37">IF(OR(ISERROR(B37:X37)),1,0)</f>
        <v>0</v>
      </c>
      <c r="AA37" s="1">
        <f t="shared" si="0"/>
        <v>0</v>
      </c>
    </row>
    <row r="38" spans="1:27" ht="15" outlineLevel="1" thickBot="1" x14ac:dyDescent="0.4">
      <c r="A38" s="319"/>
      <c r="B38" s="216"/>
      <c r="C38" s="216"/>
      <c r="D38" s="489" t="str">
        <f>IFERROR(INDEX(BuildingInformationTable[Site type],MATCH(BuildingsHeatFuelsTable[[#This Row],[Site name]],BuildingInformationTable[Site name],0)),"")</f>
        <v/>
      </c>
      <c r="E38" s="491"/>
      <c r="F38" s="491"/>
      <c r="G38" s="491"/>
      <c r="H38" s="492" t="str">
        <f>IF(G38="","",INDEX(Lists!$BA$4:$BC$31,MATCH(E38,Lists!$AZ$4:$AZ$31,0),MATCH(G38,Lists!$BA$3:$BC$3,0)))</f>
        <v/>
      </c>
      <c r="I38" s="267"/>
      <c r="J38" s="491"/>
      <c r="K38" s="493" t="str" cm="1">
        <f t="array" ref="K38">IF(OR($E38="",$D38="",$I38="",$J38=""),"",IF(J38=L38,I38,(INDEX('Emission factors'!$K$3:$V$201,MATCH(E38&amp;F38,'Emission factors'!$J$3:$J$201&amp;'Emission factors'!$K$3:$K$201,0),MATCH(K$6,'Emission factors'!$K$2:$V$2,0)))*I38))</f>
        <v/>
      </c>
      <c r="L38" s="494" t="str">
        <f>IF(OR($E38="",$D38="",$I38="",$J38=""),"",INDEX('Emission factors'!$K$3:$V$201,MATCH('Buildings - Heat &amp; Fuels'!$E38,'Emission factors'!$J$3:$J$201,0),MATCH($L$6,'Emission factors'!$K$2:$V$2,0)))</f>
        <v/>
      </c>
      <c r="M38" s="495" t="str" cm="1">
        <f t="array" ref="M38">IF(OR(E38="",I38="",BuildingsHeatFuelsTable[[#This Row],[Units]]=""),"",INDEX('Emission factors'!$K$3:$V$201,MATCH('Buildings - Heat &amp; Fuels'!$E38&amp;F38,'Emission factors'!$J$3:$J$201&amp;'Emission factors'!$K$3:$K$201,0),MATCH('Buildings - Heat &amp; Fuels'!$M$6,'Emission factors'!$K$2:$V$2,0)))</f>
        <v/>
      </c>
      <c r="N38" s="496" t="str">
        <f>IF(OR(K38="",M38=""),"",SUM(BuildingsHeatFuelsTable[[#This Row],[Direct]:[Indirect WTT]]))</f>
        <v/>
      </c>
      <c r="O38" s="268"/>
      <c r="P38" s="497"/>
      <c r="Q38" s="157" t="str" cm="1">
        <f t="array" ref="Q38">IF(OR($E38="",$I38=""),"",(INDEX('Emission factors'!$K$3:$V$201,MATCH('Buildings - Heat &amp; Fuels'!$E38&amp;$F38,'Emission factors'!$J$3:$J$201&amp;'Emission factors'!$K$3:$K$201,0),MATCH('Buildings - Heat &amp; Fuels'!Q$6,'Emission factors'!$K$2:$V$2,0)))*$K38)</f>
        <v/>
      </c>
      <c r="R38" s="157" t="str" cm="1">
        <f t="array" ref="R38">IF(OR($E38="",$I38=""),"",(INDEX('Emission factors'!$K$3:$V$201,MATCH('Buildings - Heat &amp; Fuels'!$E38&amp;$F38,'Emission factors'!$J$3:$J$201&amp;'Emission factors'!$K$3:$K$201,0),MATCH('Buildings - Heat &amp; Fuels'!R$6,'Emission factors'!$K$2:$V$2,0)))*$K38)</f>
        <v/>
      </c>
      <c r="S38" s="157" t="str" cm="1">
        <f t="array" ref="S38">IF(OR($E38="",$I38=""),"",(INDEX('Emission factors'!$K$3:$V$201,MATCH('Buildings - Heat &amp; Fuels'!$E38&amp;$F38,'Emission factors'!$J$3:$J$201&amp;'Emission factors'!$K$3:$K$201,0),MATCH('Buildings - Heat &amp; Fuels'!S$6,'Emission factors'!$K$2:$V$2,0)))*$K38)</f>
        <v/>
      </c>
      <c r="T38" s="157" t="str" cm="1">
        <f t="array" ref="T38">IF(OR($E38="",$I38=""),"",(INDEX('Emission factors'!$K$3:$V$201,MATCH('Buildings - Heat &amp; Fuels'!$E38&amp;$F38,'Emission factors'!$J$3:$J$201&amp;'Emission factors'!$K$3:$K$201,0),MATCH('Buildings - Heat &amp; Fuels'!T$6,'Emission factors'!$K$2:$V$2,0)))*$K38)</f>
        <v/>
      </c>
      <c r="U38" s="157" t="str" cm="1">
        <f t="array" ref="U38">IF(OR($E38="",$I38=""),"",(INDEX('Emission factors'!$K$3:$V$201,MATCH('Buildings - Heat &amp; Fuels'!$E38&amp;$F38,'Emission factors'!$J$3:$J$201&amp;'Emission factors'!$K$3:$K$201,0),MATCH('Buildings - Heat &amp; Fuels'!U$6,'Emission factors'!$K$2:$V$2,0)))*$K38)</f>
        <v/>
      </c>
      <c r="V38" s="158" t="str">
        <f>IF(OR($N38="",BuildingsHeatFuelsTable[[#This Row],[RSD]]=""),"",BuildingsHeatFuelsTable[[#This Row],[Total emissions (kgCO2e)]]*(1+BuildingsHeatFuelsTable[[#This Row],[RSD]]))</f>
        <v/>
      </c>
      <c r="W38" s="159" t="str">
        <f>IF(OR($N38="",BuildingsHeatFuelsTable[[#This Row],[RSD]]=""),"",BuildingsHeatFuelsTable[[#This Row],[Total emissions (kgCO2e)]]*(1-BuildingsHeatFuelsTable[[#This Row],[RSD]]))</f>
        <v/>
      </c>
      <c r="X38" s="169" t="str" cm="1">
        <f t="array" ref="X38">IF(OR($E38="",$I38=""),"",(INDEX('Emission factors'!$K$3:$V$201,MATCH('Buildings - Heat &amp; Fuels'!$E38&amp;$F38,'Emission factors'!$J$3:$J$201&amp;'Emission factors'!$K$3:$K$201,0),MATCH('Buildings - Heat &amp; Fuels'!X$6,'Emission factors'!$K$2:$V$2,0)))*$K38)</f>
        <v/>
      </c>
      <c r="Y38" s="30"/>
      <c r="Z38" s="1" cm="1">
        <f t="array" ref="Z38">IF(OR(ISERROR(B38:X38)),1,0)</f>
        <v>0</v>
      </c>
      <c r="AA38" s="1">
        <f t="shared" si="0"/>
        <v>0</v>
      </c>
    </row>
    <row r="39" spans="1:27" ht="15" outlineLevel="1" thickBot="1" x14ac:dyDescent="0.4">
      <c r="A39" s="319"/>
      <c r="B39" s="216"/>
      <c r="C39" s="216"/>
      <c r="D39" s="489" t="str">
        <f>IFERROR(INDEX(BuildingInformationTable[Site type],MATCH(BuildingsHeatFuelsTable[[#This Row],[Site name]],BuildingInformationTable[Site name],0)),"")</f>
        <v/>
      </c>
      <c r="E39" s="491"/>
      <c r="F39" s="491"/>
      <c r="G39" s="491"/>
      <c r="H39" s="492" t="str">
        <f>IF(G39="","",INDEX(Lists!$BA$4:$BC$31,MATCH(E39,Lists!$AZ$4:$AZ$31,0),MATCH(G39,Lists!$BA$3:$BC$3,0)))</f>
        <v/>
      </c>
      <c r="I39" s="267"/>
      <c r="J39" s="491"/>
      <c r="K39" s="493" t="str" cm="1">
        <f t="array" ref="K39">IF(OR($E39="",$D39="",$I39="",$J39=""),"",IF(J39=L39,I39,(INDEX('Emission factors'!$K$3:$V$201,MATCH(E39&amp;F39,'Emission factors'!$J$3:$J$201&amp;'Emission factors'!$K$3:$K$201,0),MATCH(K$6,'Emission factors'!$K$2:$V$2,0)))*I39))</f>
        <v/>
      </c>
      <c r="L39" s="494" t="str">
        <f>IF(OR($E39="",$D39="",$I39="",$J39=""),"",INDEX('Emission factors'!$K$3:$V$201,MATCH('Buildings - Heat &amp; Fuels'!$E39,'Emission factors'!$J$3:$J$201,0),MATCH($L$6,'Emission factors'!$K$2:$V$2,0)))</f>
        <v/>
      </c>
      <c r="M39" s="495" t="str" cm="1">
        <f t="array" ref="M39">IF(OR(E39="",I39="",BuildingsHeatFuelsTable[[#This Row],[Units]]=""),"",INDEX('Emission factors'!$K$3:$V$201,MATCH('Buildings - Heat &amp; Fuels'!$E39&amp;F39,'Emission factors'!$J$3:$J$201&amp;'Emission factors'!$K$3:$K$201,0),MATCH('Buildings - Heat &amp; Fuels'!$M$6,'Emission factors'!$K$2:$V$2,0)))</f>
        <v/>
      </c>
      <c r="N39" s="496" t="str">
        <f>IF(OR(K39="",M39=""),"",SUM(BuildingsHeatFuelsTable[[#This Row],[Direct]:[Indirect WTT]]))</f>
        <v/>
      </c>
      <c r="O39" s="268"/>
      <c r="P39" s="497"/>
      <c r="Q39" s="157" t="str" cm="1">
        <f t="array" ref="Q39">IF(OR($E39="",$I39=""),"",(INDEX('Emission factors'!$K$3:$V$201,MATCH('Buildings - Heat &amp; Fuels'!$E39&amp;$F39,'Emission factors'!$J$3:$J$201&amp;'Emission factors'!$K$3:$K$201,0),MATCH('Buildings - Heat &amp; Fuels'!Q$6,'Emission factors'!$K$2:$V$2,0)))*$K39)</f>
        <v/>
      </c>
      <c r="R39" s="157" t="str" cm="1">
        <f t="array" ref="R39">IF(OR($E39="",$I39=""),"",(INDEX('Emission factors'!$K$3:$V$201,MATCH('Buildings - Heat &amp; Fuels'!$E39&amp;$F39,'Emission factors'!$J$3:$J$201&amp;'Emission factors'!$K$3:$K$201,0),MATCH('Buildings - Heat &amp; Fuels'!R$6,'Emission factors'!$K$2:$V$2,0)))*$K39)</f>
        <v/>
      </c>
      <c r="S39" s="157" t="str" cm="1">
        <f t="array" ref="S39">IF(OR($E39="",$I39=""),"",(INDEX('Emission factors'!$K$3:$V$201,MATCH('Buildings - Heat &amp; Fuels'!$E39&amp;$F39,'Emission factors'!$J$3:$J$201&amp;'Emission factors'!$K$3:$K$201,0),MATCH('Buildings - Heat &amp; Fuels'!S$6,'Emission factors'!$K$2:$V$2,0)))*$K39)</f>
        <v/>
      </c>
      <c r="T39" s="157" t="str" cm="1">
        <f t="array" ref="T39">IF(OR($E39="",$I39=""),"",(INDEX('Emission factors'!$K$3:$V$201,MATCH('Buildings - Heat &amp; Fuels'!$E39&amp;$F39,'Emission factors'!$J$3:$J$201&amp;'Emission factors'!$K$3:$K$201,0),MATCH('Buildings - Heat &amp; Fuels'!T$6,'Emission factors'!$K$2:$V$2,0)))*$K39)</f>
        <v/>
      </c>
      <c r="U39" s="157" t="str" cm="1">
        <f t="array" ref="U39">IF(OR($E39="",$I39=""),"",(INDEX('Emission factors'!$K$3:$V$201,MATCH('Buildings - Heat &amp; Fuels'!$E39&amp;$F39,'Emission factors'!$J$3:$J$201&amp;'Emission factors'!$K$3:$K$201,0),MATCH('Buildings - Heat &amp; Fuels'!U$6,'Emission factors'!$K$2:$V$2,0)))*$K39)</f>
        <v/>
      </c>
      <c r="V39" s="158" t="str">
        <f>IF(OR($N39="",BuildingsHeatFuelsTable[[#This Row],[RSD]]=""),"",BuildingsHeatFuelsTable[[#This Row],[Total emissions (kgCO2e)]]*(1+BuildingsHeatFuelsTable[[#This Row],[RSD]]))</f>
        <v/>
      </c>
      <c r="W39" s="159" t="str">
        <f>IF(OR($N39="",BuildingsHeatFuelsTable[[#This Row],[RSD]]=""),"",BuildingsHeatFuelsTable[[#This Row],[Total emissions (kgCO2e)]]*(1-BuildingsHeatFuelsTable[[#This Row],[RSD]]))</f>
        <v/>
      </c>
      <c r="X39" s="169" t="str" cm="1">
        <f t="array" ref="X39">IF(OR($E39="",$I39=""),"",(INDEX('Emission factors'!$K$3:$V$201,MATCH('Buildings - Heat &amp; Fuels'!$E39&amp;$F39,'Emission factors'!$J$3:$J$201&amp;'Emission factors'!$K$3:$K$201,0),MATCH('Buildings - Heat &amp; Fuels'!X$6,'Emission factors'!$K$2:$V$2,0)))*$K39)</f>
        <v/>
      </c>
      <c r="Y39" s="30"/>
      <c r="Z39" s="1" cm="1">
        <f t="array" ref="Z39">IF(OR(ISERROR(B39:X39)),1,0)</f>
        <v>0</v>
      </c>
      <c r="AA39" s="1">
        <f t="shared" si="0"/>
        <v>0</v>
      </c>
    </row>
    <row r="40" spans="1:27" ht="15" outlineLevel="1" thickBot="1" x14ac:dyDescent="0.4">
      <c r="A40" s="319"/>
      <c r="B40" s="216"/>
      <c r="C40" s="216"/>
      <c r="D40" s="489" t="str">
        <f>IFERROR(INDEX(BuildingInformationTable[Site type],MATCH(BuildingsHeatFuelsTable[[#This Row],[Site name]],BuildingInformationTable[Site name],0)),"")</f>
        <v/>
      </c>
      <c r="E40" s="491"/>
      <c r="F40" s="491"/>
      <c r="G40" s="491"/>
      <c r="H40" s="492" t="str">
        <f>IF(G40="","",INDEX(Lists!$BA$4:$BC$31,MATCH(E40,Lists!$AZ$4:$AZ$31,0),MATCH(G40,Lists!$BA$3:$BC$3,0)))</f>
        <v/>
      </c>
      <c r="I40" s="267"/>
      <c r="J40" s="491"/>
      <c r="K40" s="493" t="str" cm="1">
        <f t="array" ref="K40">IF(OR($E40="",$D40="",$I40="",$J40=""),"",IF(J40=L40,I40,(INDEX('Emission factors'!$K$3:$V$201,MATCH(E40&amp;F40,'Emission factors'!$J$3:$J$201&amp;'Emission factors'!$K$3:$K$201,0),MATCH(K$6,'Emission factors'!$K$2:$V$2,0)))*I40))</f>
        <v/>
      </c>
      <c r="L40" s="494" t="str">
        <f>IF(OR($E40="",$D40="",$I40="",$J40=""),"",INDEX('Emission factors'!$K$3:$V$201,MATCH('Buildings - Heat &amp; Fuels'!$E40,'Emission factors'!$J$3:$J$201,0),MATCH($L$6,'Emission factors'!$K$2:$V$2,0)))</f>
        <v/>
      </c>
      <c r="M40" s="495" t="str" cm="1">
        <f t="array" ref="M40">IF(OR(E40="",I40="",BuildingsHeatFuelsTable[[#This Row],[Units]]=""),"",INDEX('Emission factors'!$K$3:$V$201,MATCH('Buildings - Heat &amp; Fuels'!$E40&amp;F40,'Emission factors'!$J$3:$J$201&amp;'Emission factors'!$K$3:$K$201,0),MATCH('Buildings - Heat &amp; Fuels'!$M$6,'Emission factors'!$K$2:$V$2,0)))</f>
        <v/>
      </c>
      <c r="N40" s="496" t="str">
        <f>IF(OR(K40="",M40=""),"",SUM(BuildingsHeatFuelsTable[[#This Row],[Direct]:[Indirect WTT]]))</f>
        <v/>
      </c>
      <c r="O40" s="268"/>
      <c r="P40" s="497"/>
      <c r="Q40" s="157" t="str" cm="1">
        <f t="array" ref="Q40">IF(OR($E40="",$I40=""),"",(INDEX('Emission factors'!$K$3:$V$201,MATCH('Buildings - Heat &amp; Fuels'!$E40&amp;$F40,'Emission factors'!$J$3:$J$201&amp;'Emission factors'!$K$3:$K$201,0),MATCH('Buildings - Heat &amp; Fuels'!Q$6,'Emission factors'!$K$2:$V$2,0)))*$K40)</f>
        <v/>
      </c>
      <c r="R40" s="157" t="str" cm="1">
        <f t="array" ref="R40">IF(OR($E40="",$I40=""),"",(INDEX('Emission factors'!$K$3:$V$201,MATCH('Buildings - Heat &amp; Fuels'!$E40&amp;$F40,'Emission factors'!$J$3:$J$201&amp;'Emission factors'!$K$3:$K$201,0),MATCH('Buildings - Heat &amp; Fuels'!R$6,'Emission factors'!$K$2:$V$2,0)))*$K40)</f>
        <v/>
      </c>
      <c r="S40" s="157" t="str" cm="1">
        <f t="array" ref="S40">IF(OR($E40="",$I40=""),"",(INDEX('Emission factors'!$K$3:$V$201,MATCH('Buildings - Heat &amp; Fuels'!$E40&amp;$F40,'Emission factors'!$J$3:$J$201&amp;'Emission factors'!$K$3:$K$201,0),MATCH('Buildings - Heat &amp; Fuels'!S$6,'Emission factors'!$K$2:$V$2,0)))*$K40)</f>
        <v/>
      </c>
      <c r="T40" s="157" t="str" cm="1">
        <f t="array" ref="T40">IF(OR($E40="",$I40=""),"",(INDEX('Emission factors'!$K$3:$V$201,MATCH('Buildings - Heat &amp; Fuels'!$E40&amp;$F40,'Emission factors'!$J$3:$J$201&amp;'Emission factors'!$K$3:$K$201,0),MATCH('Buildings - Heat &amp; Fuels'!T$6,'Emission factors'!$K$2:$V$2,0)))*$K40)</f>
        <v/>
      </c>
      <c r="U40" s="157" t="str" cm="1">
        <f t="array" ref="U40">IF(OR($E40="",$I40=""),"",(INDEX('Emission factors'!$K$3:$V$201,MATCH('Buildings - Heat &amp; Fuels'!$E40&amp;$F40,'Emission factors'!$J$3:$J$201&amp;'Emission factors'!$K$3:$K$201,0),MATCH('Buildings - Heat &amp; Fuels'!U$6,'Emission factors'!$K$2:$V$2,0)))*$K40)</f>
        <v/>
      </c>
      <c r="V40" s="158" t="str">
        <f>IF(OR($N40="",BuildingsHeatFuelsTable[[#This Row],[RSD]]=""),"",BuildingsHeatFuelsTable[[#This Row],[Total emissions (kgCO2e)]]*(1+BuildingsHeatFuelsTable[[#This Row],[RSD]]))</f>
        <v/>
      </c>
      <c r="W40" s="159" t="str">
        <f>IF(OR($N40="",BuildingsHeatFuelsTable[[#This Row],[RSD]]=""),"",BuildingsHeatFuelsTable[[#This Row],[Total emissions (kgCO2e)]]*(1-BuildingsHeatFuelsTable[[#This Row],[RSD]]))</f>
        <v/>
      </c>
      <c r="X40" s="169" t="str" cm="1">
        <f t="array" ref="X40">IF(OR($E40="",$I40=""),"",(INDEX('Emission factors'!$K$3:$V$201,MATCH('Buildings - Heat &amp; Fuels'!$E40&amp;$F40,'Emission factors'!$J$3:$J$201&amp;'Emission factors'!$K$3:$K$201,0),MATCH('Buildings - Heat &amp; Fuels'!X$6,'Emission factors'!$K$2:$V$2,0)))*$K40)</f>
        <v/>
      </c>
      <c r="Y40" s="30"/>
      <c r="Z40" s="1" cm="1">
        <f t="array" ref="Z40">IF(OR(ISERROR(B40:X40)),1,0)</f>
        <v>0</v>
      </c>
      <c r="AA40" s="1">
        <f t="shared" si="0"/>
        <v>0</v>
      </c>
    </row>
    <row r="41" spans="1:27" ht="15" outlineLevel="1" thickBot="1" x14ac:dyDescent="0.4">
      <c r="A41" s="319"/>
      <c r="B41" s="216"/>
      <c r="C41" s="216"/>
      <c r="D41" s="489" t="str">
        <f>IFERROR(INDEX(BuildingInformationTable[Site type],MATCH(BuildingsHeatFuelsTable[[#This Row],[Site name]],BuildingInformationTable[Site name],0)),"")</f>
        <v/>
      </c>
      <c r="E41" s="491"/>
      <c r="F41" s="491"/>
      <c r="G41" s="491"/>
      <c r="H41" s="492" t="str">
        <f>IF(G41="","",INDEX(Lists!$BA$4:$BC$31,MATCH(E41,Lists!$AZ$4:$AZ$31,0),MATCH(G41,Lists!$BA$3:$BC$3,0)))</f>
        <v/>
      </c>
      <c r="I41" s="267"/>
      <c r="J41" s="491"/>
      <c r="K41" s="493" t="str" cm="1">
        <f t="array" ref="K41">IF(OR($E41="",$D41="",$I41="",$J41=""),"",IF(J41=L41,I41,(INDEX('Emission factors'!$K$3:$V$201,MATCH(E41&amp;F41,'Emission factors'!$J$3:$J$201&amp;'Emission factors'!$K$3:$K$201,0),MATCH(K$6,'Emission factors'!$K$2:$V$2,0)))*I41))</f>
        <v/>
      </c>
      <c r="L41" s="494" t="str">
        <f>IF(OR($E41="",$D41="",$I41="",$J41=""),"",INDEX('Emission factors'!$K$3:$V$201,MATCH('Buildings - Heat &amp; Fuels'!$E41,'Emission factors'!$J$3:$J$201,0),MATCH($L$6,'Emission factors'!$K$2:$V$2,0)))</f>
        <v/>
      </c>
      <c r="M41" s="495" t="str" cm="1">
        <f t="array" ref="M41">IF(OR(E41="",I41="",BuildingsHeatFuelsTable[[#This Row],[Units]]=""),"",INDEX('Emission factors'!$K$3:$V$201,MATCH('Buildings - Heat &amp; Fuels'!$E41&amp;F41,'Emission factors'!$J$3:$J$201&amp;'Emission factors'!$K$3:$K$201,0),MATCH('Buildings - Heat &amp; Fuels'!$M$6,'Emission factors'!$K$2:$V$2,0)))</f>
        <v/>
      </c>
      <c r="N41" s="496" t="str">
        <f>IF(OR(K41="",M41=""),"",SUM(BuildingsHeatFuelsTable[[#This Row],[Direct]:[Indirect WTT]]))</f>
        <v/>
      </c>
      <c r="O41" s="268"/>
      <c r="P41" s="497"/>
      <c r="Q41" s="157" t="str" cm="1">
        <f t="array" ref="Q41">IF(OR($E41="",$I41=""),"",(INDEX('Emission factors'!$K$3:$V$201,MATCH('Buildings - Heat &amp; Fuels'!$E41&amp;$F41,'Emission factors'!$J$3:$J$201&amp;'Emission factors'!$K$3:$K$201,0),MATCH('Buildings - Heat &amp; Fuels'!Q$6,'Emission factors'!$K$2:$V$2,0)))*$K41)</f>
        <v/>
      </c>
      <c r="R41" s="157" t="str" cm="1">
        <f t="array" ref="R41">IF(OR($E41="",$I41=""),"",(INDEX('Emission factors'!$K$3:$V$201,MATCH('Buildings - Heat &amp; Fuels'!$E41&amp;$F41,'Emission factors'!$J$3:$J$201&amp;'Emission factors'!$K$3:$K$201,0),MATCH('Buildings - Heat &amp; Fuels'!R$6,'Emission factors'!$K$2:$V$2,0)))*$K41)</f>
        <v/>
      </c>
      <c r="S41" s="157" t="str" cm="1">
        <f t="array" ref="S41">IF(OR($E41="",$I41=""),"",(INDEX('Emission factors'!$K$3:$V$201,MATCH('Buildings - Heat &amp; Fuels'!$E41&amp;$F41,'Emission factors'!$J$3:$J$201&amp;'Emission factors'!$K$3:$K$201,0),MATCH('Buildings - Heat &amp; Fuels'!S$6,'Emission factors'!$K$2:$V$2,0)))*$K41)</f>
        <v/>
      </c>
      <c r="T41" s="157" t="str" cm="1">
        <f t="array" ref="T41">IF(OR($E41="",$I41=""),"",(INDEX('Emission factors'!$K$3:$V$201,MATCH('Buildings - Heat &amp; Fuels'!$E41&amp;$F41,'Emission factors'!$J$3:$J$201&amp;'Emission factors'!$K$3:$K$201,0),MATCH('Buildings - Heat &amp; Fuels'!T$6,'Emission factors'!$K$2:$V$2,0)))*$K41)</f>
        <v/>
      </c>
      <c r="U41" s="157" t="str" cm="1">
        <f t="array" ref="U41">IF(OR($E41="",$I41=""),"",(INDEX('Emission factors'!$K$3:$V$201,MATCH('Buildings - Heat &amp; Fuels'!$E41&amp;$F41,'Emission factors'!$J$3:$J$201&amp;'Emission factors'!$K$3:$K$201,0),MATCH('Buildings - Heat &amp; Fuels'!U$6,'Emission factors'!$K$2:$V$2,0)))*$K41)</f>
        <v/>
      </c>
      <c r="V41" s="158" t="str">
        <f>IF(OR($N41="",BuildingsHeatFuelsTable[[#This Row],[RSD]]=""),"",BuildingsHeatFuelsTable[[#This Row],[Total emissions (kgCO2e)]]*(1+BuildingsHeatFuelsTable[[#This Row],[RSD]]))</f>
        <v/>
      </c>
      <c r="W41" s="159" t="str">
        <f>IF(OR($N41="",BuildingsHeatFuelsTable[[#This Row],[RSD]]=""),"",BuildingsHeatFuelsTable[[#This Row],[Total emissions (kgCO2e)]]*(1-BuildingsHeatFuelsTable[[#This Row],[RSD]]))</f>
        <v/>
      </c>
      <c r="X41" s="169" t="str" cm="1">
        <f t="array" ref="X41">IF(OR($E41="",$I41=""),"",(INDEX('Emission factors'!$K$3:$V$201,MATCH('Buildings - Heat &amp; Fuels'!$E41&amp;$F41,'Emission factors'!$J$3:$J$201&amp;'Emission factors'!$K$3:$K$201,0),MATCH('Buildings - Heat &amp; Fuels'!X$6,'Emission factors'!$K$2:$V$2,0)))*$K41)</f>
        <v/>
      </c>
      <c r="Y41" s="30"/>
      <c r="Z41" s="1" cm="1">
        <f t="array" ref="Z41">IF(OR(ISERROR(B41:X41)),1,0)</f>
        <v>0</v>
      </c>
      <c r="AA41" s="1">
        <f t="shared" si="0"/>
        <v>0</v>
      </c>
    </row>
    <row r="42" spans="1:27" ht="15" outlineLevel="1" thickBot="1" x14ac:dyDescent="0.4">
      <c r="A42" s="319"/>
      <c r="B42" s="216"/>
      <c r="C42" s="216"/>
      <c r="D42" s="489" t="str">
        <f>IFERROR(INDEX(BuildingInformationTable[Site type],MATCH(BuildingsHeatFuelsTable[[#This Row],[Site name]],BuildingInformationTable[Site name],0)),"")</f>
        <v/>
      </c>
      <c r="E42" s="491"/>
      <c r="F42" s="491"/>
      <c r="G42" s="491"/>
      <c r="H42" s="492" t="str">
        <f>IF(G42="","",INDEX(Lists!$BA$4:$BC$31,MATCH(E42,Lists!$AZ$4:$AZ$31,0),MATCH(G42,Lists!$BA$3:$BC$3,0)))</f>
        <v/>
      </c>
      <c r="I42" s="267"/>
      <c r="J42" s="491"/>
      <c r="K42" s="493" t="str" cm="1">
        <f t="array" ref="K42">IF(OR($E42="",$D42="",$I42="",$J42=""),"",IF(J42=L42,I42,(INDEX('Emission factors'!$K$3:$V$201,MATCH(E42&amp;F42,'Emission factors'!$J$3:$J$201&amp;'Emission factors'!$K$3:$K$201,0),MATCH(K$6,'Emission factors'!$K$2:$V$2,0)))*I42))</f>
        <v/>
      </c>
      <c r="L42" s="494" t="str">
        <f>IF(OR($E42="",$D42="",$I42="",$J42=""),"",INDEX('Emission factors'!$K$3:$V$201,MATCH('Buildings - Heat &amp; Fuels'!$E42,'Emission factors'!$J$3:$J$201,0),MATCH($L$6,'Emission factors'!$K$2:$V$2,0)))</f>
        <v/>
      </c>
      <c r="M42" s="495" t="str" cm="1">
        <f t="array" ref="M42">IF(OR(E42="",I42="",BuildingsHeatFuelsTable[[#This Row],[Units]]=""),"",INDEX('Emission factors'!$K$3:$V$201,MATCH('Buildings - Heat &amp; Fuels'!$E42&amp;F42,'Emission factors'!$J$3:$J$201&amp;'Emission factors'!$K$3:$K$201,0),MATCH('Buildings - Heat &amp; Fuels'!$M$6,'Emission factors'!$K$2:$V$2,0)))</f>
        <v/>
      </c>
      <c r="N42" s="496" t="str">
        <f>IF(OR(K42="",M42=""),"",SUM(BuildingsHeatFuelsTable[[#This Row],[Direct]:[Indirect WTT]]))</f>
        <v/>
      </c>
      <c r="O42" s="268"/>
      <c r="P42" s="497"/>
      <c r="Q42" s="157" t="str" cm="1">
        <f t="array" ref="Q42">IF(OR($E42="",$I42=""),"",(INDEX('Emission factors'!$K$3:$V$201,MATCH('Buildings - Heat &amp; Fuels'!$E42&amp;$F42,'Emission factors'!$J$3:$J$201&amp;'Emission factors'!$K$3:$K$201,0),MATCH('Buildings - Heat &amp; Fuels'!Q$6,'Emission factors'!$K$2:$V$2,0)))*$K42)</f>
        <v/>
      </c>
      <c r="R42" s="157" t="str" cm="1">
        <f t="array" ref="R42">IF(OR($E42="",$I42=""),"",(INDEX('Emission factors'!$K$3:$V$201,MATCH('Buildings - Heat &amp; Fuels'!$E42&amp;$F42,'Emission factors'!$J$3:$J$201&amp;'Emission factors'!$K$3:$K$201,0),MATCH('Buildings - Heat &amp; Fuels'!R$6,'Emission factors'!$K$2:$V$2,0)))*$K42)</f>
        <v/>
      </c>
      <c r="S42" s="157" t="str" cm="1">
        <f t="array" ref="S42">IF(OR($E42="",$I42=""),"",(INDEX('Emission factors'!$K$3:$V$201,MATCH('Buildings - Heat &amp; Fuels'!$E42&amp;$F42,'Emission factors'!$J$3:$J$201&amp;'Emission factors'!$K$3:$K$201,0),MATCH('Buildings - Heat &amp; Fuels'!S$6,'Emission factors'!$K$2:$V$2,0)))*$K42)</f>
        <v/>
      </c>
      <c r="T42" s="157" t="str" cm="1">
        <f t="array" ref="T42">IF(OR($E42="",$I42=""),"",(INDEX('Emission factors'!$K$3:$V$201,MATCH('Buildings - Heat &amp; Fuels'!$E42&amp;$F42,'Emission factors'!$J$3:$J$201&amp;'Emission factors'!$K$3:$K$201,0),MATCH('Buildings - Heat &amp; Fuels'!T$6,'Emission factors'!$K$2:$V$2,0)))*$K42)</f>
        <v/>
      </c>
      <c r="U42" s="157" t="str" cm="1">
        <f t="array" ref="U42">IF(OR($E42="",$I42=""),"",(INDEX('Emission factors'!$K$3:$V$201,MATCH('Buildings - Heat &amp; Fuels'!$E42&amp;$F42,'Emission factors'!$J$3:$J$201&amp;'Emission factors'!$K$3:$K$201,0),MATCH('Buildings - Heat &amp; Fuels'!U$6,'Emission factors'!$K$2:$V$2,0)))*$K42)</f>
        <v/>
      </c>
      <c r="V42" s="158" t="str">
        <f>IF(OR($N42="",BuildingsHeatFuelsTable[[#This Row],[RSD]]=""),"",BuildingsHeatFuelsTable[[#This Row],[Total emissions (kgCO2e)]]*(1+BuildingsHeatFuelsTable[[#This Row],[RSD]]))</f>
        <v/>
      </c>
      <c r="W42" s="159" t="str">
        <f>IF(OR($N42="",BuildingsHeatFuelsTable[[#This Row],[RSD]]=""),"",BuildingsHeatFuelsTable[[#This Row],[Total emissions (kgCO2e)]]*(1-BuildingsHeatFuelsTable[[#This Row],[RSD]]))</f>
        <v/>
      </c>
      <c r="X42" s="169" t="str" cm="1">
        <f t="array" ref="X42">IF(OR($E42="",$I42=""),"",(INDEX('Emission factors'!$K$3:$V$201,MATCH('Buildings - Heat &amp; Fuels'!$E42&amp;$F42,'Emission factors'!$J$3:$J$201&amp;'Emission factors'!$K$3:$K$201,0),MATCH('Buildings - Heat &amp; Fuels'!X$6,'Emission factors'!$K$2:$V$2,0)))*$K42)</f>
        <v/>
      </c>
      <c r="Y42" s="30"/>
      <c r="Z42" s="1" cm="1">
        <f t="array" ref="Z42">IF(OR(ISERROR(B42:X42)),1,0)</f>
        <v>0</v>
      </c>
      <c r="AA42" s="1">
        <f t="shared" si="0"/>
        <v>0</v>
      </c>
    </row>
    <row r="43" spans="1:27" ht="15" outlineLevel="1" thickBot="1" x14ac:dyDescent="0.4">
      <c r="A43" s="319"/>
      <c r="B43" s="216"/>
      <c r="C43" s="216"/>
      <c r="D43" s="489" t="str">
        <f>IFERROR(INDEX(BuildingInformationTable[Site type],MATCH(BuildingsHeatFuelsTable[[#This Row],[Site name]],BuildingInformationTable[Site name],0)),"")</f>
        <v/>
      </c>
      <c r="E43" s="491"/>
      <c r="F43" s="491"/>
      <c r="G43" s="491"/>
      <c r="H43" s="492" t="str">
        <f>IF(G43="","",INDEX(Lists!$BA$4:$BC$31,MATCH(E43,Lists!$AZ$4:$AZ$31,0),MATCH(G43,Lists!$BA$3:$BC$3,0)))</f>
        <v/>
      </c>
      <c r="I43" s="267"/>
      <c r="J43" s="491"/>
      <c r="K43" s="493" t="str" cm="1">
        <f t="array" ref="K43">IF(OR($E43="",$D43="",$I43="",$J43=""),"",IF(J43=L43,I43,(INDEX('Emission factors'!$K$3:$V$201,MATCH(E43&amp;F43,'Emission factors'!$J$3:$J$201&amp;'Emission factors'!$K$3:$K$201,0),MATCH(K$6,'Emission factors'!$K$2:$V$2,0)))*I43))</f>
        <v/>
      </c>
      <c r="L43" s="494" t="str">
        <f>IF(OR($E43="",$D43="",$I43="",$J43=""),"",INDEX('Emission factors'!$K$3:$V$201,MATCH('Buildings - Heat &amp; Fuels'!$E43,'Emission factors'!$J$3:$J$201,0),MATCH($L$6,'Emission factors'!$K$2:$V$2,0)))</f>
        <v/>
      </c>
      <c r="M43" s="495" t="str" cm="1">
        <f t="array" ref="M43">IF(OR(E43="",I43="",BuildingsHeatFuelsTable[[#This Row],[Units]]=""),"",INDEX('Emission factors'!$K$3:$V$201,MATCH('Buildings - Heat &amp; Fuels'!$E43&amp;F43,'Emission factors'!$J$3:$J$201&amp;'Emission factors'!$K$3:$K$201,0),MATCH('Buildings - Heat &amp; Fuels'!$M$6,'Emission factors'!$K$2:$V$2,0)))</f>
        <v/>
      </c>
      <c r="N43" s="496" t="str">
        <f>IF(OR(K43="",M43=""),"",SUM(BuildingsHeatFuelsTable[[#This Row],[Direct]:[Indirect WTT]]))</f>
        <v/>
      </c>
      <c r="O43" s="268"/>
      <c r="P43" s="497"/>
      <c r="Q43" s="157" t="str" cm="1">
        <f t="array" ref="Q43">IF(OR($E43="",$I43=""),"",(INDEX('Emission factors'!$K$3:$V$201,MATCH('Buildings - Heat &amp; Fuels'!$E43&amp;$F43,'Emission factors'!$J$3:$J$201&amp;'Emission factors'!$K$3:$K$201,0),MATCH('Buildings - Heat &amp; Fuels'!Q$6,'Emission factors'!$K$2:$V$2,0)))*$K43)</f>
        <v/>
      </c>
      <c r="R43" s="157" t="str" cm="1">
        <f t="array" ref="R43">IF(OR($E43="",$I43=""),"",(INDEX('Emission factors'!$K$3:$V$201,MATCH('Buildings - Heat &amp; Fuels'!$E43&amp;$F43,'Emission factors'!$J$3:$J$201&amp;'Emission factors'!$K$3:$K$201,0),MATCH('Buildings - Heat &amp; Fuels'!R$6,'Emission factors'!$K$2:$V$2,0)))*$K43)</f>
        <v/>
      </c>
      <c r="S43" s="157" t="str" cm="1">
        <f t="array" ref="S43">IF(OR($E43="",$I43=""),"",(INDEX('Emission factors'!$K$3:$V$201,MATCH('Buildings - Heat &amp; Fuels'!$E43&amp;$F43,'Emission factors'!$J$3:$J$201&amp;'Emission factors'!$K$3:$K$201,0),MATCH('Buildings - Heat &amp; Fuels'!S$6,'Emission factors'!$K$2:$V$2,0)))*$K43)</f>
        <v/>
      </c>
      <c r="T43" s="157" t="str" cm="1">
        <f t="array" ref="T43">IF(OR($E43="",$I43=""),"",(INDEX('Emission factors'!$K$3:$V$201,MATCH('Buildings - Heat &amp; Fuels'!$E43&amp;$F43,'Emission factors'!$J$3:$J$201&amp;'Emission factors'!$K$3:$K$201,0),MATCH('Buildings - Heat &amp; Fuels'!T$6,'Emission factors'!$K$2:$V$2,0)))*$K43)</f>
        <v/>
      </c>
      <c r="U43" s="157" t="str" cm="1">
        <f t="array" ref="U43">IF(OR($E43="",$I43=""),"",(INDEX('Emission factors'!$K$3:$V$201,MATCH('Buildings - Heat &amp; Fuels'!$E43&amp;$F43,'Emission factors'!$J$3:$J$201&amp;'Emission factors'!$K$3:$K$201,0),MATCH('Buildings - Heat &amp; Fuels'!U$6,'Emission factors'!$K$2:$V$2,0)))*$K43)</f>
        <v/>
      </c>
      <c r="V43" s="158" t="str">
        <f>IF(OR($N43="",BuildingsHeatFuelsTable[[#This Row],[RSD]]=""),"",BuildingsHeatFuelsTable[[#This Row],[Total emissions (kgCO2e)]]*(1+BuildingsHeatFuelsTable[[#This Row],[RSD]]))</f>
        <v/>
      </c>
      <c r="W43" s="159" t="str">
        <f>IF(OR($N43="",BuildingsHeatFuelsTable[[#This Row],[RSD]]=""),"",BuildingsHeatFuelsTable[[#This Row],[Total emissions (kgCO2e)]]*(1-BuildingsHeatFuelsTable[[#This Row],[RSD]]))</f>
        <v/>
      </c>
      <c r="X43" s="169" t="str" cm="1">
        <f t="array" ref="X43">IF(OR($E43="",$I43=""),"",(INDEX('Emission factors'!$K$3:$V$201,MATCH('Buildings - Heat &amp; Fuels'!$E43&amp;$F43,'Emission factors'!$J$3:$J$201&amp;'Emission factors'!$K$3:$K$201,0),MATCH('Buildings - Heat &amp; Fuels'!X$6,'Emission factors'!$K$2:$V$2,0)))*$K43)</f>
        <v/>
      </c>
      <c r="Y43" s="30"/>
      <c r="Z43" s="1" cm="1">
        <f t="array" ref="Z43">IF(OR(ISERROR(B43:X43)),1,0)</f>
        <v>0</v>
      </c>
      <c r="AA43" s="1">
        <f t="shared" si="0"/>
        <v>0</v>
      </c>
    </row>
    <row r="44" spans="1:27" ht="15" outlineLevel="1" thickBot="1" x14ac:dyDescent="0.4">
      <c r="A44" s="319"/>
      <c r="B44" s="216"/>
      <c r="C44" s="216"/>
      <c r="D44" s="489" t="str">
        <f>IFERROR(INDEX(BuildingInformationTable[Site type],MATCH(BuildingsHeatFuelsTable[[#This Row],[Site name]],BuildingInformationTable[Site name],0)),"")</f>
        <v/>
      </c>
      <c r="E44" s="491"/>
      <c r="F44" s="491"/>
      <c r="G44" s="491"/>
      <c r="H44" s="492" t="str">
        <f>IF(G44="","",INDEX(Lists!$BA$4:$BC$31,MATCH(E44,Lists!$AZ$4:$AZ$31,0),MATCH(G44,Lists!$BA$3:$BC$3,0)))</f>
        <v/>
      </c>
      <c r="I44" s="267"/>
      <c r="J44" s="491"/>
      <c r="K44" s="493" t="str" cm="1">
        <f t="array" ref="K44">IF(OR($E44="",$D44="",$I44="",$J44=""),"",IF(J44=L44,I44,(INDEX('Emission factors'!$K$3:$V$201,MATCH(E44&amp;F44,'Emission factors'!$J$3:$J$201&amp;'Emission factors'!$K$3:$K$201,0),MATCH(K$6,'Emission factors'!$K$2:$V$2,0)))*I44))</f>
        <v/>
      </c>
      <c r="L44" s="494" t="str">
        <f>IF(OR($E44="",$D44="",$I44="",$J44=""),"",INDEX('Emission factors'!$K$3:$V$201,MATCH('Buildings - Heat &amp; Fuels'!$E44,'Emission factors'!$J$3:$J$201,0),MATCH($L$6,'Emission factors'!$K$2:$V$2,0)))</f>
        <v/>
      </c>
      <c r="M44" s="495" t="str" cm="1">
        <f t="array" ref="M44">IF(OR(E44="",I44="",BuildingsHeatFuelsTable[[#This Row],[Units]]=""),"",INDEX('Emission factors'!$K$3:$V$201,MATCH('Buildings - Heat &amp; Fuels'!$E44&amp;F44,'Emission factors'!$J$3:$J$201&amp;'Emission factors'!$K$3:$K$201,0),MATCH('Buildings - Heat &amp; Fuels'!$M$6,'Emission factors'!$K$2:$V$2,0)))</f>
        <v/>
      </c>
      <c r="N44" s="496" t="str">
        <f>IF(OR(K44="",M44=""),"",SUM(BuildingsHeatFuelsTable[[#This Row],[Direct]:[Indirect WTT]]))</f>
        <v/>
      </c>
      <c r="O44" s="268"/>
      <c r="P44" s="497"/>
      <c r="Q44" s="157" t="str" cm="1">
        <f t="array" ref="Q44">IF(OR($E44="",$I44=""),"",(INDEX('Emission factors'!$K$3:$V$201,MATCH('Buildings - Heat &amp; Fuels'!$E44&amp;$F44,'Emission factors'!$J$3:$J$201&amp;'Emission factors'!$K$3:$K$201,0),MATCH('Buildings - Heat &amp; Fuels'!Q$6,'Emission factors'!$K$2:$V$2,0)))*$K44)</f>
        <v/>
      </c>
      <c r="R44" s="157" t="str" cm="1">
        <f t="array" ref="R44">IF(OR($E44="",$I44=""),"",(INDEX('Emission factors'!$K$3:$V$201,MATCH('Buildings - Heat &amp; Fuels'!$E44&amp;$F44,'Emission factors'!$J$3:$J$201&amp;'Emission factors'!$K$3:$K$201,0),MATCH('Buildings - Heat &amp; Fuels'!R$6,'Emission factors'!$K$2:$V$2,0)))*$K44)</f>
        <v/>
      </c>
      <c r="S44" s="157" t="str" cm="1">
        <f t="array" ref="S44">IF(OR($E44="",$I44=""),"",(INDEX('Emission factors'!$K$3:$V$201,MATCH('Buildings - Heat &amp; Fuels'!$E44&amp;$F44,'Emission factors'!$J$3:$J$201&amp;'Emission factors'!$K$3:$K$201,0),MATCH('Buildings - Heat &amp; Fuels'!S$6,'Emission factors'!$K$2:$V$2,0)))*$K44)</f>
        <v/>
      </c>
      <c r="T44" s="157" t="str" cm="1">
        <f t="array" ref="T44">IF(OR($E44="",$I44=""),"",(INDEX('Emission factors'!$K$3:$V$201,MATCH('Buildings - Heat &amp; Fuels'!$E44&amp;$F44,'Emission factors'!$J$3:$J$201&amp;'Emission factors'!$K$3:$K$201,0),MATCH('Buildings - Heat &amp; Fuels'!T$6,'Emission factors'!$K$2:$V$2,0)))*$K44)</f>
        <v/>
      </c>
      <c r="U44" s="157" t="str" cm="1">
        <f t="array" ref="U44">IF(OR($E44="",$I44=""),"",(INDEX('Emission factors'!$K$3:$V$201,MATCH('Buildings - Heat &amp; Fuels'!$E44&amp;$F44,'Emission factors'!$J$3:$J$201&amp;'Emission factors'!$K$3:$K$201,0),MATCH('Buildings - Heat &amp; Fuels'!U$6,'Emission factors'!$K$2:$V$2,0)))*$K44)</f>
        <v/>
      </c>
      <c r="V44" s="158" t="str">
        <f>IF(OR($N44="",BuildingsHeatFuelsTable[[#This Row],[RSD]]=""),"",BuildingsHeatFuelsTable[[#This Row],[Total emissions (kgCO2e)]]*(1+BuildingsHeatFuelsTable[[#This Row],[RSD]]))</f>
        <v/>
      </c>
      <c r="W44" s="159" t="str">
        <f>IF(OR($N44="",BuildingsHeatFuelsTable[[#This Row],[RSD]]=""),"",BuildingsHeatFuelsTable[[#This Row],[Total emissions (kgCO2e)]]*(1-BuildingsHeatFuelsTable[[#This Row],[RSD]]))</f>
        <v/>
      </c>
      <c r="X44" s="169" t="str" cm="1">
        <f t="array" ref="X44">IF(OR($E44="",$I44=""),"",(INDEX('Emission factors'!$K$3:$V$201,MATCH('Buildings - Heat &amp; Fuels'!$E44&amp;$F44,'Emission factors'!$J$3:$J$201&amp;'Emission factors'!$K$3:$K$201,0),MATCH('Buildings - Heat &amp; Fuels'!X$6,'Emission factors'!$K$2:$V$2,0)))*$K44)</f>
        <v/>
      </c>
      <c r="Y44" s="30"/>
      <c r="Z44" s="1" cm="1">
        <f t="array" ref="Z44">IF(OR(ISERROR(B44:X44)),1,0)</f>
        <v>0</v>
      </c>
      <c r="AA44" s="1">
        <f t="shared" si="0"/>
        <v>0</v>
      </c>
    </row>
    <row r="45" spans="1:27" ht="15" outlineLevel="1" thickBot="1" x14ac:dyDescent="0.4">
      <c r="A45" s="319"/>
      <c r="B45" s="216"/>
      <c r="C45" s="216"/>
      <c r="D45" s="489" t="str">
        <f>IFERROR(INDEX(BuildingInformationTable[Site type],MATCH(BuildingsHeatFuelsTable[[#This Row],[Site name]],BuildingInformationTable[Site name],0)),"")</f>
        <v/>
      </c>
      <c r="E45" s="491"/>
      <c r="F45" s="491"/>
      <c r="G45" s="491"/>
      <c r="H45" s="492" t="str">
        <f>IF(G45="","",INDEX(Lists!$BA$4:$BC$31,MATCH(E45,Lists!$AZ$4:$AZ$31,0),MATCH(G45,Lists!$BA$3:$BC$3,0)))</f>
        <v/>
      </c>
      <c r="I45" s="267"/>
      <c r="J45" s="491"/>
      <c r="K45" s="493" t="str" cm="1">
        <f t="array" ref="K45">IF(OR($E45="",$D45="",$I45="",$J45=""),"",IF(J45=L45,I45,(INDEX('Emission factors'!$K$3:$V$201,MATCH(E45&amp;F45,'Emission factors'!$J$3:$J$201&amp;'Emission factors'!$K$3:$K$201,0),MATCH(K$6,'Emission factors'!$K$2:$V$2,0)))*I45))</f>
        <v/>
      </c>
      <c r="L45" s="494" t="str">
        <f>IF(OR($E45="",$D45="",$I45="",$J45=""),"",INDEX('Emission factors'!$K$3:$V$201,MATCH('Buildings - Heat &amp; Fuels'!$E45,'Emission factors'!$J$3:$J$201,0),MATCH($L$6,'Emission factors'!$K$2:$V$2,0)))</f>
        <v/>
      </c>
      <c r="M45" s="495" t="str" cm="1">
        <f t="array" ref="M45">IF(OR(E45="",I45="",BuildingsHeatFuelsTable[[#This Row],[Units]]=""),"",INDEX('Emission factors'!$K$3:$V$201,MATCH('Buildings - Heat &amp; Fuels'!$E45&amp;F45,'Emission factors'!$J$3:$J$201&amp;'Emission factors'!$K$3:$K$201,0),MATCH('Buildings - Heat &amp; Fuels'!$M$6,'Emission factors'!$K$2:$V$2,0)))</f>
        <v/>
      </c>
      <c r="N45" s="496" t="str">
        <f>IF(OR(K45="",M45=""),"",SUM(BuildingsHeatFuelsTable[[#This Row],[Direct]:[Indirect WTT]]))</f>
        <v/>
      </c>
      <c r="O45" s="268"/>
      <c r="P45" s="497"/>
      <c r="Q45" s="157" t="str" cm="1">
        <f t="array" ref="Q45">IF(OR($E45="",$I45=""),"",(INDEX('Emission factors'!$K$3:$V$201,MATCH('Buildings - Heat &amp; Fuels'!$E45&amp;$F45,'Emission factors'!$J$3:$J$201&amp;'Emission factors'!$K$3:$K$201,0),MATCH('Buildings - Heat &amp; Fuels'!Q$6,'Emission factors'!$K$2:$V$2,0)))*$K45)</f>
        <v/>
      </c>
      <c r="R45" s="157" t="str" cm="1">
        <f t="array" ref="R45">IF(OR($E45="",$I45=""),"",(INDEX('Emission factors'!$K$3:$V$201,MATCH('Buildings - Heat &amp; Fuels'!$E45&amp;$F45,'Emission factors'!$J$3:$J$201&amp;'Emission factors'!$K$3:$K$201,0),MATCH('Buildings - Heat &amp; Fuels'!R$6,'Emission factors'!$K$2:$V$2,0)))*$K45)</f>
        <v/>
      </c>
      <c r="S45" s="157" t="str" cm="1">
        <f t="array" ref="S45">IF(OR($E45="",$I45=""),"",(INDEX('Emission factors'!$K$3:$V$201,MATCH('Buildings - Heat &amp; Fuels'!$E45&amp;$F45,'Emission factors'!$J$3:$J$201&amp;'Emission factors'!$K$3:$K$201,0),MATCH('Buildings - Heat &amp; Fuels'!S$6,'Emission factors'!$K$2:$V$2,0)))*$K45)</f>
        <v/>
      </c>
      <c r="T45" s="157" t="str" cm="1">
        <f t="array" ref="T45">IF(OR($E45="",$I45=""),"",(INDEX('Emission factors'!$K$3:$V$201,MATCH('Buildings - Heat &amp; Fuels'!$E45&amp;$F45,'Emission factors'!$J$3:$J$201&amp;'Emission factors'!$K$3:$K$201,0),MATCH('Buildings - Heat &amp; Fuels'!T$6,'Emission factors'!$K$2:$V$2,0)))*$K45)</f>
        <v/>
      </c>
      <c r="U45" s="157" t="str" cm="1">
        <f t="array" ref="U45">IF(OR($E45="",$I45=""),"",(INDEX('Emission factors'!$K$3:$V$201,MATCH('Buildings - Heat &amp; Fuels'!$E45&amp;$F45,'Emission factors'!$J$3:$J$201&amp;'Emission factors'!$K$3:$K$201,0),MATCH('Buildings - Heat &amp; Fuels'!U$6,'Emission factors'!$K$2:$V$2,0)))*$K45)</f>
        <v/>
      </c>
      <c r="V45" s="158" t="str">
        <f>IF(OR($N45="",BuildingsHeatFuelsTable[[#This Row],[RSD]]=""),"",BuildingsHeatFuelsTable[[#This Row],[Total emissions (kgCO2e)]]*(1+BuildingsHeatFuelsTable[[#This Row],[RSD]]))</f>
        <v/>
      </c>
      <c r="W45" s="159" t="str">
        <f>IF(OR($N45="",BuildingsHeatFuelsTable[[#This Row],[RSD]]=""),"",BuildingsHeatFuelsTable[[#This Row],[Total emissions (kgCO2e)]]*(1-BuildingsHeatFuelsTable[[#This Row],[RSD]]))</f>
        <v/>
      </c>
      <c r="X45" s="169" t="str" cm="1">
        <f t="array" ref="X45">IF(OR($E45="",$I45=""),"",(INDEX('Emission factors'!$K$3:$V$201,MATCH('Buildings - Heat &amp; Fuels'!$E45&amp;$F45,'Emission factors'!$J$3:$J$201&amp;'Emission factors'!$K$3:$K$201,0),MATCH('Buildings - Heat &amp; Fuels'!X$6,'Emission factors'!$K$2:$V$2,0)))*$K45)</f>
        <v/>
      </c>
      <c r="Y45" s="30"/>
      <c r="Z45" s="1" cm="1">
        <f t="array" ref="Z45">IF(OR(ISERROR(B45:X45)),1,0)</f>
        <v>0</v>
      </c>
      <c r="AA45" s="1">
        <f t="shared" si="0"/>
        <v>0</v>
      </c>
    </row>
    <row r="46" spans="1:27" ht="15" outlineLevel="1" thickBot="1" x14ac:dyDescent="0.4">
      <c r="A46" s="319"/>
      <c r="B46" s="216"/>
      <c r="C46" s="216"/>
      <c r="D46" s="489" t="str">
        <f>IFERROR(INDEX(BuildingInformationTable[Site type],MATCH(BuildingsHeatFuelsTable[[#This Row],[Site name]],BuildingInformationTable[Site name],0)),"")</f>
        <v/>
      </c>
      <c r="E46" s="491"/>
      <c r="F46" s="491"/>
      <c r="G46" s="491"/>
      <c r="H46" s="492" t="str">
        <f>IF(G46="","",INDEX(Lists!$BA$4:$BC$31,MATCH(E46,Lists!$AZ$4:$AZ$31,0),MATCH(G46,Lists!$BA$3:$BC$3,0)))</f>
        <v/>
      </c>
      <c r="I46" s="267"/>
      <c r="J46" s="491"/>
      <c r="K46" s="493" t="str" cm="1">
        <f t="array" ref="K46">IF(OR($E46="",$D46="",$I46="",$J46=""),"",IF(J46=L46,I46,(INDEX('Emission factors'!$K$3:$V$201,MATCH(E46&amp;F46,'Emission factors'!$J$3:$J$201&amp;'Emission factors'!$K$3:$K$201,0),MATCH(K$6,'Emission factors'!$K$2:$V$2,0)))*I46))</f>
        <v/>
      </c>
      <c r="L46" s="494" t="str">
        <f>IF(OR($E46="",$D46="",$I46="",$J46=""),"",INDEX('Emission factors'!$K$3:$V$201,MATCH('Buildings - Heat &amp; Fuels'!$E46,'Emission factors'!$J$3:$J$201,0),MATCH($L$6,'Emission factors'!$K$2:$V$2,0)))</f>
        <v/>
      </c>
      <c r="M46" s="495" t="str" cm="1">
        <f t="array" ref="M46">IF(OR(E46="",I46="",BuildingsHeatFuelsTable[[#This Row],[Units]]=""),"",INDEX('Emission factors'!$K$3:$V$201,MATCH('Buildings - Heat &amp; Fuels'!$E46&amp;F46,'Emission factors'!$J$3:$J$201&amp;'Emission factors'!$K$3:$K$201,0),MATCH('Buildings - Heat &amp; Fuels'!$M$6,'Emission factors'!$K$2:$V$2,0)))</f>
        <v/>
      </c>
      <c r="N46" s="496" t="str">
        <f>IF(OR(K46="",M46=""),"",SUM(BuildingsHeatFuelsTable[[#This Row],[Direct]:[Indirect WTT]]))</f>
        <v/>
      </c>
      <c r="O46" s="268"/>
      <c r="P46" s="497"/>
      <c r="Q46" s="157" t="str" cm="1">
        <f t="array" ref="Q46">IF(OR($E46="",$I46=""),"",(INDEX('Emission factors'!$K$3:$V$201,MATCH('Buildings - Heat &amp; Fuels'!$E46&amp;$F46,'Emission factors'!$J$3:$J$201&amp;'Emission factors'!$K$3:$K$201,0),MATCH('Buildings - Heat &amp; Fuels'!Q$6,'Emission factors'!$K$2:$V$2,0)))*$K46)</f>
        <v/>
      </c>
      <c r="R46" s="157" t="str" cm="1">
        <f t="array" ref="R46">IF(OR($E46="",$I46=""),"",(INDEX('Emission factors'!$K$3:$V$201,MATCH('Buildings - Heat &amp; Fuels'!$E46&amp;$F46,'Emission factors'!$J$3:$J$201&amp;'Emission factors'!$K$3:$K$201,0),MATCH('Buildings - Heat &amp; Fuels'!R$6,'Emission factors'!$K$2:$V$2,0)))*$K46)</f>
        <v/>
      </c>
      <c r="S46" s="157" t="str" cm="1">
        <f t="array" ref="S46">IF(OR($E46="",$I46=""),"",(INDEX('Emission factors'!$K$3:$V$201,MATCH('Buildings - Heat &amp; Fuels'!$E46&amp;$F46,'Emission factors'!$J$3:$J$201&amp;'Emission factors'!$K$3:$K$201,0),MATCH('Buildings - Heat &amp; Fuels'!S$6,'Emission factors'!$K$2:$V$2,0)))*$K46)</f>
        <v/>
      </c>
      <c r="T46" s="157" t="str" cm="1">
        <f t="array" ref="T46">IF(OR($E46="",$I46=""),"",(INDEX('Emission factors'!$K$3:$V$201,MATCH('Buildings - Heat &amp; Fuels'!$E46&amp;$F46,'Emission factors'!$J$3:$J$201&amp;'Emission factors'!$K$3:$K$201,0),MATCH('Buildings - Heat &amp; Fuels'!T$6,'Emission factors'!$K$2:$V$2,0)))*$K46)</f>
        <v/>
      </c>
      <c r="U46" s="157" t="str" cm="1">
        <f t="array" ref="U46">IF(OR($E46="",$I46=""),"",(INDEX('Emission factors'!$K$3:$V$201,MATCH('Buildings - Heat &amp; Fuels'!$E46&amp;$F46,'Emission factors'!$J$3:$J$201&amp;'Emission factors'!$K$3:$K$201,0),MATCH('Buildings - Heat &amp; Fuels'!U$6,'Emission factors'!$K$2:$V$2,0)))*$K46)</f>
        <v/>
      </c>
      <c r="V46" s="158" t="str">
        <f>IF(OR($N46="",BuildingsHeatFuelsTable[[#This Row],[RSD]]=""),"",BuildingsHeatFuelsTable[[#This Row],[Total emissions (kgCO2e)]]*(1+BuildingsHeatFuelsTable[[#This Row],[RSD]]))</f>
        <v/>
      </c>
      <c r="W46" s="159" t="str">
        <f>IF(OR($N46="",BuildingsHeatFuelsTable[[#This Row],[RSD]]=""),"",BuildingsHeatFuelsTable[[#This Row],[Total emissions (kgCO2e)]]*(1-BuildingsHeatFuelsTable[[#This Row],[RSD]]))</f>
        <v/>
      </c>
      <c r="X46" s="169" t="str" cm="1">
        <f t="array" ref="X46">IF(OR($E46="",$I46=""),"",(INDEX('Emission factors'!$K$3:$V$201,MATCH('Buildings - Heat &amp; Fuels'!$E46&amp;$F46,'Emission factors'!$J$3:$J$201&amp;'Emission factors'!$K$3:$K$201,0),MATCH('Buildings - Heat &amp; Fuels'!X$6,'Emission factors'!$K$2:$V$2,0)))*$K46)</f>
        <v/>
      </c>
      <c r="Y46" s="30"/>
      <c r="Z46" s="1" cm="1">
        <f t="array" ref="Z46">IF(OR(ISERROR(B46:X46)),1,0)</f>
        <v>0</v>
      </c>
      <c r="AA46" s="1">
        <f t="shared" si="0"/>
        <v>0</v>
      </c>
    </row>
    <row r="47" spans="1:27" ht="15" outlineLevel="1" thickBot="1" x14ac:dyDescent="0.4">
      <c r="A47" s="319"/>
      <c r="B47" s="216"/>
      <c r="C47" s="216"/>
      <c r="D47" s="489" t="str">
        <f>IFERROR(INDEX(BuildingInformationTable[Site type],MATCH(BuildingsHeatFuelsTable[[#This Row],[Site name]],BuildingInformationTable[Site name],0)),"")</f>
        <v/>
      </c>
      <c r="E47" s="491"/>
      <c r="F47" s="491"/>
      <c r="G47" s="491"/>
      <c r="H47" s="492" t="str">
        <f>IF(G47="","",INDEX(Lists!$BA$4:$BC$31,MATCH(E47,Lists!$AZ$4:$AZ$31,0),MATCH(G47,Lists!$BA$3:$BC$3,0)))</f>
        <v/>
      </c>
      <c r="I47" s="267"/>
      <c r="J47" s="491"/>
      <c r="K47" s="493" t="str" cm="1">
        <f t="array" ref="K47">IF(OR($E47="",$D47="",$I47="",$J47=""),"",IF(J47=L47,I47,(INDEX('Emission factors'!$K$3:$V$201,MATCH(E47&amp;F47,'Emission factors'!$J$3:$J$201&amp;'Emission factors'!$K$3:$K$201,0),MATCH(K$6,'Emission factors'!$K$2:$V$2,0)))*I47))</f>
        <v/>
      </c>
      <c r="L47" s="494" t="str">
        <f>IF(OR($E47="",$D47="",$I47="",$J47=""),"",INDEX('Emission factors'!$K$3:$V$201,MATCH('Buildings - Heat &amp; Fuels'!$E47,'Emission factors'!$J$3:$J$201,0),MATCH($L$6,'Emission factors'!$K$2:$V$2,0)))</f>
        <v/>
      </c>
      <c r="M47" s="495" t="str" cm="1">
        <f t="array" ref="M47">IF(OR(E47="",I47="",BuildingsHeatFuelsTable[[#This Row],[Units]]=""),"",INDEX('Emission factors'!$K$3:$V$201,MATCH('Buildings - Heat &amp; Fuels'!$E47&amp;F47,'Emission factors'!$J$3:$J$201&amp;'Emission factors'!$K$3:$K$201,0),MATCH('Buildings - Heat &amp; Fuels'!$M$6,'Emission factors'!$K$2:$V$2,0)))</f>
        <v/>
      </c>
      <c r="N47" s="496" t="str">
        <f>IF(OR(K47="",M47=""),"",SUM(BuildingsHeatFuelsTable[[#This Row],[Direct]:[Indirect WTT]]))</f>
        <v/>
      </c>
      <c r="O47" s="268"/>
      <c r="P47" s="497"/>
      <c r="Q47" s="157" t="str" cm="1">
        <f t="array" ref="Q47">IF(OR($E47="",$I47=""),"",(INDEX('Emission factors'!$K$3:$V$201,MATCH('Buildings - Heat &amp; Fuels'!$E47&amp;$F47,'Emission factors'!$J$3:$J$201&amp;'Emission factors'!$K$3:$K$201,0),MATCH('Buildings - Heat &amp; Fuels'!Q$6,'Emission factors'!$K$2:$V$2,0)))*$K47)</f>
        <v/>
      </c>
      <c r="R47" s="157" t="str" cm="1">
        <f t="array" ref="R47">IF(OR($E47="",$I47=""),"",(INDEX('Emission factors'!$K$3:$V$201,MATCH('Buildings - Heat &amp; Fuels'!$E47&amp;$F47,'Emission factors'!$J$3:$J$201&amp;'Emission factors'!$K$3:$K$201,0),MATCH('Buildings - Heat &amp; Fuels'!R$6,'Emission factors'!$K$2:$V$2,0)))*$K47)</f>
        <v/>
      </c>
      <c r="S47" s="157" t="str" cm="1">
        <f t="array" ref="S47">IF(OR($E47="",$I47=""),"",(INDEX('Emission factors'!$K$3:$V$201,MATCH('Buildings - Heat &amp; Fuels'!$E47&amp;$F47,'Emission factors'!$J$3:$J$201&amp;'Emission factors'!$K$3:$K$201,0),MATCH('Buildings - Heat &amp; Fuels'!S$6,'Emission factors'!$K$2:$V$2,0)))*$K47)</f>
        <v/>
      </c>
      <c r="T47" s="157" t="str" cm="1">
        <f t="array" ref="T47">IF(OR($E47="",$I47=""),"",(INDEX('Emission factors'!$K$3:$V$201,MATCH('Buildings - Heat &amp; Fuels'!$E47&amp;$F47,'Emission factors'!$J$3:$J$201&amp;'Emission factors'!$K$3:$K$201,0),MATCH('Buildings - Heat &amp; Fuels'!T$6,'Emission factors'!$K$2:$V$2,0)))*$K47)</f>
        <v/>
      </c>
      <c r="U47" s="157" t="str" cm="1">
        <f t="array" ref="U47">IF(OR($E47="",$I47=""),"",(INDEX('Emission factors'!$K$3:$V$201,MATCH('Buildings - Heat &amp; Fuels'!$E47&amp;$F47,'Emission factors'!$J$3:$J$201&amp;'Emission factors'!$K$3:$K$201,0),MATCH('Buildings - Heat &amp; Fuels'!U$6,'Emission factors'!$K$2:$V$2,0)))*$K47)</f>
        <v/>
      </c>
      <c r="V47" s="158" t="str">
        <f>IF(OR($N47="",BuildingsHeatFuelsTable[[#This Row],[RSD]]=""),"",BuildingsHeatFuelsTable[[#This Row],[Total emissions (kgCO2e)]]*(1+BuildingsHeatFuelsTable[[#This Row],[RSD]]))</f>
        <v/>
      </c>
      <c r="W47" s="159" t="str">
        <f>IF(OR($N47="",BuildingsHeatFuelsTable[[#This Row],[RSD]]=""),"",BuildingsHeatFuelsTable[[#This Row],[Total emissions (kgCO2e)]]*(1-BuildingsHeatFuelsTable[[#This Row],[RSD]]))</f>
        <v/>
      </c>
      <c r="X47" s="169" t="str" cm="1">
        <f t="array" ref="X47">IF(OR($E47="",$I47=""),"",(INDEX('Emission factors'!$K$3:$V$201,MATCH('Buildings - Heat &amp; Fuels'!$E47&amp;$F47,'Emission factors'!$J$3:$J$201&amp;'Emission factors'!$K$3:$K$201,0),MATCH('Buildings - Heat &amp; Fuels'!X$6,'Emission factors'!$K$2:$V$2,0)))*$K47)</f>
        <v/>
      </c>
      <c r="Y47" s="30"/>
      <c r="Z47" s="1" cm="1">
        <f t="array" ref="Z47">IF(OR(ISERROR(B47:X47)),1,0)</f>
        <v>0</v>
      </c>
      <c r="AA47" s="1">
        <f t="shared" si="0"/>
        <v>0</v>
      </c>
    </row>
    <row r="48" spans="1:27" ht="15" outlineLevel="1" thickBot="1" x14ac:dyDescent="0.4">
      <c r="A48" s="319"/>
      <c r="B48" s="216"/>
      <c r="C48" s="216"/>
      <c r="D48" s="489" t="str">
        <f>IFERROR(INDEX(BuildingInformationTable[Site type],MATCH(BuildingsHeatFuelsTable[[#This Row],[Site name]],BuildingInformationTable[Site name],0)),"")</f>
        <v/>
      </c>
      <c r="E48" s="491"/>
      <c r="F48" s="491"/>
      <c r="G48" s="491"/>
      <c r="H48" s="492" t="str">
        <f>IF(G48="","",INDEX(Lists!$BA$4:$BC$31,MATCH(E48,Lists!$AZ$4:$AZ$31,0),MATCH(G48,Lists!$BA$3:$BC$3,0)))</f>
        <v/>
      </c>
      <c r="I48" s="267"/>
      <c r="J48" s="491"/>
      <c r="K48" s="493" t="str" cm="1">
        <f t="array" ref="K48">IF(OR($E48="",$D48="",$I48="",$J48=""),"",IF(J48=L48,I48,(INDEX('Emission factors'!$K$3:$V$201,MATCH(E48&amp;F48,'Emission factors'!$J$3:$J$201&amp;'Emission factors'!$K$3:$K$201,0),MATCH(K$6,'Emission factors'!$K$2:$V$2,0)))*I48))</f>
        <v/>
      </c>
      <c r="L48" s="494" t="str">
        <f>IF(OR($E48="",$D48="",$I48="",$J48=""),"",INDEX('Emission factors'!$K$3:$V$201,MATCH('Buildings - Heat &amp; Fuels'!$E48,'Emission factors'!$J$3:$J$201,0),MATCH($L$6,'Emission factors'!$K$2:$V$2,0)))</f>
        <v/>
      </c>
      <c r="M48" s="495" t="str" cm="1">
        <f t="array" ref="M48">IF(OR(E48="",I48="",BuildingsHeatFuelsTable[[#This Row],[Units]]=""),"",INDEX('Emission factors'!$K$3:$V$201,MATCH('Buildings - Heat &amp; Fuels'!$E48&amp;F48,'Emission factors'!$J$3:$J$201&amp;'Emission factors'!$K$3:$K$201,0),MATCH('Buildings - Heat &amp; Fuels'!$M$6,'Emission factors'!$K$2:$V$2,0)))</f>
        <v/>
      </c>
      <c r="N48" s="496" t="str">
        <f>IF(OR(K48="",M48=""),"",SUM(BuildingsHeatFuelsTable[[#This Row],[Direct]:[Indirect WTT]]))</f>
        <v/>
      </c>
      <c r="O48" s="268"/>
      <c r="P48" s="497"/>
      <c r="Q48" s="157" t="str" cm="1">
        <f t="array" ref="Q48">IF(OR($E48="",$I48=""),"",(INDEX('Emission factors'!$K$3:$V$201,MATCH('Buildings - Heat &amp; Fuels'!$E48&amp;$F48,'Emission factors'!$J$3:$J$201&amp;'Emission factors'!$K$3:$K$201,0),MATCH('Buildings - Heat &amp; Fuels'!Q$6,'Emission factors'!$K$2:$V$2,0)))*$K48)</f>
        <v/>
      </c>
      <c r="R48" s="157" t="str" cm="1">
        <f t="array" ref="R48">IF(OR($E48="",$I48=""),"",(INDEX('Emission factors'!$K$3:$V$201,MATCH('Buildings - Heat &amp; Fuels'!$E48&amp;$F48,'Emission factors'!$J$3:$J$201&amp;'Emission factors'!$K$3:$K$201,0),MATCH('Buildings - Heat &amp; Fuels'!R$6,'Emission factors'!$K$2:$V$2,0)))*$K48)</f>
        <v/>
      </c>
      <c r="S48" s="157" t="str" cm="1">
        <f t="array" ref="S48">IF(OR($E48="",$I48=""),"",(INDEX('Emission factors'!$K$3:$V$201,MATCH('Buildings - Heat &amp; Fuels'!$E48&amp;$F48,'Emission factors'!$J$3:$J$201&amp;'Emission factors'!$K$3:$K$201,0),MATCH('Buildings - Heat &amp; Fuels'!S$6,'Emission factors'!$K$2:$V$2,0)))*$K48)</f>
        <v/>
      </c>
      <c r="T48" s="157" t="str" cm="1">
        <f t="array" ref="T48">IF(OR($E48="",$I48=""),"",(INDEX('Emission factors'!$K$3:$V$201,MATCH('Buildings - Heat &amp; Fuels'!$E48&amp;$F48,'Emission factors'!$J$3:$J$201&amp;'Emission factors'!$K$3:$K$201,0),MATCH('Buildings - Heat &amp; Fuels'!T$6,'Emission factors'!$K$2:$V$2,0)))*$K48)</f>
        <v/>
      </c>
      <c r="U48" s="157" t="str" cm="1">
        <f t="array" ref="U48">IF(OR($E48="",$I48=""),"",(INDEX('Emission factors'!$K$3:$V$201,MATCH('Buildings - Heat &amp; Fuels'!$E48&amp;$F48,'Emission factors'!$J$3:$J$201&amp;'Emission factors'!$K$3:$K$201,0),MATCH('Buildings - Heat &amp; Fuels'!U$6,'Emission factors'!$K$2:$V$2,0)))*$K48)</f>
        <v/>
      </c>
      <c r="V48" s="158" t="str">
        <f>IF(OR($N48="",BuildingsHeatFuelsTable[[#This Row],[RSD]]=""),"",BuildingsHeatFuelsTable[[#This Row],[Total emissions (kgCO2e)]]*(1+BuildingsHeatFuelsTable[[#This Row],[RSD]]))</f>
        <v/>
      </c>
      <c r="W48" s="159" t="str">
        <f>IF(OR($N48="",BuildingsHeatFuelsTable[[#This Row],[RSD]]=""),"",BuildingsHeatFuelsTable[[#This Row],[Total emissions (kgCO2e)]]*(1-BuildingsHeatFuelsTable[[#This Row],[RSD]]))</f>
        <v/>
      </c>
      <c r="X48" s="169" t="str" cm="1">
        <f t="array" ref="X48">IF(OR($E48="",$I48=""),"",(INDEX('Emission factors'!$K$3:$V$201,MATCH('Buildings - Heat &amp; Fuels'!$E48&amp;$F48,'Emission factors'!$J$3:$J$201&amp;'Emission factors'!$K$3:$K$201,0),MATCH('Buildings - Heat &amp; Fuels'!X$6,'Emission factors'!$K$2:$V$2,0)))*$K48)</f>
        <v/>
      </c>
      <c r="Y48" s="30"/>
      <c r="Z48" s="1" cm="1">
        <f t="array" ref="Z48">IF(OR(ISERROR(B48:X48)),1,0)</f>
        <v>0</v>
      </c>
      <c r="AA48" s="1">
        <f t="shared" si="0"/>
        <v>0</v>
      </c>
    </row>
    <row r="49" spans="1:27" ht="15" outlineLevel="1" thickBot="1" x14ac:dyDescent="0.4">
      <c r="A49" s="319"/>
      <c r="B49" s="216"/>
      <c r="C49" s="216"/>
      <c r="D49" s="489" t="str">
        <f>IFERROR(INDEX(BuildingInformationTable[Site type],MATCH(BuildingsHeatFuelsTable[[#This Row],[Site name]],BuildingInformationTable[Site name],0)),"")</f>
        <v/>
      </c>
      <c r="E49" s="491"/>
      <c r="F49" s="491"/>
      <c r="G49" s="491"/>
      <c r="H49" s="492" t="str">
        <f>IF(G49="","",INDEX(Lists!$BA$4:$BC$31,MATCH(E49,Lists!$AZ$4:$AZ$31,0),MATCH(G49,Lists!$BA$3:$BC$3,0)))</f>
        <v/>
      </c>
      <c r="I49" s="267"/>
      <c r="J49" s="491"/>
      <c r="K49" s="493" t="str" cm="1">
        <f t="array" ref="K49">IF(OR($E49="",$D49="",$I49="",$J49=""),"",IF(J49=L49,I49,(INDEX('Emission factors'!$K$3:$V$201,MATCH(E49&amp;F49,'Emission factors'!$J$3:$J$201&amp;'Emission factors'!$K$3:$K$201,0),MATCH(K$6,'Emission factors'!$K$2:$V$2,0)))*I49))</f>
        <v/>
      </c>
      <c r="L49" s="494" t="str">
        <f>IF(OR($E49="",$D49="",$I49="",$J49=""),"",INDEX('Emission factors'!$K$3:$V$201,MATCH('Buildings - Heat &amp; Fuels'!$E49,'Emission factors'!$J$3:$J$201,0),MATCH($L$6,'Emission factors'!$K$2:$V$2,0)))</f>
        <v/>
      </c>
      <c r="M49" s="495" t="str" cm="1">
        <f t="array" ref="M49">IF(OR(E49="",I49="",BuildingsHeatFuelsTable[[#This Row],[Units]]=""),"",INDEX('Emission factors'!$K$3:$V$201,MATCH('Buildings - Heat &amp; Fuels'!$E49&amp;F49,'Emission factors'!$J$3:$J$201&amp;'Emission factors'!$K$3:$K$201,0),MATCH('Buildings - Heat &amp; Fuels'!$M$6,'Emission factors'!$K$2:$V$2,0)))</f>
        <v/>
      </c>
      <c r="N49" s="496" t="str">
        <f>IF(OR(K49="",M49=""),"",SUM(BuildingsHeatFuelsTable[[#This Row],[Direct]:[Indirect WTT]]))</f>
        <v/>
      </c>
      <c r="O49" s="268"/>
      <c r="P49" s="497"/>
      <c r="Q49" s="157" t="str" cm="1">
        <f t="array" ref="Q49">IF(OR($E49="",$I49=""),"",(INDEX('Emission factors'!$K$3:$V$201,MATCH('Buildings - Heat &amp; Fuels'!$E49&amp;$F49,'Emission factors'!$J$3:$J$201&amp;'Emission factors'!$K$3:$K$201,0),MATCH('Buildings - Heat &amp; Fuels'!Q$6,'Emission factors'!$K$2:$V$2,0)))*$K49)</f>
        <v/>
      </c>
      <c r="R49" s="157" t="str" cm="1">
        <f t="array" ref="R49">IF(OR($E49="",$I49=""),"",(INDEX('Emission factors'!$K$3:$V$201,MATCH('Buildings - Heat &amp; Fuels'!$E49&amp;$F49,'Emission factors'!$J$3:$J$201&amp;'Emission factors'!$K$3:$K$201,0),MATCH('Buildings - Heat &amp; Fuels'!R$6,'Emission factors'!$K$2:$V$2,0)))*$K49)</f>
        <v/>
      </c>
      <c r="S49" s="157" t="str" cm="1">
        <f t="array" ref="S49">IF(OR($E49="",$I49=""),"",(INDEX('Emission factors'!$K$3:$V$201,MATCH('Buildings - Heat &amp; Fuels'!$E49&amp;$F49,'Emission factors'!$J$3:$J$201&amp;'Emission factors'!$K$3:$K$201,0),MATCH('Buildings - Heat &amp; Fuels'!S$6,'Emission factors'!$K$2:$V$2,0)))*$K49)</f>
        <v/>
      </c>
      <c r="T49" s="157" t="str" cm="1">
        <f t="array" ref="T49">IF(OR($E49="",$I49=""),"",(INDEX('Emission factors'!$K$3:$V$201,MATCH('Buildings - Heat &amp; Fuels'!$E49&amp;$F49,'Emission factors'!$J$3:$J$201&amp;'Emission factors'!$K$3:$K$201,0),MATCH('Buildings - Heat &amp; Fuels'!T$6,'Emission factors'!$K$2:$V$2,0)))*$K49)</f>
        <v/>
      </c>
      <c r="U49" s="157" t="str" cm="1">
        <f t="array" ref="U49">IF(OR($E49="",$I49=""),"",(INDEX('Emission factors'!$K$3:$V$201,MATCH('Buildings - Heat &amp; Fuels'!$E49&amp;$F49,'Emission factors'!$J$3:$J$201&amp;'Emission factors'!$K$3:$K$201,0),MATCH('Buildings - Heat &amp; Fuels'!U$6,'Emission factors'!$K$2:$V$2,0)))*$K49)</f>
        <v/>
      </c>
      <c r="V49" s="158" t="str">
        <f>IF(OR($N49="",BuildingsHeatFuelsTable[[#This Row],[RSD]]=""),"",BuildingsHeatFuelsTable[[#This Row],[Total emissions (kgCO2e)]]*(1+BuildingsHeatFuelsTable[[#This Row],[RSD]]))</f>
        <v/>
      </c>
      <c r="W49" s="159" t="str">
        <f>IF(OR($N49="",BuildingsHeatFuelsTable[[#This Row],[RSD]]=""),"",BuildingsHeatFuelsTable[[#This Row],[Total emissions (kgCO2e)]]*(1-BuildingsHeatFuelsTable[[#This Row],[RSD]]))</f>
        <v/>
      </c>
      <c r="X49" s="169" t="str" cm="1">
        <f t="array" ref="X49">IF(OR($E49="",$I49=""),"",(INDEX('Emission factors'!$K$3:$V$201,MATCH('Buildings - Heat &amp; Fuels'!$E49&amp;$F49,'Emission factors'!$J$3:$J$201&amp;'Emission factors'!$K$3:$K$201,0),MATCH('Buildings - Heat &amp; Fuels'!X$6,'Emission factors'!$K$2:$V$2,0)))*$K49)</f>
        <v/>
      </c>
      <c r="Y49" s="30"/>
      <c r="Z49" s="1" cm="1">
        <f t="array" ref="Z49">IF(OR(ISERROR(B49:X49)),1,0)</f>
        <v>0</v>
      </c>
      <c r="AA49" s="1">
        <f t="shared" si="0"/>
        <v>0</v>
      </c>
    </row>
    <row r="50" spans="1:27" ht="15" outlineLevel="1" thickBot="1" x14ac:dyDescent="0.4">
      <c r="A50" s="319"/>
      <c r="B50" s="216"/>
      <c r="C50" s="216"/>
      <c r="D50" s="489" t="str">
        <f>IFERROR(INDEX(BuildingInformationTable[Site type],MATCH(BuildingsHeatFuelsTable[[#This Row],[Site name]],BuildingInformationTable[Site name],0)),"")</f>
        <v/>
      </c>
      <c r="E50" s="491"/>
      <c r="F50" s="491"/>
      <c r="G50" s="491"/>
      <c r="H50" s="492" t="str">
        <f>IF(G50="","",INDEX(Lists!$BA$4:$BC$31,MATCH(E50,Lists!$AZ$4:$AZ$31,0),MATCH(G50,Lists!$BA$3:$BC$3,0)))</f>
        <v/>
      </c>
      <c r="I50" s="267"/>
      <c r="J50" s="491"/>
      <c r="K50" s="493" t="str" cm="1">
        <f t="array" ref="K50">IF(OR($E50="",$D50="",$I50="",$J50=""),"",IF(J50=L50,I50,(INDEX('Emission factors'!$K$3:$V$201,MATCH(E50&amp;F50,'Emission factors'!$J$3:$J$201&amp;'Emission factors'!$K$3:$K$201,0),MATCH(K$6,'Emission factors'!$K$2:$V$2,0)))*I50))</f>
        <v/>
      </c>
      <c r="L50" s="494" t="str">
        <f>IF(OR($E50="",$D50="",$I50="",$J50=""),"",INDEX('Emission factors'!$K$3:$V$201,MATCH('Buildings - Heat &amp; Fuels'!$E50,'Emission factors'!$J$3:$J$201,0),MATCH($L$6,'Emission factors'!$K$2:$V$2,0)))</f>
        <v/>
      </c>
      <c r="M50" s="495" t="str" cm="1">
        <f t="array" ref="M50">IF(OR(E50="",I50="",BuildingsHeatFuelsTable[[#This Row],[Units]]=""),"",INDEX('Emission factors'!$K$3:$V$201,MATCH('Buildings - Heat &amp; Fuels'!$E50&amp;F50,'Emission factors'!$J$3:$J$201&amp;'Emission factors'!$K$3:$K$201,0),MATCH('Buildings - Heat &amp; Fuels'!$M$6,'Emission factors'!$K$2:$V$2,0)))</f>
        <v/>
      </c>
      <c r="N50" s="496" t="str">
        <f>IF(OR(K50="",M50=""),"",SUM(BuildingsHeatFuelsTable[[#This Row],[Direct]:[Indirect WTT]]))</f>
        <v/>
      </c>
      <c r="O50" s="268"/>
      <c r="P50" s="497"/>
      <c r="Q50" s="157" t="str" cm="1">
        <f t="array" ref="Q50">IF(OR($E50="",$I50=""),"",(INDEX('Emission factors'!$K$3:$V$201,MATCH('Buildings - Heat &amp; Fuels'!$E50&amp;$F50,'Emission factors'!$J$3:$J$201&amp;'Emission factors'!$K$3:$K$201,0),MATCH('Buildings - Heat &amp; Fuels'!Q$6,'Emission factors'!$K$2:$V$2,0)))*$K50)</f>
        <v/>
      </c>
      <c r="R50" s="157" t="str" cm="1">
        <f t="array" ref="R50">IF(OR($E50="",$I50=""),"",(INDEX('Emission factors'!$K$3:$V$201,MATCH('Buildings - Heat &amp; Fuels'!$E50&amp;$F50,'Emission factors'!$J$3:$J$201&amp;'Emission factors'!$K$3:$K$201,0),MATCH('Buildings - Heat &amp; Fuels'!R$6,'Emission factors'!$K$2:$V$2,0)))*$K50)</f>
        <v/>
      </c>
      <c r="S50" s="157" t="str" cm="1">
        <f t="array" ref="S50">IF(OR($E50="",$I50=""),"",(INDEX('Emission factors'!$K$3:$V$201,MATCH('Buildings - Heat &amp; Fuels'!$E50&amp;$F50,'Emission factors'!$J$3:$J$201&amp;'Emission factors'!$K$3:$K$201,0),MATCH('Buildings - Heat &amp; Fuels'!S$6,'Emission factors'!$K$2:$V$2,0)))*$K50)</f>
        <v/>
      </c>
      <c r="T50" s="157" t="str" cm="1">
        <f t="array" ref="T50">IF(OR($E50="",$I50=""),"",(INDEX('Emission factors'!$K$3:$V$201,MATCH('Buildings - Heat &amp; Fuels'!$E50&amp;$F50,'Emission factors'!$J$3:$J$201&amp;'Emission factors'!$K$3:$K$201,0),MATCH('Buildings - Heat &amp; Fuels'!T$6,'Emission factors'!$K$2:$V$2,0)))*$K50)</f>
        <v/>
      </c>
      <c r="U50" s="157" t="str" cm="1">
        <f t="array" ref="U50">IF(OR($E50="",$I50=""),"",(INDEX('Emission factors'!$K$3:$V$201,MATCH('Buildings - Heat &amp; Fuels'!$E50&amp;$F50,'Emission factors'!$J$3:$J$201&amp;'Emission factors'!$K$3:$K$201,0),MATCH('Buildings - Heat &amp; Fuels'!U$6,'Emission factors'!$K$2:$V$2,0)))*$K50)</f>
        <v/>
      </c>
      <c r="V50" s="158" t="str">
        <f>IF(OR($N50="",BuildingsHeatFuelsTable[[#This Row],[RSD]]=""),"",BuildingsHeatFuelsTable[[#This Row],[Total emissions (kgCO2e)]]*(1+BuildingsHeatFuelsTable[[#This Row],[RSD]]))</f>
        <v/>
      </c>
      <c r="W50" s="159" t="str">
        <f>IF(OR($N50="",BuildingsHeatFuelsTable[[#This Row],[RSD]]=""),"",BuildingsHeatFuelsTable[[#This Row],[Total emissions (kgCO2e)]]*(1-BuildingsHeatFuelsTable[[#This Row],[RSD]]))</f>
        <v/>
      </c>
      <c r="X50" s="169" t="str" cm="1">
        <f t="array" ref="X50">IF(OR($E50="",$I50=""),"",(INDEX('Emission factors'!$K$3:$V$201,MATCH('Buildings - Heat &amp; Fuels'!$E50&amp;$F50,'Emission factors'!$J$3:$J$201&amp;'Emission factors'!$K$3:$K$201,0),MATCH('Buildings - Heat &amp; Fuels'!X$6,'Emission factors'!$K$2:$V$2,0)))*$K50)</f>
        <v/>
      </c>
      <c r="Y50" s="30"/>
      <c r="Z50" s="1" cm="1">
        <f t="array" ref="Z50">IF(OR(ISERROR(B50:X50)),1,0)</f>
        <v>0</v>
      </c>
      <c r="AA50" s="1">
        <f t="shared" si="0"/>
        <v>0</v>
      </c>
    </row>
    <row r="51" spans="1:27" ht="15" outlineLevel="1" thickBot="1" x14ac:dyDescent="0.4">
      <c r="A51" s="319"/>
      <c r="B51" s="216"/>
      <c r="C51" s="216"/>
      <c r="D51" s="489" t="str">
        <f>IFERROR(INDEX(BuildingInformationTable[Site type],MATCH(BuildingsHeatFuelsTable[[#This Row],[Site name]],BuildingInformationTable[Site name],0)),"")</f>
        <v/>
      </c>
      <c r="E51" s="491"/>
      <c r="F51" s="491"/>
      <c r="G51" s="491"/>
      <c r="H51" s="492" t="str">
        <f>IF(G51="","",INDEX(Lists!$BA$4:$BC$31,MATCH(E51,Lists!$AZ$4:$AZ$31,0),MATCH(G51,Lists!$BA$3:$BC$3,0)))</f>
        <v/>
      </c>
      <c r="I51" s="267"/>
      <c r="J51" s="491"/>
      <c r="K51" s="493" t="str" cm="1">
        <f t="array" ref="K51">IF(OR($E51="",$D51="",$I51="",$J51=""),"",IF(J51=L51,I51,(INDEX('Emission factors'!$K$3:$V$201,MATCH(E51&amp;F51,'Emission factors'!$J$3:$J$201&amp;'Emission factors'!$K$3:$K$201,0),MATCH(K$6,'Emission factors'!$K$2:$V$2,0)))*I51))</f>
        <v/>
      </c>
      <c r="L51" s="494" t="str">
        <f>IF(OR($E51="",$D51="",$I51="",$J51=""),"",INDEX('Emission factors'!$K$3:$V$201,MATCH('Buildings - Heat &amp; Fuels'!$E51,'Emission factors'!$J$3:$J$201,0),MATCH($L$6,'Emission factors'!$K$2:$V$2,0)))</f>
        <v/>
      </c>
      <c r="M51" s="495" t="str" cm="1">
        <f t="array" ref="M51">IF(OR(E51="",I51="",BuildingsHeatFuelsTable[[#This Row],[Units]]=""),"",INDEX('Emission factors'!$K$3:$V$201,MATCH('Buildings - Heat &amp; Fuels'!$E51&amp;F51,'Emission factors'!$J$3:$J$201&amp;'Emission factors'!$K$3:$K$201,0),MATCH('Buildings - Heat &amp; Fuels'!$M$6,'Emission factors'!$K$2:$V$2,0)))</f>
        <v/>
      </c>
      <c r="N51" s="496" t="str">
        <f>IF(OR(K51="",M51=""),"",SUM(BuildingsHeatFuelsTable[[#This Row],[Direct]:[Indirect WTT]]))</f>
        <v/>
      </c>
      <c r="O51" s="268"/>
      <c r="P51" s="497"/>
      <c r="Q51" s="157" t="str" cm="1">
        <f t="array" ref="Q51">IF(OR($E51="",$I51=""),"",(INDEX('Emission factors'!$K$3:$V$201,MATCH('Buildings - Heat &amp; Fuels'!$E51&amp;$F51,'Emission factors'!$J$3:$J$201&amp;'Emission factors'!$K$3:$K$201,0),MATCH('Buildings - Heat &amp; Fuels'!Q$6,'Emission factors'!$K$2:$V$2,0)))*$K51)</f>
        <v/>
      </c>
      <c r="R51" s="157" t="str" cm="1">
        <f t="array" ref="R51">IF(OR($E51="",$I51=""),"",(INDEX('Emission factors'!$K$3:$V$201,MATCH('Buildings - Heat &amp; Fuels'!$E51&amp;$F51,'Emission factors'!$J$3:$J$201&amp;'Emission factors'!$K$3:$K$201,0),MATCH('Buildings - Heat &amp; Fuels'!R$6,'Emission factors'!$K$2:$V$2,0)))*$K51)</f>
        <v/>
      </c>
      <c r="S51" s="157" t="str" cm="1">
        <f t="array" ref="S51">IF(OR($E51="",$I51=""),"",(INDEX('Emission factors'!$K$3:$V$201,MATCH('Buildings - Heat &amp; Fuels'!$E51&amp;$F51,'Emission factors'!$J$3:$J$201&amp;'Emission factors'!$K$3:$K$201,0),MATCH('Buildings - Heat &amp; Fuels'!S$6,'Emission factors'!$K$2:$V$2,0)))*$K51)</f>
        <v/>
      </c>
      <c r="T51" s="157" t="str" cm="1">
        <f t="array" ref="T51">IF(OR($E51="",$I51=""),"",(INDEX('Emission factors'!$K$3:$V$201,MATCH('Buildings - Heat &amp; Fuels'!$E51&amp;$F51,'Emission factors'!$J$3:$J$201&amp;'Emission factors'!$K$3:$K$201,0),MATCH('Buildings - Heat &amp; Fuels'!T$6,'Emission factors'!$K$2:$V$2,0)))*$K51)</f>
        <v/>
      </c>
      <c r="U51" s="157" t="str" cm="1">
        <f t="array" ref="U51">IF(OR($E51="",$I51=""),"",(INDEX('Emission factors'!$K$3:$V$201,MATCH('Buildings - Heat &amp; Fuels'!$E51&amp;$F51,'Emission factors'!$J$3:$J$201&amp;'Emission factors'!$K$3:$K$201,0),MATCH('Buildings - Heat &amp; Fuels'!U$6,'Emission factors'!$K$2:$V$2,0)))*$K51)</f>
        <v/>
      </c>
      <c r="V51" s="158" t="str">
        <f>IF(OR($N51="",BuildingsHeatFuelsTable[[#This Row],[RSD]]=""),"",BuildingsHeatFuelsTable[[#This Row],[Total emissions (kgCO2e)]]*(1+BuildingsHeatFuelsTable[[#This Row],[RSD]]))</f>
        <v/>
      </c>
      <c r="W51" s="159" t="str">
        <f>IF(OR($N51="",BuildingsHeatFuelsTable[[#This Row],[RSD]]=""),"",BuildingsHeatFuelsTable[[#This Row],[Total emissions (kgCO2e)]]*(1-BuildingsHeatFuelsTable[[#This Row],[RSD]]))</f>
        <v/>
      </c>
      <c r="X51" s="169" t="str" cm="1">
        <f t="array" ref="X51">IF(OR($E51="",$I51=""),"",(INDEX('Emission factors'!$K$3:$V$201,MATCH('Buildings - Heat &amp; Fuels'!$E51&amp;$F51,'Emission factors'!$J$3:$J$201&amp;'Emission factors'!$K$3:$K$201,0),MATCH('Buildings - Heat &amp; Fuels'!X$6,'Emission factors'!$K$2:$V$2,0)))*$K51)</f>
        <v/>
      </c>
      <c r="Y51" s="30"/>
      <c r="Z51" s="1" cm="1">
        <f t="array" ref="Z51">IF(OR(ISERROR(B51:X51)),1,0)</f>
        <v>0</v>
      </c>
      <c r="AA51" s="1">
        <f t="shared" si="0"/>
        <v>0</v>
      </c>
    </row>
    <row r="52" spans="1:27" ht="15" outlineLevel="1" thickBot="1" x14ac:dyDescent="0.4">
      <c r="A52" s="319"/>
      <c r="B52" s="216"/>
      <c r="C52" s="216"/>
      <c r="D52" s="489" t="str">
        <f>IFERROR(INDEX(BuildingInformationTable[Site type],MATCH(BuildingsHeatFuelsTable[[#This Row],[Site name]],BuildingInformationTable[Site name],0)),"")</f>
        <v/>
      </c>
      <c r="E52" s="491"/>
      <c r="F52" s="491"/>
      <c r="G52" s="491"/>
      <c r="H52" s="492" t="str">
        <f>IF(G52="","",INDEX(Lists!$BA$4:$BC$31,MATCH(E52,Lists!$AZ$4:$AZ$31,0),MATCH(G52,Lists!$BA$3:$BC$3,0)))</f>
        <v/>
      </c>
      <c r="I52" s="267"/>
      <c r="J52" s="491"/>
      <c r="K52" s="493" t="str" cm="1">
        <f t="array" ref="K52">IF(OR($E52="",$D52="",$I52="",$J52=""),"",IF(J52=L52,I52,(INDEX('Emission factors'!$K$3:$V$201,MATCH(E52&amp;F52,'Emission factors'!$J$3:$J$201&amp;'Emission factors'!$K$3:$K$201,0),MATCH(K$6,'Emission factors'!$K$2:$V$2,0)))*I52))</f>
        <v/>
      </c>
      <c r="L52" s="494" t="str">
        <f>IF(OR($E52="",$D52="",$I52="",$J52=""),"",INDEX('Emission factors'!$K$3:$V$201,MATCH('Buildings - Heat &amp; Fuels'!$E52,'Emission factors'!$J$3:$J$201,0),MATCH($L$6,'Emission factors'!$K$2:$V$2,0)))</f>
        <v/>
      </c>
      <c r="M52" s="495" t="str" cm="1">
        <f t="array" ref="M52">IF(OR(E52="",I52="",BuildingsHeatFuelsTable[[#This Row],[Units]]=""),"",INDEX('Emission factors'!$K$3:$V$201,MATCH('Buildings - Heat &amp; Fuels'!$E52&amp;F52,'Emission factors'!$J$3:$J$201&amp;'Emission factors'!$K$3:$K$201,0),MATCH('Buildings - Heat &amp; Fuels'!$M$6,'Emission factors'!$K$2:$V$2,0)))</f>
        <v/>
      </c>
      <c r="N52" s="496" t="str">
        <f>IF(OR(K52="",M52=""),"",SUM(BuildingsHeatFuelsTable[[#This Row],[Direct]:[Indirect WTT]]))</f>
        <v/>
      </c>
      <c r="O52" s="268"/>
      <c r="P52" s="497"/>
      <c r="Q52" s="157" t="str" cm="1">
        <f t="array" ref="Q52">IF(OR($E52="",$I52=""),"",(INDEX('Emission factors'!$K$3:$V$201,MATCH('Buildings - Heat &amp; Fuels'!$E52&amp;$F52,'Emission factors'!$J$3:$J$201&amp;'Emission factors'!$K$3:$K$201,0),MATCH('Buildings - Heat &amp; Fuels'!Q$6,'Emission factors'!$K$2:$V$2,0)))*$K52)</f>
        <v/>
      </c>
      <c r="R52" s="157" t="str" cm="1">
        <f t="array" ref="R52">IF(OR($E52="",$I52=""),"",(INDEX('Emission factors'!$K$3:$V$201,MATCH('Buildings - Heat &amp; Fuels'!$E52&amp;$F52,'Emission factors'!$J$3:$J$201&amp;'Emission factors'!$K$3:$K$201,0),MATCH('Buildings - Heat &amp; Fuels'!R$6,'Emission factors'!$K$2:$V$2,0)))*$K52)</f>
        <v/>
      </c>
      <c r="S52" s="157" t="str" cm="1">
        <f t="array" ref="S52">IF(OR($E52="",$I52=""),"",(INDEX('Emission factors'!$K$3:$V$201,MATCH('Buildings - Heat &amp; Fuels'!$E52&amp;$F52,'Emission factors'!$J$3:$J$201&amp;'Emission factors'!$K$3:$K$201,0),MATCH('Buildings - Heat &amp; Fuels'!S$6,'Emission factors'!$K$2:$V$2,0)))*$K52)</f>
        <v/>
      </c>
      <c r="T52" s="157" t="str" cm="1">
        <f t="array" ref="T52">IF(OR($E52="",$I52=""),"",(INDEX('Emission factors'!$K$3:$V$201,MATCH('Buildings - Heat &amp; Fuels'!$E52&amp;$F52,'Emission factors'!$J$3:$J$201&amp;'Emission factors'!$K$3:$K$201,0),MATCH('Buildings - Heat &amp; Fuels'!T$6,'Emission factors'!$K$2:$V$2,0)))*$K52)</f>
        <v/>
      </c>
      <c r="U52" s="157" t="str" cm="1">
        <f t="array" ref="U52">IF(OR($E52="",$I52=""),"",(INDEX('Emission factors'!$K$3:$V$201,MATCH('Buildings - Heat &amp; Fuels'!$E52&amp;$F52,'Emission factors'!$J$3:$J$201&amp;'Emission factors'!$K$3:$K$201,0),MATCH('Buildings - Heat &amp; Fuels'!U$6,'Emission factors'!$K$2:$V$2,0)))*$K52)</f>
        <v/>
      </c>
      <c r="V52" s="158" t="str">
        <f>IF(OR($N52="",BuildingsHeatFuelsTable[[#This Row],[RSD]]=""),"",BuildingsHeatFuelsTable[[#This Row],[Total emissions (kgCO2e)]]*(1+BuildingsHeatFuelsTable[[#This Row],[RSD]]))</f>
        <v/>
      </c>
      <c r="W52" s="159" t="str">
        <f>IF(OR($N52="",BuildingsHeatFuelsTable[[#This Row],[RSD]]=""),"",BuildingsHeatFuelsTable[[#This Row],[Total emissions (kgCO2e)]]*(1-BuildingsHeatFuelsTable[[#This Row],[RSD]]))</f>
        <v/>
      </c>
      <c r="X52" s="169" t="str" cm="1">
        <f t="array" ref="X52">IF(OR($E52="",$I52=""),"",(INDEX('Emission factors'!$K$3:$V$201,MATCH('Buildings - Heat &amp; Fuels'!$E52&amp;$F52,'Emission factors'!$J$3:$J$201&amp;'Emission factors'!$K$3:$K$201,0),MATCH('Buildings - Heat &amp; Fuels'!X$6,'Emission factors'!$K$2:$V$2,0)))*$K52)</f>
        <v/>
      </c>
      <c r="Y52" s="30"/>
      <c r="Z52" s="1" cm="1">
        <f t="array" ref="Z52">IF(OR(ISERROR(B52:X52)),1,0)</f>
        <v>0</v>
      </c>
      <c r="AA52" s="1">
        <f t="shared" si="0"/>
        <v>0</v>
      </c>
    </row>
    <row r="53" spans="1:27" ht="15" outlineLevel="1" thickBot="1" x14ac:dyDescent="0.4">
      <c r="A53" s="319"/>
      <c r="B53" s="216"/>
      <c r="C53" s="216"/>
      <c r="D53" s="489" t="str">
        <f>IFERROR(INDEX(BuildingInformationTable[Site type],MATCH(BuildingsHeatFuelsTable[[#This Row],[Site name]],BuildingInformationTable[Site name],0)),"")</f>
        <v/>
      </c>
      <c r="E53" s="491"/>
      <c r="F53" s="491"/>
      <c r="G53" s="491"/>
      <c r="H53" s="492" t="str">
        <f>IF(G53="","",INDEX(Lists!$BA$4:$BC$31,MATCH(E53,Lists!$AZ$4:$AZ$31,0),MATCH(G53,Lists!$BA$3:$BC$3,0)))</f>
        <v/>
      </c>
      <c r="I53" s="267"/>
      <c r="J53" s="491"/>
      <c r="K53" s="493" t="str" cm="1">
        <f t="array" ref="K53">IF(OR($E53="",$D53="",$I53="",$J53=""),"",IF(J53=L53,I53,(INDEX('Emission factors'!$K$3:$V$201,MATCH(E53&amp;F53,'Emission factors'!$J$3:$J$201&amp;'Emission factors'!$K$3:$K$201,0),MATCH(K$6,'Emission factors'!$K$2:$V$2,0)))*I53))</f>
        <v/>
      </c>
      <c r="L53" s="494" t="str">
        <f>IF(OR($E53="",$D53="",$I53="",$J53=""),"",INDEX('Emission factors'!$K$3:$V$201,MATCH('Buildings - Heat &amp; Fuels'!$E53,'Emission factors'!$J$3:$J$201,0),MATCH($L$6,'Emission factors'!$K$2:$V$2,0)))</f>
        <v/>
      </c>
      <c r="M53" s="495" t="str" cm="1">
        <f t="array" ref="M53">IF(OR(E53="",I53="",BuildingsHeatFuelsTable[[#This Row],[Units]]=""),"",INDEX('Emission factors'!$K$3:$V$201,MATCH('Buildings - Heat &amp; Fuels'!$E53&amp;F53,'Emission factors'!$J$3:$J$201&amp;'Emission factors'!$K$3:$K$201,0),MATCH('Buildings - Heat &amp; Fuels'!$M$6,'Emission factors'!$K$2:$V$2,0)))</f>
        <v/>
      </c>
      <c r="N53" s="496" t="str">
        <f>IF(OR(K53="",M53=""),"",SUM(BuildingsHeatFuelsTable[[#This Row],[Direct]:[Indirect WTT]]))</f>
        <v/>
      </c>
      <c r="O53" s="268"/>
      <c r="P53" s="497"/>
      <c r="Q53" s="157" t="str" cm="1">
        <f t="array" ref="Q53">IF(OR($E53="",$I53=""),"",(INDEX('Emission factors'!$K$3:$V$201,MATCH('Buildings - Heat &amp; Fuels'!$E53&amp;$F53,'Emission factors'!$J$3:$J$201&amp;'Emission factors'!$K$3:$K$201,0),MATCH('Buildings - Heat &amp; Fuels'!Q$6,'Emission factors'!$K$2:$V$2,0)))*$K53)</f>
        <v/>
      </c>
      <c r="R53" s="157" t="str" cm="1">
        <f t="array" ref="R53">IF(OR($E53="",$I53=""),"",(INDEX('Emission factors'!$K$3:$V$201,MATCH('Buildings - Heat &amp; Fuels'!$E53&amp;$F53,'Emission factors'!$J$3:$J$201&amp;'Emission factors'!$K$3:$K$201,0),MATCH('Buildings - Heat &amp; Fuels'!R$6,'Emission factors'!$K$2:$V$2,0)))*$K53)</f>
        <v/>
      </c>
      <c r="S53" s="157" t="str" cm="1">
        <f t="array" ref="S53">IF(OR($E53="",$I53=""),"",(INDEX('Emission factors'!$K$3:$V$201,MATCH('Buildings - Heat &amp; Fuels'!$E53&amp;$F53,'Emission factors'!$J$3:$J$201&amp;'Emission factors'!$K$3:$K$201,0),MATCH('Buildings - Heat &amp; Fuels'!S$6,'Emission factors'!$K$2:$V$2,0)))*$K53)</f>
        <v/>
      </c>
      <c r="T53" s="157" t="str" cm="1">
        <f t="array" ref="T53">IF(OR($E53="",$I53=""),"",(INDEX('Emission factors'!$K$3:$V$201,MATCH('Buildings - Heat &amp; Fuels'!$E53&amp;$F53,'Emission factors'!$J$3:$J$201&amp;'Emission factors'!$K$3:$K$201,0),MATCH('Buildings - Heat &amp; Fuels'!T$6,'Emission factors'!$K$2:$V$2,0)))*$K53)</f>
        <v/>
      </c>
      <c r="U53" s="157" t="str" cm="1">
        <f t="array" ref="U53">IF(OR($E53="",$I53=""),"",(INDEX('Emission factors'!$K$3:$V$201,MATCH('Buildings - Heat &amp; Fuels'!$E53&amp;$F53,'Emission factors'!$J$3:$J$201&amp;'Emission factors'!$K$3:$K$201,0),MATCH('Buildings - Heat &amp; Fuels'!U$6,'Emission factors'!$K$2:$V$2,0)))*$K53)</f>
        <v/>
      </c>
      <c r="V53" s="158" t="str">
        <f>IF(OR($N53="",BuildingsHeatFuelsTable[[#This Row],[RSD]]=""),"",BuildingsHeatFuelsTable[[#This Row],[Total emissions (kgCO2e)]]*(1+BuildingsHeatFuelsTable[[#This Row],[RSD]]))</f>
        <v/>
      </c>
      <c r="W53" s="159" t="str">
        <f>IF(OR($N53="",BuildingsHeatFuelsTable[[#This Row],[RSD]]=""),"",BuildingsHeatFuelsTable[[#This Row],[Total emissions (kgCO2e)]]*(1-BuildingsHeatFuelsTable[[#This Row],[RSD]]))</f>
        <v/>
      </c>
      <c r="X53" s="169" t="str" cm="1">
        <f t="array" ref="X53">IF(OR($E53="",$I53=""),"",(INDEX('Emission factors'!$K$3:$V$201,MATCH('Buildings - Heat &amp; Fuels'!$E53&amp;$F53,'Emission factors'!$J$3:$J$201&amp;'Emission factors'!$K$3:$K$201,0),MATCH('Buildings - Heat &amp; Fuels'!X$6,'Emission factors'!$K$2:$V$2,0)))*$K53)</f>
        <v/>
      </c>
      <c r="Y53" s="30"/>
      <c r="Z53" s="1" cm="1">
        <f t="array" ref="Z53">IF(OR(ISERROR(B53:X53)),1,0)</f>
        <v>0</v>
      </c>
      <c r="AA53" s="1">
        <f t="shared" si="0"/>
        <v>0</v>
      </c>
    </row>
    <row r="54" spans="1:27" ht="15" outlineLevel="1" thickBot="1" x14ac:dyDescent="0.4">
      <c r="A54" s="319"/>
      <c r="B54" s="216"/>
      <c r="C54" s="216"/>
      <c r="D54" s="489" t="str">
        <f>IFERROR(INDEX(BuildingInformationTable[Site type],MATCH(BuildingsHeatFuelsTable[[#This Row],[Site name]],BuildingInformationTable[Site name],0)),"")</f>
        <v/>
      </c>
      <c r="E54" s="491"/>
      <c r="F54" s="491"/>
      <c r="G54" s="491"/>
      <c r="H54" s="492" t="str">
        <f>IF(G54="","",INDEX(Lists!$BA$4:$BC$31,MATCH(E54,Lists!$AZ$4:$AZ$31,0),MATCH(G54,Lists!$BA$3:$BC$3,0)))</f>
        <v/>
      </c>
      <c r="I54" s="267"/>
      <c r="J54" s="491"/>
      <c r="K54" s="493" t="str" cm="1">
        <f t="array" ref="K54">IF(OR($E54="",$D54="",$I54="",$J54=""),"",IF(J54=L54,I54,(INDEX('Emission factors'!$K$3:$V$201,MATCH(E54&amp;F54,'Emission factors'!$J$3:$J$201&amp;'Emission factors'!$K$3:$K$201,0),MATCH(K$6,'Emission factors'!$K$2:$V$2,0)))*I54))</f>
        <v/>
      </c>
      <c r="L54" s="494" t="str">
        <f>IF(OR($E54="",$D54="",$I54="",$J54=""),"",INDEX('Emission factors'!$K$3:$V$201,MATCH('Buildings - Heat &amp; Fuels'!$E54,'Emission factors'!$J$3:$J$201,0),MATCH($L$6,'Emission factors'!$K$2:$V$2,0)))</f>
        <v/>
      </c>
      <c r="M54" s="495" t="str" cm="1">
        <f t="array" ref="M54">IF(OR(E54="",I54="",BuildingsHeatFuelsTable[[#This Row],[Units]]=""),"",INDEX('Emission factors'!$K$3:$V$201,MATCH('Buildings - Heat &amp; Fuels'!$E54&amp;F54,'Emission factors'!$J$3:$J$201&amp;'Emission factors'!$K$3:$K$201,0),MATCH('Buildings - Heat &amp; Fuels'!$M$6,'Emission factors'!$K$2:$V$2,0)))</f>
        <v/>
      </c>
      <c r="N54" s="496" t="str">
        <f>IF(OR(K54="",M54=""),"",SUM(BuildingsHeatFuelsTable[[#This Row],[Direct]:[Indirect WTT]]))</f>
        <v/>
      </c>
      <c r="O54" s="268"/>
      <c r="P54" s="497"/>
      <c r="Q54" s="157" t="str" cm="1">
        <f t="array" ref="Q54">IF(OR($E54="",$I54=""),"",(INDEX('Emission factors'!$K$3:$V$201,MATCH('Buildings - Heat &amp; Fuels'!$E54&amp;$F54,'Emission factors'!$J$3:$J$201&amp;'Emission factors'!$K$3:$K$201,0),MATCH('Buildings - Heat &amp; Fuels'!Q$6,'Emission factors'!$K$2:$V$2,0)))*$K54)</f>
        <v/>
      </c>
      <c r="R54" s="157" t="str" cm="1">
        <f t="array" ref="R54">IF(OR($E54="",$I54=""),"",(INDEX('Emission factors'!$K$3:$V$201,MATCH('Buildings - Heat &amp; Fuels'!$E54&amp;$F54,'Emission factors'!$J$3:$J$201&amp;'Emission factors'!$K$3:$K$201,0),MATCH('Buildings - Heat &amp; Fuels'!R$6,'Emission factors'!$K$2:$V$2,0)))*$K54)</f>
        <v/>
      </c>
      <c r="S54" s="157" t="str" cm="1">
        <f t="array" ref="S54">IF(OR($E54="",$I54=""),"",(INDEX('Emission factors'!$K$3:$V$201,MATCH('Buildings - Heat &amp; Fuels'!$E54&amp;$F54,'Emission factors'!$J$3:$J$201&amp;'Emission factors'!$K$3:$K$201,0),MATCH('Buildings - Heat &amp; Fuels'!S$6,'Emission factors'!$K$2:$V$2,0)))*$K54)</f>
        <v/>
      </c>
      <c r="T54" s="157" t="str" cm="1">
        <f t="array" ref="T54">IF(OR($E54="",$I54=""),"",(INDEX('Emission factors'!$K$3:$V$201,MATCH('Buildings - Heat &amp; Fuels'!$E54&amp;$F54,'Emission factors'!$J$3:$J$201&amp;'Emission factors'!$K$3:$K$201,0),MATCH('Buildings - Heat &amp; Fuels'!T$6,'Emission factors'!$K$2:$V$2,0)))*$K54)</f>
        <v/>
      </c>
      <c r="U54" s="157" t="str" cm="1">
        <f t="array" ref="U54">IF(OR($E54="",$I54=""),"",(INDEX('Emission factors'!$K$3:$V$201,MATCH('Buildings - Heat &amp; Fuels'!$E54&amp;$F54,'Emission factors'!$J$3:$J$201&amp;'Emission factors'!$K$3:$K$201,0),MATCH('Buildings - Heat &amp; Fuels'!U$6,'Emission factors'!$K$2:$V$2,0)))*$K54)</f>
        <v/>
      </c>
      <c r="V54" s="158" t="str">
        <f>IF(OR($N54="",BuildingsHeatFuelsTable[[#This Row],[RSD]]=""),"",BuildingsHeatFuelsTable[[#This Row],[Total emissions (kgCO2e)]]*(1+BuildingsHeatFuelsTable[[#This Row],[RSD]]))</f>
        <v/>
      </c>
      <c r="W54" s="159" t="str">
        <f>IF(OR($N54="",BuildingsHeatFuelsTable[[#This Row],[RSD]]=""),"",BuildingsHeatFuelsTable[[#This Row],[Total emissions (kgCO2e)]]*(1-BuildingsHeatFuelsTable[[#This Row],[RSD]]))</f>
        <v/>
      </c>
      <c r="X54" s="169" t="str" cm="1">
        <f t="array" ref="X54">IF(OR($E54="",$I54=""),"",(INDEX('Emission factors'!$K$3:$V$201,MATCH('Buildings - Heat &amp; Fuels'!$E54&amp;$F54,'Emission factors'!$J$3:$J$201&amp;'Emission factors'!$K$3:$K$201,0),MATCH('Buildings - Heat &amp; Fuels'!X$6,'Emission factors'!$K$2:$V$2,0)))*$K54)</f>
        <v/>
      </c>
      <c r="Y54" s="30"/>
      <c r="Z54" s="1" cm="1">
        <f t="array" ref="Z54">IF(OR(ISERROR(B54:X54)),1,0)</f>
        <v>0</v>
      </c>
      <c r="AA54" s="1">
        <f t="shared" si="0"/>
        <v>0</v>
      </c>
    </row>
    <row r="55" spans="1:27" ht="15" outlineLevel="1" thickBot="1" x14ac:dyDescent="0.4">
      <c r="A55" s="319"/>
      <c r="B55" s="216"/>
      <c r="C55" s="216"/>
      <c r="D55" s="489" t="str">
        <f>IFERROR(INDEX(BuildingInformationTable[Site type],MATCH(BuildingsHeatFuelsTable[[#This Row],[Site name]],BuildingInformationTable[Site name],0)),"")</f>
        <v/>
      </c>
      <c r="E55" s="491"/>
      <c r="F55" s="491"/>
      <c r="G55" s="491"/>
      <c r="H55" s="492" t="str">
        <f>IF(G55="","",INDEX(Lists!$BA$4:$BC$31,MATCH(E55,Lists!$AZ$4:$AZ$31,0),MATCH(G55,Lists!$BA$3:$BC$3,0)))</f>
        <v/>
      </c>
      <c r="I55" s="267"/>
      <c r="J55" s="491"/>
      <c r="K55" s="493" t="str" cm="1">
        <f t="array" ref="K55">IF(OR($E55="",$D55="",$I55="",$J55=""),"",IF(J55=L55,I55,(INDEX('Emission factors'!$K$3:$V$201,MATCH(E55&amp;F55,'Emission factors'!$J$3:$J$201&amp;'Emission factors'!$K$3:$K$201,0),MATCH(K$6,'Emission factors'!$K$2:$V$2,0)))*I55))</f>
        <v/>
      </c>
      <c r="L55" s="494" t="str">
        <f>IF(OR($E55="",$D55="",$I55="",$J55=""),"",INDEX('Emission factors'!$K$3:$V$201,MATCH('Buildings - Heat &amp; Fuels'!$E55,'Emission factors'!$J$3:$J$201,0),MATCH($L$6,'Emission factors'!$K$2:$V$2,0)))</f>
        <v/>
      </c>
      <c r="M55" s="495" t="str" cm="1">
        <f t="array" ref="M55">IF(OR(E55="",I55="",BuildingsHeatFuelsTable[[#This Row],[Units]]=""),"",INDEX('Emission factors'!$K$3:$V$201,MATCH('Buildings - Heat &amp; Fuels'!$E55&amp;F55,'Emission factors'!$J$3:$J$201&amp;'Emission factors'!$K$3:$K$201,0),MATCH('Buildings - Heat &amp; Fuels'!$M$6,'Emission factors'!$K$2:$V$2,0)))</f>
        <v/>
      </c>
      <c r="N55" s="496" t="str">
        <f>IF(OR(K55="",M55=""),"",SUM(BuildingsHeatFuelsTable[[#This Row],[Direct]:[Indirect WTT]]))</f>
        <v/>
      </c>
      <c r="O55" s="268"/>
      <c r="P55" s="497"/>
      <c r="Q55" s="157" t="str" cm="1">
        <f t="array" ref="Q55">IF(OR($E55="",$I55=""),"",(INDEX('Emission factors'!$K$3:$V$201,MATCH('Buildings - Heat &amp; Fuels'!$E55&amp;$F55,'Emission factors'!$J$3:$J$201&amp;'Emission factors'!$K$3:$K$201,0),MATCH('Buildings - Heat &amp; Fuels'!Q$6,'Emission factors'!$K$2:$V$2,0)))*$K55)</f>
        <v/>
      </c>
      <c r="R55" s="157" t="str" cm="1">
        <f t="array" ref="R55">IF(OR($E55="",$I55=""),"",(INDEX('Emission factors'!$K$3:$V$201,MATCH('Buildings - Heat &amp; Fuels'!$E55&amp;$F55,'Emission factors'!$J$3:$J$201&amp;'Emission factors'!$K$3:$K$201,0),MATCH('Buildings - Heat &amp; Fuels'!R$6,'Emission factors'!$K$2:$V$2,0)))*$K55)</f>
        <v/>
      </c>
      <c r="S55" s="157" t="str" cm="1">
        <f t="array" ref="S55">IF(OR($E55="",$I55=""),"",(INDEX('Emission factors'!$K$3:$V$201,MATCH('Buildings - Heat &amp; Fuels'!$E55&amp;$F55,'Emission factors'!$J$3:$J$201&amp;'Emission factors'!$K$3:$K$201,0),MATCH('Buildings - Heat &amp; Fuels'!S$6,'Emission factors'!$K$2:$V$2,0)))*$K55)</f>
        <v/>
      </c>
      <c r="T55" s="157" t="str" cm="1">
        <f t="array" ref="T55">IF(OR($E55="",$I55=""),"",(INDEX('Emission factors'!$K$3:$V$201,MATCH('Buildings - Heat &amp; Fuels'!$E55&amp;$F55,'Emission factors'!$J$3:$J$201&amp;'Emission factors'!$K$3:$K$201,0),MATCH('Buildings - Heat &amp; Fuels'!T$6,'Emission factors'!$K$2:$V$2,0)))*$K55)</f>
        <v/>
      </c>
      <c r="U55" s="157" t="str" cm="1">
        <f t="array" ref="U55">IF(OR($E55="",$I55=""),"",(INDEX('Emission factors'!$K$3:$V$201,MATCH('Buildings - Heat &amp; Fuels'!$E55&amp;$F55,'Emission factors'!$J$3:$J$201&amp;'Emission factors'!$K$3:$K$201,0),MATCH('Buildings - Heat &amp; Fuels'!U$6,'Emission factors'!$K$2:$V$2,0)))*$K55)</f>
        <v/>
      </c>
      <c r="V55" s="158" t="str">
        <f>IF(OR($N55="",BuildingsHeatFuelsTable[[#This Row],[RSD]]=""),"",BuildingsHeatFuelsTable[[#This Row],[Total emissions (kgCO2e)]]*(1+BuildingsHeatFuelsTable[[#This Row],[RSD]]))</f>
        <v/>
      </c>
      <c r="W55" s="159" t="str">
        <f>IF(OR($N55="",BuildingsHeatFuelsTable[[#This Row],[RSD]]=""),"",BuildingsHeatFuelsTable[[#This Row],[Total emissions (kgCO2e)]]*(1-BuildingsHeatFuelsTable[[#This Row],[RSD]]))</f>
        <v/>
      </c>
      <c r="X55" s="169" t="str" cm="1">
        <f t="array" ref="X55">IF(OR($E55="",$I55=""),"",(INDEX('Emission factors'!$K$3:$V$201,MATCH('Buildings - Heat &amp; Fuels'!$E55&amp;$F55,'Emission factors'!$J$3:$J$201&amp;'Emission factors'!$K$3:$K$201,0),MATCH('Buildings - Heat &amp; Fuels'!X$6,'Emission factors'!$K$2:$V$2,0)))*$K55)</f>
        <v/>
      </c>
      <c r="Y55" s="30"/>
      <c r="Z55" s="1" cm="1">
        <f t="array" ref="Z55">IF(OR(ISERROR(B55:X55)),1,0)</f>
        <v>0</v>
      </c>
      <c r="AA55" s="1">
        <f t="shared" si="0"/>
        <v>0</v>
      </c>
    </row>
    <row r="56" spans="1:27" ht="15" outlineLevel="1" thickBot="1" x14ac:dyDescent="0.4">
      <c r="A56" s="319"/>
      <c r="B56" s="216"/>
      <c r="C56" s="216"/>
      <c r="D56" s="489" t="str">
        <f>IFERROR(INDEX(BuildingInformationTable[Site type],MATCH(BuildingsHeatFuelsTable[[#This Row],[Site name]],BuildingInformationTable[Site name],0)),"")</f>
        <v/>
      </c>
      <c r="E56" s="491"/>
      <c r="F56" s="491"/>
      <c r="G56" s="491"/>
      <c r="H56" s="492" t="str">
        <f>IF(G56="","",INDEX(Lists!$BA$4:$BC$31,MATCH(E56,Lists!$AZ$4:$AZ$31,0),MATCH(G56,Lists!$BA$3:$BC$3,0)))</f>
        <v/>
      </c>
      <c r="I56" s="267"/>
      <c r="J56" s="491"/>
      <c r="K56" s="493" t="str" cm="1">
        <f t="array" ref="K56">IF(OR($E56="",$D56="",$I56="",$J56=""),"",IF(J56=L56,I56,(INDEX('Emission factors'!$K$3:$V$201,MATCH(E56&amp;F56,'Emission factors'!$J$3:$J$201&amp;'Emission factors'!$K$3:$K$201,0),MATCH(K$6,'Emission factors'!$K$2:$V$2,0)))*I56))</f>
        <v/>
      </c>
      <c r="L56" s="494" t="str">
        <f>IF(OR($E56="",$D56="",$I56="",$J56=""),"",INDEX('Emission factors'!$K$3:$V$201,MATCH('Buildings - Heat &amp; Fuels'!$E56,'Emission factors'!$J$3:$J$201,0),MATCH($L$6,'Emission factors'!$K$2:$V$2,0)))</f>
        <v/>
      </c>
      <c r="M56" s="495" t="str" cm="1">
        <f t="array" ref="M56">IF(OR(E56="",I56="",BuildingsHeatFuelsTable[[#This Row],[Units]]=""),"",INDEX('Emission factors'!$K$3:$V$201,MATCH('Buildings - Heat &amp; Fuels'!$E56&amp;F56,'Emission factors'!$J$3:$J$201&amp;'Emission factors'!$K$3:$K$201,0),MATCH('Buildings - Heat &amp; Fuels'!$M$6,'Emission factors'!$K$2:$V$2,0)))</f>
        <v/>
      </c>
      <c r="N56" s="496" t="str">
        <f>IF(OR(K56="",M56=""),"",SUM(BuildingsHeatFuelsTable[[#This Row],[Direct]:[Indirect WTT]]))</f>
        <v/>
      </c>
      <c r="O56" s="268"/>
      <c r="P56" s="497"/>
      <c r="Q56" s="157" t="str" cm="1">
        <f t="array" ref="Q56">IF(OR($E56="",$I56=""),"",(INDEX('Emission factors'!$K$3:$V$201,MATCH('Buildings - Heat &amp; Fuels'!$E56&amp;$F56,'Emission factors'!$J$3:$J$201&amp;'Emission factors'!$K$3:$K$201,0),MATCH('Buildings - Heat &amp; Fuels'!Q$6,'Emission factors'!$K$2:$V$2,0)))*$K56)</f>
        <v/>
      </c>
      <c r="R56" s="157" t="str" cm="1">
        <f t="array" ref="R56">IF(OR($E56="",$I56=""),"",(INDEX('Emission factors'!$K$3:$V$201,MATCH('Buildings - Heat &amp; Fuels'!$E56&amp;$F56,'Emission factors'!$J$3:$J$201&amp;'Emission factors'!$K$3:$K$201,0),MATCH('Buildings - Heat &amp; Fuels'!R$6,'Emission factors'!$K$2:$V$2,0)))*$K56)</f>
        <v/>
      </c>
      <c r="S56" s="157" t="str" cm="1">
        <f t="array" ref="S56">IF(OR($E56="",$I56=""),"",(INDEX('Emission factors'!$K$3:$V$201,MATCH('Buildings - Heat &amp; Fuels'!$E56&amp;$F56,'Emission factors'!$J$3:$J$201&amp;'Emission factors'!$K$3:$K$201,0),MATCH('Buildings - Heat &amp; Fuels'!S$6,'Emission factors'!$K$2:$V$2,0)))*$K56)</f>
        <v/>
      </c>
      <c r="T56" s="157" t="str" cm="1">
        <f t="array" ref="T56">IF(OR($E56="",$I56=""),"",(INDEX('Emission factors'!$K$3:$V$201,MATCH('Buildings - Heat &amp; Fuels'!$E56&amp;$F56,'Emission factors'!$J$3:$J$201&amp;'Emission factors'!$K$3:$K$201,0),MATCH('Buildings - Heat &amp; Fuels'!T$6,'Emission factors'!$K$2:$V$2,0)))*$K56)</f>
        <v/>
      </c>
      <c r="U56" s="157" t="str" cm="1">
        <f t="array" ref="U56">IF(OR($E56="",$I56=""),"",(INDEX('Emission factors'!$K$3:$V$201,MATCH('Buildings - Heat &amp; Fuels'!$E56&amp;$F56,'Emission factors'!$J$3:$J$201&amp;'Emission factors'!$K$3:$K$201,0),MATCH('Buildings - Heat &amp; Fuels'!U$6,'Emission factors'!$K$2:$V$2,0)))*$K56)</f>
        <v/>
      </c>
      <c r="V56" s="158" t="str">
        <f>IF(OR($N56="",BuildingsHeatFuelsTable[[#This Row],[RSD]]=""),"",BuildingsHeatFuelsTable[[#This Row],[Total emissions (kgCO2e)]]*(1+BuildingsHeatFuelsTable[[#This Row],[RSD]]))</f>
        <v/>
      </c>
      <c r="W56" s="159" t="str">
        <f>IF(OR($N56="",BuildingsHeatFuelsTable[[#This Row],[RSD]]=""),"",BuildingsHeatFuelsTable[[#This Row],[Total emissions (kgCO2e)]]*(1-BuildingsHeatFuelsTable[[#This Row],[RSD]]))</f>
        <v/>
      </c>
      <c r="X56" s="169" t="str" cm="1">
        <f t="array" ref="X56">IF(OR($E56="",$I56=""),"",(INDEX('Emission factors'!$K$3:$V$201,MATCH('Buildings - Heat &amp; Fuels'!$E56&amp;$F56,'Emission factors'!$J$3:$J$201&amp;'Emission factors'!$K$3:$K$201,0),MATCH('Buildings - Heat &amp; Fuels'!X$6,'Emission factors'!$K$2:$V$2,0)))*$K56)</f>
        <v/>
      </c>
      <c r="Y56" s="30"/>
      <c r="Z56" s="1" cm="1">
        <f t="array" ref="Z56">IF(OR(ISERROR(B56:X56)),1,0)</f>
        <v>0</v>
      </c>
      <c r="AA56" s="1">
        <f t="shared" si="0"/>
        <v>0</v>
      </c>
    </row>
    <row r="57" spans="1:27" ht="15" outlineLevel="1" thickBot="1" x14ac:dyDescent="0.4">
      <c r="A57" s="319"/>
      <c r="B57" s="216"/>
      <c r="C57" s="216"/>
      <c r="D57" s="489" t="str">
        <f>IFERROR(INDEX(BuildingInformationTable[Site type],MATCH(BuildingsHeatFuelsTable[[#This Row],[Site name]],BuildingInformationTable[Site name],0)),"")</f>
        <v/>
      </c>
      <c r="E57" s="491"/>
      <c r="F57" s="491"/>
      <c r="G57" s="491"/>
      <c r="H57" s="492" t="str">
        <f>IF(G57="","",INDEX(Lists!$BA$4:$BC$31,MATCH(E57,Lists!$AZ$4:$AZ$31,0),MATCH(G57,Lists!$BA$3:$BC$3,0)))</f>
        <v/>
      </c>
      <c r="I57" s="267"/>
      <c r="J57" s="491"/>
      <c r="K57" s="493" t="str" cm="1">
        <f t="array" ref="K57">IF(OR($E57="",$D57="",$I57="",$J57=""),"",IF(J57=L57,I57,(INDEX('Emission factors'!$K$3:$V$201,MATCH(E57&amp;F57,'Emission factors'!$J$3:$J$201&amp;'Emission factors'!$K$3:$K$201,0),MATCH(K$6,'Emission factors'!$K$2:$V$2,0)))*I57))</f>
        <v/>
      </c>
      <c r="L57" s="494" t="str">
        <f>IF(OR($E57="",$D57="",$I57="",$J57=""),"",INDEX('Emission factors'!$K$3:$V$201,MATCH('Buildings - Heat &amp; Fuels'!$E57,'Emission factors'!$J$3:$J$201,0),MATCH($L$6,'Emission factors'!$K$2:$V$2,0)))</f>
        <v/>
      </c>
      <c r="M57" s="495" t="str" cm="1">
        <f t="array" ref="M57">IF(OR(E57="",I57="",BuildingsHeatFuelsTable[[#This Row],[Units]]=""),"",INDEX('Emission factors'!$K$3:$V$201,MATCH('Buildings - Heat &amp; Fuels'!$E57&amp;F57,'Emission factors'!$J$3:$J$201&amp;'Emission factors'!$K$3:$K$201,0),MATCH('Buildings - Heat &amp; Fuels'!$M$6,'Emission factors'!$K$2:$V$2,0)))</f>
        <v/>
      </c>
      <c r="N57" s="496" t="str">
        <f>IF(OR(K57="",M57=""),"",SUM(BuildingsHeatFuelsTable[[#This Row],[Direct]:[Indirect WTT]]))</f>
        <v/>
      </c>
      <c r="O57" s="268"/>
      <c r="P57" s="497"/>
      <c r="Q57" s="157" t="str" cm="1">
        <f t="array" ref="Q57">IF(OR($E57="",$I57=""),"",(INDEX('Emission factors'!$K$3:$V$201,MATCH('Buildings - Heat &amp; Fuels'!$E57&amp;$F57,'Emission factors'!$J$3:$J$201&amp;'Emission factors'!$K$3:$K$201,0),MATCH('Buildings - Heat &amp; Fuels'!Q$6,'Emission factors'!$K$2:$V$2,0)))*$K57)</f>
        <v/>
      </c>
      <c r="R57" s="157" t="str" cm="1">
        <f t="array" ref="R57">IF(OR($E57="",$I57=""),"",(INDEX('Emission factors'!$K$3:$V$201,MATCH('Buildings - Heat &amp; Fuels'!$E57&amp;$F57,'Emission factors'!$J$3:$J$201&amp;'Emission factors'!$K$3:$K$201,0),MATCH('Buildings - Heat &amp; Fuels'!R$6,'Emission factors'!$K$2:$V$2,0)))*$K57)</f>
        <v/>
      </c>
      <c r="S57" s="157" t="str" cm="1">
        <f t="array" ref="S57">IF(OR($E57="",$I57=""),"",(INDEX('Emission factors'!$K$3:$V$201,MATCH('Buildings - Heat &amp; Fuels'!$E57&amp;$F57,'Emission factors'!$J$3:$J$201&amp;'Emission factors'!$K$3:$K$201,0),MATCH('Buildings - Heat &amp; Fuels'!S$6,'Emission factors'!$K$2:$V$2,0)))*$K57)</f>
        <v/>
      </c>
      <c r="T57" s="157" t="str" cm="1">
        <f t="array" ref="T57">IF(OR($E57="",$I57=""),"",(INDEX('Emission factors'!$K$3:$V$201,MATCH('Buildings - Heat &amp; Fuels'!$E57&amp;$F57,'Emission factors'!$J$3:$J$201&amp;'Emission factors'!$K$3:$K$201,0),MATCH('Buildings - Heat &amp; Fuels'!T$6,'Emission factors'!$K$2:$V$2,0)))*$K57)</f>
        <v/>
      </c>
      <c r="U57" s="157" t="str" cm="1">
        <f t="array" ref="U57">IF(OR($E57="",$I57=""),"",(INDEX('Emission factors'!$K$3:$V$201,MATCH('Buildings - Heat &amp; Fuels'!$E57&amp;$F57,'Emission factors'!$J$3:$J$201&amp;'Emission factors'!$K$3:$K$201,0),MATCH('Buildings - Heat &amp; Fuels'!U$6,'Emission factors'!$K$2:$V$2,0)))*$K57)</f>
        <v/>
      </c>
      <c r="V57" s="158" t="str">
        <f>IF(OR($N57="",BuildingsHeatFuelsTable[[#This Row],[RSD]]=""),"",BuildingsHeatFuelsTable[[#This Row],[Total emissions (kgCO2e)]]*(1+BuildingsHeatFuelsTable[[#This Row],[RSD]]))</f>
        <v/>
      </c>
      <c r="W57" s="159" t="str">
        <f>IF(OR($N57="",BuildingsHeatFuelsTable[[#This Row],[RSD]]=""),"",BuildingsHeatFuelsTable[[#This Row],[Total emissions (kgCO2e)]]*(1-BuildingsHeatFuelsTable[[#This Row],[RSD]]))</f>
        <v/>
      </c>
      <c r="X57" s="169" t="str" cm="1">
        <f t="array" ref="X57">IF(OR($E57="",$I57=""),"",(INDEX('Emission factors'!$K$3:$V$201,MATCH('Buildings - Heat &amp; Fuels'!$E57&amp;$F57,'Emission factors'!$J$3:$J$201&amp;'Emission factors'!$K$3:$K$201,0),MATCH('Buildings - Heat &amp; Fuels'!X$6,'Emission factors'!$K$2:$V$2,0)))*$K57)</f>
        <v/>
      </c>
      <c r="Y57" s="30"/>
      <c r="Z57" s="1" cm="1">
        <f t="array" ref="Z57">IF(OR(ISERROR(B57:X57)),1,0)</f>
        <v>0</v>
      </c>
      <c r="AA57" s="1">
        <f t="shared" si="0"/>
        <v>0</v>
      </c>
    </row>
    <row r="58" spans="1:27" ht="15" outlineLevel="1" thickBot="1" x14ac:dyDescent="0.4">
      <c r="A58" s="319"/>
      <c r="B58" s="216"/>
      <c r="C58" s="216"/>
      <c r="D58" s="489" t="str">
        <f>IFERROR(INDEX(BuildingInformationTable[Site type],MATCH(BuildingsHeatFuelsTable[[#This Row],[Site name]],BuildingInformationTable[Site name],0)),"")</f>
        <v/>
      </c>
      <c r="E58" s="491"/>
      <c r="F58" s="491"/>
      <c r="G58" s="491"/>
      <c r="H58" s="492" t="str">
        <f>IF(G58="","",INDEX(Lists!$BA$4:$BC$31,MATCH(E58,Lists!$AZ$4:$AZ$31,0),MATCH(G58,Lists!$BA$3:$BC$3,0)))</f>
        <v/>
      </c>
      <c r="I58" s="267"/>
      <c r="J58" s="491"/>
      <c r="K58" s="493" t="str" cm="1">
        <f t="array" ref="K58">IF(OR($E58="",$D58="",$I58="",$J58=""),"",IF(J58=L58,I58,(INDEX('Emission factors'!$K$3:$V$201,MATCH(E58&amp;F58,'Emission factors'!$J$3:$J$201&amp;'Emission factors'!$K$3:$K$201,0),MATCH(K$6,'Emission factors'!$K$2:$V$2,0)))*I58))</f>
        <v/>
      </c>
      <c r="L58" s="494" t="str">
        <f>IF(OR($E58="",$D58="",$I58="",$J58=""),"",INDEX('Emission factors'!$K$3:$V$201,MATCH('Buildings - Heat &amp; Fuels'!$E58,'Emission factors'!$J$3:$J$201,0),MATCH($L$6,'Emission factors'!$K$2:$V$2,0)))</f>
        <v/>
      </c>
      <c r="M58" s="495" t="str" cm="1">
        <f t="array" ref="M58">IF(OR(E58="",I58="",BuildingsHeatFuelsTable[[#This Row],[Units]]=""),"",INDEX('Emission factors'!$K$3:$V$201,MATCH('Buildings - Heat &amp; Fuels'!$E58&amp;F58,'Emission factors'!$J$3:$J$201&amp;'Emission factors'!$K$3:$K$201,0),MATCH('Buildings - Heat &amp; Fuels'!$M$6,'Emission factors'!$K$2:$V$2,0)))</f>
        <v/>
      </c>
      <c r="N58" s="496" t="str">
        <f>IF(OR(K58="",M58=""),"",SUM(BuildingsHeatFuelsTable[[#This Row],[Direct]:[Indirect WTT]]))</f>
        <v/>
      </c>
      <c r="O58" s="268"/>
      <c r="P58" s="497"/>
      <c r="Q58" s="157" t="str" cm="1">
        <f t="array" ref="Q58">IF(OR($E58="",$I58=""),"",(INDEX('Emission factors'!$K$3:$V$201,MATCH('Buildings - Heat &amp; Fuels'!$E58&amp;$F58,'Emission factors'!$J$3:$J$201&amp;'Emission factors'!$K$3:$K$201,0),MATCH('Buildings - Heat &amp; Fuels'!Q$6,'Emission factors'!$K$2:$V$2,0)))*$K58)</f>
        <v/>
      </c>
      <c r="R58" s="157" t="str" cm="1">
        <f t="array" ref="R58">IF(OR($E58="",$I58=""),"",(INDEX('Emission factors'!$K$3:$V$201,MATCH('Buildings - Heat &amp; Fuels'!$E58&amp;$F58,'Emission factors'!$J$3:$J$201&amp;'Emission factors'!$K$3:$K$201,0),MATCH('Buildings - Heat &amp; Fuels'!R$6,'Emission factors'!$K$2:$V$2,0)))*$K58)</f>
        <v/>
      </c>
      <c r="S58" s="157" t="str" cm="1">
        <f t="array" ref="S58">IF(OR($E58="",$I58=""),"",(INDEX('Emission factors'!$K$3:$V$201,MATCH('Buildings - Heat &amp; Fuels'!$E58&amp;$F58,'Emission factors'!$J$3:$J$201&amp;'Emission factors'!$K$3:$K$201,0),MATCH('Buildings - Heat &amp; Fuels'!S$6,'Emission factors'!$K$2:$V$2,0)))*$K58)</f>
        <v/>
      </c>
      <c r="T58" s="157" t="str" cm="1">
        <f t="array" ref="T58">IF(OR($E58="",$I58=""),"",(INDEX('Emission factors'!$K$3:$V$201,MATCH('Buildings - Heat &amp; Fuels'!$E58&amp;$F58,'Emission factors'!$J$3:$J$201&amp;'Emission factors'!$K$3:$K$201,0),MATCH('Buildings - Heat &amp; Fuels'!T$6,'Emission factors'!$K$2:$V$2,0)))*$K58)</f>
        <v/>
      </c>
      <c r="U58" s="157" t="str" cm="1">
        <f t="array" ref="U58">IF(OR($E58="",$I58=""),"",(INDEX('Emission factors'!$K$3:$V$201,MATCH('Buildings - Heat &amp; Fuels'!$E58&amp;$F58,'Emission factors'!$J$3:$J$201&amp;'Emission factors'!$K$3:$K$201,0),MATCH('Buildings - Heat &amp; Fuels'!U$6,'Emission factors'!$K$2:$V$2,0)))*$K58)</f>
        <v/>
      </c>
      <c r="V58" s="158" t="str">
        <f>IF(OR($N58="",BuildingsHeatFuelsTable[[#This Row],[RSD]]=""),"",BuildingsHeatFuelsTable[[#This Row],[Total emissions (kgCO2e)]]*(1+BuildingsHeatFuelsTable[[#This Row],[RSD]]))</f>
        <v/>
      </c>
      <c r="W58" s="159" t="str">
        <f>IF(OR($N58="",BuildingsHeatFuelsTable[[#This Row],[RSD]]=""),"",BuildingsHeatFuelsTable[[#This Row],[Total emissions (kgCO2e)]]*(1-BuildingsHeatFuelsTable[[#This Row],[RSD]]))</f>
        <v/>
      </c>
      <c r="X58" s="169" t="str" cm="1">
        <f t="array" ref="X58">IF(OR($E58="",$I58=""),"",(INDEX('Emission factors'!$K$3:$V$201,MATCH('Buildings - Heat &amp; Fuels'!$E58&amp;$F58,'Emission factors'!$J$3:$J$201&amp;'Emission factors'!$K$3:$K$201,0),MATCH('Buildings - Heat &amp; Fuels'!X$6,'Emission factors'!$K$2:$V$2,0)))*$K58)</f>
        <v/>
      </c>
      <c r="Y58" s="30"/>
      <c r="Z58" s="1" cm="1">
        <f t="array" ref="Z58">IF(OR(ISERROR(B58:X58)),1,0)</f>
        <v>0</v>
      </c>
      <c r="AA58" s="1">
        <f t="shared" si="0"/>
        <v>0</v>
      </c>
    </row>
    <row r="59" spans="1:27" ht="15" outlineLevel="1" thickBot="1" x14ac:dyDescent="0.4">
      <c r="A59" s="319"/>
      <c r="B59" s="216"/>
      <c r="C59" s="216"/>
      <c r="D59" s="489" t="str">
        <f>IFERROR(INDEX(BuildingInformationTable[Site type],MATCH(BuildingsHeatFuelsTable[[#This Row],[Site name]],BuildingInformationTable[Site name],0)),"")</f>
        <v/>
      </c>
      <c r="E59" s="491"/>
      <c r="F59" s="491"/>
      <c r="G59" s="491"/>
      <c r="H59" s="492" t="str">
        <f>IF(G59="","",INDEX(Lists!$BA$4:$BC$31,MATCH(E59,Lists!$AZ$4:$AZ$31,0),MATCH(G59,Lists!$BA$3:$BC$3,0)))</f>
        <v/>
      </c>
      <c r="I59" s="267"/>
      <c r="J59" s="491"/>
      <c r="K59" s="493" t="str" cm="1">
        <f t="array" ref="K59">IF(OR($E59="",$D59="",$I59="",$J59=""),"",IF(J59=L59,I59,(INDEX('Emission factors'!$K$3:$V$201,MATCH(E59&amp;F59,'Emission factors'!$J$3:$J$201&amp;'Emission factors'!$K$3:$K$201,0),MATCH(K$6,'Emission factors'!$K$2:$V$2,0)))*I59))</f>
        <v/>
      </c>
      <c r="L59" s="494" t="str">
        <f>IF(OR($E59="",$D59="",$I59="",$J59=""),"",INDEX('Emission factors'!$K$3:$V$201,MATCH('Buildings - Heat &amp; Fuels'!$E59,'Emission factors'!$J$3:$J$201,0),MATCH($L$6,'Emission factors'!$K$2:$V$2,0)))</f>
        <v/>
      </c>
      <c r="M59" s="495" t="str" cm="1">
        <f t="array" ref="M59">IF(OR(E59="",I59="",BuildingsHeatFuelsTable[[#This Row],[Units]]=""),"",INDEX('Emission factors'!$K$3:$V$201,MATCH('Buildings - Heat &amp; Fuels'!$E59&amp;F59,'Emission factors'!$J$3:$J$201&amp;'Emission factors'!$K$3:$K$201,0),MATCH('Buildings - Heat &amp; Fuels'!$M$6,'Emission factors'!$K$2:$V$2,0)))</f>
        <v/>
      </c>
      <c r="N59" s="496" t="str">
        <f>IF(OR(K59="",M59=""),"",SUM(BuildingsHeatFuelsTable[[#This Row],[Direct]:[Indirect WTT]]))</f>
        <v/>
      </c>
      <c r="O59" s="268"/>
      <c r="P59" s="497"/>
      <c r="Q59" s="157" t="str" cm="1">
        <f t="array" ref="Q59">IF(OR($E59="",$I59=""),"",(INDEX('Emission factors'!$K$3:$V$201,MATCH('Buildings - Heat &amp; Fuels'!$E59&amp;$F59,'Emission factors'!$J$3:$J$201&amp;'Emission factors'!$K$3:$K$201,0),MATCH('Buildings - Heat &amp; Fuels'!Q$6,'Emission factors'!$K$2:$V$2,0)))*$K59)</f>
        <v/>
      </c>
      <c r="R59" s="157" t="str" cm="1">
        <f t="array" ref="R59">IF(OR($E59="",$I59=""),"",(INDEX('Emission factors'!$K$3:$V$201,MATCH('Buildings - Heat &amp; Fuels'!$E59&amp;$F59,'Emission factors'!$J$3:$J$201&amp;'Emission factors'!$K$3:$K$201,0),MATCH('Buildings - Heat &amp; Fuels'!R$6,'Emission factors'!$K$2:$V$2,0)))*$K59)</f>
        <v/>
      </c>
      <c r="S59" s="157" t="str" cm="1">
        <f t="array" ref="S59">IF(OR($E59="",$I59=""),"",(INDEX('Emission factors'!$K$3:$V$201,MATCH('Buildings - Heat &amp; Fuels'!$E59&amp;$F59,'Emission factors'!$J$3:$J$201&amp;'Emission factors'!$K$3:$K$201,0),MATCH('Buildings - Heat &amp; Fuels'!S$6,'Emission factors'!$K$2:$V$2,0)))*$K59)</f>
        <v/>
      </c>
      <c r="T59" s="157" t="str" cm="1">
        <f t="array" ref="T59">IF(OR($E59="",$I59=""),"",(INDEX('Emission factors'!$K$3:$V$201,MATCH('Buildings - Heat &amp; Fuels'!$E59&amp;$F59,'Emission factors'!$J$3:$J$201&amp;'Emission factors'!$K$3:$K$201,0),MATCH('Buildings - Heat &amp; Fuels'!T$6,'Emission factors'!$K$2:$V$2,0)))*$K59)</f>
        <v/>
      </c>
      <c r="U59" s="157" t="str" cm="1">
        <f t="array" ref="U59">IF(OR($E59="",$I59=""),"",(INDEX('Emission factors'!$K$3:$V$201,MATCH('Buildings - Heat &amp; Fuels'!$E59&amp;$F59,'Emission factors'!$J$3:$J$201&amp;'Emission factors'!$K$3:$K$201,0),MATCH('Buildings - Heat &amp; Fuels'!U$6,'Emission factors'!$K$2:$V$2,0)))*$K59)</f>
        <v/>
      </c>
      <c r="V59" s="158" t="str">
        <f>IF(OR($N59="",BuildingsHeatFuelsTable[[#This Row],[RSD]]=""),"",BuildingsHeatFuelsTable[[#This Row],[Total emissions (kgCO2e)]]*(1+BuildingsHeatFuelsTable[[#This Row],[RSD]]))</f>
        <v/>
      </c>
      <c r="W59" s="159" t="str">
        <f>IF(OR($N59="",BuildingsHeatFuelsTable[[#This Row],[RSD]]=""),"",BuildingsHeatFuelsTable[[#This Row],[Total emissions (kgCO2e)]]*(1-BuildingsHeatFuelsTable[[#This Row],[RSD]]))</f>
        <v/>
      </c>
      <c r="X59" s="169" t="str" cm="1">
        <f t="array" ref="X59">IF(OR($E59="",$I59=""),"",(INDEX('Emission factors'!$K$3:$V$201,MATCH('Buildings - Heat &amp; Fuels'!$E59&amp;$F59,'Emission factors'!$J$3:$J$201&amp;'Emission factors'!$K$3:$K$201,0),MATCH('Buildings - Heat &amp; Fuels'!X$6,'Emission factors'!$K$2:$V$2,0)))*$K59)</f>
        <v/>
      </c>
      <c r="Y59" s="30"/>
      <c r="Z59" s="1" cm="1">
        <f t="array" ref="Z59">IF(OR(ISERROR(B59:X59)),1,0)</f>
        <v>0</v>
      </c>
      <c r="AA59" s="1">
        <f t="shared" si="0"/>
        <v>0</v>
      </c>
    </row>
    <row r="60" spans="1:27" ht="15" outlineLevel="1" thickBot="1" x14ac:dyDescent="0.4">
      <c r="A60" s="319"/>
      <c r="B60" s="216"/>
      <c r="C60" s="216"/>
      <c r="D60" s="489" t="str">
        <f>IFERROR(INDEX(BuildingInformationTable[Site type],MATCH(BuildingsHeatFuelsTable[[#This Row],[Site name]],BuildingInformationTable[Site name],0)),"")</f>
        <v/>
      </c>
      <c r="E60" s="491"/>
      <c r="F60" s="491"/>
      <c r="G60" s="491"/>
      <c r="H60" s="492" t="str">
        <f>IF(G60="","",INDEX(Lists!$BA$4:$BC$31,MATCH(E60,Lists!$AZ$4:$AZ$31,0),MATCH(G60,Lists!$BA$3:$BC$3,0)))</f>
        <v/>
      </c>
      <c r="I60" s="267"/>
      <c r="J60" s="491"/>
      <c r="K60" s="493" t="str" cm="1">
        <f t="array" ref="K60">IF(OR($E60="",$D60="",$I60="",$J60=""),"",IF(J60=L60,I60,(INDEX('Emission factors'!$K$3:$V$201,MATCH(E60&amp;F60,'Emission factors'!$J$3:$J$201&amp;'Emission factors'!$K$3:$K$201,0),MATCH(K$6,'Emission factors'!$K$2:$V$2,0)))*I60))</f>
        <v/>
      </c>
      <c r="L60" s="494" t="str">
        <f>IF(OR($E60="",$D60="",$I60="",$J60=""),"",INDEX('Emission factors'!$K$3:$V$201,MATCH('Buildings - Heat &amp; Fuels'!$E60,'Emission factors'!$J$3:$J$201,0),MATCH($L$6,'Emission factors'!$K$2:$V$2,0)))</f>
        <v/>
      </c>
      <c r="M60" s="495" t="str" cm="1">
        <f t="array" ref="M60">IF(OR(E60="",I60="",BuildingsHeatFuelsTable[[#This Row],[Units]]=""),"",INDEX('Emission factors'!$K$3:$V$201,MATCH('Buildings - Heat &amp; Fuels'!$E60&amp;F60,'Emission factors'!$J$3:$J$201&amp;'Emission factors'!$K$3:$K$201,0),MATCH('Buildings - Heat &amp; Fuels'!$M$6,'Emission factors'!$K$2:$V$2,0)))</f>
        <v/>
      </c>
      <c r="N60" s="496" t="str">
        <f>IF(OR(K60="",M60=""),"",SUM(BuildingsHeatFuelsTable[[#This Row],[Direct]:[Indirect WTT]]))</f>
        <v/>
      </c>
      <c r="O60" s="268"/>
      <c r="P60" s="497"/>
      <c r="Q60" s="157" t="str" cm="1">
        <f t="array" ref="Q60">IF(OR($E60="",$I60=""),"",(INDEX('Emission factors'!$K$3:$V$201,MATCH('Buildings - Heat &amp; Fuels'!$E60&amp;$F60,'Emission factors'!$J$3:$J$201&amp;'Emission factors'!$K$3:$K$201,0),MATCH('Buildings - Heat &amp; Fuels'!Q$6,'Emission factors'!$K$2:$V$2,0)))*$K60)</f>
        <v/>
      </c>
      <c r="R60" s="157" t="str" cm="1">
        <f t="array" ref="R60">IF(OR($E60="",$I60=""),"",(INDEX('Emission factors'!$K$3:$V$201,MATCH('Buildings - Heat &amp; Fuels'!$E60&amp;$F60,'Emission factors'!$J$3:$J$201&amp;'Emission factors'!$K$3:$K$201,0),MATCH('Buildings - Heat &amp; Fuels'!R$6,'Emission factors'!$K$2:$V$2,0)))*$K60)</f>
        <v/>
      </c>
      <c r="S60" s="157" t="str" cm="1">
        <f t="array" ref="S60">IF(OR($E60="",$I60=""),"",(INDEX('Emission factors'!$K$3:$V$201,MATCH('Buildings - Heat &amp; Fuels'!$E60&amp;$F60,'Emission factors'!$J$3:$J$201&amp;'Emission factors'!$K$3:$K$201,0),MATCH('Buildings - Heat &amp; Fuels'!S$6,'Emission factors'!$K$2:$V$2,0)))*$K60)</f>
        <v/>
      </c>
      <c r="T60" s="157" t="str" cm="1">
        <f t="array" ref="T60">IF(OR($E60="",$I60=""),"",(INDEX('Emission factors'!$K$3:$V$201,MATCH('Buildings - Heat &amp; Fuels'!$E60&amp;$F60,'Emission factors'!$J$3:$J$201&amp;'Emission factors'!$K$3:$K$201,0),MATCH('Buildings - Heat &amp; Fuels'!T$6,'Emission factors'!$K$2:$V$2,0)))*$K60)</f>
        <v/>
      </c>
      <c r="U60" s="157" t="str" cm="1">
        <f t="array" ref="U60">IF(OR($E60="",$I60=""),"",(INDEX('Emission factors'!$K$3:$V$201,MATCH('Buildings - Heat &amp; Fuels'!$E60&amp;$F60,'Emission factors'!$J$3:$J$201&amp;'Emission factors'!$K$3:$K$201,0),MATCH('Buildings - Heat &amp; Fuels'!U$6,'Emission factors'!$K$2:$V$2,0)))*$K60)</f>
        <v/>
      </c>
      <c r="V60" s="158" t="str">
        <f>IF(OR($N60="",BuildingsHeatFuelsTable[[#This Row],[RSD]]=""),"",BuildingsHeatFuelsTable[[#This Row],[Total emissions (kgCO2e)]]*(1+BuildingsHeatFuelsTable[[#This Row],[RSD]]))</f>
        <v/>
      </c>
      <c r="W60" s="159" t="str">
        <f>IF(OR($N60="",BuildingsHeatFuelsTable[[#This Row],[RSD]]=""),"",BuildingsHeatFuelsTable[[#This Row],[Total emissions (kgCO2e)]]*(1-BuildingsHeatFuelsTable[[#This Row],[RSD]]))</f>
        <v/>
      </c>
      <c r="X60" s="169" t="str" cm="1">
        <f t="array" ref="X60">IF(OR($E60="",$I60=""),"",(INDEX('Emission factors'!$K$3:$V$201,MATCH('Buildings - Heat &amp; Fuels'!$E60&amp;$F60,'Emission factors'!$J$3:$J$201&amp;'Emission factors'!$K$3:$K$201,0),MATCH('Buildings - Heat &amp; Fuels'!X$6,'Emission factors'!$K$2:$V$2,0)))*$K60)</f>
        <v/>
      </c>
      <c r="Y60" s="30"/>
      <c r="Z60" s="1" cm="1">
        <f t="array" ref="Z60">IF(OR(ISERROR(B60:X60)),1,0)</f>
        <v>0</v>
      </c>
      <c r="AA60" s="1">
        <f t="shared" si="0"/>
        <v>0</v>
      </c>
    </row>
    <row r="61" spans="1:27" ht="15" outlineLevel="1" thickBot="1" x14ac:dyDescent="0.4">
      <c r="A61" s="319"/>
      <c r="B61" s="216"/>
      <c r="C61" s="216"/>
      <c r="D61" s="489" t="str">
        <f>IFERROR(INDEX(BuildingInformationTable[Site type],MATCH(BuildingsHeatFuelsTable[[#This Row],[Site name]],BuildingInformationTable[Site name],0)),"")</f>
        <v/>
      </c>
      <c r="E61" s="491"/>
      <c r="F61" s="491"/>
      <c r="G61" s="491"/>
      <c r="H61" s="492" t="str">
        <f>IF(G61="","",INDEX(Lists!$BA$4:$BC$31,MATCH(E61,Lists!$AZ$4:$AZ$31,0),MATCH(G61,Lists!$BA$3:$BC$3,0)))</f>
        <v/>
      </c>
      <c r="I61" s="267"/>
      <c r="J61" s="491"/>
      <c r="K61" s="493" t="str" cm="1">
        <f t="array" ref="K61">IF(OR($E61="",$D61="",$I61="",$J61=""),"",IF(J61=L61,I61,(INDEX('Emission factors'!$K$3:$V$201,MATCH(E61&amp;F61,'Emission factors'!$J$3:$J$201&amp;'Emission factors'!$K$3:$K$201,0),MATCH(K$6,'Emission factors'!$K$2:$V$2,0)))*I61))</f>
        <v/>
      </c>
      <c r="L61" s="494" t="str">
        <f>IF(OR($E61="",$D61="",$I61="",$J61=""),"",INDEX('Emission factors'!$K$3:$V$201,MATCH('Buildings - Heat &amp; Fuels'!$E61,'Emission factors'!$J$3:$J$201,0),MATCH($L$6,'Emission factors'!$K$2:$V$2,0)))</f>
        <v/>
      </c>
      <c r="M61" s="495" t="str" cm="1">
        <f t="array" ref="M61">IF(OR(E61="",I61="",BuildingsHeatFuelsTable[[#This Row],[Units]]=""),"",INDEX('Emission factors'!$K$3:$V$201,MATCH('Buildings - Heat &amp; Fuels'!$E61&amp;F61,'Emission factors'!$J$3:$J$201&amp;'Emission factors'!$K$3:$K$201,0),MATCH('Buildings - Heat &amp; Fuels'!$M$6,'Emission factors'!$K$2:$V$2,0)))</f>
        <v/>
      </c>
      <c r="N61" s="496" t="str">
        <f>IF(OR(K61="",M61=""),"",SUM(BuildingsHeatFuelsTable[[#This Row],[Direct]:[Indirect WTT]]))</f>
        <v/>
      </c>
      <c r="O61" s="268"/>
      <c r="P61" s="497"/>
      <c r="Q61" s="157" t="str" cm="1">
        <f t="array" ref="Q61">IF(OR($E61="",$I61=""),"",(INDEX('Emission factors'!$K$3:$V$201,MATCH('Buildings - Heat &amp; Fuels'!$E61&amp;$F61,'Emission factors'!$J$3:$J$201&amp;'Emission factors'!$K$3:$K$201,0),MATCH('Buildings - Heat &amp; Fuels'!Q$6,'Emission factors'!$K$2:$V$2,0)))*$K61)</f>
        <v/>
      </c>
      <c r="R61" s="157" t="str" cm="1">
        <f t="array" ref="R61">IF(OR($E61="",$I61=""),"",(INDEX('Emission factors'!$K$3:$V$201,MATCH('Buildings - Heat &amp; Fuels'!$E61&amp;$F61,'Emission factors'!$J$3:$J$201&amp;'Emission factors'!$K$3:$K$201,0),MATCH('Buildings - Heat &amp; Fuels'!R$6,'Emission factors'!$K$2:$V$2,0)))*$K61)</f>
        <v/>
      </c>
      <c r="S61" s="157" t="str" cm="1">
        <f t="array" ref="S61">IF(OR($E61="",$I61=""),"",(INDEX('Emission factors'!$K$3:$V$201,MATCH('Buildings - Heat &amp; Fuels'!$E61&amp;$F61,'Emission factors'!$J$3:$J$201&amp;'Emission factors'!$K$3:$K$201,0),MATCH('Buildings - Heat &amp; Fuels'!S$6,'Emission factors'!$K$2:$V$2,0)))*$K61)</f>
        <v/>
      </c>
      <c r="T61" s="157" t="str" cm="1">
        <f t="array" ref="T61">IF(OR($E61="",$I61=""),"",(INDEX('Emission factors'!$K$3:$V$201,MATCH('Buildings - Heat &amp; Fuels'!$E61&amp;$F61,'Emission factors'!$J$3:$J$201&amp;'Emission factors'!$K$3:$K$201,0),MATCH('Buildings - Heat &amp; Fuels'!T$6,'Emission factors'!$K$2:$V$2,0)))*$K61)</f>
        <v/>
      </c>
      <c r="U61" s="157" t="str" cm="1">
        <f t="array" ref="U61">IF(OR($E61="",$I61=""),"",(INDEX('Emission factors'!$K$3:$V$201,MATCH('Buildings - Heat &amp; Fuels'!$E61&amp;$F61,'Emission factors'!$J$3:$J$201&amp;'Emission factors'!$K$3:$K$201,0),MATCH('Buildings - Heat &amp; Fuels'!U$6,'Emission factors'!$K$2:$V$2,0)))*$K61)</f>
        <v/>
      </c>
      <c r="V61" s="158" t="str">
        <f>IF(OR($N61="",BuildingsHeatFuelsTable[[#This Row],[RSD]]=""),"",BuildingsHeatFuelsTable[[#This Row],[Total emissions (kgCO2e)]]*(1+BuildingsHeatFuelsTable[[#This Row],[RSD]]))</f>
        <v/>
      </c>
      <c r="W61" s="159" t="str">
        <f>IF(OR($N61="",BuildingsHeatFuelsTable[[#This Row],[RSD]]=""),"",BuildingsHeatFuelsTable[[#This Row],[Total emissions (kgCO2e)]]*(1-BuildingsHeatFuelsTable[[#This Row],[RSD]]))</f>
        <v/>
      </c>
      <c r="X61" s="169" t="str" cm="1">
        <f t="array" ref="X61">IF(OR($E61="",$I61=""),"",(INDEX('Emission factors'!$K$3:$V$201,MATCH('Buildings - Heat &amp; Fuels'!$E61&amp;$F61,'Emission factors'!$J$3:$J$201&amp;'Emission factors'!$K$3:$K$201,0),MATCH('Buildings - Heat &amp; Fuels'!X$6,'Emission factors'!$K$2:$V$2,0)))*$K61)</f>
        <v/>
      </c>
      <c r="Y61" s="30"/>
      <c r="Z61" s="1" cm="1">
        <f t="array" ref="Z61">IF(OR(ISERROR(B61:X61)),1,0)</f>
        <v>0</v>
      </c>
      <c r="AA61" s="1">
        <f t="shared" si="0"/>
        <v>0</v>
      </c>
    </row>
    <row r="62" spans="1:27" ht="15" outlineLevel="1" thickBot="1" x14ac:dyDescent="0.4">
      <c r="A62" s="319"/>
      <c r="B62" s="216"/>
      <c r="C62" s="216"/>
      <c r="D62" s="489" t="str">
        <f>IFERROR(INDEX(BuildingInformationTable[Site type],MATCH(BuildingsHeatFuelsTable[[#This Row],[Site name]],BuildingInformationTable[Site name],0)),"")</f>
        <v/>
      </c>
      <c r="E62" s="491"/>
      <c r="F62" s="491"/>
      <c r="G62" s="491"/>
      <c r="H62" s="492" t="str">
        <f>IF(G62="","",INDEX(Lists!$BA$4:$BC$31,MATCH(E62,Lists!$AZ$4:$AZ$31,0),MATCH(G62,Lists!$BA$3:$BC$3,0)))</f>
        <v/>
      </c>
      <c r="I62" s="267"/>
      <c r="J62" s="491"/>
      <c r="K62" s="493" t="str" cm="1">
        <f t="array" ref="K62">IF(OR($E62="",$D62="",$I62="",$J62=""),"",IF(J62=L62,I62,(INDEX('Emission factors'!$K$3:$V$201,MATCH(E62&amp;F62,'Emission factors'!$J$3:$J$201&amp;'Emission factors'!$K$3:$K$201,0),MATCH(K$6,'Emission factors'!$K$2:$V$2,0)))*I62))</f>
        <v/>
      </c>
      <c r="L62" s="494" t="str">
        <f>IF(OR($E62="",$D62="",$I62="",$J62=""),"",INDEX('Emission factors'!$K$3:$V$201,MATCH('Buildings - Heat &amp; Fuels'!$E62,'Emission factors'!$J$3:$J$201,0),MATCH($L$6,'Emission factors'!$K$2:$V$2,0)))</f>
        <v/>
      </c>
      <c r="M62" s="495" t="str" cm="1">
        <f t="array" ref="M62">IF(OR(E62="",I62="",BuildingsHeatFuelsTable[[#This Row],[Units]]=""),"",INDEX('Emission factors'!$K$3:$V$201,MATCH('Buildings - Heat &amp; Fuels'!$E62&amp;F62,'Emission factors'!$J$3:$J$201&amp;'Emission factors'!$K$3:$K$201,0),MATCH('Buildings - Heat &amp; Fuels'!$M$6,'Emission factors'!$K$2:$V$2,0)))</f>
        <v/>
      </c>
      <c r="N62" s="496" t="str">
        <f>IF(OR(K62="",M62=""),"",SUM(BuildingsHeatFuelsTable[[#This Row],[Direct]:[Indirect WTT]]))</f>
        <v/>
      </c>
      <c r="O62" s="268"/>
      <c r="P62" s="497"/>
      <c r="Q62" s="157" t="str" cm="1">
        <f t="array" ref="Q62">IF(OR($E62="",$I62=""),"",(INDEX('Emission factors'!$K$3:$V$201,MATCH('Buildings - Heat &amp; Fuels'!$E62&amp;$F62,'Emission factors'!$J$3:$J$201&amp;'Emission factors'!$K$3:$K$201,0),MATCH('Buildings - Heat &amp; Fuels'!Q$6,'Emission factors'!$K$2:$V$2,0)))*$K62)</f>
        <v/>
      </c>
      <c r="R62" s="157" t="str" cm="1">
        <f t="array" ref="R62">IF(OR($E62="",$I62=""),"",(INDEX('Emission factors'!$K$3:$V$201,MATCH('Buildings - Heat &amp; Fuels'!$E62&amp;$F62,'Emission factors'!$J$3:$J$201&amp;'Emission factors'!$K$3:$K$201,0),MATCH('Buildings - Heat &amp; Fuels'!R$6,'Emission factors'!$K$2:$V$2,0)))*$K62)</f>
        <v/>
      </c>
      <c r="S62" s="157" t="str" cm="1">
        <f t="array" ref="S62">IF(OR($E62="",$I62=""),"",(INDEX('Emission factors'!$K$3:$V$201,MATCH('Buildings - Heat &amp; Fuels'!$E62&amp;$F62,'Emission factors'!$J$3:$J$201&amp;'Emission factors'!$K$3:$K$201,0),MATCH('Buildings - Heat &amp; Fuels'!S$6,'Emission factors'!$K$2:$V$2,0)))*$K62)</f>
        <v/>
      </c>
      <c r="T62" s="157" t="str" cm="1">
        <f t="array" ref="T62">IF(OR($E62="",$I62=""),"",(INDEX('Emission factors'!$K$3:$V$201,MATCH('Buildings - Heat &amp; Fuels'!$E62&amp;$F62,'Emission factors'!$J$3:$J$201&amp;'Emission factors'!$K$3:$K$201,0),MATCH('Buildings - Heat &amp; Fuels'!T$6,'Emission factors'!$K$2:$V$2,0)))*$K62)</f>
        <v/>
      </c>
      <c r="U62" s="157" t="str" cm="1">
        <f t="array" ref="U62">IF(OR($E62="",$I62=""),"",(INDEX('Emission factors'!$K$3:$V$201,MATCH('Buildings - Heat &amp; Fuels'!$E62&amp;$F62,'Emission factors'!$J$3:$J$201&amp;'Emission factors'!$K$3:$K$201,0),MATCH('Buildings - Heat &amp; Fuels'!U$6,'Emission factors'!$K$2:$V$2,0)))*$K62)</f>
        <v/>
      </c>
      <c r="V62" s="158" t="str">
        <f>IF(OR($N62="",BuildingsHeatFuelsTable[[#This Row],[RSD]]=""),"",BuildingsHeatFuelsTable[[#This Row],[Total emissions (kgCO2e)]]*(1+BuildingsHeatFuelsTable[[#This Row],[RSD]]))</f>
        <v/>
      </c>
      <c r="W62" s="159" t="str">
        <f>IF(OR($N62="",BuildingsHeatFuelsTable[[#This Row],[RSD]]=""),"",BuildingsHeatFuelsTable[[#This Row],[Total emissions (kgCO2e)]]*(1-BuildingsHeatFuelsTable[[#This Row],[RSD]]))</f>
        <v/>
      </c>
      <c r="X62" s="169" t="str" cm="1">
        <f t="array" ref="X62">IF(OR($E62="",$I62=""),"",(INDEX('Emission factors'!$K$3:$V$201,MATCH('Buildings - Heat &amp; Fuels'!$E62&amp;$F62,'Emission factors'!$J$3:$J$201&amp;'Emission factors'!$K$3:$K$201,0),MATCH('Buildings - Heat &amp; Fuels'!X$6,'Emission factors'!$K$2:$V$2,0)))*$K62)</f>
        <v/>
      </c>
      <c r="Y62" s="30"/>
      <c r="Z62" s="1" cm="1">
        <f t="array" ref="Z62">IF(OR(ISERROR(B62:X62)),1,0)</f>
        <v>0</v>
      </c>
      <c r="AA62" s="1">
        <f t="shared" si="0"/>
        <v>0</v>
      </c>
    </row>
    <row r="63" spans="1:27" ht="15" outlineLevel="1" thickBot="1" x14ac:dyDescent="0.4">
      <c r="A63" s="319"/>
      <c r="B63" s="216"/>
      <c r="C63" s="216"/>
      <c r="D63" s="489" t="str">
        <f>IFERROR(INDEX(BuildingInformationTable[Site type],MATCH(BuildingsHeatFuelsTable[[#This Row],[Site name]],BuildingInformationTable[Site name],0)),"")</f>
        <v/>
      </c>
      <c r="E63" s="491"/>
      <c r="F63" s="491"/>
      <c r="G63" s="491"/>
      <c r="H63" s="492" t="str">
        <f>IF(G63="","",INDEX(Lists!$BA$4:$BC$31,MATCH(E63,Lists!$AZ$4:$AZ$31,0),MATCH(G63,Lists!$BA$3:$BC$3,0)))</f>
        <v/>
      </c>
      <c r="I63" s="267"/>
      <c r="J63" s="491"/>
      <c r="K63" s="493" t="str" cm="1">
        <f t="array" ref="K63">IF(OR($E63="",$D63="",$I63="",$J63=""),"",IF(J63=L63,I63,(INDEX('Emission factors'!$K$3:$V$201,MATCH(E63&amp;F63,'Emission factors'!$J$3:$J$201&amp;'Emission factors'!$K$3:$K$201,0),MATCH(K$6,'Emission factors'!$K$2:$V$2,0)))*I63))</f>
        <v/>
      </c>
      <c r="L63" s="494" t="str">
        <f>IF(OR($E63="",$D63="",$I63="",$J63=""),"",INDEX('Emission factors'!$K$3:$V$201,MATCH('Buildings - Heat &amp; Fuels'!$E63,'Emission factors'!$J$3:$J$201,0),MATCH($L$6,'Emission factors'!$K$2:$V$2,0)))</f>
        <v/>
      </c>
      <c r="M63" s="495" t="str" cm="1">
        <f t="array" ref="M63">IF(OR(E63="",I63="",BuildingsHeatFuelsTable[[#This Row],[Units]]=""),"",INDEX('Emission factors'!$K$3:$V$201,MATCH('Buildings - Heat &amp; Fuels'!$E63&amp;F63,'Emission factors'!$J$3:$J$201&amp;'Emission factors'!$K$3:$K$201,0),MATCH('Buildings - Heat &amp; Fuels'!$M$6,'Emission factors'!$K$2:$V$2,0)))</f>
        <v/>
      </c>
      <c r="N63" s="496" t="str">
        <f>IF(OR(K63="",M63=""),"",SUM(BuildingsHeatFuelsTable[[#This Row],[Direct]:[Indirect WTT]]))</f>
        <v/>
      </c>
      <c r="O63" s="268"/>
      <c r="P63" s="497"/>
      <c r="Q63" s="157" t="str" cm="1">
        <f t="array" ref="Q63">IF(OR($E63="",$I63=""),"",(INDEX('Emission factors'!$K$3:$V$201,MATCH('Buildings - Heat &amp; Fuels'!$E63&amp;$F63,'Emission factors'!$J$3:$J$201&amp;'Emission factors'!$K$3:$K$201,0),MATCH('Buildings - Heat &amp; Fuels'!Q$6,'Emission factors'!$K$2:$V$2,0)))*$K63)</f>
        <v/>
      </c>
      <c r="R63" s="157" t="str" cm="1">
        <f t="array" ref="R63">IF(OR($E63="",$I63=""),"",(INDEX('Emission factors'!$K$3:$V$201,MATCH('Buildings - Heat &amp; Fuels'!$E63&amp;$F63,'Emission factors'!$J$3:$J$201&amp;'Emission factors'!$K$3:$K$201,0),MATCH('Buildings - Heat &amp; Fuels'!R$6,'Emission factors'!$K$2:$V$2,0)))*$K63)</f>
        <v/>
      </c>
      <c r="S63" s="157" t="str" cm="1">
        <f t="array" ref="S63">IF(OR($E63="",$I63=""),"",(INDEX('Emission factors'!$K$3:$V$201,MATCH('Buildings - Heat &amp; Fuels'!$E63&amp;$F63,'Emission factors'!$J$3:$J$201&amp;'Emission factors'!$K$3:$K$201,0),MATCH('Buildings - Heat &amp; Fuels'!S$6,'Emission factors'!$K$2:$V$2,0)))*$K63)</f>
        <v/>
      </c>
      <c r="T63" s="157" t="str" cm="1">
        <f t="array" ref="T63">IF(OR($E63="",$I63=""),"",(INDEX('Emission factors'!$K$3:$V$201,MATCH('Buildings - Heat &amp; Fuels'!$E63&amp;$F63,'Emission factors'!$J$3:$J$201&amp;'Emission factors'!$K$3:$K$201,0),MATCH('Buildings - Heat &amp; Fuels'!T$6,'Emission factors'!$K$2:$V$2,0)))*$K63)</f>
        <v/>
      </c>
      <c r="U63" s="157" t="str" cm="1">
        <f t="array" ref="U63">IF(OR($E63="",$I63=""),"",(INDEX('Emission factors'!$K$3:$V$201,MATCH('Buildings - Heat &amp; Fuels'!$E63&amp;$F63,'Emission factors'!$J$3:$J$201&amp;'Emission factors'!$K$3:$K$201,0),MATCH('Buildings - Heat &amp; Fuels'!U$6,'Emission factors'!$K$2:$V$2,0)))*$K63)</f>
        <v/>
      </c>
      <c r="V63" s="158" t="str">
        <f>IF(OR($N63="",BuildingsHeatFuelsTable[[#This Row],[RSD]]=""),"",BuildingsHeatFuelsTable[[#This Row],[Total emissions (kgCO2e)]]*(1+BuildingsHeatFuelsTable[[#This Row],[RSD]]))</f>
        <v/>
      </c>
      <c r="W63" s="159" t="str">
        <f>IF(OR($N63="",BuildingsHeatFuelsTable[[#This Row],[RSD]]=""),"",BuildingsHeatFuelsTable[[#This Row],[Total emissions (kgCO2e)]]*(1-BuildingsHeatFuelsTable[[#This Row],[RSD]]))</f>
        <v/>
      </c>
      <c r="X63" s="169" t="str" cm="1">
        <f t="array" ref="X63">IF(OR($E63="",$I63=""),"",(INDEX('Emission factors'!$K$3:$V$201,MATCH('Buildings - Heat &amp; Fuels'!$E63&amp;$F63,'Emission factors'!$J$3:$J$201&amp;'Emission factors'!$K$3:$K$201,0),MATCH('Buildings - Heat &amp; Fuels'!X$6,'Emission factors'!$K$2:$V$2,0)))*$K63)</f>
        <v/>
      </c>
      <c r="Y63" s="30"/>
      <c r="Z63" s="1" cm="1">
        <f t="array" ref="Z63">IF(OR(ISERROR(B63:X63)),1,0)</f>
        <v>0</v>
      </c>
      <c r="AA63" s="1">
        <f t="shared" si="0"/>
        <v>0</v>
      </c>
    </row>
    <row r="64" spans="1:27" ht="15" outlineLevel="1" thickBot="1" x14ac:dyDescent="0.4">
      <c r="A64" s="319"/>
      <c r="B64" s="216"/>
      <c r="C64" s="216"/>
      <c r="D64" s="489" t="str">
        <f>IFERROR(INDEX(BuildingInformationTable[Site type],MATCH(BuildingsHeatFuelsTable[[#This Row],[Site name]],BuildingInformationTable[Site name],0)),"")</f>
        <v/>
      </c>
      <c r="E64" s="491"/>
      <c r="F64" s="491"/>
      <c r="G64" s="491"/>
      <c r="H64" s="492" t="str">
        <f>IF(G64="","",INDEX(Lists!$BA$4:$BC$31,MATCH(E64,Lists!$AZ$4:$AZ$31,0),MATCH(G64,Lists!$BA$3:$BC$3,0)))</f>
        <v/>
      </c>
      <c r="I64" s="267"/>
      <c r="J64" s="491"/>
      <c r="K64" s="493" t="str" cm="1">
        <f t="array" ref="K64">IF(OR($E64="",$D64="",$I64="",$J64=""),"",IF(J64=L64,I64,(INDEX('Emission factors'!$K$3:$V$201,MATCH(E64&amp;F64,'Emission factors'!$J$3:$J$201&amp;'Emission factors'!$K$3:$K$201,0),MATCH(K$6,'Emission factors'!$K$2:$V$2,0)))*I64))</f>
        <v/>
      </c>
      <c r="L64" s="494" t="str">
        <f>IF(OR($E64="",$D64="",$I64="",$J64=""),"",INDEX('Emission factors'!$K$3:$V$201,MATCH('Buildings - Heat &amp; Fuels'!$E64,'Emission factors'!$J$3:$J$201,0),MATCH($L$6,'Emission factors'!$K$2:$V$2,0)))</f>
        <v/>
      </c>
      <c r="M64" s="495" t="str" cm="1">
        <f t="array" ref="M64">IF(OR(E64="",I64="",BuildingsHeatFuelsTable[[#This Row],[Units]]=""),"",INDEX('Emission factors'!$K$3:$V$201,MATCH('Buildings - Heat &amp; Fuels'!$E64&amp;F64,'Emission factors'!$J$3:$J$201&amp;'Emission factors'!$K$3:$K$201,0),MATCH('Buildings - Heat &amp; Fuels'!$M$6,'Emission factors'!$K$2:$V$2,0)))</f>
        <v/>
      </c>
      <c r="N64" s="496" t="str">
        <f>IF(OR(K64="",M64=""),"",SUM(BuildingsHeatFuelsTable[[#This Row],[Direct]:[Indirect WTT]]))</f>
        <v/>
      </c>
      <c r="O64" s="268"/>
      <c r="P64" s="497"/>
      <c r="Q64" s="157" t="str" cm="1">
        <f t="array" ref="Q64">IF(OR($E64="",$I64=""),"",(INDEX('Emission factors'!$K$3:$V$201,MATCH('Buildings - Heat &amp; Fuels'!$E64&amp;$F64,'Emission factors'!$J$3:$J$201&amp;'Emission factors'!$K$3:$K$201,0),MATCH('Buildings - Heat &amp; Fuels'!Q$6,'Emission factors'!$K$2:$V$2,0)))*$K64)</f>
        <v/>
      </c>
      <c r="R64" s="157" t="str" cm="1">
        <f t="array" ref="R64">IF(OR($E64="",$I64=""),"",(INDEX('Emission factors'!$K$3:$V$201,MATCH('Buildings - Heat &amp; Fuels'!$E64&amp;$F64,'Emission factors'!$J$3:$J$201&amp;'Emission factors'!$K$3:$K$201,0),MATCH('Buildings - Heat &amp; Fuels'!R$6,'Emission factors'!$K$2:$V$2,0)))*$K64)</f>
        <v/>
      </c>
      <c r="S64" s="157" t="str" cm="1">
        <f t="array" ref="S64">IF(OR($E64="",$I64=""),"",(INDEX('Emission factors'!$K$3:$V$201,MATCH('Buildings - Heat &amp; Fuels'!$E64&amp;$F64,'Emission factors'!$J$3:$J$201&amp;'Emission factors'!$K$3:$K$201,0),MATCH('Buildings - Heat &amp; Fuels'!S$6,'Emission factors'!$K$2:$V$2,0)))*$K64)</f>
        <v/>
      </c>
      <c r="T64" s="157" t="str" cm="1">
        <f t="array" ref="T64">IF(OR($E64="",$I64=""),"",(INDEX('Emission factors'!$K$3:$V$201,MATCH('Buildings - Heat &amp; Fuels'!$E64&amp;$F64,'Emission factors'!$J$3:$J$201&amp;'Emission factors'!$K$3:$K$201,0),MATCH('Buildings - Heat &amp; Fuels'!T$6,'Emission factors'!$K$2:$V$2,0)))*$K64)</f>
        <v/>
      </c>
      <c r="U64" s="157" t="str" cm="1">
        <f t="array" ref="U64">IF(OR($E64="",$I64=""),"",(INDEX('Emission factors'!$K$3:$V$201,MATCH('Buildings - Heat &amp; Fuels'!$E64&amp;$F64,'Emission factors'!$J$3:$J$201&amp;'Emission factors'!$K$3:$K$201,0),MATCH('Buildings - Heat &amp; Fuels'!U$6,'Emission factors'!$K$2:$V$2,0)))*$K64)</f>
        <v/>
      </c>
      <c r="V64" s="158" t="str">
        <f>IF(OR($N64="",BuildingsHeatFuelsTable[[#This Row],[RSD]]=""),"",BuildingsHeatFuelsTable[[#This Row],[Total emissions (kgCO2e)]]*(1+BuildingsHeatFuelsTable[[#This Row],[RSD]]))</f>
        <v/>
      </c>
      <c r="W64" s="159" t="str">
        <f>IF(OR($N64="",BuildingsHeatFuelsTable[[#This Row],[RSD]]=""),"",BuildingsHeatFuelsTable[[#This Row],[Total emissions (kgCO2e)]]*(1-BuildingsHeatFuelsTable[[#This Row],[RSD]]))</f>
        <v/>
      </c>
      <c r="X64" s="169" t="str" cm="1">
        <f t="array" ref="X64">IF(OR($E64="",$I64=""),"",(INDEX('Emission factors'!$K$3:$V$201,MATCH('Buildings - Heat &amp; Fuels'!$E64&amp;$F64,'Emission factors'!$J$3:$J$201&amp;'Emission factors'!$K$3:$K$201,0),MATCH('Buildings - Heat &amp; Fuels'!X$6,'Emission factors'!$K$2:$V$2,0)))*$K64)</f>
        <v/>
      </c>
      <c r="Y64" s="30"/>
      <c r="Z64" s="1" cm="1">
        <f t="array" ref="Z64">IF(OR(ISERROR(B64:X64)),1,0)</f>
        <v>0</v>
      </c>
      <c r="AA64" s="1">
        <f t="shared" si="0"/>
        <v>0</v>
      </c>
    </row>
    <row r="65" spans="1:27" ht="15" outlineLevel="1" thickBot="1" x14ac:dyDescent="0.4">
      <c r="A65" s="319"/>
      <c r="B65" s="216"/>
      <c r="C65" s="216"/>
      <c r="D65" s="489" t="str">
        <f>IFERROR(INDEX(BuildingInformationTable[Site type],MATCH(BuildingsHeatFuelsTable[[#This Row],[Site name]],BuildingInformationTable[Site name],0)),"")</f>
        <v/>
      </c>
      <c r="E65" s="491"/>
      <c r="F65" s="491"/>
      <c r="G65" s="491"/>
      <c r="H65" s="492" t="str">
        <f>IF(G65="","",INDEX(Lists!$BA$4:$BC$31,MATCH(E65,Lists!$AZ$4:$AZ$31,0),MATCH(G65,Lists!$BA$3:$BC$3,0)))</f>
        <v/>
      </c>
      <c r="I65" s="267"/>
      <c r="J65" s="491"/>
      <c r="K65" s="493" t="str" cm="1">
        <f t="array" ref="K65">IF(OR($E65="",$D65="",$I65="",$J65=""),"",IF(J65=L65,I65,(INDEX('Emission factors'!$K$3:$V$201,MATCH(E65&amp;F65,'Emission factors'!$J$3:$J$201&amp;'Emission factors'!$K$3:$K$201,0),MATCH(K$6,'Emission factors'!$K$2:$V$2,0)))*I65))</f>
        <v/>
      </c>
      <c r="L65" s="494" t="str">
        <f>IF(OR($E65="",$D65="",$I65="",$J65=""),"",INDEX('Emission factors'!$K$3:$V$201,MATCH('Buildings - Heat &amp; Fuels'!$E65,'Emission factors'!$J$3:$J$201,0),MATCH($L$6,'Emission factors'!$K$2:$V$2,0)))</f>
        <v/>
      </c>
      <c r="M65" s="495" t="str" cm="1">
        <f t="array" ref="M65">IF(OR(E65="",I65="",BuildingsHeatFuelsTable[[#This Row],[Units]]=""),"",INDEX('Emission factors'!$K$3:$V$201,MATCH('Buildings - Heat &amp; Fuels'!$E65&amp;F65,'Emission factors'!$J$3:$J$201&amp;'Emission factors'!$K$3:$K$201,0),MATCH('Buildings - Heat &amp; Fuels'!$M$6,'Emission factors'!$K$2:$V$2,0)))</f>
        <v/>
      </c>
      <c r="N65" s="496" t="str">
        <f>IF(OR(K65="",M65=""),"",SUM(BuildingsHeatFuelsTable[[#This Row],[Direct]:[Indirect WTT]]))</f>
        <v/>
      </c>
      <c r="O65" s="268"/>
      <c r="P65" s="497"/>
      <c r="Q65" s="157" t="str" cm="1">
        <f t="array" ref="Q65">IF(OR($E65="",$I65=""),"",(INDEX('Emission factors'!$K$3:$V$201,MATCH('Buildings - Heat &amp; Fuels'!$E65&amp;$F65,'Emission factors'!$J$3:$J$201&amp;'Emission factors'!$K$3:$K$201,0),MATCH('Buildings - Heat &amp; Fuels'!Q$6,'Emission factors'!$K$2:$V$2,0)))*$K65)</f>
        <v/>
      </c>
      <c r="R65" s="157" t="str" cm="1">
        <f t="array" ref="R65">IF(OR($E65="",$I65=""),"",(INDEX('Emission factors'!$K$3:$V$201,MATCH('Buildings - Heat &amp; Fuels'!$E65&amp;$F65,'Emission factors'!$J$3:$J$201&amp;'Emission factors'!$K$3:$K$201,0),MATCH('Buildings - Heat &amp; Fuels'!R$6,'Emission factors'!$K$2:$V$2,0)))*$K65)</f>
        <v/>
      </c>
      <c r="S65" s="157" t="str" cm="1">
        <f t="array" ref="S65">IF(OR($E65="",$I65=""),"",(INDEX('Emission factors'!$K$3:$V$201,MATCH('Buildings - Heat &amp; Fuels'!$E65&amp;$F65,'Emission factors'!$J$3:$J$201&amp;'Emission factors'!$K$3:$K$201,0),MATCH('Buildings - Heat &amp; Fuels'!S$6,'Emission factors'!$K$2:$V$2,0)))*$K65)</f>
        <v/>
      </c>
      <c r="T65" s="157" t="str" cm="1">
        <f t="array" ref="T65">IF(OR($E65="",$I65=""),"",(INDEX('Emission factors'!$K$3:$V$201,MATCH('Buildings - Heat &amp; Fuels'!$E65&amp;$F65,'Emission factors'!$J$3:$J$201&amp;'Emission factors'!$K$3:$K$201,0),MATCH('Buildings - Heat &amp; Fuels'!T$6,'Emission factors'!$K$2:$V$2,0)))*$K65)</f>
        <v/>
      </c>
      <c r="U65" s="157" t="str" cm="1">
        <f t="array" ref="U65">IF(OR($E65="",$I65=""),"",(INDEX('Emission factors'!$K$3:$V$201,MATCH('Buildings - Heat &amp; Fuels'!$E65&amp;$F65,'Emission factors'!$J$3:$J$201&amp;'Emission factors'!$K$3:$K$201,0),MATCH('Buildings - Heat &amp; Fuels'!U$6,'Emission factors'!$K$2:$V$2,0)))*$K65)</f>
        <v/>
      </c>
      <c r="V65" s="158" t="str">
        <f>IF(OR($N65="",BuildingsHeatFuelsTable[[#This Row],[RSD]]=""),"",BuildingsHeatFuelsTable[[#This Row],[Total emissions (kgCO2e)]]*(1+BuildingsHeatFuelsTable[[#This Row],[RSD]]))</f>
        <v/>
      </c>
      <c r="W65" s="159" t="str">
        <f>IF(OR($N65="",BuildingsHeatFuelsTable[[#This Row],[RSD]]=""),"",BuildingsHeatFuelsTable[[#This Row],[Total emissions (kgCO2e)]]*(1-BuildingsHeatFuelsTable[[#This Row],[RSD]]))</f>
        <v/>
      </c>
      <c r="X65" s="169" t="str" cm="1">
        <f t="array" ref="X65">IF(OR($E65="",$I65=""),"",(INDEX('Emission factors'!$K$3:$V$201,MATCH('Buildings - Heat &amp; Fuels'!$E65&amp;$F65,'Emission factors'!$J$3:$J$201&amp;'Emission factors'!$K$3:$K$201,0),MATCH('Buildings - Heat &amp; Fuels'!X$6,'Emission factors'!$K$2:$V$2,0)))*$K65)</f>
        <v/>
      </c>
      <c r="Y65" s="30"/>
      <c r="Z65" s="1" cm="1">
        <f t="array" ref="Z65">IF(OR(ISERROR(B65:X65)),1,0)</f>
        <v>0</v>
      </c>
      <c r="AA65" s="1">
        <f t="shared" si="0"/>
        <v>0</v>
      </c>
    </row>
    <row r="66" spans="1:27" ht="15" outlineLevel="1" thickBot="1" x14ac:dyDescent="0.4">
      <c r="A66" s="319"/>
      <c r="B66" s="216"/>
      <c r="C66" s="216"/>
      <c r="D66" s="489" t="str">
        <f>IFERROR(INDEX(BuildingInformationTable[Site type],MATCH(BuildingsHeatFuelsTable[[#This Row],[Site name]],BuildingInformationTable[Site name],0)),"")</f>
        <v/>
      </c>
      <c r="E66" s="491"/>
      <c r="F66" s="491"/>
      <c r="G66" s="491"/>
      <c r="H66" s="492" t="str">
        <f>IF(G66="","",INDEX(Lists!$BA$4:$BC$31,MATCH(E66,Lists!$AZ$4:$AZ$31,0),MATCH(G66,Lists!$BA$3:$BC$3,0)))</f>
        <v/>
      </c>
      <c r="I66" s="267"/>
      <c r="J66" s="491"/>
      <c r="K66" s="493" t="str" cm="1">
        <f t="array" ref="K66">IF(OR($E66="",$D66="",$I66="",$J66=""),"",IF(J66=L66,I66,(INDEX('Emission factors'!$K$3:$V$201,MATCH(E66&amp;F66,'Emission factors'!$J$3:$J$201&amp;'Emission factors'!$K$3:$K$201,0),MATCH(K$6,'Emission factors'!$K$2:$V$2,0)))*I66))</f>
        <v/>
      </c>
      <c r="L66" s="494" t="str">
        <f>IF(OR($E66="",$D66="",$I66="",$J66=""),"",INDEX('Emission factors'!$K$3:$V$201,MATCH('Buildings - Heat &amp; Fuels'!$E66,'Emission factors'!$J$3:$J$201,0),MATCH($L$6,'Emission factors'!$K$2:$V$2,0)))</f>
        <v/>
      </c>
      <c r="M66" s="495" t="str" cm="1">
        <f t="array" ref="M66">IF(OR(E66="",I66="",BuildingsHeatFuelsTable[[#This Row],[Units]]=""),"",INDEX('Emission factors'!$K$3:$V$201,MATCH('Buildings - Heat &amp; Fuels'!$E66&amp;F66,'Emission factors'!$J$3:$J$201&amp;'Emission factors'!$K$3:$K$201,0),MATCH('Buildings - Heat &amp; Fuels'!$M$6,'Emission factors'!$K$2:$V$2,0)))</f>
        <v/>
      </c>
      <c r="N66" s="496" t="str">
        <f>IF(OR(K66="",M66=""),"",SUM(BuildingsHeatFuelsTable[[#This Row],[Direct]:[Indirect WTT]]))</f>
        <v/>
      </c>
      <c r="O66" s="268"/>
      <c r="P66" s="497"/>
      <c r="Q66" s="157" t="str" cm="1">
        <f t="array" ref="Q66">IF(OR($E66="",$I66=""),"",(INDEX('Emission factors'!$K$3:$V$201,MATCH('Buildings - Heat &amp; Fuels'!$E66&amp;$F66,'Emission factors'!$J$3:$J$201&amp;'Emission factors'!$K$3:$K$201,0),MATCH('Buildings - Heat &amp; Fuels'!Q$6,'Emission factors'!$K$2:$V$2,0)))*$K66)</f>
        <v/>
      </c>
      <c r="R66" s="157" t="str" cm="1">
        <f t="array" ref="R66">IF(OR($E66="",$I66=""),"",(INDEX('Emission factors'!$K$3:$V$201,MATCH('Buildings - Heat &amp; Fuels'!$E66&amp;$F66,'Emission factors'!$J$3:$J$201&amp;'Emission factors'!$K$3:$K$201,0),MATCH('Buildings - Heat &amp; Fuels'!R$6,'Emission factors'!$K$2:$V$2,0)))*$K66)</f>
        <v/>
      </c>
      <c r="S66" s="157" t="str" cm="1">
        <f t="array" ref="S66">IF(OR($E66="",$I66=""),"",(INDEX('Emission factors'!$K$3:$V$201,MATCH('Buildings - Heat &amp; Fuels'!$E66&amp;$F66,'Emission factors'!$J$3:$J$201&amp;'Emission factors'!$K$3:$K$201,0),MATCH('Buildings - Heat &amp; Fuels'!S$6,'Emission factors'!$K$2:$V$2,0)))*$K66)</f>
        <v/>
      </c>
      <c r="T66" s="157" t="str" cm="1">
        <f t="array" ref="T66">IF(OR($E66="",$I66=""),"",(INDEX('Emission factors'!$K$3:$V$201,MATCH('Buildings - Heat &amp; Fuels'!$E66&amp;$F66,'Emission factors'!$J$3:$J$201&amp;'Emission factors'!$K$3:$K$201,0),MATCH('Buildings - Heat &amp; Fuels'!T$6,'Emission factors'!$K$2:$V$2,0)))*$K66)</f>
        <v/>
      </c>
      <c r="U66" s="157" t="str" cm="1">
        <f t="array" ref="U66">IF(OR($E66="",$I66=""),"",(INDEX('Emission factors'!$K$3:$V$201,MATCH('Buildings - Heat &amp; Fuels'!$E66&amp;$F66,'Emission factors'!$J$3:$J$201&amp;'Emission factors'!$K$3:$K$201,0),MATCH('Buildings - Heat &amp; Fuels'!U$6,'Emission factors'!$K$2:$V$2,0)))*$K66)</f>
        <v/>
      </c>
      <c r="V66" s="158" t="str">
        <f>IF(OR($N66="",BuildingsHeatFuelsTable[[#This Row],[RSD]]=""),"",BuildingsHeatFuelsTable[[#This Row],[Total emissions (kgCO2e)]]*(1+BuildingsHeatFuelsTable[[#This Row],[RSD]]))</f>
        <v/>
      </c>
      <c r="W66" s="159" t="str">
        <f>IF(OR($N66="",BuildingsHeatFuelsTable[[#This Row],[RSD]]=""),"",BuildingsHeatFuelsTable[[#This Row],[Total emissions (kgCO2e)]]*(1-BuildingsHeatFuelsTable[[#This Row],[RSD]]))</f>
        <v/>
      </c>
      <c r="X66" s="169" t="str" cm="1">
        <f t="array" ref="X66">IF(OR($E66="",$I66=""),"",(INDEX('Emission factors'!$K$3:$V$201,MATCH('Buildings - Heat &amp; Fuels'!$E66&amp;$F66,'Emission factors'!$J$3:$J$201&amp;'Emission factors'!$K$3:$K$201,0),MATCH('Buildings - Heat &amp; Fuels'!X$6,'Emission factors'!$K$2:$V$2,0)))*$K66)</f>
        <v/>
      </c>
      <c r="Y66" s="30"/>
      <c r="Z66" s="1" cm="1">
        <f t="array" ref="Z66">IF(OR(ISERROR(B66:X66)),1,0)</f>
        <v>0</v>
      </c>
      <c r="AA66" s="1">
        <f t="shared" si="0"/>
        <v>0</v>
      </c>
    </row>
    <row r="67" spans="1:27" ht="15" outlineLevel="1" thickBot="1" x14ac:dyDescent="0.4">
      <c r="A67" s="319"/>
      <c r="B67" s="216"/>
      <c r="C67" s="216"/>
      <c r="D67" s="489" t="str">
        <f>IFERROR(INDEX(BuildingInformationTable[Site type],MATCH(BuildingsHeatFuelsTable[[#This Row],[Site name]],BuildingInformationTable[Site name],0)),"")</f>
        <v/>
      </c>
      <c r="E67" s="491"/>
      <c r="F67" s="491"/>
      <c r="G67" s="491"/>
      <c r="H67" s="492" t="str">
        <f>IF(G67="","",INDEX(Lists!$BA$4:$BC$31,MATCH(E67,Lists!$AZ$4:$AZ$31,0),MATCH(G67,Lists!$BA$3:$BC$3,0)))</f>
        <v/>
      </c>
      <c r="I67" s="267"/>
      <c r="J67" s="491"/>
      <c r="K67" s="493" t="str" cm="1">
        <f t="array" ref="K67">IF(OR($E67="",$D67="",$I67="",$J67=""),"",IF(J67=L67,I67,(INDEX('Emission factors'!$K$3:$V$201,MATCH(E67&amp;F67,'Emission factors'!$J$3:$J$201&amp;'Emission factors'!$K$3:$K$201,0),MATCH(K$6,'Emission factors'!$K$2:$V$2,0)))*I67))</f>
        <v/>
      </c>
      <c r="L67" s="494" t="str">
        <f>IF(OR($E67="",$D67="",$I67="",$J67=""),"",INDEX('Emission factors'!$K$3:$V$201,MATCH('Buildings - Heat &amp; Fuels'!$E67,'Emission factors'!$J$3:$J$201,0),MATCH($L$6,'Emission factors'!$K$2:$V$2,0)))</f>
        <v/>
      </c>
      <c r="M67" s="495" t="str" cm="1">
        <f t="array" ref="M67">IF(OR(E67="",I67="",BuildingsHeatFuelsTable[[#This Row],[Units]]=""),"",INDEX('Emission factors'!$K$3:$V$201,MATCH('Buildings - Heat &amp; Fuels'!$E67&amp;F67,'Emission factors'!$J$3:$J$201&amp;'Emission factors'!$K$3:$K$201,0),MATCH('Buildings - Heat &amp; Fuels'!$M$6,'Emission factors'!$K$2:$V$2,0)))</f>
        <v/>
      </c>
      <c r="N67" s="496" t="str">
        <f>IF(OR(K67="",M67=""),"",SUM(BuildingsHeatFuelsTable[[#This Row],[Direct]:[Indirect WTT]]))</f>
        <v/>
      </c>
      <c r="O67" s="268"/>
      <c r="P67" s="497"/>
      <c r="Q67" s="157" t="str" cm="1">
        <f t="array" ref="Q67">IF(OR($E67="",$I67=""),"",(INDEX('Emission factors'!$K$3:$V$201,MATCH('Buildings - Heat &amp; Fuels'!$E67&amp;$F67,'Emission factors'!$J$3:$J$201&amp;'Emission factors'!$K$3:$K$201,0),MATCH('Buildings - Heat &amp; Fuels'!Q$6,'Emission factors'!$K$2:$V$2,0)))*$K67)</f>
        <v/>
      </c>
      <c r="R67" s="157" t="str" cm="1">
        <f t="array" ref="R67">IF(OR($E67="",$I67=""),"",(INDEX('Emission factors'!$K$3:$V$201,MATCH('Buildings - Heat &amp; Fuels'!$E67&amp;$F67,'Emission factors'!$J$3:$J$201&amp;'Emission factors'!$K$3:$K$201,0),MATCH('Buildings - Heat &amp; Fuels'!R$6,'Emission factors'!$K$2:$V$2,0)))*$K67)</f>
        <v/>
      </c>
      <c r="S67" s="157" t="str" cm="1">
        <f t="array" ref="S67">IF(OR($E67="",$I67=""),"",(INDEX('Emission factors'!$K$3:$V$201,MATCH('Buildings - Heat &amp; Fuels'!$E67&amp;$F67,'Emission factors'!$J$3:$J$201&amp;'Emission factors'!$K$3:$K$201,0),MATCH('Buildings - Heat &amp; Fuels'!S$6,'Emission factors'!$K$2:$V$2,0)))*$K67)</f>
        <v/>
      </c>
      <c r="T67" s="157" t="str" cm="1">
        <f t="array" ref="T67">IF(OR($E67="",$I67=""),"",(INDEX('Emission factors'!$K$3:$V$201,MATCH('Buildings - Heat &amp; Fuels'!$E67&amp;$F67,'Emission factors'!$J$3:$J$201&amp;'Emission factors'!$K$3:$K$201,0),MATCH('Buildings - Heat &amp; Fuels'!T$6,'Emission factors'!$K$2:$V$2,0)))*$K67)</f>
        <v/>
      </c>
      <c r="U67" s="157" t="str" cm="1">
        <f t="array" ref="U67">IF(OR($E67="",$I67=""),"",(INDEX('Emission factors'!$K$3:$V$201,MATCH('Buildings - Heat &amp; Fuels'!$E67&amp;$F67,'Emission factors'!$J$3:$J$201&amp;'Emission factors'!$K$3:$K$201,0),MATCH('Buildings - Heat &amp; Fuels'!U$6,'Emission factors'!$K$2:$V$2,0)))*$K67)</f>
        <v/>
      </c>
      <c r="V67" s="158" t="str">
        <f>IF(OR($N67="",BuildingsHeatFuelsTable[[#This Row],[RSD]]=""),"",BuildingsHeatFuelsTable[[#This Row],[Total emissions (kgCO2e)]]*(1+BuildingsHeatFuelsTable[[#This Row],[RSD]]))</f>
        <v/>
      </c>
      <c r="W67" s="159" t="str">
        <f>IF(OR($N67="",BuildingsHeatFuelsTable[[#This Row],[RSD]]=""),"",BuildingsHeatFuelsTable[[#This Row],[Total emissions (kgCO2e)]]*(1-BuildingsHeatFuelsTable[[#This Row],[RSD]]))</f>
        <v/>
      </c>
      <c r="X67" s="169" t="str" cm="1">
        <f t="array" ref="X67">IF(OR($E67="",$I67=""),"",(INDEX('Emission factors'!$K$3:$V$201,MATCH('Buildings - Heat &amp; Fuels'!$E67&amp;$F67,'Emission factors'!$J$3:$J$201&amp;'Emission factors'!$K$3:$K$201,0),MATCH('Buildings - Heat &amp; Fuels'!X$6,'Emission factors'!$K$2:$V$2,0)))*$K67)</f>
        <v/>
      </c>
      <c r="Y67" s="30"/>
      <c r="Z67" s="1" cm="1">
        <f t="array" ref="Z67">IF(OR(ISERROR(B67:X67)),1,0)</f>
        <v>0</v>
      </c>
      <c r="AA67" s="1">
        <f t="shared" si="0"/>
        <v>0</v>
      </c>
    </row>
    <row r="68" spans="1:27" ht="15" outlineLevel="1" thickBot="1" x14ac:dyDescent="0.4">
      <c r="A68" s="319"/>
      <c r="B68" s="216"/>
      <c r="C68" s="216"/>
      <c r="D68" s="489" t="str">
        <f>IFERROR(INDEX(BuildingInformationTable[Site type],MATCH(BuildingsHeatFuelsTable[[#This Row],[Site name]],BuildingInformationTable[Site name],0)),"")</f>
        <v/>
      </c>
      <c r="E68" s="491"/>
      <c r="F68" s="491"/>
      <c r="G68" s="491"/>
      <c r="H68" s="492" t="str">
        <f>IF(G68="","",INDEX(Lists!$BA$4:$BC$31,MATCH(E68,Lists!$AZ$4:$AZ$31,0),MATCH(G68,Lists!$BA$3:$BC$3,0)))</f>
        <v/>
      </c>
      <c r="I68" s="267"/>
      <c r="J68" s="491"/>
      <c r="K68" s="493" t="str" cm="1">
        <f t="array" ref="K68">IF(OR($E68="",$D68="",$I68="",$J68=""),"",IF(J68=L68,I68,(INDEX('Emission factors'!$K$3:$V$201,MATCH(E68&amp;F68,'Emission factors'!$J$3:$J$201&amp;'Emission factors'!$K$3:$K$201,0),MATCH(K$6,'Emission factors'!$K$2:$V$2,0)))*I68))</f>
        <v/>
      </c>
      <c r="L68" s="494" t="str">
        <f>IF(OR($E68="",$D68="",$I68="",$J68=""),"",INDEX('Emission factors'!$K$3:$V$201,MATCH('Buildings - Heat &amp; Fuels'!$E68,'Emission factors'!$J$3:$J$201,0),MATCH($L$6,'Emission factors'!$K$2:$V$2,0)))</f>
        <v/>
      </c>
      <c r="M68" s="495" t="str" cm="1">
        <f t="array" ref="M68">IF(OR(E68="",I68="",BuildingsHeatFuelsTable[[#This Row],[Units]]=""),"",INDEX('Emission factors'!$K$3:$V$201,MATCH('Buildings - Heat &amp; Fuels'!$E68&amp;F68,'Emission factors'!$J$3:$J$201&amp;'Emission factors'!$K$3:$K$201,0),MATCH('Buildings - Heat &amp; Fuels'!$M$6,'Emission factors'!$K$2:$V$2,0)))</f>
        <v/>
      </c>
      <c r="N68" s="496" t="str">
        <f>IF(OR(K68="",M68=""),"",SUM(BuildingsHeatFuelsTable[[#This Row],[Direct]:[Indirect WTT]]))</f>
        <v/>
      </c>
      <c r="O68" s="268"/>
      <c r="P68" s="497"/>
      <c r="Q68" s="157" t="str" cm="1">
        <f t="array" ref="Q68">IF(OR($E68="",$I68=""),"",(INDEX('Emission factors'!$K$3:$V$201,MATCH('Buildings - Heat &amp; Fuels'!$E68&amp;$F68,'Emission factors'!$J$3:$J$201&amp;'Emission factors'!$K$3:$K$201,0),MATCH('Buildings - Heat &amp; Fuels'!Q$6,'Emission factors'!$K$2:$V$2,0)))*$K68)</f>
        <v/>
      </c>
      <c r="R68" s="157" t="str" cm="1">
        <f t="array" ref="R68">IF(OR($E68="",$I68=""),"",(INDEX('Emission factors'!$K$3:$V$201,MATCH('Buildings - Heat &amp; Fuels'!$E68&amp;$F68,'Emission factors'!$J$3:$J$201&amp;'Emission factors'!$K$3:$K$201,0),MATCH('Buildings - Heat &amp; Fuels'!R$6,'Emission factors'!$K$2:$V$2,0)))*$K68)</f>
        <v/>
      </c>
      <c r="S68" s="157" t="str" cm="1">
        <f t="array" ref="S68">IF(OR($E68="",$I68=""),"",(INDEX('Emission factors'!$K$3:$V$201,MATCH('Buildings - Heat &amp; Fuels'!$E68&amp;$F68,'Emission factors'!$J$3:$J$201&amp;'Emission factors'!$K$3:$K$201,0),MATCH('Buildings - Heat &amp; Fuels'!S$6,'Emission factors'!$K$2:$V$2,0)))*$K68)</f>
        <v/>
      </c>
      <c r="T68" s="157" t="str" cm="1">
        <f t="array" ref="T68">IF(OR($E68="",$I68=""),"",(INDEX('Emission factors'!$K$3:$V$201,MATCH('Buildings - Heat &amp; Fuels'!$E68&amp;$F68,'Emission factors'!$J$3:$J$201&amp;'Emission factors'!$K$3:$K$201,0),MATCH('Buildings - Heat &amp; Fuels'!T$6,'Emission factors'!$K$2:$V$2,0)))*$K68)</f>
        <v/>
      </c>
      <c r="U68" s="157" t="str" cm="1">
        <f t="array" ref="U68">IF(OR($E68="",$I68=""),"",(INDEX('Emission factors'!$K$3:$V$201,MATCH('Buildings - Heat &amp; Fuels'!$E68&amp;$F68,'Emission factors'!$J$3:$J$201&amp;'Emission factors'!$K$3:$K$201,0),MATCH('Buildings - Heat &amp; Fuels'!U$6,'Emission factors'!$K$2:$V$2,0)))*$K68)</f>
        <v/>
      </c>
      <c r="V68" s="158" t="str">
        <f>IF(OR($N68="",BuildingsHeatFuelsTable[[#This Row],[RSD]]=""),"",BuildingsHeatFuelsTable[[#This Row],[Total emissions (kgCO2e)]]*(1+BuildingsHeatFuelsTable[[#This Row],[RSD]]))</f>
        <v/>
      </c>
      <c r="W68" s="159" t="str">
        <f>IF(OR($N68="",BuildingsHeatFuelsTable[[#This Row],[RSD]]=""),"",BuildingsHeatFuelsTable[[#This Row],[Total emissions (kgCO2e)]]*(1-BuildingsHeatFuelsTable[[#This Row],[RSD]]))</f>
        <v/>
      </c>
      <c r="X68" s="169" t="str" cm="1">
        <f t="array" ref="X68">IF(OR($E68="",$I68=""),"",(INDEX('Emission factors'!$K$3:$V$201,MATCH('Buildings - Heat &amp; Fuels'!$E68&amp;$F68,'Emission factors'!$J$3:$J$201&amp;'Emission factors'!$K$3:$K$201,0),MATCH('Buildings - Heat &amp; Fuels'!X$6,'Emission factors'!$K$2:$V$2,0)))*$K68)</f>
        <v/>
      </c>
      <c r="Y68" s="30"/>
      <c r="Z68" s="1" cm="1">
        <f t="array" ref="Z68">IF(OR(ISERROR(B68:X68)),1,0)</f>
        <v>0</v>
      </c>
      <c r="AA68" s="1">
        <f t="shared" si="0"/>
        <v>0</v>
      </c>
    </row>
    <row r="69" spans="1:27" ht="15" outlineLevel="1" thickBot="1" x14ac:dyDescent="0.4">
      <c r="A69" s="319"/>
      <c r="B69" s="216"/>
      <c r="C69" s="216"/>
      <c r="D69" s="489" t="str">
        <f>IFERROR(INDEX(BuildingInformationTable[Site type],MATCH(BuildingsHeatFuelsTable[[#This Row],[Site name]],BuildingInformationTable[Site name],0)),"")</f>
        <v/>
      </c>
      <c r="E69" s="491"/>
      <c r="F69" s="491"/>
      <c r="G69" s="491"/>
      <c r="H69" s="492" t="str">
        <f>IF(G69="","",INDEX(Lists!$BA$4:$BC$31,MATCH(E69,Lists!$AZ$4:$AZ$31,0),MATCH(G69,Lists!$BA$3:$BC$3,0)))</f>
        <v/>
      </c>
      <c r="I69" s="267"/>
      <c r="J69" s="491"/>
      <c r="K69" s="493" t="str" cm="1">
        <f t="array" ref="K69">IF(OR($E69="",$D69="",$I69="",$J69=""),"",IF(J69=L69,I69,(INDEX('Emission factors'!$K$3:$V$201,MATCH(E69&amp;F69,'Emission factors'!$J$3:$J$201&amp;'Emission factors'!$K$3:$K$201,0),MATCH(K$6,'Emission factors'!$K$2:$V$2,0)))*I69))</f>
        <v/>
      </c>
      <c r="L69" s="494" t="str">
        <f>IF(OR($E69="",$D69="",$I69="",$J69=""),"",INDEX('Emission factors'!$K$3:$V$201,MATCH('Buildings - Heat &amp; Fuels'!$E69,'Emission factors'!$J$3:$J$201,0),MATCH($L$6,'Emission factors'!$K$2:$V$2,0)))</f>
        <v/>
      </c>
      <c r="M69" s="495" t="str" cm="1">
        <f t="array" ref="M69">IF(OR(E69="",I69="",BuildingsHeatFuelsTable[[#This Row],[Units]]=""),"",INDEX('Emission factors'!$K$3:$V$201,MATCH('Buildings - Heat &amp; Fuels'!$E69&amp;F69,'Emission factors'!$J$3:$J$201&amp;'Emission factors'!$K$3:$K$201,0),MATCH('Buildings - Heat &amp; Fuels'!$M$6,'Emission factors'!$K$2:$V$2,0)))</f>
        <v/>
      </c>
      <c r="N69" s="496" t="str">
        <f>IF(OR(K69="",M69=""),"",SUM(BuildingsHeatFuelsTable[[#This Row],[Direct]:[Indirect WTT]]))</f>
        <v/>
      </c>
      <c r="O69" s="268"/>
      <c r="P69" s="497"/>
      <c r="Q69" s="157" t="str" cm="1">
        <f t="array" ref="Q69">IF(OR($E69="",$I69=""),"",(INDEX('Emission factors'!$K$3:$V$201,MATCH('Buildings - Heat &amp; Fuels'!$E69&amp;$F69,'Emission factors'!$J$3:$J$201&amp;'Emission factors'!$K$3:$K$201,0),MATCH('Buildings - Heat &amp; Fuels'!Q$6,'Emission factors'!$K$2:$V$2,0)))*$K69)</f>
        <v/>
      </c>
      <c r="R69" s="157" t="str" cm="1">
        <f t="array" ref="R69">IF(OR($E69="",$I69=""),"",(INDEX('Emission factors'!$K$3:$V$201,MATCH('Buildings - Heat &amp; Fuels'!$E69&amp;$F69,'Emission factors'!$J$3:$J$201&amp;'Emission factors'!$K$3:$K$201,0),MATCH('Buildings - Heat &amp; Fuels'!R$6,'Emission factors'!$K$2:$V$2,0)))*$K69)</f>
        <v/>
      </c>
      <c r="S69" s="157" t="str" cm="1">
        <f t="array" ref="S69">IF(OR($E69="",$I69=""),"",(INDEX('Emission factors'!$K$3:$V$201,MATCH('Buildings - Heat &amp; Fuels'!$E69&amp;$F69,'Emission factors'!$J$3:$J$201&amp;'Emission factors'!$K$3:$K$201,0),MATCH('Buildings - Heat &amp; Fuels'!S$6,'Emission factors'!$K$2:$V$2,0)))*$K69)</f>
        <v/>
      </c>
      <c r="T69" s="157" t="str" cm="1">
        <f t="array" ref="T69">IF(OR($E69="",$I69=""),"",(INDEX('Emission factors'!$K$3:$V$201,MATCH('Buildings - Heat &amp; Fuels'!$E69&amp;$F69,'Emission factors'!$J$3:$J$201&amp;'Emission factors'!$K$3:$K$201,0),MATCH('Buildings - Heat &amp; Fuels'!T$6,'Emission factors'!$K$2:$V$2,0)))*$K69)</f>
        <v/>
      </c>
      <c r="U69" s="157" t="str" cm="1">
        <f t="array" ref="U69">IF(OR($E69="",$I69=""),"",(INDEX('Emission factors'!$K$3:$V$201,MATCH('Buildings - Heat &amp; Fuels'!$E69&amp;$F69,'Emission factors'!$J$3:$J$201&amp;'Emission factors'!$K$3:$K$201,0),MATCH('Buildings - Heat &amp; Fuels'!U$6,'Emission factors'!$K$2:$V$2,0)))*$K69)</f>
        <v/>
      </c>
      <c r="V69" s="158" t="str">
        <f>IF(OR($N69="",BuildingsHeatFuelsTable[[#This Row],[RSD]]=""),"",BuildingsHeatFuelsTable[[#This Row],[Total emissions (kgCO2e)]]*(1+BuildingsHeatFuelsTable[[#This Row],[RSD]]))</f>
        <v/>
      </c>
      <c r="W69" s="159" t="str">
        <f>IF(OR($N69="",BuildingsHeatFuelsTable[[#This Row],[RSD]]=""),"",BuildingsHeatFuelsTable[[#This Row],[Total emissions (kgCO2e)]]*(1-BuildingsHeatFuelsTable[[#This Row],[RSD]]))</f>
        <v/>
      </c>
      <c r="X69" s="169" t="str" cm="1">
        <f t="array" ref="X69">IF(OR($E69="",$I69=""),"",(INDEX('Emission factors'!$K$3:$V$201,MATCH('Buildings - Heat &amp; Fuels'!$E69&amp;$F69,'Emission factors'!$J$3:$J$201&amp;'Emission factors'!$K$3:$K$201,0),MATCH('Buildings - Heat &amp; Fuels'!X$6,'Emission factors'!$K$2:$V$2,0)))*$K69)</f>
        <v/>
      </c>
      <c r="Y69" s="30"/>
      <c r="Z69" s="1" cm="1">
        <f t="array" ref="Z69">IF(OR(ISERROR(B69:X69)),1,0)</f>
        <v>0</v>
      </c>
      <c r="AA69" s="1">
        <f t="shared" si="0"/>
        <v>0</v>
      </c>
    </row>
    <row r="70" spans="1:27" ht="15" outlineLevel="1" thickBot="1" x14ac:dyDescent="0.4">
      <c r="A70" s="319"/>
      <c r="B70" s="216"/>
      <c r="C70" s="216"/>
      <c r="D70" s="489" t="str">
        <f>IFERROR(INDEX(BuildingInformationTable[Site type],MATCH(BuildingsHeatFuelsTable[[#This Row],[Site name]],BuildingInformationTable[Site name],0)),"")</f>
        <v/>
      </c>
      <c r="E70" s="491"/>
      <c r="F70" s="491"/>
      <c r="G70" s="491"/>
      <c r="H70" s="492" t="str">
        <f>IF(G70="","",INDEX(Lists!$BA$4:$BC$31,MATCH(E70,Lists!$AZ$4:$AZ$31,0),MATCH(G70,Lists!$BA$3:$BC$3,0)))</f>
        <v/>
      </c>
      <c r="I70" s="267"/>
      <c r="J70" s="491"/>
      <c r="K70" s="493" t="str" cm="1">
        <f t="array" ref="K70">IF(OR($E70="",$D70="",$I70="",$J70=""),"",IF(J70=L70,I70,(INDEX('Emission factors'!$K$3:$V$201,MATCH(E70&amp;F70,'Emission factors'!$J$3:$J$201&amp;'Emission factors'!$K$3:$K$201,0),MATCH(K$6,'Emission factors'!$K$2:$V$2,0)))*I70))</f>
        <v/>
      </c>
      <c r="L70" s="494" t="str">
        <f>IF(OR($E70="",$D70="",$I70="",$J70=""),"",INDEX('Emission factors'!$K$3:$V$201,MATCH('Buildings - Heat &amp; Fuels'!$E70,'Emission factors'!$J$3:$J$201,0),MATCH($L$6,'Emission factors'!$K$2:$V$2,0)))</f>
        <v/>
      </c>
      <c r="M70" s="495" t="str" cm="1">
        <f t="array" ref="M70">IF(OR(E70="",I70="",BuildingsHeatFuelsTable[[#This Row],[Units]]=""),"",INDEX('Emission factors'!$K$3:$V$201,MATCH('Buildings - Heat &amp; Fuels'!$E70&amp;F70,'Emission factors'!$J$3:$J$201&amp;'Emission factors'!$K$3:$K$201,0),MATCH('Buildings - Heat &amp; Fuels'!$M$6,'Emission factors'!$K$2:$V$2,0)))</f>
        <v/>
      </c>
      <c r="N70" s="496" t="str">
        <f>IF(OR(K70="",M70=""),"",SUM(BuildingsHeatFuelsTable[[#This Row],[Direct]:[Indirect WTT]]))</f>
        <v/>
      </c>
      <c r="O70" s="268"/>
      <c r="P70" s="497"/>
      <c r="Q70" s="157" t="str" cm="1">
        <f t="array" ref="Q70">IF(OR($E70="",$I70=""),"",(INDEX('Emission factors'!$K$3:$V$201,MATCH('Buildings - Heat &amp; Fuels'!$E70&amp;$F70,'Emission factors'!$J$3:$J$201&amp;'Emission factors'!$K$3:$K$201,0),MATCH('Buildings - Heat &amp; Fuels'!Q$6,'Emission factors'!$K$2:$V$2,0)))*$K70)</f>
        <v/>
      </c>
      <c r="R70" s="157" t="str" cm="1">
        <f t="array" ref="R70">IF(OR($E70="",$I70=""),"",(INDEX('Emission factors'!$K$3:$V$201,MATCH('Buildings - Heat &amp; Fuels'!$E70&amp;$F70,'Emission factors'!$J$3:$J$201&amp;'Emission factors'!$K$3:$K$201,0),MATCH('Buildings - Heat &amp; Fuels'!R$6,'Emission factors'!$K$2:$V$2,0)))*$K70)</f>
        <v/>
      </c>
      <c r="S70" s="157" t="str" cm="1">
        <f t="array" ref="S70">IF(OR($E70="",$I70=""),"",(INDEX('Emission factors'!$K$3:$V$201,MATCH('Buildings - Heat &amp; Fuels'!$E70&amp;$F70,'Emission factors'!$J$3:$J$201&amp;'Emission factors'!$K$3:$K$201,0),MATCH('Buildings - Heat &amp; Fuels'!S$6,'Emission factors'!$K$2:$V$2,0)))*$K70)</f>
        <v/>
      </c>
      <c r="T70" s="157" t="str" cm="1">
        <f t="array" ref="T70">IF(OR($E70="",$I70=""),"",(INDEX('Emission factors'!$K$3:$V$201,MATCH('Buildings - Heat &amp; Fuels'!$E70&amp;$F70,'Emission factors'!$J$3:$J$201&amp;'Emission factors'!$K$3:$K$201,0),MATCH('Buildings - Heat &amp; Fuels'!T$6,'Emission factors'!$K$2:$V$2,0)))*$K70)</f>
        <v/>
      </c>
      <c r="U70" s="157" t="str" cm="1">
        <f t="array" ref="U70">IF(OR($E70="",$I70=""),"",(INDEX('Emission factors'!$K$3:$V$201,MATCH('Buildings - Heat &amp; Fuels'!$E70&amp;$F70,'Emission factors'!$J$3:$J$201&amp;'Emission factors'!$K$3:$K$201,0),MATCH('Buildings - Heat &amp; Fuels'!U$6,'Emission factors'!$K$2:$V$2,0)))*$K70)</f>
        <v/>
      </c>
      <c r="V70" s="158" t="str">
        <f>IF(OR($N70="",BuildingsHeatFuelsTable[[#This Row],[RSD]]=""),"",BuildingsHeatFuelsTable[[#This Row],[Total emissions (kgCO2e)]]*(1+BuildingsHeatFuelsTable[[#This Row],[RSD]]))</f>
        <v/>
      </c>
      <c r="W70" s="159" t="str">
        <f>IF(OR($N70="",BuildingsHeatFuelsTable[[#This Row],[RSD]]=""),"",BuildingsHeatFuelsTable[[#This Row],[Total emissions (kgCO2e)]]*(1-BuildingsHeatFuelsTable[[#This Row],[RSD]]))</f>
        <v/>
      </c>
      <c r="X70" s="169" t="str" cm="1">
        <f t="array" ref="X70">IF(OR($E70="",$I70=""),"",(INDEX('Emission factors'!$K$3:$V$201,MATCH('Buildings - Heat &amp; Fuels'!$E70&amp;$F70,'Emission factors'!$J$3:$J$201&amp;'Emission factors'!$K$3:$K$201,0),MATCH('Buildings - Heat &amp; Fuels'!X$6,'Emission factors'!$K$2:$V$2,0)))*$K70)</f>
        <v/>
      </c>
      <c r="Y70" s="30"/>
      <c r="Z70" s="1" cm="1">
        <f t="array" ref="Z70">IF(OR(ISERROR(B70:X70)),1,0)</f>
        <v>0</v>
      </c>
      <c r="AA70" s="1">
        <f t="shared" si="0"/>
        <v>0</v>
      </c>
    </row>
    <row r="71" spans="1:27" ht="15" outlineLevel="1" thickBot="1" x14ac:dyDescent="0.4">
      <c r="A71" s="319"/>
      <c r="B71" s="216"/>
      <c r="C71" s="216"/>
      <c r="D71" s="489" t="str">
        <f>IFERROR(INDEX(BuildingInformationTable[Site type],MATCH(BuildingsHeatFuelsTable[[#This Row],[Site name]],BuildingInformationTable[Site name],0)),"")</f>
        <v/>
      </c>
      <c r="E71" s="491"/>
      <c r="F71" s="491"/>
      <c r="G71" s="491"/>
      <c r="H71" s="492" t="str">
        <f>IF(G71="","",INDEX(Lists!$BA$4:$BC$31,MATCH(E71,Lists!$AZ$4:$AZ$31,0),MATCH(G71,Lists!$BA$3:$BC$3,0)))</f>
        <v/>
      </c>
      <c r="I71" s="267"/>
      <c r="J71" s="491"/>
      <c r="K71" s="493" t="str" cm="1">
        <f t="array" ref="K71">IF(OR($E71="",$D71="",$I71="",$J71=""),"",IF(J71=L71,I71,(INDEX('Emission factors'!$K$3:$V$201,MATCH(E71&amp;F71,'Emission factors'!$J$3:$J$201&amp;'Emission factors'!$K$3:$K$201,0),MATCH(K$6,'Emission factors'!$K$2:$V$2,0)))*I71))</f>
        <v/>
      </c>
      <c r="L71" s="494" t="str">
        <f>IF(OR($E71="",$D71="",$I71="",$J71=""),"",INDEX('Emission factors'!$K$3:$V$201,MATCH('Buildings - Heat &amp; Fuels'!$E71,'Emission factors'!$J$3:$J$201,0),MATCH($L$6,'Emission factors'!$K$2:$V$2,0)))</f>
        <v/>
      </c>
      <c r="M71" s="495" t="str" cm="1">
        <f t="array" ref="M71">IF(OR(E71="",I71="",BuildingsHeatFuelsTable[[#This Row],[Units]]=""),"",INDEX('Emission factors'!$K$3:$V$201,MATCH('Buildings - Heat &amp; Fuels'!$E71&amp;F71,'Emission factors'!$J$3:$J$201&amp;'Emission factors'!$K$3:$K$201,0),MATCH('Buildings - Heat &amp; Fuels'!$M$6,'Emission factors'!$K$2:$V$2,0)))</f>
        <v/>
      </c>
      <c r="N71" s="496" t="str">
        <f>IF(OR(K71="",M71=""),"",SUM(BuildingsHeatFuelsTable[[#This Row],[Direct]:[Indirect WTT]]))</f>
        <v/>
      </c>
      <c r="O71" s="268"/>
      <c r="P71" s="497"/>
      <c r="Q71" s="157" t="str" cm="1">
        <f t="array" ref="Q71">IF(OR($E71="",$I71=""),"",(INDEX('Emission factors'!$K$3:$V$201,MATCH('Buildings - Heat &amp; Fuels'!$E71&amp;$F71,'Emission factors'!$J$3:$J$201&amp;'Emission factors'!$K$3:$K$201,0),MATCH('Buildings - Heat &amp; Fuels'!Q$6,'Emission factors'!$K$2:$V$2,0)))*$K71)</f>
        <v/>
      </c>
      <c r="R71" s="157" t="str" cm="1">
        <f t="array" ref="R71">IF(OR($E71="",$I71=""),"",(INDEX('Emission factors'!$K$3:$V$201,MATCH('Buildings - Heat &amp; Fuels'!$E71&amp;$F71,'Emission factors'!$J$3:$J$201&amp;'Emission factors'!$K$3:$K$201,0),MATCH('Buildings - Heat &amp; Fuels'!R$6,'Emission factors'!$K$2:$V$2,0)))*$K71)</f>
        <v/>
      </c>
      <c r="S71" s="157" t="str" cm="1">
        <f t="array" ref="S71">IF(OR($E71="",$I71=""),"",(INDEX('Emission factors'!$K$3:$V$201,MATCH('Buildings - Heat &amp; Fuels'!$E71&amp;$F71,'Emission factors'!$J$3:$J$201&amp;'Emission factors'!$K$3:$K$201,0),MATCH('Buildings - Heat &amp; Fuels'!S$6,'Emission factors'!$K$2:$V$2,0)))*$K71)</f>
        <v/>
      </c>
      <c r="T71" s="157" t="str" cm="1">
        <f t="array" ref="T71">IF(OR($E71="",$I71=""),"",(INDEX('Emission factors'!$K$3:$V$201,MATCH('Buildings - Heat &amp; Fuels'!$E71&amp;$F71,'Emission factors'!$J$3:$J$201&amp;'Emission factors'!$K$3:$K$201,0),MATCH('Buildings - Heat &amp; Fuels'!T$6,'Emission factors'!$K$2:$V$2,0)))*$K71)</f>
        <v/>
      </c>
      <c r="U71" s="157" t="str" cm="1">
        <f t="array" ref="U71">IF(OR($E71="",$I71=""),"",(INDEX('Emission factors'!$K$3:$V$201,MATCH('Buildings - Heat &amp; Fuels'!$E71&amp;$F71,'Emission factors'!$J$3:$J$201&amp;'Emission factors'!$K$3:$K$201,0),MATCH('Buildings - Heat &amp; Fuels'!U$6,'Emission factors'!$K$2:$V$2,0)))*$K71)</f>
        <v/>
      </c>
      <c r="V71" s="158" t="str">
        <f>IF(OR($N71="",BuildingsHeatFuelsTable[[#This Row],[RSD]]=""),"",BuildingsHeatFuelsTable[[#This Row],[Total emissions (kgCO2e)]]*(1+BuildingsHeatFuelsTable[[#This Row],[RSD]]))</f>
        <v/>
      </c>
      <c r="W71" s="159" t="str">
        <f>IF(OR($N71="",BuildingsHeatFuelsTable[[#This Row],[RSD]]=""),"",BuildingsHeatFuelsTable[[#This Row],[Total emissions (kgCO2e)]]*(1-BuildingsHeatFuelsTable[[#This Row],[RSD]]))</f>
        <v/>
      </c>
      <c r="X71" s="169" t="str" cm="1">
        <f t="array" ref="X71">IF(OR($E71="",$I71=""),"",(INDEX('Emission factors'!$K$3:$V$201,MATCH('Buildings - Heat &amp; Fuels'!$E71&amp;$F71,'Emission factors'!$J$3:$J$201&amp;'Emission factors'!$K$3:$K$201,0),MATCH('Buildings - Heat &amp; Fuels'!X$6,'Emission factors'!$K$2:$V$2,0)))*$K71)</f>
        <v/>
      </c>
      <c r="Y71" s="30"/>
      <c r="Z71" s="1" cm="1">
        <f t="array" ref="Z71">IF(OR(ISERROR(B71:X71)),1,0)</f>
        <v>0</v>
      </c>
      <c r="AA71" s="1">
        <f t="shared" si="0"/>
        <v>0</v>
      </c>
    </row>
    <row r="72" spans="1:27" ht="15" outlineLevel="1" thickBot="1" x14ac:dyDescent="0.4">
      <c r="A72" s="319"/>
      <c r="B72" s="216"/>
      <c r="C72" s="216"/>
      <c r="D72" s="489" t="str">
        <f>IFERROR(INDEX(BuildingInformationTable[Site type],MATCH(BuildingsHeatFuelsTable[[#This Row],[Site name]],BuildingInformationTable[Site name],0)),"")</f>
        <v/>
      </c>
      <c r="E72" s="491"/>
      <c r="F72" s="491"/>
      <c r="G72" s="491"/>
      <c r="H72" s="492" t="str">
        <f>IF(G72="","",INDEX(Lists!$BA$4:$BC$31,MATCH(E72,Lists!$AZ$4:$AZ$31,0),MATCH(G72,Lists!$BA$3:$BC$3,0)))</f>
        <v/>
      </c>
      <c r="I72" s="267"/>
      <c r="J72" s="491"/>
      <c r="K72" s="493" t="str" cm="1">
        <f t="array" ref="K72">IF(OR($E72="",$D72="",$I72="",$J72=""),"",IF(J72=L72,I72,(INDEX('Emission factors'!$K$3:$V$201,MATCH(E72&amp;F72,'Emission factors'!$J$3:$J$201&amp;'Emission factors'!$K$3:$K$201,0),MATCH(K$6,'Emission factors'!$K$2:$V$2,0)))*I72))</f>
        <v/>
      </c>
      <c r="L72" s="494" t="str">
        <f>IF(OR($E72="",$D72="",$I72="",$J72=""),"",INDEX('Emission factors'!$K$3:$V$201,MATCH('Buildings - Heat &amp; Fuels'!$E72,'Emission factors'!$J$3:$J$201,0),MATCH($L$6,'Emission factors'!$K$2:$V$2,0)))</f>
        <v/>
      </c>
      <c r="M72" s="495" t="str" cm="1">
        <f t="array" ref="M72">IF(OR(E72="",I72="",BuildingsHeatFuelsTable[[#This Row],[Units]]=""),"",INDEX('Emission factors'!$K$3:$V$201,MATCH('Buildings - Heat &amp; Fuels'!$E72&amp;F72,'Emission factors'!$J$3:$J$201&amp;'Emission factors'!$K$3:$K$201,0),MATCH('Buildings - Heat &amp; Fuels'!$M$6,'Emission factors'!$K$2:$V$2,0)))</f>
        <v/>
      </c>
      <c r="N72" s="496" t="str">
        <f>IF(OR(K72="",M72=""),"",SUM(BuildingsHeatFuelsTable[[#This Row],[Direct]:[Indirect WTT]]))</f>
        <v/>
      </c>
      <c r="O72" s="268"/>
      <c r="P72" s="497"/>
      <c r="Q72" s="157" t="str" cm="1">
        <f t="array" ref="Q72">IF(OR($E72="",$I72=""),"",(INDEX('Emission factors'!$K$3:$V$201,MATCH('Buildings - Heat &amp; Fuels'!$E72&amp;$F72,'Emission factors'!$J$3:$J$201&amp;'Emission factors'!$K$3:$K$201,0),MATCH('Buildings - Heat &amp; Fuels'!Q$6,'Emission factors'!$K$2:$V$2,0)))*$K72)</f>
        <v/>
      </c>
      <c r="R72" s="157" t="str" cm="1">
        <f t="array" ref="R72">IF(OR($E72="",$I72=""),"",(INDEX('Emission factors'!$K$3:$V$201,MATCH('Buildings - Heat &amp; Fuels'!$E72&amp;$F72,'Emission factors'!$J$3:$J$201&amp;'Emission factors'!$K$3:$K$201,0),MATCH('Buildings - Heat &amp; Fuels'!R$6,'Emission factors'!$K$2:$V$2,0)))*$K72)</f>
        <v/>
      </c>
      <c r="S72" s="157" t="str" cm="1">
        <f t="array" ref="S72">IF(OR($E72="",$I72=""),"",(INDEX('Emission factors'!$K$3:$V$201,MATCH('Buildings - Heat &amp; Fuels'!$E72&amp;$F72,'Emission factors'!$J$3:$J$201&amp;'Emission factors'!$K$3:$K$201,0),MATCH('Buildings - Heat &amp; Fuels'!S$6,'Emission factors'!$K$2:$V$2,0)))*$K72)</f>
        <v/>
      </c>
      <c r="T72" s="157" t="str" cm="1">
        <f t="array" ref="T72">IF(OR($E72="",$I72=""),"",(INDEX('Emission factors'!$K$3:$V$201,MATCH('Buildings - Heat &amp; Fuels'!$E72&amp;$F72,'Emission factors'!$J$3:$J$201&amp;'Emission factors'!$K$3:$K$201,0),MATCH('Buildings - Heat &amp; Fuels'!T$6,'Emission factors'!$K$2:$V$2,0)))*$K72)</f>
        <v/>
      </c>
      <c r="U72" s="157" t="str" cm="1">
        <f t="array" ref="U72">IF(OR($E72="",$I72=""),"",(INDEX('Emission factors'!$K$3:$V$201,MATCH('Buildings - Heat &amp; Fuels'!$E72&amp;$F72,'Emission factors'!$J$3:$J$201&amp;'Emission factors'!$K$3:$K$201,0),MATCH('Buildings - Heat &amp; Fuels'!U$6,'Emission factors'!$K$2:$V$2,0)))*$K72)</f>
        <v/>
      </c>
      <c r="V72" s="158" t="str">
        <f>IF(OR($N72="",BuildingsHeatFuelsTable[[#This Row],[RSD]]=""),"",BuildingsHeatFuelsTable[[#This Row],[Total emissions (kgCO2e)]]*(1+BuildingsHeatFuelsTable[[#This Row],[RSD]]))</f>
        <v/>
      </c>
      <c r="W72" s="159" t="str">
        <f>IF(OR($N72="",BuildingsHeatFuelsTable[[#This Row],[RSD]]=""),"",BuildingsHeatFuelsTable[[#This Row],[Total emissions (kgCO2e)]]*(1-BuildingsHeatFuelsTable[[#This Row],[RSD]]))</f>
        <v/>
      </c>
      <c r="X72" s="169" t="str" cm="1">
        <f t="array" ref="X72">IF(OR($E72="",$I72=""),"",(INDEX('Emission factors'!$K$3:$V$201,MATCH('Buildings - Heat &amp; Fuels'!$E72&amp;$F72,'Emission factors'!$J$3:$J$201&amp;'Emission factors'!$K$3:$K$201,0),MATCH('Buildings - Heat &amp; Fuels'!X$6,'Emission factors'!$K$2:$V$2,0)))*$K72)</f>
        <v/>
      </c>
      <c r="Y72" s="30"/>
      <c r="Z72" s="1" cm="1">
        <f t="array" ref="Z72">IF(OR(ISERROR(B72:X72)),1,0)</f>
        <v>0</v>
      </c>
      <c r="AA72" s="1">
        <f t="shared" si="0"/>
        <v>0</v>
      </c>
    </row>
    <row r="73" spans="1:27" ht="15" outlineLevel="1" thickBot="1" x14ac:dyDescent="0.4">
      <c r="A73" s="319"/>
      <c r="B73" s="216"/>
      <c r="C73" s="216"/>
      <c r="D73" s="489" t="str">
        <f>IFERROR(INDEX(BuildingInformationTable[Site type],MATCH(BuildingsHeatFuelsTable[[#This Row],[Site name]],BuildingInformationTable[Site name],0)),"")</f>
        <v/>
      </c>
      <c r="E73" s="491"/>
      <c r="F73" s="491"/>
      <c r="G73" s="491"/>
      <c r="H73" s="492" t="str">
        <f>IF(G73="","",INDEX(Lists!$BA$4:$BC$31,MATCH(E73,Lists!$AZ$4:$AZ$31,0),MATCH(G73,Lists!$BA$3:$BC$3,0)))</f>
        <v/>
      </c>
      <c r="I73" s="267"/>
      <c r="J73" s="491"/>
      <c r="K73" s="493" t="str" cm="1">
        <f t="array" ref="K73">IF(OR($E73="",$D73="",$I73="",$J73=""),"",IF(J73=L73,I73,(INDEX('Emission factors'!$K$3:$V$201,MATCH(E73&amp;F73,'Emission factors'!$J$3:$J$201&amp;'Emission factors'!$K$3:$K$201,0),MATCH(K$6,'Emission factors'!$K$2:$V$2,0)))*I73))</f>
        <v/>
      </c>
      <c r="L73" s="494" t="str">
        <f>IF(OR($E73="",$D73="",$I73="",$J73=""),"",INDEX('Emission factors'!$K$3:$V$201,MATCH('Buildings - Heat &amp; Fuels'!$E73,'Emission factors'!$J$3:$J$201,0),MATCH($L$6,'Emission factors'!$K$2:$V$2,0)))</f>
        <v/>
      </c>
      <c r="M73" s="495" t="str" cm="1">
        <f t="array" ref="M73">IF(OR(E73="",I73="",BuildingsHeatFuelsTable[[#This Row],[Units]]=""),"",INDEX('Emission factors'!$K$3:$V$201,MATCH('Buildings - Heat &amp; Fuels'!$E73&amp;F73,'Emission factors'!$J$3:$J$201&amp;'Emission factors'!$K$3:$K$201,0),MATCH('Buildings - Heat &amp; Fuels'!$M$6,'Emission factors'!$K$2:$V$2,0)))</f>
        <v/>
      </c>
      <c r="N73" s="496" t="str">
        <f>IF(OR(K73="",M73=""),"",SUM(BuildingsHeatFuelsTable[[#This Row],[Direct]:[Indirect WTT]]))</f>
        <v/>
      </c>
      <c r="O73" s="268"/>
      <c r="P73" s="497"/>
      <c r="Q73" s="157" t="str" cm="1">
        <f t="array" ref="Q73">IF(OR($E73="",$I73=""),"",(INDEX('Emission factors'!$K$3:$V$201,MATCH('Buildings - Heat &amp; Fuels'!$E73&amp;$F73,'Emission factors'!$J$3:$J$201&amp;'Emission factors'!$K$3:$K$201,0),MATCH('Buildings - Heat &amp; Fuels'!Q$6,'Emission factors'!$K$2:$V$2,0)))*$K73)</f>
        <v/>
      </c>
      <c r="R73" s="157" t="str" cm="1">
        <f t="array" ref="R73">IF(OR($E73="",$I73=""),"",(INDEX('Emission factors'!$K$3:$V$201,MATCH('Buildings - Heat &amp; Fuels'!$E73&amp;$F73,'Emission factors'!$J$3:$J$201&amp;'Emission factors'!$K$3:$K$201,0),MATCH('Buildings - Heat &amp; Fuels'!R$6,'Emission factors'!$K$2:$V$2,0)))*$K73)</f>
        <v/>
      </c>
      <c r="S73" s="157" t="str" cm="1">
        <f t="array" ref="S73">IF(OR($E73="",$I73=""),"",(INDEX('Emission factors'!$K$3:$V$201,MATCH('Buildings - Heat &amp; Fuels'!$E73&amp;$F73,'Emission factors'!$J$3:$J$201&amp;'Emission factors'!$K$3:$K$201,0),MATCH('Buildings - Heat &amp; Fuels'!S$6,'Emission factors'!$K$2:$V$2,0)))*$K73)</f>
        <v/>
      </c>
      <c r="T73" s="157" t="str" cm="1">
        <f t="array" ref="T73">IF(OR($E73="",$I73=""),"",(INDEX('Emission factors'!$K$3:$V$201,MATCH('Buildings - Heat &amp; Fuels'!$E73&amp;$F73,'Emission factors'!$J$3:$J$201&amp;'Emission factors'!$K$3:$K$201,0),MATCH('Buildings - Heat &amp; Fuels'!T$6,'Emission factors'!$K$2:$V$2,0)))*$K73)</f>
        <v/>
      </c>
      <c r="U73" s="157" t="str" cm="1">
        <f t="array" ref="U73">IF(OR($E73="",$I73=""),"",(INDEX('Emission factors'!$K$3:$V$201,MATCH('Buildings - Heat &amp; Fuels'!$E73&amp;$F73,'Emission factors'!$J$3:$J$201&amp;'Emission factors'!$K$3:$K$201,0),MATCH('Buildings - Heat &amp; Fuels'!U$6,'Emission factors'!$K$2:$V$2,0)))*$K73)</f>
        <v/>
      </c>
      <c r="V73" s="158" t="str">
        <f>IF(OR($N73="",BuildingsHeatFuelsTable[[#This Row],[RSD]]=""),"",BuildingsHeatFuelsTable[[#This Row],[Total emissions (kgCO2e)]]*(1+BuildingsHeatFuelsTable[[#This Row],[RSD]]))</f>
        <v/>
      </c>
      <c r="W73" s="159" t="str">
        <f>IF(OR($N73="",BuildingsHeatFuelsTable[[#This Row],[RSD]]=""),"",BuildingsHeatFuelsTable[[#This Row],[Total emissions (kgCO2e)]]*(1-BuildingsHeatFuelsTable[[#This Row],[RSD]]))</f>
        <v/>
      </c>
      <c r="X73" s="169" t="str" cm="1">
        <f t="array" ref="X73">IF(OR($E73="",$I73=""),"",(INDEX('Emission factors'!$K$3:$V$201,MATCH('Buildings - Heat &amp; Fuels'!$E73&amp;$F73,'Emission factors'!$J$3:$J$201&amp;'Emission factors'!$K$3:$K$201,0),MATCH('Buildings - Heat &amp; Fuels'!X$6,'Emission factors'!$K$2:$V$2,0)))*$K73)</f>
        <v/>
      </c>
      <c r="Y73" s="30"/>
      <c r="Z73" s="1" cm="1">
        <f t="array" ref="Z73">IF(OR(ISERROR(B73:X73)),1,0)</f>
        <v>0</v>
      </c>
      <c r="AA73" s="1">
        <f t="shared" si="0"/>
        <v>0</v>
      </c>
    </row>
    <row r="74" spans="1:27" ht="15" outlineLevel="1" thickBot="1" x14ac:dyDescent="0.4">
      <c r="A74" s="319"/>
      <c r="B74" s="216"/>
      <c r="C74" s="216"/>
      <c r="D74" s="489" t="str">
        <f>IFERROR(INDEX(BuildingInformationTable[Site type],MATCH(BuildingsHeatFuelsTable[[#This Row],[Site name]],BuildingInformationTable[Site name],0)),"")</f>
        <v/>
      </c>
      <c r="E74" s="491"/>
      <c r="F74" s="491"/>
      <c r="G74" s="491"/>
      <c r="H74" s="492" t="str">
        <f>IF(G74="","",INDEX(Lists!$BA$4:$BC$31,MATCH(E74,Lists!$AZ$4:$AZ$31,0),MATCH(G74,Lists!$BA$3:$BC$3,0)))</f>
        <v/>
      </c>
      <c r="I74" s="267"/>
      <c r="J74" s="491"/>
      <c r="K74" s="493" t="str" cm="1">
        <f t="array" ref="K74">IF(OR($E74="",$D74="",$I74="",$J74=""),"",IF(J74=L74,I74,(INDEX('Emission factors'!$K$3:$V$201,MATCH(E74&amp;F74,'Emission factors'!$J$3:$J$201&amp;'Emission factors'!$K$3:$K$201,0),MATCH(K$6,'Emission factors'!$K$2:$V$2,0)))*I74))</f>
        <v/>
      </c>
      <c r="L74" s="494" t="str">
        <f>IF(OR($E74="",$D74="",$I74="",$J74=""),"",INDEX('Emission factors'!$K$3:$V$201,MATCH('Buildings - Heat &amp; Fuels'!$E74,'Emission factors'!$J$3:$J$201,0),MATCH($L$6,'Emission factors'!$K$2:$V$2,0)))</f>
        <v/>
      </c>
      <c r="M74" s="495" t="str" cm="1">
        <f t="array" ref="M74">IF(OR(E74="",I74="",BuildingsHeatFuelsTable[[#This Row],[Units]]=""),"",INDEX('Emission factors'!$K$3:$V$201,MATCH('Buildings - Heat &amp; Fuels'!$E74&amp;F74,'Emission factors'!$J$3:$J$201&amp;'Emission factors'!$K$3:$K$201,0),MATCH('Buildings - Heat &amp; Fuels'!$M$6,'Emission factors'!$K$2:$V$2,0)))</f>
        <v/>
      </c>
      <c r="N74" s="496" t="str">
        <f>IF(OR(K74="",M74=""),"",SUM(BuildingsHeatFuelsTable[[#This Row],[Direct]:[Indirect WTT]]))</f>
        <v/>
      </c>
      <c r="O74" s="268"/>
      <c r="P74" s="497"/>
      <c r="Q74" s="157" t="str" cm="1">
        <f t="array" ref="Q74">IF(OR($E74="",$I74=""),"",(INDEX('Emission factors'!$K$3:$V$201,MATCH('Buildings - Heat &amp; Fuels'!$E74&amp;$F74,'Emission factors'!$J$3:$J$201&amp;'Emission factors'!$K$3:$K$201,0),MATCH('Buildings - Heat &amp; Fuels'!Q$6,'Emission factors'!$K$2:$V$2,0)))*$K74)</f>
        <v/>
      </c>
      <c r="R74" s="157" t="str" cm="1">
        <f t="array" ref="R74">IF(OR($E74="",$I74=""),"",(INDEX('Emission factors'!$K$3:$V$201,MATCH('Buildings - Heat &amp; Fuels'!$E74&amp;$F74,'Emission factors'!$J$3:$J$201&amp;'Emission factors'!$K$3:$K$201,0),MATCH('Buildings - Heat &amp; Fuels'!R$6,'Emission factors'!$K$2:$V$2,0)))*$K74)</f>
        <v/>
      </c>
      <c r="S74" s="157" t="str" cm="1">
        <f t="array" ref="S74">IF(OR($E74="",$I74=""),"",(INDEX('Emission factors'!$K$3:$V$201,MATCH('Buildings - Heat &amp; Fuels'!$E74&amp;$F74,'Emission factors'!$J$3:$J$201&amp;'Emission factors'!$K$3:$K$201,0),MATCH('Buildings - Heat &amp; Fuels'!S$6,'Emission factors'!$K$2:$V$2,0)))*$K74)</f>
        <v/>
      </c>
      <c r="T74" s="157" t="str" cm="1">
        <f t="array" ref="T74">IF(OR($E74="",$I74=""),"",(INDEX('Emission factors'!$K$3:$V$201,MATCH('Buildings - Heat &amp; Fuels'!$E74&amp;$F74,'Emission factors'!$J$3:$J$201&amp;'Emission factors'!$K$3:$K$201,0),MATCH('Buildings - Heat &amp; Fuels'!T$6,'Emission factors'!$K$2:$V$2,0)))*$K74)</f>
        <v/>
      </c>
      <c r="U74" s="157" t="str" cm="1">
        <f t="array" ref="U74">IF(OR($E74="",$I74=""),"",(INDEX('Emission factors'!$K$3:$V$201,MATCH('Buildings - Heat &amp; Fuels'!$E74&amp;$F74,'Emission factors'!$J$3:$J$201&amp;'Emission factors'!$K$3:$K$201,0),MATCH('Buildings - Heat &amp; Fuels'!U$6,'Emission factors'!$K$2:$V$2,0)))*$K74)</f>
        <v/>
      </c>
      <c r="V74" s="158" t="str">
        <f>IF(OR($N74="",BuildingsHeatFuelsTable[[#This Row],[RSD]]=""),"",BuildingsHeatFuelsTable[[#This Row],[Total emissions (kgCO2e)]]*(1+BuildingsHeatFuelsTable[[#This Row],[RSD]]))</f>
        <v/>
      </c>
      <c r="W74" s="159" t="str">
        <f>IF(OR($N74="",BuildingsHeatFuelsTable[[#This Row],[RSD]]=""),"",BuildingsHeatFuelsTable[[#This Row],[Total emissions (kgCO2e)]]*(1-BuildingsHeatFuelsTable[[#This Row],[RSD]]))</f>
        <v/>
      </c>
      <c r="X74" s="169" t="str" cm="1">
        <f t="array" ref="X74">IF(OR($E74="",$I74=""),"",(INDEX('Emission factors'!$K$3:$V$201,MATCH('Buildings - Heat &amp; Fuels'!$E74&amp;$F74,'Emission factors'!$J$3:$J$201&amp;'Emission factors'!$K$3:$K$201,0),MATCH('Buildings - Heat &amp; Fuels'!X$6,'Emission factors'!$K$2:$V$2,0)))*$K74)</f>
        <v/>
      </c>
      <c r="Y74" s="30"/>
      <c r="Z74" s="1" cm="1">
        <f t="array" ref="Z74">IF(OR(ISERROR(B74:X74)),1,0)</f>
        <v>0</v>
      </c>
      <c r="AA74" s="1">
        <f t="shared" si="0"/>
        <v>0</v>
      </c>
    </row>
    <row r="75" spans="1:27" ht="15" outlineLevel="1" thickBot="1" x14ac:dyDescent="0.4">
      <c r="A75" s="319"/>
      <c r="B75" s="216"/>
      <c r="C75" s="216"/>
      <c r="D75" s="489" t="str">
        <f>IFERROR(INDEX(BuildingInformationTable[Site type],MATCH(BuildingsHeatFuelsTable[[#This Row],[Site name]],BuildingInformationTable[Site name],0)),"")</f>
        <v/>
      </c>
      <c r="E75" s="491"/>
      <c r="F75" s="491"/>
      <c r="G75" s="491"/>
      <c r="H75" s="492" t="str">
        <f>IF(G75="","",INDEX(Lists!$BA$4:$BC$31,MATCH(E75,Lists!$AZ$4:$AZ$31,0),MATCH(G75,Lists!$BA$3:$BC$3,0)))</f>
        <v/>
      </c>
      <c r="I75" s="267"/>
      <c r="J75" s="491"/>
      <c r="K75" s="493" t="str" cm="1">
        <f t="array" ref="K75">IF(OR($E75="",$D75="",$I75="",$J75=""),"",IF(J75=L75,I75,(INDEX('Emission factors'!$K$3:$V$201,MATCH(E75&amp;F75,'Emission factors'!$J$3:$J$201&amp;'Emission factors'!$K$3:$K$201,0),MATCH(K$6,'Emission factors'!$K$2:$V$2,0)))*I75))</f>
        <v/>
      </c>
      <c r="L75" s="494" t="str">
        <f>IF(OR($E75="",$D75="",$I75="",$J75=""),"",INDEX('Emission factors'!$K$3:$V$201,MATCH('Buildings - Heat &amp; Fuels'!$E75,'Emission factors'!$J$3:$J$201,0),MATCH($L$6,'Emission factors'!$K$2:$V$2,0)))</f>
        <v/>
      </c>
      <c r="M75" s="495" t="str" cm="1">
        <f t="array" ref="M75">IF(OR(E75="",I75="",BuildingsHeatFuelsTable[[#This Row],[Units]]=""),"",INDEX('Emission factors'!$K$3:$V$201,MATCH('Buildings - Heat &amp; Fuels'!$E75&amp;F75,'Emission factors'!$J$3:$J$201&amp;'Emission factors'!$K$3:$K$201,0),MATCH('Buildings - Heat &amp; Fuels'!$M$6,'Emission factors'!$K$2:$V$2,0)))</f>
        <v/>
      </c>
      <c r="N75" s="496" t="str">
        <f>IF(OR(K75="",M75=""),"",SUM(BuildingsHeatFuelsTable[[#This Row],[Direct]:[Indirect WTT]]))</f>
        <v/>
      </c>
      <c r="O75" s="268"/>
      <c r="P75" s="497"/>
      <c r="Q75" s="157" t="str" cm="1">
        <f t="array" ref="Q75">IF(OR($E75="",$I75=""),"",(INDEX('Emission factors'!$K$3:$V$201,MATCH('Buildings - Heat &amp; Fuels'!$E75&amp;$F75,'Emission factors'!$J$3:$J$201&amp;'Emission factors'!$K$3:$K$201,0),MATCH('Buildings - Heat &amp; Fuels'!Q$6,'Emission factors'!$K$2:$V$2,0)))*$K75)</f>
        <v/>
      </c>
      <c r="R75" s="157" t="str" cm="1">
        <f t="array" ref="R75">IF(OR($E75="",$I75=""),"",(INDEX('Emission factors'!$K$3:$V$201,MATCH('Buildings - Heat &amp; Fuels'!$E75&amp;$F75,'Emission factors'!$J$3:$J$201&amp;'Emission factors'!$K$3:$K$201,0),MATCH('Buildings - Heat &amp; Fuels'!R$6,'Emission factors'!$K$2:$V$2,0)))*$K75)</f>
        <v/>
      </c>
      <c r="S75" s="157" t="str" cm="1">
        <f t="array" ref="S75">IF(OR($E75="",$I75=""),"",(INDEX('Emission factors'!$K$3:$V$201,MATCH('Buildings - Heat &amp; Fuels'!$E75&amp;$F75,'Emission factors'!$J$3:$J$201&amp;'Emission factors'!$K$3:$K$201,0),MATCH('Buildings - Heat &amp; Fuels'!S$6,'Emission factors'!$K$2:$V$2,0)))*$K75)</f>
        <v/>
      </c>
      <c r="T75" s="157" t="str" cm="1">
        <f t="array" ref="T75">IF(OR($E75="",$I75=""),"",(INDEX('Emission factors'!$K$3:$V$201,MATCH('Buildings - Heat &amp; Fuels'!$E75&amp;$F75,'Emission factors'!$J$3:$J$201&amp;'Emission factors'!$K$3:$K$201,0),MATCH('Buildings - Heat &amp; Fuels'!T$6,'Emission factors'!$K$2:$V$2,0)))*$K75)</f>
        <v/>
      </c>
      <c r="U75" s="157" t="str" cm="1">
        <f t="array" ref="U75">IF(OR($E75="",$I75=""),"",(INDEX('Emission factors'!$K$3:$V$201,MATCH('Buildings - Heat &amp; Fuels'!$E75&amp;$F75,'Emission factors'!$J$3:$J$201&amp;'Emission factors'!$K$3:$K$201,0),MATCH('Buildings - Heat &amp; Fuels'!U$6,'Emission factors'!$K$2:$V$2,0)))*$K75)</f>
        <v/>
      </c>
      <c r="V75" s="158" t="str">
        <f>IF(OR($N75="",BuildingsHeatFuelsTable[[#This Row],[RSD]]=""),"",BuildingsHeatFuelsTable[[#This Row],[Total emissions (kgCO2e)]]*(1+BuildingsHeatFuelsTable[[#This Row],[RSD]]))</f>
        <v/>
      </c>
      <c r="W75" s="159" t="str">
        <f>IF(OR($N75="",BuildingsHeatFuelsTable[[#This Row],[RSD]]=""),"",BuildingsHeatFuelsTable[[#This Row],[Total emissions (kgCO2e)]]*(1-BuildingsHeatFuelsTable[[#This Row],[RSD]]))</f>
        <v/>
      </c>
      <c r="X75" s="169" t="str" cm="1">
        <f t="array" ref="X75">IF(OR($E75="",$I75=""),"",(INDEX('Emission factors'!$K$3:$V$201,MATCH('Buildings - Heat &amp; Fuels'!$E75&amp;$F75,'Emission factors'!$J$3:$J$201&amp;'Emission factors'!$K$3:$K$201,0),MATCH('Buildings - Heat &amp; Fuels'!X$6,'Emission factors'!$K$2:$V$2,0)))*$K75)</f>
        <v/>
      </c>
      <c r="Y75" s="30"/>
      <c r="Z75" s="1" cm="1">
        <f t="array" ref="Z75">IF(OR(ISERROR(B75:X75)),1,0)</f>
        <v>0</v>
      </c>
      <c r="AA75" s="1">
        <f t="shared" si="0"/>
        <v>0</v>
      </c>
    </row>
    <row r="76" spans="1:27" ht="15" outlineLevel="1" thickBot="1" x14ac:dyDescent="0.4">
      <c r="A76" s="319"/>
      <c r="B76" s="216"/>
      <c r="C76" s="216"/>
      <c r="D76" s="489" t="str">
        <f>IFERROR(INDEX(BuildingInformationTable[Site type],MATCH(BuildingsHeatFuelsTable[[#This Row],[Site name]],BuildingInformationTable[Site name],0)),"")</f>
        <v/>
      </c>
      <c r="E76" s="491"/>
      <c r="F76" s="491"/>
      <c r="G76" s="491"/>
      <c r="H76" s="492" t="str">
        <f>IF(G76="","",INDEX(Lists!$BA$4:$BC$31,MATCH(E76,Lists!$AZ$4:$AZ$31,0),MATCH(G76,Lists!$BA$3:$BC$3,0)))</f>
        <v/>
      </c>
      <c r="I76" s="267"/>
      <c r="J76" s="491"/>
      <c r="K76" s="493" t="str" cm="1">
        <f t="array" ref="K76">IF(OR($E76="",$D76="",$I76="",$J76=""),"",IF(J76=L76,I76,(INDEX('Emission factors'!$K$3:$V$201,MATCH(E76&amp;F76,'Emission factors'!$J$3:$J$201&amp;'Emission factors'!$K$3:$K$201,0),MATCH(K$6,'Emission factors'!$K$2:$V$2,0)))*I76))</f>
        <v/>
      </c>
      <c r="L76" s="494" t="str">
        <f>IF(OR($E76="",$D76="",$I76="",$J76=""),"",INDEX('Emission factors'!$K$3:$V$201,MATCH('Buildings - Heat &amp; Fuels'!$E76,'Emission factors'!$J$3:$J$201,0),MATCH($L$6,'Emission factors'!$K$2:$V$2,0)))</f>
        <v/>
      </c>
      <c r="M76" s="495" t="str" cm="1">
        <f t="array" ref="M76">IF(OR(E76="",I76="",BuildingsHeatFuelsTable[[#This Row],[Units]]=""),"",INDEX('Emission factors'!$K$3:$V$201,MATCH('Buildings - Heat &amp; Fuels'!$E76&amp;F76,'Emission factors'!$J$3:$J$201&amp;'Emission factors'!$K$3:$K$201,0),MATCH('Buildings - Heat &amp; Fuels'!$M$6,'Emission factors'!$K$2:$V$2,0)))</f>
        <v/>
      </c>
      <c r="N76" s="496" t="str">
        <f>IF(OR(K76="",M76=""),"",SUM(BuildingsHeatFuelsTable[[#This Row],[Direct]:[Indirect WTT]]))</f>
        <v/>
      </c>
      <c r="O76" s="268"/>
      <c r="P76" s="497"/>
      <c r="Q76" s="157" t="str" cm="1">
        <f t="array" ref="Q76">IF(OR($E76="",$I76=""),"",(INDEX('Emission factors'!$K$3:$V$201,MATCH('Buildings - Heat &amp; Fuels'!$E76&amp;$F76,'Emission factors'!$J$3:$J$201&amp;'Emission factors'!$K$3:$K$201,0),MATCH('Buildings - Heat &amp; Fuels'!Q$6,'Emission factors'!$K$2:$V$2,0)))*$K76)</f>
        <v/>
      </c>
      <c r="R76" s="157" t="str" cm="1">
        <f t="array" ref="R76">IF(OR($E76="",$I76=""),"",(INDEX('Emission factors'!$K$3:$V$201,MATCH('Buildings - Heat &amp; Fuels'!$E76&amp;$F76,'Emission factors'!$J$3:$J$201&amp;'Emission factors'!$K$3:$K$201,0),MATCH('Buildings - Heat &amp; Fuels'!R$6,'Emission factors'!$K$2:$V$2,0)))*$K76)</f>
        <v/>
      </c>
      <c r="S76" s="157" t="str" cm="1">
        <f t="array" ref="S76">IF(OR($E76="",$I76=""),"",(INDEX('Emission factors'!$K$3:$V$201,MATCH('Buildings - Heat &amp; Fuels'!$E76&amp;$F76,'Emission factors'!$J$3:$J$201&amp;'Emission factors'!$K$3:$K$201,0),MATCH('Buildings - Heat &amp; Fuels'!S$6,'Emission factors'!$K$2:$V$2,0)))*$K76)</f>
        <v/>
      </c>
      <c r="T76" s="157" t="str" cm="1">
        <f t="array" ref="T76">IF(OR($E76="",$I76=""),"",(INDEX('Emission factors'!$K$3:$V$201,MATCH('Buildings - Heat &amp; Fuels'!$E76&amp;$F76,'Emission factors'!$J$3:$J$201&amp;'Emission factors'!$K$3:$K$201,0),MATCH('Buildings - Heat &amp; Fuels'!T$6,'Emission factors'!$K$2:$V$2,0)))*$K76)</f>
        <v/>
      </c>
      <c r="U76" s="157" t="str" cm="1">
        <f t="array" ref="U76">IF(OR($E76="",$I76=""),"",(INDEX('Emission factors'!$K$3:$V$201,MATCH('Buildings - Heat &amp; Fuels'!$E76&amp;$F76,'Emission factors'!$J$3:$J$201&amp;'Emission factors'!$K$3:$K$201,0),MATCH('Buildings - Heat &amp; Fuels'!U$6,'Emission factors'!$K$2:$V$2,0)))*$K76)</f>
        <v/>
      </c>
      <c r="V76" s="158" t="str">
        <f>IF(OR($N76="",BuildingsHeatFuelsTable[[#This Row],[RSD]]=""),"",BuildingsHeatFuelsTable[[#This Row],[Total emissions (kgCO2e)]]*(1+BuildingsHeatFuelsTable[[#This Row],[RSD]]))</f>
        <v/>
      </c>
      <c r="W76" s="159" t="str">
        <f>IF(OR($N76="",BuildingsHeatFuelsTable[[#This Row],[RSD]]=""),"",BuildingsHeatFuelsTable[[#This Row],[Total emissions (kgCO2e)]]*(1-BuildingsHeatFuelsTable[[#This Row],[RSD]]))</f>
        <v/>
      </c>
      <c r="X76" s="169" t="str" cm="1">
        <f t="array" ref="X76">IF(OR($E76="",$I76=""),"",(INDEX('Emission factors'!$K$3:$V$201,MATCH('Buildings - Heat &amp; Fuels'!$E76&amp;$F76,'Emission factors'!$J$3:$J$201&amp;'Emission factors'!$K$3:$K$201,0),MATCH('Buildings - Heat &amp; Fuels'!X$6,'Emission factors'!$K$2:$V$2,0)))*$K76)</f>
        <v/>
      </c>
      <c r="Y76" s="30"/>
      <c r="Z76" s="1" cm="1">
        <f t="array" ref="Z76">IF(OR(ISERROR(B76:X76)),1,0)</f>
        <v>0</v>
      </c>
      <c r="AA76" s="1">
        <f t="shared" si="0"/>
        <v>0</v>
      </c>
    </row>
    <row r="77" spans="1:27" ht="15" outlineLevel="1" thickBot="1" x14ac:dyDescent="0.4">
      <c r="A77" s="319"/>
      <c r="B77" s="216"/>
      <c r="C77" s="216"/>
      <c r="D77" s="489" t="str">
        <f>IFERROR(INDEX(BuildingInformationTable[Site type],MATCH(BuildingsHeatFuelsTable[[#This Row],[Site name]],BuildingInformationTable[Site name],0)),"")</f>
        <v/>
      </c>
      <c r="E77" s="491"/>
      <c r="F77" s="491"/>
      <c r="G77" s="491"/>
      <c r="H77" s="492" t="str">
        <f>IF(G77="","",INDEX(Lists!$BA$4:$BC$31,MATCH(E77,Lists!$AZ$4:$AZ$31,0),MATCH(G77,Lists!$BA$3:$BC$3,0)))</f>
        <v/>
      </c>
      <c r="I77" s="267"/>
      <c r="J77" s="491"/>
      <c r="K77" s="493" t="str" cm="1">
        <f t="array" ref="K77">IF(OR($E77="",$D77="",$I77="",$J77=""),"",IF(J77=L77,I77,(INDEX('Emission factors'!$K$3:$V$201,MATCH(E77&amp;F77,'Emission factors'!$J$3:$J$201&amp;'Emission factors'!$K$3:$K$201,0),MATCH(K$6,'Emission factors'!$K$2:$V$2,0)))*I77))</f>
        <v/>
      </c>
      <c r="L77" s="494" t="str">
        <f>IF(OR($E77="",$D77="",$I77="",$J77=""),"",INDEX('Emission factors'!$K$3:$V$201,MATCH('Buildings - Heat &amp; Fuels'!$E77,'Emission factors'!$J$3:$J$201,0),MATCH($L$6,'Emission factors'!$K$2:$V$2,0)))</f>
        <v/>
      </c>
      <c r="M77" s="495" t="str" cm="1">
        <f t="array" ref="M77">IF(OR(E77="",I77="",BuildingsHeatFuelsTable[[#This Row],[Units]]=""),"",INDEX('Emission factors'!$K$3:$V$201,MATCH('Buildings - Heat &amp; Fuels'!$E77&amp;F77,'Emission factors'!$J$3:$J$201&amp;'Emission factors'!$K$3:$K$201,0),MATCH('Buildings - Heat &amp; Fuels'!$M$6,'Emission factors'!$K$2:$V$2,0)))</f>
        <v/>
      </c>
      <c r="N77" s="496" t="str">
        <f>IF(OR(K77="",M77=""),"",SUM(BuildingsHeatFuelsTable[[#This Row],[Direct]:[Indirect WTT]]))</f>
        <v/>
      </c>
      <c r="O77" s="268"/>
      <c r="P77" s="497"/>
      <c r="Q77" s="157" t="str" cm="1">
        <f t="array" ref="Q77">IF(OR($E77="",$I77=""),"",(INDEX('Emission factors'!$K$3:$V$201,MATCH('Buildings - Heat &amp; Fuels'!$E77&amp;$F77,'Emission factors'!$J$3:$J$201&amp;'Emission factors'!$K$3:$K$201,0),MATCH('Buildings - Heat &amp; Fuels'!Q$6,'Emission factors'!$K$2:$V$2,0)))*$K77)</f>
        <v/>
      </c>
      <c r="R77" s="157" t="str" cm="1">
        <f t="array" ref="R77">IF(OR($E77="",$I77=""),"",(INDEX('Emission factors'!$K$3:$V$201,MATCH('Buildings - Heat &amp; Fuels'!$E77&amp;$F77,'Emission factors'!$J$3:$J$201&amp;'Emission factors'!$K$3:$K$201,0),MATCH('Buildings - Heat &amp; Fuels'!R$6,'Emission factors'!$K$2:$V$2,0)))*$K77)</f>
        <v/>
      </c>
      <c r="S77" s="157" t="str" cm="1">
        <f t="array" ref="S77">IF(OR($E77="",$I77=""),"",(INDEX('Emission factors'!$K$3:$V$201,MATCH('Buildings - Heat &amp; Fuels'!$E77&amp;$F77,'Emission factors'!$J$3:$J$201&amp;'Emission factors'!$K$3:$K$201,0),MATCH('Buildings - Heat &amp; Fuels'!S$6,'Emission factors'!$K$2:$V$2,0)))*$K77)</f>
        <v/>
      </c>
      <c r="T77" s="157" t="str" cm="1">
        <f t="array" ref="T77">IF(OR($E77="",$I77=""),"",(INDEX('Emission factors'!$K$3:$V$201,MATCH('Buildings - Heat &amp; Fuels'!$E77&amp;$F77,'Emission factors'!$J$3:$J$201&amp;'Emission factors'!$K$3:$K$201,0),MATCH('Buildings - Heat &amp; Fuels'!T$6,'Emission factors'!$K$2:$V$2,0)))*$K77)</f>
        <v/>
      </c>
      <c r="U77" s="157" t="str" cm="1">
        <f t="array" ref="U77">IF(OR($E77="",$I77=""),"",(INDEX('Emission factors'!$K$3:$V$201,MATCH('Buildings - Heat &amp; Fuels'!$E77&amp;$F77,'Emission factors'!$J$3:$J$201&amp;'Emission factors'!$K$3:$K$201,0),MATCH('Buildings - Heat &amp; Fuels'!U$6,'Emission factors'!$K$2:$V$2,0)))*$K77)</f>
        <v/>
      </c>
      <c r="V77" s="158" t="str">
        <f>IF(OR($N77="",BuildingsHeatFuelsTable[[#This Row],[RSD]]=""),"",BuildingsHeatFuelsTable[[#This Row],[Total emissions (kgCO2e)]]*(1+BuildingsHeatFuelsTable[[#This Row],[RSD]]))</f>
        <v/>
      </c>
      <c r="W77" s="159" t="str">
        <f>IF(OR($N77="",BuildingsHeatFuelsTable[[#This Row],[RSD]]=""),"",BuildingsHeatFuelsTable[[#This Row],[Total emissions (kgCO2e)]]*(1-BuildingsHeatFuelsTable[[#This Row],[RSD]]))</f>
        <v/>
      </c>
      <c r="X77" s="169" t="str" cm="1">
        <f t="array" ref="X77">IF(OR($E77="",$I77=""),"",(INDEX('Emission factors'!$K$3:$V$201,MATCH('Buildings - Heat &amp; Fuels'!$E77&amp;$F77,'Emission factors'!$J$3:$J$201&amp;'Emission factors'!$K$3:$K$201,0),MATCH('Buildings - Heat &amp; Fuels'!X$6,'Emission factors'!$K$2:$V$2,0)))*$K77)</f>
        <v/>
      </c>
      <c r="Y77" s="30"/>
      <c r="Z77" s="1" cm="1">
        <f t="array" ref="Z77">IF(OR(ISERROR(B77:X77)),1,0)</f>
        <v>0</v>
      </c>
      <c r="AA77" s="1">
        <f t="shared" si="0"/>
        <v>0</v>
      </c>
    </row>
    <row r="78" spans="1:27" ht="15" outlineLevel="1" thickBot="1" x14ac:dyDescent="0.4">
      <c r="A78" s="319"/>
      <c r="B78" s="216"/>
      <c r="C78" s="216"/>
      <c r="D78" s="489" t="str">
        <f>IFERROR(INDEX(BuildingInformationTable[Site type],MATCH(BuildingsHeatFuelsTable[[#This Row],[Site name]],BuildingInformationTable[Site name],0)),"")</f>
        <v/>
      </c>
      <c r="E78" s="491"/>
      <c r="F78" s="491"/>
      <c r="G78" s="491"/>
      <c r="H78" s="492" t="str">
        <f>IF(G78="","",INDEX(Lists!$BA$4:$BC$31,MATCH(E78,Lists!$AZ$4:$AZ$31,0),MATCH(G78,Lists!$BA$3:$BC$3,0)))</f>
        <v/>
      </c>
      <c r="I78" s="267"/>
      <c r="J78" s="491"/>
      <c r="K78" s="493" t="str" cm="1">
        <f t="array" ref="K78">IF(OR($E78="",$D78="",$I78="",$J78=""),"",IF(J78=L78,I78,(INDEX('Emission factors'!$K$3:$V$201,MATCH(E78&amp;F78,'Emission factors'!$J$3:$J$201&amp;'Emission factors'!$K$3:$K$201,0),MATCH(K$6,'Emission factors'!$K$2:$V$2,0)))*I78))</f>
        <v/>
      </c>
      <c r="L78" s="494" t="str">
        <f>IF(OR($E78="",$D78="",$I78="",$J78=""),"",INDEX('Emission factors'!$K$3:$V$201,MATCH('Buildings - Heat &amp; Fuels'!$E78,'Emission factors'!$J$3:$J$201,0),MATCH($L$6,'Emission factors'!$K$2:$V$2,0)))</f>
        <v/>
      </c>
      <c r="M78" s="495" t="str" cm="1">
        <f t="array" ref="M78">IF(OR(E78="",I78="",BuildingsHeatFuelsTable[[#This Row],[Units]]=""),"",INDEX('Emission factors'!$K$3:$V$201,MATCH('Buildings - Heat &amp; Fuels'!$E78&amp;F78,'Emission factors'!$J$3:$J$201&amp;'Emission factors'!$K$3:$K$201,0),MATCH('Buildings - Heat &amp; Fuels'!$M$6,'Emission factors'!$K$2:$V$2,0)))</f>
        <v/>
      </c>
      <c r="N78" s="496" t="str">
        <f>IF(OR(K78="",M78=""),"",SUM(BuildingsHeatFuelsTable[[#This Row],[Direct]:[Indirect WTT]]))</f>
        <v/>
      </c>
      <c r="O78" s="268"/>
      <c r="P78" s="497"/>
      <c r="Q78" s="157" t="str" cm="1">
        <f t="array" ref="Q78">IF(OR($E78="",$I78=""),"",(INDEX('Emission factors'!$K$3:$V$201,MATCH('Buildings - Heat &amp; Fuels'!$E78&amp;$F78,'Emission factors'!$J$3:$J$201&amp;'Emission factors'!$K$3:$K$201,0),MATCH('Buildings - Heat &amp; Fuels'!Q$6,'Emission factors'!$K$2:$V$2,0)))*$K78)</f>
        <v/>
      </c>
      <c r="R78" s="157" t="str" cm="1">
        <f t="array" ref="R78">IF(OR($E78="",$I78=""),"",(INDEX('Emission factors'!$K$3:$V$201,MATCH('Buildings - Heat &amp; Fuels'!$E78&amp;$F78,'Emission factors'!$J$3:$J$201&amp;'Emission factors'!$K$3:$K$201,0),MATCH('Buildings - Heat &amp; Fuels'!R$6,'Emission factors'!$K$2:$V$2,0)))*$K78)</f>
        <v/>
      </c>
      <c r="S78" s="157" t="str" cm="1">
        <f t="array" ref="S78">IF(OR($E78="",$I78=""),"",(INDEX('Emission factors'!$K$3:$V$201,MATCH('Buildings - Heat &amp; Fuels'!$E78&amp;$F78,'Emission factors'!$J$3:$J$201&amp;'Emission factors'!$K$3:$K$201,0),MATCH('Buildings - Heat &amp; Fuels'!S$6,'Emission factors'!$K$2:$V$2,0)))*$K78)</f>
        <v/>
      </c>
      <c r="T78" s="157" t="str" cm="1">
        <f t="array" ref="T78">IF(OR($E78="",$I78=""),"",(INDEX('Emission factors'!$K$3:$V$201,MATCH('Buildings - Heat &amp; Fuels'!$E78&amp;$F78,'Emission factors'!$J$3:$J$201&amp;'Emission factors'!$K$3:$K$201,0),MATCH('Buildings - Heat &amp; Fuels'!T$6,'Emission factors'!$K$2:$V$2,0)))*$K78)</f>
        <v/>
      </c>
      <c r="U78" s="157" t="str" cm="1">
        <f t="array" ref="U78">IF(OR($E78="",$I78=""),"",(INDEX('Emission factors'!$K$3:$V$201,MATCH('Buildings - Heat &amp; Fuels'!$E78&amp;$F78,'Emission factors'!$J$3:$J$201&amp;'Emission factors'!$K$3:$K$201,0),MATCH('Buildings - Heat &amp; Fuels'!U$6,'Emission factors'!$K$2:$V$2,0)))*$K78)</f>
        <v/>
      </c>
      <c r="V78" s="158" t="str">
        <f>IF(OR($N78="",BuildingsHeatFuelsTable[[#This Row],[RSD]]=""),"",BuildingsHeatFuelsTable[[#This Row],[Total emissions (kgCO2e)]]*(1+BuildingsHeatFuelsTable[[#This Row],[RSD]]))</f>
        <v/>
      </c>
      <c r="W78" s="159" t="str">
        <f>IF(OR($N78="",BuildingsHeatFuelsTable[[#This Row],[RSD]]=""),"",BuildingsHeatFuelsTable[[#This Row],[Total emissions (kgCO2e)]]*(1-BuildingsHeatFuelsTable[[#This Row],[RSD]]))</f>
        <v/>
      </c>
      <c r="X78" s="169" t="str" cm="1">
        <f t="array" ref="X78">IF(OR($E78="",$I78=""),"",(INDEX('Emission factors'!$K$3:$V$201,MATCH('Buildings - Heat &amp; Fuels'!$E78&amp;$F78,'Emission factors'!$J$3:$J$201&amp;'Emission factors'!$K$3:$K$201,0),MATCH('Buildings - Heat &amp; Fuels'!X$6,'Emission factors'!$K$2:$V$2,0)))*$K78)</f>
        <v/>
      </c>
      <c r="Y78" s="30"/>
      <c r="Z78" s="1" cm="1">
        <f t="array" ref="Z78">IF(OR(ISERROR(B78:X78)),1,0)</f>
        <v>0</v>
      </c>
      <c r="AA78" s="1">
        <f t="shared" si="0"/>
        <v>0</v>
      </c>
    </row>
    <row r="79" spans="1:27" ht="15" outlineLevel="1" thickBot="1" x14ac:dyDescent="0.4">
      <c r="A79" s="319"/>
      <c r="B79" s="216"/>
      <c r="C79" s="216"/>
      <c r="D79" s="489" t="str">
        <f>IFERROR(INDEX(BuildingInformationTable[Site type],MATCH(BuildingsHeatFuelsTable[[#This Row],[Site name]],BuildingInformationTable[Site name],0)),"")</f>
        <v/>
      </c>
      <c r="E79" s="491"/>
      <c r="F79" s="491"/>
      <c r="G79" s="491"/>
      <c r="H79" s="492" t="str">
        <f>IF(G79="","",INDEX(Lists!$BA$4:$BC$31,MATCH(E79,Lists!$AZ$4:$AZ$31,0),MATCH(G79,Lists!$BA$3:$BC$3,0)))</f>
        <v/>
      </c>
      <c r="I79" s="267"/>
      <c r="J79" s="491"/>
      <c r="K79" s="493" t="str" cm="1">
        <f t="array" ref="K79">IF(OR($E79="",$D79="",$I79="",$J79=""),"",IF(J79=L79,I79,(INDEX('Emission factors'!$K$3:$V$201,MATCH(E79&amp;F79,'Emission factors'!$J$3:$J$201&amp;'Emission factors'!$K$3:$K$201,0),MATCH(K$6,'Emission factors'!$K$2:$V$2,0)))*I79))</f>
        <v/>
      </c>
      <c r="L79" s="494" t="str">
        <f>IF(OR($E79="",$D79="",$I79="",$J79=""),"",INDEX('Emission factors'!$K$3:$V$201,MATCH('Buildings - Heat &amp; Fuels'!$E79,'Emission factors'!$J$3:$J$201,0),MATCH($L$6,'Emission factors'!$K$2:$V$2,0)))</f>
        <v/>
      </c>
      <c r="M79" s="495" t="str" cm="1">
        <f t="array" ref="M79">IF(OR(E79="",I79="",BuildingsHeatFuelsTable[[#This Row],[Units]]=""),"",INDEX('Emission factors'!$K$3:$V$201,MATCH('Buildings - Heat &amp; Fuels'!$E79&amp;F79,'Emission factors'!$J$3:$J$201&amp;'Emission factors'!$K$3:$K$201,0),MATCH('Buildings - Heat &amp; Fuels'!$M$6,'Emission factors'!$K$2:$V$2,0)))</f>
        <v/>
      </c>
      <c r="N79" s="496" t="str">
        <f>IF(OR(K79="",M79=""),"",SUM(BuildingsHeatFuelsTable[[#This Row],[Direct]:[Indirect WTT]]))</f>
        <v/>
      </c>
      <c r="O79" s="268"/>
      <c r="P79" s="497"/>
      <c r="Q79" s="157" t="str" cm="1">
        <f t="array" ref="Q79">IF(OR($E79="",$I79=""),"",(INDEX('Emission factors'!$K$3:$V$201,MATCH('Buildings - Heat &amp; Fuels'!$E79&amp;$F79,'Emission factors'!$J$3:$J$201&amp;'Emission factors'!$K$3:$K$201,0),MATCH('Buildings - Heat &amp; Fuels'!Q$6,'Emission factors'!$K$2:$V$2,0)))*$K79)</f>
        <v/>
      </c>
      <c r="R79" s="157" t="str" cm="1">
        <f t="array" ref="R79">IF(OR($E79="",$I79=""),"",(INDEX('Emission factors'!$K$3:$V$201,MATCH('Buildings - Heat &amp; Fuels'!$E79&amp;$F79,'Emission factors'!$J$3:$J$201&amp;'Emission factors'!$K$3:$K$201,0),MATCH('Buildings - Heat &amp; Fuels'!R$6,'Emission factors'!$K$2:$V$2,0)))*$K79)</f>
        <v/>
      </c>
      <c r="S79" s="157" t="str" cm="1">
        <f t="array" ref="S79">IF(OR($E79="",$I79=""),"",(INDEX('Emission factors'!$K$3:$V$201,MATCH('Buildings - Heat &amp; Fuels'!$E79&amp;$F79,'Emission factors'!$J$3:$J$201&amp;'Emission factors'!$K$3:$K$201,0),MATCH('Buildings - Heat &amp; Fuels'!S$6,'Emission factors'!$K$2:$V$2,0)))*$K79)</f>
        <v/>
      </c>
      <c r="T79" s="157" t="str" cm="1">
        <f t="array" ref="T79">IF(OR($E79="",$I79=""),"",(INDEX('Emission factors'!$K$3:$V$201,MATCH('Buildings - Heat &amp; Fuels'!$E79&amp;$F79,'Emission factors'!$J$3:$J$201&amp;'Emission factors'!$K$3:$K$201,0),MATCH('Buildings - Heat &amp; Fuels'!T$6,'Emission factors'!$K$2:$V$2,0)))*$K79)</f>
        <v/>
      </c>
      <c r="U79" s="157" t="str" cm="1">
        <f t="array" ref="U79">IF(OR($E79="",$I79=""),"",(INDEX('Emission factors'!$K$3:$V$201,MATCH('Buildings - Heat &amp; Fuels'!$E79&amp;$F79,'Emission factors'!$J$3:$J$201&amp;'Emission factors'!$K$3:$K$201,0),MATCH('Buildings - Heat &amp; Fuels'!U$6,'Emission factors'!$K$2:$V$2,0)))*$K79)</f>
        <v/>
      </c>
      <c r="V79" s="158" t="str">
        <f>IF(OR($N79="",BuildingsHeatFuelsTable[[#This Row],[RSD]]=""),"",BuildingsHeatFuelsTable[[#This Row],[Total emissions (kgCO2e)]]*(1+BuildingsHeatFuelsTable[[#This Row],[RSD]]))</f>
        <v/>
      </c>
      <c r="W79" s="159" t="str">
        <f>IF(OR($N79="",BuildingsHeatFuelsTable[[#This Row],[RSD]]=""),"",BuildingsHeatFuelsTable[[#This Row],[Total emissions (kgCO2e)]]*(1-BuildingsHeatFuelsTable[[#This Row],[RSD]]))</f>
        <v/>
      </c>
      <c r="X79" s="169" t="str" cm="1">
        <f t="array" ref="X79">IF(OR($E79="",$I79=""),"",(INDEX('Emission factors'!$K$3:$V$201,MATCH('Buildings - Heat &amp; Fuels'!$E79&amp;$F79,'Emission factors'!$J$3:$J$201&amp;'Emission factors'!$K$3:$K$201,0),MATCH('Buildings - Heat &amp; Fuels'!X$6,'Emission factors'!$K$2:$V$2,0)))*$K79)</f>
        <v/>
      </c>
      <c r="Y79" s="30"/>
      <c r="Z79" s="1" cm="1">
        <f t="array" ref="Z79">IF(OR(ISERROR(B79:X79)),1,0)</f>
        <v>0</v>
      </c>
      <c r="AA79" s="1">
        <f t="shared" si="0"/>
        <v>0</v>
      </c>
    </row>
    <row r="80" spans="1:27" ht="15" outlineLevel="1" thickBot="1" x14ac:dyDescent="0.4">
      <c r="A80" s="319"/>
      <c r="B80" s="216"/>
      <c r="C80" s="216"/>
      <c r="D80" s="489" t="str">
        <f>IFERROR(INDEX(BuildingInformationTable[Site type],MATCH(BuildingsHeatFuelsTable[[#This Row],[Site name]],BuildingInformationTable[Site name],0)),"")</f>
        <v/>
      </c>
      <c r="E80" s="491"/>
      <c r="F80" s="491"/>
      <c r="G80" s="491"/>
      <c r="H80" s="492" t="str">
        <f>IF(G80="","",INDEX(Lists!$BA$4:$BC$31,MATCH(E80,Lists!$AZ$4:$AZ$31,0),MATCH(G80,Lists!$BA$3:$BC$3,0)))</f>
        <v/>
      </c>
      <c r="I80" s="267"/>
      <c r="J80" s="491"/>
      <c r="K80" s="493" t="str" cm="1">
        <f t="array" ref="K80">IF(OR($E80="",$D80="",$I80="",$J80=""),"",IF(J80=L80,I80,(INDEX('Emission factors'!$K$3:$V$201,MATCH(E80&amp;F80,'Emission factors'!$J$3:$J$201&amp;'Emission factors'!$K$3:$K$201,0),MATCH(K$6,'Emission factors'!$K$2:$V$2,0)))*I80))</f>
        <v/>
      </c>
      <c r="L80" s="494" t="str">
        <f>IF(OR($E80="",$D80="",$I80="",$J80=""),"",INDEX('Emission factors'!$K$3:$V$201,MATCH('Buildings - Heat &amp; Fuels'!$E80,'Emission factors'!$J$3:$J$201,0),MATCH($L$6,'Emission factors'!$K$2:$V$2,0)))</f>
        <v/>
      </c>
      <c r="M80" s="495" t="str" cm="1">
        <f t="array" ref="M80">IF(OR(E80="",I80="",BuildingsHeatFuelsTable[[#This Row],[Units]]=""),"",INDEX('Emission factors'!$K$3:$V$201,MATCH('Buildings - Heat &amp; Fuels'!$E80&amp;F80,'Emission factors'!$J$3:$J$201&amp;'Emission factors'!$K$3:$K$201,0),MATCH('Buildings - Heat &amp; Fuels'!$M$6,'Emission factors'!$K$2:$V$2,0)))</f>
        <v/>
      </c>
      <c r="N80" s="496" t="str">
        <f>IF(OR(K80="",M80=""),"",SUM(BuildingsHeatFuelsTable[[#This Row],[Direct]:[Indirect WTT]]))</f>
        <v/>
      </c>
      <c r="O80" s="268"/>
      <c r="P80" s="497"/>
      <c r="Q80" s="157" t="str" cm="1">
        <f t="array" ref="Q80">IF(OR($E80="",$I80=""),"",(INDEX('Emission factors'!$K$3:$V$201,MATCH('Buildings - Heat &amp; Fuels'!$E80&amp;$F80,'Emission factors'!$J$3:$J$201&amp;'Emission factors'!$K$3:$K$201,0),MATCH('Buildings - Heat &amp; Fuels'!Q$6,'Emission factors'!$K$2:$V$2,0)))*$K80)</f>
        <v/>
      </c>
      <c r="R80" s="157" t="str" cm="1">
        <f t="array" ref="R80">IF(OR($E80="",$I80=""),"",(INDEX('Emission factors'!$K$3:$V$201,MATCH('Buildings - Heat &amp; Fuels'!$E80&amp;$F80,'Emission factors'!$J$3:$J$201&amp;'Emission factors'!$K$3:$K$201,0),MATCH('Buildings - Heat &amp; Fuels'!R$6,'Emission factors'!$K$2:$V$2,0)))*$K80)</f>
        <v/>
      </c>
      <c r="S80" s="157" t="str" cm="1">
        <f t="array" ref="S80">IF(OR($E80="",$I80=""),"",(INDEX('Emission factors'!$K$3:$V$201,MATCH('Buildings - Heat &amp; Fuels'!$E80&amp;$F80,'Emission factors'!$J$3:$J$201&amp;'Emission factors'!$K$3:$K$201,0),MATCH('Buildings - Heat &amp; Fuels'!S$6,'Emission factors'!$K$2:$V$2,0)))*$K80)</f>
        <v/>
      </c>
      <c r="T80" s="157" t="str" cm="1">
        <f t="array" ref="T80">IF(OR($E80="",$I80=""),"",(INDEX('Emission factors'!$K$3:$V$201,MATCH('Buildings - Heat &amp; Fuels'!$E80&amp;$F80,'Emission factors'!$J$3:$J$201&amp;'Emission factors'!$K$3:$K$201,0),MATCH('Buildings - Heat &amp; Fuels'!T$6,'Emission factors'!$K$2:$V$2,0)))*$K80)</f>
        <v/>
      </c>
      <c r="U80" s="157" t="str" cm="1">
        <f t="array" ref="U80">IF(OR($E80="",$I80=""),"",(INDEX('Emission factors'!$K$3:$V$201,MATCH('Buildings - Heat &amp; Fuels'!$E80&amp;$F80,'Emission factors'!$J$3:$J$201&amp;'Emission factors'!$K$3:$K$201,0),MATCH('Buildings - Heat &amp; Fuels'!U$6,'Emission factors'!$K$2:$V$2,0)))*$K80)</f>
        <v/>
      </c>
      <c r="V80" s="158" t="str">
        <f>IF(OR($N80="",BuildingsHeatFuelsTable[[#This Row],[RSD]]=""),"",BuildingsHeatFuelsTable[[#This Row],[Total emissions (kgCO2e)]]*(1+BuildingsHeatFuelsTable[[#This Row],[RSD]]))</f>
        <v/>
      </c>
      <c r="W80" s="159" t="str">
        <f>IF(OR($N80="",BuildingsHeatFuelsTable[[#This Row],[RSD]]=""),"",BuildingsHeatFuelsTable[[#This Row],[Total emissions (kgCO2e)]]*(1-BuildingsHeatFuelsTable[[#This Row],[RSD]]))</f>
        <v/>
      </c>
      <c r="X80" s="169" t="str" cm="1">
        <f t="array" ref="X80">IF(OR($E80="",$I80=""),"",(INDEX('Emission factors'!$K$3:$V$201,MATCH('Buildings - Heat &amp; Fuels'!$E80&amp;$F80,'Emission factors'!$J$3:$J$201&amp;'Emission factors'!$K$3:$K$201,0),MATCH('Buildings - Heat &amp; Fuels'!X$6,'Emission factors'!$K$2:$V$2,0)))*$K80)</f>
        <v/>
      </c>
      <c r="Y80" s="30"/>
      <c r="Z80" s="1" cm="1">
        <f t="array" ref="Z80">IF(OR(ISERROR(B80:X80)),1,0)</f>
        <v>0</v>
      </c>
      <c r="AA80" s="1">
        <f t="shared" si="0"/>
        <v>0</v>
      </c>
    </row>
    <row r="81" spans="1:27" ht="15" outlineLevel="1" thickBot="1" x14ac:dyDescent="0.4">
      <c r="A81" s="319"/>
      <c r="B81" s="216"/>
      <c r="C81" s="216"/>
      <c r="D81" s="489" t="str">
        <f>IFERROR(INDEX(BuildingInformationTable[Site type],MATCH(BuildingsHeatFuelsTable[[#This Row],[Site name]],BuildingInformationTable[Site name],0)),"")</f>
        <v/>
      </c>
      <c r="E81" s="491"/>
      <c r="F81" s="491"/>
      <c r="G81" s="491"/>
      <c r="H81" s="492" t="str">
        <f>IF(G81="","",INDEX(Lists!$BA$4:$BC$31,MATCH(E81,Lists!$AZ$4:$AZ$31,0),MATCH(G81,Lists!$BA$3:$BC$3,0)))</f>
        <v/>
      </c>
      <c r="I81" s="267"/>
      <c r="J81" s="491"/>
      <c r="K81" s="493" t="str" cm="1">
        <f t="array" ref="K81">IF(OR($E81="",$D81="",$I81="",$J81=""),"",IF(J81=L81,I81,(INDEX('Emission factors'!$K$3:$V$201,MATCH(E81&amp;F81,'Emission factors'!$J$3:$J$201&amp;'Emission factors'!$K$3:$K$201,0),MATCH(K$6,'Emission factors'!$K$2:$V$2,0)))*I81))</f>
        <v/>
      </c>
      <c r="L81" s="494" t="str">
        <f>IF(OR($E81="",$D81="",$I81="",$J81=""),"",INDEX('Emission factors'!$K$3:$V$201,MATCH('Buildings - Heat &amp; Fuels'!$E81,'Emission factors'!$J$3:$J$201,0),MATCH($L$6,'Emission factors'!$K$2:$V$2,0)))</f>
        <v/>
      </c>
      <c r="M81" s="495" t="str" cm="1">
        <f t="array" ref="M81">IF(OR(E81="",I81="",BuildingsHeatFuelsTable[[#This Row],[Units]]=""),"",INDEX('Emission factors'!$K$3:$V$201,MATCH('Buildings - Heat &amp; Fuels'!$E81&amp;F81,'Emission factors'!$J$3:$J$201&amp;'Emission factors'!$K$3:$K$201,0),MATCH('Buildings - Heat &amp; Fuels'!$M$6,'Emission factors'!$K$2:$V$2,0)))</f>
        <v/>
      </c>
      <c r="N81" s="496" t="str">
        <f>IF(OR(K81="",M81=""),"",SUM(BuildingsHeatFuelsTable[[#This Row],[Direct]:[Indirect WTT]]))</f>
        <v/>
      </c>
      <c r="O81" s="268"/>
      <c r="P81" s="497"/>
      <c r="Q81" s="157" t="str" cm="1">
        <f t="array" ref="Q81">IF(OR($E81="",$I81=""),"",(INDEX('Emission factors'!$K$3:$V$201,MATCH('Buildings - Heat &amp; Fuels'!$E81&amp;$F81,'Emission factors'!$J$3:$J$201&amp;'Emission factors'!$K$3:$K$201,0),MATCH('Buildings - Heat &amp; Fuels'!Q$6,'Emission factors'!$K$2:$V$2,0)))*$K81)</f>
        <v/>
      </c>
      <c r="R81" s="157" t="str" cm="1">
        <f t="array" ref="R81">IF(OR($E81="",$I81=""),"",(INDEX('Emission factors'!$K$3:$V$201,MATCH('Buildings - Heat &amp; Fuels'!$E81&amp;$F81,'Emission factors'!$J$3:$J$201&amp;'Emission factors'!$K$3:$K$201,0),MATCH('Buildings - Heat &amp; Fuels'!R$6,'Emission factors'!$K$2:$V$2,0)))*$K81)</f>
        <v/>
      </c>
      <c r="S81" s="157" t="str" cm="1">
        <f t="array" ref="S81">IF(OR($E81="",$I81=""),"",(INDEX('Emission factors'!$K$3:$V$201,MATCH('Buildings - Heat &amp; Fuels'!$E81&amp;$F81,'Emission factors'!$J$3:$J$201&amp;'Emission factors'!$K$3:$K$201,0),MATCH('Buildings - Heat &amp; Fuels'!S$6,'Emission factors'!$K$2:$V$2,0)))*$K81)</f>
        <v/>
      </c>
      <c r="T81" s="157" t="str" cm="1">
        <f t="array" ref="T81">IF(OR($E81="",$I81=""),"",(INDEX('Emission factors'!$K$3:$V$201,MATCH('Buildings - Heat &amp; Fuels'!$E81&amp;$F81,'Emission factors'!$J$3:$J$201&amp;'Emission factors'!$K$3:$K$201,0),MATCH('Buildings - Heat &amp; Fuels'!T$6,'Emission factors'!$K$2:$V$2,0)))*$K81)</f>
        <v/>
      </c>
      <c r="U81" s="157" t="str" cm="1">
        <f t="array" ref="U81">IF(OR($E81="",$I81=""),"",(INDEX('Emission factors'!$K$3:$V$201,MATCH('Buildings - Heat &amp; Fuels'!$E81&amp;$F81,'Emission factors'!$J$3:$J$201&amp;'Emission factors'!$K$3:$K$201,0),MATCH('Buildings - Heat &amp; Fuels'!U$6,'Emission factors'!$K$2:$V$2,0)))*$K81)</f>
        <v/>
      </c>
      <c r="V81" s="158" t="str">
        <f>IF(OR($N81="",BuildingsHeatFuelsTable[[#This Row],[RSD]]=""),"",BuildingsHeatFuelsTable[[#This Row],[Total emissions (kgCO2e)]]*(1+BuildingsHeatFuelsTable[[#This Row],[RSD]]))</f>
        <v/>
      </c>
      <c r="W81" s="159" t="str">
        <f>IF(OR($N81="",BuildingsHeatFuelsTable[[#This Row],[RSD]]=""),"",BuildingsHeatFuelsTable[[#This Row],[Total emissions (kgCO2e)]]*(1-BuildingsHeatFuelsTable[[#This Row],[RSD]]))</f>
        <v/>
      </c>
      <c r="X81" s="169" t="str" cm="1">
        <f t="array" ref="X81">IF(OR($E81="",$I81=""),"",(INDEX('Emission factors'!$K$3:$V$201,MATCH('Buildings - Heat &amp; Fuels'!$E81&amp;$F81,'Emission factors'!$J$3:$J$201&amp;'Emission factors'!$K$3:$K$201,0),MATCH('Buildings - Heat &amp; Fuels'!X$6,'Emission factors'!$K$2:$V$2,0)))*$K81)</f>
        <v/>
      </c>
      <c r="Y81" s="30"/>
      <c r="Z81" s="1" cm="1">
        <f t="array" ref="Z81">IF(OR(ISERROR(B81:X81)),1,0)</f>
        <v>0</v>
      </c>
      <c r="AA81" s="1">
        <f t="shared" si="0"/>
        <v>0</v>
      </c>
    </row>
    <row r="82" spans="1:27" ht="15" outlineLevel="1" thickBot="1" x14ac:dyDescent="0.4">
      <c r="A82" s="319"/>
      <c r="B82" s="216"/>
      <c r="C82" s="216"/>
      <c r="D82" s="489" t="str">
        <f>IFERROR(INDEX(BuildingInformationTable[Site type],MATCH(BuildingsHeatFuelsTable[[#This Row],[Site name]],BuildingInformationTable[Site name],0)),"")</f>
        <v/>
      </c>
      <c r="E82" s="491"/>
      <c r="F82" s="491"/>
      <c r="G82" s="491"/>
      <c r="H82" s="492" t="str">
        <f>IF(G82="","",INDEX(Lists!$BA$4:$BC$31,MATCH(E82,Lists!$AZ$4:$AZ$31,0),MATCH(G82,Lists!$BA$3:$BC$3,0)))</f>
        <v/>
      </c>
      <c r="I82" s="267"/>
      <c r="J82" s="491"/>
      <c r="K82" s="493" t="str" cm="1">
        <f t="array" ref="K82">IF(OR($E82="",$D82="",$I82="",$J82=""),"",IF(J82=L82,I82,(INDEX('Emission factors'!$K$3:$V$201,MATCH(E82&amp;F82,'Emission factors'!$J$3:$J$201&amp;'Emission factors'!$K$3:$K$201,0),MATCH(K$6,'Emission factors'!$K$2:$V$2,0)))*I82))</f>
        <v/>
      </c>
      <c r="L82" s="494" t="str">
        <f>IF(OR($E82="",$D82="",$I82="",$J82=""),"",INDEX('Emission factors'!$K$3:$V$201,MATCH('Buildings - Heat &amp; Fuels'!$E82,'Emission factors'!$J$3:$J$201,0),MATCH($L$6,'Emission factors'!$K$2:$V$2,0)))</f>
        <v/>
      </c>
      <c r="M82" s="495" t="str" cm="1">
        <f t="array" ref="M82">IF(OR(E82="",I82="",BuildingsHeatFuelsTable[[#This Row],[Units]]=""),"",INDEX('Emission factors'!$K$3:$V$201,MATCH('Buildings - Heat &amp; Fuels'!$E82&amp;F82,'Emission factors'!$J$3:$J$201&amp;'Emission factors'!$K$3:$K$201,0),MATCH('Buildings - Heat &amp; Fuels'!$M$6,'Emission factors'!$K$2:$V$2,0)))</f>
        <v/>
      </c>
      <c r="N82" s="496" t="str">
        <f>IF(OR(K82="",M82=""),"",SUM(BuildingsHeatFuelsTable[[#This Row],[Direct]:[Indirect WTT]]))</f>
        <v/>
      </c>
      <c r="O82" s="268"/>
      <c r="P82" s="497"/>
      <c r="Q82" s="157" t="str" cm="1">
        <f t="array" ref="Q82">IF(OR($E82="",$I82=""),"",(INDEX('Emission factors'!$K$3:$V$201,MATCH('Buildings - Heat &amp; Fuels'!$E82&amp;$F82,'Emission factors'!$J$3:$J$201&amp;'Emission factors'!$K$3:$K$201,0),MATCH('Buildings - Heat &amp; Fuels'!Q$6,'Emission factors'!$K$2:$V$2,0)))*$K82)</f>
        <v/>
      </c>
      <c r="R82" s="157" t="str" cm="1">
        <f t="array" ref="R82">IF(OR($E82="",$I82=""),"",(INDEX('Emission factors'!$K$3:$V$201,MATCH('Buildings - Heat &amp; Fuels'!$E82&amp;$F82,'Emission factors'!$J$3:$J$201&amp;'Emission factors'!$K$3:$K$201,0),MATCH('Buildings - Heat &amp; Fuels'!R$6,'Emission factors'!$K$2:$V$2,0)))*$K82)</f>
        <v/>
      </c>
      <c r="S82" s="157" t="str" cm="1">
        <f t="array" ref="S82">IF(OR($E82="",$I82=""),"",(INDEX('Emission factors'!$K$3:$V$201,MATCH('Buildings - Heat &amp; Fuels'!$E82&amp;$F82,'Emission factors'!$J$3:$J$201&amp;'Emission factors'!$K$3:$K$201,0),MATCH('Buildings - Heat &amp; Fuels'!S$6,'Emission factors'!$K$2:$V$2,0)))*$K82)</f>
        <v/>
      </c>
      <c r="T82" s="157" t="str" cm="1">
        <f t="array" ref="T82">IF(OR($E82="",$I82=""),"",(INDEX('Emission factors'!$K$3:$V$201,MATCH('Buildings - Heat &amp; Fuels'!$E82&amp;$F82,'Emission factors'!$J$3:$J$201&amp;'Emission factors'!$K$3:$K$201,0),MATCH('Buildings - Heat &amp; Fuels'!T$6,'Emission factors'!$K$2:$V$2,0)))*$K82)</f>
        <v/>
      </c>
      <c r="U82" s="157" t="str" cm="1">
        <f t="array" ref="U82">IF(OR($E82="",$I82=""),"",(INDEX('Emission factors'!$K$3:$V$201,MATCH('Buildings - Heat &amp; Fuels'!$E82&amp;$F82,'Emission factors'!$J$3:$J$201&amp;'Emission factors'!$K$3:$K$201,0),MATCH('Buildings - Heat &amp; Fuels'!U$6,'Emission factors'!$K$2:$V$2,0)))*$K82)</f>
        <v/>
      </c>
      <c r="V82" s="158" t="str">
        <f>IF(OR($N82="",BuildingsHeatFuelsTable[[#This Row],[RSD]]=""),"",BuildingsHeatFuelsTable[[#This Row],[Total emissions (kgCO2e)]]*(1+BuildingsHeatFuelsTable[[#This Row],[RSD]]))</f>
        <v/>
      </c>
      <c r="W82" s="159" t="str">
        <f>IF(OR($N82="",BuildingsHeatFuelsTable[[#This Row],[RSD]]=""),"",BuildingsHeatFuelsTable[[#This Row],[Total emissions (kgCO2e)]]*(1-BuildingsHeatFuelsTable[[#This Row],[RSD]]))</f>
        <v/>
      </c>
      <c r="X82" s="169" t="str" cm="1">
        <f t="array" ref="X82">IF(OR($E82="",$I82=""),"",(INDEX('Emission factors'!$K$3:$V$201,MATCH('Buildings - Heat &amp; Fuels'!$E82&amp;$F82,'Emission factors'!$J$3:$J$201&amp;'Emission factors'!$K$3:$K$201,0),MATCH('Buildings - Heat &amp; Fuels'!X$6,'Emission factors'!$K$2:$V$2,0)))*$K82)</f>
        <v/>
      </c>
      <c r="Y82" s="30"/>
      <c r="Z82" s="1" cm="1">
        <f t="array" ref="Z82">IF(OR(ISERROR(B82:X82)),1,0)</f>
        <v>0</v>
      </c>
      <c r="AA82" s="1">
        <f t="shared" si="0"/>
        <v>0</v>
      </c>
    </row>
    <row r="83" spans="1:27" ht="15" outlineLevel="1" thickBot="1" x14ac:dyDescent="0.4">
      <c r="A83" s="319"/>
      <c r="B83" s="216"/>
      <c r="C83" s="216"/>
      <c r="D83" s="489" t="str">
        <f>IFERROR(INDEX(BuildingInformationTable[Site type],MATCH(BuildingsHeatFuelsTable[[#This Row],[Site name]],BuildingInformationTable[Site name],0)),"")</f>
        <v/>
      </c>
      <c r="E83" s="491"/>
      <c r="F83" s="491"/>
      <c r="G83" s="491"/>
      <c r="H83" s="492" t="str">
        <f>IF(G83="","",INDEX(Lists!$BA$4:$BC$31,MATCH(E83,Lists!$AZ$4:$AZ$31,0),MATCH(G83,Lists!$BA$3:$BC$3,0)))</f>
        <v/>
      </c>
      <c r="I83" s="267"/>
      <c r="J83" s="491"/>
      <c r="K83" s="493" t="str" cm="1">
        <f t="array" ref="K83">IF(OR($E83="",$D83="",$I83="",$J83=""),"",IF(J83=L83,I83,(INDEX('Emission factors'!$K$3:$V$201,MATCH(E83&amp;F83,'Emission factors'!$J$3:$J$201&amp;'Emission factors'!$K$3:$K$201,0),MATCH(K$6,'Emission factors'!$K$2:$V$2,0)))*I83))</f>
        <v/>
      </c>
      <c r="L83" s="494" t="str">
        <f>IF(OR($E83="",$D83="",$I83="",$J83=""),"",INDEX('Emission factors'!$K$3:$V$201,MATCH('Buildings - Heat &amp; Fuels'!$E83,'Emission factors'!$J$3:$J$201,0),MATCH($L$6,'Emission factors'!$K$2:$V$2,0)))</f>
        <v/>
      </c>
      <c r="M83" s="495" t="str" cm="1">
        <f t="array" ref="M83">IF(OR(E83="",I83="",BuildingsHeatFuelsTable[[#This Row],[Units]]=""),"",INDEX('Emission factors'!$K$3:$V$201,MATCH('Buildings - Heat &amp; Fuels'!$E83&amp;F83,'Emission factors'!$J$3:$J$201&amp;'Emission factors'!$K$3:$K$201,0),MATCH('Buildings - Heat &amp; Fuels'!$M$6,'Emission factors'!$K$2:$V$2,0)))</f>
        <v/>
      </c>
      <c r="N83" s="496" t="str">
        <f>IF(OR(K83="",M83=""),"",SUM(BuildingsHeatFuelsTable[[#This Row],[Direct]:[Indirect WTT]]))</f>
        <v/>
      </c>
      <c r="O83" s="268"/>
      <c r="P83" s="497"/>
      <c r="Q83" s="157" t="str" cm="1">
        <f t="array" ref="Q83">IF(OR($E83="",$I83=""),"",(INDEX('Emission factors'!$K$3:$V$201,MATCH('Buildings - Heat &amp; Fuels'!$E83&amp;$F83,'Emission factors'!$J$3:$J$201&amp;'Emission factors'!$K$3:$K$201,0),MATCH('Buildings - Heat &amp; Fuels'!Q$6,'Emission factors'!$K$2:$V$2,0)))*$K83)</f>
        <v/>
      </c>
      <c r="R83" s="157" t="str" cm="1">
        <f t="array" ref="R83">IF(OR($E83="",$I83=""),"",(INDEX('Emission factors'!$K$3:$V$201,MATCH('Buildings - Heat &amp; Fuels'!$E83&amp;$F83,'Emission factors'!$J$3:$J$201&amp;'Emission factors'!$K$3:$K$201,0),MATCH('Buildings - Heat &amp; Fuels'!R$6,'Emission factors'!$K$2:$V$2,0)))*$K83)</f>
        <v/>
      </c>
      <c r="S83" s="157" t="str" cm="1">
        <f t="array" ref="S83">IF(OR($E83="",$I83=""),"",(INDEX('Emission factors'!$K$3:$V$201,MATCH('Buildings - Heat &amp; Fuels'!$E83&amp;$F83,'Emission factors'!$J$3:$J$201&amp;'Emission factors'!$K$3:$K$201,0),MATCH('Buildings - Heat &amp; Fuels'!S$6,'Emission factors'!$K$2:$V$2,0)))*$K83)</f>
        <v/>
      </c>
      <c r="T83" s="157" t="str" cm="1">
        <f t="array" ref="T83">IF(OR($E83="",$I83=""),"",(INDEX('Emission factors'!$K$3:$V$201,MATCH('Buildings - Heat &amp; Fuels'!$E83&amp;$F83,'Emission factors'!$J$3:$J$201&amp;'Emission factors'!$K$3:$K$201,0),MATCH('Buildings - Heat &amp; Fuels'!T$6,'Emission factors'!$K$2:$V$2,0)))*$K83)</f>
        <v/>
      </c>
      <c r="U83" s="157" t="str" cm="1">
        <f t="array" ref="U83">IF(OR($E83="",$I83=""),"",(INDEX('Emission factors'!$K$3:$V$201,MATCH('Buildings - Heat &amp; Fuels'!$E83&amp;$F83,'Emission factors'!$J$3:$J$201&amp;'Emission factors'!$K$3:$K$201,0),MATCH('Buildings - Heat &amp; Fuels'!U$6,'Emission factors'!$K$2:$V$2,0)))*$K83)</f>
        <v/>
      </c>
      <c r="V83" s="158" t="str">
        <f>IF(OR($N83="",BuildingsHeatFuelsTable[[#This Row],[RSD]]=""),"",BuildingsHeatFuelsTable[[#This Row],[Total emissions (kgCO2e)]]*(1+BuildingsHeatFuelsTable[[#This Row],[RSD]]))</f>
        <v/>
      </c>
      <c r="W83" s="159" t="str">
        <f>IF(OR($N83="",BuildingsHeatFuelsTable[[#This Row],[RSD]]=""),"",BuildingsHeatFuelsTable[[#This Row],[Total emissions (kgCO2e)]]*(1-BuildingsHeatFuelsTable[[#This Row],[RSD]]))</f>
        <v/>
      </c>
      <c r="X83" s="169" t="str" cm="1">
        <f t="array" ref="X83">IF(OR($E83="",$I83=""),"",(INDEX('Emission factors'!$K$3:$V$201,MATCH('Buildings - Heat &amp; Fuels'!$E83&amp;$F83,'Emission factors'!$J$3:$J$201&amp;'Emission factors'!$K$3:$K$201,0),MATCH('Buildings - Heat &amp; Fuels'!X$6,'Emission factors'!$K$2:$V$2,0)))*$K83)</f>
        <v/>
      </c>
      <c r="Y83" s="30"/>
      <c r="Z83" s="1" cm="1">
        <f t="array" ref="Z83">IF(OR(ISERROR(B83:X83)),1,0)</f>
        <v>0</v>
      </c>
      <c r="AA83" s="1">
        <f t="shared" si="0"/>
        <v>0</v>
      </c>
    </row>
    <row r="84" spans="1:27" ht="15" outlineLevel="1" thickBot="1" x14ac:dyDescent="0.4">
      <c r="A84" s="319"/>
      <c r="B84" s="216"/>
      <c r="C84" s="216"/>
      <c r="D84" s="489" t="str">
        <f>IFERROR(INDEX(BuildingInformationTable[Site type],MATCH(BuildingsHeatFuelsTable[[#This Row],[Site name]],BuildingInformationTable[Site name],0)),"")</f>
        <v/>
      </c>
      <c r="E84" s="491"/>
      <c r="F84" s="491"/>
      <c r="G84" s="491"/>
      <c r="H84" s="492" t="str">
        <f>IF(G84="","",INDEX(Lists!$BA$4:$BC$31,MATCH(E84,Lists!$AZ$4:$AZ$31,0),MATCH(G84,Lists!$BA$3:$BC$3,0)))</f>
        <v/>
      </c>
      <c r="I84" s="267"/>
      <c r="J84" s="491"/>
      <c r="K84" s="493" t="str" cm="1">
        <f t="array" ref="K84">IF(OR($E84="",$D84="",$I84="",$J84=""),"",IF(J84=L84,I84,(INDEX('Emission factors'!$K$3:$V$201,MATCH(E84&amp;F84,'Emission factors'!$J$3:$J$201&amp;'Emission factors'!$K$3:$K$201,0),MATCH(K$6,'Emission factors'!$K$2:$V$2,0)))*I84))</f>
        <v/>
      </c>
      <c r="L84" s="494" t="str">
        <f>IF(OR($E84="",$D84="",$I84="",$J84=""),"",INDEX('Emission factors'!$K$3:$V$201,MATCH('Buildings - Heat &amp; Fuels'!$E84,'Emission factors'!$J$3:$J$201,0),MATCH($L$6,'Emission factors'!$K$2:$V$2,0)))</f>
        <v/>
      </c>
      <c r="M84" s="495" t="str" cm="1">
        <f t="array" ref="M84">IF(OR(E84="",I84="",BuildingsHeatFuelsTable[[#This Row],[Units]]=""),"",INDEX('Emission factors'!$K$3:$V$201,MATCH('Buildings - Heat &amp; Fuels'!$E84&amp;F84,'Emission factors'!$J$3:$J$201&amp;'Emission factors'!$K$3:$K$201,0),MATCH('Buildings - Heat &amp; Fuels'!$M$6,'Emission factors'!$K$2:$V$2,0)))</f>
        <v/>
      </c>
      <c r="N84" s="496" t="str">
        <f>IF(OR(K84="",M84=""),"",SUM(BuildingsHeatFuelsTable[[#This Row],[Direct]:[Indirect WTT]]))</f>
        <v/>
      </c>
      <c r="O84" s="268"/>
      <c r="P84" s="497"/>
      <c r="Q84" s="157" t="str" cm="1">
        <f t="array" ref="Q84">IF(OR($E84="",$I84=""),"",(INDEX('Emission factors'!$K$3:$V$201,MATCH('Buildings - Heat &amp; Fuels'!$E84&amp;$F84,'Emission factors'!$J$3:$J$201&amp;'Emission factors'!$K$3:$K$201,0),MATCH('Buildings - Heat &amp; Fuels'!Q$6,'Emission factors'!$K$2:$V$2,0)))*$K84)</f>
        <v/>
      </c>
      <c r="R84" s="157" t="str" cm="1">
        <f t="array" ref="R84">IF(OR($E84="",$I84=""),"",(INDEX('Emission factors'!$K$3:$V$201,MATCH('Buildings - Heat &amp; Fuels'!$E84&amp;$F84,'Emission factors'!$J$3:$J$201&amp;'Emission factors'!$K$3:$K$201,0),MATCH('Buildings - Heat &amp; Fuels'!R$6,'Emission factors'!$K$2:$V$2,0)))*$K84)</f>
        <v/>
      </c>
      <c r="S84" s="157" t="str" cm="1">
        <f t="array" ref="S84">IF(OR($E84="",$I84=""),"",(INDEX('Emission factors'!$K$3:$V$201,MATCH('Buildings - Heat &amp; Fuels'!$E84&amp;$F84,'Emission factors'!$J$3:$J$201&amp;'Emission factors'!$K$3:$K$201,0),MATCH('Buildings - Heat &amp; Fuels'!S$6,'Emission factors'!$K$2:$V$2,0)))*$K84)</f>
        <v/>
      </c>
      <c r="T84" s="157" t="str" cm="1">
        <f t="array" ref="T84">IF(OR($E84="",$I84=""),"",(INDEX('Emission factors'!$K$3:$V$201,MATCH('Buildings - Heat &amp; Fuels'!$E84&amp;$F84,'Emission factors'!$J$3:$J$201&amp;'Emission factors'!$K$3:$K$201,0),MATCH('Buildings - Heat &amp; Fuels'!T$6,'Emission factors'!$K$2:$V$2,0)))*$K84)</f>
        <v/>
      </c>
      <c r="U84" s="157" t="str" cm="1">
        <f t="array" ref="U84">IF(OR($E84="",$I84=""),"",(INDEX('Emission factors'!$K$3:$V$201,MATCH('Buildings - Heat &amp; Fuels'!$E84&amp;$F84,'Emission factors'!$J$3:$J$201&amp;'Emission factors'!$K$3:$K$201,0),MATCH('Buildings - Heat &amp; Fuels'!U$6,'Emission factors'!$K$2:$V$2,0)))*$K84)</f>
        <v/>
      </c>
      <c r="V84" s="158" t="str">
        <f>IF(OR($N84="",BuildingsHeatFuelsTable[[#This Row],[RSD]]=""),"",BuildingsHeatFuelsTable[[#This Row],[Total emissions (kgCO2e)]]*(1+BuildingsHeatFuelsTable[[#This Row],[RSD]]))</f>
        <v/>
      </c>
      <c r="W84" s="159" t="str">
        <f>IF(OR($N84="",BuildingsHeatFuelsTable[[#This Row],[RSD]]=""),"",BuildingsHeatFuelsTable[[#This Row],[Total emissions (kgCO2e)]]*(1-BuildingsHeatFuelsTable[[#This Row],[RSD]]))</f>
        <v/>
      </c>
      <c r="X84" s="169" t="str" cm="1">
        <f t="array" ref="X84">IF(OR($E84="",$I84=""),"",(INDEX('Emission factors'!$K$3:$V$201,MATCH('Buildings - Heat &amp; Fuels'!$E84&amp;$F84,'Emission factors'!$J$3:$J$201&amp;'Emission factors'!$K$3:$K$201,0),MATCH('Buildings - Heat &amp; Fuels'!X$6,'Emission factors'!$K$2:$V$2,0)))*$K84)</f>
        <v/>
      </c>
      <c r="Y84" s="30"/>
      <c r="Z84" s="1" cm="1">
        <f t="array" ref="Z84">IF(OR(ISERROR(B84:X84)),1,0)</f>
        <v>0</v>
      </c>
      <c r="AA84" s="1">
        <f t="shared" si="0"/>
        <v>0</v>
      </c>
    </row>
    <row r="85" spans="1:27" ht="15" outlineLevel="1" thickBot="1" x14ac:dyDescent="0.4">
      <c r="A85" s="319"/>
      <c r="B85" s="216"/>
      <c r="C85" s="216"/>
      <c r="D85" s="489" t="str">
        <f>IFERROR(INDEX(BuildingInformationTable[Site type],MATCH(BuildingsHeatFuelsTable[[#This Row],[Site name]],BuildingInformationTable[Site name],0)),"")</f>
        <v/>
      </c>
      <c r="E85" s="491"/>
      <c r="F85" s="491"/>
      <c r="G85" s="491"/>
      <c r="H85" s="492" t="str">
        <f>IF(G85="","",INDEX(Lists!$BA$4:$BC$31,MATCH(E85,Lists!$AZ$4:$AZ$31,0),MATCH(G85,Lists!$BA$3:$BC$3,0)))</f>
        <v/>
      </c>
      <c r="I85" s="267"/>
      <c r="J85" s="491"/>
      <c r="K85" s="493" t="str" cm="1">
        <f t="array" ref="K85">IF(OR($E85="",$D85="",$I85="",$J85=""),"",IF(J85=L85,I85,(INDEX('Emission factors'!$K$3:$V$201,MATCH(E85&amp;F85,'Emission factors'!$J$3:$J$201&amp;'Emission factors'!$K$3:$K$201,0),MATCH(K$6,'Emission factors'!$K$2:$V$2,0)))*I85))</f>
        <v/>
      </c>
      <c r="L85" s="494" t="str">
        <f>IF(OR($E85="",$D85="",$I85="",$J85=""),"",INDEX('Emission factors'!$K$3:$V$201,MATCH('Buildings - Heat &amp; Fuels'!$E85,'Emission factors'!$J$3:$J$201,0),MATCH($L$6,'Emission factors'!$K$2:$V$2,0)))</f>
        <v/>
      </c>
      <c r="M85" s="495" t="str" cm="1">
        <f t="array" ref="M85">IF(OR(E85="",I85="",BuildingsHeatFuelsTable[[#This Row],[Units]]=""),"",INDEX('Emission factors'!$K$3:$V$201,MATCH('Buildings - Heat &amp; Fuels'!$E85&amp;F85,'Emission factors'!$J$3:$J$201&amp;'Emission factors'!$K$3:$K$201,0),MATCH('Buildings - Heat &amp; Fuels'!$M$6,'Emission factors'!$K$2:$V$2,0)))</f>
        <v/>
      </c>
      <c r="N85" s="496" t="str">
        <f>IF(OR(K85="",M85=""),"",SUM(BuildingsHeatFuelsTable[[#This Row],[Direct]:[Indirect WTT]]))</f>
        <v/>
      </c>
      <c r="O85" s="268"/>
      <c r="P85" s="497"/>
      <c r="Q85" s="157" t="str" cm="1">
        <f t="array" ref="Q85">IF(OR($E85="",$I85=""),"",(INDEX('Emission factors'!$K$3:$V$201,MATCH('Buildings - Heat &amp; Fuels'!$E85&amp;$F85,'Emission factors'!$J$3:$J$201&amp;'Emission factors'!$K$3:$K$201,0),MATCH('Buildings - Heat &amp; Fuels'!Q$6,'Emission factors'!$K$2:$V$2,0)))*$K85)</f>
        <v/>
      </c>
      <c r="R85" s="157" t="str" cm="1">
        <f t="array" ref="R85">IF(OR($E85="",$I85=""),"",(INDEX('Emission factors'!$K$3:$V$201,MATCH('Buildings - Heat &amp; Fuels'!$E85&amp;$F85,'Emission factors'!$J$3:$J$201&amp;'Emission factors'!$K$3:$K$201,0),MATCH('Buildings - Heat &amp; Fuels'!R$6,'Emission factors'!$K$2:$V$2,0)))*$K85)</f>
        <v/>
      </c>
      <c r="S85" s="157" t="str" cm="1">
        <f t="array" ref="S85">IF(OR($E85="",$I85=""),"",(INDEX('Emission factors'!$K$3:$V$201,MATCH('Buildings - Heat &amp; Fuels'!$E85&amp;$F85,'Emission factors'!$J$3:$J$201&amp;'Emission factors'!$K$3:$K$201,0),MATCH('Buildings - Heat &amp; Fuels'!S$6,'Emission factors'!$K$2:$V$2,0)))*$K85)</f>
        <v/>
      </c>
      <c r="T85" s="157" t="str" cm="1">
        <f t="array" ref="T85">IF(OR($E85="",$I85=""),"",(INDEX('Emission factors'!$K$3:$V$201,MATCH('Buildings - Heat &amp; Fuels'!$E85&amp;$F85,'Emission factors'!$J$3:$J$201&amp;'Emission factors'!$K$3:$K$201,0),MATCH('Buildings - Heat &amp; Fuels'!T$6,'Emission factors'!$K$2:$V$2,0)))*$K85)</f>
        <v/>
      </c>
      <c r="U85" s="157" t="str" cm="1">
        <f t="array" ref="U85">IF(OR($E85="",$I85=""),"",(INDEX('Emission factors'!$K$3:$V$201,MATCH('Buildings - Heat &amp; Fuels'!$E85&amp;$F85,'Emission factors'!$J$3:$J$201&amp;'Emission factors'!$K$3:$K$201,0),MATCH('Buildings - Heat &amp; Fuels'!U$6,'Emission factors'!$K$2:$V$2,0)))*$K85)</f>
        <v/>
      </c>
      <c r="V85" s="158" t="str">
        <f>IF(OR($N85="",BuildingsHeatFuelsTable[[#This Row],[RSD]]=""),"",BuildingsHeatFuelsTable[[#This Row],[Total emissions (kgCO2e)]]*(1+BuildingsHeatFuelsTable[[#This Row],[RSD]]))</f>
        <v/>
      </c>
      <c r="W85" s="159" t="str">
        <f>IF(OR($N85="",BuildingsHeatFuelsTable[[#This Row],[RSD]]=""),"",BuildingsHeatFuelsTable[[#This Row],[Total emissions (kgCO2e)]]*(1-BuildingsHeatFuelsTable[[#This Row],[RSD]]))</f>
        <v/>
      </c>
      <c r="X85" s="169" t="str" cm="1">
        <f t="array" ref="X85">IF(OR($E85="",$I85=""),"",(INDEX('Emission factors'!$K$3:$V$201,MATCH('Buildings - Heat &amp; Fuels'!$E85&amp;$F85,'Emission factors'!$J$3:$J$201&amp;'Emission factors'!$K$3:$K$201,0),MATCH('Buildings - Heat &amp; Fuels'!X$6,'Emission factors'!$K$2:$V$2,0)))*$K85)</f>
        <v/>
      </c>
      <c r="Y85" s="30"/>
      <c r="Z85" s="1" cm="1">
        <f t="array" ref="Z85">IF(OR(ISERROR(B85:X85)),1,0)</f>
        <v>0</v>
      </c>
      <c r="AA85" s="1">
        <f t="shared" si="0"/>
        <v>0</v>
      </c>
    </row>
    <row r="86" spans="1:27" ht="15" outlineLevel="1" thickBot="1" x14ac:dyDescent="0.4">
      <c r="A86" s="319"/>
      <c r="B86" s="216"/>
      <c r="C86" s="216"/>
      <c r="D86" s="489" t="str">
        <f>IFERROR(INDEX(BuildingInformationTable[Site type],MATCH(BuildingsHeatFuelsTable[[#This Row],[Site name]],BuildingInformationTable[Site name],0)),"")</f>
        <v/>
      </c>
      <c r="E86" s="491"/>
      <c r="F86" s="491"/>
      <c r="G86" s="491"/>
      <c r="H86" s="492" t="str">
        <f>IF(G86="","",INDEX(Lists!$BA$4:$BC$31,MATCH(E86,Lists!$AZ$4:$AZ$31,0),MATCH(G86,Lists!$BA$3:$BC$3,0)))</f>
        <v/>
      </c>
      <c r="I86" s="267"/>
      <c r="J86" s="491"/>
      <c r="K86" s="493" t="str" cm="1">
        <f t="array" ref="K86">IF(OR($E86="",$D86="",$I86="",$J86=""),"",IF(J86=L86,I86,(INDEX('Emission factors'!$K$3:$V$201,MATCH(E86&amp;F86,'Emission factors'!$J$3:$J$201&amp;'Emission factors'!$K$3:$K$201,0),MATCH(K$6,'Emission factors'!$K$2:$V$2,0)))*I86))</f>
        <v/>
      </c>
      <c r="L86" s="494" t="str">
        <f>IF(OR($E86="",$D86="",$I86="",$J86=""),"",INDEX('Emission factors'!$K$3:$V$201,MATCH('Buildings - Heat &amp; Fuels'!$E86,'Emission factors'!$J$3:$J$201,0),MATCH($L$6,'Emission factors'!$K$2:$V$2,0)))</f>
        <v/>
      </c>
      <c r="M86" s="495" t="str" cm="1">
        <f t="array" ref="M86">IF(OR(E86="",I86="",BuildingsHeatFuelsTable[[#This Row],[Units]]=""),"",INDEX('Emission factors'!$K$3:$V$201,MATCH('Buildings - Heat &amp; Fuels'!$E86&amp;F86,'Emission factors'!$J$3:$J$201&amp;'Emission factors'!$K$3:$K$201,0),MATCH('Buildings - Heat &amp; Fuels'!$M$6,'Emission factors'!$K$2:$V$2,0)))</f>
        <v/>
      </c>
      <c r="N86" s="496" t="str">
        <f>IF(OR(K86="",M86=""),"",SUM(BuildingsHeatFuelsTable[[#This Row],[Direct]:[Indirect WTT]]))</f>
        <v/>
      </c>
      <c r="O86" s="268"/>
      <c r="P86" s="497"/>
      <c r="Q86" s="157" t="str" cm="1">
        <f t="array" ref="Q86">IF(OR($E86="",$I86=""),"",(INDEX('Emission factors'!$K$3:$V$201,MATCH('Buildings - Heat &amp; Fuels'!$E86&amp;$F86,'Emission factors'!$J$3:$J$201&amp;'Emission factors'!$K$3:$K$201,0),MATCH('Buildings - Heat &amp; Fuels'!Q$6,'Emission factors'!$K$2:$V$2,0)))*$K86)</f>
        <v/>
      </c>
      <c r="R86" s="157" t="str" cm="1">
        <f t="array" ref="R86">IF(OR($E86="",$I86=""),"",(INDEX('Emission factors'!$K$3:$V$201,MATCH('Buildings - Heat &amp; Fuels'!$E86&amp;$F86,'Emission factors'!$J$3:$J$201&amp;'Emission factors'!$K$3:$K$201,0),MATCH('Buildings - Heat &amp; Fuels'!R$6,'Emission factors'!$K$2:$V$2,0)))*$K86)</f>
        <v/>
      </c>
      <c r="S86" s="157" t="str" cm="1">
        <f t="array" ref="S86">IF(OR($E86="",$I86=""),"",(INDEX('Emission factors'!$K$3:$V$201,MATCH('Buildings - Heat &amp; Fuels'!$E86&amp;$F86,'Emission factors'!$J$3:$J$201&amp;'Emission factors'!$K$3:$K$201,0),MATCH('Buildings - Heat &amp; Fuels'!S$6,'Emission factors'!$K$2:$V$2,0)))*$K86)</f>
        <v/>
      </c>
      <c r="T86" s="157" t="str" cm="1">
        <f t="array" ref="T86">IF(OR($E86="",$I86=""),"",(INDEX('Emission factors'!$K$3:$V$201,MATCH('Buildings - Heat &amp; Fuels'!$E86&amp;$F86,'Emission factors'!$J$3:$J$201&amp;'Emission factors'!$K$3:$K$201,0),MATCH('Buildings - Heat &amp; Fuels'!T$6,'Emission factors'!$K$2:$V$2,0)))*$K86)</f>
        <v/>
      </c>
      <c r="U86" s="157" t="str" cm="1">
        <f t="array" ref="U86">IF(OR($E86="",$I86=""),"",(INDEX('Emission factors'!$K$3:$V$201,MATCH('Buildings - Heat &amp; Fuels'!$E86&amp;$F86,'Emission factors'!$J$3:$J$201&amp;'Emission factors'!$K$3:$K$201,0),MATCH('Buildings - Heat &amp; Fuels'!U$6,'Emission factors'!$K$2:$V$2,0)))*$K86)</f>
        <v/>
      </c>
      <c r="V86" s="158" t="str">
        <f>IF(OR($N86="",BuildingsHeatFuelsTable[[#This Row],[RSD]]=""),"",BuildingsHeatFuelsTable[[#This Row],[Total emissions (kgCO2e)]]*(1+BuildingsHeatFuelsTable[[#This Row],[RSD]]))</f>
        <v/>
      </c>
      <c r="W86" s="159" t="str">
        <f>IF(OR($N86="",BuildingsHeatFuelsTable[[#This Row],[RSD]]=""),"",BuildingsHeatFuelsTable[[#This Row],[Total emissions (kgCO2e)]]*(1-BuildingsHeatFuelsTable[[#This Row],[RSD]]))</f>
        <v/>
      </c>
      <c r="X86" s="169" t="str" cm="1">
        <f t="array" ref="X86">IF(OR($E86="",$I86=""),"",(INDEX('Emission factors'!$K$3:$V$201,MATCH('Buildings - Heat &amp; Fuels'!$E86&amp;$F86,'Emission factors'!$J$3:$J$201&amp;'Emission factors'!$K$3:$K$201,0),MATCH('Buildings - Heat &amp; Fuels'!X$6,'Emission factors'!$K$2:$V$2,0)))*$K86)</f>
        <v/>
      </c>
      <c r="Y86" s="30"/>
      <c r="Z86" s="1" cm="1">
        <f t="array" ref="Z86">IF(OR(ISERROR(B86:X86)),1,0)</f>
        <v>0</v>
      </c>
      <c r="AA86" s="1">
        <f t="shared" si="0"/>
        <v>0</v>
      </c>
    </row>
    <row r="87" spans="1:27" ht="15" outlineLevel="1" thickBot="1" x14ac:dyDescent="0.4">
      <c r="A87" s="319"/>
      <c r="B87" s="216"/>
      <c r="C87" s="216"/>
      <c r="D87" s="489" t="str">
        <f>IFERROR(INDEX(BuildingInformationTable[Site type],MATCH(BuildingsHeatFuelsTable[[#This Row],[Site name]],BuildingInformationTable[Site name],0)),"")</f>
        <v/>
      </c>
      <c r="E87" s="491"/>
      <c r="F87" s="491"/>
      <c r="G87" s="491"/>
      <c r="H87" s="492" t="str">
        <f>IF(G87="","",INDEX(Lists!$BA$4:$BC$31,MATCH(E87,Lists!$AZ$4:$AZ$31,0),MATCH(G87,Lists!$BA$3:$BC$3,0)))</f>
        <v/>
      </c>
      <c r="I87" s="267"/>
      <c r="J87" s="491"/>
      <c r="K87" s="493" t="str" cm="1">
        <f t="array" ref="K87">IF(OR($E87="",$D87="",$I87="",$J87=""),"",IF(J87=L87,I87,(INDEX('Emission factors'!$K$3:$V$201,MATCH(E87&amp;F87,'Emission factors'!$J$3:$J$201&amp;'Emission factors'!$K$3:$K$201,0),MATCH(K$6,'Emission factors'!$K$2:$V$2,0)))*I87))</f>
        <v/>
      </c>
      <c r="L87" s="494" t="str">
        <f>IF(OR($E87="",$D87="",$I87="",$J87=""),"",INDEX('Emission factors'!$K$3:$V$201,MATCH('Buildings - Heat &amp; Fuels'!$E87,'Emission factors'!$J$3:$J$201,0),MATCH($L$6,'Emission factors'!$K$2:$V$2,0)))</f>
        <v/>
      </c>
      <c r="M87" s="495" t="str" cm="1">
        <f t="array" ref="M87">IF(OR(E87="",I87="",BuildingsHeatFuelsTable[[#This Row],[Units]]=""),"",INDEX('Emission factors'!$K$3:$V$201,MATCH('Buildings - Heat &amp; Fuels'!$E87&amp;F87,'Emission factors'!$J$3:$J$201&amp;'Emission factors'!$K$3:$K$201,0),MATCH('Buildings - Heat &amp; Fuels'!$M$6,'Emission factors'!$K$2:$V$2,0)))</f>
        <v/>
      </c>
      <c r="N87" s="496" t="str">
        <f>IF(OR(K87="",M87=""),"",SUM(BuildingsHeatFuelsTable[[#This Row],[Direct]:[Indirect WTT]]))</f>
        <v/>
      </c>
      <c r="O87" s="268"/>
      <c r="P87" s="497"/>
      <c r="Q87" s="157" t="str" cm="1">
        <f t="array" ref="Q87">IF(OR($E87="",$I87=""),"",(INDEX('Emission factors'!$K$3:$V$201,MATCH('Buildings - Heat &amp; Fuels'!$E87&amp;$F87,'Emission factors'!$J$3:$J$201&amp;'Emission factors'!$K$3:$K$201,0),MATCH('Buildings - Heat &amp; Fuels'!Q$6,'Emission factors'!$K$2:$V$2,0)))*$K87)</f>
        <v/>
      </c>
      <c r="R87" s="157" t="str" cm="1">
        <f t="array" ref="R87">IF(OR($E87="",$I87=""),"",(INDEX('Emission factors'!$K$3:$V$201,MATCH('Buildings - Heat &amp; Fuels'!$E87&amp;$F87,'Emission factors'!$J$3:$J$201&amp;'Emission factors'!$K$3:$K$201,0),MATCH('Buildings - Heat &amp; Fuels'!R$6,'Emission factors'!$K$2:$V$2,0)))*$K87)</f>
        <v/>
      </c>
      <c r="S87" s="157" t="str" cm="1">
        <f t="array" ref="S87">IF(OR($E87="",$I87=""),"",(INDEX('Emission factors'!$K$3:$V$201,MATCH('Buildings - Heat &amp; Fuels'!$E87&amp;$F87,'Emission factors'!$J$3:$J$201&amp;'Emission factors'!$K$3:$K$201,0),MATCH('Buildings - Heat &amp; Fuels'!S$6,'Emission factors'!$K$2:$V$2,0)))*$K87)</f>
        <v/>
      </c>
      <c r="T87" s="157" t="str" cm="1">
        <f t="array" ref="T87">IF(OR($E87="",$I87=""),"",(INDEX('Emission factors'!$K$3:$V$201,MATCH('Buildings - Heat &amp; Fuels'!$E87&amp;$F87,'Emission factors'!$J$3:$J$201&amp;'Emission factors'!$K$3:$K$201,0),MATCH('Buildings - Heat &amp; Fuels'!T$6,'Emission factors'!$K$2:$V$2,0)))*$K87)</f>
        <v/>
      </c>
      <c r="U87" s="157" t="str" cm="1">
        <f t="array" ref="U87">IF(OR($E87="",$I87=""),"",(INDEX('Emission factors'!$K$3:$V$201,MATCH('Buildings - Heat &amp; Fuels'!$E87&amp;$F87,'Emission factors'!$J$3:$J$201&amp;'Emission factors'!$K$3:$K$201,0),MATCH('Buildings - Heat &amp; Fuels'!U$6,'Emission factors'!$K$2:$V$2,0)))*$K87)</f>
        <v/>
      </c>
      <c r="V87" s="158" t="str">
        <f>IF(OR($N87="",BuildingsHeatFuelsTable[[#This Row],[RSD]]=""),"",BuildingsHeatFuelsTable[[#This Row],[Total emissions (kgCO2e)]]*(1+BuildingsHeatFuelsTable[[#This Row],[RSD]]))</f>
        <v/>
      </c>
      <c r="W87" s="159" t="str">
        <f>IF(OR($N87="",BuildingsHeatFuelsTable[[#This Row],[RSD]]=""),"",BuildingsHeatFuelsTable[[#This Row],[Total emissions (kgCO2e)]]*(1-BuildingsHeatFuelsTable[[#This Row],[RSD]]))</f>
        <v/>
      </c>
      <c r="X87" s="169" t="str" cm="1">
        <f t="array" ref="X87">IF(OR($E87="",$I87=""),"",(INDEX('Emission factors'!$K$3:$V$201,MATCH('Buildings - Heat &amp; Fuels'!$E87&amp;$F87,'Emission factors'!$J$3:$J$201&amp;'Emission factors'!$K$3:$K$201,0),MATCH('Buildings - Heat &amp; Fuels'!X$6,'Emission factors'!$K$2:$V$2,0)))*$K87)</f>
        <v/>
      </c>
      <c r="Y87" s="30"/>
      <c r="Z87" s="1" cm="1">
        <f t="array" ref="Z87">IF(OR(ISERROR(B87:X87)),1,0)</f>
        <v>0</v>
      </c>
      <c r="AA87" s="1">
        <f t="shared" si="0"/>
        <v>0</v>
      </c>
    </row>
    <row r="88" spans="1:27" ht="15" outlineLevel="1" thickBot="1" x14ac:dyDescent="0.4">
      <c r="A88" s="319"/>
      <c r="B88" s="216"/>
      <c r="C88" s="216"/>
      <c r="D88" s="489" t="str">
        <f>IFERROR(INDEX(BuildingInformationTable[Site type],MATCH(BuildingsHeatFuelsTable[[#This Row],[Site name]],BuildingInformationTable[Site name],0)),"")</f>
        <v/>
      </c>
      <c r="E88" s="491"/>
      <c r="F88" s="491"/>
      <c r="G88" s="491"/>
      <c r="H88" s="492" t="str">
        <f>IF(G88="","",INDEX(Lists!$BA$4:$BC$31,MATCH(E88,Lists!$AZ$4:$AZ$31,0),MATCH(G88,Lists!$BA$3:$BC$3,0)))</f>
        <v/>
      </c>
      <c r="I88" s="267"/>
      <c r="J88" s="491"/>
      <c r="K88" s="493" t="str" cm="1">
        <f t="array" ref="K88">IF(OR($E88="",$D88="",$I88="",$J88=""),"",IF(J88=L88,I88,(INDEX('Emission factors'!$K$3:$V$201,MATCH(E88&amp;F88,'Emission factors'!$J$3:$J$201&amp;'Emission factors'!$K$3:$K$201,0),MATCH(K$6,'Emission factors'!$K$2:$V$2,0)))*I88))</f>
        <v/>
      </c>
      <c r="L88" s="494" t="str">
        <f>IF(OR($E88="",$D88="",$I88="",$J88=""),"",INDEX('Emission factors'!$K$3:$V$201,MATCH('Buildings - Heat &amp; Fuels'!$E88,'Emission factors'!$J$3:$J$201,0),MATCH($L$6,'Emission factors'!$K$2:$V$2,0)))</f>
        <v/>
      </c>
      <c r="M88" s="495" t="str" cm="1">
        <f t="array" ref="M88">IF(OR(E88="",I88="",BuildingsHeatFuelsTable[[#This Row],[Units]]=""),"",INDEX('Emission factors'!$K$3:$V$201,MATCH('Buildings - Heat &amp; Fuels'!$E88&amp;F88,'Emission factors'!$J$3:$J$201&amp;'Emission factors'!$K$3:$K$201,0),MATCH('Buildings - Heat &amp; Fuels'!$M$6,'Emission factors'!$K$2:$V$2,0)))</f>
        <v/>
      </c>
      <c r="N88" s="496" t="str">
        <f>IF(OR(K88="",M88=""),"",SUM(BuildingsHeatFuelsTable[[#This Row],[Direct]:[Indirect WTT]]))</f>
        <v/>
      </c>
      <c r="O88" s="268"/>
      <c r="P88" s="497"/>
      <c r="Q88" s="157" t="str" cm="1">
        <f t="array" ref="Q88">IF(OR($E88="",$I88=""),"",(INDEX('Emission factors'!$K$3:$V$201,MATCH('Buildings - Heat &amp; Fuels'!$E88&amp;$F88,'Emission factors'!$J$3:$J$201&amp;'Emission factors'!$K$3:$K$201,0),MATCH('Buildings - Heat &amp; Fuels'!Q$6,'Emission factors'!$K$2:$V$2,0)))*$K88)</f>
        <v/>
      </c>
      <c r="R88" s="157" t="str" cm="1">
        <f t="array" ref="R88">IF(OR($E88="",$I88=""),"",(INDEX('Emission factors'!$K$3:$V$201,MATCH('Buildings - Heat &amp; Fuels'!$E88&amp;$F88,'Emission factors'!$J$3:$J$201&amp;'Emission factors'!$K$3:$K$201,0),MATCH('Buildings - Heat &amp; Fuels'!R$6,'Emission factors'!$K$2:$V$2,0)))*$K88)</f>
        <v/>
      </c>
      <c r="S88" s="157" t="str" cm="1">
        <f t="array" ref="S88">IF(OR($E88="",$I88=""),"",(INDEX('Emission factors'!$K$3:$V$201,MATCH('Buildings - Heat &amp; Fuels'!$E88&amp;$F88,'Emission factors'!$J$3:$J$201&amp;'Emission factors'!$K$3:$K$201,0),MATCH('Buildings - Heat &amp; Fuels'!S$6,'Emission factors'!$K$2:$V$2,0)))*$K88)</f>
        <v/>
      </c>
      <c r="T88" s="157" t="str" cm="1">
        <f t="array" ref="T88">IF(OR($E88="",$I88=""),"",(INDEX('Emission factors'!$K$3:$V$201,MATCH('Buildings - Heat &amp; Fuels'!$E88&amp;$F88,'Emission factors'!$J$3:$J$201&amp;'Emission factors'!$K$3:$K$201,0),MATCH('Buildings - Heat &amp; Fuels'!T$6,'Emission factors'!$K$2:$V$2,0)))*$K88)</f>
        <v/>
      </c>
      <c r="U88" s="157" t="str" cm="1">
        <f t="array" ref="U88">IF(OR($E88="",$I88=""),"",(INDEX('Emission factors'!$K$3:$V$201,MATCH('Buildings - Heat &amp; Fuels'!$E88&amp;$F88,'Emission factors'!$J$3:$J$201&amp;'Emission factors'!$K$3:$K$201,0),MATCH('Buildings - Heat &amp; Fuels'!U$6,'Emission factors'!$K$2:$V$2,0)))*$K88)</f>
        <v/>
      </c>
      <c r="V88" s="158" t="str">
        <f>IF(OR($N88="",BuildingsHeatFuelsTable[[#This Row],[RSD]]=""),"",BuildingsHeatFuelsTable[[#This Row],[Total emissions (kgCO2e)]]*(1+BuildingsHeatFuelsTable[[#This Row],[RSD]]))</f>
        <v/>
      </c>
      <c r="W88" s="159" t="str">
        <f>IF(OR($N88="",BuildingsHeatFuelsTable[[#This Row],[RSD]]=""),"",BuildingsHeatFuelsTable[[#This Row],[Total emissions (kgCO2e)]]*(1-BuildingsHeatFuelsTable[[#This Row],[RSD]]))</f>
        <v/>
      </c>
      <c r="X88" s="169" t="str" cm="1">
        <f t="array" ref="X88">IF(OR($E88="",$I88=""),"",(INDEX('Emission factors'!$K$3:$V$201,MATCH('Buildings - Heat &amp; Fuels'!$E88&amp;$F88,'Emission factors'!$J$3:$J$201&amp;'Emission factors'!$K$3:$K$201,0),MATCH('Buildings - Heat &amp; Fuels'!X$6,'Emission factors'!$K$2:$V$2,0)))*$K88)</f>
        <v/>
      </c>
      <c r="Y88" s="30"/>
      <c r="Z88" s="1" cm="1">
        <f t="array" ref="Z88">IF(OR(ISERROR(B88:X88)),1,0)</f>
        <v>0</v>
      </c>
      <c r="AA88" s="1">
        <f t="shared" si="0"/>
        <v>0</v>
      </c>
    </row>
    <row r="89" spans="1:27" ht="15" outlineLevel="1" thickBot="1" x14ac:dyDescent="0.4">
      <c r="A89" s="319"/>
      <c r="B89" s="216"/>
      <c r="C89" s="216"/>
      <c r="D89" s="489" t="str">
        <f>IFERROR(INDEX(BuildingInformationTable[Site type],MATCH(BuildingsHeatFuelsTable[[#This Row],[Site name]],BuildingInformationTable[Site name],0)),"")</f>
        <v/>
      </c>
      <c r="E89" s="491"/>
      <c r="F89" s="491"/>
      <c r="G89" s="491"/>
      <c r="H89" s="492" t="str">
        <f>IF(G89="","",INDEX(Lists!$BA$4:$BC$31,MATCH(E89,Lists!$AZ$4:$AZ$31,0),MATCH(G89,Lists!$BA$3:$BC$3,0)))</f>
        <v/>
      </c>
      <c r="I89" s="267"/>
      <c r="J89" s="491"/>
      <c r="K89" s="493" t="str" cm="1">
        <f t="array" ref="K89">IF(OR($E89="",$D89="",$I89="",$J89=""),"",IF(J89=L89,I89,(INDEX('Emission factors'!$K$3:$V$201,MATCH(E89&amp;F89,'Emission factors'!$J$3:$J$201&amp;'Emission factors'!$K$3:$K$201,0),MATCH(K$6,'Emission factors'!$K$2:$V$2,0)))*I89))</f>
        <v/>
      </c>
      <c r="L89" s="494" t="str">
        <f>IF(OR($E89="",$D89="",$I89="",$J89=""),"",INDEX('Emission factors'!$K$3:$V$201,MATCH('Buildings - Heat &amp; Fuels'!$E89,'Emission factors'!$J$3:$J$201,0),MATCH($L$6,'Emission factors'!$K$2:$V$2,0)))</f>
        <v/>
      </c>
      <c r="M89" s="495" t="str" cm="1">
        <f t="array" ref="M89">IF(OR(E89="",I89="",BuildingsHeatFuelsTable[[#This Row],[Units]]=""),"",INDEX('Emission factors'!$K$3:$V$201,MATCH('Buildings - Heat &amp; Fuels'!$E89&amp;F89,'Emission factors'!$J$3:$J$201&amp;'Emission factors'!$K$3:$K$201,0),MATCH('Buildings - Heat &amp; Fuels'!$M$6,'Emission factors'!$K$2:$V$2,0)))</f>
        <v/>
      </c>
      <c r="N89" s="496" t="str">
        <f>IF(OR(K89="",M89=""),"",SUM(BuildingsHeatFuelsTable[[#This Row],[Direct]:[Indirect WTT]]))</f>
        <v/>
      </c>
      <c r="O89" s="268"/>
      <c r="P89" s="497"/>
      <c r="Q89" s="157" t="str" cm="1">
        <f t="array" ref="Q89">IF(OR($E89="",$I89=""),"",(INDEX('Emission factors'!$K$3:$V$201,MATCH('Buildings - Heat &amp; Fuels'!$E89&amp;$F89,'Emission factors'!$J$3:$J$201&amp;'Emission factors'!$K$3:$K$201,0),MATCH('Buildings - Heat &amp; Fuels'!Q$6,'Emission factors'!$K$2:$V$2,0)))*$K89)</f>
        <v/>
      </c>
      <c r="R89" s="157" t="str" cm="1">
        <f t="array" ref="R89">IF(OR($E89="",$I89=""),"",(INDEX('Emission factors'!$K$3:$V$201,MATCH('Buildings - Heat &amp; Fuels'!$E89&amp;$F89,'Emission factors'!$J$3:$J$201&amp;'Emission factors'!$K$3:$K$201,0),MATCH('Buildings - Heat &amp; Fuels'!R$6,'Emission factors'!$K$2:$V$2,0)))*$K89)</f>
        <v/>
      </c>
      <c r="S89" s="157" t="str" cm="1">
        <f t="array" ref="S89">IF(OR($E89="",$I89=""),"",(INDEX('Emission factors'!$K$3:$V$201,MATCH('Buildings - Heat &amp; Fuels'!$E89&amp;$F89,'Emission factors'!$J$3:$J$201&amp;'Emission factors'!$K$3:$K$201,0),MATCH('Buildings - Heat &amp; Fuels'!S$6,'Emission factors'!$K$2:$V$2,0)))*$K89)</f>
        <v/>
      </c>
      <c r="T89" s="157" t="str" cm="1">
        <f t="array" ref="T89">IF(OR($E89="",$I89=""),"",(INDEX('Emission factors'!$K$3:$V$201,MATCH('Buildings - Heat &amp; Fuels'!$E89&amp;$F89,'Emission factors'!$J$3:$J$201&amp;'Emission factors'!$K$3:$K$201,0),MATCH('Buildings - Heat &amp; Fuels'!T$6,'Emission factors'!$K$2:$V$2,0)))*$K89)</f>
        <v/>
      </c>
      <c r="U89" s="157" t="str" cm="1">
        <f t="array" ref="U89">IF(OR($E89="",$I89=""),"",(INDEX('Emission factors'!$K$3:$V$201,MATCH('Buildings - Heat &amp; Fuels'!$E89&amp;$F89,'Emission factors'!$J$3:$J$201&amp;'Emission factors'!$K$3:$K$201,0),MATCH('Buildings - Heat &amp; Fuels'!U$6,'Emission factors'!$K$2:$V$2,0)))*$K89)</f>
        <v/>
      </c>
      <c r="V89" s="158" t="str">
        <f>IF(OR($N89="",BuildingsHeatFuelsTable[[#This Row],[RSD]]=""),"",BuildingsHeatFuelsTable[[#This Row],[Total emissions (kgCO2e)]]*(1+BuildingsHeatFuelsTable[[#This Row],[RSD]]))</f>
        <v/>
      </c>
      <c r="W89" s="159" t="str">
        <f>IF(OR($N89="",BuildingsHeatFuelsTable[[#This Row],[RSD]]=""),"",BuildingsHeatFuelsTable[[#This Row],[Total emissions (kgCO2e)]]*(1-BuildingsHeatFuelsTable[[#This Row],[RSD]]))</f>
        <v/>
      </c>
      <c r="X89" s="169" t="str" cm="1">
        <f t="array" ref="X89">IF(OR($E89="",$I89=""),"",(INDEX('Emission factors'!$K$3:$V$201,MATCH('Buildings - Heat &amp; Fuels'!$E89&amp;$F89,'Emission factors'!$J$3:$J$201&amp;'Emission factors'!$K$3:$K$201,0),MATCH('Buildings - Heat &amp; Fuels'!X$6,'Emission factors'!$K$2:$V$2,0)))*$K89)</f>
        <v/>
      </c>
      <c r="Y89" s="30"/>
      <c r="Z89" s="1" cm="1">
        <f t="array" ref="Z89">IF(OR(ISERROR(B89:X89)),1,0)</f>
        <v>0</v>
      </c>
      <c r="AA89" s="1">
        <f t="shared" si="0"/>
        <v>0</v>
      </c>
    </row>
    <row r="90" spans="1:27" ht="15" outlineLevel="1" thickBot="1" x14ac:dyDescent="0.4">
      <c r="A90" s="319"/>
      <c r="B90" s="216"/>
      <c r="C90" s="216"/>
      <c r="D90" s="489" t="str">
        <f>IFERROR(INDEX(BuildingInformationTable[Site type],MATCH(BuildingsHeatFuelsTable[[#This Row],[Site name]],BuildingInformationTable[Site name],0)),"")</f>
        <v/>
      </c>
      <c r="E90" s="491"/>
      <c r="F90" s="491"/>
      <c r="G90" s="491"/>
      <c r="H90" s="492" t="str">
        <f>IF(G90="","",INDEX(Lists!$BA$4:$BC$31,MATCH(E90,Lists!$AZ$4:$AZ$31,0),MATCH(G90,Lists!$BA$3:$BC$3,0)))</f>
        <v/>
      </c>
      <c r="I90" s="267"/>
      <c r="J90" s="491"/>
      <c r="K90" s="493" t="str" cm="1">
        <f t="array" ref="K90">IF(OR($E90="",$D90="",$I90="",$J90=""),"",IF(J90=L90,I90,(INDEX('Emission factors'!$K$3:$V$201,MATCH(E90&amp;F90,'Emission factors'!$J$3:$J$201&amp;'Emission factors'!$K$3:$K$201,0),MATCH(K$6,'Emission factors'!$K$2:$V$2,0)))*I90))</f>
        <v/>
      </c>
      <c r="L90" s="494" t="str">
        <f>IF(OR($E90="",$D90="",$I90="",$J90=""),"",INDEX('Emission factors'!$K$3:$V$201,MATCH('Buildings - Heat &amp; Fuels'!$E90,'Emission factors'!$J$3:$J$201,0),MATCH($L$6,'Emission factors'!$K$2:$V$2,0)))</f>
        <v/>
      </c>
      <c r="M90" s="495" t="str" cm="1">
        <f t="array" ref="M90">IF(OR(E90="",I90="",BuildingsHeatFuelsTable[[#This Row],[Units]]=""),"",INDEX('Emission factors'!$K$3:$V$201,MATCH('Buildings - Heat &amp; Fuels'!$E90&amp;F90,'Emission factors'!$J$3:$J$201&amp;'Emission factors'!$K$3:$K$201,0),MATCH('Buildings - Heat &amp; Fuels'!$M$6,'Emission factors'!$K$2:$V$2,0)))</f>
        <v/>
      </c>
      <c r="N90" s="496" t="str">
        <f>IF(OR(K90="",M90=""),"",SUM(BuildingsHeatFuelsTable[[#This Row],[Direct]:[Indirect WTT]]))</f>
        <v/>
      </c>
      <c r="O90" s="268"/>
      <c r="P90" s="497"/>
      <c r="Q90" s="157" t="str" cm="1">
        <f t="array" ref="Q90">IF(OR($E90="",$I90=""),"",(INDEX('Emission factors'!$K$3:$V$201,MATCH('Buildings - Heat &amp; Fuels'!$E90&amp;$F90,'Emission factors'!$J$3:$J$201&amp;'Emission factors'!$K$3:$K$201,0),MATCH('Buildings - Heat &amp; Fuels'!Q$6,'Emission factors'!$K$2:$V$2,0)))*$K90)</f>
        <v/>
      </c>
      <c r="R90" s="157" t="str" cm="1">
        <f t="array" ref="R90">IF(OR($E90="",$I90=""),"",(INDEX('Emission factors'!$K$3:$V$201,MATCH('Buildings - Heat &amp; Fuels'!$E90&amp;$F90,'Emission factors'!$J$3:$J$201&amp;'Emission factors'!$K$3:$K$201,0),MATCH('Buildings - Heat &amp; Fuels'!R$6,'Emission factors'!$K$2:$V$2,0)))*$K90)</f>
        <v/>
      </c>
      <c r="S90" s="157" t="str" cm="1">
        <f t="array" ref="S90">IF(OR($E90="",$I90=""),"",(INDEX('Emission factors'!$K$3:$V$201,MATCH('Buildings - Heat &amp; Fuels'!$E90&amp;$F90,'Emission factors'!$J$3:$J$201&amp;'Emission factors'!$K$3:$K$201,0),MATCH('Buildings - Heat &amp; Fuels'!S$6,'Emission factors'!$K$2:$V$2,0)))*$K90)</f>
        <v/>
      </c>
      <c r="T90" s="157" t="str" cm="1">
        <f t="array" ref="T90">IF(OR($E90="",$I90=""),"",(INDEX('Emission factors'!$K$3:$V$201,MATCH('Buildings - Heat &amp; Fuels'!$E90&amp;$F90,'Emission factors'!$J$3:$J$201&amp;'Emission factors'!$K$3:$K$201,0),MATCH('Buildings - Heat &amp; Fuels'!T$6,'Emission factors'!$K$2:$V$2,0)))*$K90)</f>
        <v/>
      </c>
      <c r="U90" s="157" t="str" cm="1">
        <f t="array" ref="U90">IF(OR($E90="",$I90=""),"",(INDEX('Emission factors'!$K$3:$V$201,MATCH('Buildings - Heat &amp; Fuels'!$E90&amp;$F90,'Emission factors'!$J$3:$J$201&amp;'Emission factors'!$K$3:$K$201,0),MATCH('Buildings - Heat &amp; Fuels'!U$6,'Emission factors'!$K$2:$V$2,0)))*$K90)</f>
        <v/>
      </c>
      <c r="V90" s="158" t="str">
        <f>IF(OR($N90="",BuildingsHeatFuelsTable[[#This Row],[RSD]]=""),"",BuildingsHeatFuelsTable[[#This Row],[Total emissions (kgCO2e)]]*(1+BuildingsHeatFuelsTable[[#This Row],[RSD]]))</f>
        <v/>
      </c>
      <c r="W90" s="159" t="str">
        <f>IF(OR($N90="",BuildingsHeatFuelsTable[[#This Row],[RSD]]=""),"",BuildingsHeatFuelsTable[[#This Row],[Total emissions (kgCO2e)]]*(1-BuildingsHeatFuelsTable[[#This Row],[RSD]]))</f>
        <v/>
      </c>
      <c r="X90" s="169" t="str" cm="1">
        <f t="array" ref="X90">IF(OR($E90="",$I90=""),"",(INDEX('Emission factors'!$K$3:$V$201,MATCH('Buildings - Heat &amp; Fuels'!$E90&amp;$F90,'Emission factors'!$J$3:$J$201&amp;'Emission factors'!$K$3:$K$201,0),MATCH('Buildings - Heat &amp; Fuels'!X$6,'Emission factors'!$K$2:$V$2,0)))*$K90)</f>
        <v/>
      </c>
      <c r="Y90" s="30"/>
      <c r="Z90" s="1" cm="1">
        <f t="array" ref="Z90">IF(OR(ISERROR(B90:X90)),1,0)</f>
        <v>0</v>
      </c>
      <c r="AA90" s="1">
        <f t="shared" si="0"/>
        <v>0</v>
      </c>
    </row>
    <row r="91" spans="1:27" ht="15" outlineLevel="1" thickBot="1" x14ac:dyDescent="0.4">
      <c r="A91" s="319"/>
      <c r="B91" s="216"/>
      <c r="C91" s="216"/>
      <c r="D91" s="489" t="str">
        <f>IFERROR(INDEX(BuildingInformationTable[Site type],MATCH(BuildingsHeatFuelsTable[[#This Row],[Site name]],BuildingInformationTable[Site name],0)),"")</f>
        <v/>
      </c>
      <c r="E91" s="491"/>
      <c r="F91" s="491"/>
      <c r="G91" s="491"/>
      <c r="H91" s="492" t="str">
        <f>IF(G91="","",INDEX(Lists!$BA$4:$BC$31,MATCH(E91,Lists!$AZ$4:$AZ$31,0),MATCH(G91,Lists!$BA$3:$BC$3,0)))</f>
        <v/>
      </c>
      <c r="I91" s="267"/>
      <c r="J91" s="491"/>
      <c r="K91" s="493" t="str" cm="1">
        <f t="array" ref="K91">IF(OR($E91="",$D91="",$I91="",$J91=""),"",IF(J91=L91,I91,(INDEX('Emission factors'!$K$3:$V$201,MATCH(E91&amp;F91,'Emission factors'!$J$3:$J$201&amp;'Emission factors'!$K$3:$K$201,0),MATCH(K$6,'Emission factors'!$K$2:$V$2,0)))*I91))</f>
        <v/>
      </c>
      <c r="L91" s="494" t="str">
        <f>IF(OR($E91="",$D91="",$I91="",$J91=""),"",INDEX('Emission factors'!$K$3:$V$201,MATCH('Buildings - Heat &amp; Fuels'!$E91,'Emission factors'!$J$3:$J$201,0),MATCH($L$6,'Emission factors'!$K$2:$V$2,0)))</f>
        <v/>
      </c>
      <c r="M91" s="495" t="str" cm="1">
        <f t="array" ref="M91">IF(OR(E91="",I91="",BuildingsHeatFuelsTable[[#This Row],[Units]]=""),"",INDEX('Emission factors'!$K$3:$V$201,MATCH('Buildings - Heat &amp; Fuels'!$E91&amp;F91,'Emission factors'!$J$3:$J$201&amp;'Emission factors'!$K$3:$K$201,0),MATCH('Buildings - Heat &amp; Fuels'!$M$6,'Emission factors'!$K$2:$V$2,0)))</f>
        <v/>
      </c>
      <c r="N91" s="496" t="str">
        <f>IF(OR(K91="",M91=""),"",SUM(BuildingsHeatFuelsTable[[#This Row],[Direct]:[Indirect WTT]]))</f>
        <v/>
      </c>
      <c r="O91" s="268"/>
      <c r="P91" s="497"/>
      <c r="Q91" s="157" t="str" cm="1">
        <f t="array" ref="Q91">IF(OR($E91="",$I91=""),"",(INDEX('Emission factors'!$K$3:$V$201,MATCH('Buildings - Heat &amp; Fuels'!$E91&amp;$F91,'Emission factors'!$J$3:$J$201&amp;'Emission factors'!$K$3:$K$201,0),MATCH('Buildings - Heat &amp; Fuels'!Q$6,'Emission factors'!$K$2:$V$2,0)))*$K91)</f>
        <v/>
      </c>
      <c r="R91" s="157" t="str" cm="1">
        <f t="array" ref="R91">IF(OR($E91="",$I91=""),"",(INDEX('Emission factors'!$K$3:$V$201,MATCH('Buildings - Heat &amp; Fuels'!$E91&amp;$F91,'Emission factors'!$J$3:$J$201&amp;'Emission factors'!$K$3:$K$201,0),MATCH('Buildings - Heat &amp; Fuels'!R$6,'Emission factors'!$K$2:$V$2,0)))*$K91)</f>
        <v/>
      </c>
      <c r="S91" s="157" t="str" cm="1">
        <f t="array" ref="S91">IF(OR($E91="",$I91=""),"",(INDEX('Emission factors'!$K$3:$V$201,MATCH('Buildings - Heat &amp; Fuels'!$E91&amp;$F91,'Emission factors'!$J$3:$J$201&amp;'Emission factors'!$K$3:$K$201,0),MATCH('Buildings - Heat &amp; Fuels'!S$6,'Emission factors'!$K$2:$V$2,0)))*$K91)</f>
        <v/>
      </c>
      <c r="T91" s="157" t="str" cm="1">
        <f t="array" ref="T91">IF(OR($E91="",$I91=""),"",(INDEX('Emission factors'!$K$3:$V$201,MATCH('Buildings - Heat &amp; Fuels'!$E91&amp;$F91,'Emission factors'!$J$3:$J$201&amp;'Emission factors'!$K$3:$K$201,0),MATCH('Buildings - Heat &amp; Fuels'!T$6,'Emission factors'!$K$2:$V$2,0)))*$K91)</f>
        <v/>
      </c>
      <c r="U91" s="157" t="str" cm="1">
        <f t="array" ref="U91">IF(OR($E91="",$I91=""),"",(INDEX('Emission factors'!$K$3:$V$201,MATCH('Buildings - Heat &amp; Fuels'!$E91&amp;$F91,'Emission factors'!$J$3:$J$201&amp;'Emission factors'!$K$3:$K$201,0),MATCH('Buildings - Heat &amp; Fuels'!U$6,'Emission factors'!$K$2:$V$2,0)))*$K91)</f>
        <v/>
      </c>
      <c r="V91" s="158" t="str">
        <f>IF(OR($N91="",BuildingsHeatFuelsTable[[#This Row],[RSD]]=""),"",BuildingsHeatFuelsTable[[#This Row],[Total emissions (kgCO2e)]]*(1+BuildingsHeatFuelsTable[[#This Row],[RSD]]))</f>
        <v/>
      </c>
      <c r="W91" s="159" t="str">
        <f>IF(OR($N91="",BuildingsHeatFuelsTable[[#This Row],[RSD]]=""),"",BuildingsHeatFuelsTable[[#This Row],[Total emissions (kgCO2e)]]*(1-BuildingsHeatFuelsTable[[#This Row],[RSD]]))</f>
        <v/>
      </c>
      <c r="X91" s="169" t="str" cm="1">
        <f t="array" ref="X91">IF(OR($E91="",$I91=""),"",(INDEX('Emission factors'!$K$3:$V$201,MATCH('Buildings - Heat &amp; Fuels'!$E91&amp;$F91,'Emission factors'!$J$3:$J$201&amp;'Emission factors'!$K$3:$K$201,0),MATCH('Buildings - Heat &amp; Fuels'!X$6,'Emission factors'!$K$2:$V$2,0)))*$K91)</f>
        <v/>
      </c>
      <c r="Y91" s="30"/>
      <c r="Z91" s="1" cm="1">
        <f t="array" ref="Z91">IF(OR(ISERROR(B91:X91)),1,0)</f>
        <v>0</v>
      </c>
      <c r="AA91" s="1">
        <f t="shared" si="0"/>
        <v>0</v>
      </c>
    </row>
    <row r="92" spans="1:27" ht="15" outlineLevel="1" thickBot="1" x14ac:dyDescent="0.4">
      <c r="A92" s="319"/>
      <c r="B92" s="216"/>
      <c r="C92" s="216"/>
      <c r="D92" s="489" t="str">
        <f>IFERROR(INDEX(BuildingInformationTable[Site type],MATCH(BuildingsHeatFuelsTable[[#This Row],[Site name]],BuildingInformationTable[Site name],0)),"")</f>
        <v/>
      </c>
      <c r="E92" s="491"/>
      <c r="F92" s="491"/>
      <c r="G92" s="491"/>
      <c r="H92" s="492" t="str">
        <f>IF(G92="","",INDEX(Lists!$BA$4:$BC$31,MATCH(E92,Lists!$AZ$4:$AZ$31,0),MATCH(G92,Lists!$BA$3:$BC$3,0)))</f>
        <v/>
      </c>
      <c r="I92" s="267"/>
      <c r="J92" s="491"/>
      <c r="K92" s="493" t="str" cm="1">
        <f t="array" ref="K92">IF(OR($E92="",$D92="",$I92="",$J92=""),"",IF(J92=L92,I92,(INDEX('Emission factors'!$K$3:$V$201,MATCH(E92&amp;F92,'Emission factors'!$J$3:$J$201&amp;'Emission factors'!$K$3:$K$201,0),MATCH(K$6,'Emission factors'!$K$2:$V$2,0)))*I92))</f>
        <v/>
      </c>
      <c r="L92" s="494" t="str">
        <f>IF(OR($E92="",$D92="",$I92="",$J92=""),"",INDEX('Emission factors'!$K$3:$V$201,MATCH('Buildings - Heat &amp; Fuels'!$E92,'Emission factors'!$J$3:$J$201,0),MATCH($L$6,'Emission factors'!$K$2:$V$2,0)))</f>
        <v/>
      </c>
      <c r="M92" s="495" t="str" cm="1">
        <f t="array" ref="M92">IF(OR(E92="",I92="",BuildingsHeatFuelsTable[[#This Row],[Units]]=""),"",INDEX('Emission factors'!$K$3:$V$201,MATCH('Buildings - Heat &amp; Fuels'!$E92&amp;F92,'Emission factors'!$J$3:$J$201&amp;'Emission factors'!$K$3:$K$201,0),MATCH('Buildings - Heat &amp; Fuels'!$M$6,'Emission factors'!$K$2:$V$2,0)))</f>
        <v/>
      </c>
      <c r="N92" s="496" t="str">
        <f>IF(OR(K92="",M92=""),"",SUM(BuildingsHeatFuelsTable[[#This Row],[Direct]:[Indirect WTT]]))</f>
        <v/>
      </c>
      <c r="O92" s="268"/>
      <c r="P92" s="497"/>
      <c r="Q92" s="157" t="str" cm="1">
        <f t="array" ref="Q92">IF(OR($E92="",$I92=""),"",(INDEX('Emission factors'!$K$3:$V$201,MATCH('Buildings - Heat &amp; Fuels'!$E92&amp;$F92,'Emission factors'!$J$3:$J$201&amp;'Emission factors'!$K$3:$K$201,0),MATCH('Buildings - Heat &amp; Fuels'!Q$6,'Emission factors'!$K$2:$V$2,0)))*$K92)</f>
        <v/>
      </c>
      <c r="R92" s="157" t="str" cm="1">
        <f t="array" ref="R92">IF(OR($E92="",$I92=""),"",(INDEX('Emission factors'!$K$3:$V$201,MATCH('Buildings - Heat &amp; Fuels'!$E92&amp;$F92,'Emission factors'!$J$3:$J$201&amp;'Emission factors'!$K$3:$K$201,0),MATCH('Buildings - Heat &amp; Fuels'!R$6,'Emission factors'!$K$2:$V$2,0)))*$K92)</f>
        <v/>
      </c>
      <c r="S92" s="157" t="str" cm="1">
        <f t="array" ref="S92">IF(OR($E92="",$I92=""),"",(INDEX('Emission factors'!$K$3:$V$201,MATCH('Buildings - Heat &amp; Fuels'!$E92&amp;$F92,'Emission factors'!$J$3:$J$201&amp;'Emission factors'!$K$3:$K$201,0),MATCH('Buildings - Heat &amp; Fuels'!S$6,'Emission factors'!$K$2:$V$2,0)))*$K92)</f>
        <v/>
      </c>
      <c r="T92" s="157" t="str" cm="1">
        <f t="array" ref="T92">IF(OR($E92="",$I92=""),"",(INDEX('Emission factors'!$K$3:$V$201,MATCH('Buildings - Heat &amp; Fuels'!$E92&amp;$F92,'Emission factors'!$J$3:$J$201&amp;'Emission factors'!$K$3:$K$201,0),MATCH('Buildings - Heat &amp; Fuels'!T$6,'Emission factors'!$K$2:$V$2,0)))*$K92)</f>
        <v/>
      </c>
      <c r="U92" s="157" t="str" cm="1">
        <f t="array" ref="U92">IF(OR($E92="",$I92=""),"",(INDEX('Emission factors'!$K$3:$V$201,MATCH('Buildings - Heat &amp; Fuels'!$E92&amp;$F92,'Emission factors'!$J$3:$J$201&amp;'Emission factors'!$K$3:$K$201,0),MATCH('Buildings - Heat &amp; Fuels'!U$6,'Emission factors'!$K$2:$V$2,0)))*$K92)</f>
        <v/>
      </c>
      <c r="V92" s="158" t="str">
        <f>IF(OR($N92="",BuildingsHeatFuelsTable[[#This Row],[RSD]]=""),"",BuildingsHeatFuelsTable[[#This Row],[Total emissions (kgCO2e)]]*(1+BuildingsHeatFuelsTable[[#This Row],[RSD]]))</f>
        <v/>
      </c>
      <c r="W92" s="159" t="str">
        <f>IF(OR($N92="",BuildingsHeatFuelsTable[[#This Row],[RSD]]=""),"",BuildingsHeatFuelsTable[[#This Row],[Total emissions (kgCO2e)]]*(1-BuildingsHeatFuelsTable[[#This Row],[RSD]]))</f>
        <v/>
      </c>
      <c r="X92" s="169" t="str" cm="1">
        <f t="array" ref="X92">IF(OR($E92="",$I92=""),"",(INDEX('Emission factors'!$K$3:$V$201,MATCH('Buildings - Heat &amp; Fuels'!$E92&amp;$F92,'Emission factors'!$J$3:$J$201&amp;'Emission factors'!$K$3:$K$201,0),MATCH('Buildings - Heat &amp; Fuels'!X$6,'Emission factors'!$K$2:$V$2,0)))*$K92)</f>
        <v/>
      </c>
      <c r="Y92" s="30"/>
      <c r="Z92" s="1" cm="1">
        <f t="array" ref="Z92">IF(OR(ISERROR(B92:X92)),1,0)</f>
        <v>0</v>
      </c>
      <c r="AA92" s="1">
        <f t="shared" si="0"/>
        <v>0</v>
      </c>
    </row>
    <row r="93" spans="1:27" ht="15" outlineLevel="1" thickBot="1" x14ac:dyDescent="0.4">
      <c r="A93" s="319"/>
      <c r="B93" s="216"/>
      <c r="C93" s="216"/>
      <c r="D93" s="489" t="str">
        <f>IFERROR(INDEX(BuildingInformationTable[Site type],MATCH(BuildingsHeatFuelsTable[[#This Row],[Site name]],BuildingInformationTable[Site name],0)),"")</f>
        <v/>
      </c>
      <c r="E93" s="491"/>
      <c r="F93" s="491"/>
      <c r="G93" s="491"/>
      <c r="H93" s="492" t="str">
        <f>IF(G93="","",INDEX(Lists!$BA$4:$BC$31,MATCH(E93,Lists!$AZ$4:$AZ$31,0),MATCH(G93,Lists!$BA$3:$BC$3,0)))</f>
        <v/>
      </c>
      <c r="I93" s="267"/>
      <c r="J93" s="491"/>
      <c r="K93" s="493" t="str" cm="1">
        <f t="array" ref="K93">IF(OR($E93="",$D93="",$I93="",$J93=""),"",IF(J93=L93,I93,(INDEX('Emission factors'!$K$3:$V$201,MATCH(E93&amp;F93,'Emission factors'!$J$3:$J$201&amp;'Emission factors'!$K$3:$K$201,0),MATCH(K$6,'Emission factors'!$K$2:$V$2,0)))*I93))</f>
        <v/>
      </c>
      <c r="L93" s="494" t="str">
        <f>IF(OR($E93="",$D93="",$I93="",$J93=""),"",INDEX('Emission factors'!$K$3:$V$201,MATCH('Buildings - Heat &amp; Fuels'!$E93,'Emission factors'!$J$3:$J$201,0),MATCH($L$6,'Emission factors'!$K$2:$V$2,0)))</f>
        <v/>
      </c>
      <c r="M93" s="495" t="str" cm="1">
        <f t="array" ref="M93">IF(OR(E93="",I93="",BuildingsHeatFuelsTable[[#This Row],[Units]]=""),"",INDEX('Emission factors'!$K$3:$V$201,MATCH('Buildings - Heat &amp; Fuels'!$E93&amp;F93,'Emission factors'!$J$3:$J$201&amp;'Emission factors'!$K$3:$K$201,0),MATCH('Buildings - Heat &amp; Fuels'!$M$6,'Emission factors'!$K$2:$V$2,0)))</f>
        <v/>
      </c>
      <c r="N93" s="496" t="str">
        <f>IF(OR(K93="",M93=""),"",SUM(BuildingsHeatFuelsTable[[#This Row],[Direct]:[Indirect WTT]]))</f>
        <v/>
      </c>
      <c r="O93" s="268"/>
      <c r="P93" s="497"/>
      <c r="Q93" s="157" t="str" cm="1">
        <f t="array" ref="Q93">IF(OR($E93="",$I93=""),"",(INDEX('Emission factors'!$K$3:$V$201,MATCH('Buildings - Heat &amp; Fuels'!$E93&amp;$F93,'Emission factors'!$J$3:$J$201&amp;'Emission factors'!$K$3:$K$201,0),MATCH('Buildings - Heat &amp; Fuels'!Q$6,'Emission factors'!$K$2:$V$2,0)))*$K93)</f>
        <v/>
      </c>
      <c r="R93" s="157" t="str" cm="1">
        <f t="array" ref="R93">IF(OR($E93="",$I93=""),"",(INDEX('Emission factors'!$K$3:$V$201,MATCH('Buildings - Heat &amp; Fuels'!$E93&amp;$F93,'Emission factors'!$J$3:$J$201&amp;'Emission factors'!$K$3:$K$201,0),MATCH('Buildings - Heat &amp; Fuels'!R$6,'Emission factors'!$K$2:$V$2,0)))*$K93)</f>
        <v/>
      </c>
      <c r="S93" s="157" t="str" cm="1">
        <f t="array" ref="S93">IF(OR($E93="",$I93=""),"",(INDEX('Emission factors'!$K$3:$V$201,MATCH('Buildings - Heat &amp; Fuels'!$E93&amp;$F93,'Emission factors'!$J$3:$J$201&amp;'Emission factors'!$K$3:$K$201,0),MATCH('Buildings - Heat &amp; Fuels'!S$6,'Emission factors'!$K$2:$V$2,0)))*$K93)</f>
        <v/>
      </c>
      <c r="T93" s="157" t="str" cm="1">
        <f t="array" ref="T93">IF(OR($E93="",$I93=""),"",(INDEX('Emission factors'!$K$3:$V$201,MATCH('Buildings - Heat &amp; Fuels'!$E93&amp;$F93,'Emission factors'!$J$3:$J$201&amp;'Emission factors'!$K$3:$K$201,0),MATCH('Buildings - Heat &amp; Fuels'!T$6,'Emission factors'!$K$2:$V$2,0)))*$K93)</f>
        <v/>
      </c>
      <c r="U93" s="157" t="str" cm="1">
        <f t="array" ref="U93">IF(OR($E93="",$I93=""),"",(INDEX('Emission factors'!$K$3:$V$201,MATCH('Buildings - Heat &amp; Fuels'!$E93&amp;$F93,'Emission factors'!$J$3:$J$201&amp;'Emission factors'!$K$3:$K$201,0),MATCH('Buildings - Heat &amp; Fuels'!U$6,'Emission factors'!$K$2:$V$2,0)))*$K93)</f>
        <v/>
      </c>
      <c r="V93" s="158" t="str">
        <f>IF(OR($N93="",BuildingsHeatFuelsTable[[#This Row],[RSD]]=""),"",BuildingsHeatFuelsTable[[#This Row],[Total emissions (kgCO2e)]]*(1+BuildingsHeatFuelsTable[[#This Row],[RSD]]))</f>
        <v/>
      </c>
      <c r="W93" s="159" t="str">
        <f>IF(OR($N93="",BuildingsHeatFuelsTable[[#This Row],[RSD]]=""),"",BuildingsHeatFuelsTable[[#This Row],[Total emissions (kgCO2e)]]*(1-BuildingsHeatFuelsTable[[#This Row],[RSD]]))</f>
        <v/>
      </c>
      <c r="X93" s="169" t="str" cm="1">
        <f t="array" ref="X93">IF(OR($E93="",$I93=""),"",(INDEX('Emission factors'!$K$3:$V$201,MATCH('Buildings - Heat &amp; Fuels'!$E93&amp;$F93,'Emission factors'!$J$3:$J$201&amp;'Emission factors'!$K$3:$K$201,0),MATCH('Buildings - Heat &amp; Fuels'!X$6,'Emission factors'!$K$2:$V$2,0)))*$K93)</f>
        <v/>
      </c>
      <c r="Y93" s="30"/>
      <c r="Z93" s="1" cm="1">
        <f t="array" ref="Z93">IF(OR(ISERROR(B93:X93)),1,0)</f>
        <v>0</v>
      </c>
      <c r="AA93" s="1">
        <f t="shared" si="0"/>
        <v>0</v>
      </c>
    </row>
    <row r="94" spans="1:27" ht="15" outlineLevel="1" thickBot="1" x14ac:dyDescent="0.4">
      <c r="A94" s="319"/>
      <c r="B94" s="216"/>
      <c r="C94" s="216"/>
      <c r="D94" s="489" t="str">
        <f>IFERROR(INDEX(BuildingInformationTable[Site type],MATCH(BuildingsHeatFuelsTable[[#This Row],[Site name]],BuildingInformationTable[Site name],0)),"")</f>
        <v/>
      </c>
      <c r="E94" s="491"/>
      <c r="F94" s="491"/>
      <c r="G94" s="491"/>
      <c r="H94" s="492" t="str">
        <f>IF(G94="","",INDEX(Lists!$BA$4:$BC$31,MATCH(E94,Lists!$AZ$4:$AZ$31,0),MATCH(G94,Lists!$BA$3:$BC$3,0)))</f>
        <v/>
      </c>
      <c r="I94" s="267"/>
      <c r="J94" s="491"/>
      <c r="K94" s="493" t="str" cm="1">
        <f t="array" ref="K94">IF(OR($E94="",$D94="",$I94="",$J94=""),"",IF(J94=L94,I94,(INDEX('Emission factors'!$K$3:$V$201,MATCH(E94&amp;F94,'Emission factors'!$J$3:$J$201&amp;'Emission factors'!$K$3:$K$201,0),MATCH(K$6,'Emission factors'!$K$2:$V$2,0)))*I94))</f>
        <v/>
      </c>
      <c r="L94" s="494" t="str">
        <f>IF(OR($E94="",$D94="",$I94="",$J94=""),"",INDEX('Emission factors'!$K$3:$V$201,MATCH('Buildings - Heat &amp; Fuels'!$E94,'Emission factors'!$J$3:$J$201,0),MATCH($L$6,'Emission factors'!$K$2:$V$2,0)))</f>
        <v/>
      </c>
      <c r="M94" s="495" t="str" cm="1">
        <f t="array" ref="M94">IF(OR(E94="",I94="",BuildingsHeatFuelsTable[[#This Row],[Units]]=""),"",INDEX('Emission factors'!$K$3:$V$201,MATCH('Buildings - Heat &amp; Fuels'!$E94&amp;F94,'Emission factors'!$J$3:$J$201&amp;'Emission factors'!$K$3:$K$201,0),MATCH('Buildings - Heat &amp; Fuels'!$M$6,'Emission factors'!$K$2:$V$2,0)))</f>
        <v/>
      </c>
      <c r="N94" s="496" t="str">
        <f>IF(OR(K94="",M94=""),"",SUM(BuildingsHeatFuelsTable[[#This Row],[Direct]:[Indirect WTT]]))</f>
        <v/>
      </c>
      <c r="O94" s="268"/>
      <c r="P94" s="497"/>
      <c r="Q94" s="157" t="str" cm="1">
        <f t="array" ref="Q94">IF(OR($E94="",$I94=""),"",(INDEX('Emission factors'!$K$3:$V$201,MATCH('Buildings - Heat &amp; Fuels'!$E94&amp;$F94,'Emission factors'!$J$3:$J$201&amp;'Emission factors'!$K$3:$K$201,0),MATCH('Buildings - Heat &amp; Fuels'!Q$6,'Emission factors'!$K$2:$V$2,0)))*$K94)</f>
        <v/>
      </c>
      <c r="R94" s="157" t="str" cm="1">
        <f t="array" ref="R94">IF(OR($E94="",$I94=""),"",(INDEX('Emission factors'!$K$3:$V$201,MATCH('Buildings - Heat &amp; Fuels'!$E94&amp;$F94,'Emission factors'!$J$3:$J$201&amp;'Emission factors'!$K$3:$K$201,0),MATCH('Buildings - Heat &amp; Fuels'!R$6,'Emission factors'!$K$2:$V$2,0)))*$K94)</f>
        <v/>
      </c>
      <c r="S94" s="157" t="str" cm="1">
        <f t="array" ref="S94">IF(OR($E94="",$I94=""),"",(INDEX('Emission factors'!$K$3:$V$201,MATCH('Buildings - Heat &amp; Fuels'!$E94&amp;$F94,'Emission factors'!$J$3:$J$201&amp;'Emission factors'!$K$3:$K$201,0),MATCH('Buildings - Heat &amp; Fuels'!S$6,'Emission factors'!$K$2:$V$2,0)))*$K94)</f>
        <v/>
      </c>
      <c r="T94" s="157" t="str" cm="1">
        <f t="array" ref="T94">IF(OR($E94="",$I94=""),"",(INDEX('Emission factors'!$K$3:$V$201,MATCH('Buildings - Heat &amp; Fuels'!$E94&amp;$F94,'Emission factors'!$J$3:$J$201&amp;'Emission factors'!$K$3:$K$201,0),MATCH('Buildings - Heat &amp; Fuels'!T$6,'Emission factors'!$K$2:$V$2,0)))*$K94)</f>
        <v/>
      </c>
      <c r="U94" s="157" t="str" cm="1">
        <f t="array" ref="U94">IF(OR($E94="",$I94=""),"",(INDEX('Emission factors'!$K$3:$V$201,MATCH('Buildings - Heat &amp; Fuels'!$E94&amp;$F94,'Emission factors'!$J$3:$J$201&amp;'Emission factors'!$K$3:$K$201,0),MATCH('Buildings - Heat &amp; Fuels'!U$6,'Emission factors'!$K$2:$V$2,0)))*$K94)</f>
        <v/>
      </c>
      <c r="V94" s="158" t="str">
        <f>IF(OR($N94="",BuildingsHeatFuelsTable[[#This Row],[RSD]]=""),"",BuildingsHeatFuelsTable[[#This Row],[Total emissions (kgCO2e)]]*(1+BuildingsHeatFuelsTable[[#This Row],[RSD]]))</f>
        <v/>
      </c>
      <c r="W94" s="159" t="str">
        <f>IF(OR($N94="",BuildingsHeatFuelsTable[[#This Row],[RSD]]=""),"",BuildingsHeatFuelsTable[[#This Row],[Total emissions (kgCO2e)]]*(1-BuildingsHeatFuelsTable[[#This Row],[RSD]]))</f>
        <v/>
      </c>
      <c r="X94" s="169" t="str" cm="1">
        <f t="array" ref="X94">IF(OR($E94="",$I94=""),"",(INDEX('Emission factors'!$K$3:$V$201,MATCH('Buildings - Heat &amp; Fuels'!$E94&amp;$F94,'Emission factors'!$J$3:$J$201&amp;'Emission factors'!$K$3:$K$201,0),MATCH('Buildings - Heat &amp; Fuels'!X$6,'Emission factors'!$K$2:$V$2,0)))*$K94)</f>
        <v/>
      </c>
      <c r="Y94" s="30"/>
      <c r="Z94" s="1" cm="1">
        <f t="array" ref="Z94">IF(OR(ISERROR(B94:X94)),1,0)</f>
        <v>0</v>
      </c>
      <c r="AA94" s="1">
        <f t="shared" si="0"/>
        <v>0</v>
      </c>
    </row>
    <row r="95" spans="1:27" ht="15" outlineLevel="1" thickBot="1" x14ac:dyDescent="0.4">
      <c r="A95" s="319"/>
      <c r="B95" s="216"/>
      <c r="C95" s="216"/>
      <c r="D95" s="489" t="str">
        <f>IFERROR(INDEX(BuildingInformationTable[Site type],MATCH(BuildingsHeatFuelsTable[[#This Row],[Site name]],BuildingInformationTable[Site name],0)),"")</f>
        <v/>
      </c>
      <c r="E95" s="491"/>
      <c r="F95" s="491"/>
      <c r="G95" s="491"/>
      <c r="H95" s="492" t="str">
        <f>IF(G95="","",INDEX(Lists!$BA$4:$BC$31,MATCH(E95,Lists!$AZ$4:$AZ$31,0),MATCH(G95,Lists!$BA$3:$BC$3,0)))</f>
        <v/>
      </c>
      <c r="I95" s="267"/>
      <c r="J95" s="491"/>
      <c r="K95" s="493" t="str" cm="1">
        <f t="array" ref="K95">IF(OR($E95="",$D95="",$I95="",$J95=""),"",IF(J95=L95,I95,(INDEX('Emission factors'!$K$3:$V$201,MATCH(E95&amp;F95,'Emission factors'!$J$3:$J$201&amp;'Emission factors'!$K$3:$K$201,0),MATCH(K$6,'Emission factors'!$K$2:$V$2,0)))*I95))</f>
        <v/>
      </c>
      <c r="L95" s="494" t="str">
        <f>IF(OR($E95="",$D95="",$I95="",$J95=""),"",INDEX('Emission factors'!$K$3:$V$201,MATCH('Buildings - Heat &amp; Fuels'!$E95,'Emission factors'!$J$3:$J$201,0),MATCH($L$6,'Emission factors'!$K$2:$V$2,0)))</f>
        <v/>
      </c>
      <c r="M95" s="495" t="str" cm="1">
        <f t="array" ref="M95">IF(OR(E95="",I95="",BuildingsHeatFuelsTable[[#This Row],[Units]]=""),"",INDEX('Emission factors'!$K$3:$V$201,MATCH('Buildings - Heat &amp; Fuels'!$E95&amp;F95,'Emission factors'!$J$3:$J$201&amp;'Emission factors'!$K$3:$K$201,0),MATCH('Buildings - Heat &amp; Fuels'!$M$6,'Emission factors'!$K$2:$V$2,0)))</f>
        <v/>
      </c>
      <c r="N95" s="496" t="str">
        <f>IF(OR(K95="",M95=""),"",SUM(BuildingsHeatFuelsTable[[#This Row],[Direct]:[Indirect WTT]]))</f>
        <v/>
      </c>
      <c r="O95" s="268"/>
      <c r="P95" s="497"/>
      <c r="Q95" s="157" t="str" cm="1">
        <f t="array" ref="Q95">IF(OR($E95="",$I95=""),"",(INDEX('Emission factors'!$K$3:$V$201,MATCH('Buildings - Heat &amp; Fuels'!$E95&amp;$F95,'Emission factors'!$J$3:$J$201&amp;'Emission factors'!$K$3:$K$201,0),MATCH('Buildings - Heat &amp; Fuels'!Q$6,'Emission factors'!$K$2:$V$2,0)))*$K95)</f>
        <v/>
      </c>
      <c r="R95" s="157" t="str" cm="1">
        <f t="array" ref="R95">IF(OR($E95="",$I95=""),"",(INDEX('Emission factors'!$K$3:$V$201,MATCH('Buildings - Heat &amp; Fuels'!$E95&amp;$F95,'Emission factors'!$J$3:$J$201&amp;'Emission factors'!$K$3:$K$201,0),MATCH('Buildings - Heat &amp; Fuels'!R$6,'Emission factors'!$K$2:$V$2,0)))*$K95)</f>
        <v/>
      </c>
      <c r="S95" s="157" t="str" cm="1">
        <f t="array" ref="S95">IF(OR($E95="",$I95=""),"",(INDEX('Emission factors'!$K$3:$V$201,MATCH('Buildings - Heat &amp; Fuels'!$E95&amp;$F95,'Emission factors'!$J$3:$J$201&amp;'Emission factors'!$K$3:$K$201,0),MATCH('Buildings - Heat &amp; Fuels'!S$6,'Emission factors'!$K$2:$V$2,0)))*$K95)</f>
        <v/>
      </c>
      <c r="T95" s="157" t="str" cm="1">
        <f t="array" ref="T95">IF(OR($E95="",$I95=""),"",(INDEX('Emission factors'!$K$3:$V$201,MATCH('Buildings - Heat &amp; Fuels'!$E95&amp;$F95,'Emission factors'!$J$3:$J$201&amp;'Emission factors'!$K$3:$K$201,0),MATCH('Buildings - Heat &amp; Fuels'!T$6,'Emission factors'!$K$2:$V$2,0)))*$K95)</f>
        <v/>
      </c>
      <c r="U95" s="157" t="str" cm="1">
        <f t="array" ref="U95">IF(OR($E95="",$I95=""),"",(INDEX('Emission factors'!$K$3:$V$201,MATCH('Buildings - Heat &amp; Fuels'!$E95&amp;$F95,'Emission factors'!$J$3:$J$201&amp;'Emission factors'!$K$3:$K$201,0),MATCH('Buildings - Heat &amp; Fuels'!U$6,'Emission factors'!$K$2:$V$2,0)))*$K95)</f>
        <v/>
      </c>
      <c r="V95" s="158" t="str">
        <f>IF(OR($N95="",BuildingsHeatFuelsTable[[#This Row],[RSD]]=""),"",BuildingsHeatFuelsTable[[#This Row],[Total emissions (kgCO2e)]]*(1+BuildingsHeatFuelsTable[[#This Row],[RSD]]))</f>
        <v/>
      </c>
      <c r="W95" s="159" t="str">
        <f>IF(OR($N95="",BuildingsHeatFuelsTable[[#This Row],[RSD]]=""),"",BuildingsHeatFuelsTable[[#This Row],[Total emissions (kgCO2e)]]*(1-BuildingsHeatFuelsTable[[#This Row],[RSD]]))</f>
        <v/>
      </c>
      <c r="X95" s="169" t="str" cm="1">
        <f t="array" ref="X95">IF(OR($E95="",$I95=""),"",(INDEX('Emission factors'!$K$3:$V$201,MATCH('Buildings - Heat &amp; Fuels'!$E95&amp;$F95,'Emission factors'!$J$3:$J$201&amp;'Emission factors'!$K$3:$K$201,0),MATCH('Buildings - Heat &amp; Fuels'!X$6,'Emission factors'!$K$2:$V$2,0)))*$K95)</f>
        <v/>
      </c>
      <c r="Y95" s="30"/>
      <c r="Z95" s="1" cm="1">
        <f t="array" ref="Z95">IF(OR(ISERROR(B95:X95)),1,0)</f>
        <v>0</v>
      </c>
      <c r="AA95" s="1">
        <f t="shared" si="0"/>
        <v>0</v>
      </c>
    </row>
    <row r="96" spans="1:27" ht="15" outlineLevel="1" thickBot="1" x14ac:dyDescent="0.4">
      <c r="A96" s="319"/>
      <c r="B96" s="216"/>
      <c r="C96" s="216"/>
      <c r="D96" s="489" t="str">
        <f>IFERROR(INDEX(BuildingInformationTable[Site type],MATCH(BuildingsHeatFuelsTable[[#This Row],[Site name]],BuildingInformationTable[Site name],0)),"")</f>
        <v/>
      </c>
      <c r="E96" s="491"/>
      <c r="F96" s="491"/>
      <c r="G96" s="491"/>
      <c r="H96" s="492" t="str">
        <f>IF(G96="","",INDEX(Lists!$BA$4:$BC$31,MATCH(E96,Lists!$AZ$4:$AZ$31,0),MATCH(G96,Lists!$BA$3:$BC$3,0)))</f>
        <v/>
      </c>
      <c r="I96" s="267"/>
      <c r="J96" s="491"/>
      <c r="K96" s="493" t="str" cm="1">
        <f t="array" ref="K96">IF(OR($E96="",$D96="",$I96="",$J96=""),"",IF(J96=L96,I96,(INDEX('Emission factors'!$K$3:$V$201,MATCH(E96&amp;F96,'Emission factors'!$J$3:$J$201&amp;'Emission factors'!$K$3:$K$201,0),MATCH(K$6,'Emission factors'!$K$2:$V$2,0)))*I96))</f>
        <v/>
      </c>
      <c r="L96" s="494" t="str">
        <f>IF(OR($E96="",$D96="",$I96="",$J96=""),"",INDEX('Emission factors'!$K$3:$V$201,MATCH('Buildings - Heat &amp; Fuels'!$E96,'Emission factors'!$J$3:$J$201,0),MATCH($L$6,'Emission factors'!$K$2:$V$2,0)))</f>
        <v/>
      </c>
      <c r="M96" s="495" t="str" cm="1">
        <f t="array" ref="M96">IF(OR(E96="",I96="",BuildingsHeatFuelsTable[[#This Row],[Units]]=""),"",INDEX('Emission factors'!$K$3:$V$201,MATCH('Buildings - Heat &amp; Fuels'!$E96&amp;F96,'Emission factors'!$J$3:$J$201&amp;'Emission factors'!$K$3:$K$201,0),MATCH('Buildings - Heat &amp; Fuels'!$M$6,'Emission factors'!$K$2:$V$2,0)))</f>
        <v/>
      </c>
      <c r="N96" s="496" t="str">
        <f>IF(OR(K96="",M96=""),"",SUM(BuildingsHeatFuelsTable[[#This Row],[Direct]:[Indirect WTT]]))</f>
        <v/>
      </c>
      <c r="O96" s="268"/>
      <c r="P96" s="497"/>
      <c r="Q96" s="157" t="str" cm="1">
        <f t="array" ref="Q96">IF(OR($E96="",$I96=""),"",(INDEX('Emission factors'!$K$3:$V$201,MATCH('Buildings - Heat &amp; Fuels'!$E96&amp;$F96,'Emission factors'!$J$3:$J$201&amp;'Emission factors'!$K$3:$K$201,0),MATCH('Buildings - Heat &amp; Fuels'!Q$6,'Emission factors'!$K$2:$V$2,0)))*$K96)</f>
        <v/>
      </c>
      <c r="R96" s="157" t="str" cm="1">
        <f t="array" ref="R96">IF(OR($E96="",$I96=""),"",(INDEX('Emission factors'!$K$3:$V$201,MATCH('Buildings - Heat &amp; Fuels'!$E96&amp;$F96,'Emission factors'!$J$3:$J$201&amp;'Emission factors'!$K$3:$K$201,0),MATCH('Buildings - Heat &amp; Fuels'!R$6,'Emission factors'!$K$2:$V$2,0)))*$K96)</f>
        <v/>
      </c>
      <c r="S96" s="157" t="str" cm="1">
        <f t="array" ref="S96">IF(OR($E96="",$I96=""),"",(INDEX('Emission factors'!$K$3:$V$201,MATCH('Buildings - Heat &amp; Fuels'!$E96&amp;$F96,'Emission factors'!$J$3:$J$201&amp;'Emission factors'!$K$3:$K$201,0),MATCH('Buildings - Heat &amp; Fuels'!S$6,'Emission factors'!$K$2:$V$2,0)))*$K96)</f>
        <v/>
      </c>
      <c r="T96" s="157" t="str" cm="1">
        <f t="array" ref="T96">IF(OR($E96="",$I96=""),"",(INDEX('Emission factors'!$K$3:$V$201,MATCH('Buildings - Heat &amp; Fuels'!$E96&amp;$F96,'Emission factors'!$J$3:$J$201&amp;'Emission factors'!$K$3:$K$201,0),MATCH('Buildings - Heat &amp; Fuels'!T$6,'Emission factors'!$K$2:$V$2,0)))*$K96)</f>
        <v/>
      </c>
      <c r="U96" s="157" t="str" cm="1">
        <f t="array" ref="U96">IF(OR($E96="",$I96=""),"",(INDEX('Emission factors'!$K$3:$V$201,MATCH('Buildings - Heat &amp; Fuels'!$E96&amp;$F96,'Emission factors'!$J$3:$J$201&amp;'Emission factors'!$K$3:$K$201,0),MATCH('Buildings - Heat &amp; Fuels'!U$6,'Emission factors'!$K$2:$V$2,0)))*$K96)</f>
        <v/>
      </c>
      <c r="V96" s="158" t="str">
        <f>IF(OR($N96="",BuildingsHeatFuelsTable[[#This Row],[RSD]]=""),"",BuildingsHeatFuelsTable[[#This Row],[Total emissions (kgCO2e)]]*(1+BuildingsHeatFuelsTable[[#This Row],[RSD]]))</f>
        <v/>
      </c>
      <c r="W96" s="159" t="str">
        <f>IF(OR($N96="",BuildingsHeatFuelsTable[[#This Row],[RSD]]=""),"",BuildingsHeatFuelsTable[[#This Row],[Total emissions (kgCO2e)]]*(1-BuildingsHeatFuelsTable[[#This Row],[RSD]]))</f>
        <v/>
      </c>
      <c r="X96" s="169" t="str" cm="1">
        <f t="array" ref="X96">IF(OR($E96="",$I96=""),"",(INDEX('Emission factors'!$K$3:$V$201,MATCH('Buildings - Heat &amp; Fuels'!$E96&amp;$F96,'Emission factors'!$J$3:$J$201&amp;'Emission factors'!$K$3:$K$201,0),MATCH('Buildings - Heat &amp; Fuels'!X$6,'Emission factors'!$K$2:$V$2,0)))*$K96)</f>
        <v/>
      </c>
      <c r="Y96" s="30"/>
      <c r="Z96" s="1" cm="1">
        <f t="array" ref="Z96">IF(OR(ISERROR(B96:X96)),1,0)</f>
        <v>0</v>
      </c>
      <c r="AA96" s="1">
        <f t="shared" si="0"/>
        <v>0</v>
      </c>
    </row>
    <row r="97" spans="1:27" ht="15" outlineLevel="1" thickBot="1" x14ac:dyDescent="0.4">
      <c r="A97" s="319"/>
      <c r="B97" s="216"/>
      <c r="C97" s="216"/>
      <c r="D97" s="489" t="str">
        <f>IFERROR(INDEX(BuildingInformationTable[Site type],MATCH(BuildingsHeatFuelsTable[[#This Row],[Site name]],BuildingInformationTable[Site name],0)),"")</f>
        <v/>
      </c>
      <c r="E97" s="491"/>
      <c r="F97" s="491"/>
      <c r="G97" s="491"/>
      <c r="H97" s="492" t="str">
        <f>IF(G97="","",INDEX(Lists!$BA$4:$BC$31,MATCH(E97,Lists!$AZ$4:$AZ$31,0),MATCH(G97,Lists!$BA$3:$BC$3,0)))</f>
        <v/>
      </c>
      <c r="I97" s="267"/>
      <c r="J97" s="491"/>
      <c r="K97" s="493" t="str" cm="1">
        <f t="array" ref="K97">IF(OR($E97="",$D97="",$I97="",$J97=""),"",IF(J97=L97,I97,(INDEX('Emission factors'!$K$3:$V$201,MATCH(E97&amp;F97,'Emission factors'!$J$3:$J$201&amp;'Emission factors'!$K$3:$K$201,0),MATCH(K$6,'Emission factors'!$K$2:$V$2,0)))*I97))</f>
        <v/>
      </c>
      <c r="L97" s="494" t="str">
        <f>IF(OR($E97="",$D97="",$I97="",$J97=""),"",INDEX('Emission factors'!$K$3:$V$201,MATCH('Buildings - Heat &amp; Fuels'!$E97,'Emission factors'!$J$3:$J$201,0),MATCH($L$6,'Emission factors'!$K$2:$V$2,0)))</f>
        <v/>
      </c>
      <c r="M97" s="495" t="str" cm="1">
        <f t="array" ref="M97">IF(OR(E97="",I97="",BuildingsHeatFuelsTable[[#This Row],[Units]]=""),"",INDEX('Emission factors'!$K$3:$V$201,MATCH('Buildings - Heat &amp; Fuels'!$E97&amp;F97,'Emission factors'!$J$3:$J$201&amp;'Emission factors'!$K$3:$K$201,0),MATCH('Buildings - Heat &amp; Fuels'!$M$6,'Emission factors'!$K$2:$V$2,0)))</f>
        <v/>
      </c>
      <c r="N97" s="496" t="str">
        <f>IF(OR(K97="",M97=""),"",SUM(BuildingsHeatFuelsTable[[#This Row],[Direct]:[Indirect WTT]]))</f>
        <v/>
      </c>
      <c r="O97" s="268"/>
      <c r="P97" s="497"/>
      <c r="Q97" s="157" t="str" cm="1">
        <f t="array" ref="Q97">IF(OR($E97="",$I97=""),"",(INDEX('Emission factors'!$K$3:$V$201,MATCH('Buildings - Heat &amp; Fuels'!$E97&amp;$F97,'Emission factors'!$J$3:$J$201&amp;'Emission factors'!$K$3:$K$201,0),MATCH('Buildings - Heat &amp; Fuels'!Q$6,'Emission factors'!$K$2:$V$2,0)))*$K97)</f>
        <v/>
      </c>
      <c r="R97" s="157" t="str" cm="1">
        <f t="array" ref="R97">IF(OR($E97="",$I97=""),"",(INDEX('Emission factors'!$K$3:$V$201,MATCH('Buildings - Heat &amp; Fuels'!$E97&amp;$F97,'Emission factors'!$J$3:$J$201&amp;'Emission factors'!$K$3:$K$201,0),MATCH('Buildings - Heat &amp; Fuels'!R$6,'Emission factors'!$K$2:$V$2,0)))*$K97)</f>
        <v/>
      </c>
      <c r="S97" s="157" t="str" cm="1">
        <f t="array" ref="S97">IF(OR($E97="",$I97=""),"",(INDEX('Emission factors'!$K$3:$V$201,MATCH('Buildings - Heat &amp; Fuels'!$E97&amp;$F97,'Emission factors'!$J$3:$J$201&amp;'Emission factors'!$K$3:$K$201,0),MATCH('Buildings - Heat &amp; Fuels'!S$6,'Emission factors'!$K$2:$V$2,0)))*$K97)</f>
        <v/>
      </c>
      <c r="T97" s="157" t="str" cm="1">
        <f t="array" ref="T97">IF(OR($E97="",$I97=""),"",(INDEX('Emission factors'!$K$3:$V$201,MATCH('Buildings - Heat &amp; Fuels'!$E97&amp;$F97,'Emission factors'!$J$3:$J$201&amp;'Emission factors'!$K$3:$K$201,0),MATCH('Buildings - Heat &amp; Fuels'!T$6,'Emission factors'!$K$2:$V$2,0)))*$K97)</f>
        <v/>
      </c>
      <c r="U97" s="157" t="str" cm="1">
        <f t="array" ref="U97">IF(OR($E97="",$I97=""),"",(INDEX('Emission factors'!$K$3:$V$201,MATCH('Buildings - Heat &amp; Fuels'!$E97&amp;$F97,'Emission factors'!$J$3:$J$201&amp;'Emission factors'!$K$3:$K$201,0),MATCH('Buildings - Heat &amp; Fuels'!U$6,'Emission factors'!$K$2:$V$2,0)))*$K97)</f>
        <v/>
      </c>
      <c r="V97" s="158" t="str">
        <f>IF(OR($N97="",BuildingsHeatFuelsTable[[#This Row],[RSD]]=""),"",BuildingsHeatFuelsTable[[#This Row],[Total emissions (kgCO2e)]]*(1+BuildingsHeatFuelsTable[[#This Row],[RSD]]))</f>
        <v/>
      </c>
      <c r="W97" s="159" t="str">
        <f>IF(OR($N97="",BuildingsHeatFuelsTable[[#This Row],[RSD]]=""),"",BuildingsHeatFuelsTable[[#This Row],[Total emissions (kgCO2e)]]*(1-BuildingsHeatFuelsTable[[#This Row],[RSD]]))</f>
        <v/>
      </c>
      <c r="X97" s="169" t="str" cm="1">
        <f t="array" ref="X97">IF(OR($E97="",$I97=""),"",(INDEX('Emission factors'!$K$3:$V$201,MATCH('Buildings - Heat &amp; Fuels'!$E97&amp;$F97,'Emission factors'!$J$3:$J$201&amp;'Emission factors'!$K$3:$K$201,0),MATCH('Buildings - Heat &amp; Fuels'!X$6,'Emission factors'!$K$2:$V$2,0)))*$K97)</f>
        <v/>
      </c>
      <c r="Y97" s="30"/>
      <c r="Z97" s="1" cm="1">
        <f t="array" ref="Z97">IF(OR(ISERROR(B97:X97)),1,0)</f>
        <v>0</v>
      </c>
      <c r="AA97" s="1">
        <f t="shared" si="0"/>
        <v>0</v>
      </c>
    </row>
    <row r="98" spans="1:27" ht="15" outlineLevel="1" thickBot="1" x14ac:dyDescent="0.4">
      <c r="A98" s="319"/>
      <c r="B98" s="216"/>
      <c r="C98" s="216"/>
      <c r="D98" s="489" t="str">
        <f>IFERROR(INDEX(BuildingInformationTable[Site type],MATCH(BuildingsHeatFuelsTable[[#This Row],[Site name]],BuildingInformationTable[Site name],0)),"")</f>
        <v/>
      </c>
      <c r="E98" s="491"/>
      <c r="F98" s="491"/>
      <c r="G98" s="491"/>
      <c r="H98" s="492" t="str">
        <f>IF(G98="","",INDEX(Lists!$BA$4:$BC$31,MATCH(E98,Lists!$AZ$4:$AZ$31,0),MATCH(G98,Lists!$BA$3:$BC$3,0)))</f>
        <v/>
      </c>
      <c r="I98" s="267"/>
      <c r="J98" s="491"/>
      <c r="K98" s="493" t="str" cm="1">
        <f t="array" ref="K98">IF(OR($E98="",$D98="",$I98="",$J98=""),"",IF(J98=L98,I98,(INDEX('Emission factors'!$K$3:$V$201,MATCH(E98&amp;F98,'Emission factors'!$J$3:$J$201&amp;'Emission factors'!$K$3:$K$201,0),MATCH(K$6,'Emission factors'!$K$2:$V$2,0)))*I98))</f>
        <v/>
      </c>
      <c r="L98" s="494" t="str">
        <f>IF(OR($E98="",$D98="",$I98="",$J98=""),"",INDEX('Emission factors'!$K$3:$V$201,MATCH('Buildings - Heat &amp; Fuels'!$E98,'Emission factors'!$J$3:$J$201,0),MATCH($L$6,'Emission factors'!$K$2:$V$2,0)))</f>
        <v/>
      </c>
      <c r="M98" s="495" t="str" cm="1">
        <f t="array" ref="M98">IF(OR(E98="",I98="",BuildingsHeatFuelsTable[[#This Row],[Units]]=""),"",INDEX('Emission factors'!$K$3:$V$201,MATCH('Buildings - Heat &amp; Fuels'!$E98&amp;F98,'Emission factors'!$J$3:$J$201&amp;'Emission factors'!$K$3:$K$201,0),MATCH('Buildings - Heat &amp; Fuels'!$M$6,'Emission factors'!$K$2:$V$2,0)))</f>
        <v/>
      </c>
      <c r="N98" s="496" t="str">
        <f>IF(OR(K98="",M98=""),"",SUM(BuildingsHeatFuelsTable[[#This Row],[Direct]:[Indirect WTT]]))</f>
        <v/>
      </c>
      <c r="O98" s="268"/>
      <c r="P98" s="497"/>
      <c r="Q98" s="157" t="str" cm="1">
        <f t="array" ref="Q98">IF(OR($E98="",$I98=""),"",(INDEX('Emission factors'!$K$3:$V$201,MATCH('Buildings - Heat &amp; Fuels'!$E98&amp;$F98,'Emission factors'!$J$3:$J$201&amp;'Emission factors'!$K$3:$K$201,0),MATCH('Buildings - Heat &amp; Fuels'!Q$6,'Emission factors'!$K$2:$V$2,0)))*$K98)</f>
        <v/>
      </c>
      <c r="R98" s="157" t="str" cm="1">
        <f t="array" ref="R98">IF(OR($E98="",$I98=""),"",(INDEX('Emission factors'!$K$3:$V$201,MATCH('Buildings - Heat &amp; Fuels'!$E98&amp;$F98,'Emission factors'!$J$3:$J$201&amp;'Emission factors'!$K$3:$K$201,0),MATCH('Buildings - Heat &amp; Fuels'!R$6,'Emission factors'!$K$2:$V$2,0)))*$K98)</f>
        <v/>
      </c>
      <c r="S98" s="157" t="str" cm="1">
        <f t="array" ref="S98">IF(OR($E98="",$I98=""),"",(INDEX('Emission factors'!$K$3:$V$201,MATCH('Buildings - Heat &amp; Fuels'!$E98&amp;$F98,'Emission factors'!$J$3:$J$201&amp;'Emission factors'!$K$3:$K$201,0),MATCH('Buildings - Heat &amp; Fuels'!S$6,'Emission factors'!$K$2:$V$2,0)))*$K98)</f>
        <v/>
      </c>
      <c r="T98" s="157" t="str" cm="1">
        <f t="array" ref="T98">IF(OR($E98="",$I98=""),"",(INDEX('Emission factors'!$K$3:$V$201,MATCH('Buildings - Heat &amp; Fuels'!$E98&amp;$F98,'Emission factors'!$J$3:$J$201&amp;'Emission factors'!$K$3:$K$201,0),MATCH('Buildings - Heat &amp; Fuels'!T$6,'Emission factors'!$K$2:$V$2,0)))*$K98)</f>
        <v/>
      </c>
      <c r="U98" s="157" t="str" cm="1">
        <f t="array" ref="U98">IF(OR($E98="",$I98=""),"",(INDEX('Emission factors'!$K$3:$V$201,MATCH('Buildings - Heat &amp; Fuels'!$E98&amp;$F98,'Emission factors'!$J$3:$J$201&amp;'Emission factors'!$K$3:$K$201,0),MATCH('Buildings - Heat &amp; Fuels'!U$6,'Emission factors'!$K$2:$V$2,0)))*$K98)</f>
        <v/>
      </c>
      <c r="V98" s="158" t="str">
        <f>IF(OR($N98="",BuildingsHeatFuelsTable[[#This Row],[RSD]]=""),"",BuildingsHeatFuelsTable[[#This Row],[Total emissions (kgCO2e)]]*(1+BuildingsHeatFuelsTable[[#This Row],[RSD]]))</f>
        <v/>
      </c>
      <c r="W98" s="159" t="str">
        <f>IF(OR($N98="",BuildingsHeatFuelsTable[[#This Row],[RSD]]=""),"",BuildingsHeatFuelsTable[[#This Row],[Total emissions (kgCO2e)]]*(1-BuildingsHeatFuelsTable[[#This Row],[RSD]]))</f>
        <v/>
      </c>
      <c r="X98" s="169" t="str" cm="1">
        <f t="array" ref="X98">IF(OR($E98="",$I98=""),"",(INDEX('Emission factors'!$K$3:$V$201,MATCH('Buildings - Heat &amp; Fuels'!$E98&amp;$F98,'Emission factors'!$J$3:$J$201&amp;'Emission factors'!$K$3:$K$201,0),MATCH('Buildings - Heat &amp; Fuels'!X$6,'Emission factors'!$K$2:$V$2,0)))*$K98)</f>
        <v/>
      </c>
      <c r="Y98" s="30"/>
      <c r="Z98" s="1" cm="1">
        <f t="array" ref="Z98">IF(OR(ISERROR(B98:X98)),1,0)</f>
        <v>0</v>
      </c>
      <c r="AA98" s="1">
        <f t="shared" si="0"/>
        <v>0</v>
      </c>
    </row>
    <row r="99" spans="1:27" ht="15" outlineLevel="1" thickBot="1" x14ac:dyDescent="0.4">
      <c r="A99" s="319"/>
      <c r="B99" s="216"/>
      <c r="C99" s="216"/>
      <c r="D99" s="489" t="str">
        <f>IFERROR(INDEX(BuildingInformationTable[Site type],MATCH(BuildingsHeatFuelsTable[[#This Row],[Site name]],BuildingInformationTable[Site name],0)),"")</f>
        <v/>
      </c>
      <c r="E99" s="491"/>
      <c r="F99" s="491"/>
      <c r="G99" s="491"/>
      <c r="H99" s="492" t="str">
        <f>IF(G99="","",INDEX(Lists!$BA$4:$BC$31,MATCH(E99,Lists!$AZ$4:$AZ$31,0),MATCH(G99,Lists!$BA$3:$BC$3,0)))</f>
        <v/>
      </c>
      <c r="I99" s="267"/>
      <c r="J99" s="491"/>
      <c r="K99" s="493" t="str" cm="1">
        <f t="array" ref="K99">IF(OR($E99="",$D99="",$I99="",$J99=""),"",IF(J99=L99,I99,(INDEX('Emission factors'!$K$3:$V$201,MATCH(E99&amp;F99,'Emission factors'!$J$3:$J$201&amp;'Emission factors'!$K$3:$K$201,0),MATCH(K$6,'Emission factors'!$K$2:$V$2,0)))*I99))</f>
        <v/>
      </c>
      <c r="L99" s="494" t="str">
        <f>IF(OR($E99="",$D99="",$I99="",$J99=""),"",INDEX('Emission factors'!$K$3:$V$201,MATCH('Buildings - Heat &amp; Fuels'!$E99,'Emission factors'!$J$3:$J$201,0),MATCH($L$6,'Emission factors'!$K$2:$V$2,0)))</f>
        <v/>
      </c>
      <c r="M99" s="495" t="str" cm="1">
        <f t="array" ref="M99">IF(OR(E99="",I99="",BuildingsHeatFuelsTable[[#This Row],[Units]]=""),"",INDEX('Emission factors'!$K$3:$V$201,MATCH('Buildings - Heat &amp; Fuels'!$E99&amp;F99,'Emission factors'!$J$3:$J$201&amp;'Emission factors'!$K$3:$K$201,0),MATCH('Buildings - Heat &amp; Fuels'!$M$6,'Emission factors'!$K$2:$V$2,0)))</f>
        <v/>
      </c>
      <c r="N99" s="496" t="str">
        <f>IF(OR(K99="",M99=""),"",SUM(BuildingsHeatFuelsTable[[#This Row],[Direct]:[Indirect WTT]]))</f>
        <v/>
      </c>
      <c r="O99" s="268"/>
      <c r="P99" s="497"/>
      <c r="Q99" s="157" t="str" cm="1">
        <f t="array" ref="Q99">IF(OR($E99="",$I99=""),"",(INDEX('Emission factors'!$K$3:$V$201,MATCH('Buildings - Heat &amp; Fuels'!$E99&amp;$F99,'Emission factors'!$J$3:$J$201&amp;'Emission factors'!$K$3:$K$201,0),MATCH('Buildings - Heat &amp; Fuels'!Q$6,'Emission factors'!$K$2:$V$2,0)))*$K99)</f>
        <v/>
      </c>
      <c r="R99" s="157" t="str" cm="1">
        <f t="array" ref="R99">IF(OR($E99="",$I99=""),"",(INDEX('Emission factors'!$K$3:$V$201,MATCH('Buildings - Heat &amp; Fuels'!$E99&amp;$F99,'Emission factors'!$J$3:$J$201&amp;'Emission factors'!$K$3:$K$201,0),MATCH('Buildings - Heat &amp; Fuels'!R$6,'Emission factors'!$K$2:$V$2,0)))*$K99)</f>
        <v/>
      </c>
      <c r="S99" s="157" t="str" cm="1">
        <f t="array" ref="S99">IF(OR($E99="",$I99=""),"",(INDEX('Emission factors'!$K$3:$V$201,MATCH('Buildings - Heat &amp; Fuels'!$E99&amp;$F99,'Emission factors'!$J$3:$J$201&amp;'Emission factors'!$K$3:$K$201,0),MATCH('Buildings - Heat &amp; Fuels'!S$6,'Emission factors'!$K$2:$V$2,0)))*$K99)</f>
        <v/>
      </c>
      <c r="T99" s="157" t="str" cm="1">
        <f t="array" ref="T99">IF(OR($E99="",$I99=""),"",(INDEX('Emission factors'!$K$3:$V$201,MATCH('Buildings - Heat &amp; Fuels'!$E99&amp;$F99,'Emission factors'!$J$3:$J$201&amp;'Emission factors'!$K$3:$K$201,0),MATCH('Buildings - Heat &amp; Fuels'!T$6,'Emission factors'!$K$2:$V$2,0)))*$K99)</f>
        <v/>
      </c>
      <c r="U99" s="157" t="str" cm="1">
        <f t="array" ref="U99">IF(OR($E99="",$I99=""),"",(INDEX('Emission factors'!$K$3:$V$201,MATCH('Buildings - Heat &amp; Fuels'!$E99&amp;$F99,'Emission factors'!$J$3:$J$201&amp;'Emission factors'!$K$3:$K$201,0),MATCH('Buildings - Heat &amp; Fuels'!U$6,'Emission factors'!$K$2:$V$2,0)))*$K99)</f>
        <v/>
      </c>
      <c r="V99" s="158" t="str">
        <f>IF(OR($N99="",BuildingsHeatFuelsTable[[#This Row],[RSD]]=""),"",BuildingsHeatFuelsTable[[#This Row],[Total emissions (kgCO2e)]]*(1+BuildingsHeatFuelsTable[[#This Row],[RSD]]))</f>
        <v/>
      </c>
      <c r="W99" s="159" t="str">
        <f>IF(OR($N99="",BuildingsHeatFuelsTable[[#This Row],[RSD]]=""),"",BuildingsHeatFuelsTable[[#This Row],[Total emissions (kgCO2e)]]*(1-BuildingsHeatFuelsTable[[#This Row],[RSD]]))</f>
        <v/>
      </c>
      <c r="X99" s="169" t="str" cm="1">
        <f t="array" ref="X99">IF(OR($E99="",$I99=""),"",(INDEX('Emission factors'!$K$3:$V$201,MATCH('Buildings - Heat &amp; Fuels'!$E99&amp;$F99,'Emission factors'!$J$3:$J$201&amp;'Emission factors'!$K$3:$K$201,0),MATCH('Buildings - Heat &amp; Fuels'!X$6,'Emission factors'!$K$2:$V$2,0)))*$K99)</f>
        <v/>
      </c>
      <c r="Y99" s="30"/>
      <c r="Z99" s="1" cm="1">
        <f t="array" ref="Z99">IF(OR(ISERROR(B99:X99)),1,0)</f>
        <v>0</v>
      </c>
      <c r="AA99" s="1">
        <f t="shared" si="0"/>
        <v>0</v>
      </c>
    </row>
    <row r="100" spans="1:27" ht="15" outlineLevel="1" thickBot="1" x14ac:dyDescent="0.4">
      <c r="A100" s="319"/>
      <c r="B100" s="216"/>
      <c r="C100" s="216"/>
      <c r="D100" s="489" t="str">
        <f>IFERROR(INDEX(BuildingInformationTable[Site type],MATCH(BuildingsHeatFuelsTable[[#This Row],[Site name]],BuildingInformationTable[Site name],0)),"")</f>
        <v/>
      </c>
      <c r="E100" s="491"/>
      <c r="F100" s="491"/>
      <c r="G100" s="491"/>
      <c r="H100" s="492" t="str">
        <f>IF(G100="","",INDEX(Lists!$BA$4:$BC$31,MATCH(E100,Lists!$AZ$4:$AZ$31,0),MATCH(G100,Lists!$BA$3:$BC$3,0)))</f>
        <v/>
      </c>
      <c r="I100" s="267"/>
      <c r="J100" s="491"/>
      <c r="K100" s="493" t="str" cm="1">
        <f t="array" ref="K100">IF(OR($E100="",$D100="",$I100="",$J100=""),"",IF(J100=L100,I100,(INDEX('Emission factors'!$K$3:$V$201,MATCH(E100&amp;F100,'Emission factors'!$J$3:$J$201&amp;'Emission factors'!$K$3:$K$201,0),MATCH(K$6,'Emission factors'!$K$2:$V$2,0)))*I100))</f>
        <v/>
      </c>
      <c r="L100" s="494" t="str">
        <f>IF(OR($E100="",$D100="",$I100="",$J100=""),"",INDEX('Emission factors'!$K$3:$V$201,MATCH('Buildings - Heat &amp; Fuels'!$E100,'Emission factors'!$J$3:$J$201,0),MATCH($L$6,'Emission factors'!$K$2:$V$2,0)))</f>
        <v/>
      </c>
      <c r="M100" s="495" t="str" cm="1">
        <f t="array" ref="M100">IF(OR(E100="",I100="",BuildingsHeatFuelsTable[[#This Row],[Units]]=""),"",INDEX('Emission factors'!$K$3:$V$201,MATCH('Buildings - Heat &amp; Fuels'!$E100&amp;F100,'Emission factors'!$J$3:$J$201&amp;'Emission factors'!$K$3:$K$201,0),MATCH('Buildings - Heat &amp; Fuels'!$M$6,'Emission factors'!$K$2:$V$2,0)))</f>
        <v/>
      </c>
      <c r="N100" s="496" t="str">
        <f>IF(OR(K100="",M100=""),"",SUM(BuildingsHeatFuelsTable[[#This Row],[Direct]:[Indirect WTT]]))</f>
        <v/>
      </c>
      <c r="O100" s="268"/>
      <c r="P100" s="497"/>
      <c r="Q100" s="157" t="str" cm="1">
        <f t="array" ref="Q100">IF(OR($E100="",$I100=""),"",(INDEX('Emission factors'!$K$3:$V$201,MATCH('Buildings - Heat &amp; Fuels'!$E100&amp;$F100,'Emission factors'!$J$3:$J$201&amp;'Emission factors'!$K$3:$K$201,0),MATCH('Buildings - Heat &amp; Fuels'!Q$6,'Emission factors'!$K$2:$V$2,0)))*$K100)</f>
        <v/>
      </c>
      <c r="R100" s="157" t="str" cm="1">
        <f t="array" ref="R100">IF(OR($E100="",$I100=""),"",(INDEX('Emission factors'!$K$3:$V$201,MATCH('Buildings - Heat &amp; Fuels'!$E100&amp;$F100,'Emission factors'!$J$3:$J$201&amp;'Emission factors'!$K$3:$K$201,0),MATCH('Buildings - Heat &amp; Fuels'!R$6,'Emission factors'!$K$2:$V$2,0)))*$K100)</f>
        <v/>
      </c>
      <c r="S100" s="157" t="str" cm="1">
        <f t="array" ref="S100">IF(OR($E100="",$I100=""),"",(INDEX('Emission factors'!$K$3:$V$201,MATCH('Buildings - Heat &amp; Fuels'!$E100&amp;$F100,'Emission factors'!$J$3:$J$201&amp;'Emission factors'!$K$3:$K$201,0),MATCH('Buildings - Heat &amp; Fuels'!S$6,'Emission factors'!$K$2:$V$2,0)))*$K100)</f>
        <v/>
      </c>
      <c r="T100" s="157" t="str" cm="1">
        <f t="array" ref="T100">IF(OR($E100="",$I100=""),"",(INDEX('Emission factors'!$K$3:$V$201,MATCH('Buildings - Heat &amp; Fuels'!$E100&amp;$F100,'Emission factors'!$J$3:$J$201&amp;'Emission factors'!$K$3:$K$201,0),MATCH('Buildings - Heat &amp; Fuels'!T$6,'Emission factors'!$K$2:$V$2,0)))*$K100)</f>
        <v/>
      </c>
      <c r="U100" s="157" t="str" cm="1">
        <f t="array" ref="U100">IF(OR($E100="",$I100=""),"",(INDEX('Emission factors'!$K$3:$V$201,MATCH('Buildings - Heat &amp; Fuels'!$E100&amp;$F100,'Emission factors'!$J$3:$J$201&amp;'Emission factors'!$K$3:$K$201,0),MATCH('Buildings - Heat &amp; Fuels'!U$6,'Emission factors'!$K$2:$V$2,0)))*$K100)</f>
        <v/>
      </c>
      <c r="V100" s="158" t="str">
        <f>IF(OR($N100="",BuildingsHeatFuelsTable[[#This Row],[RSD]]=""),"",BuildingsHeatFuelsTable[[#This Row],[Total emissions (kgCO2e)]]*(1+BuildingsHeatFuelsTable[[#This Row],[RSD]]))</f>
        <v/>
      </c>
      <c r="W100" s="159" t="str">
        <f>IF(OR($N100="",BuildingsHeatFuelsTable[[#This Row],[RSD]]=""),"",BuildingsHeatFuelsTable[[#This Row],[Total emissions (kgCO2e)]]*(1-BuildingsHeatFuelsTable[[#This Row],[RSD]]))</f>
        <v/>
      </c>
      <c r="X100" s="169" t="str" cm="1">
        <f t="array" ref="X100">IF(OR($E100="",$I100=""),"",(INDEX('Emission factors'!$K$3:$V$201,MATCH('Buildings - Heat &amp; Fuels'!$E100&amp;$F100,'Emission factors'!$J$3:$J$201&amp;'Emission factors'!$K$3:$K$201,0),MATCH('Buildings - Heat &amp; Fuels'!X$6,'Emission factors'!$K$2:$V$2,0)))*$K100)</f>
        <v/>
      </c>
      <c r="Y100" s="30"/>
      <c r="Z100" s="1" cm="1">
        <f t="array" ref="Z100">IF(OR(ISERROR(B100:X100)),1,0)</f>
        <v>0</v>
      </c>
      <c r="AA100" s="1">
        <f t="shared" si="0"/>
        <v>0</v>
      </c>
    </row>
    <row r="101" spans="1:27" ht="15" outlineLevel="1" thickBot="1" x14ac:dyDescent="0.4">
      <c r="A101" s="319"/>
      <c r="B101" s="216"/>
      <c r="C101" s="216"/>
      <c r="D101" s="489" t="str">
        <f>IFERROR(INDEX(BuildingInformationTable[Site type],MATCH(BuildingsHeatFuelsTable[[#This Row],[Site name]],BuildingInformationTable[Site name],0)),"")</f>
        <v/>
      </c>
      <c r="E101" s="491"/>
      <c r="F101" s="491"/>
      <c r="G101" s="491"/>
      <c r="H101" s="492" t="str">
        <f>IF(G101="","",INDEX(Lists!$BA$4:$BC$31,MATCH(E101,Lists!$AZ$4:$AZ$31,0),MATCH(G101,Lists!$BA$3:$BC$3,0)))</f>
        <v/>
      </c>
      <c r="I101" s="267"/>
      <c r="J101" s="491"/>
      <c r="K101" s="493" t="str" cm="1">
        <f t="array" ref="K101">IF(OR($E101="",$D101="",$I101="",$J101=""),"",IF(J101=L101,I101,(INDEX('Emission factors'!$K$3:$V$201,MATCH(E101&amp;F101,'Emission factors'!$J$3:$J$201&amp;'Emission factors'!$K$3:$K$201,0),MATCH(K$6,'Emission factors'!$K$2:$V$2,0)))*I101))</f>
        <v/>
      </c>
      <c r="L101" s="494" t="str">
        <f>IF(OR($E101="",$D101="",$I101="",$J101=""),"",INDEX('Emission factors'!$K$3:$V$201,MATCH('Buildings - Heat &amp; Fuels'!$E101,'Emission factors'!$J$3:$J$201,0),MATCH($L$6,'Emission factors'!$K$2:$V$2,0)))</f>
        <v/>
      </c>
      <c r="M101" s="495" t="str" cm="1">
        <f t="array" ref="M101">IF(OR(E101="",I101="",BuildingsHeatFuelsTable[[#This Row],[Units]]=""),"",INDEX('Emission factors'!$K$3:$V$201,MATCH('Buildings - Heat &amp; Fuels'!$E101&amp;F101,'Emission factors'!$J$3:$J$201&amp;'Emission factors'!$K$3:$K$201,0),MATCH('Buildings - Heat &amp; Fuels'!$M$6,'Emission factors'!$K$2:$V$2,0)))</f>
        <v/>
      </c>
      <c r="N101" s="496" t="str">
        <f>IF(OR(K101="",M101=""),"",SUM(BuildingsHeatFuelsTable[[#This Row],[Direct]:[Indirect WTT]]))</f>
        <v/>
      </c>
      <c r="O101" s="268"/>
      <c r="P101" s="497"/>
      <c r="Q101" s="157" t="str" cm="1">
        <f t="array" ref="Q101">IF(OR($E101="",$I101=""),"",(INDEX('Emission factors'!$K$3:$V$201,MATCH('Buildings - Heat &amp; Fuels'!$E101&amp;$F101,'Emission factors'!$J$3:$J$201&amp;'Emission factors'!$K$3:$K$201,0),MATCH('Buildings - Heat &amp; Fuels'!Q$6,'Emission factors'!$K$2:$V$2,0)))*$K101)</f>
        <v/>
      </c>
      <c r="R101" s="157" t="str" cm="1">
        <f t="array" ref="R101">IF(OR($E101="",$I101=""),"",(INDEX('Emission factors'!$K$3:$V$201,MATCH('Buildings - Heat &amp; Fuels'!$E101&amp;$F101,'Emission factors'!$J$3:$J$201&amp;'Emission factors'!$K$3:$K$201,0),MATCH('Buildings - Heat &amp; Fuels'!R$6,'Emission factors'!$K$2:$V$2,0)))*$K101)</f>
        <v/>
      </c>
      <c r="S101" s="157" t="str" cm="1">
        <f t="array" ref="S101">IF(OR($E101="",$I101=""),"",(INDEX('Emission factors'!$K$3:$V$201,MATCH('Buildings - Heat &amp; Fuels'!$E101&amp;$F101,'Emission factors'!$J$3:$J$201&amp;'Emission factors'!$K$3:$K$201,0),MATCH('Buildings - Heat &amp; Fuels'!S$6,'Emission factors'!$K$2:$V$2,0)))*$K101)</f>
        <v/>
      </c>
      <c r="T101" s="157" t="str" cm="1">
        <f t="array" ref="T101">IF(OR($E101="",$I101=""),"",(INDEX('Emission factors'!$K$3:$V$201,MATCH('Buildings - Heat &amp; Fuels'!$E101&amp;$F101,'Emission factors'!$J$3:$J$201&amp;'Emission factors'!$K$3:$K$201,0),MATCH('Buildings - Heat &amp; Fuels'!T$6,'Emission factors'!$K$2:$V$2,0)))*$K101)</f>
        <v/>
      </c>
      <c r="U101" s="157" t="str" cm="1">
        <f t="array" ref="U101">IF(OR($E101="",$I101=""),"",(INDEX('Emission factors'!$K$3:$V$201,MATCH('Buildings - Heat &amp; Fuels'!$E101&amp;$F101,'Emission factors'!$J$3:$J$201&amp;'Emission factors'!$K$3:$K$201,0),MATCH('Buildings - Heat &amp; Fuels'!U$6,'Emission factors'!$K$2:$V$2,0)))*$K101)</f>
        <v/>
      </c>
      <c r="V101" s="158" t="str">
        <f>IF(OR($N101="",BuildingsHeatFuelsTable[[#This Row],[RSD]]=""),"",BuildingsHeatFuelsTable[[#This Row],[Total emissions (kgCO2e)]]*(1+BuildingsHeatFuelsTable[[#This Row],[RSD]]))</f>
        <v/>
      </c>
      <c r="W101" s="159" t="str">
        <f>IF(OR($N101="",BuildingsHeatFuelsTable[[#This Row],[RSD]]=""),"",BuildingsHeatFuelsTable[[#This Row],[Total emissions (kgCO2e)]]*(1-BuildingsHeatFuelsTable[[#This Row],[RSD]]))</f>
        <v/>
      </c>
      <c r="X101" s="169" t="str" cm="1">
        <f t="array" ref="X101">IF(OR($E101="",$I101=""),"",(INDEX('Emission factors'!$K$3:$V$201,MATCH('Buildings - Heat &amp; Fuels'!$E101&amp;$F101,'Emission factors'!$J$3:$J$201&amp;'Emission factors'!$K$3:$K$201,0),MATCH('Buildings - Heat &amp; Fuels'!X$6,'Emission factors'!$K$2:$V$2,0)))*$K101)</f>
        <v/>
      </c>
      <c r="Y101" s="30"/>
      <c r="Z101" s="1" cm="1">
        <f t="array" ref="Z101">IF(OR(ISERROR(B101:X101)),1,0)</f>
        <v>0</v>
      </c>
      <c r="AA101" s="1">
        <f t="shared" si="0"/>
        <v>0</v>
      </c>
    </row>
    <row r="102" spans="1:27" ht="15" outlineLevel="1" thickBot="1" x14ac:dyDescent="0.4">
      <c r="A102" s="319"/>
      <c r="B102" s="216"/>
      <c r="C102" s="216"/>
      <c r="D102" s="489" t="str">
        <f>IFERROR(INDEX(BuildingInformationTable[Site type],MATCH(BuildingsHeatFuelsTable[[#This Row],[Site name]],BuildingInformationTable[Site name],0)),"")</f>
        <v/>
      </c>
      <c r="E102" s="491"/>
      <c r="F102" s="491"/>
      <c r="G102" s="491"/>
      <c r="H102" s="492" t="str">
        <f>IF(G102="","",INDEX(Lists!$BA$4:$BC$31,MATCH(E102,Lists!$AZ$4:$AZ$31,0),MATCH(G102,Lists!$BA$3:$BC$3,0)))</f>
        <v/>
      </c>
      <c r="I102" s="267"/>
      <c r="J102" s="491"/>
      <c r="K102" s="493" t="str" cm="1">
        <f t="array" ref="K102">IF(OR($E102="",$D102="",$I102="",$J102=""),"",IF(J102=L102,I102,(INDEX('Emission factors'!$K$3:$V$201,MATCH(E102&amp;F102,'Emission factors'!$J$3:$J$201&amp;'Emission factors'!$K$3:$K$201,0),MATCH(K$6,'Emission factors'!$K$2:$V$2,0)))*I102))</f>
        <v/>
      </c>
      <c r="L102" s="494" t="str">
        <f>IF(OR($E102="",$D102="",$I102="",$J102=""),"",INDEX('Emission factors'!$K$3:$V$201,MATCH('Buildings - Heat &amp; Fuels'!$E102,'Emission factors'!$J$3:$J$201,0),MATCH($L$6,'Emission factors'!$K$2:$V$2,0)))</f>
        <v/>
      </c>
      <c r="M102" s="495" t="str" cm="1">
        <f t="array" ref="M102">IF(OR(E102="",I102="",BuildingsHeatFuelsTable[[#This Row],[Units]]=""),"",INDEX('Emission factors'!$K$3:$V$201,MATCH('Buildings - Heat &amp; Fuels'!$E102&amp;F102,'Emission factors'!$J$3:$J$201&amp;'Emission factors'!$K$3:$K$201,0),MATCH('Buildings - Heat &amp; Fuels'!$M$6,'Emission factors'!$K$2:$V$2,0)))</f>
        <v/>
      </c>
      <c r="N102" s="496" t="str">
        <f>IF(OR(K102="",M102=""),"",SUM(BuildingsHeatFuelsTable[[#This Row],[Direct]:[Indirect WTT]]))</f>
        <v/>
      </c>
      <c r="O102" s="268"/>
      <c r="P102" s="497"/>
      <c r="Q102" s="157" t="str" cm="1">
        <f t="array" ref="Q102">IF(OR($E102="",$I102=""),"",(INDEX('Emission factors'!$K$3:$V$201,MATCH('Buildings - Heat &amp; Fuels'!$E102&amp;$F102,'Emission factors'!$J$3:$J$201&amp;'Emission factors'!$K$3:$K$201,0),MATCH('Buildings - Heat &amp; Fuels'!Q$6,'Emission factors'!$K$2:$V$2,0)))*$K102)</f>
        <v/>
      </c>
      <c r="R102" s="157" t="str" cm="1">
        <f t="array" ref="R102">IF(OR($E102="",$I102=""),"",(INDEX('Emission factors'!$K$3:$V$201,MATCH('Buildings - Heat &amp; Fuels'!$E102&amp;$F102,'Emission factors'!$J$3:$J$201&amp;'Emission factors'!$K$3:$K$201,0),MATCH('Buildings - Heat &amp; Fuels'!R$6,'Emission factors'!$K$2:$V$2,0)))*$K102)</f>
        <v/>
      </c>
      <c r="S102" s="157" t="str" cm="1">
        <f t="array" ref="S102">IF(OR($E102="",$I102=""),"",(INDEX('Emission factors'!$K$3:$V$201,MATCH('Buildings - Heat &amp; Fuels'!$E102&amp;$F102,'Emission factors'!$J$3:$J$201&amp;'Emission factors'!$K$3:$K$201,0),MATCH('Buildings - Heat &amp; Fuels'!S$6,'Emission factors'!$K$2:$V$2,0)))*$K102)</f>
        <v/>
      </c>
      <c r="T102" s="157" t="str" cm="1">
        <f t="array" ref="T102">IF(OR($E102="",$I102=""),"",(INDEX('Emission factors'!$K$3:$V$201,MATCH('Buildings - Heat &amp; Fuels'!$E102&amp;$F102,'Emission factors'!$J$3:$J$201&amp;'Emission factors'!$K$3:$K$201,0),MATCH('Buildings - Heat &amp; Fuels'!T$6,'Emission factors'!$K$2:$V$2,0)))*$K102)</f>
        <v/>
      </c>
      <c r="U102" s="157" t="str" cm="1">
        <f t="array" ref="U102">IF(OR($E102="",$I102=""),"",(INDEX('Emission factors'!$K$3:$V$201,MATCH('Buildings - Heat &amp; Fuels'!$E102&amp;$F102,'Emission factors'!$J$3:$J$201&amp;'Emission factors'!$K$3:$K$201,0),MATCH('Buildings - Heat &amp; Fuels'!U$6,'Emission factors'!$K$2:$V$2,0)))*$K102)</f>
        <v/>
      </c>
      <c r="V102" s="158" t="str">
        <f>IF(OR($N102="",BuildingsHeatFuelsTable[[#This Row],[RSD]]=""),"",BuildingsHeatFuelsTable[[#This Row],[Total emissions (kgCO2e)]]*(1+BuildingsHeatFuelsTable[[#This Row],[RSD]]))</f>
        <v/>
      </c>
      <c r="W102" s="159" t="str">
        <f>IF(OR($N102="",BuildingsHeatFuelsTable[[#This Row],[RSD]]=""),"",BuildingsHeatFuelsTable[[#This Row],[Total emissions (kgCO2e)]]*(1-BuildingsHeatFuelsTable[[#This Row],[RSD]]))</f>
        <v/>
      </c>
      <c r="X102" s="169" t="str" cm="1">
        <f t="array" ref="X102">IF(OR($E102="",$I102=""),"",(INDEX('Emission factors'!$K$3:$V$201,MATCH('Buildings - Heat &amp; Fuels'!$E102&amp;$F102,'Emission factors'!$J$3:$J$201&amp;'Emission factors'!$K$3:$K$201,0),MATCH('Buildings - Heat &amp; Fuels'!X$6,'Emission factors'!$K$2:$V$2,0)))*$K102)</f>
        <v/>
      </c>
      <c r="Y102" s="30"/>
      <c r="Z102" s="1" cm="1">
        <f t="array" ref="Z102">IF(OR(ISERROR(B102:X102)),1,0)</f>
        <v>0</v>
      </c>
      <c r="AA102" s="1">
        <f t="shared" si="0"/>
        <v>0</v>
      </c>
    </row>
    <row r="103" spans="1:27" ht="15" outlineLevel="1" thickBot="1" x14ac:dyDescent="0.4">
      <c r="A103" s="319"/>
      <c r="B103" s="216"/>
      <c r="C103" s="216"/>
      <c r="D103" s="489" t="str">
        <f>IFERROR(INDEX(BuildingInformationTable[Site type],MATCH(BuildingsHeatFuelsTable[[#This Row],[Site name]],BuildingInformationTable[Site name],0)),"")</f>
        <v/>
      </c>
      <c r="E103" s="491"/>
      <c r="F103" s="491"/>
      <c r="G103" s="491"/>
      <c r="H103" s="492" t="str">
        <f>IF(G103="","",INDEX(Lists!$BA$4:$BC$31,MATCH(E103,Lists!$AZ$4:$AZ$31,0),MATCH(G103,Lists!$BA$3:$BC$3,0)))</f>
        <v/>
      </c>
      <c r="I103" s="267"/>
      <c r="J103" s="491"/>
      <c r="K103" s="493" t="str" cm="1">
        <f t="array" ref="K103">IF(OR($E103="",$D103="",$I103="",$J103=""),"",IF(J103=L103,I103,(INDEX('Emission factors'!$K$3:$V$201,MATCH(E103&amp;F103,'Emission factors'!$J$3:$J$201&amp;'Emission factors'!$K$3:$K$201,0),MATCH(K$6,'Emission factors'!$K$2:$V$2,0)))*I103))</f>
        <v/>
      </c>
      <c r="L103" s="494" t="str">
        <f>IF(OR($E103="",$D103="",$I103="",$J103=""),"",INDEX('Emission factors'!$K$3:$V$201,MATCH('Buildings - Heat &amp; Fuels'!$E103,'Emission factors'!$J$3:$J$201,0),MATCH($L$6,'Emission factors'!$K$2:$V$2,0)))</f>
        <v/>
      </c>
      <c r="M103" s="495" t="str" cm="1">
        <f t="array" ref="M103">IF(OR(E103="",I103="",BuildingsHeatFuelsTable[[#This Row],[Units]]=""),"",INDEX('Emission factors'!$K$3:$V$201,MATCH('Buildings - Heat &amp; Fuels'!$E103&amp;F103,'Emission factors'!$J$3:$J$201&amp;'Emission factors'!$K$3:$K$201,0),MATCH('Buildings - Heat &amp; Fuels'!$M$6,'Emission factors'!$K$2:$V$2,0)))</f>
        <v/>
      </c>
      <c r="N103" s="496" t="str">
        <f>IF(OR(K103="",M103=""),"",SUM(BuildingsHeatFuelsTable[[#This Row],[Direct]:[Indirect WTT]]))</f>
        <v/>
      </c>
      <c r="O103" s="268"/>
      <c r="P103" s="497"/>
      <c r="Q103" s="157" t="str" cm="1">
        <f t="array" ref="Q103">IF(OR($E103="",$I103=""),"",(INDEX('Emission factors'!$K$3:$V$201,MATCH('Buildings - Heat &amp; Fuels'!$E103&amp;$F103,'Emission factors'!$J$3:$J$201&amp;'Emission factors'!$K$3:$K$201,0),MATCH('Buildings - Heat &amp; Fuels'!Q$6,'Emission factors'!$K$2:$V$2,0)))*$K103)</f>
        <v/>
      </c>
      <c r="R103" s="157" t="str" cm="1">
        <f t="array" ref="R103">IF(OR($E103="",$I103=""),"",(INDEX('Emission factors'!$K$3:$V$201,MATCH('Buildings - Heat &amp; Fuels'!$E103&amp;$F103,'Emission factors'!$J$3:$J$201&amp;'Emission factors'!$K$3:$K$201,0),MATCH('Buildings - Heat &amp; Fuels'!R$6,'Emission factors'!$K$2:$V$2,0)))*$K103)</f>
        <v/>
      </c>
      <c r="S103" s="157" t="str" cm="1">
        <f t="array" ref="S103">IF(OR($E103="",$I103=""),"",(INDEX('Emission factors'!$K$3:$V$201,MATCH('Buildings - Heat &amp; Fuels'!$E103&amp;$F103,'Emission factors'!$J$3:$J$201&amp;'Emission factors'!$K$3:$K$201,0),MATCH('Buildings - Heat &amp; Fuels'!S$6,'Emission factors'!$K$2:$V$2,0)))*$K103)</f>
        <v/>
      </c>
      <c r="T103" s="157" t="str" cm="1">
        <f t="array" ref="T103">IF(OR($E103="",$I103=""),"",(INDEX('Emission factors'!$K$3:$V$201,MATCH('Buildings - Heat &amp; Fuels'!$E103&amp;$F103,'Emission factors'!$J$3:$J$201&amp;'Emission factors'!$K$3:$K$201,0),MATCH('Buildings - Heat &amp; Fuels'!T$6,'Emission factors'!$K$2:$V$2,0)))*$K103)</f>
        <v/>
      </c>
      <c r="U103" s="157" t="str" cm="1">
        <f t="array" ref="U103">IF(OR($E103="",$I103=""),"",(INDEX('Emission factors'!$K$3:$V$201,MATCH('Buildings - Heat &amp; Fuels'!$E103&amp;$F103,'Emission factors'!$J$3:$J$201&amp;'Emission factors'!$K$3:$K$201,0),MATCH('Buildings - Heat &amp; Fuels'!U$6,'Emission factors'!$K$2:$V$2,0)))*$K103)</f>
        <v/>
      </c>
      <c r="V103" s="158" t="str">
        <f>IF(OR($N103="",BuildingsHeatFuelsTable[[#This Row],[RSD]]=""),"",BuildingsHeatFuelsTable[[#This Row],[Total emissions (kgCO2e)]]*(1+BuildingsHeatFuelsTable[[#This Row],[RSD]]))</f>
        <v/>
      </c>
      <c r="W103" s="159" t="str">
        <f>IF(OR($N103="",BuildingsHeatFuelsTable[[#This Row],[RSD]]=""),"",BuildingsHeatFuelsTable[[#This Row],[Total emissions (kgCO2e)]]*(1-BuildingsHeatFuelsTable[[#This Row],[RSD]]))</f>
        <v/>
      </c>
      <c r="X103" s="169" t="str" cm="1">
        <f t="array" ref="X103">IF(OR($E103="",$I103=""),"",(INDEX('Emission factors'!$K$3:$V$201,MATCH('Buildings - Heat &amp; Fuels'!$E103&amp;$F103,'Emission factors'!$J$3:$J$201&amp;'Emission factors'!$K$3:$K$201,0),MATCH('Buildings - Heat &amp; Fuels'!X$6,'Emission factors'!$K$2:$V$2,0)))*$K103)</f>
        <v/>
      </c>
      <c r="Y103" s="30"/>
      <c r="Z103" s="1" cm="1">
        <f t="array" ref="Z103">IF(OR(ISERROR(B103:X103)),1,0)</f>
        <v>0</v>
      </c>
      <c r="AA103" s="1">
        <f t="shared" si="0"/>
        <v>0</v>
      </c>
    </row>
    <row r="104" spans="1:27" ht="15" outlineLevel="1" thickBot="1" x14ac:dyDescent="0.4">
      <c r="A104" s="319"/>
      <c r="B104" s="216"/>
      <c r="C104" s="216"/>
      <c r="D104" s="489" t="str">
        <f>IFERROR(INDEX(BuildingInformationTable[Site type],MATCH(BuildingsHeatFuelsTable[[#This Row],[Site name]],BuildingInformationTable[Site name],0)),"")</f>
        <v/>
      </c>
      <c r="E104" s="491"/>
      <c r="F104" s="491"/>
      <c r="G104" s="491"/>
      <c r="H104" s="492" t="str">
        <f>IF(G104="","",INDEX(Lists!$BA$4:$BC$31,MATCH(E104,Lists!$AZ$4:$AZ$31,0),MATCH(G104,Lists!$BA$3:$BC$3,0)))</f>
        <v/>
      </c>
      <c r="I104" s="267"/>
      <c r="J104" s="491"/>
      <c r="K104" s="493" t="str" cm="1">
        <f t="array" ref="K104">IF(OR($E104="",$D104="",$I104="",$J104=""),"",IF(J104=L104,I104,(INDEX('Emission factors'!$K$3:$V$201,MATCH(E104&amp;F104,'Emission factors'!$J$3:$J$201&amp;'Emission factors'!$K$3:$K$201,0),MATCH(K$6,'Emission factors'!$K$2:$V$2,0)))*I104))</f>
        <v/>
      </c>
      <c r="L104" s="494" t="str">
        <f>IF(OR($E104="",$D104="",$I104="",$J104=""),"",INDEX('Emission factors'!$K$3:$V$201,MATCH('Buildings - Heat &amp; Fuels'!$E104,'Emission factors'!$J$3:$J$201,0),MATCH($L$6,'Emission factors'!$K$2:$V$2,0)))</f>
        <v/>
      </c>
      <c r="M104" s="495" t="str" cm="1">
        <f t="array" ref="M104">IF(OR(E104="",I104="",BuildingsHeatFuelsTable[[#This Row],[Units]]=""),"",INDEX('Emission factors'!$K$3:$V$201,MATCH('Buildings - Heat &amp; Fuels'!$E104&amp;F104,'Emission factors'!$J$3:$J$201&amp;'Emission factors'!$K$3:$K$201,0),MATCH('Buildings - Heat &amp; Fuels'!$M$6,'Emission factors'!$K$2:$V$2,0)))</f>
        <v/>
      </c>
      <c r="N104" s="496" t="str">
        <f>IF(OR(K104="",M104=""),"",SUM(BuildingsHeatFuelsTable[[#This Row],[Direct]:[Indirect WTT]]))</f>
        <v/>
      </c>
      <c r="O104" s="268"/>
      <c r="P104" s="497"/>
      <c r="Q104" s="157" t="str" cm="1">
        <f t="array" ref="Q104">IF(OR($E104="",$I104=""),"",(INDEX('Emission factors'!$K$3:$V$201,MATCH('Buildings - Heat &amp; Fuels'!$E104&amp;$F104,'Emission factors'!$J$3:$J$201&amp;'Emission factors'!$K$3:$K$201,0),MATCH('Buildings - Heat &amp; Fuels'!Q$6,'Emission factors'!$K$2:$V$2,0)))*$K104)</f>
        <v/>
      </c>
      <c r="R104" s="157" t="str" cm="1">
        <f t="array" ref="R104">IF(OR($E104="",$I104=""),"",(INDEX('Emission factors'!$K$3:$V$201,MATCH('Buildings - Heat &amp; Fuels'!$E104&amp;$F104,'Emission factors'!$J$3:$J$201&amp;'Emission factors'!$K$3:$K$201,0),MATCH('Buildings - Heat &amp; Fuels'!R$6,'Emission factors'!$K$2:$V$2,0)))*$K104)</f>
        <v/>
      </c>
      <c r="S104" s="157" t="str" cm="1">
        <f t="array" ref="S104">IF(OR($E104="",$I104=""),"",(INDEX('Emission factors'!$K$3:$V$201,MATCH('Buildings - Heat &amp; Fuels'!$E104&amp;$F104,'Emission factors'!$J$3:$J$201&amp;'Emission factors'!$K$3:$K$201,0),MATCH('Buildings - Heat &amp; Fuels'!S$6,'Emission factors'!$K$2:$V$2,0)))*$K104)</f>
        <v/>
      </c>
      <c r="T104" s="157" t="str" cm="1">
        <f t="array" ref="T104">IF(OR($E104="",$I104=""),"",(INDEX('Emission factors'!$K$3:$V$201,MATCH('Buildings - Heat &amp; Fuels'!$E104&amp;$F104,'Emission factors'!$J$3:$J$201&amp;'Emission factors'!$K$3:$K$201,0),MATCH('Buildings - Heat &amp; Fuels'!T$6,'Emission factors'!$K$2:$V$2,0)))*$K104)</f>
        <v/>
      </c>
      <c r="U104" s="157" t="str" cm="1">
        <f t="array" ref="U104">IF(OR($E104="",$I104=""),"",(INDEX('Emission factors'!$K$3:$V$201,MATCH('Buildings - Heat &amp; Fuels'!$E104&amp;$F104,'Emission factors'!$J$3:$J$201&amp;'Emission factors'!$K$3:$K$201,0),MATCH('Buildings - Heat &amp; Fuels'!U$6,'Emission factors'!$K$2:$V$2,0)))*$K104)</f>
        <v/>
      </c>
      <c r="V104" s="158" t="str">
        <f>IF(OR($N104="",BuildingsHeatFuelsTable[[#This Row],[RSD]]=""),"",BuildingsHeatFuelsTable[[#This Row],[Total emissions (kgCO2e)]]*(1+BuildingsHeatFuelsTable[[#This Row],[RSD]]))</f>
        <v/>
      </c>
      <c r="W104" s="159" t="str">
        <f>IF(OR($N104="",BuildingsHeatFuelsTable[[#This Row],[RSD]]=""),"",BuildingsHeatFuelsTable[[#This Row],[Total emissions (kgCO2e)]]*(1-BuildingsHeatFuelsTable[[#This Row],[RSD]]))</f>
        <v/>
      </c>
      <c r="X104" s="169" t="str" cm="1">
        <f t="array" ref="X104">IF(OR($E104="",$I104=""),"",(INDEX('Emission factors'!$K$3:$V$201,MATCH('Buildings - Heat &amp; Fuels'!$E104&amp;$F104,'Emission factors'!$J$3:$J$201&amp;'Emission factors'!$K$3:$K$201,0),MATCH('Buildings - Heat &amp; Fuels'!X$6,'Emission factors'!$K$2:$V$2,0)))*$K104)</f>
        <v/>
      </c>
      <c r="Y104" s="30"/>
      <c r="Z104" s="1" cm="1">
        <f t="array" ref="Z104">IF(OR(ISERROR(B104:X104)),1,0)</f>
        <v>0</v>
      </c>
      <c r="AA104" s="1">
        <f t="shared" si="0"/>
        <v>0</v>
      </c>
    </row>
    <row r="105" spans="1:27" ht="15" outlineLevel="1" thickBot="1" x14ac:dyDescent="0.4">
      <c r="A105" s="319"/>
      <c r="B105" s="216"/>
      <c r="C105" s="216"/>
      <c r="D105" s="489" t="str">
        <f>IFERROR(INDEX(BuildingInformationTable[Site type],MATCH(BuildingsHeatFuelsTable[[#This Row],[Site name]],BuildingInformationTable[Site name],0)),"")</f>
        <v/>
      </c>
      <c r="E105" s="491"/>
      <c r="F105" s="491"/>
      <c r="G105" s="491"/>
      <c r="H105" s="492" t="str">
        <f>IF(G105="","",INDEX(Lists!$BA$4:$BC$31,MATCH(E105,Lists!$AZ$4:$AZ$31,0),MATCH(G105,Lists!$BA$3:$BC$3,0)))</f>
        <v/>
      </c>
      <c r="I105" s="267"/>
      <c r="J105" s="491"/>
      <c r="K105" s="493" t="str" cm="1">
        <f t="array" ref="K105">IF(OR($E105="",$D105="",$I105="",$J105=""),"",IF(J105=L105,I105,(INDEX('Emission factors'!$K$3:$V$201,MATCH(E105&amp;F105,'Emission factors'!$J$3:$J$201&amp;'Emission factors'!$K$3:$K$201,0),MATCH(K$6,'Emission factors'!$K$2:$V$2,0)))*I105))</f>
        <v/>
      </c>
      <c r="L105" s="494" t="str">
        <f>IF(OR($E105="",$D105="",$I105="",$J105=""),"",INDEX('Emission factors'!$K$3:$V$201,MATCH('Buildings - Heat &amp; Fuels'!$E105,'Emission factors'!$J$3:$J$201,0),MATCH($L$6,'Emission factors'!$K$2:$V$2,0)))</f>
        <v/>
      </c>
      <c r="M105" s="495" t="str" cm="1">
        <f t="array" ref="M105">IF(OR(E105="",I105="",BuildingsHeatFuelsTable[[#This Row],[Units]]=""),"",INDEX('Emission factors'!$K$3:$V$201,MATCH('Buildings - Heat &amp; Fuels'!$E105&amp;F105,'Emission factors'!$J$3:$J$201&amp;'Emission factors'!$K$3:$K$201,0),MATCH('Buildings - Heat &amp; Fuels'!$M$6,'Emission factors'!$K$2:$V$2,0)))</f>
        <v/>
      </c>
      <c r="N105" s="496" t="str">
        <f>IF(OR(K105="",M105=""),"",SUM(BuildingsHeatFuelsTable[[#This Row],[Direct]:[Indirect WTT]]))</f>
        <v/>
      </c>
      <c r="O105" s="268"/>
      <c r="P105" s="497"/>
      <c r="Q105" s="157" t="str" cm="1">
        <f t="array" ref="Q105">IF(OR($E105="",$I105=""),"",(INDEX('Emission factors'!$K$3:$V$201,MATCH('Buildings - Heat &amp; Fuels'!$E105&amp;$F105,'Emission factors'!$J$3:$J$201&amp;'Emission factors'!$K$3:$K$201,0),MATCH('Buildings - Heat &amp; Fuels'!Q$6,'Emission factors'!$K$2:$V$2,0)))*$K105)</f>
        <v/>
      </c>
      <c r="R105" s="157" t="str" cm="1">
        <f t="array" ref="R105">IF(OR($E105="",$I105=""),"",(INDEX('Emission factors'!$K$3:$V$201,MATCH('Buildings - Heat &amp; Fuels'!$E105&amp;$F105,'Emission factors'!$J$3:$J$201&amp;'Emission factors'!$K$3:$K$201,0),MATCH('Buildings - Heat &amp; Fuels'!R$6,'Emission factors'!$K$2:$V$2,0)))*$K105)</f>
        <v/>
      </c>
      <c r="S105" s="157" t="str" cm="1">
        <f t="array" ref="S105">IF(OR($E105="",$I105=""),"",(INDEX('Emission factors'!$K$3:$V$201,MATCH('Buildings - Heat &amp; Fuels'!$E105&amp;$F105,'Emission factors'!$J$3:$J$201&amp;'Emission factors'!$K$3:$K$201,0),MATCH('Buildings - Heat &amp; Fuels'!S$6,'Emission factors'!$K$2:$V$2,0)))*$K105)</f>
        <v/>
      </c>
      <c r="T105" s="157" t="str" cm="1">
        <f t="array" ref="T105">IF(OR($E105="",$I105=""),"",(INDEX('Emission factors'!$K$3:$V$201,MATCH('Buildings - Heat &amp; Fuels'!$E105&amp;$F105,'Emission factors'!$J$3:$J$201&amp;'Emission factors'!$K$3:$K$201,0),MATCH('Buildings - Heat &amp; Fuels'!T$6,'Emission factors'!$K$2:$V$2,0)))*$K105)</f>
        <v/>
      </c>
      <c r="U105" s="157" t="str" cm="1">
        <f t="array" ref="U105">IF(OR($E105="",$I105=""),"",(INDEX('Emission factors'!$K$3:$V$201,MATCH('Buildings - Heat &amp; Fuels'!$E105&amp;$F105,'Emission factors'!$J$3:$J$201&amp;'Emission factors'!$K$3:$K$201,0),MATCH('Buildings - Heat &amp; Fuels'!U$6,'Emission factors'!$K$2:$V$2,0)))*$K105)</f>
        <v/>
      </c>
      <c r="V105" s="158" t="str">
        <f>IF(OR($N105="",BuildingsHeatFuelsTable[[#This Row],[RSD]]=""),"",BuildingsHeatFuelsTable[[#This Row],[Total emissions (kgCO2e)]]*(1+BuildingsHeatFuelsTable[[#This Row],[RSD]]))</f>
        <v/>
      </c>
      <c r="W105" s="159" t="str">
        <f>IF(OR($N105="",BuildingsHeatFuelsTable[[#This Row],[RSD]]=""),"",BuildingsHeatFuelsTable[[#This Row],[Total emissions (kgCO2e)]]*(1-BuildingsHeatFuelsTable[[#This Row],[RSD]]))</f>
        <v/>
      </c>
      <c r="X105" s="169" t="str" cm="1">
        <f t="array" ref="X105">IF(OR($E105="",$I105=""),"",(INDEX('Emission factors'!$K$3:$V$201,MATCH('Buildings - Heat &amp; Fuels'!$E105&amp;$F105,'Emission factors'!$J$3:$J$201&amp;'Emission factors'!$K$3:$K$201,0),MATCH('Buildings - Heat &amp; Fuels'!X$6,'Emission factors'!$K$2:$V$2,0)))*$K105)</f>
        <v/>
      </c>
      <c r="Y105" s="30"/>
      <c r="Z105" s="1" cm="1">
        <f t="array" ref="Z105">IF(OR(ISERROR(B105:X105)),1,0)</f>
        <v>0</v>
      </c>
      <c r="AA105" s="1">
        <f t="shared" si="0"/>
        <v>0</v>
      </c>
    </row>
    <row r="106" spans="1:27" ht="15" outlineLevel="1" thickBot="1" x14ac:dyDescent="0.4">
      <c r="A106" s="319"/>
      <c r="B106" s="216"/>
      <c r="C106" s="216"/>
      <c r="D106" s="489" t="str">
        <f>IFERROR(INDEX(BuildingInformationTable[Site type],MATCH(BuildingsHeatFuelsTable[[#This Row],[Site name]],BuildingInformationTable[Site name],0)),"")</f>
        <v/>
      </c>
      <c r="E106" s="491"/>
      <c r="F106" s="491"/>
      <c r="G106" s="491"/>
      <c r="H106" s="492" t="str">
        <f>IF(G106="","",INDEX(Lists!$BA$4:$BC$31,MATCH(E106,Lists!$AZ$4:$AZ$31,0),MATCH(G106,Lists!$BA$3:$BC$3,0)))</f>
        <v/>
      </c>
      <c r="I106" s="267"/>
      <c r="J106" s="491"/>
      <c r="K106" s="493" t="str" cm="1">
        <f t="array" ref="K106">IF(OR($E106="",$D106="",$I106="",$J106=""),"",IF(J106=L106,I106,(INDEX('Emission factors'!$K$3:$V$201,MATCH(E106&amp;F106,'Emission factors'!$J$3:$J$201&amp;'Emission factors'!$K$3:$K$201,0),MATCH(K$6,'Emission factors'!$K$2:$V$2,0)))*I106))</f>
        <v/>
      </c>
      <c r="L106" s="494" t="str">
        <f>IF(OR($E106="",$D106="",$I106="",$J106=""),"",INDEX('Emission factors'!$K$3:$V$201,MATCH('Buildings - Heat &amp; Fuels'!$E106,'Emission factors'!$J$3:$J$201,0),MATCH($L$6,'Emission factors'!$K$2:$V$2,0)))</f>
        <v/>
      </c>
      <c r="M106" s="495" t="str" cm="1">
        <f t="array" ref="M106">IF(OR(E106="",I106="",BuildingsHeatFuelsTable[[#This Row],[Units]]=""),"",INDEX('Emission factors'!$K$3:$V$201,MATCH('Buildings - Heat &amp; Fuels'!$E106&amp;F106,'Emission factors'!$J$3:$J$201&amp;'Emission factors'!$K$3:$K$201,0),MATCH('Buildings - Heat &amp; Fuels'!$M$6,'Emission factors'!$K$2:$V$2,0)))</f>
        <v/>
      </c>
      <c r="N106" s="496" t="str">
        <f>IF(OR(K106="",M106=""),"",SUM(BuildingsHeatFuelsTable[[#This Row],[Direct]:[Indirect WTT]]))</f>
        <v/>
      </c>
      <c r="O106" s="268"/>
      <c r="P106" s="497"/>
      <c r="Q106" s="157" t="str" cm="1">
        <f t="array" ref="Q106">IF(OR($E106="",$I106=""),"",(INDEX('Emission factors'!$K$3:$V$201,MATCH('Buildings - Heat &amp; Fuels'!$E106&amp;$F106,'Emission factors'!$J$3:$J$201&amp;'Emission factors'!$K$3:$K$201,0),MATCH('Buildings - Heat &amp; Fuels'!Q$6,'Emission factors'!$K$2:$V$2,0)))*$K106)</f>
        <v/>
      </c>
      <c r="R106" s="157" t="str" cm="1">
        <f t="array" ref="R106">IF(OR($E106="",$I106=""),"",(INDEX('Emission factors'!$K$3:$V$201,MATCH('Buildings - Heat &amp; Fuels'!$E106&amp;$F106,'Emission factors'!$J$3:$J$201&amp;'Emission factors'!$K$3:$K$201,0),MATCH('Buildings - Heat &amp; Fuels'!R$6,'Emission factors'!$K$2:$V$2,0)))*$K106)</f>
        <v/>
      </c>
      <c r="S106" s="157" t="str" cm="1">
        <f t="array" ref="S106">IF(OR($E106="",$I106=""),"",(INDEX('Emission factors'!$K$3:$V$201,MATCH('Buildings - Heat &amp; Fuels'!$E106&amp;$F106,'Emission factors'!$J$3:$J$201&amp;'Emission factors'!$K$3:$K$201,0),MATCH('Buildings - Heat &amp; Fuels'!S$6,'Emission factors'!$K$2:$V$2,0)))*$K106)</f>
        <v/>
      </c>
      <c r="T106" s="157" t="str" cm="1">
        <f t="array" ref="T106">IF(OR($E106="",$I106=""),"",(INDEX('Emission factors'!$K$3:$V$201,MATCH('Buildings - Heat &amp; Fuels'!$E106&amp;$F106,'Emission factors'!$J$3:$J$201&amp;'Emission factors'!$K$3:$K$201,0),MATCH('Buildings - Heat &amp; Fuels'!T$6,'Emission factors'!$K$2:$V$2,0)))*$K106)</f>
        <v/>
      </c>
      <c r="U106" s="157" t="str" cm="1">
        <f t="array" ref="U106">IF(OR($E106="",$I106=""),"",(INDEX('Emission factors'!$K$3:$V$201,MATCH('Buildings - Heat &amp; Fuels'!$E106&amp;$F106,'Emission factors'!$J$3:$J$201&amp;'Emission factors'!$K$3:$K$201,0),MATCH('Buildings - Heat &amp; Fuels'!U$6,'Emission factors'!$K$2:$V$2,0)))*$K106)</f>
        <v/>
      </c>
      <c r="V106" s="158" t="str">
        <f>IF(OR($N106="",BuildingsHeatFuelsTable[[#This Row],[RSD]]=""),"",BuildingsHeatFuelsTable[[#This Row],[Total emissions (kgCO2e)]]*(1+BuildingsHeatFuelsTable[[#This Row],[RSD]]))</f>
        <v/>
      </c>
      <c r="W106" s="159" t="str">
        <f>IF(OR($N106="",BuildingsHeatFuelsTable[[#This Row],[RSD]]=""),"",BuildingsHeatFuelsTable[[#This Row],[Total emissions (kgCO2e)]]*(1-BuildingsHeatFuelsTable[[#This Row],[RSD]]))</f>
        <v/>
      </c>
      <c r="X106" s="169" t="str" cm="1">
        <f t="array" ref="X106">IF(OR($E106="",$I106=""),"",(INDEX('Emission factors'!$K$3:$V$201,MATCH('Buildings - Heat &amp; Fuels'!$E106&amp;$F106,'Emission factors'!$J$3:$J$201&amp;'Emission factors'!$K$3:$K$201,0),MATCH('Buildings - Heat &amp; Fuels'!X$6,'Emission factors'!$K$2:$V$2,0)))*$K106)</f>
        <v/>
      </c>
      <c r="Y106" s="30"/>
      <c r="Z106" s="1" cm="1">
        <f t="array" ref="Z106">IF(OR(ISERROR(B106:X106)),1,0)</f>
        <v>0</v>
      </c>
      <c r="AA106" s="1">
        <f t="shared" si="0"/>
        <v>0</v>
      </c>
    </row>
    <row r="107" spans="1:27" ht="15" outlineLevel="1" thickBot="1" x14ac:dyDescent="0.4">
      <c r="A107" s="319"/>
      <c r="B107" s="216"/>
      <c r="C107" s="216"/>
      <c r="D107" s="489" t="str">
        <f>IFERROR(INDEX(BuildingInformationTable[Site type],MATCH(BuildingsHeatFuelsTable[[#This Row],[Site name]],BuildingInformationTable[Site name],0)),"")</f>
        <v/>
      </c>
      <c r="E107" s="491"/>
      <c r="F107" s="491"/>
      <c r="G107" s="491"/>
      <c r="H107" s="492" t="str">
        <f>IF(G107="","",INDEX(Lists!$BA$4:$BC$31,MATCH(E107,Lists!$AZ$4:$AZ$31,0),MATCH(G107,Lists!$BA$3:$BC$3,0)))</f>
        <v/>
      </c>
      <c r="I107" s="267"/>
      <c r="J107" s="491"/>
      <c r="K107" s="493" t="str" cm="1">
        <f t="array" ref="K107">IF(OR($E107="",$D107="",$I107="",$J107=""),"",IF(J107=L107,I107,(INDEX('Emission factors'!$K$3:$V$201,MATCH(E107&amp;F107,'Emission factors'!$J$3:$J$201&amp;'Emission factors'!$K$3:$K$201,0),MATCH(K$6,'Emission factors'!$K$2:$V$2,0)))*I107))</f>
        <v/>
      </c>
      <c r="L107" s="494" t="str">
        <f>IF(OR($E107="",$D107="",$I107="",$J107=""),"",INDEX('Emission factors'!$K$3:$V$201,MATCH('Buildings - Heat &amp; Fuels'!$E107,'Emission factors'!$J$3:$J$201,0),MATCH($L$6,'Emission factors'!$K$2:$V$2,0)))</f>
        <v/>
      </c>
      <c r="M107" s="495" t="str" cm="1">
        <f t="array" ref="M107">IF(OR(E107="",I107="",BuildingsHeatFuelsTable[[#This Row],[Units]]=""),"",INDEX('Emission factors'!$K$3:$V$201,MATCH('Buildings - Heat &amp; Fuels'!$E107&amp;F107,'Emission factors'!$J$3:$J$201&amp;'Emission factors'!$K$3:$K$201,0),MATCH('Buildings - Heat &amp; Fuels'!$M$6,'Emission factors'!$K$2:$V$2,0)))</f>
        <v/>
      </c>
      <c r="N107" s="496" t="str">
        <f>IF(OR(K107="",M107=""),"",SUM(BuildingsHeatFuelsTable[[#This Row],[Direct]:[Indirect WTT]]))</f>
        <v/>
      </c>
      <c r="O107" s="268"/>
      <c r="P107" s="497"/>
      <c r="Q107" s="157" t="str" cm="1">
        <f t="array" ref="Q107">IF(OR($E107="",$I107=""),"",(INDEX('Emission factors'!$K$3:$V$201,MATCH('Buildings - Heat &amp; Fuels'!$E107&amp;$F107,'Emission factors'!$J$3:$J$201&amp;'Emission factors'!$K$3:$K$201,0),MATCH('Buildings - Heat &amp; Fuels'!Q$6,'Emission factors'!$K$2:$V$2,0)))*$K107)</f>
        <v/>
      </c>
      <c r="R107" s="157" t="str" cm="1">
        <f t="array" ref="R107">IF(OR($E107="",$I107=""),"",(INDEX('Emission factors'!$K$3:$V$201,MATCH('Buildings - Heat &amp; Fuels'!$E107&amp;$F107,'Emission factors'!$J$3:$J$201&amp;'Emission factors'!$K$3:$K$201,0),MATCH('Buildings - Heat &amp; Fuels'!R$6,'Emission factors'!$K$2:$V$2,0)))*$K107)</f>
        <v/>
      </c>
      <c r="S107" s="157" t="str" cm="1">
        <f t="array" ref="S107">IF(OR($E107="",$I107=""),"",(INDEX('Emission factors'!$K$3:$V$201,MATCH('Buildings - Heat &amp; Fuels'!$E107&amp;$F107,'Emission factors'!$J$3:$J$201&amp;'Emission factors'!$K$3:$K$201,0),MATCH('Buildings - Heat &amp; Fuels'!S$6,'Emission factors'!$K$2:$V$2,0)))*$K107)</f>
        <v/>
      </c>
      <c r="T107" s="157" t="str" cm="1">
        <f t="array" ref="T107">IF(OR($E107="",$I107=""),"",(INDEX('Emission factors'!$K$3:$V$201,MATCH('Buildings - Heat &amp; Fuels'!$E107&amp;$F107,'Emission factors'!$J$3:$J$201&amp;'Emission factors'!$K$3:$K$201,0),MATCH('Buildings - Heat &amp; Fuels'!T$6,'Emission factors'!$K$2:$V$2,0)))*$K107)</f>
        <v/>
      </c>
      <c r="U107" s="157" t="str" cm="1">
        <f t="array" ref="U107">IF(OR($E107="",$I107=""),"",(INDEX('Emission factors'!$K$3:$V$201,MATCH('Buildings - Heat &amp; Fuels'!$E107&amp;$F107,'Emission factors'!$J$3:$J$201&amp;'Emission factors'!$K$3:$K$201,0),MATCH('Buildings - Heat &amp; Fuels'!U$6,'Emission factors'!$K$2:$V$2,0)))*$K107)</f>
        <v/>
      </c>
      <c r="V107" s="158" t="str">
        <f>IF(OR($N107="",BuildingsHeatFuelsTable[[#This Row],[RSD]]=""),"",BuildingsHeatFuelsTable[[#This Row],[Total emissions (kgCO2e)]]*(1+BuildingsHeatFuelsTable[[#This Row],[RSD]]))</f>
        <v/>
      </c>
      <c r="W107" s="159" t="str">
        <f>IF(OR($N107="",BuildingsHeatFuelsTable[[#This Row],[RSD]]=""),"",BuildingsHeatFuelsTable[[#This Row],[Total emissions (kgCO2e)]]*(1-BuildingsHeatFuelsTable[[#This Row],[RSD]]))</f>
        <v/>
      </c>
      <c r="X107" s="169" t="str" cm="1">
        <f t="array" ref="X107">IF(OR($E107="",$I107=""),"",(INDEX('Emission factors'!$K$3:$V$201,MATCH('Buildings - Heat &amp; Fuels'!$E107&amp;$F107,'Emission factors'!$J$3:$J$201&amp;'Emission factors'!$K$3:$K$201,0),MATCH('Buildings - Heat &amp; Fuels'!X$6,'Emission factors'!$K$2:$V$2,0)))*$K107)</f>
        <v/>
      </c>
      <c r="Y107" s="30"/>
      <c r="Z107" s="1" cm="1">
        <f t="array" ref="Z107">IF(OR(ISERROR(B107:X107)),1,0)</f>
        <v>0</v>
      </c>
      <c r="AA107" s="1">
        <f t="shared" si="0"/>
        <v>0</v>
      </c>
    </row>
    <row r="108" spans="1:27" ht="15" outlineLevel="1" thickBot="1" x14ac:dyDescent="0.4">
      <c r="A108" s="319"/>
      <c r="B108" s="216"/>
      <c r="C108" s="216"/>
      <c r="D108" s="489" t="str">
        <f>IFERROR(INDEX(BuildingInformationTable[Site type],MATCH(BuildingsHeatFuelsTable[[#This Row],[Site name]],BuildingInformationTable[Site name],0)),"")</f>
        <v/>
      </c>
      <c r="E108" s="491"/>
      <c r="F108" s="491"/>
      <c r="G108" s="491"/>
      <c r="H108" s="492" t="str">
        <f>IF(G108="","",INDEX(Lists!$BA$4:$BC$31,MATCH(E108,Lists!$AZ$4:$AZ$31,0),MATCH(G108,Lists!$BA$3:$BC$3,0)))</f>
        <v/>
      </c>
      <c r="I108" s="267"/>
      <c r="J108" s="491"/>
      <c r="K108" s="493" t="str" cm="1">
        <f t="array" ref="K108">IF(OR($E108="",$D108="",$I108="",$J108=""),"",IF(J108=L108,I108,(INDEX('Emission factors'!$K$3:$V$201,MATCH(E108&amp;F108,'Emission factors'!$J$3:$J$201&amp;'Emission factors'!$K$3:$K$201,0),MATCH(K$6,'Emission factors'!$K$2:$V$2,0)))*I108))</f>
        <v/>
      </c>
      <c r="L108" s="494" t="str">
        <f>IF(OR($E108="",$D108="",$I108="",$J108=""),"",INDEX('Emission factors'!$K$3:$V$201,MATCH('Buildings - Heat &amp; Fuels'!$E108,'Emission factors'!$J$3:$J$201,0),MATCH($L$6,'Emission factors'!$K$2:$V$2,0)))</f>
        <v/>
      </c>
      <c r="M108" s="495" t="str" cm="1">
        <f t="array" ref="M108">IF(OR(E108="",I108="",BuildingsHeatFuelsTable[[#This Row],[Units]]=""),"",INDEX('Emission factors'!$K$3:$V$201,MATCH('Buildings - Heat &amp; Fuels'!$E108&amp;F108,'Emission factors'!$J$3:$J$201&amp;'Emission factors'!$K$3:$K$201,0),MATCH('Buildings - Heat &amp; Fuels'!$M$6,'Emission factors'!$K$2:$V$2,0)))</f>
        <v/>
      </c>
      <c r="N108" s="496" t="str">
        <f>IF(OR(K108="",M108=""),"",SUM(BuildingsHeatFuelsTable[[#This Row],[Direct]:[Indirect WTT]]))</f>
        <v/>
      </c>
      <c r="O108" s="268"/>
      <c r="P108" s="497"/>
      <c r="Q108" s="157" t="str" cm="1">
        <f t="array" ref="Q108">IF(OR($E108="",$I108=""),"",(INDEX('Emission factors'!$K$3:$V$201,MATCH('Buildings - Heat &amp; Fuels'!$E108&amp;$F108,'Emission factors'!$J$3:$J$201&amp;'Emission factors'!$K$3:$K$201,0),MATCH('Buildings - Heat &amp; Fuels'!Q$6,'Emission factors'!$K$2:$V$2,0)))*$K108)</f>
        <v/>
      </c>
      <c r="R108" s="157" t="str" cm="1">
        <f t="array" ref="R108">IF(OR($E108="",$I108=""),"",(INDEX('Emission factors'!$K$3:$V$201,MATCH('Buildings - Heat &amp; Fuels'!$E108&amp;$F108,'Emission factors'!$J$3:$J$201&amp;'Emission factors'!$K$3:$K$201,0),MATCH('Buildings - Heat &amp; Fuels'!R$6,'Emission factors'!$K$2:$V$2,0)))*$K108)</f>
        <v/>
      </c>
      <c r="S108" s="157" t="str" cm="1">
        <f t="array" ref="S108">IF(OR($E108="",$I108=""),"",(INDEX('Emission factors'!$K$3:$V$201,MATCH('Buildings - Heat &amp; Fuels'!$E108&amp;$F108,'Emission factors'!$J$3:$J$201&amp;'Emission factors'!$K$3:$K$201,0),MATCH('Buildings - Heat &amp; Fuels'!S$6,'Emission factors'!$K$2:$V$2,0)))*$K108)</f>
        <v/>
      </c>
      <c r="T108" s="157" t="str" cm="1">
        <f t="array" ref="T108">IF(OR($E108="",$I108=""),"",(INDEX('Emission factors'!$K$3:$V$201,MATCH('Buildings - Heat &amp; Fuels'!$E108&amp;$F108,'Emission factors'!$J$3:$J$201&amp;'Emission factors'!$K$3:$K$201,0),MATCH('Buildings - Heat &amp; Fuels'!T$6,'Emission factors'!$K$2:$V$2,0)))*$K108)</f>
        <v/>
      </c>
      <c r="U108" s="157" t="str" cm="1">
        <f t="array" ref="U108">IF(OR($E108="",$I108=""),"",(INDEX('Emission factors'!$K$3:$V$201,MATCH('Buildings - Heat &amp; Fuels'!$E108&amp;$F108,'Emission factors'!$J$3:$J$201&amp;'Emission factors'!$K$3:$K$201,0),MATCH('Buildings - Heat &amp; Fuels'!U$6,'Emission factors'!$K$2:$V$2,0)))*$K108)</f>
        <v/>
      </c>
      <c r="V108" s="158" t="str">
        <f>IF(OR($N108="",BuildingsHeatFuelsTable[[#This Row],[RSD]]=""),"",BuildingsHeatFuelsTable[[#This Row],[Total emissions (kgCO2e)]]*(1+BuildingsHeatFuelsTable[[#This Row],[RSD]]))</f>
        <v/>
      </c>
      <c r="W108" s="159" t="str">
        <f>IF(OR($N108="",BuildingsHeatFuelsTable[[#This Row],[RSD]]=""),"",BuildingsHeatFuelsTable[[#This Row],[Total emissions (kgCO2e)]]*(1-BuildingsHeatFuelsTable[[#This Row],[RSD]]))</f>
        <v/>
      </c>
      <c r="X108" s="169" t="str" cm="1">
        <f t="array" ref="X108">IF(OR($E108="",$I108=""),"",(INDEX('Emission factors'!$K$3:$V$201,MATCH('Buildings - Heat &amp; Fuels'!$E108&amp;$F108,'Emission factors'!$J$3:$J$201&amp;'Emission factors'!$K$3:$K$201,0),MATCH('Buildings - Heat &amp; Fuels'!X$6,'Emission factors'!$K$2:$V$2,0)))*$K108)</f>
        <v/>
      </c>
      <c r="Y108" s="30"/>
      <c r="Z108" s="1" cm="1">
        <f t="array" ref="Z108">IF(OR(ISERROR(B108:X108)),1,0)</f>
        <v>0</v>
      </c>
      <c r="AA108" s="1">
        <f t="shared" si="0"/>
        <v>0</v>
      </c>
    </row>
    <row r="109" spans="1:27" ht="15" outlineLevel="1" thickBot="1" x14ac:dyDescent="0.4">
      <c r="A109" s="319"/>
      <c r="B109" s="216"/>
      <c r="C109" s="216"/>
      <c r="D109" s="489" t="str">
        <f>IFERROR(INDEX(BuildingInformationTable[Site type],MATCH(BuildingsHeatFuelsTable[[#This Row],[Site name]],BuildingInformationTable[Site name],0)),"")</f>
        <v/>
      </c>
      <c r="E109" s="491"/>
      <c r="F109" s="491"/>
      <c r="G109" s="491"/>
      <c r="H109" s="492" t="str">
        <f>IF(G109="","",INDEX(Lists!$BA$4:$BC$31,MATCH(E109,Lists!$AZ$4:$AZ$31,0),MATCH(G109,Lists!$BA$3:$BC$3,0)))</f>
        <v/>
      </c>
      <c r="I109" s="267"/>
      <c r="J109" s="491"/>
      <c r="K109" s="493" t="str" cm="1">
        <f t="array" ref="K109">IF(OR($E109="",$D109="",$I109="",$J109=""),"",IF(J109=L109,I109,(INDEX('Emission factors'!$K$3:$V$201,MATCH(E109&amp;F109,'Emission factors'!$J$3:$J$201&amp;'Emission factors'!$K$3:$K$201,0),MATCH(K$6,'Emission factors'!$K$2:$V$2,0)))*I109))</f>
        <v/>
      </c>
      <c r="L109" s="494" t="str">
        <f>IF(OR($E109="",$D109="",$I109="",$J109=""),"",INDEX('Emission factors'!$K$3:$V$201,MATCH('Buildings - Heat &amp; Fuels'!$E109,'Emission factors'!$J$3:$J$201,0),MATCH($L$6,'Emission factors'!$K$2:$V$2,0)))</f>
        <v/>
      </c>
      <c r="M109" s="495" t="str" cm="1">
        <f t="array" ref="M109">IF(OR(E109="",I109="",BuildingsHeatFuelsTable[[#This Row],[Units]]=""),"",INDEX('Emission factors'!$K$3:$V$201,MATCH('Buildings - Heat &amp; Fuels'!$E109&amp;F109,'Emission factors'!$J$3:$J$201&amp;'Emission factors'!$K$3:$K$201,0),MATCH('Buildings - Heat &amp; Fuels'!$M$6,'Emission factors'!$K$2:$V$2,0)))</f>
        <v/>
      </c>
      <c r="N109" s="496" t="str">
        <f>IF(OR(K109="",M109=""),"",SUM(BuildingsHeatFuelsTable[[#This Row],[Direct]:[Indirect WTT]]))</f>
        <v/>
      </c>
      <c r="O109" s="268"/>
      <c r="P109" s="497"/>
      <c r="Q109" s="157" t="str" cm="1">
        <f t="array" ref="Q109">IF(OR($E109="",$I109=""),"",(INDEX('Emission factors'!$K$3:$V$201,MATCH('Buildings - Heat &amp; Fuels'!$E109&amp;$F109,'Emission factors'!$J$3:$J$201&amp;'Emission factors'!$K$3:$K$201,0),MATCH('Buildings - Heat &amp; Fuels'!Q$6,'Emission factors'!$K$2:$V$2,0)))*$K109)</f>
        <v/>
      </c>
      <c r="R109" s="157" t="str" cm="1">
        <f t="array" ref="R109">IF(OR($E109="",$I109=""),"",(INDEX('Emission factors'!$K$3:$V$201,MATCH('Buildings - Heat &amp; Fuels'!$E109&amp;$F109,'Emission factors'!$J$3:$J$201&amp;'Emission factors'!$K$3:$K$201,0),MATCH('Buildings - Heat &amp; Fuels'!R$6,'Emission factors'!$K$2:$V$2,0)))*$K109)</f>
        <v/>
      </c>
      <c r="S109" s="157" t="str" cm="1">
        <f t="array" ref="S109">IF(OR($E109="",$I109=""),"",(INDEX('Emission factors'!$K$3:$V$201,MATCH('Buildings - Heat &amp; Fuels'!$E109&amp;$F109,'Emission factors'!$J$3:$J$201&amp;'Emission factors'!$K$3:$K$201,0),MATCH('Buildings - Heat &amp; Fuels'!S$6,'Emission factors'!$K$2:$V$2,0)))*$K109)</f>
        <v/>
      </c>
      <c r="T109" s="157" t="str" cm="1">
        <f t="array" ref="T109">IF(OR($E109="",$I109=""),"",(INDEX('Emission factors'!$K$3:$V$201,MATCH('Buildings - Heat &amp; Fuels'!$E109&amp;$F109,'Emission factors'!$J$3:$J$201&amp;'Emission factors'!$K$3:$K$201,0),MATCH('Buildings - Heat &amp; Fuels'!T$6,'Emission factors'!$K$2:$V$2,0)))*$K109)</f>
        <v/>
      </c>
      <c r="U109" s="157" t="str" cm="1">
        <f t="array" ref="U109">IF(OR($E109="",$I109=""),"",(INDEX('Emission factors'!$K$3:$V$201,MATCH('Buildings - Heat &amp; Fuels'!$E109&amp;$F109,'Emission factors'!$J$3:$J$201&amp;'Emission factors'!$K$3:$K$201,0),MATCH('Buildings - Heat &amp; Fuels'!U$6,'Emission factors'!$K$2:$V$2,0)))*$K109)</f>
        <v/>
      </c>
      <c r="V109" s="158" t="str">
        <f>IF(OR($N109="",BuildingsHeatFuelsTable[[#This Row],[RSD]]=""),"",BuildingsHeatFuelsTable[[#This Row],[Total emissions (kgCO2e)]]*(1+BuildingsHeatFuelsTable[[#This Row],[RSD]]))</f>
        <v/>
      </c>
      <c r="W109" s="159" t="str">
        <f>IF(OR($N109="",BuildingsHeatFuelsTable[[#This Row],[RSD]]=""),"",BuildingsHeatFuelsTable[[#This Row],[Total emissions (kgCO2e)]]*(1-BuildingsHeatFuelsTable[[#This Row],[RSD]]))</f>
        <v/>
      </c>
      <c r="X109" s="169" t="str" cm="1">
        <f t="array" ref="X109">IF(OR($E109="",$I109=""),"",(INDEX('Emission factors'!$K$3:$V$201,MATCH('Buildings - Heat &amp; Fuels'!$E109&amp;$F109,'Emission factors'!$J$3:$J$201&amp;'Emission factors'!$K$3:$K$201,0),MATCH('Buildings - Heat &amp; Fuels'!X$6,'Emission factors'!$K$2:$V$2,0)))*$K109)</f>
        <v/>
      </c>
      <c r="Y109" s="30"/>
      <c r="Z109" s="1" cm="1">
        <f t="array" ref="Z109">IF(OR(ISERROR(B109:X109)),1,0)</f>
        <v>0</v>
      </c>
      <c r="AA109" s="1">
        <f t="shared" si="0"/>
        <v>0</v>
      </c>
    </row>
    <row r="110" spans="1:27" ht="15" outlineLevel="1" thickBot="1" x14ac:dyDescent="0.4">
      <c r="A110" s="319"/>
      <c r="B110" s="216"/>
      <c r="C110" s="216"/>
      <c r="D110" s="489" t="str">
        <f>IFERROR(INDEX(BuildingInformationTable[Site type],MATCH(BuildingsHeatFuelsTable[[#This Row],[Site name]],BuildingInformationTable[Site name],0)),"")</f>
        <v/>
      </c>
      <c r="E110" s="491"/>
      <c r="F110" s="491"/>
      <c r="G110" s="491"/>
      <c r="H110" s="492" t="str">
        <f>IF(G110="","",INDEX(Lists!$BA$4:$BC$31,MATCH(E110,Lists!$AZ$4:$AZ$31,0),MATCH(G110,Lists!$BA$3:$BC$3,0)))</f>
        <v/>
      </c>
      <c r="I110" s="267"/>
      <c r="J110" s="491"/>
      <c r="K110" s="493" t="str" cm="1">
        <f t="array" ref="K110">IF(OR($E110="",$D110="",$I110="",$J110=""),"",IF(J110=L110,I110,(INDEX('Emission factors'!$K$3:$V$201,MATCH(E110&amp;F110,'Emission factors'!$J$3:$J$201&amp;'Emission factors'!$K$3:$K$201,0),MATCH(K$6,'Emission factors'!$K$2:$V$2,0)))*I110))</f>
        <v/>
      </c>
      <c r="L110" s="494" t="str">
        <f>IF(OR($E110="",$D110="",$I110="",$J110=""),"",INDEX('Emission factors'!$K$3:$V$201,MATCH('Buildings - Heat &amp; Fuels'!$E110,'Emission factors'!$J$3:$J$201,0),MATCH($L$6,'Emission factors'!$K$2:$V$2,0)))</f>
        <v/>
      </c>
      <c r="M110" s="495" t="str" cm="1">
        <f t="array" ref="M110">IF(OR(E110="",I110="",BuildingsHeatFuelsTable[[#This Row],[Units]]=""),"",INDEX('Emission factors'!$K$3:$V$201,MATCH('Buildings - Heat &amp; Fuels'!$E110&amp;F110,'Emission factors'!$J$3:$J$201&amp;'Emission factors'!$K$3:$K$201,0),MATCH('Buildings - Heat &amp; Fuels'!$M$6,'Emission factors'!$K$2:$V$2,0)))</f>
        <v/>
      </c>
      <c r="N110" s="496" t="str">
        <f>IF(OR(K110="",M110=""),"",SUM(BuildingsHeatFuelsTable[[#This Row],[Direct]:[Indirect WTT]]))</f>
        <v/>
      </c>
      <c r="O110" s="268"/>
      <c r="P110" s="497"/>
      <c r="Q110" s="157" t="str" cm="1">
        <f t="array" ref="Q110">IF(OR($E110="",$I110=""),"",(INDEX('Emission factors'!$K$3:$V$201,MATCH('Buildings - Heat &amp; Fuels'!$E110&amp;$F110,'Emission factors'!$J$3:$J$201&amp;'Emission factors'!$K$3:$K$201,0),MATCH('Buildings - Heat &amp; Fuels'!Q$6,'Emission factors'!$K$2:$V$2,0)))*$K110)</f>
        <v/>
      </c>
      <c r="R110" s="157" t="str" cm="1">
        <f t="array" ref="R110">IF(OR($E110="",$I110=""),"",(INDEX('Emission factors'!$K$3:$V$201,MATCH('Buildings - Heat &amp; Fuels'!$E110&amp;$F110,'Emission factors'!$J$3:$J$201&amp;'Emission factors'!$K$3:$K$201,0),MATCH('Buildings - Heat &amp; Fuels'!R$6,'Emission factors'!$K$2:$V$2,0)))*$K110)</f>
        <v/>
      </c>
      <c r="S110" s="157" t="str" cm="1">
        <f t="array" ref="S110">IF(OR($E110="",$I110=""),"",(INDEX('Emission factors'!$K$3:$V$201,MATCH('Buildings - Heat &amp; Fuels'!$E110&amp;$F110,'Emission factors'!$J$3:$J$201&amp;'Emission factors'!$K$3:$K$201,0),MATCH('Buildings - Heat &amp; Fuels'!S$6,'Emission factors'!$K$2:$V$2,0)))*$K110)</f>
        <v/>
      </c>
      <c r="T110" s="157" t="str" cm="1">
        <f t="array" ref="T110">IF(OR($E110="",$I110=""),"",(INDEX('Emission factors'!$K$3:$V$201,MATCH('Buildings - Heat &amp; Fuels'!$E110&amp;$F110,'Emission factors'!$J$3:$J$201&amp;'Emission factors'!$K$3:$K$201,0),MATCH('Buildings - Heat &amp; Fuels'!T$6,'Emission factors'!$K$2:$V$2,0)))*$K110)</f>
        <v/>
      </c>
      <c r="U110" s="157" t="str" cm="1">
        <f t="array" ref="U110">IF(OR($E110="",$I110=""),"",(INDEX('Emission factors'!$K$3:$V$201,MATCH('Buildings - Heat &amp; Fuels'!$E110&amp;$F110,'Emission factors'!$J$3:$J$201&amp;'Emission factors'!$K$3:$K$201,0),MATCH('Buildings - Heat &amp; Fuels'!U$6,'Emission factors'!$K$2:$V$2,0)))*$K110)</f>
        <v/>
      </c>
      <c r="V110" s="158" t="str">
        <f>IF(OR($N110="",BuildingsHeatFuelsTable[[#This Row],[RSD]]=""),"",BuildingsHeatFuelsTable[[#This Row],[Total emissions (kgCO2e)]]*(1+BuildingsHeatFuelsTable[[#This Row],[RSD]]))</f>
        <v/>
      </c>
      <c r="W110" s="159" t="str">
        <f>IF(OR($N110="",BuildingsHeatFuelsTable[[#This Row],[RSD]]=""),"",BuildingsHeatFuelsTable[[#This Row],[Total emissions (kgCO2e)]]*(1-BuildingsHeatFuelsTable[[#This Row],[RSD]]))</f>
        <v/>
      </c>
      <c r="X110" s="169" t="str" cm="1">
        <f t="array" ref="X110">IF(OR($E110="",$I110=""),"",(INDEX('Emission factors'!$K$3:$V$201,MATCH('Buildings - Heat &amp; Fuels'!$E110&amp;$F110,'Emission factors'!$J$3:$J$201&amp;'Emission factors'!$K$3:$K$201,0),MATCH('Buildings - Heat &amp; Fuels'!X$6,'Emission factors'!$K$2:$V$2,0)))*$K110)</f>
        <v/>
      </c>
      <c r="Y110" s="30"/>
      <c r="Z110" s="1" cm="1">
        <f t="array" ref="Z110">IF(OR(ISERROR(B110:X110)),1,0)</f>
        <v>0</v>
      </c>
      <c r="AA110" s="1">
        <f t="shared" si="0"/>
        <v>0</v>
      </c>
    </row>
    <row r="111" spans="1:27" ht="15" outlineLevel="1" thickBot="1" x14ac:dyDescent="0.4">
      <c r="A111" s="319"/>
      <c r="B111" s="216"/>
      <c r="C111" s="216"/>
      <c r="D111" s="489" t="str">
        <f>IFERROR(INDEX(BuildingInformationTable[Site type],MATCH(BuildingsHeatFuelsTable[[#This Row],[Site name]],BuildingInformationTable[Site name],0)),"")</f>
        <v/>
      </c>
      <c r="E111" s="491"/>
      <c r="F111" s="491"/>
      <c r="G111" s="491"/>
      <c r="H111" s="492" t="str">
        <f>IF(G111="","",INDEX(Lists!$BA$4:$BC$31,MATCH(E111,Lists!$AZ$4:$AZ$31,0),MATCH(G111,Lists!$BA$3:$BC$3,0)))</f>
        <v/>
      </c>
      <c r="I111" s="267"/>
      <c r="J111" s="491"/>
      <c r="K111" s="493" t="str" cm="1">
        <f t="array" ref="K111">IF(OR($E111="",$D111="",$I111="",$J111=""),"",IF(J111=L111,I111,(INDEX('Emission factors'!$K$3:$V$201,MATCH(E111&amp;F111,'Emission factors'!$J$3:$J$201&amp;'Emission factors'!$K$3:$K$201,0),MATCH(K$6,'Emission factors'!$K$2:$V$2,0)))*I111))</f>
        <v/>
      </c>
      <c r="L111" s="494" t="str">
        <f>IF(OR($E111="",$D111="",$I111="",$J111=""),"",INDEX('Emission factors'!$K$3:$V$201,MATCH('Buildings - Heat &amp; Fuels'!$E111,'Emission factors'!$J$3:$J$201,0),MATCH($L$6,'Emission factors'!$K$2:$V$2,0)))</f>
        <v/>
      </c>
      <c r="M111" s="495" t="str" cm="1">
        <f t="array" ref="M111">IF(OR(E111="",I111="",BuildingsHeatFuelsTable[[#This Row],[Units]]=""),"",INDEX('Emission factors'!$K$3:$V$201,MATCH('Buildings - Heat &amp; Fuels'!$E111&amp;F111,'Emission factors'!$J$3:$J$201&amp;'Emission factors'!$K$3:$K$201,0),MATCH('Buildings - Heat &amp; Fuels'!$M$6,'Emission factors'!$K$2:$V$2,0)))</f>
        <v/>
      </c>
      <c r="N111" s="496" t="str">
        <f>IF(OR(K111="",M111=""),"",SUM(BuildingsHeatFuelsTable[[#This Row],[Direct]:[Indirect WTT]]))</f>
        <v/>
      </c>
      <c r="O111" s="268"/>
      <c r="P111" s="497"/>
      <c r="Q111" s="157" t="str" cm="1">
        <f t="array" ref="Q111">IF(OR($E111="",$I111=""),"",(INDEX('Emission factors'!$K$3:$V$201,MATCH('Buildings - Heat &amp; Fuels'!$E111&amp;$F111,'Emission factors'!$J$3:$J$201&amp;'Emission factors'!$K$3:$K$201,0),MATCH('Buildings - Heat &amp; Fuels'!Q$6,'Emission factors'!$K$2:$V$2,0)))*$K111)</f>
        <v/>
      </c>
      <c r="R111" s="157" t="str" cm="1">
        <f t="array" ref="R111">IF(OR($E111="",$I111=""),"",(INDEX('Emission factors'!$K$3:$V$201,MATCH('Buildings - Heat &amp; Fuels'!$E111&amp;$F111,'Emission factors'!$J$3:$J$201&amp;'Emission factors'!$K$3:$K$201,0),MATCH('Buildings - Heat &amp; Fuels'!R$6,'Emission factors'!$K$2:$V$2,0)))*$K111)</f>
        <v/>
      </c>
      <c r="S111" s="157" t="str" cm="1">
        <f t="array" ref="S111">IF(OR($E111="",$I111=""),"",(INDEX('Emission factors'!$K$3:$V$201,MATCH('Buildings - Heat &amp; Fuels'!$E111&amp;$F111,'Emission factors'!$J$3:$J$201&amp;'Emission factors'!$K$3:$K$201,0),MATCH('Buildings - Heat &amp; Fuels'!S$6,'Emission factors'!$K$2:$V$2,0)))*$K111)</f>
        <v/>
      </c>
      <c r="T111" s="157" t="str" cm="1">
        <f t="array" ref="T111">IF(OR($E111="",$I111=""),"",(INDEX('Emission factors'!$K$3:$V$201,MATCH('Buildings - Heat &amp; Fuels'!$E111&amp;$F111,'Emission factors'!$J$3:$J$201&amp;'Emission factors'!$K$3:$K$201,0),MATCH('Buildings - Heat &amp; Fuels'!T$6,'Emission factors'!$K$2:$V$2,0)))*$K111)</f>
        <v/>
      </c>
      <c r="U111" s="157" t="str" cm="1">
        <f t="array" ref="U111">IF(OR($E111="",$I111=""),"",(INDEX('Emission factors'!$K$3:$V$201,MATCH('Buildings - Heat &amp; Fuels'!$E111&amp;$F111,'Emission factors'!$J$3:$J$201&amp;'Emission factors'!$K$3:$K$201,0),MATCH('Buildings - Heat &amp; Fuels'!U$6,'Emission factors'!$K$2:$V$2,0)))*$K111)</f>
        <v/>
      </c>
      <c r="V111" s="158" t="str">
        <f>IF(OR($N111="",BuildingsHeatFuelsTable[[#This Row],[RSD]]=""),"",BuildingsHeatFuelsTable[[#This Row],[Total emissions (kgCO2e)]]*(1+BuildingsHeatFuelsTable[[#This Row],[RSD]]))</f>
        <v/>
      </c>
      <c r="W111" s="159" t="str">
        <f>IF(OR($N111="",BuildingsHeatFuelsTable[[#This Row],[RSD]]=""),"",BuildingsHeatFuelsTable[[#This Row],[Total emissions (kgCO2e)]]*(1-BuildingsHeatFuelsTable[[#This Row],[RSD]]))</f>
        <v/>
      </c>
      <c r="X111" s="169" t="str" cm="1">
        <f t="array" ref="X111">IF(OR($E111="",$I111=""),"",(INDEX('Emission factors'!$K$3:$V$201,MATCH('Buildings - Heat &amp; Fuels'!$E111&amp;$F111,'Emission factors'!$J$3:$J$201&amp;'Emission factors'!$K$3:$K$201,0),MATCH('Buildings - Heat &amp; Fuels'!X$6,'Emission factors'!$K$2:$V$2,0)))*$K111)</f>
        <v/>
      </c>
      <c r="Y111" s="30"/>
      <c r="Z111" s="1" cm="1">
        <f t="array" ref="Z111">IF(OR(ISERROR(B111:X111)),1,0)</f>
        <v>0</v>
      </c>
      <c r="AA111" s="1">
        <f t="shared" si="0"/>
        <v>0</v>
      </c>
    </row>
    <row r="112" spans="1:27" ht="15" outlineLevel="1" thickBot="1" x14ac:dyDescent="0.4">
      <c r="A112" s="319"/>
      <c r="B112" s="216"/>
      <c r="C112" s="216"/>
      <c r="D112" s="489" t="str">
        <f>IFERROR(INDEX(BuildingInformationTable[Site type],MATCH(BuildingsHeatFuelsTable[[#This Row],[Site name]],BuildingInformationTable[Site name],0)),"")</f>
        <v/>
      </c>
      <c r="E112" s="491"/>
      <c r="F112" s="491"/>
      <c r="G112" s="491"/>
      <c r="H112" s="492" t="str">
        <f>IF(G112="","",INDEX(Lists!$BA$4:$BC$31,MATCH(E112,Lists!$AZ$4:$AZ$31,0),MATCH(G112,Lists!$BA$3:$BC$3,0)))</f>
        <v/>
      </c>
      <c r="I112" s="267"/>
      <c r="J112" s="491"/>
      <c r="K112" s="493" t="str" cm="1">
        <f t="array" ref="K112">IF(OR($E112="",$D112="",$I112="",$J112=""),"",IF(J112=L112,I112,(INDEX('Emission factors'!$K$3:$V$201,MATCH(E112&amp;F112,'Emission factors'!$J$3:$J$201&amp;'Emission factors'!$K$3:$K$201,0),MATCH(K$6,'Emission factors'!$K$2:$V$2,0)))*I112))</f>
        <v/>
      </c>
      <c r="L112" s="494" t="str">
        <f>IF(OR($E112="",$D112="",$I112="",$J112=""),"",INDEX('Emission factors'!$K$3:$V$201,MATCH('Buildings - Heat &amp; Fuels'!$E112,'Emission factors'!$J$3:$J$201,0),MATCH($L$6,'Emission factors'!$K$2:$V$2,0)))</f>
        <v/>
      </c>
      <c r="M112" s="495" t="str" cm="1">
        <f t="array" ref="M112">IF(OR(E112="",I112="",BuildingsHeatFuelsTable[[#This Row],[Units]]=""),"",INDEX('Emission factors'!$K$3:$V$201,MATCH('Buildings - Heat &amp; Fuels'!$E112&amp;F112,'Emission factors'!$J$3:$J$201&amp;'Emission factors'!$K$3:$K$201,0),MATCH('Buildings - Heat &amp; Fuels'!$M$6,'Emission factors'!$K$2:$V$2,0)))</f>
        <v/>
      </c>
      <c r="N112" s="496" t="str">
        <f>IF(OR(K112="",M112=""),"",SUM(BuildingsHeatFuelsTable[[#This Row],[Direct]:[Indirect WTT]]))</f>
        <v/>
      </c>
      <c r="O112" s="268"/>
      <c r="P112" s="497"/>
      <c r="Q112" s="157" t="str" cm="1">
        <f t="array" ref="Q112">IF(OR($E112="",$I112=""),"",(INDEX('Emission factors'!$K$3:$V$201,MATCH('Buildings - Heat &amp; Fuels'!$E112&amp;$F112,'Emission factors'!$J$3:$J$201&amp;'Emission factors'!$K$3:$K$201,0),MATCH('Buildings - Heat &amp; Fuels'!Q$6,'Emission factors'!$K$2:$V$2,0)))*$K112)</f>
        <v/>
      </c>
      <c r="R112" s="157" t="str" cm="1">
        <f t="array" ref="R112">IF(OR($E112="",$I112=""),"",(INDEX('Emission factors'!$K$3:$V$201,MATCH('Buildings - Heat &amp; Fuels'!$E112&amp;$F112,'Emission factors'!$J$3:$J$201&amp;'Emission factors'!$K$3:$K$201,0),MATCH('Buildings - Heat &amp; Fuels'!R$6,'Emission factors'!$K$2:$V$2,0)))*$K112)</f>
        <v/>
      </c>
      <c r="S112" s="157" t="str" cm="1">
        <f t="array" ref="S112">IF(OR($E112="",$I112=""),"",(INDEX('Emission factors'!$K$3:$V$201,MATCH('Buildings - Heat &amp; Fuels'!$E112&amp;$F112,'Emission factors'!$J$3:$J$201&amp;'Emission factors'!$K$3:$K$201,0),MATCH('Buildings - Heat &amp; Fuels'!S$6,'Emission factors'!$K$2:$V$2,0)))*$K112)</f>
        <v/>
      </c>
      <c r="T112" s="157" t="str" cm="1">
        <f t="array" ref="T112">IF(OR($E112="",$I112=""),"",(INDEX('Emission factors'!$K$3:$V$201,MATCH('Buildings - Heat &amp; Fuels'!$E112&amp;$F112,'Emission factors'!$J$3:$J$201&amp;'Emission factors'!$K$3:$K$201,0),MATCH('Buildings - Heat &amp; Fuels'!T$6,'Emission factors'!$K$2:$V$2,0)))*$K112)</f>
        <v/>
      </c>
      <c r="U112" s="157" t="str" cm="1">
        <f t="array" ref="U112">IF(OR($E112="",$I112=""),"",(INDEX('Emission factors'!$K$3:$V$201,MATCH('Buildings - Heat &amp; Fuels'!$E112&amp;$F112,'Emission factors'!$J$3:$J$201&amp;'Emission factors'!$K$3:$K$201,0),MATCH('Buildings - Heat &amp; Fuels'!U$6,'Emission factors'!$K$2:$V$2,0)))*$K112)</f>
        <v/>
      </c>
      <c r="V112" s="158" t="str">
        <f>IF(OR($N112="",BuildingsHeatFuelsTable[[#This Row],[RSD]]=""),"",BuildingsHeatFuelsTable[[#This Row],[Total emissions (kgCO2e)]]*(1+BuildingsHeatFuelsTable[[#This Row],[RSD]]))</f>
        <v/>
      </c>
      <c r="W112" s="159" t="str">
        <f>IF(OR($N112="",BuildingsHeatFuelsTable[[#This Row],[RSD]]=""),"",BuildingsHeatFuelsTable[[#This Row],[Total emissions (kgCO2e)]]*(1-BuildingsHeatFuelsTable[[#This Row],[RSD]]))</f>
        <v/>
      </c>
      <c r="X112" s="169" t="str" cm="1">
        <f t="array" ref="X112">IF(OR($E112="",$I112=""),"",(INDEX('Emission factors'!$K$3:$V$201,MATCH('Buildings - Heat &amp; Fuels'!$E112&amp;$F112,'Emission factors'!$J$3:$J$201&amp;'Emission factors'!$K$3:$K$201,0),MATCH('Buildings - Heat &amp; Fuels'!X$6,'Emission factors'!$K$2:$V$2,0)))*$K112)</f>
        <v/>
      </c>
      <c r="Y112" s="30"/>
      <c r="Z112" s="1" cm="1">
        <f t="array" ref="Z112">IF(OR(ISERROR(B112:X112)),1,0)</f>
        <v>0</v>
      </c>
      <c r="AA112" s="1">
        <f t="shared" si="0"/>
        <v>0</v>
      </c>
    </row>
    <row r="113" spans="1:27" ht="15" outlineLevel="1" thickBot="1" x14ac:dyDescent="0.4">
      <c r="A113" s="319"/>
      <c r="B113" s="216"/>
      <c r="C113" s="216"/>
      <c r="D113" s="489" t="str">
        <f>IFERROR(INDEX(BuildingInformationTable[Site type],MATCH(BuildingsHeatFuelsTable[[#This Row],[Site name]],BuildingInformationTable[Site name],0)),"")</f>
        <v/>
      </c>
      <c r="E113" s="491"/>
      <c r="F113" s="491"/>
      <c r="G113" s="491"/>
      <c r="H113" s="492" t="str">
        <f>IF(G113="","",INDEX(Lists!$BA$4:$BC$31,MATCH(E113,Lists!$AZ$4:$AZ$31,0),MATCH(G113,Lists!$BA$3:$BC$3,0)))</f>
        <v/>
      </c>
      <c r="I113" s="267"/>
      <c r="J113" s="491"/>
      <c r="K113" s="493" t="str" cm="1">
        <f t="array" ref="K113">IF(OR($E113="",$D113="",$I113="",$J113=""),"",IF(J113=L113,I113,(INDEX('Emission factors'!$K$3:$V$201,MATCH(E113&amp;F113,'Emission factors'!$J$3:$J$201&amp;'Emission factors'!$K$3:$K$201,0),MATCH(K$6,'Emission factors'!$K$2:$V$2,0)))*I113))</f>
        <v/>
      </c>
      <c r="L113" s="494" t="str">
        <f>IF(OR($E113="",$D113="",$I113="",$J113=""),"",INDEX('Emission factors'!$K$3:$V$201,MATCH('Buildings - Heat &amp; Fuels'!$E113,'Emission factors'!$J$3:$J$201,0),MATCH($L$6,'Emission factors'!$K$2:$V$2,0)))</f>
        <v/>
      </c>
      <c r="M113" s="495" t="str" cm="1">
        <f t="array" ref="M113">IF(OR(E113="",I113="",BuildingsHeatFuelsTable[[#This Row],[Units]]=""),"",INDEX('Emission factors'!$K$3:$V$201,MATCH('Buildings - Heat &amp; Fuels'!$E113&amp;F113,'Emission factors'!$J$3:$J$201&amp;'Emission factors'!$K$3:$K$201,0),MATCH('Buildings - Heat &amp; Fuels'!$M$6,'Emission factors'!$K$2:$V$2,0)))</f>
        <v/>
      </c>
      <c r="N113" s="496" t="str">
        <f>IF(OR(K113="",M113=""),"",SUM(BuildingsHeatFuelsTable[[#This Row],[Direct]:[Indirect WTT]]))</f>
        <v/>
      </c>
      <c r="O113" s="268"/>
      <c r="P113" s="497"/>
      <c r="Q113" s="157" t="str" cm="1">
        <f t="array" ref="Q113">IF(OR($E113="",$I113=""),"",(INDEX('Emission factors'!$K$3:$V$201,MATCH('Buildings - Heat &amp; Fuels'!$E113&amp;$F113,'Emission factors'!$J$3:$J$201&amp;'Emission factors'!$K$3:$K$201,0),MATCH('Buildings - Heat &amp; Fuels'!Q$6,'Emission factors'!$K$2:$V$2,0)))*$K113)</f>
        <v/>
      </c>
      <c r="R113" s="157" t="str" cm="1">
        <f t="array" ref="R113">IF(OR($E113="",$I113=""),"",(INDEX('Emission factors'!$K$3:$V$201,MATCH('Buildings - Heat &amp; Fuels'!$E113&amp;$F113,'Emission factors'!$J$3:$J$201&amp;'Emission factors'!$K$3:$K$201,0),MATCH('Buildings - Heat &amp; Fuels'!R$6,'Emission factors'!$K$2:$V$2,0)))*$K113)</f>
        <v/>
      </c>
      <c r="S113" s="157" t="str" cm="1">
        <f t="array" ref="S113">IF(OR($E113="",$I113=""),"",(INDEX('Emission factors'!$K$3:$V$201,MATCH('Buildings - Heat &amp; Fuels'!$E113&amp;$F113,'Emission factors'!$J$3:$J$201&amp;'Emission factors'!$K$3:$K$201,0),MATCH('Buildings - Heat &amp; Fuels'!S$6,'Emission factors'!$K$2:$V$2,0)))*$K113)</f>
        <v/>
      </c>
      <c r="T113" s="157" t="str" cm="1">
        <f t="array" ref="T113">IF(OR($E113="",$I113=""),"",(INDEX('Emission factors'!$K$3:$V$201,MATCH('Buildings - Heat &amp; Fuels'!$E113&amp;$F113,'Emission factors'!$J$3:$J$201&amp;'Emission factors'!$K$3:$K$201,0),MATCH('Buildings - Heat &amp; Fuels'!T$6,'Emission factors'!$K$2:$V$2,0)))*$K113)</f>
        <v/>
      </c>
      <c r="U113" s="157" t="str" cm="1">
        <f t="array" ref="U113">IF(OR($E113="",$I113=""),"",(INDEX('Emission factors'!$K$3:$V$201,MATCH('Buildings - Heat &amp; Fuels'!$E113&amp;$F113,'Emission factors'!$J$3:$J$201&amp;'Emission factors'!$K$3:$K$201,0),MATCH('Buildings - Heat &amp; Fuels'!U$6,'Emission factors'!$K$2:$V$2,0)))*$K113)</f>
        <v/>
      </c>
      <c r="V113" s="158" t="str">
        <f>IF(OR($N113="",BuildingsHeatFuelsTable[[#This Row],[RSD]]=""),"",BuildingsHeatFuelsTable[[#This Row],[Total emissions (kgCO2e)]]*(1+BuildingsHeatFuelsTable[[#This Row],[RSD]]))</f>
        <v/>
      </c>
      <c r="W113" s="159" t="str">
        <f>IF(OR($N113="",BuildingsHeatFuelsTable[[#This Row],[RSD]]=""),"",BuildingsHeatFuelsTable[[#This Row],[Total emissions (kgCO2e)]]*(1-BuildingsHeatFuelsTable[[#This Row],[RSD]]))</f>
        <v/>
      </c>
      <c r="X113" s="169" t="str" cm="1">
        <f t="array" ref="X113">IF(OR($E113="",$I113=""),"",(INDEX('Emission factors'!$K$3:$V$201,MATCH('Buildings - Heat &amp; Fuels'!$E113&amp;$F113,'Emission factors'!$J$3:$J$201&amp;'Emission factors'!$K$3:$K$201,0),MATCH('Buildings - Heat &amp; Fuels'!X$6,'Emission factors'!$K$2:$V$2,0)))*$K113)</f>
        <v/>
      </c>
      <c r="Y113" s="30"/>
      <c r="Z113" s="1" cm="1">
        <f t="array" ref="Z113">IF(OR(ISERROR(B113:X113)),1,0)</f>
        <v>0</v>
      </c>
      <c r="AA113" s="1">
        <f t="shared" si="0"/>
        <v>0</v>
      </c>
    </row>
    <row r="114" spans="1:27" ht="15" outlineLevel="1" thickBot="1" x14ac:dyDescent="0.4">
      <c r="A114" s="319"/>
      <c r="B114" s="216"/>
      <c r="C114" s="216"/>
      <c r="D114" s="489" t="str">
        <f>IFERROR(INDEX(BuildingInformationTable[Site type],MATCH(BuildingsHeatFuelsTable[[#This Row],[Site name]],BuildingInformationTable[Site name],0)),"")</f>
        <v/>
      </c>
      <c r="E114" s="491"/>
      <c r="F114" s="491"/>
      <c r="G114" s="491"/>
      <c r="H114" s="492" t="str">
        <f>IF(G114="","",INDEX(Lists!$BA$4:$BC$31,MATCH(E114,Lists!$AZ$4:$AZ$31,0),MATCH(G114,Lists!$BA$3:$BC$3,0)))</f>
        <v/>
      </c>
      <c r="I114" s="267"/>
      <c r="J114" s="491"/>
      <c r="K114" s="493" t="str" cm="1">
        <f t="array" ref="K114">IF(OR($E114="",$D114="",$I114="",$J114=""),"",IF(J114=L114,I114,(INDEX('Emission factors'!$K$3:$V$201,MATCH(E114&amp;F114,'Emission factors'!$J$3:$J$201&amp;'Emission factors'!$K$3:$K$201,0),MATCH(K$6,'Emission factors'!$K$2:$V$2,0)))*I114))</f>
        <v/>
      </c>
      <c r="L114" s="494" t="str">
        <f>IF(OR($E114="",$D114="",$I114="",$J114=""),"",INDEX('Emission factors'!$K$3:$V$201,MATCH('Buildings - Heat &amp; Fuels'!$E114,'Emission factors'!$J$3:$J$201,0),MATCH($L$6,'Emission factors'!$K$2:$V$2,0)))</f>
        <v/>
      </c>
      <c r="M114" s="495" t="str" cm="1">
        <f t="array" ref="M114">IF(OR(E114="",I114="",BuildingsHeatFuelsTable[[#This Row],[Units]]=""),"",INDEX('Emission factors'!$K$3:$V$201,MATCH('Buildings - Heat &amp; Fuels'!$E114&amp;F114,'Emission factors'!$J$3:$J$201&amp;'Emission factors'!$K$3:$K$201,0),MATCH('Buildings - Heat &amp; Fuels'!$M$6,'Emission factors'!$K$2:$V$2,0)))</f>
        <v/>
      </c>
      <c r="N114" s="496" t="str">
        <f>IF(OR(K114="",M114=""),"",SUM(BuildingsHeatFuelsTable[[#This Row],[Direct]:[Indirect WTT]]))</f>
        <v/>
      </c>
      <c r="O114" s="268"/>
      <c r="P114" s="497"/>
      <c r="Q114" s="157" t="str" cm="1">
        <f t="array" ref="Q114">IF(OR($E114="",$I114=""),"",(INDEX('Emission factors'!$K$3:$V$201,MATCH('Buildings - Heat &amp; Fuels'!$E114&amp;$F114,'Emission factors'!$J$3:$J$201&amp;'Emission factors'!$K$3:$K$201,0),MATCH('Buildings - Heat &amp; Fuels'!Q$6,'Emission factors'!$K$2:$V$2,0)))*$K114)</f>
        <v/>
      </c>
      <c r="R114" s="157" t="str" cm="1">
        <f t="array" ref="R114">IF(OR($E114="",$I114=""),"",(INDEX('Emission factors'!$K$3:$V$201,MATCH('Buildings - Heat &amp; Fuels'!$E114&amp;$F114,'Emission factors'!$J$3:$J$201&amp;'Emission factors'!$K$3:$K$201,0),MATCH('Buildings - Heat &amp; Fuels'!R$6,'Emission factors'!$K$2:$V$2,0)))*$K114)</f>
        <v/>
      </c>
      <c r="S114" s="157" t="str" cm="1">
        <f t="array" ref="S114">IF(OR($E114="",$I114=""),"",(INDEX('Emission factors'!$K$3:$V$201,MATCH('Buildings - Heat &amp; Fuels'!$E114&amp;$F114,'Emission factors'!$J$3:$J$201&amp;'Emission factors'!$K$3:$K$201,0),MATCH('Buildings - Heat &amp; Fuels'!S$6,'Emission factors'!$K$2:$V$2,0)))*$K114)</f>
        <v/>
      </c>
      <c r="T114" s="157" t="str" cm="1">
        <f t="array" ref="T114">IF(OR($E114="",$I114=""),"",(INDEX('Emission factors'!$K$3:$V$201,MATCH('Buildings - Heat &amp; Fuels'!$E114&amp;$F114,'Emission factors'!$J$3:$J$201&amp;'Emission factors'!$K$3:$K$201,0),MATCH('Buildings - Heat &amp; Fuels'!T$6,'Emission factors'!$K$2:$V$2,0)))*$K114)</f>
        <v/>
      </c>
      <c r="U114" s="157" t="str" cm="1">
        <f t="array" ref="U114">IF(OR($E114="",$I114=""),"",(INDEX('Emission factors'!$K$3:$V$201,MATCH('Buildings - Heat &amp; Fuels'!$E114&amp;$F114,'Emission factors'!$J$3:$J$201&amp;'Emission factors'!$K$3:$K$201,0),MATCH('Buildings - Heat &amp; Fuels'!U$6,'Emission factors'!$K$2:$V$2,0)))*$K114)</f>
        <v/>
      </c>
      <c r="V114" s="158" t="str">
        <f>IF(OR($N114="",BuildingsHeatFuelsTable[[#This Row],[RSD]]=""),"",BuildingsHeatFuelsTable[[#This Row],[Total emissions (kgCO2e)]]*(1+BuildingsHeatFuelsTable[[#This Row],[RSD]]))</f>
        <v/>
      </c>
      <c r="W114" s="159" t="str">
        <f>IF(OR($N114="",BuildingsHeatFuelsTable[[#This Row],[RSD]]=""),"",BuildingsHeatFuelsTable[[#This Row],[Total emissions (kgCO2e)]]*(1-BuildingsHeatFuelsTable[[#This Row],[RSD]]))</f>
        <v/>
      </c>
      <c r="X114" s="169" t="str" cm="1">
        <f t="array" ref="X114">IF(OR($E114="",$I114=""),"",(INDEX('Emission factors'!$K$3:$V$201,MATCH('Buildings - Heat &amp; Fuels'!$E114&amp;$F114,'Emission factors'!$J$3:$J$201&amp;'Emission factors'!$K$3:$K$201,0),MATCH('Buildings - Heat &amp; Fuels'!X$6,'Emission factors'!$K$2:$V$2,0)))*$K114)</f>
        <v/>
      </c>
      <c r="Y114" s="30"/>
      <c r="Z114" s="1" cm="1">
        <f t="array" ref="Z114">IF(OR(ISERROR(B114:X114)),1,0)</f>
        <v>0</v>
      </c>
      <c r="AA114" s="1">
        <f t="shared" si="0"/>
        <v>0</v>
      </c>
    </row>
    <row r="115" spans="1:27" ht="15" outlineLevel="1" thickBot="1" x14ac:dyDescent="0.4">
      <c r="A115" s="319"/>
      <c r="B115" s="216"/>
      <c r="C115" s="216"/>
      <c r="D115" s="489" t="str">
        <f>IFERROR(INDEX(BuildingInformationTable[Site type],MATCH(BuildingsHeatFuelsTable[[#This Row],[Site name]],BuildingInformationTable[Site name],0)),"")</f>
        <v/>
      </c>
      <c r="E115" s="491"/>
      <c r="F115" s="491"/>
      <c r="G115" s="491"/>
      <c r="H115" s="492" t="str">
        <f>IF(G115="","",INDEX(Lists!$BA$4:$BC$31,MATCH(E115,Lists!$AZ$4:$AZ$31,0),MATCH(G115,Lists!$BA$3:$BC$3,0)))</f>
        <v/>
      </c>
      <c r="I115" s="267"/>
      <c r="J115" s="491"/>
      <c r="K115" s="493" t="str" cm="1">
        <f t="array" ref="K115">IF(OR($E115="",$D115="",$I115="",$J115=""),"",IF(J115=L115,I115,(INDEX('Emission factors'!$K$3:$V$201,MATCH(E115&amp;F115,'Emission factors'!$J$3:$J$201&amp;'Emission factors'!$K$3:$K$201,0),MATCH(K$6,'Emission factors'!$K$2:$V$2,0)))*I115))</f>
        <v/>
      </c>
      <c r="L115" s="494" t="str">
        <f>IF(OR($E115="",$D115="",$I115="",$J115=""),"",INDEX('Emission factors'!$K$3:$V$201,MATCH('Buildings - Heat &amp; Fuels'!$E115,'Emission factors'!$J$3:$J$201,0),MATCH($L$6,'Emission factors'!$K$2:$V$2,0)))</f>
        <v/>
      </c>
      <c r="M115" s="495" t="str" cm="1">
        <f t="array" ref="M115">IF(OR(E115="",I115="",BuildingsHeatFuelsTable[[#This Row],[Units]]=""),"",INDEX('Emission factors'!$K$3:$V$201,MATCH('Buildings - Heat &amp; Fuels'!$E115&amp;F115,'Emission factors'!$J$3:$J$201&amp;'Emission factors'!$K$3:$K$201,0),MATCH('Buildings - Heat &amp; Fuels'!$M$6,'Emission factors'!$K$2:$V$2,0)))</f>
        <v/>
      </c>
      <c r="N115" s="496" t="str">
        <f>IF(OR(K115="",M115=""),"",SUM(BuildingsHeatFuelsTable[[#This Row],[Direct]:[Indirect WTT]]))</f>
        <v/>
      </c>
      <c r="O115" s="268"/>
      <c r="P115" s="497"/>
      <c r="Q115" s="157" t="str" cm="1">
        <f t="array" ref="Q115">IF(OR($E115="",$I115=""),"",(INDEX('Emission factors'!$K$3:$V$201,MATCH('Buildings - Heat &amp; Fuels'!$E115&amp;$F115,'Emission factors'!$J$3:$J$201&amp;'Emission factors'!$K$3:$K$201,0),MATCH('Buildings - Heat &amp; Fuels'!Q$6,'Emission factors'!$K$2:$V$2,0)))*$K115)</f>
        <v/>
      </c>
      <c r="R115" s="157" t="str" cm="1">
        <f t="array" ref="R115">IF(OR($E115="",$I115=""),"",(INDEX('Emission factors'!$K$3:$V$201,MATCH('Buildings - Heat &amp; Fuels'!$E115&amp;$F115,'Emission factors'!$J$3:$J$201&amp;'Emission factors'!$K$3:$K$201,0),MATCH('Buildings - Heat &amp; Fuels'!R$6,'Emission factors'!$K$2:$V$2,0)))*$K115)</f>
        <v/>
      </c>
      <c r="S115" s="157" t="str" cm="1">
        <f t="array" ref="S115">IF(OR($E115="",$I115=""),"",(INDEX('Emission factors'!$K$3:$V$201,MATCH('Buildings - Heat &amp; Fuels'!$E115&amp;$F115,'Emission factors'!$J$3:$J$201&amp;'Emission factors'!$K$3:$K$201,0),MATCH('Buildings - Heat &amp; Fuels'!S$6,'Emission factors'!$K$2:$V$2,0)))*$K115)</f>
        <v/>
      </c>
      <c r="T115" s="157" t="str" cm="1">
        <f t="array" ref="T115">IF(OR($E115="",$I115=""),"",(INDEX('Emission factors'!$K$3:$V$201,MATCH('Buildings - Heat &amp; Fuels'!$E115&amp;$F115,'Emission factors'!$J$3:$J$201&amp;'Emission factors'!$K$3:$K$201,0),MATCH('Buildings - Heat &amp; Fuels'!T$6,'Emission factors'!$K$2:$V$2,0)))*$K115)</f>
        <v/>
      </c>
      <c r="U115" s="157" t="str" cm="1">
        <f t="array" ref="U115">IF(OR($E115="",$I115=""),"",(INDEX('Emission factors'!$K$3:$V$201,MATCH('Buildings - Heat &amp; Fuels'!$E115&amp;$F115,'Emission factors'!$J$3:$J$201&amp;'Emission factors'!$K$3:$K$201,0),MATCH('Buildings - Heat &amp; Fuels'!U$6,'Emission factors'!$K$2:$V$2,0)))*$K115)</f>
        <v/>
      </c>
      <c r="V115" s="158" t="str">
        <f>IF(OR($N115="",BuildingsHeatFuelsTable[[#This Row],[RSD]]=""),"",BuildingsHeatFuelsTable[[#This Row],[Total emissions (kgCO2e)]]*(1+BuildingsHeatFuelsTable[[#This Row],[RSD]]))</f>
        <v/>
      </c>
      <c r="W115" s="159" t="str">
        <f>IF(OR($N115="",BuildingsHeatFuelsTable[[#This Row],[RSD]]=""),"",BuildingsHeatFuelsTable[[#This Row],[Total emissions (kgCO2e)]]*(1-BuildingsHeatFuelsTable[[#This Row],[RSD]]))</f>
        <v/>
      </c>
      <c r="X115" s="169" t="str" cm="1">
        <f t="array" ref="X115">IF(OR($E115="",$I115=""),"",(INDEX('Emission factors'!$K$3:$V$201,MATCH('Buildings - Heat &amp; Fuels'!$E115&amp;$F115,'Emission factors'!$J$3:$J$201&amp;'Emission factors'!$K$3:$K$201,0),MATCH('Buildings - Heat &amp; Fuels'!X$6,'Emission factors'!$K$2:$V$2,0)))*$K115)</f>
        <v/>
      </c>
      <c r="Y115" s="30"/>
      <c r="Z115" s="1" cm="1">
        <f t="array" ref="Z115">IF(OR(ISERROR(B115:X115)),1,0)</f>
        <v>0</v>
      </c>
      <c r="AA115" s="1">
        <f t="shared" si="0"/>
        <v>0</v>
      </c>
    </row>
    <row r="116" spans="1:27" ht="15" outlineLevel="1" thickBot="1" x14ac:dyDescent="0.4">
      <c r="A116" s="319"/>
      <c r="B116" s="216"/>
      <c r="C116" s="216"/>
      <c r="D116" s="489" t="str">
        <f>IFERROR(INDEX(BuildingInformationTable[Site type],MATCH(BuildingsHeatFuelsTable[[#This Row],[Site name]],BuildingInformationTable[Site name],0)),"")</f>
        <v/>
      </c>
      <c r="E116" s="491"/>
      <c r="F116" s="491"/>
      <c r="G116" s="491"/>
      <c r="H116" s="492" t="str">
        <f>IF(G116="","",INDEX(Lists!$BA$4:$BC$31,MATCH(E116,Lists!$AZ$4:$AZ$31,0),MATCH(G116,Lists!$BA$3:$BC$3,0)))</f>
        <v/>
      </c>
      <c r="I116" s="267"/>
      <c r="J116" s="491"/>
      <c r="K116" s="493" t="str" cm="1">
        <f t="array" ref="K116">IF(OR($E116="",$D116="",$I116="",$J116=""),"",IF(J116=L116,I116,(INDEX('Emission factors'!$K$3:$V$201,MATCH(E116&amp;F116,'Emission factors'!$J$3:$J$201&amp;'Emission factors'!$K$3:$K$201,0),MATCH(K$6,'Emission factors'!$K$2:$V$2,0)))*I116))</f>
        <v/>
      </c>
      <c r="L116" s="494" t="str">
        <f>IF(OR($E116="",$D116="",$I116="",$J116=""),"",INDEX('Emission factors'!$K$3:$V$201,MATCH('Buildings - Heat &amp; Fuels'!$E116,'Emission factors'!$J$3:$J$201,0),MATCH($L$6,'Emission factors'!$K$2:$V$2,0)))</f>
        <v/>
      </c>
      <c r="M116" s="495" t="str" cm="1">
        <f t="array" ref="M116">IF(OR(E116="",I116="",BuildingsHeatFuelsTable[[#This Row],[Units]]=""),"",INDEX('Emission factors'!$K$3:$V$201,MATCH('Buildings - Heat &amp; Fuels'!$E116&amp;F116,'Emission factors'!$J$3:$J$201&amp;'Emission factors'!$K$3:$K$201,0),MATCH('Buildings - Heat &amp; Fuels'!$M$6,'Emission factors'!$K$2:$V$2,0)))</f>
        <v/>
      </c>
      <c r="N116" s="496" t="str">
        <f>IF(OR(K116="",M116=""),"",SUM(BuildingsHeatFuelsTable[[#This Row],[Direct]:[Indirect WTT]]))</f>
        <v/>
      </c>
      <c r="O116" s="268"/>
      <c r="P116" s="497"/>
      <c r="Q116" s="157" t="str" cm="1">
        <f t="array" ref="Q116">IF(OR($E116="",$I116=""),"",(INDEX('Emission factors'!$K$3:$V$201,MATCH('Buildings - Heat &amp; Fuels'!$E116&amp;$F116,'Emission factors'!$J$3:$J$201&amp;'Emission factors'!$K$3:$K$201,0),MATCH('Buildings - Heat &amp; Fuels'!Q$6,'Emission factors'!$K$2:$V$2,0)))*$K116)</f>
        <v/>
      </c>
      <c r="R116" s="157" t="str" cm="1">
        <f t="array" ref="R116">IF(OR($E116="",$I116=""),"",(INDEX('Emission factors'!$K$3:$V$201,MATCH('Buildings - Heat &amp; Fuels'!$E116&amp;$F116,'Emission factors'!$J$3:$J$201&amp;'Emission factors'!$K$3:$K$201,0),MATCH('Buildings - Heat &amp; Fuels'!R$6,'Emission factors'!$K$2:$V$2,0)))*$K116)</f>
        <v/>
      </c>
      <c r="S116" s="157" t="str" cm="1">
        <f t="array" ref="S116">IF(OR($E116="",$I116=""),"",(INDEX('Emission factors'!$K$3:$V$201,MATCH('Buildings - Heat &amp; Fuels'!$E116&amp;$F116,'Emission factors'!$J$3:$J$201&amp;'Emission factors'!$K$3:$K$201,0),MATCH('Buildings - Heat &amp; Fuels'!S$6,'Emission factors'!$K$2:$V$2,0)))*$K116)</f>
        <v/>
      </c>
      <c r="T116" s="157" t="str" cm="1">
        <f t="array" ref="T116">IF(OR($E116="",$I116=""),"",(INDEX('Emission factors'!$K$3:$V$201,MATCH('Buildings - Heat &amp; Fuels'!$E116&amp;$F116,'Emission factors'!$J$3:$J$201&amp;'Emission factors'!$K$3:$K$201,0),MATCH('Buildings - Heat &amp; Fuels'!T$6,'Emission factors'!$K$2:$V$2,0)))*$K116)</f>
        <v/>
      </c>
      <c r="U116" s="157" t="str" cm="1">
        <f t="array" ref="U116">IF(OR($E116="",$I116=""),"",(INDEX('Emission factors'!$K$3:$V$201,MATCH('Buildings - Heat &amp; Fuels'!$E116&amp;$F116,'Emission factors'!$J$3:$J$201&amp;'Emission factors'!$K$3:$K$201,0),MATCH('Buildings - Heat &amp; Fuels'!U$6,'Emission factors'!$K$2:$V$2,0)))*$K116)</f>
        <v/>
      </c>
      <c r="V116" s="158" t="str">
        <f>IF(OR($N116="",BuildingsHeatFuelsTable[[#This Row],[RSD]]=""),"",BuildingsHeatFuelsTable[[#This Row],[Total emissions (kgCO2e)]]*(1+BuildingsHeatFuelsTable[[#This Row],[RSD]]))</f>
        <v/>
      </c>
      <c r="W116" s="159" t="str">
        <f>IF(OR($N116="",BuildingsHeatFuelsTable[[#This Row],[RSD]]=""),"",BuildingsHeatFuelsTable[[#This Row],[Total emissions (kgCO2e)]]*(1-BuildingsHeatFuelsTable[[#This Row],[RSD]]))</f>
        <v/>
      </c>
      <c r="X116" s="169" t="str" cm="1">
        <f t="array" ref="X116">IF(OR($E116="",$I116=""),"",(INDEX('Emission factors'!$K$3:$V$201,MATCH('Buildings - Heat &amp; Fuels'!$E116&amp;$F116,'Emission factors'!$J$3:$J$201&amp;'Emission factors'!$K$3:$K$201,0),MATCH('Buildings - Heat &amp; Fuels'!X$6,'Emission factors'!$K$2:$V$2,0)))*$K116)</f>
        <v/>
      </c>
      <c r="Y116" s="30"/>
      <c r="Z116" s="1" cm="1">
        <f t="array" ref="Z116">IF(OR(ISERROR(B116:X116)),1,0)</f>
        <v>0</v>
      </c>
      <c r="AA116" s="1">
        <f t="shared" si="0"/>
        <v>0</v>
      </c>
    </row>
    <row r="117" spans="1:27" ht="15" outlineLevel="1" thickBot="1" x14ac:dyDescent="0.4">
      <c r="A117" s="319"/>
      <c r="B117" s="216"/>
      <c r="C117" s="216"/>
      <c r="D117" s="489" t="str">
        <f>IFERROR(INDEX(BuildingInformationTable[Site type],MATCH(BuildingsHeatFuelsTable[[#This Row],[Site name]],BuildingInformationTable[Site name],0)),"")</f>
        <v/>
      </c>
      <c r="E117" s="491"/>
      <c r="F117" s="491"/>
      <c r="G117" s="491"/>
      <c r="H117" s="492" t="str">
        <f>IF(G117="","",INDEX(Lists!$BA$4:$BC$31,MATCH(E117,Lists!$AZ$4:$AZ$31,0),MATCH(G117,Lists!$BA$3:$BC$3,0)))</f>
        <v/>
      </c>
      <c r="I117" s="267"/>
      <c r="J117" s="491"/>
      <c r="K117" s="493" t="str" cm="1">
        <f t="array" ref="K117">IF(OR($E117="",$D117="",$I117="",$J117=""),"",IF(J117=L117,I117,(INDEX('Emission factors'!$K$3:$V$201,MATCH(E117&amp;F117,'Emission factors'!$J$3:$J$201&amp;'Emission factors'!$K$3:$K$201,0),MATCH(K$6,'Emission factors'!$K$2:$V$2,0)))*I117))</f>
        <v/>
      </c>
      <c r="L117" s="494" t="str">
        <f>IF(OR($E117="",$D117="",$I117="",$J117=""),"",INDEX('Emission factors'!$K$3:$V$201,MATCH('Buildings - Heat &amp; Fuels'!$E117,'Emission factors'!$J$3:$J$201,0),MATCH($L$6,'Emission factors'!$K$2:$V$2,0)))</f>
        <v/>
      </c>
      <c r="M117" s="495" t="str" cm="1">
        <f t="array" ref="M117">IF(OR(E117="",I117="",BuildingsHeatFuelsTable[[#This Row],[Units]]=""),"",INDEX('Emission factors'!$K$3:$V$201,MATCH('Buildings - Heat &amp; Fuels'!$E117&amp;F117,'Emission factors'!$J$3:$J$201&amp;'Emission factors'!$K$3:$K$201,0),MATCH('Buildings - Heat &amp; Fuels'!$M$6,'Emission factors'!$K$2:$V$2,0)))</f>
        <v/>
      </c>
      <c r="N117" s="496" t="str">
        <f>IF(OR(K117="",M117=""),"",SUM(BuildingsHeatFuelsTable[[#This Row],[Direct]:[Indirect WTT]]))</f>
        <v/>
      </c>
      <c r="O117" s="268"/>
      <c r="P117" s="497"/>
      <c r="Q117" s="157" t="str" cm="1">
        <f t="array" ref="Q117">IF(OR($E117="",$I117=""),"",(INDEX('Emission factors'!$K$3:$V$201,MATCH('Buildings - Heat &amp; Fuels'!$E117&amp;$F117,'Emission factors'!$J$3:$J$201&amp;'Emission factors'!$K$3:$K$201,0),MATCH('Buildings - Heat &amp; Fuels'!Q$6,'Emission factors'!$K$2:$V$2,0)))*$K117)</f>
        <v/>
      </c>
      <c r="R117" s="157" t="str" cm="1">
        <f t="array" ref="R117">IF(OR($E117="",$I117=""),"",(INDEX('Emission factors'!$K$3:$V$201,MATCH('Buildings - Heat &amp; Fuels'!$E117&amp;$F117,'Emission factors'!$J$3:$J$201&amp;'Emission factors'!$K$3:$K$201,0),MATCH('Buildings - Heat &amp; Fuels'!R$6,'Emission factors'!$K$2:$V$2,0)))*$K117)</f>
        <v/>
      </c>
      <c r="S117" s="157" t="str" cm="1">
        <f t="array" ref="S117">IF(OR($E117="",$I117=""),"",(INDEX('Emission factors'!$K$3:$V$201,MATCH('Buildings - Heat &amp; Fuels'!$E117&amp;$F117,'Emission factors'!$J$3:$J$201&amp;'Emission factors'!$K$3:$K$201,0),MATCH('Buildings - Heat &amp; Fuels'!S$6,'Emission factors'!$K$2:$V$2,0)))*$K117)</f>
        <v/>
      </c>
      <c r="T117" s="157" t="str" cm="1">
        <f t="array" ref="T117">IF(OR($E117="",$I117=""),"",(INDEX('Emission factors'!$K$3:$V$201,MATCH('Buildings - Heat &amp; Fuels'!$E117&amp;$F117,'Emission factors'!$J$3:$J$201&amp;'Emission factors'!$K$3:$K$201,0),MATCH('Buildings - Heat &amp; Fuels'!T$6,'Emission factors'!$K$2:$V$2,0)))*$K117)</f>
        <v/>
      </c>
      <c r="U117" s="157" t="str" cm="1">
        <f t="array" ref="U117">IF(OR($E117="",$I117=""),"",(INDEX('Emission factors'!$K$3:$V$201,MATCH('Buildings - Heat &amp; Fuels'!$E117&amp;$F117,'Emission factors'!$J$3:$J$201&amp;'Emission factors'!$K$3:$K$201,0),MATCH('Buildings - Heat &amp; Fuels'!U$6,'Emission factors'!$K$2:$V$2,0)))*$K117)</f>
        <v/>
      </c>
      <c r="V117" s="158" t="str">
        <f>IF(OR($N117="",BuildingsHeatFuelsTable[[#This Row],[RSD]]=""),"",BuildingsHeatFuelsTable[[#This Row],[Total emissions (kgCO2e)]]*(1+BuildingsHeatFuelsTable[[#This Row],[RSD]]))</f>
        <v/>
      </c>
      <c r="W117" s="159" t="str">
        <f>IF(OR($N117="",BuildingsHeatFuelsTable[[#This Row],[RSD]]=""),"",BuildingsHeatFuelsTable[[#This Row],[Total emissions (kgCO2e)]]*(1-BuildingsHeatFuelsTable[[#This Row],[RSD]]))</f>
        <v/>
      </c>
      <c r="X117" s="169" t="str" cm="1">
        <f t="array" ref="X117">IF(OR($E117="",$I117=""),"",(INDEX('Emission factors'!$K$3:$V$201,MATCH('Buildings - Heat &amp; Fuels'!$E117&amp;$F117,'Emission factors'!$J$3:$J$201&amp;'Emission factors'!$K$3:$K$201,0),MATCH('Buildings - Heat &amp; Fuels'!X$6,'Emission factors'!$K$2:$V$2,0)))*$K117)</f>
        <v/>
      </c>
      <c r="Y117" s="30"/>
      <c r="Z117" s="1" cm="1">
        <f t="array" ref="Z117">IF(OR(ISERROR(B117:X117)),1,0)</f>
        <v>0</v>
      </c>
      <c r="AA117" s="1">
        <f t="shared" si="0"/>
        <v>0</v>
      </c>
    </row>
    <row r="118" spans="1:27" ht="15" outlineLevel="1" thickBot="1" x14ac:dyDescent="0.4">
      <c r="A118" s="319"/>
      <c r="B118" s="216"/>
      <c r="C118" s="216"/>
      <c r="D118" s="489" t="str">
        <f>IFERROR(INDEX(BuildingInformationTable[Site type],MATCH(BuildingsHeatFuelsTable[[#This Row],[Site name]],BuildingInformationTable[Site name],0)),"")</f>
        <v/>
      </c>
      <c r="E118" s="491"/>
      <c r="F118" s="491"/>
      <c r="G118" s="491"/>
      <c r="H118" s="492" t="str">
        <f>IF(G118="","",INDEX(Lists!$BA$4:$BC$31,MATCH(E118,Lists!$AZ$4:$AZ$31,0),MATCH(G118,Lists!$BA$3:$BC$3,0)))</f>
        <v/>
      </c>
      <c r="I118" s="267"/>
      <c r="J118" s="491"/>
      <c r="K118" s="493" t="str" cm="1">
        <f t="array" ref="K118">IF(OR($E118="",$D118="",$I118="",$J118=""),"",IF(J118=L118,I118,(INDEX('Emission factors'!$K$3:$V$201,MATCH(E118&amp;F118,'Emission factors'!$J$3:$J$201&amp;'Emission factors'!$K$3:$K$201,0),MATCH(K$6,'Emission factors'!$K$2:$V$2,0)))*I118))</f>
        <v/>
      </c>
      <c r="L118" s="494" t="str">
        <f>IF(OR($E118="",$D118="",$I118="",$J118=""),"",INDEX('Emission factors'!$K$3:$V$201,MATCH('Buildings - Heat &amp; Fuels'!$E118,'Emission factors'!$J$3:$J$201,0),MATCH($L$6,'Emission factors'!$K$2:$V$2,0)))</f>
        <v/>
      </c>
      <c r="M118" s="495" t="str" cm="1">
        <f t="array" ref="M118">IF(OR(E118="",I118="",BuildingsHeatFuelsTable[[#This Row],[Units]]=""),"",INDEX('Emission factors'!$K$3:$V$201,MATCH('Buildings - Heat &amp; Fuels'!$E118&amp;F118,'Emission factors'!$J$3:$J$201&amp;'Emission factors'!$K$3:$K$201,0),MATCH('Buildings - Heat &amp; Fuels'!$M$6,'Emission factors'!$K$2:$V$2,0)))</f>
        <v/>
      </c>
      <c r="N118" s="496" t="str">
        <f>IF(OR(K118="",M118=""),"",SUM(BuildingsHeatFuelsTable[[#This Row],[Direct]:[Indirect WTT]]))</f>
        <v/>
      </c>
      <c r="O118" s="268"/>
      <c r="P118" s="497"/>
      <c r="Q118" s="157" t="str" cm="1">
        <f t="array" ref="Q118">IF(OR($E118="",$I118=""),"",(INDEX('Emission factors'!$K$3:$V$201,MATCH('Buildings - Heat &amp; Fuels'!$E118&amp;$F118,'Emission factors'!$J$3:$J$201&amp;'Emission factors'!$K$3:$K$201,0),MATCH('Buildings - Heat &amp; Fuels'!Q$6,'Emission factors'!$K$2:$V$2,0)))*$K118)</f>
        <v/>
      </c>
      <c r="R118" s="157" t="str" cm="1">
        <f t="array" ref="R118">IF(OR($E118="",$I118=""),"",(INDEX('Emission factors'!$K$3:$V$201,MATCH('Buildings - Heat &amp; Fuels'!$E118&amp;$F118,'Emission factors'!$J$3:$J$201&amp;'Emission factors'!$K$3:$K$201,0),MATCH('Buildings - Heat &amp; Fuels'!R$6,'Emission factors'!$K$2:$V$2,0)))*$K118)</f>
        <v/>
      </c>
      <c r="S118" s="157" t="str" cm="1">
        <f t="array" ref="S118">IF(OR($E118="",$I118=""),"",(INDEX('Emission factors'!$K$3:$V$201,MATCH('Buildings - Heat &amp; Fuels'!$E118&amp;$F118,'Emission factors'!$J$3:$J$201&amp;'Emission factors'!$K$3:$K$201,0),MATCH('Buildings - Heat &amp; Fuels'!S$6,'Emission factors'!$K$2:$V$2,0)))*$K118)</f>
        <v/>
      </c>
      <c r="T118" s="157" t="str" cm="1">
        <f t="array" ref="T118">IF(OR($E118="",$I118=""),"",(INDEX('Emission factors'!$K$3:$V$201,MATCH('Buildings - Heat &amp; Fuels'!$E118&amp;$F118,'Emission factors'!$J$3:$J$201&amp;'Emission factors'!$K$3:$K$201,0),MATCH('Buildings - Heat &amp; Fuels'!T$6,'Emission factors'!$K$2:$V$2,0)))*$K118)</f>
        <v/>
      </c>
      <c r="U118" s="157" t="str" cm="1">
        <f t="array" ref="U118">IF(OR($E118="",$I118=""),"",(INDEX('Emission factors'!$K$3:$V$201,MATCH('Buildings - Heat &amp; Fuels'!$E118&amp;$F118,'Emission factors'!$J$3:$J$201&amp;'Emission factors'!$K$3:$K$201,0),MATCH('Buildings - Heat &amp; Fuels'!U$6,'Emission factors'!$K$2:$V$2,0)))*$K118)</f>
        <v/>
      </c>
      <c r="V118" s="158" t="str">
        <f>IF(OR($N118="",BuildingsHeatFuelsTable[[#This Row],[RSD]]=""),"",BuildingsHeatFuelsTable[[#This Row],[Total emissions (kgCO2e)]]*(1+BuildingsHeatFuelsTable[[#This Row],[RSD]]))</f>
        <v/>
      </c>
      <c r="W118" s="159" t="str">
        <f>IF(OR($N118="",BuildingsHeatFuelsTable[[#This Row],[RSD]]=""),"",BuildingsHeatFuelsTable[[#This Row],[Total emissions (kgCO2e)]]*(1-BuildingsHeatFuelsTable[[#This Row],[RSD]]))</f>
        <v/>
      </c>
      <c r="X118" s="169" t="str" cm="1">
        <f t="array" ref="X118">IF(OR($E118="",$I118=""),"",(INDEX('Emission factors'!$K$3:$V$201,MATCH('Buildings - Heat &amp; Fuels'!$E118&amp;$F118,'Emission factors'!$J$3:$J$201&amp;'Emission factors'!$K$3:$K$201,0),MATCH('Buildings - Heat &amp; Fuels'!X$6,'Emission factors'!$K$2:$V$2,0)))*$K118)</f>
        <v/>
      </c>
      <c r="Y118" s="30"/>
      <c r="Z118" s="1" cm="1">
        <f t="array" ref="Z118">IF(OR(ISERROR(B118:X118)),1,0)</f>
        <v>0</v>
      </c>
      <c r="AA118" s="1">
        <f t="shared" si="0"/>
        <v>0</v>
      </c>
    </row>
    <row r="119" spans="1:27" ht="15" outlineLevel="1" thickBot="1" x14ac:dyDescent="0.4">
      <c r="A119" s="319"/>
      <c r="B119" s="216"/>
      <c r="C119" s="216"/>
      <c r="D119" s="489" t="str">
        <f>IFERROR(INDEX(BuildingInformationTable[Site type],MATCH(BuildingsHeatFuelsTable[[#This Row],[Site name]],BuildingInformationTable[Site name],0)),"")</f>
        <v/>
      </c>
      <c r="E119" s="491"/>
      <c r="F119" s="491"/>
      <c r="G119" s="491"/>
      <c r="H119" s="492" t="str">
        <f>IF(G119="","",INDEX(Lists!$BA$4:$BC$31,MATCH(E119,Lists!$AZ$4:$AZ$31,0),MATCH(G119,Lists!$BA$3:$BC$3,0)))</f>
        <v/>
      </c>
      <c r="I119" s="267"/>
      <c r="J119" s="491"/>
      <c r="K119" s="493" t="str" cm="1">
        <f t="array" ref="K119">IF(OR($E119="",$D119="",$I119="",$J119=""),"",IF(J119=L119,I119,(INDEX('Emission factors'!$K$3:$V$201,MATCH(E119&amp;F119,'Emission factors'!$J$3:$J$201&amp;'Emission factors'!$K$3:$K$201,0),MATCH(K$6,'Emission factors'!$K$2:$V$2,0)))*I119))</f>
        <v/>
      </c>
      <c r="L119" s="494" t="str">
        <f>IF(OR($E119="",$D119="",$I119="",$J119=""),"",INDEX('Emission factors'!$K$3:$V$201,MATCH('Buildings - Heat &amp; Fuels'!$E119,'Emission factors'!$J$3:$J$201,0),MATCH($L$6,'Emission factors'!$K$2:$V$2,0)))</f>
        <v/>
      </c>
      <c r="M119" s="495" t="str" cm="1">
        <f t="array" ref="M119">IF(OR(E119="",I119="",BuildingsHeatFuelsTable[[#This Row],[Units]]=""),"",INDEX('Emission factors'!$K$3:$V$201,MATCH('Buildings - Heat &amp; Fuels'!$E119&amp;F119,'Emission factors'!$J$3:$J$201&amp;'Emission factors'!$K$3:$K$201,0),MATCH('Buildings - Heat &amp; Fuels'!$M$6,'Emission factors'!$K$2:$V$2,0)))</f>
        <v/>
      </c>
      <c r="N119" s="496" t="str">
        <f>IF(OR(K119="",M119=""),"",SUM(BuildingsHeatFuelsTable[[#This Row],[Direct]:[Indirect WTT]]))</f>
        <v/>
      </c>
      <c r="O119" s="268"/>
      <c r="P119" s="497"/>
      <c r="Q119" s="157" t="str" cm="1">
        <f t="array" ref="Q119">IF(OR($E119="",$I119=""),"",(INDEX('Emission factors'!$K$3:$V$201,MATCH('Buildings - Heat &amp; Fuels'!$E119&amp;$F119,'Emission factors'!$J$3:$J$201&amp;'Emission factors'!$K$3:$K$201,0),MATCH('Buildings - Heat &amp; Fuels'!Q$6,'Emission factors'!$K$2:$V$2,0)))*$K119)</f>
        <v/>
      </c>
      <c r="R119" s="157" t="str" cm="1">
        <f t="array" ref="R119">IF(OR($E119="",$I119=""),"",(INDEX('Emission factors'!$K$3:$V$201,MATCH('Buildings - Heat &amp; Fuels'!$E119&amp;$F119,'Emission factors'!$J$3:$J$201&amp;'Emission factors'!$K$3:$K$201,0),MATCH('Buildings - Heat &amp; Fuels'!R$6,'Emission factors'!$K$2:$V$2,0)))*$K119)</f>
        <v/>
      </c>
      <c r="S119" s="157" t="str" cm="1">
        <f t="array" ref="S119">IF(OR($E119="",$I119=""),"",(INDEX('Emission factors'!$K$3:$V$201,MATCH('Buildings - Heat &amp; Fuels'!$E119&amp;$F119,'Emission factors'!$J$3:$J$201&amp;'Emission factors'!$K$3:$K$201,0),MATCH('Buildings - Heat &amp; Fuels'!S$6,'Emission factors'!$K$2:$V$2,0)))*$K119)</f>
        <v/>
      </c>
      <c r="T119" s="157" t="str" cm="1">
        <f t="array" ref="T119">IF(OR($E119="",$I119=""),"",(INDEX('Emission factors'!$K$3:$V$201,MATCH('Buildings - Heat &amp; Fuels'!$E119&amp;$F119,'Emission factors'!$J$3:$J$201&amp;'Emission factors'!$K$3:$K$201,0),MATCH('Buildings - Heat &amp; Fuels'!T$6,'Emission factors'!$K$2:$V$2,0)))*$K119)</f>
        <v/>
      </c>
      <c r="U119" s="157" t="str" cm="1">
        <f t="array" ref="U119">IF(OR($E119="",$I119=""),"",(INDEX('Emission factors'!$K$3:$V$201,MATCH('Buildings - Heat &amp; Fuels'!$E119&amp;$F119,'Emission factors'!$J$3:$J$201&amp;'Emission factors'!$K$3:$K$201,0),MATCH('Buildings - Heat &amp; Fuels'!U$6,'Emission factors'!$K$2:$V$2,0)))*$K119)</f>
        <v/>
      </c>
      <c r="V119" s="158" t="str">
        <f>IF(OR($N119="",BuildingsHeatFuelsTable[[#This Row],[RSD]]=""),"",BuildingsHeatFuelsTable[[#This Row],[Total emissions (kgCO2e)]]*(1+BuildingsHeatFuelsTable[[#This Row],[RSD]]))</f>
        <v/>
      </c>
      <c r="W119" s="159" t="str">
        <f>IF(OR($N119="",BuildingsHeatFuelsTable[[#This Row],[RSD]]=""),"",BuildingsHeatFuelsTable[[#This Row],[Total emissions (kgCO2e)]]*(1-BuildingsHeatFuelsTable[[#This Row],[RSD]]))</f>
        <v/>
      </c>
      <c r="X119" s="169" t="str" cm="1">
        <f t="array" ref="X119">IF(OR($E119="",$I119=""),"",(INDEX('Emission factors'!$K$3:$V$201,MATCH('Buildings - Heat &amp; Fuels'!$E119&amp;$F119,'Emission factors'!$J$3:$J$201&amp;'Emission factors'!$K$3:$K$201,0),MATCH('Buildings - Heat &amp; Fuels'!X$6,'Emission factors'!$K$2:$V$2,0)))*$K119)</f>
        <v/>
      </c>
      <c r="Y119" s="30"/>
      <c r="Z119" s="1" cm="1">
        <f t="array" ref="Z119">IF(OR(ISERROR(B119:X119)),1,0)</f>
        <v>0</v>
      </c>
      <c r="AA119" s="1">
        <f t="shared" si="0"/>
        <v>0</v>
      </c>
    </row>
    <row r="120" spans="1:27" ht="15" outlineLevel="1" thickBot="1" x14ac:dyDescent="0.4">
      <c r="A120" s="319"/>
      <c r="B120" s="216"/>
      <c r="C120" s="216"/>
      <c r="D120" s="489" t="str">
        <f>IFERROR(INDEX(BuildingInformationTable[Site type],MATCH(BuildingsHeatFuelsTable[[#This Row],[Site name]],BuildingInformationTable[Site name],0)),"")</f>
        <v/>
      </c>
      <c r="E120" s="491"/>
      <c r="F120" s="491"/>
      <c r="G120" s="491"/>
      <c r="H120" s="492" t="str">
        <f>IF(G120="","",INDEX(Lists!$BA$4:$BC$31,MATCH(E120,Lists!$AZ$4:$AZ$31,0),MATCH(G120,Lists!$BA$3:$BC$3,0)))</f>
        <v/>
      </c>
      <c r="I120" s="267"/>
      <c r="J120" s="491"/>
      <c r="K120" s="493" t="str" cm="1">
        <f t="array" ref="K120">IF(OR($E120="",$D120="",$I120="",$J120=""),"",IF(J120=L120,I120,(INDEX('Emission factors'!$K$3:$V$201,MATCH(E120&amp;F120,'Emission factors'!$J$3:$J$201&amp;'Emission factors'!$K$3:$K$201,0),MATCH(K$6,'Emission factors'!$K$2:$V$2,0)))*I120))</f>
        <v/>
      </c>
      <c r="L120" s="494" t="str">
        <f>IF(OR($E120="",$D120="",$I120="",$J120=""),"",INDEX('Emission factors'!$K$3:$V$201,MATCH('Buildings - Heat &amp; Fuels'!$E120,'Emission factors'!$J$3:$J$201,0),MATCH($L$6,'Emission factors'!$K$2:$V$2,0)))</f>
        <v/>
      </c>
      <c r="M120" s="495" t="str" cm="1">
        <f t="array" ref="M120">IF(OR(E120="",I120="",BuildingsHeatFuelsTable[[#This Row],[Units]]=""),"",INDEX('Emission factors'!$K$3:$V$201,MATCH('Buildings - Heat &amp; Fuels'!$E120&amp;F120,'Emission factors'!$J$3:$J$201&amp;'Emission factors'!$K$3:$K$201,0),MATCH('Buildings - Heat &amp; Fuels'!$M$6,'Emission factors'!$K$2:$V$2,0)))</f>
        <v/>
      </c>
      <c r="N120" s="496" t="str">
        <f>IF(OR(K120="",M120=""),"",SUM(BuildingsHeatFuelsTable[[#This Row],[Direct]:[Indirect WTT]]))</f>
        <v/>
      </c>
      <c r="O120" s="268"/>
      <c r="P120" s="497"/>
      <c r="Q120" s="157" t="str" cm="1">
        <f t="array" ref="Q120">IF(OR($E120="",$I120=""),"",(INDEX('Emission factors'!$K$3:$V$201,MATCH('Buildings - Heat &amp; Fuels'!$E120&amp;$F120,'Emission factors'!$J$3:$J$201&amp;'Emission factors'!$K$3:$K$201,0),MATCH('Buildings - Heat &amp; Fuels'!Q$6,'Emission factors'!$K$2:$V$2,0)))*$K120)</f>
        <v/>
      </c>
      <c r="R120" s="157" t="str" cm="1">
        <f t="array" ref="R120">IF(OR($E120="",$I120=""),"",(INDEX('Emission factors'!$K$3:$V$201,MATCH('Buildings - Heat &amp; Fuels'!$E120&amp;$F120,'Emission factors'!$J$3:$J$201&amp;'Emission factors'!$K$3:$K$201,0),MATCH('Buildings - Heat &amp; Fuels'!R$6,'Emission factors'!$K$2:$V$2,0)))*$K120)</f>
        <v/>
      </c>
      <c r="S120" s="157" t="str" cm="1">
        <f t="array" ref="S120">IF(OR($E120="",$I120=""),"",(INDEX('Emission factors'!$K$3:$V$201,MATCH('Buildings - Heat &amp; Fuels'!$E120&amp;$F120,'Emission factors'!$J$3:$J$201&amp;'Emission factors'!$K$3:$K$201,0),MATCH('Buildings - Heat &amp; Fuels'!S$6,'Emission factors'!$K$2:$V$2,0)))*$K120)</f>
        <v/>
      </c>
      <c r="T120" s="157" t="str" cm="1">
        <f t="array" ref="T120">IF(OR($E120="",$I120=""),"",(INDEX('Emission factors'!$K$3:$V$201,MATCH('Buildings - Heat &amp; Fuels'!$E120&amp;$F120,'Emission factors'!$J$3:$J$201&amp;'Emission factors'!$K$3:$K$201,0),MATCH('Buildings - Heat &amp; Fuels'!T$6,'Emission factors'!$K$2:$V$2,0)))*$K120)</f>
        <v/>
      </c>
      <c r="U120" s="157" t="str" cm="1">
        <f t="array" ref="U120">IF(OR($E120="",$I120=""),"",(INDEX('Emission factors'!$K$3:$V$201,MATCH('Buildings - Heat &amp; Fuels'!$E120&amp;$F120,'Emission factors'!$J$3:$J$201&amp;'Emission factors'!$K$3:$K$201,0),MATCH('Buildings - Heat &amp; Fuels'!U$6,'Emission factors'!$K$2:$V$2,0)))*$K120)</f>
        <v/>
      </c>
      <c r="V120" s="158" t="str">
        <f>IF(OR($N120="",BuildingsHeatFuelsTable[[#This Row],[RSD]]=""),"",BuildingsHeatFuelsTable[[#This Row],[Total emissions (kgCO2e)]]*(1+BuildingsHeatFuelsTable[[#This Row],[RSD]]))</f>
        <v/>
      </c>
      <c r="W120" s="159" t="str">
        <f>IF(OR($N120="",BuildingsHeatFuelsTable[[#This Row],[RSD]]=""),"",BuildingsHeatFuelsTable[[#This Row],[Total emissions (kgCO2e)]]*(1-BuildingsHeatFuelsTable[[#This Row],[RSD]]))</f>
        <v/>
      </c>
      <c r="X120" s="169" t="str" cm="1">
        <f t="array" ref="X120">IF(OR($E120="",$I120=""),"",(INDEX('Emission factors'!$K$3:$V$201,MATCH('Buildings - Heat &amp; Fuels'!$E120&amp;$F120,'Emission factors'!$J$3:$J$201&amp;'Emission factors'!$K$3:$K$201,0),MATCH('Buildings - Heat &amp; Fuels'!X$6,'Emission factors'!$K$2:$V$2,0)))*$K120)</f>
        <v/>
      </c>
      <c r="Y120" s="30"/>
      <c r="Z120" s="1" cm="1">
        <f t="array" ref="Z120">IF(OR(ISERROR(B120:X120)),1,0)</f>
        <v>0</v>
      </c>
      <c r="AA120" s="1">
        <f t="shared" si="0"/>
        <v>0</v>
      </c>
    </row>
    <row r="121" spans="1:27" ht="15" outlineLevel="1" thickBot="1" x14ac:dyDescent="0.4">
      <c r="A121" s="319"/>
      <c r="B121" s="216"/>
      <c r="C121" s="216"/>
      <c r="D121" s="489" t="str">
        <f>IFERROR(INDEX(BuildingInformationTable[Site type],MATCH(BuildingsHeatFuelsTable[[#This Row],[Site name]],BuildingInformationTable[Site name],0)),"")</f>
        <v/>
      </c>
      <c r="E121" s="491"/>
      <c r="F121" s="491"/>
      <c r="G121" s="491"/>
      <c r="H121" s="492" t="str">
        <f>IF(G121="","",INDEX(Lists!$BA$4:$BC$31,MATCH(E121,Lists!$AZ$4:$AZ$31,0),MATCH(G121,Lists!$BA$3:$BC$3,0)))</f>
        <v/>
      </c>
      <c r="I121" s="267"/>
      <c r="J121" s="491"/>
      <c r="K121" s="493" t="str" cm="1">
        <f t="array" ref="K121">IF(OR($E121="",$D121="",$I121="",$J121=""),"",IF(J121=L121,I121,(INDEX('Emission factors'!$K$3:$V$201,MATCH(E121&amp;F121,'Emission factors'!$J$3:$J$201&amp;'Emission factors'!$K$3:$K$201,0),MATCH(K$6,'Emission factors'!$K$2:$V$2,0)))*I121))</f>
        <v/>
      </c>
      <c r="L121" s="494" t="str">
        <f>IF(OR($E121="",$D121="",$I121="",$J121=""),"",INDEX('Emission factors'!$K$3:$V$201,MATCH('Buildings - Heat &amp; Fuels'!$E121,'Emission factors'!$J$3:$J$201,0),MATCH($L$6,'Emission factors'!$K$2:$V$2,0)))</f>
        <v/>
      </c>
      <c r="M121" s="495" t="str" cm="1">
        <f t="array" ref="M121">IF(OR(E121="",I121="",BuildingsHeatFuelsTable[[#This Row],[Units]]=""),"",INDEX('Emission factors'!$K$3:$V$201,MATCH('Buildings - Heat &amp; Fuels'!$E121&amp;F121,'Emission factors'!$J$3:$J$201&amp;'Emission factors'!$K$3:$K$201,0),MATCH('Buildings - Heat &amp; Fuels'!$M$6,'Emission factors'!$K$2:$V$2,0)))</f>
        <v/>
      </c>
      <c r="N121" s="496" t="str">
        <f>IF(OR(K121="",M121=""),"",SUM(BuildingsHeatFuelsTable[[#This Row],[Direct]:[Indirect WTT]]))</f>
        <v/>
      </c>
      <c r="O121" s="268"/>
      <c r="P121" s="497"/>
      <c r="Q121" s="157" t="str" cm="1">
        <f t="array" ref="Q121">IF(OR($E121="",$I121=""),"",(INDEX('Emission factors'!$K$3:$V$201,MATCH('Buildings - Heat &amp; Fuels'!$E121&amp;$F121,'Emission factors'!$J$3:$J$201&amp;'Emission factors'!$K$3:$K$201,0),MATCH('Buildings - Heat &amp; Fuels'!Q$6,'Emission factors'!$K$2:$V$2,0)))*$K121)</f>
        <v/>
      </c>
      <c r="R121" s="157" t="str" cm="1">
        <f t="array" ref="R121">IF(OR($E121="",$I121=""),"",(INDEX('Emission factors'!$K$3:$V$201,MATCH('Buildings - Heat &amp; Fuels'!$E121&amp;$F121,'Emission factors'!$J$3:$J$201&amp;'Emission factors'!$K$3:$K$201,0),MATCH('Buildings - Heat &amp; Fuels'!R$6,'Emission factors'!$K$2:$V$2,0)))*$K121)</f>
        <v/>
      </c>
      <c r="S121" s="157" t="str" cm="1">
        <f t="array" ref="S121">IF(OR($E121="",$I121=""),"",(INDEX('Emission factors'!$K$3:$V$201,MATCH('Buildings - Heat &amp; Fuels'!$E121&amp;$F121,'Emission factors'!$J$3:$J$201&amp;'Emission factors'!$K$3:$K$201,0),MATCH('Buildings - Heat &amp; Fuels'!S$6,'Emission factors'!$K$2:$V$2,0)))*$K121)</f>
        <v/>
      </c>
      <c r="T121" s="157" t="str" cm="1">
        <f t="array" ref="T121">IF(OR($E121="",$I121=""),"",(INDEX('Emission factors'!$K$3:$V$201,MATCH('Buildings - Heat &amp; Fuels'!$E121&amp;$F121,'Emission factors'!$J$3:$J$201&amp;'Emission factors'!$K$3:$K$201,0),MATCH('Buildings - Heat &amp; Fuels'!T$6,'Emission factors'!$K$2:$V$2,0)))*$K121)</f>
        <v/>
      </c>
      <c r="U121" s="157" t="str" cm="1">
        <f t="array" ref="U121">IF(OR($E121="",$I121=""),"",(INDEX('Emission factors'!$K$3:$V$201,MATCH('Buildings - Heat &amp; Fuels'!$E121&amp;$F121,'Emission factors'!$J$3:$J$201&amp;'Emission factors'!$K$3:$K$201,0),MATCH('Buildings - Heat &amp; Fuels'!U$6,'Emission factors'!$K$2:$V$2,0)))*$K121)</f>
        <v/>
      </c>
      <c r="V121" s="158" t="str">
        <f>IF(OR($N121="",BuildingsHeatFuelsTable[[#This Row],[RSD]]=""),"",BuildingsHeatFuelsTable[[#This Row],[Total emissions (kgCO2e)]]*(1+BuildingsHeatFuelsTable[[#This Row],[RSD]]))</f>
        <v/>
      </c>
      <c r="W121" s="159" t="str">
        <f>IF(OR($N121="",BuildingsHeatFuelsTable[[#This Row],[RSD]]=""),"",BuildingsHeatFuelsTable[[#This Row],[Total emissions (kgCO2e)]]*(1-BuildingsHeatFuelsTable[[#This Row],[RSD]]))</f>
        <v/>
      </c>
      <c r="X121" s="169" t="str" cm="1">
        <f t="array" ref="X121">IF(OR($E121="",$I121=""),"",(INDEX('Emission factors'!$K$3:$V$201,MATCH('Buildings - Heat &amp; Fuels'!$E121&amp;$F121,'Emission factors'!$J$3:$J$201&amp;'Emission factors'!$K$3:$K$201,0),MATCH('Buildings - Heat &amp; Fuels'!X$6,'Emission factors'!$K$2:$V$2,0)))*$K121)</f>
        <v/>
      </c>
      <c r="Y121" s="30"/>
      <c r="Z121" s="1" cm="1">
        <f t="array" ref="Z121">IF(OR(ISERROR(B121:X121)),1,0)</f>
        <v>0</v>
      </c>
      <c r="AA121" s="1">
        <f t="shared" si="0"/>
        <v>0</v>
      </c>
    </row>
    <row r="122" spans="1:27" ht="15" outlineLevel="1" thickBot="1" x14ac:dyDescent="0.4">
      <c r="A122" s="319"/>
      <c r="B122" s="216"/>
      <c r="C122" s="216"/>
      <c r="D122" s="489" t="str">
        <f>IFERROR(INDEX(BuildingInformationTable[Site type],MATCH(BuildingsHeatFuelsTable[[#This Row],[Site name]],BuildingInformationTable[Site name],0)),"")</f>
        <v/>
      </c>
      <c r="E122" s="491"/>
      <c r="F122" s="491"/>
      <c r="G122" s="491"/>
      <c r="H122" s="492" t="str">
        <f>IF(G122="","",INDEX(Lists!$BA$4:$BC$31,MATCH(E122,Lists!$AZ$4:$AZ$31,0),MATCH(G122,Lists!$BA$3:$BC$3,0)))</f>
        <v/>
      </c>
      <c r="I122" s="267"/>
      <c r="J122" s="491"/>
      <c r="K122" s="493" t="str" cm="1">
        <f t="array" ref="K122">IF(OR($E122="",$D122="",$I122="",$J122=""),"",IF(J122=L122,I122,(INDEX('Emission factors'!$K$3:$V$201,MATCH(E122&amp;F122,'Emission factors'!$J$3:$J$201&amp;'Emission factors'!$K$3:$K$201,0),MATCH(K$6,'Emission factors'!$K$2:$V$2,0)))*I122))</f>
        <v/>
      </c>
      <c r="L122" s="494" t="str">
        <f>IF(OR($E122="",$D122="",$I122="",$J122=""),"",INDEX('Emission factors'!$K$3:$V$201,MATCH('Buildings - Heat &amp; Fuels'!$E122,'Emission factors'!$J$3:$J$201,0),MATCH($L$6,'Emission factors'!$K$2:$V$2,0)))</f>
        <v/>
      </c>
      <c r="M122" s="495" t="str" cm="1">
        <f t="array" ref="M122">IF(OR(E122="",I122="",BuildingsHeatFuelsTable[[#This Row],[Units]]=""),"",INDEX('Emission factors'!$K$3:$V$201,MATCH('Buildings - Heat &amp; Fuels'!$E122&amp;F122,'Emission factors'!$J$3:$J$201&amp;'Emission factors'!$K$3:$K$201,0),MATCH('Buildings - Heat &amp; Fuels'!$M$6,'Emission factors'!$K$2:$V$2,0)))</f>
        <v/>
      </c>
      <c r="N122" s="496" t="str">
        <f>IF(OR(K122="",M122=""),"",SUM(BuildingsHeatFuelsTable[[#This Row],[Direct]:[Indirect WTT]]))</f>
        <v/>
      </c>
      <c r="O122" s="268"/>
      <c r="P122" s="497"/>
      <c r="Q122" s="157" t="str" cm="1">
        <f t="array" ref="Q122">IF(OR($E122="",$I122=""),"",(INDEX('Emission factors'!$K$3:$V$201,MATCH('Buildings - Heat &amp; Fuels'!$E122&amp;$F122,'Emission factors'!$J$3:$J$201&amp;'Emission factors'!$K$3:$K$201,0),MATCH('Buildings - Heat &amp; Fuels'!Q$6,'Emission factors'!$K$2:$V$2,0)))*$K122)</f>
        <v/>
      </c>
      <c r="R122" s="157" t="str" cm="1">
        <f t="array" ref="R122">IF(OR($E122="",$I122=""),"",(INDEX('Emission factors'!$K$3:$V$201,MATCH('Buildings - Heat &amp; Fuels'!$E122&amp;$F122,'Emission factors'!$J$3:$J$201&amp;'Emission factors'!$K$3:$K$201,0),MATCH('Buildings - Heat &amp; Fuels'!R$6,'Emission factors'!$K$2:$V$2,0)))*$K122)</f>
        <v/>
      </c>
      <c r="S122" s="157" t="str" cm="1">
        <f t="array" ref="S122">IF(OR($E122="",$I122=""),"",(INDEX('Emission factors'!$K$3:$V$201,MATCH('Buildings - Heat &amp; Fuels'!$E122&amp;$F122,'Emission factors'!$J$3:$J$201&amp;'Emission factors'!$K$3:$K$201,0),MATCH('Buildings - Heat &amp; Fuels'!S$6,'Emission factors'!$K$2:$V$2,0)))*$K122)</f>
        <v/>
      </c>
      <c r="T122" s="157" t="str" cm="1">
        <f t="array" ref="T122">IF(OR($E122="",$I122=""),"",(INDEX('Emission factors'!$K$3:$V$201,MATCH('Buildings - Heat &amp; Fuels'!$E122&amp;$F122,'Emission factors'!$J$3:$J$201&amp;'Emission factors'!$K$3:$K$201,0),MATCH('Buildings - Heat &amp; Fuels'!T$6,'Emission factors'!$K$2:$V$2,0)))*$K122)</f>
        <v/>
      </c>
      <c r="U122" s="157" t="str" cm="1">
        <f t="array" ref="U122">IF(OR($E122="",$I122=""),"",(INDEX('Emission factors'!$K$3:$V$201,MATCH('Buildings - Heat &amp; Fuels'!$E122&amp;$F122,'Emission factors'!$J$3:$J$201&amp;'Emission factors'!$K$3:$K$201,0),MATCH('Buildings - Heat &amp; Fuels'!U$6,'Emission factors'!$K$2:$V$2,0)))*$K122)</f>
        <v/>
      </c>
      <c r="V122" s="158" t="str">
        <f>IF(OR($N122="",BuildingsHeatFuelsTable[[#This Row],[RSD]]=""),"",BuildingsHeatFuelsTable[[#This Row],[Total emissions (kgCO2e)]]*(1+BuildingsHeatFuelsTable[[#This Row],[RSD]]))</f>
        <v/>
      </c>
      <c r="W122" s="159" t="str">
        <f>IF(OR($N122="",BuildingsHeatFuelsTable[[#This Row],[RSD]]=""),"",BuildingsHeatFuelsTable[[#This Row],[Total emissions (kgCO2e)]]*(1-BuildingsHeatFuelsTable[[#This Row],[RSD]]))</f>
        <v/>
      </c>
      <c r="X122" s="169" t="str" cm="1">
        <f t="array" ref="X122">IF(OR($E122="",$I122=""),"",(INDEX('Emission factors'!$K$3:$V$201,MATCH('Buildings - Heat &amp; Fuels'!$E122&amp;$F122,'Emission factors'!$J$3:$J$201&amp;'Emission factors'!$K$3:$K$201,0),MATCH('Buildings - Heat &amp; Fuels'!X$6,'Emission factors'!$K$2:$V$2,0)))*$K122)</f>
        <v/>
      </c>
      <c r="Y122" s="30"/>
      <c r="Z122" s="1" cm="1">
        <f t="array" ref="Z122">IF(OR(ISERROR(B122:X122)),1,0)</f>
        <v>0</v>
      </c>
      <c r="AA122" s="1">
        <f t="shared" si="0"/>
        <v>0</v>
      </c>
    </row>
    <row r="123" spans="1:27" ht="15" outlineLevel="1" thickBot="1" x14ac:dyDescent="0.4">
      <c r="A123" s="319"/>
      <c r="B123" s="216"/>
      <c r="C123" s="216"/>
      <c r="D123" s="489" t="str">
        <f>IFERROR(INDEX(BuildingInformationTable[Site type],MATCH(BuildingsHeatFuelsTable[[#This Row],[Site name]],BuildingInformationTable[Site name],0)),"")</f>
        <v/>
      </c>
      <c r="E123" s="491"/>
      <c r="F123" s="491"/>
      <c r="G123" s="491"/>
      <c r="H123" s="492" t="str">
        <f>IF(G123="","",INDEX(Lists!$BA$4:$BC$31,MATCH(E123,Lists!$AZ$4:$AZ$31,0),MATCH(G123,Lists!$BA$3:$BC$3,0)))</f>
        <v/>
      </c>
      <c r="I123" s="267"/>
      <c r="J123" s="491"/>
      <c r="K123" s="493" t="str" cm="1">
        <f t="array" ref="K123">IF(OR($E123="",$D123="",$I123="",$J123=""),"",IF(J123=L123,I123,(INDEX('Emission factors'!$K$3:$V$201,MATCH(E123&amp;F123,'Emission factors'!$J$3:$J$201&amp;'Emission factors'!$K$3:$K$201,0),MATCH(K$6,'Emission factors'!$K$2:$V$2,0)))*I123))</f>
        <v/>
      </c>
      <c r="L123" s="494" t="str">
        <f>IF(OR($E123="",$D123="",$I123="",$J123=""),"",INDEX('Emission factors'!$K$3:$V$201,MATCH('Buildings - Heat &amp; Fuels'!$E123,'Emission factors'!$J$3:$J$201,0),MATCH($L$6,'Emission factors'!$K$2:$V$2,0)))</f>
        <v/>
      </c>
      <c r="M123" s="495" t="str" cm="1">
        <f t="array" ref="M123">IF(OR(E123="",I123="",BuildingsHeatFuelsTable[[#This Row],[Units]]=""),"",INDEX('Emission factors'!$K$3:$V$201,MATCH('Buildings - Heat &amp; Fuels'!$E123&amp;F123,'Emission factors'!$J$3:$J$201&amp;'Emission factors'!$K$3:$K$201,0),MATCH('Buildings - Heat &amp; Fuels'!$M$6,'Emission factors'!$K$2:$V$2,0)))</f>
        <v/>
      </c>
      <c r="N123" s="496" t="str">
        <f>IF(OR(K123="",M123=""),"",SUM(BuildingsHeatFuelsTable[[#This Row],[Direct]:[Indirect WTT]]))</f>
        <v/>
      </c>
      <c r="O123" s="268"/>
      <c r="P123" s="497"/>
      <c r="Q123" s="157" t="str" cm="1">
        <f t="array" ref="Q123">IF(OR($E123="",$I123=""),"",(INDEX('Emission factors'!$K$3:$V$201,MATCH('Buildings - Heat &amp; Fuels'!$E123&amp;$F123,'Emission factors'!$J$3:$J$201&amp;'Emission factors'!$K$3:$K$201,0),MATCH('Buildings - Heat &amp; Fuels'!Q$6,'Emission factors'!$K$2:$V$2,0)))*$K123)</f>
        <v/>
      </c>
      <c r="R123" s="157" t="str" cm="1">
        <f t="array" ref="R123">IF(OR($E123="",$I123=""),"",(INDEX('Emission factors'!$K$3:$V$201,MATCH('Buildings - Heat &amp; Fuels'!$E123&amp;$F123,'Emission factors'!$J$3:$J$201&amp;'Emission factors'!$K$3:$K$201,0),MATCH('Buildings - Heat &amp; Fuels'!R$6,'Emission factors'!$K$2:$V$2,0)))*$K123)</f>
        <v/>
      </c>
      <c r="S123" s="157" t="str" cm="1">
        <f t="array" ref="S123">IF(OR($E123="",$I123=""),"",(INDEX('Emission factors'!$K$3:$V$201,MATCH('Buildings - Heat &amp; Fuels'!$E123&amp;$F123,'Emission factors'!$J$3:$J$201&amp;'Emission factors'!$K$3:$K$201,0),MATCH('Buildings - Heat &amp; Fuels'!S$6,'Emission factors'!$K$2:$V$2,0)))*$K123)</f>
        <v/>
      </c>
      <c r="T123" s="157" t="str" cm="1">
        <f t="array" ref="T123">IF(OR($E123="",$I123=""),"",(INDEX('Emission factors'!$K$3:$V$201,MATCH('Buildings - Heat &amp; Fuels'!$E123&amp;$F123,'Emission factors'!$J$3:$J$201&amp;'Emission factors'!$K$3:$K$201,0),MATCH('Buildings - Heat &amp; Fuels'!T$6,'Emission factors'!$K$2:$V$2,0)))*$K123)</f>
        <v/>
      </c>
      <c r="U123" s="157" t="str" cm="1">
        <f t="array" ref="U123">IF(OR($E123="",$I123=""),"",(INDEX('Emission factors'!$K$3:$V$201,MATCH('Buildings - Heat &amp; Fuels'!$E123&amp;$F123,'Emission factors'!$J$3:$J$201&amp;'Emission factors'!$K$3:$K$201,0),MATCH('Buildings - Heat &amp; Fuels'!U$6,'Emission factors'!$K$2:$V$2,0)))*$K123)</f>
        <v/>
      </c>
      <c r="V123" s="158" t="str">
        <f>IF(OR($N123="",BuildingsHeatFuelsTable[[#This Row],[RSD]]=""),"",BuildingsHeatFuelsTable[[#This Row],[Total emissions (kgCO2e)]]*(1+BuildingsHeatFuelsTable[[#This Row],[RSD]]))</f>
        <v/>
      </c>
      <c r="W123" s="159" t="str">
        <f>IF(OR($N123="",BuildingsHeatFuelsTable[[#This Row],[RSD]]=""),"",BuildingsHeatFuelsTable[[#This Row],[Total emissions (kgCO2e)]]*(1-BuildingsHeatFuelsTable[[#This Row],[RSD]]))</f>
        <v/>
      </c>
      <c r="X123" s="169" t="str" cm="1">
        <f t="array" ref="X123">IF(OR($E123="",$I123=""),"",(INDEX('Emission factors'!$K$3:$V$201,MATCH('Buildings - Heat &amp; Fuels'!$E123&amp;$F123,'Emission factors'!$J$3:$J$201&amp;'Emission factors'!$K$3:$K$201,0),MATCH('Buildings - Heat &amp; Fuels'!X$6,'Emission factors'!$K$2:$V$2,0)))*$K123)</f>
        <v/>
      </c>
      <c r="Y123" s="30"/>
      <c r="Z123" s="1" cm="1">
        <f t="array" ref="Z123">IF(OR(ISERROR(B123:X123)),1,0)</f>
        <v>0</v>
      </c>
      <c r="AA123" s="1">
        <f t="shared" si="0"/>
        <v>0</v>
      </c>
    </row>
    <row r="124" spans="1:27" ht="15" outlineLevel="1" thickBot="1" x14ac:dyDescent="0.4">
      <c r="A124" s="319"/>
      <c r="B124" s="216"/>
      <c r="C124" s="216"/>
      <c r="D124" s="489" t="str">
        <f>IFERROR(INDEX(BuildingInformationTable[Site type],MATCH(BuildingsHeatFuelsTable[[#This Row],[Site name]],BuildingInformationTable[Site name],0)),"")</f>
        <v/>
      </c>
      <c r="E124" s="491"/>
      <c r="F124" s="491"/>
      <c r="G124" s="491"/>
      <c r="H124" s="492" t="str">
        <f>IF(G124="","",INDEX(Lists!$BA$4:$BC$31,MATCH(E124,Lists!$AZ$4:$AZ$31,0),MATCH(G124,Lists!$BA$3:$BC$3,0)))</f>
        <v/>
      </c>
      <c r="I124" s="267"/>
      <c r="J124" s="491"/>
      <c r="K124" s="493" t="str" cm="1">
        <f t="array" ref="K124">IF(OR($E124="",$D124="",$I124="",$J124=""),"",IF(J124=L124,I124,(INDEX('Emission factors'!$K$3:$V$201,MATCH(E124&amp;F124,'Emission factors'!$J$3:$J$201&amp;'Emission factors'!$K$3:$K$201,0),MATCH(K$6,'Emission factors'!$K$2:$V$2,0)))*I124))</f>
        <v/>
      </c>
      <c r="L124" s="494" t="str">
        <f>IF(OR($E124="",$D124="",$I124="",$J124=""),"",INDEX('Emission factors'!$K$3:$V$201,MATCH('Buildings - Heat &amp; Fuels'!$E124,'Emission factors'!$J$3:$J$201,0),MATCH($L$6,'Emission factors'!$K$2:$V$2,0)))</f>
        <v/>
      </c>
      <c r="M124" s="495" t="str" cm="1">
        <f t="array" ref="M124">IF(OR(E124="",I124="",BuildingsHeatFuelsTable[[#This Row],[Units]]=""),"",INDEX('Emission factors'!$K$3:$V$201,MATCH('Buildings - Heat &amp; Fuels'!$E124&amp;F124,'Emission factors'!$J$3:$J$201&amp;'Emission factors'!$K$3:$K$201,0),MATCH('Buildings - Heat &amp; Fuels'!$M$6,'Emission factors'!$K$2:$V$2,0)))</f>
        <v/>
      </c>
      <c r="N124" s="496" t="str">
        <f>IF(OR(K124="",M124=""),"",SUM(BuildingsHeatFuelsTable[[#This Row],[Direct]:[Indirect WTT]]))</f>
        <v/>
      </c>
      <c r="O124" s="268"/>
      <c r="P124" s="497"/>
      <c r="Q124" s="157" t="str" cm="1">
        <f t="array" ref="Q124">IF(OR($E124="",$I124=""),"",(INDEX('Emission factors'!$K$3:$V$201,MATCH('Buildings - Heat &amp; Fuels'!$E124&amp;$F124,'Emission factors'!$J$3:$J$201&amp;'Emission factors'!$K$3:$K$201,0),MATCH('Buildings - Heat &amp; Fuels'!Q$6,'Emission factors'!$K$2:$V$2,0)))*$K124)</f>
        <v/>
      </c>
      <c r="R124" s="157" t="str" cm="1">
        <f t="array" ref="R124">IF(OR($E124="",$I124=""),"",(INDEX('Emission factors'!$K$3:$V$201,MATCH('Buildings - Heat &amp; Fuels'!$E124&amp;$F124,'Emission factors'!$J$3:$J$201&amp;'Emission factors'!$K$3:$K$201,0),MATCH('Buildings - Heat &amp; Fuels'!R$6,'Emission factors'!$K$2:$V$2,0)))*$K124)</f>
        <v/>
      </c>
      <c r="S124" s="157" t="str" cm="1">
        <f t="array" ref="S124">IF(OR($E124="",$I124=""),"",(INDEX('Emission factors'!$K$3:$V$201,MATCH('Buildings - Heat &amp; Fuels'!$E124&amp;$F124,'Emission factors'!$J$3:$J$201&amp;'Emission factors'!$K$3:$K$201,0),MATCH('Buildings - Heat &amp; Fuels'!S$6,'Emission factors'!$K$2:$V$2,0)))*$K124)</f>
        <v/>
      </c>
      <c r="T124" s="157" t="str" cm="1">
        <f t="array" ref="T124">IF(OR($E124="",$I124=""),"",(INDEX('Emission factors'!$K$3:$V$201,MATCH('Buildings - Heat &amp; Fuels'!$E124&amp;$F124,'Emission factors'!$J$3:$J$201&amp;'Emission factors'!$K$3:$K$201,0),MATCH('Buildings - Heat &amp; Fuels'!T$6,'Emission factors'!$K$2:$V$2,0)))*$K124)</f>
        <v/>
      </c>
      <c r="U124" s="157" t="str" cm="1">
        <f t="array" ref="U124">IF(OR($E124="",$I124=""),"",(INDEX('Emission factors'!$K$3:$V$201,MATCH('Buildings - Heat &amp; Fuels'!$E124&amp;$F124,'Emission factors'!$J$3:$J$201&amp;'Emission factors'!$K$3:$K$201,0),MATCH('Buildings - Heat &amp; Fuels'!U$6,'Emission factors'!$K$2:$V$2,0)))*$K124)</f>
        <v/>
      </c>
      <c r="V124" s="158" t="str">
        <f>IF(OR($N124="",BuildingsHeatFuelsTable[[#This Row],[RSD]]=""),"",BuildingsHeatFuelsTable[[#This Row],[Total emissions (kgCO2e)]]*(1+BuildingsHeatFuelsTable[[#This Row],[RSD]]))</f>
        <v/>
      </c>
      <c r="W124" s="159" t="str">
        <f>IF(OR($N124="",BuildingsHeatFuelsTable[[#This Row],[RSD]]=""),"",BuildingsHeatFuelsTable[[#This Row],[Total emissions (kgCO2e)]]*(1-BuildingsHeatFuelsTable[[#This Row],[RSD]]))</f>
        <v/>
      </c>
      <c r="X124" s="169" t="str" cm="1">
        <f t="array" ref="X124">IF(OR($E124="",$I124=""),"",(INDEX('Emission factors'!$K$3:$V$201,MATCH('Buildings - Heat &amp; Fuels'!$E124&amp;$F124,'Emission factors'!$J$3:$J$201&amp;'Emission factors'!$K$3:$K$201,0),MATCH('Buildings - Heat &amp; Fuels'!X$6,'Emission factors'!$K$2:$V$2,0)))*$K124)</f>
        <v/>
      </c>
      <c r="Y124" s="30"/>
      <c r="Z124" s="1" cm="1">
        <f t="array" ref="Z124">IF(OR(ISERROR(B124:X124)),1,0)</f>
        <v>0</v>
      </c>
      <c r="AA124" s="1">
        <f t="shared" si="0"/>
        <v>0</v>
      </c>
    </row>
    <row r="125" spans="1:27" ht="15" outlineLevel="1" thickBot="1" x14ac:dyDescent="0.4">
      <c r="A125" s="319"/>
      <c r="B125" s="216"/>
      <c r="C125" s="216"/>
      <c r="D125" s="489" t="str">
        <f>IFERROR(INDEX(BuildingInformationTable[Site type],MATCH(BuildingsHeatFuelsTable[[#This Row],[Site name]],BuildingInformationTable[Site name],0)),"")</f>
        <v/>
      </c>
      <c r="E125" s="491"/>
      <c r="F125" s="491"/>
      <c r="G125" s="491"/>
      <c r="H125" s="492" t="str">
        <f>IF(G125="","",INDEX(Lists!$BA$4:$BC$31,MATCH(E125,Lists!$AZ$4:$AZ$31,0),MATCH(G125,Lists!$BA$3:$BC$3,0)))</f>
        <v/>
      </c>
      <c r="I125" s="267"/>
      <c r="J125" s="491"/>
      <c r="K125" s="493" t="str" cm="1">
        <f t="array" ref="K125">IF(OR($E125="",$D125="",$I125="",$J125=""),"",IF(J125=L125,I125,(INDEX('Emission factors'!$K$3:$V$201,MATCH(E125&amp;F125,'Emission factors'!$J$3:$J$201&amp;'Emission factors'!$K$3:$K$201,0),MATCH(K$6,'Emission factors'!$K$2:$V$2,0)))*I125))</f>
        <v/>
      </c>
      <c r="L125" s="494" t="str">
        <f>IF(OR($E125="",$D125="",$I125="",$J125=""),"",INDEX('Emission factors'!$K$3:$V$201,MATCH('Buildings - Heat &amp; Fuels'!$E125,'Emission factors'!$J$3:$J$201,0),MATCH($L$6,'Emission factors'!$K$2:$V$2,0)))</f>
        <v/>
      </c>
      <c r="M125" s="495" t="str" cm="1">
        <f t="array" ref="M125">IF(OR(E125="",I125="",BuildingsHeatFuelsTable[[#This Row],[Units]]=""),"",INDEX('Emission factors'!$K$3:$V$201,MATCH('Buildings - Heat &amp; Fuels'!$E125&amp;F125,'Emission factors'!$J$3:$J$201&amp;'Emission factors'!$K$3:$K$201,0),MATCH('Buildings - Heat &amp; Fuels'!$M$6,'Emission factors'!$K$2:$V$2,0)))</f>
        <v/>
      </c>
      <c r="N125" s="496" t="str">
        <f>IF(OR(K125="",M125=""),"",SUM(BuildingsHeatFuelsTable[[#This Row],[Direct]:[Indirect WTT]]))</f>
        <v/>
      </c>
      <c r="O125" s="268"/>
      <c r="P125" s="497"/>
      <c r="Q125" s="157" t="str" cm="1">
        <f t="array" ref="Q125">IF(OR($E125="",$I125=""),"",(INDEX('Emission factors'!$K$3:$V$201,MATCH('Buildings - Heat &amp; Fuels'!$E125&amp;$F125,'Emission factors'!$J$3:$J$201&amp;'Emission factors'!$K$3:$K$201,0),MATCH('Buildings - Heat &amp; Fuels'!Q$6,'Emission factors'!$K$2:$V$2,0)))*$K125)</f>
        <v/>
      </c>
      <c r="R125" s="157" t="str" cm="1">
        <f t="array" ref="R125">IF(OR($E125="",$I125=""),"",(INDEX('Emission factors'!$K$3:$V$201,MATCH('Buildings - Heat &amp; Fuels'!$E125&amp;$F125,'Emission factors'!$J$3:$J$201&amp;'Emission factors'!$K$3:$K$201,0),MATCH('Buildings - Heat &amp; Fuels'!R$6,'Emission factors'!$K$2:$V$2,0)))*$K125)</f>
        <v/>
      </c>
      <c r="S125" s="157" t="str" cm="1">
        <f t="array" ref="S125">IF(OR($E125="",$I125=""),"",(INDEX('Emission factors'!$K$3:$V$201,MATCH('Buildings - Heat &amp; Fuels'!$E125&amp;$F125,'Emission factors'!$J$3:$J$201&amp;'Emission factors'!$K$3:$K$201,0),MATCH('Buildings - Heat &amp; Fuels'!S$6,'Emission factors'!$K$2:$V$2,0)))*$K125)</f>
        <v/>
      </c>
      <c r="T125" s="157" t="str" cm="1">
        <f t="array" ref="T125">IF(OR($E125="",$I125=""),"",(INDEX('Emission factors'!$K$3:$V$201,MATCH('Buildings - Heat &amp; Fuels'!$E125&amp;$F125,'Emission factors'!$J$3:$J$201&amp;'Emission factors'!$K$3:$K$201,0),MATCH('Buildings - Heat &amp; Fuels'!T$6,'Emission factors'!$K$2:$V$2,0)))*$K125)</f>
        <v/>
      </c>
      <c r="U125" s="157" t="str" cm="1">
        <f t="array" ref="U125">IF(OR($E125="",$I125=""),"",(INDEX('Emission factors'!$K$3:$V$201,MATCH('Buildings - Heat &amp; Fuels'!$E125&amp;$F125,'Emission factors'!$J$3:$J$201&amp;'Emission factors'!$K$3:$K$201,0),MATCH('Buildings - Heat &amp; Fuels'!U$6,'Emission factors'!$K$2:$V$2,0)))*$K125)</f>
        <v/>
      </c>
      <c r="V125" s="158" t="str">
        <f>IF(OR($N125="",BuildingsHeatFuelsTable[[#This Row],[RSD]]=""),"",BuildingsHeatFuelsTable[[#This Row],[Total emissions (kgCO2e)]]*(1+BuildingsHeatFuelsTable[[#This Row],[RSD]]))</f>
        <v/>
      </c>
      <c r="W125" s="159" t="str">
        <f>IF(OR($N125="",BuildingsHeatFuelsTable[[#This Row],[RSD]]=""),"",BuildingsHeatFuelsTable[[#This Row],[Total emissions (kgCO2e)]]*(1-BuildingsHeatFuelsTable[[#This Row],[RSD]]))</f>
        <v/>
      </c>
      <c r="X125" s="169" t="str" cm="1">
        <f t="array" ref="X125">IF(OR($E125="",$I125=""),"",(INDEX('Emission factors'!$K$3:$V$201,MATCH('Buildings - Heat &amp; Fuels'!$E125&amp;$F125,'Emission factors'!$J$3:$J$201&amp;'Emission factors'!$K$3:$K$201,0),MATCH('Buildings - Heat &amp; Fuels'!X$6,'Emission factors'!$K$2:$V$2,0)))*$K125)</f>
        <v/>
      </c>
      <c r="Y125" s="30"/>
      <c r="Z125" s="1" cm="1">
        <f t="array" ref="Z125">IF(OR(ISERROR(B125:X125)),1,0)</f>
        <v>0</v>
      </c>
      <c r="AA125" s="1">
        <f t="shared" si="0"/>
        <v>0</v>
      </c>
    </row>
    <row r="126" spans="1:27" ht="15" outlineLevel="1" thickBot="1" x14ac:dyDescent="0.4">
      <c r="A126" s="319"/>
      <c r="B126" s="216"/>
      <c r="C126" s="216"/>
      <c r="D126" s="489" t="str">
        <f>IFERROR(INDEX(BuildingInformationTable[Site type],MATCH(BuildingsHeatFuelsTable[[#This Row],[Site name]],BuildingInformationTable[Site name],0)),"")</f>
        <v/>
      </c>
      <c r="E126" s="491"/>
      <c r="F126" s="491"/>
      <c r="G126" s="491"/>
      <c r="H126" s="492" t="str">
        <f>IF(G126="","",INDEX(Lists!$BA$4:$BC$31,MATCH(E126,Lists!$AZ$4:$AZ$31,0),MATCH(G126,Lists!$BA$3:$BC$3,0)))</f>
        <v/>
      </c>
      <c r="I126" s="267"/>
      <c r="J126" s="491"/>
      <c r="K126" s="493" t="str" cm="1">
        <f t="array" ref="K126">IF(OR($E126="",$D126="",$I126="",$J126=""),"",IF(J126=L126,I126,(INDEX('Emission factors'!$K$3:$V$201,MATCH(E126&amp;F126,'Emission factors'!$J$3:$J$201&amp;'Emission factors'!$K$3:$K$201,0),MATCH(K$6,'Emission factors'!$K$2:$V$2,0)))*I126))</f>
        <v/>
      </c>
      <c r="L126" s="494" t="str">
        <f>IF(OR($E126="",$D126="",$I126="",$J126=""),"",INDEX('Emission factors'!$K$3:$V$201,MATCH('Buildings - Heat &amp; Fuels'!$E126,'Emission factors'!$J$3:$J$201,0),MATCH($L$6,'Emission factors'!$K$2:$V$2,0)))</f>
        <v/>
      </c>
      <c r="M126" s="495" t="str" cm="1">
        <f t="array" ref="M126">IF(OR(E126="",I126="",BuildingsHeatFuelsTable[[#This Row],[Units]]=""),"",INDEX('Emission factors'!$K$3:$V$201,MATCH('Buildings - Heat &amp; Fuels'!$E126&amp;F126,'Emission factors'!$J$3:$J$201&amp;'Emission factors'!$K$3:$K$201,0),MATCH('Buildings - Heat &amp; Fuels'!$M$6,'Emission factors'!$K$2:$V$2,0)))</f>
        <v/>
      </c>
      <c r="N126" s="496" t="str">
        <f>IF(OR(K126="",M126=""),"",SUM(BuildingsHeatFuelsTable[[#This Row],[Direct]:[Indirect WTT]]))</f>
        <v/>
      </c>
      <c r="O126" s="268"/>
      <c r="P126" s="497"/>
      <c r="Q126" s="157" t="str" cm="1">
        <f t="array" ref="Q126">IF(OR($E126="",$I126=""),"",(INDEX('Emission factors'!$K$3:$V$201,MATCH('Buildings - Heat &amp; Fuels'!$E126&amp;$F126,'Emission factors'!$J$3:$J$201&amp;'Emission factors'!$K$3:$K$201,0),MATCH('Buildings - Heat &amp; Fuels'!Q$6,'Emission factors'!$K$2:$V$2,0)))*$K126)</f>
        <v/>
      </c>
      <c r="R126" s="157" t="str" cm="1">
        <f t="array" ref="R126">IF(OR($E126="",$I126=""),"",(INDEX('Emission factors'!$K$3:$V$201,MATCH('Buildings - Heat &amp; Fuels'!$E126&amp;$F126,'Emission factors'!$J$3:$J$201&amp;'Emission factors'!$K$3:$K$201,0),MATCH('Buildings - Heat &amp; Fuels'!R$6,'Emission factors'!$K$2:$V$2,0)))*$K126)</f>
        <v/>
      </c>
      <c r="S126" s="157" t="str" cm="1">
        <f t="array" ref="S126">IF(OR($E126="",$I126=""),"",(INDEX('Emission factors'!$K$3:$V$201,MATCH('Buildings - Heat &amp; Fuels'!$E126&amp;$F126,'Emission factors'!$J$3:$J$201&amp;'Emission factors'!$K$3:$K$201,0),MATCH('Buildings - Heat &amp; Fuels'!S$6,'Emission factors'!$K$2:$V$2,0)))*$K126)</f>
        <v/>
      </c>
      <c r="T126" s="157" t="str" cm="1">
        <f t="array" ref="T126">IF(OR($E126="",$I126=""),"",(INDEX('Emission factors'!$K$3:$V$201,MATCH('Buildings - Heat &amp; Fuels'!$E126&amp;$F126,'Emission factors'!$J$3:$J$201&amp;'Emission factors'!$K$3:$K$201,0),MATCH('Buildings - Heat &amp; Fuels'!T$6,'Emission factors'!$K$2:$V$2,0)))*$K126)</f>
        <v/>
      </c>
      <c r="U126" s="157" t="str" cm="1">
        <f t="array" ref="U126">IF(OR($E126="",$I126=""),"",(INDEX('Emission factors'!$K$3:$V$201,MATCH('Buildings - Heat &amp; Fuels'!$E126&amp;$F126,'Emission factors'!$J$3:$J$201&amp;'Emission factors'!$K$3:$K$201,0),MATCH('Buildings - Heat &amp; Fuels'!U$6,'Emission factors'!$K$2:$V$2,0)))*$K126)</f>
        <v/>
      </c>
      <c r="V126" s="158" t="str">
        <f>IF(OR($N126="",BuildingsHeatFuelsTable[[#This Row],[RSD]]=""),"",BuildingsHeatFuelsTable[[#This Row],[Total emissions (kgCO2e)]]*(1+BuildingsHeatFuelsTable[[#This Row],[RSD]]))</f>
        <v/>
      </c>
      <c r="W126" s="159" t="str">
        <f>IF(OR($N126="",BuildingsHeatFuelsTable[[#This Row],[RSD]]=""),"",BuildingsHeatFuelsTable[[#This Row],[Total emissions (kgCO2e)]]*(1-BuildingsHeatFuelsTable[[#This Row],[RSD]]))</f>
        <v/>
      </c>
      <c r="X126" s="169" t="str" cm="1">
        <f t="array" ref="X126">IF(OR($E126="",$I126=""),"",(INDEX('Emission factors'!$K$3:$V$201,MATCH('Buildings - Heat &amp; Fuels'!$E126&amp;$F126,'Emission factors'!$J$3:$J$201&amp;'Emission factors'!$K$3:$K$201,0),MATCH('Buildings - Heat &amp; Fuels'!X$6,'Emission factors'!$K$2:$V$2,0)))*$K126)</f>
        <v/>
      </c>
      <c r="Y126" s="30"/>
      <c r="Z126" s="1" cm="1">
        <f t="array" ref="Z126">IF(OR(ISERROR(B126:X126)),1,0)</f>
        <v>0</v>
      </c>
      <c r="AA126" s="1">
        <f t="shared" si="0"/>
        <v>0</v>
      </c>
    </row>
    <row r="127" spans="1:27" ht="15" outlineLevel="1" thickBot="1" x14ac:dyDescent="0.4">
      <c r="A127" s="319"/>
      <c r="B127" s="216"/>
      <c r="C127" s="216"/>
      <c r="D127" s="489" t="str">
        <f>IFERROR(INDEX(BuildingInformationTable[Site type],MATCH(BuildingsHeatFuelsTable[[#This Row],[Site name]],BuildingInformationTable[Site name],0)),"")</f>
        <v/>
      </c>
      <c r="E127" s="491"/>
      <c r="F127" s="491"/>
      <c r="G127" s="491"/>
      <c r="H127" s="492" t="str">
        <f>IF(G127="","",INDEX(Lists!$BA$4:$BC$31,MATCH(E127,Lists!$AZ$4:$AZ$31,0),MATCH(G127,Lists!$BA$3:$BC$3,0)))</f>
        <v/>
      </c>
      <c r="I127" s="267"/>
      <c r="J127" s="491"/>
      <c r="K127" s="493" t="str" cm="1">
        <f t="array" ref="K127">IF(OR($E127="",$D127="",$I127="",$J127=""),"",IF(J127=L127,I127,(INDEX('Emission factors'!$K$3:$V$201,MATCH(E127&amp;F127,'Emission factors'!$J$3:$J$201&amp;'Emission factors'!$K$3:$K$201,0),MATCH(K$6,'Emission factors'!$K$2:$V$2,0)))*I127))</f>
        <v/>
      </c>
      <c r="L127" s="494" t="str">
        <f>IF(OR($E127="",$D127="",$I127="",$J127=""),"",INDEX('Emission factors'!$K$3:$V$201,MATCH('Buildings - Heat &amp; Fuels'!$E127,'Emission factors'!$J$3:$J$201,0),MATCH($L$6,'Emission factors'!$K$2:$V$2,0)))</f>
        <v/>
      </c>
      <c r="M127" s="495" t="str" cm="1">
        <f t="array" ref="M127">IF(OR(E127="",I127="",BuildingsHeatFuelsTable[[#This Row],[Units]]=""),"",INDEX('Emission factors'!$K$3:$V$201,MATCH('Buildings - Heat &amp; Fuels'!$E127&amp;F127,'Emission factors'!$J$3:$J$201&amp;'Emission factors'!$K$3:$K$201,0),MATCH('Buildings - Heat &amp; Fuels'!$M$6,'Emission factors'!$K$2:$V$2,0)))</f>
        <v/>
      </c>
      <c r="N127" s="496" t="str">
        <f>IF(OR(K127="",M127=""),"",SUM(BuildingsHeatFuelsTable[[#This Row],[Direct]:[Indirect WTT]]))</f>
        <v/>
      </c>
      <c r="O127" s="268"/>
      <c r="P127" s="497"/>
      <c r="Q127" s="157" t="str" cm="1">
        <f t="array" ref="Q127">IF(OR($E127="",$I127=""),"",(INDEX('Emission factors'!$K$3:$V$201,MATCH('Buildings - Heat &amp; Fuels'!$E127&amp;$F127,'Emission factors'!$J$3:$J$201&amp;'Emission factors'!$K$3:$K$201,0),MATCH('Buildings - Heat &amp; Fuels'!Q$6,'Emission factors'!$K$2:$V$2,0)))*$K127)</f>
        <v/>
      </c>
      <c r="R127" s="157" t="str" cm="1">
        <f t="array" ref="R127">IF(OR($E127="",$I127=""),"",(INDEX('Emission factors'!$K$3:$V$201,MATCH('Buildings - Heat &amp; Fuels'!$E127&amp;$F127,'Emission factors'!$J$3:$J$201&amp;'Emission factors'!$K$3:$K$201,0),MATCH('Buildings - Heat &amp; Fuels'!R$6,'Emission factors'!$K$2:$V$2,0)))*$K127)</f>
        <v/>
      </c>
      <c r="S127" s="157" t="str" cm="1">
        <f t="array" ref="S127">IF(OR($E127="",$I127=""),"",(INDEX('Emission factors'!$K$3:$V$201,MATCH('Buildings - Heat &amp; Fuels'!$E127&amp;$F127,'Emission factors'!$J$3:$J$201&amp;'Emission factors'!$K$3:$K$201,0),MATCH('Buildings - Heat &amp; Fuels'!S$6,'Emission factors'!$K$2:$V$2,0)))*$K127)</f>
        <v/>
      </c>
      <c r="T127" s="157" t="str" cm="1">
        <f t="array" ref="T127">IF(OR($E127="",$I127=""),"",(INDEX('Emission factors'!$K$3:$V$201,MATCH('Buildings - Heat &amp; Fuels'!$E127&amp;$F127,'Emission factors'!$J$3:$J$201&amp;'Emission factors'!$K$3:$K$201,0),MATCH('Buildings - Heat &amp; Fuels'!T$6,'Emission factors'!$K$2:$V$2,0)))*$K127)</f>
        <v/>
      </c>
      <c r="U127" s="157" t="str" cm="1">
        <f t="array" ref="U127">IF(OR($E127="",$I127=""),"",(INDEX('Emission factors'!$K$3:$V$201,MATCH('Buildings - Heat &amp; Fuels'!$E127&amp;$F127,'Emission factors'!$J$3:$J$201&amp;'Emission factors'!$K$3:$K$201,0),MATCH('Buildings - Heat &amp; Fuels'!U$6,'Emission factors'!$K$2:$V$2,0)))*$K127)</f>
        <v/>
      </c>
      <c r="V127" s="158" t="str">
        <f>IF(OR($N127="",BuildingsHeatFuelsTable[[#This Row],[RSD]]=""),"",BuildingsHeatFuelsTable[[#This Row],[Total emissions (kgCO2e)]]*(1+BuildingsHeatFuelsTable[[#This Row],[RSD]]))</f>
        <v/>
      </c>
      <c r="W127" s="159" t="str">
        <f>IF(OR($N127="",BuildingsHeatFuelsTable[[#This Row],[RSD]]=""),"",BuildingsHeatFuelsTable[[#This Row],[Total emissions (kgCO2e)]]*(1-BuildingsHeatFuelsTable[[#This Row],[RSD]]))</f>
        <v/>
      </c>
      <c r="X127" s="169" t="str" cm="1">
        <f t="array" ref="X127">IF(OR($E127="",$I127=""),"",(INDEX('Emission factors'!$K$3:$V$201,MATCH('Buildings - Heat &amp; Fuels'!$E127&amp;$F127,'Emission factors'!$J$3:$J$201&amp;'Emission factors'!$K$3:$K$201,0),MATCH('Buildings - Heat &amp; Fuels'!X$6,'Emission factors'!$K$2:$V$2,0)))*$K127)</f>
        <v/>
      </c>
      <c r="Y127" s="30"/>
      <c r="Z127" s="1" cm="1">
        <f t="array" ref="Z127">IF(OR(ISERROR(B127:X127)),1,0)</f>
        <v>0</v>
      </c>
      <c r="AA127" s="1">
        <f t="shared" si="0"/>
        <v>0</v>
      </c>
    </row>
    <row r="128" spans="1:27" ht="15" outlineLevel="1" thickBot="1" x14ac:dyDescent="0.4">
      <c r="A128" s="319"/>
      <c r="B128" s="216"/>
      <c r="C128" s="216"/>
      <c r="D128" s="489" t="str">
        <f>IFERROR(INDEX(BuildingInformationTable[Site type],MATCH(BuildingsHeatFuelsTable[[#This Row],[Site name]],BuildingInformationTable[Site name],0)),"")</f>
        <v/>
      </c>
      <c r="E128" s="491"/>
      <c r="F128" s="491"/>
      <c r="G128" s="491"/>
      <c r="H128" s="492" t="str">
        <f>IF(G128="","",INDEX(Lists!$BA$4:$BC$31,MATCH(E128,Lists!$AZ$4:$AZ$31,0),MATCH(G128,Lists!$BA$3:$BC$3,0)))</f>
        <v/>
      </c>
      <c r="I128" s="267"/>
      <c r="J128" s="491"/>
      <c r="K128" s="493" t="str" cm="1">
        <f t="array" ref="K128">IF(OR($E128="",$D128="",$I128="",$J128=""),"",IF(J128=L128,I128,(INDEX('Emission factors'!$K$3:$V$201,MATCH(E128&amp;F128,'Emission factors'!$J$3:$J$201&amp;'Emission factors'!$K$3:$K$201,0),MATCH(K$6,'Emission factors'!$K$2:$V$2,0)))*I128))</f>
        <v/>
      </c>
      <c r="L128" s="494" t="str">
        <f>IF(OR($E128="",$D128="",$I128="",$J128=""),"",INDEX('Emission factors'!$K$3:$V$201,MATCH('Buildings - Heat &amp; Fuels'!$E128,'Emission factors'!$J$3:$J$201,0),MATCH($L$6,'Emission factors'!$K$2:$V$2,0)))</f>
        <v/>
      </c>
      <c r="M128" s="495" t="str" cm="1">
        <f t="array" ref="M128">IF(OR(E128="",I128="",BuildingsHeatFuelsTable[[#This Row],[Units]]=""),"",INDEX('Emission factors'!$K$3:$V$201,MATCH('Buildings - Heat &amp; Fuels'!$E128&amp;F128,'Emission factors'!$J$3:$J$201&amp;'Emission factors'!$K$3:$K$201,0),MATCH('Buildings - Heat &amp; Fuels'!$M$6,'Emission factors'!$K$2:$V$2,0)))</f>
        <v/>
      </c>
      <c r="N128" s="496" t="str">
        <f>IF(OR(K128="",M128=""),"",SUM(BuildingsHeatFuelsTable[[#This Row],[Direct]:[Indirect WTT]]))</f>
        <v/>
      </c>
      <c r="O128" s="268"/>
      <c r="P128" s="497"/>
      <c r="Q128" s="157" t="str" cm="1">
        <f t="array" ref="Q128">IF(OR($E128="",$I128=""),"",(INDEX('Emission factors'!$K$3:$V$201,MATCH('Buildings - Heat &amp; Fuels'!$E128&amp;$F128,'Emission factors'!$J$3:$J$201&amp;'Emission factors'!$K$3:$K$201,0),MATCH('Buildings - Heat &amp; Fuels'!Q$6,'Emission factors'!$K$2:$V$2,0)))*$K128)</f>
        <v/>
      </c>
      <c r="R128" s="157" t="str" cm="1">
        <f t="array" ref="R128">IF(OR($E128="",$I128=""),"",(INDEX('Emission factors'!$K$3:$V$201,MATCH('Buildings - Heat &amp; Fuels'!$E128&amp;$F128,'Emission factors'!$J$3:$J$201&amp;'Emission factors'!$K$3:$K$201,0),MATCH('Buildings - Heat &amp; Fuels'!R$6,'Emission factors'!$K$2:$V$2,0)))*$K128)</f>
        <v/>
      </c>
      <c r="S128" s="157" t="str" cm="1">
        <f t="array" ref="S128">IF(OR($E128="",$I128=""),"",(INDEX('Emission factors'!$K$3:$V$201,MATCH('Buildings - Heat &amp; Fuels'!$E128&amp;$F128,'Emission factors'!$J$3:$J$201&amp;'Emission factors'!$K$3:$K$201,0),MATCH('Buildings - Heat &amp; Fuels'!S$6,'Emission factors'!$K$2:$V$2,0)))*$K128)</f>
        <v/>
      </c>
      <c r="T128" s="157" t="str" cm="1">
        <f t="array" ref="T128">IF(OR($E128="",$I128=""),"",(INDEX('Emission factors'!$K$3:$V$201,MATCH('Buildings - Heat &amp; Fuels'!$E128&amp;$F128,'Emission factors'!$J$3:$J$201&amp;'Emission factors'!$K$3:$K$201,0),MATCH('Buildings - Heat &amp; Fuels'!T$6,'Emission factors'!$K$2:$V$2,0)))*$K128)</f>
        <v/>
      </c>
      <c r="U128" s="157" t="str" cm="1">
        <f t="array" ref="U128">IF(OR($E128="",$I128=""),"",(INDEX('Emission factors'!$K$3:$V$201,MATCH('Buildings - Heat &amp; Fuels'!$E128&amp;$F128,'Emission factors'!$J$3:$J$201&amp;'Emission factors'!$K$3:$K$201,0),MATCH('Buildings - Heat &amp; Fuels'!U$6,'Emission factors'!$K$2:$V$2,0)))*$K128)</f>
        <v/>
      </c>
      <c r="V128" s="158" t="str">
        <f>IF(OR($N128="",BuildingsHeatFuelsTable[[#This Row],[RSD]]=""),"",BuildingsHeatFuelsTable[[#This Row],[Total emissions (kgCO2e)]]*(1+BuildingsHeatFuelsTable[[#This Row],[RSD]]))</f>
        <v/>
      </c>
      <c r="W128" s="159" t="str">
        <f>IF(OR($N128="",BuildingsHeatFuelsTable[[#This Row],[RSD]]=""),"",BuildingsHeatFuelsTable[[#This Row],[Total emissions (kgCO2e)]]*(1-BuildingsHeatFuelsTable[[#This Row],[RSD]]))</f>
        <v/>
      </c>
      <c r="X128" s="169" t="str" cm="1">
        <f t="array" ref="X128">IF(OR($E128="",$I128=""),"",(INDEX('Emission factors'!$K$3:$V$201,MATCH('Buildings - Heat &amp; Fuels'!$E128&amp;$F128,'Emission factors'!$J$3:$J$201&amp;'Emission factors'!$K$3:$K$201,0),MATCH('Buildings - Heat &amp; Fuels'!X$6,'Emission factors'!$K$2:$V$2,0)))*$K128)</f>
        <v/>
      </c>
      <c r="Y128" s="30"/>
      <c r="Z128" s="1" cm="1">
        <f t="array" ref="Z128">IF(OR(ISERROR(B128:X128)),1,0)</f>
        <v>0</v>
      </c>
      <c r="AA128" s="1">
        <f t="shared" si="0"/>
        <v>0</v>
      </c>
    </row>
    <row r="129" spans="1:27" ht="15" outlineLevel="1" thickBot="1" x14ac:dyDescent="0.4">
      <c r="A129" s="319"/>
      <c r="B129" s="216"/>
      <c r="C129" s="216"/>
      <c r="D129" s="489" t="str">
        <f>IFERROR(INDEX(BuildingInformationTable[Site type],MATCH(BuildingsHeatFuelsTable[[#This Row],[Site name]],BuildingInformationTable[Site name],0)),"")</f>
        <v/>
      </c>
      <c r="E129" s="491"/>
      <c r="F129" s="491"/>
      <c r="G129" s="491"/>
      <c r="H129" s="492" t="str">
        <f>IF(G129="","",INDEX(Lists!$BA$4:$BC$31,MATCH(E129,Lists!$AZ$4:$AZ$31,0),MATCH(G129,Lists!$BA$3:$BC$3,0)))</f>
        <v/>
      </c>
      <c r="I129" s="267"/>
      <c r="J129" s="491"/>
      <c r="K129" s="493" t="str" cm="1">
        <f t="array" ref="K129">IF(OR($E129="",$D129="",$I129="",$J129=""),"",IF(J129=L129,I129,(INDEX('Emission factors'!$K$3:$V$201,MATCH(E129&amp;F129,'Emission factors'!$J$3:$J$201&amp;'Emission factors'!$K$3:$K$201,0),MATCH(K$6,'Emission factors'!$K$2:$V$2,0)))*I129))</f>
        <v/>
      </c>
      <c r="L129" s="494" t="str">
        <f>IF(OR($E129="",$D129="",$I129="",$J129=""),"",INDEX('Emission factors'!$K$3:$V$201,MATCH('Buildings - Heat &amp; Fuels'!$E129,'Emission factors'!$J$3:$J$201,0),MATCH($L$6,'Emission factors'!$K$2:$V$2,0)))</f>
        <v/>
      </c>
      <c r="M129" s="495" t="str" cm="1">
        <f t="array" ref="M129">IF(OR(E129="",I129="",BuildingsHeatFuelsTable[[#This Row],[Units]]=""),"",INDEX('Emission factors'!$K$3:$V$201,MATCH('Buildings - Heat &amp; Fuels'!$E129&amp;F129,'Emission factors'!$J$3:$J$201&amp;'Emission factors'!$K$3:$K$201,0),MATCH('Buildings - Heat &amp; Fuels'!$M$6,'Emission factors'!$K$2:$V$2,0)))</f>
        <v/>
      </c>
      <c r="N129" s="496" t="str">
        <f>IF(OR(K129="",M129=""),"",SUM(BuildingsHeatFuelsTable[[#This Row],[Direct]:[Indirect WTT]]))</f>
        <v/>
      </c>
      <c r="O129" s="268"/>
      <c r="P129" s="497"/>
      <c r="Q129" s="157" t="str" cm="1">
        <f t="array" ref="Q129">IF(OR($E129="",$I129=""),"",(INDEX('Emission factors'!$K$3:$V$201,MATCH('Buildings - Heat &amp; Fuels'!$E129&amp;$F129,'Emission factors'!$J$3:$J$201&amp;'Emission factors'!$K$3:$K$201,0),MATCH('Buildings - Heat &amp; Fuels'!Q$6,'Emission factors'!$K$2:$V$2,0)))*$K129)</f>
        <v/>
      </c>
      <c r="R129" s="157" t="str" cm="1">
        <f t="array" ref="R129">IF(OR($E129="",$I129=""),"",(INDEX('Emission factors'!$K$3:$V$201,MATCH('Buildings - Heat &amp; Fuels'!$E129&amp;$F129,'Emission factors'!$J$3:$J$201&amp;'Emission factors'!$K$3:$K$201,0),MATCH('Buildings - Heat &amp; Fuels'!R$6,'Emission factors'!$K$2:$V$2,0)))*$K129)</f>
        <v/>
      </c>
      <c r="S129" s="157" t="str" cm="1">
        <f t="array" ref="S129">IF(OR($E129="",$I129=""),"",(INDEX('Emission factors'!$K$3:$V$201,MATCH('Buildings - Heat &amp; Fuels'!$E129&amp;$F129,'Emission factors'!$J$3:$J$201&amp;'Emission factors'!$K$3:$K$201,0),MATCH('Buildings - Heat &amp; Fuels'!S$6,'Emission factors'!$K$2:$V$2,0)))*$K129)</f>
        <v/>
      </c>
      <c r="T129" s="157" t="str" cm="1">
        <f t="array" ref="T129">IF(OR($E129="",$I129=""),"",(INDEX('Emission factors'!$K$3:$V$201,MATCH('Buildings - Heat &amp; Fuels'!$E129&amp;$F129,'Emission factors'!$J$3:$J$201&amp;'Emission factors'!$K$3:$K$201,0),MATCH('Buildings - Heat &amp; Fuels'!T$6,'Emission factors'!$K$2:$V$2,0)))*$K129)</f>
        <v/>
      </c>
      <c r="U129" s="157" t="str" cm="1">
        <f t="array" ref="U129">IF(OR($E129="",$I129=""),"",(INDEX('Emission factors'!$K$3:$V$201,MATCH('Buildings - Heat &amp; Fuels'!$E129&amp;$F129,'Emission factors'!$J$3:$J$201&amp;'Emission factors'!$K$3:$K$201,0),MATCH('Buildings - Heat &amp; Fuels'!U$6,'Emission factors'!$K$2:$V$2,0)))*$K129)</f>
        <v/>
      </c>
      <c r="V129" s="158" t="str">
        <f>IF(OR($N129="",BuildingsHeatFuelsTable[[#This Row],[RSD]]=""),"",BuildingsHeatFuelsTable[[#This Row],[Total emissions (kgCO2e)]]*(1+BuildingsHeatFuelsTable[[#This Row],[RSD]]))</f>
        <v/>
      </c>
      <c r="W129" s="159" t="str">
        <f>IF(OR($N129="",BuildingsHeatFuelsTable[[#This Row],[RSD]]=""),"",BuildingsHeatFuelsTable[[#This Row],[Total emissions (kgCO2e)]]*(1-BuildingsHeatFuelsTable[[#This Row],[RSD]]))</f>
        <v/>
      </c>
      <c r="X129" s="169" t="str" cm="1">
        <f t="array" ref="X129">IF(OR($E129="",$I129=""),"",(INDEX('Emission factors'!$K$3:$V$201,MATCH('Buildings - Heat &amp; Fuels'!$E129&amp;$F129,'Emission factors'!$J$3:$J$201&amp;'Emission factors'!$K$3:$K$201,0),MATCH('Buildings - Heat &amp; Fuels'!X$6,'Emission factors'!$K$2:$V$2,0)))*$K129)</f>
        <v/>
      </c>
      <c r="Y129" s="30"/>
      <c r="Z129" s="1" cm="1">
        <f t="array" ref="Z129">IF(OR(ISERROR(B129:X129)),1,0)</f>
        <v>0</v>
      </c>
      <c r="AA129" s="1">
        <f t="shared" si="0"/>
        <v>0</v>
      </c>
    </row>
    <row r="130" spans="1:27" ht="15" outlineLevel="1" thickBot="1" x14ac:dyDescent="0.4">
      <c r="A130" s="319"/>
      <c r="B130" s="216"/>
      <c r="C130" s="216"/>
      <c r="D130" s="489" t="str">
        <f>IFERROR(INDEX(BuildingInformationTable[Site type],MATCH(BuildingsHeatFuelsTable[[#This Row],[Site name]],BuildingInformationTable[Site name],0)),"")</f>
        <v/>
      </c>
      <c r="E130" s="491"/>
      <c r="F130" s="491"/>
      <c r="G130" s="491"/>
      <c r="H130" s="492" t="str">
        <f>IF(G130="","",INDEX(Lists!$BA$4:$BC$31,MATCH(E130,Lists!$AZ$4:$AZ$31,0),MATCH(G130,Lists!$BA$3:$BC$3,0)))</f>
        <v/>
      </c>
      <c r="I130" s="267"/>
      <c r="J130" s="491"/>
      <c r="K130" s="493" t="str" cm="1">
        <f t="array" ref="K130">IF(OR($E130="",$D130="",$I130="",$J130=""),"",IF(J130=L130,I130,(INDEX('Emission factors'!$K$3:$V$201,MATCH(E130&amp;F130,'Emission factors'!$J$3:$J$201&amp;'Emission factors'!$K$3:$K$201,0),MATCH(K$6,'Emission factors'!$K$2:$V$2,0)))*I130))</f>
        <v/>
      </c>
      <c r="L130" s="494" t="str">
        <f>IF(OR($E130="",$D130="",$I130="",$J130=""),"",INDEX('Emission factors'!$K$3:$V$201,MATCH('Buildings - Heat &amp; Fuels'!$E130,'Emission factors'!$J$3:$J$201,0),MATCH($L$6,'Emission factors'!$K$2:$V$2,0)))</f>
        <v/>
      </c>
      <c r="M130" s="495" t="str" cm="1">
        <f t="array" ref="M130">IF(OR(E130="",I130="",BuildingsHeatFuelsTable[[#This Row],[Units]]=""),"",INDEX('Emission factors'!$K$3:$V$201,MATCH('Buildings - Heat &amp; Fuels'!$E130&amp;F130,'Emission factors'!$J$3:$J$201&amp;'Emission factors'!$K$3:$K$201,0),MATCH('Buildings - Heat &amp; Fuels'!$M$6,'Emission factors'!$K$2:$V$2,0)))</f>
        <v/>
      </c>
      <c r="N130" s="496" t="str">
        <f>IF(OR(K130="",M130=""),"",SUM(BuildingsHeatFuelsTable[[#This Row],[Direct]:[Indirect WTT]]))</f>
        <v/>
      </c>
      <c r="O130" s="268"/>
      <c r="P130" s="497"/>
      <c r="Q130" s="157" t="str" cm="1">
        <f t="array" ref="Q130">IF(OR($E130="",$I130=""),"",(INDEX('Emission factors'!$K$3:$V$201,MATCH('Buildings - Heat &amp; Fuels'!$E130&amp;$F130,'Emission factors'!$J$3:$J$201&amp;'Emission factors'!$K$3:$K$201,0),MATCH('Buildings - Heat &amp; Fuels'!Q$6,'Emission factors'!$K$2:$V$2,0)))*$K130)</f>
        <v/>
      </c>
      <c r="R130" s="157" t="str" cm="1">
        <f t="array" ref="R130">IF(OR($E130="",$I130=""),"",(INDEX('Emission factors'!$K$3:$V$201,MATCH('Buildings - Heat &amp; Fuels'!$E130&amp;$F130,'Emission factors'!$J$3:$J$201&amp;'Emission factors'!$K$3:$K$201,0),MATCH('Buildings - Heat &amp; Fuels'!R$6,'Emission factors'!$K$2:$V$2,0)))*$K130)</f>
        <v/>
      </c>
      <c r="S130" s="157" t="str" cm="1">
        <f t="array" ref="S130">IF(OR($E130="",$I130=""),"",(INDEX('Emission factors'!$K$3:$V$201,MATCH('Buildings - Heat &amp; Fuels'!$E130&amp;$F130,'Emission factors'!$J$3:$J$201&amp;'Emission factors'!$K$3:$K$201,0),MATCH('Buildings - Heat &amp; Fuels'!S$6,'Emission factors'!$K$2:$V$2,0)))*$K130)</f>
        <v/>
      </c>
      <c r="T130" s="157" t="str" cm="1">
        <f t="array" ref="T130">IF(OR($E130="",$I130=""),"",(INDEX('Emission factors'!$K$3:$V$201,MATCH('Buildings - Heat &amp; Fuels'!$E130&amp;$F130,'Emission factors'!$J$3:$J$201&amp;'Emission factors'!$K$3:$K$201,0),MATCH('Buildings - Heat &amp; Fuels'!T$6,'Emission factors'!$K$2:$V$2,0)))*$K130)</f>
        <v/>
      </c>
      <c r="U130" s="157" t="str" cm="1">
        <f t="array" ref="U130">IF(OR($E130="",$I130=""),"",(INDEX('Emission factors'!$K$3:$V$201,MATCH('Buildings - Heat &amp; Fuels'!$E130&amp;$F130,'Emission factors'!$J$3:$J$201&amp;'Emission factors'!$K$3:$K$201,0),MATCH('Buildings - Heat &amp; Fuels'!U$6,'Emission factors'!$K$2:$V$2,0)))*$K130)</f>
        <v/>
      </c>
      <c r="V130" s="158" t="str">
        <f>IF(OR($N130="",BuildingsHeatFuelsTable[[#This Row],[RSD]]=""),"",BuildingsHeatFuelsTable[[#This Row],[Total emissions (kgCO2e)]]*(1+BuildingsHeatFuelsTable[[#This Row],[RSD]]))</f>
        <v/>
      </c>
      <c r="W130" s="159" t="str">
        <f>IF(OR($N130="",BuildingsHeatFuelsTable[[#This Row],[RSD]]=""),"",BuildingsHeatFuelsTable[[#This Row],[Total emissions (kgCO2e)]]*(1-BuildingsHeatFuelsTable[[#This Row],[RSD]]))</f>
        <v/>
      </c>
      <c r="X130" s="169" t="str" cm="1">
        <f t="array" ref="X130">IF(OR($E130="",$I130=""),"",(INDEX('Emission factors'!$K$3:$V$201,MATCH('Buildings - Heat &amp; Fuels'!$E130&amp;$F130,'Emission factors'!$J$3:$J$201&amp;'Emission factors'!$K$3:$K$201,0),MATCH('Buildings - Heat &amp; Fuels'!X$6,'Emission factors'!$K$2:$V$2,0)))*$K130)</f>
        <v/>
      </c>
      <c r="Y130" s="30"/>
      <c r="Z130" s="1" cm="1">
        <f t="array" ref="Z130">IF(OR(ISERROR(B130:X130)),1,0)</f>
        <v>0</v>
      </c>
      <c r="AA130" s="1">
        <f t="shared" si="0"/>
        <v>0</v>
      </c>
    </row>
    <row r="131" spans="1:27" ht="15" outlineLevel="1" thickBot="1" x14ac:dyDescent="0.4">
      <c r="A131" s="319"/>
      <c r="B131" s="216"/>
      <c r="C131" s="216"/>
      <c r="D131" s="489" t="str">
        <f>IFERROR(INDEX(BuildingInformationTable[Site type],MATCH(BuildingsHeatFuelsTable[[#This Row],[Site name]],BuildingInformationTable[Site name],0)),"")</f>
        <v/>
      </c>
      <c r="E131" s="491"/>
      <c r="F131" s="491"/>
      <c r="G131" s="491"/>
      <c r="H131" s="492" t="str">
        <f>IF(G131="","",INDEX(Lists!$BA$4:$BC$31,MATCH(E131,Lists!$AZ$4:$AZ$31,0),MATCH(G131,Lists!$BA$3:$BC$3,0)))</f>
        <v/>
      </c>
      <c r="I131" s="267"/>
      <c r="J131" s="491"/>
      <c r="K131" s="493" t="str" cm="1">
        <f t="array" ref="K131">IF(OR($E131="",$D131="",$I131="",$J131=""),"",IF(J131=L131,I131,(INDEX('Emission factors'!$K$3:$V$201,MATCH(E131&amp;F131,'Emission factors'!$J$3:$J$201&amp;'Emission factors'!$K$3:$K$201,0),MATCH(K$6,'Emission factors'!$K$2:$V$2,0)))*I131))</f>
        <v/>
      </c>
      <c r="L131" s="494" t="str">
        <f>IF(OR($E131="",$D131="",$I131="",$J131=""),"",INDEX('Emission factors'!$K$3:$V$201,MATCH('Buildings - Heat &amp; Fuels'!$E131,'Emission factors'!$J$3:$J$201,0),MATCH($L$6,'Emission factors'!$K$2:$V$2,0)))</f>
        <v/>
      </c>
      <c r="M131" s="495" t="str" cm="1">
        <f t="array" ref="M131">IF(OR(E131="",I131="",BuildingsHeatFuelsTable[[#This Row],[Units]]=""),"",INDEX('Emission factors'!$K$3:$V$201,MATCH('Buildings - Heat &amp; Fuels'!$E131&amp;F131,'Emission factors'!$J$3:$J$201&amp;'Emission factors'!$K$3:$K$201,0),MATCH('Buildings - Heat &amp; Fuels'!$M$6,'Emission factors'!$K$2:$V$2,0)))</f>
        <v/>
      </c>
      <c r="N131" s="496" t="str">
        <f>IF(OR(K131="",M131=""),"",SUM(BuildingsHeatFuelsTable[[#This Row],[Direct]:[Indirect WTT]]))</f>
        <v/>
      </c>
      <c r="O131" s="268"/>
      <c r="P131" s="497"/>
      <c r="Q131" s="157" t="str" cm="1">
        <f t="array" ref="Q131">IF(OR($E131="",$I131=""),"",(INDEX('Emission factors'!$K$3:$V$201,MATCH('Buildings - Heat &amp; Fuels'!$E131&amp;$F131,'Emission factors'!$J$3:$J$201&amp;'Emission factors'!$K$3:$K$201,0),MATCH('Buildings - Heat &amp; Fuels'!Q$6,'Emission factors'!$K$2:$V$2,0)))*$K131)</f>
        <v/>
      </c>
      <c r="R131" s="157" t="str" cm="1">
        <f t="array" ref="R131">IF(OR($E131="",$I131=""),"",(INDEX('Emission factors'!$K$3:$V$201,MATCH('Buildings - Heat &amp; Fuels'!$E131&amp;$F131,'Emission factors'!$J$3:$J$201&amp;'Emission factors'!$K$3:$K$201,0),MATCH('Buildings - Heat &amp; Fuels'!R$6,'Emission factors'!$K$2:$V$2,0)))*$K131)</f>
        <v/>
      </c>
      <c r="S131" s="157" t="str" cm="1">
        <f t="array" ref="S131">IF(OR($E131="",$I131=""),"",(INDEX('Emission factors'!$K$3:$V$201,MATCH('Buildings - Heat &amp; Fuels'!$E131&amp;$F131,'Emission factors'!$J$3:$J$201&amp;'Emission factors'!$K$3:$K$201,0),MATCH('Buildings - Heat &amp; Fuels'!S$6,'Emission factors'!$K$2:$V$2,0)))*$K131)</f>
        <v/>
      </c>
      <c r="T131" s="157" t="str" cm="1">
        <f t="array" ref="T131">IF(OR($E131="",$I131=""),"",(INDEX('Emission factors'!$K$3:$V$201,MATCH('Buildings - Heat &amp; Fuels'!$E131&amp;$F131,'Emission factors'!$J$3:$J$201&amp;'Emission factors'!$K$3:$K$201,0),MATCH('Buildings - Heat &amp; Fuels'!T$6,'Emission factors'!$K$2:$V$2,0)))*$K131)</f>
        <v/>
      </c>
      <c r="U131" s="157" t="str" cm="1">
        <f t="array" ref="U131">IF(OR($E131="",$I131=""),"",(INDEX('Emission factors'!$K$3:$V$201,MATCH('Buildings - Heat &amp; Fuels'!$E131&amp;$F131,'Emission factors'!$J$3:$J$201&amp;'Emission factors'!$K$3:$K$201,0),MATCH('Buildings - Heat &amp; Fuels'!U$6,'Emission factors'!$K$2:$V$2,0)))*$K131)</f>
        <v/>
      </c>
      <c r="V131" s="158" t="str">
        <f>IF(OR($N131="",BuildingsHeatFuelsTable[[#This Row],[RSD]]=""),"",BuildingsHeatFuelsTable[[#This Row],[Total emissions (kgCO2e)]]*(1+BuildingsHeatFuelsTable[[#This Row],[RSD]]))</f>
        <v/>
      </c>
      <c r="W131" s="159" t="str">
        <f>IF(OR($N131="",BuildingsHeatFuelsTable[[#This Row],[RSD]]=""),"",BuildingsHeatFuelsTable[[#This Row],[Total emissions (kgCO2e)]]*(1-BuildingsHeatFuelsTable[[#This Row],[RSD]]))</f>
        <v/>
      </c>
      <c r="X131" s="169" t="str" cm="1">
        <f t="array" ref="X131">IF(OR($E131="",$I131=""),"",(INDEX('Emission factors'!$K$3:$V$201,MATCH('Buildings - Heat &amp; Fuels'!$E131&amp;$F131,'Emission factors'!$J$3:$J$201&amp;'Emission factors'!$K$3:$K$201,0),MATCH('Buildings - Heat &amp; Fuels'!X$6,'Emission factors'!$K$2:$V$2,0)))*$K131)</f>
        <v/>
      </c>
      <c r="Y131" s="30"/>
      <c r="Z131" s="1" cm="1">
        <f t="array" ref="Z131">IF(OR(ISERROR(B131:X131)),1,0)</f>
        <v>0</v>
      </c>
      <c r="AA131" s="1">
        <f t="shared" si="0"/>
        <v>0</v>
      </c>
    </row>
    <row r="132" spans="1:27" ht="15" outlineLevel="1" thickBot="1" x14ac:dyDescent="0.4">
      <c r="A132" s="319"/>
      <c r="B132" s="216"/>
      <c r="C132" s="216"/>
      <c r="D132" s="489" t="str">
        <f>IFERROR(INDEX(BuildingInformationTable[Site type],MATCH(BuildingsHeatFuelsTable[[#This Row],[Site name]],BuildingInformationTable[Site name],0)),"")</f>
        <v/>
      </c>
      <c r="E132" s="491"/>
      <c r="F132" s="491"/>
      <c r="G132" s="491"/>
      <c r="H132" s="492" t="str">
        <f>IF(G132="","",INDEX(Lists!$BA$4:$BC$31,MATCH(E132,Lists!$AZ$4:$AZ$31,0),MATCH(G132,Lists!$BA$3:$BC$3,0)))</f>
        <v/>
      </c>
      <c r="I132" s="267"/>
      <c r="J132" s="491"/>
      <c r="K132" s="493" t="str" cm="1">
        <f t="array" ref="K132">IF(OR($E132="",$D132="",$I132="",$J132=""),"",IF(J132=L132,I132,(INDEX('Emission factors'!$K$3:$V$201,MATCH(E132&amp;F132,'Emission factors'!$J$3:$J$201&amp;'Emission factors'!$K$3:$K$201,0),MATCH(K$6,'Emission factors'!$K$2:$V$2,0)))*I132))</f>
        <v/>
      </c>
      <c r="L132" s="494" t="str">
        <f>IF(OR($E132="",$D132="",$I132="",$J132=""),"",INDEX('Emission factors'!$K$3:$V$201,MATCH('Buildings - Heat &amp; Fuels'!$E132,'Emission factors'!$J$3:$J$201,0),MATCH($L$6,'Emission factors'!$K$2:$V$2,0)))</f>
        <v/>
      </c>
      <c r="M132" s="495" t="str" cm="1">
        <f t="array" ref="M132">IF(OR(E132="",I132="",BuildingsHeatFuelsTable[[#This Row],[Units]]=""),"",INDEX('Emission factors'!$K$3:$V$201,MATCH('Buildings - Heat &amp; Fuels'!$E132&amp;F132,'Emission factors'!$J$3:$J$201&amp;'Emission factors'!$K$3:$K$201,0),MATCH('Buildings - Heat &amp; Fuels'!$M$6,'Emission factors'!$K$2:$V$2,0)))</f>
        <v/>
      </c>
      <c r="N132" s="496" t="str">
        <f>IF(OR(K132="",M132=""),"",SUM(BuildingsHeatFuelsTable[[#This Row],[Direct]:[Indirect WTT]]))</f>
        <v/>
      </c>
      <c r="O132" s="268"/>
      <c r="P132" s="497"/>
      <c r="Q132" s="157" t="str" cm="1">
        <f t="array" ref="Q132">IF(OR($E132="",$I132=""),"",(INDEX('Emission factors'!$K$3:$V$201,MATCH('Buildings - Heat &amp; Fuels'!$E132&amp;$F132,'Emission factors'!$J$3:$J$201&amp;'Emission factors'!$K$3:$K$201,0),MATCH('Buildings - Heat &amp; Fuels'!Q$6,'Emission factors'!$K$2:$V$2,0)))*$K132)</f>
        <v/>
      </c>
      <c r="R132" s="157" t="str" cm="1">
        <f t="array" ref="R132">IF(OR($E132="",$I132=""),"",(INDEX('Emission factors'!$K$3:$V$201,MATCH('Buildings - Heat &amp; Fuels'!$E132&amp;$F132,'Emission factors'!$J$3:$J$201&amp;'Emission factors'!$K$3:$K$201,0),MATCH('Buildings - Heat &amp; Fuels'!R$6,'Emission factors'!$K$2:$V$2,0)))*$K132)</f>
        <v/>
      </c>
      <c r="S132" s="157" t="str" cm="1">
        <f t="array" ref="S132">IF(OR($E132="",$I132=""),"",(INDEX('Emission factors'!$K$3:$V$201,MATCH('Buildings - Heat &amp; Fuels'!$E132&amp;$F132,'Emission factors'!$J$3:$J$201&amp;'Emission factors'!$K$3:$K$201,0),MATCH('Buildings - Heat &amp; Fuels'!S$6,'Emission factors'!$K$2:$V$2,0)))*$K132)</f>
        <v/>
      </c>
      <c r="T132" s="157" t="str" cm="1">
        <f t="array" ref="T132">IF(OR($E132="",$I132=""),"",(INDEX('Emission factors'!$K$3:$V$201,MATCH('Buildings - Heat &amp; Fuels'!$E132&amp;$F132,'Emission factors'!$J$3:$J$201&amp;'Emission factors'!$K$3:$K$201,0),MATCH('Buildings - Heat &amp; Fuels'!T$6,'Emission factors'!$K$2:$V$2,0)))*$K132)</f>
        <v/>
      </c>
      <c r="U132" s="157" t="str" cm="1">
        <f t="array" ref="U132">IF(OR($E132="",$I132=""),"",(INDEX('Emission factors'!$K$3:$V$201,MATCH('Buildings - Heat &amp; Fuels'!$E132&amp;$F132,'Emission factors'!$J$3:$J$201&amp;'Emission factors'!$K$3:$K$201,0),MATCH('Buildings - Heat &amp; Fuels'!U$6,'Emission factors'!$K$2:$V$2,0)))*$K132)</f>
        <v/>
      </c>
      <c r="V132" s="158" t="str">
        <f>IF(OR($N132="",BuildingsHeatFuelsTable[[#This Row],[RSD]]=""),"",BuildingsHeatFuelsTable[[#This Row],[Total emissions (kgCO2e)]]*(1+BuildingsHeatFuelsTable[[#This Row],[RSD]]))</f>
        <v/>
      </c>
      <c r="W132" s="159" t="str">
        <f>IF(OR($N132="",BuildingsHeatFuelsTable[[#This Row],[RSD]]=""),"",BuildingsHeatFuelsTable[[#This Row],[Total emissions (kgCO2e)]]*(1-BuildingsHeatFuelsTable[[#This Row],[RSD]]))</f>
        <v/>
      </c>
      <c r="X132" s="169" t="str" cm="1">
        <f t="array" ref="X132">IF(OR($E132="",$I132=""),"",(INDEX('Emission factors'!$K$3:$V$201,MATCH('Buildings - Heat &amp; Fuels'!$E132&amp;$F132,'Emission factors'!$J$3:$J$201&amp;'Emission factors'!$K$3:$K$201,0),MATCH('Buildings - Heat &amp; Fuels'!X$6,'Emission factors'!$K$2:$V$2,0)))*$K132)</f>
        <v/>
      </c>
      <c r="Y132" s="30"/>
      <c r="Z132" s="1" cm="1">
        <f t="array" ref="Z132">IF(OR(ISERROR(B132:X132)),1,0)</f>
        <v>0</v>
      </c>
      <c r="AA132" s="1">
        <f t="shared" si="0"/>
        <v>0</v>
      </c>
    </row>
    <row r="133" spans="1:27" ht="15" outlineLevel="1" thickBot="1" x14ac:dyDescent="0.4">
      <c r="A133" s="319"/>
      <c r="B133" s="216"/>
      <c r="C133" s="216"/>
      <c r="D133" s="489" t="str">
        <f>IFERROR(INDEX(BuildingInformationTable[Site type],MATCH(BuildingsHeatFuelsTable[[#This Row],[Site name]],BuildingInformationTable[Site name],0)),"")</f>
        <v/>
      </c>
      <c r="E133" s="491"/>
      <c r="F133" s="491"/>
      <c r="G133" s="491"/>
      <c r="H133" s="492" t="str">
        <f>IF(G133="","",INDEX(Lists!$BA$4:$BC$31,MATCH(E133,Lists!$AZ$4:$AZ$31,0),MATCH(G133,Lists!$BA$3:$BC$3,0)))</f>
        <v/>
      </c>
      <c r="I133" s="267"/>
      <c r="J133" s="491"/>
      <c r="K133" s="493" t="str" cm="1">
        <f t="array" ref="K133">IF(OR($E133="",$D133="",$I133="",$J133=""),"",IF(J133=L133,I133,(INDEX('Emission factors'!$K$3:$V$201,MATCH(E133&amp;F133,'Emission factors'!$J$3:$J$201&amp;'Emission factors'!$K$3:$K$201,0),MATCH(K$6,'Emission factors'!$K$2:$V$2,0)))*I133))</f>
        <v/>
      </c>
      <c r="L133" s="494" t="str">
        <f>IF(OR($E133="",$D133="",$I133="",$J133=""),"",INDEX('Emission factors'!$K$3:$V$201,MATCH('Buildings - Heat &amp; Fuels'!$E133,'Emission factors'!$J$3:$J$201,0),MATCH($L$6,'Emission factors'!$K$2:$V$2,0)))</f>
        <v/>
      </c>
      <c r="M133" s="495" t="str" cm="1">
        <f t="array" ref="M133">IF(OR(E133="",I133="",BuildingsHeatFuelsTable[[#This Row],[Units]]=""),"",INDEX('Emission factors'!$K$3:$V$201,MATCH('Buildings - Heat &amp; Fuels'!$E133&amp;F133,'Emission factors'!$J$3:$J$201&amp;'Emission factors'!$K$3:$K$201,0),MATCH('Buildings - Heat &amp; Fuels'!$M$6,'Emission factors'!$K$2:$V$2,0)))</f>
        <v/>
      </c>
      <c r="N133" s="496" t="str">
        <f>IF(OR(K133="",M133=""),"",SUM(BuildingsHeatFuelsTable[[#This Row],[Direct]:[Indirect WTT]]))</f>
        <v/>
      </c>
      <c r="O133" s="268"/>
      <c r="P133" s="497"/>
      <c r="Q133" s="157" t="str" cm="1">
        <f t="array" ref="Q133">IF(OR($E133="",$I133=""),"",(INDEX('Emission factors'!$K$3:$V$201,MATCH('Buildings - Heat &amp; Fuels'!$E133&amp;$F133,'Emission factors'!$J$3:$J$201&amp;'Emission factors'!$K$3:$K$201,0),MATCH('Buildings - Heat &amp; Fuels'!Q$6,'Emission factors'!$K$2:$V$2,0)))*$K133)</f>
        <v/>
      </c>
      <c r="R133" s="157" t="str" cm="1">
        <f t="array" ref="R133">IF(OR($E133="",$I133=""),"",(INDEX('Emission factors'!$K$3:$V$201,MATCH('Buildings - Heat &amp; Fuels'!$E133&amp;$F133,'Emission factors'!$J$3:$J$201&amp;'Emission factors'!$K$3:$K$201,0),MATCH('Buildings - Heat &amp; Fuels'!R$6,'Emission factors'!$K$2:$V$2,0)))*$K133)</f>
        <v/>
      </c>
      <c r="S133" s="157" t="str" cm="1">
        <f t="array" ref="S133">IF(OR($E133="",$I133=""),"",(INDEX('Emission factors'!$K$3:$V$201,MATCH('Buildings - Heat &amp; Fuels'!$E133&amp;$F133,'Emission factors'!$J$3:$J$201&amp;'Emission factors'!$K$3:$K$201,0),MATCH('Buildings - Heat &amp; Fuels'!S$6,'Emission factors'!$K$2:$V$2,0)))*$K133)</f>
        <v/>
      </c>
      <c r="T133" s="157" t="str" cm="1">
        <f t="array" ref="T133">IF(OR($E133="",$I133=""),"",(INDEX('Emission factors'!$K$3:$V$201,MATCH('Buildings - Heat &amp; Fuels'!$E133&amp;$F133,'Emission factors'!$J$3:$J$201&amp;'Emission factors'!$K$3:$K$201,0),MATCH('Buildings - Heat &amp; Fuels'!T$6,'Emission factors'!$K$2:$V$2,0)))*$K133)</f>
        <v/>
      </c>
      <c r="U133" s="157" t="str" cm="1">
        <f t="array" ref="U133">IF(OR($E133="",$I133=""),"",(INDEX('Emission factors'!$K$3:$V$201,MATCH('Buildings - Heat &amp; Fuels'!$E133&amp;$F133,'Emission factors'!$J$3:$J$201&amp;'Emission factors'!$K$3:$K$201,0),MATCH('Buildings - Heat &amp; Fuels'!U$6,'Emission factors'!$K$2:$V$2,0)))*$K133)</f>
        <v/>
      </c>
      <c r="V133" s="158" t="str">
        <f>IF(OR($N133="",BuildingsHeatFuelsTable[[#This Row],[RSD]]=""),"",BuildingsHeatFuelsTable[[#This Row],[Total emissions (kgCO2e)]]*(1+BuildingsHeatFuelsTable[[#This Row],[RSD]]))</f>
        <v/>
      </c>
      <c r="W133" s="159" t="str">
        <f>IF(OR($N133="",BuildingsHeatFuelsTable[[#This Row],[RSD]]=""),"",BuildingsHeatFuelsTable[[#This Row],[Total emissions (kgCO2e)]]*(1-BuildingsHeatFuelsTable[[#This Row],[RSD]]))</f>
        <v/>
      </c>
      <c r="X133" s="169" t="str" cm="1">
        <f t="array" ref="X133">IF(OR($E133="",$I133=""),"",(INDEX('Emission factors'!$K$3:$V$201,MATCH('Buildings - Heat &amp; Fuels'!$E133&amp;$F133,'Emission factors'!$J$3:$J$201&amp;'Emission factors'!$K$3:$K$201,0),MATCH('Buildings - Heat &amp; Fuels'!X$6,'Emission factors'!$K$2:$V$2,0)))*$K133)</f>
        <v/>
      </c>
      <c r="Y133" s="30"/>
      <c r="Z133" s="1" cm="1">
        <f t="array" ref="Z133">IF(OR(ISERROR(B133:X133)),1,0)</f>
        <v>0</v>
      </c>
      <c r="AA133" s="1">
        <f t="shared" si="0"/>
        <v>0</v>
      </c>
    </row>
    <row r="134" spans="1:27" ht="15" outlineLevel="1" thickBot="1" x14ac:dyDescent="0.4">
      <c r="A134" s="319"/>
      <c r="B134" s="216"/>
      <c r="C134" s="216"/>
      <c r="D134" s="489" t="str">
        <f>IFERROR(INDEX(BuildingInformationTable[Site type],MATCH(BuildingsHeatFuelsTable[[#This Row],[Site name]],BuildingInformationTable[Site name],0)),"")</f>
        <v/>
      </c>
      <c r="E134" s="491"/>
      <c r="F134" s="491"/>
      <c r="G134" s="491"/>
      <c r="H134" s="492" t="str">
        <f>IF(G134="","",INDEX(Lists!$BA$4:$BC$31,MATCH(E134,Lists!$AZ$4:$AZ$31,0),MATCH(G134,Lists!$BA$3:$BC$3,0)))</f>
        <v/>
      </c>
      <c r="I134" s="267"/>
      <c r="J134" s="491"/>
      <c r="K134" s="493" t="str" cm="1">
        <f t="array" ref="K134">IF(OR($E134="",$D134="",$I134="",$J134=""),"",IF(J134=L134,I134,(INDEX('Emission factors'!$K$3:$V$201,MATCH(E134&amp;F134,'Emission factors'!$J$3:$J$201&amp;'Emission factors'!$K$3:$K$201,0),MATCH(K$6,'Emission factors'!$K$2:$V$2,0)))*I134))</f>
        <v/>
      </c>
      <c r="L134" s="494" t="str">
        <f>IF(OR($E134="",$D134="",$I134="",$J134=""),"",INDEX('Emission factors'!$K$3:$V$201,MATCH('Buildings - Heat &amp; Fuels'!$E134,'Emission factors'!$J$3:$J$201,0),MATCH($L$6,'Emission factors'!$K$2:$V$2,0)))</f>
        <v/>
      </c>
      <c r="M134" s="495" t="str" cm="1">
        <f t="array" ref="M134">IF(OR(E134="",I134="",BuildingsHeatFuelsTable[[#This Row],[Units]]=""),"",INDEX('Emission factors'!$K$3:$V$201,MATCH('Buildings - Heat &amp; Fuels'!$E134&amp;F134,'Emission factors'!$J$3:$J$201&amp;'Emission factors'!$K$3:$K$201,0),MATCH('Buildings - Heat &amp; Fuels'!$M$6,'Emission factors'!$K$2:$V$2,0)))</f>
        <v/>
      </c>
      <c r="N134" s="496" t="str">
        <f>IF(OR(K134="",M134=""),"",SUM(BuildingsHeatFuelsTable[[#This Row],[Direct]:[Indirect WTT]]))</f>
        <v/>
      </c>
      <c r="O134" s="268"/>
      <c r="P134" s="497"/>
      <c r="Q134" s="157" t="str" cm="1">
        <f t="array" ref="Q134">IF(OR($E134="",$I134=""),"",(INDEX('Emission factors'!$K$3:$V$201,MATCH('Buildings - Heat &amp; Fuels'!$E134&amp;$F134,'Emission factors'!$J$3:$J$201&amp;'Emission factors'!$K$3:$K$201,0),MATCH('Buildings - Heat &amp; Fuels'!Q$6,'Emission factors'!$K$2:$V$2,0)))*$K134)</f>
        <v/>
      </c>
      <c r="R134" s="157" t="str" cm="1">
        <f t="array" ref="R134">IF(OR($E134="",$I134=""),"",(INDEX('Emission factors'!$K$3:$V$201,MATCH('Buildings - Heat &amp; Fuels'!$E134&amp;$F134,'Emission factors'!$J$3:$J$201&amp;'Emission factors'!$K$3:$K$201,0),MATCH('Buildings - Heat &amp; Fuels'!R$6,'Emission factors'!$K$2:$V$2,0)))*$K134)</f>
        <v/>
      </c>
      <c r="S134" s="157" t="str" cm="1">
        <f t="array" ref="S134">IF(OR($E134="",$I134=""),"",(INDEX('Emission factors'!$K$3:$V$201,MATCH('Buildings - Heat &amp; Fuels'!$E134&amp;$F134,'Emission factors'!$J$3:$J$201&amp;'Emission factors'!$K$3:$K$201,0),MATCH('Buildings - Heat &amp; Fuels'!S$6,'Emission factors'!$K$2:$V$2,0)))*$K134)</f>
        <v/>
      </c>
      <c r="T134" s="157" t="str" cm="1">
        <f t="array" ref="T134">IF(OR($E134="",$I134=""),"",(INDEX('Emission factors'!$K$3:$V$201,MATCH('Buildings - Heat &amp; Fuels'!$E134&amp;$F134,'Emission factors'!$J$3:$J$201&amp;'Emission factors'!$K$3:$K$201,0),MATCH('Buildings - Heat &amp; Fuels'!T$6,'Emission factors'!$K$2:$V$2,0)))*$K134)</f>
        <v/>
      </c>
      <c r="U134" s="157" t="str" cm="1">
        <f t="array" ref="U134">IF(OR($E134="",$I134=""),"",(INDEX('Emission factors'!$K$3:$V$201,MATCH('Buildings - Heat &amp; Fuels'!$E134&amp;$F134,'Emission factors'!$J$3:$J$201&amp;'Emission factors'!$K$3:$K$201,0),MATCH('Buildings - Heat &amp; Fuels'!U$6,'Emission factors'!$K$2:$V$2,0)))*$K134)</f>
        <v/>
      </c>
      <c r="V134" s="158" t="str">
        <f>IF(OR($N134="",BuildingsHeatFuelsTable[[#This Row],[RSD]]=""),"",BuildingsHeatFuelsTable[[#This Row],[Total emissions (kgCO2e)]]*(1+BuildingsHeatFuelsTable[[#This Row],[RSD]]))</f>
        <v/>
      </c>
      <c r="W134" s="159" t="str">
        <f>IF(OR($N134="",BuildingsHeatFuelsTable[[#This Row],[RSD]]=""),"",BuildingsHeatFuelsTable[[#This Row],[Total emissions (kgCO2e)]]*(1-BuildingsHeatFuelsTable[[#This Row],[RSD]]))</f>
        <v/>
      </c>
      <c r="X134" s="169" t="str" cm="1">
        <f t="array" ref="X134">IF(OR($E134="",$I134=""),"",(INDEX('Emission factors'!$K$3:$V$201,MATCH('Buildings - Heat &amp; Fuels'!$E134&amp;$F134,'Emission factors'!$J$3:$J$201&amp;'Emission factors'!$K$3:$K$201,0),MATCH('Buildings - Heat &amp; Fuels'!X$6,'Emission factors'!$K$2:$V$2,0)))*$K134)</f>
        <v/>
      </c>
      <c r="Y134" s="30"/>
      <c r="Z134" s="1" cm="1">
        <f t="array" ref="Z134">IF(OR(ISERROR(B134:X134)),1,0)</f>
        <v>0</v>
      </c>
      <c r="AA134" s="1">
        <f t="shared" si="0"/>
        <v>0</v>
      </c>
    </row>
    <row r="135" spans="1:27" ht="15" outlineLevel="1" thickBot="1" x14ac:dyDescent="0.4">
      <c r="A135" s="319"/>
      <c r="B135" s="216"/>
      <c r="C135" s="216"/>
      <c r="D135" s="489" t="str">
        <f>IFERROR(INDEX(BuildingInformationTable[Site type],MATCH(BuildingsHeatFuelsTable[[#This Row],[Site name]],BuildingInformationTable[Site name],0)),"")</f>
        <v/>
      </c>
      <c r="E135" s="491"/>
      <c r="F135" s="491"/>
      <c r="G135" s="491"/>
      <c r="H135" s="492" t="str">
        <f>IF(G135="","",INDEX(Lists!$BA$4:$BC$31,MATCH(E135,Lists!$AZ$4:$AZ$31,0),MATCH(G135,Lists!$BA$3:$BC$3,0)))</f>
        <v/>
      </c>
      <c r="I135" s="267"/>
      <c r="J135" s="491"/>
      <c r="K135" s="493" t="str" cm="1">
        <f t="array" ref="K135">IF(OR($E135="",$D135="",$I135="",$J135=""),"",IF(J135=L135,I135,(INDEX('Emission factors'!$K$3:$V$201,MATCH(E135&amp;F135,'Emission factors'!$J$3:$J$201&amp;'Emission factors'!$K$3:$K$201,0),MATCH(K$6,'Emission factors'!$K$2:$V$2,0)))*I135))</f>
        <v/>
      </c>
      <c r="L135" s="494" t="str">
        <f>IF(OR($E135="",$D135="",$I135="",$J135=""),"",INDEX('Emission factors'!$K$3:$V$201,MATCH('Buildings - Heat &amp; Fuels'!$E135,'Emission factors'!$J$3:$J$201,0),MATCH($L$6,'Emission factors'!$K$2:$V$2,0)))</f>
        <v/>
      </c>
      <c r="M135" s="495" t="str" cm="1">
        <f t="array" ref="M135">IF(OR(E135="",I135="",BuildingsHeatFuelsTable[[#This Row],[Units]]=""),"",INDEX('Emission factors'!$K$3:$V$201,MATCH('Buildings - Heat &amp; Fuels'!$E135&amp;F135,'Emission factors'!$J$3:$J$201&amp;'Emission factors'!$K$3:$K$201,0),MATCH('Buildings - Heat &amp; Fuels'!$M$6,'Emission factors'!$K$2:$V$2,0)))</f>
        <v/>
      </c>
      <c r="N135" s="496" t="str">
        <f>IF(OR(K135="",M135=""),"",SUM(BuildingsHeatFuelsTable[[#This Row],[Direct]:[Indirect WTT]]))</f>
        <v/>
      </c>
      <c r="O135" s="268"/>
      <c r="P135" s="497"/>
      <c r="Q135" s="157" t="str" cm="1">
        <f t="array" ref="Q135">IF(OR($E135="",$I135=""),"",(INDEX('Emission factors'!$K$3:$V$201,MATCH('Buildings - Heat &amp; Fuels'!$E135&amp;$F135,'Emission factors'!$J$3:$J$201&amp;'Emission factors'!$K$3:$K$201,0),MATCH('Buildings - Heat &amp; Fuels'!Q$6,'Emission factors'!$K$2:$V$2,0)))*$K135)</f>
        <v/>
      </c>
      <c r="R135" s="157" t="str" cm="1">
        <f t="array" ref="R135">IF(OR($E135="",$I135=""),"",(INDEX('Emission factors'!$K$3:$V$201,MATCH('Buildings - Heat &amp; Fuels'!$E135&amp;$F135,'Emission factors'!$J$3:$J$201&amp;'Emission factors'!$K$3:$K$201,0),MATCH('Buildings - Heat &amp; Fuels'!R$6,'Emission factors'!$K$2:$V$2,0)))*$K135)</f>
        <v/>
      </c>
      <c r="S135" s="157" t="str" cm="1">
        <f t="array" ref="S135">IF(OR($E135="",$I135=""),"",(INDEX('Emission factors'!$K$3:$V$201,MATCH('Buildings - Heat &amp; Fuels'!$E135&amp;$F135,'Emission factors'!$J$3:$J$201&amp;'Emission factors'!$K$3:$K$201,0),MATCH('Buildings - Heat &amp; Fuels'!S$6,'Emission factors'!$K$2:$V$2,0)))*$K135)</f>
        <v/>
      </c>
      <c r="T135" s="157" t="str" cm="1">
        <f t="array" ref="T135">IF(OR($E135="",$I135=""),"",(INDEX('Emission factors'!$K$3:$V$201,MATCH('Buildings - Heat &amp; Fuels'!$E135&amp;$F135,'Emission factors'!$J$3:$J$201&amp;'Emission factors'!$K$3:$K$201,0),MATCH('Buildings - Heat &amp; Fuels'!T$6,'Emission factors'!$K$2:$V$2,0)))*$K135)</f>
        <v/>
      </c>
      <c r="U135" s="157" t="str" cm="1">
        <f t="array" ref="U135">IF(OR($E135="",$I135=""),"",(INDEX('Emission factors'!$K$3:$V$201,MATCH('Buildings - Heat &amp; Fuels'!$E135&amp;$F135,'Emission factors'!$J$3:$J$201&amp;'Emission factors'!$K$3:$K$201,0),MATCH('Buildings - Heat &amp; Fuels'!U$6,'Emission factors'!$K$2:$V$2,0)))*$K135)</f>
        <v/>
      </c>
      <c r="V135" s="158" t="str">
        <f>IF(OR($N135="",BuildingsHeatFuelsTable[[#This Row],[RSD]]=""),"",BuildingsHeatFuelsTable[[#This Row],[Total emissions (kgCO2e)]]*(1+BuildingsHeatFuelsTable[[#This Row],[RSD]]))</f>
        <v/>
      </c>
      <c r="W135" s="159" t="str">
        <f>IF(OR($N135="",BuildingsHeatFuelsTable[[#This Row],[RSD]]=""),"",BuildingsHeatFuelsTable[[#This Row],[Total emissions (kgCO2e)]]*(1-BuildingsHeatFuelsTable[[#This Row],[RSD]]))</f>
        <v/>
      </c>
      <c r="X135" s="169" t="str" cm="1">
        <f t="array" ref="X135">IF(OR($E135="",$I135=""),"",(INDEX('Emission factors'!$K$3:$V$201,MATCH('Buildings - Heat &amp; Fuels'!$E135&amp;$F135,'Emission factors'!$J$3:$J$201&amp;'Emission factors'!$K$3:$K$201,0),MATCH('Buildings - Heat &amp; Fuels'!X$6,'Emission factors'!$K$2:$V$2,0)))*$K135)</f>
        <v/>
      </c>
      <c r="Y135" s="30"/>
      <c r="Z135" s="1" cm="1">
        <f t="array" ref="Z135">IF(OR(ISERROR(B135:X135)),1,0)</f>
        <v>0</v>
      </c>
      <c r="AA135" s="1">
        <f t="shared" si="0"/>
        <v>0</v>
      </c>
    </row>
    <row r="136" spans="1:27" ht="15" outlineLevel="1" thickBot="1" x14ac:dyDescent="0.4">
      <c r="A136" s="319"/>
      <c r="B136" s="216"/>
      <c r="C136" s="216"/>
      <c r="D136" s="489" t="str">
        <f>IFERROR(INDEX(BuildingInformationTable[Site type],MATCH(BuildingsHeatFuelsTable[[#This Row],[Site name]],BuildingInformationTable[Site name],0)),"")</f>
        <v/>
      </c>
      <c r="E136" s="491"/>
      <c r="F136" s="491"/>
      <c r="G136" s="491"/>
      <c r="H136" s="492" t="str">
        <f>IF(G136="","",INDEX(Lists!$BA$4:$BC$31,MATCH(E136,Lists!$AZ$4:$AZ$31,0),MATCH(G136,Lists!$BA$3:$BC$3,0)))</f>
        <v/>
      </c>
      <c r="I136" s="267"/>
      <c r="J136" s="491"/>
      <c r="K136" s="493" t="str" cm="1">
        <f t="array" ref="K136">IF(OR($E136="",$D136="",$I136="",$J136=""),"",IF(J136=L136,I136,(INDEX('Emission factors'!$K$3:$V$201,MATCH(E136&amp;F136,'Emission factors'!$J$3:$J$201&amp;'Emission factors'!$K$3:$K$201,0),MATCH(K$6,'Emission factors'!$K$2:$V$2,0)))*I136))</f>
        <v/>
      </c>
      <c r="L136" s="494" t="str">
        <f>IF(OR($E136="",$D136="",$I136="",$J136=""),"",INDEX('Emission factors'!$K$3:$V$201,MATCH('Buildings - Heat &amp; Fuels'!$E136,'Emission factors'!$J$3:$J$201,0),MATCH($L$6,'Emission factors'!$K$2:$V$2,0)))</f>
        <v/>
      </c>
      <c r="M136" s="495" t="str" cm="1">
        <f t="array" ref="M136">IF(OR(E136="",I136="",BuildingsHeatFuelsTable[[#This Row],[Units]]=""),"",INDEX('Emission factors'!$K$3:$V$201,MATCH('Buildings - Heat &amp; Fuels'!$E136&amp;F136,'Emission factors'!$J$3:$J$201&amp;'Emission factors'!$K$3:$K$201,0),MATCH('Buildings - Heat &amp; Fuels'!$M$6,'Emission factors'!$K$2:$V$2,0)))</f>
        <v/>
      </c>
      <c r="N136" s="496" t="str">
        <f>IF(OR(K136="",M136=""),"",SUM(BuildingsHeatFuelsTable[[#This Row],[Direct]:[Indirect WTT]]))</f>
        <v/>
      </c>
      <c r="O136" s="268"/>
      <c r="P136" s="497"/>
      <c r="Q136" s="157" t="str" cm="1">
        <f t="array" ref="Q136">IF(OR($E136="",$I136=""),"",(INDEX('Emission factors'!$K$3:$V$201,MATCH('Buildings - Heat &amp; Fuels'!$E136&amp;$F136,'Emission factors'!$J$3:$J$201&amp;'Emission factors'!$K$3:$K$201,0),MATCH('Buildings - Heat &amp; Fuels'!Q$6,'Emission factors'!$K$2:$V$2,0)))*$K136)</f>
        <v/>
      </c>
      <c r="R136" s="157" t="str" cm="1">
        <f t="array" ref="R136">IF(OR($E136="",$I136=""),"",(INDEX('Emission factors'!$K$3:$V$201,MATCH('Buildings - Heat &amp; Fuels'!$E136&amp;$F136,'Emission factors'!$J$3:$J$201&amp;'Emission factors'!$K$3:$K$201,0),MATCH('Buildings - Heat &amp; Fuels'!R$6,'Emission factors'!$K$2:$V$2,0)))*$K136)</f>
        <v/>
      </c>
      <c r="S136" s="157" t="str" cm="1">
        <f t="array" ref="S136">IF(OR($E136="",$I136=""),"",(INDEX('Emission factors'!$K$3:$V$201,MATCH('Buildings - Heat &amp; Fuels'!$E136&amp;$F136,'Emission factors'!$J$3:$J$201&amp;'Emission factors'!$K$3:$K$201,0),MATCH('Buildings - Heat &amp; Fuels'!S$6,'Emission factors'!$K$2:$V$2,0)))*$K136)</f>
        <v/>
      </c>
      <c r="T136" s="157" t="str" cm="1">
        <f t="array" ref="T136">IF(OR($E136="",$I136=""),"",(INDEX('Emission factors'!$K$3:$V$201,MATCH('Buildings - Heat &amp; Fuels'!$E136&amp;$F136,'Emission factors'!$J$3:$J$201&amp;'Emission factors'!$K$3:$K$201,0),MATCH('Buildings - Heat &amp; Fuels'!T$6,'Emission factors'!$K$2:$V$2,0)))*$K136)</f>
        <v/>
      </c>
      <c r="U136" s="157" t="str" cm="1">
        <f t="array" ref="U136">IF(OR($E136="",$I136=""),"",(INDEX('Emission factors'!$K$3:$V$201,MATCH('Buildings - Heat &amp; Fuels'!$E136&amp;$F136,'Emission factors'!$J$3:$J$201&amp;'Emission factors'!$K$3:$K$201,0),MATCH('Buildings - Heat &amp; Fuels'!U$6,'Emission factors'!$K$2:$V$2,0)))*$K136)</f>
        <v/>
      </c>
      <c r="V136" s="158" t="str">
        <f>IF(OR($N136="",BuildingsHeatFuelsTable[[#This Row],[RSD]]=""),"",BuildingsHeatFuelsTable[[#This Row],[Total emissions (kgCO2e)]]*(1+BuildingsHeatFuelsTable[[#This Row],[RSD]]))</f>
        <v/>
      </c>
      <c r="W136" s="159" t="str">
        <f>IF(OR($N136="",BuildingsHeatFuelsTable[[#This Row],[RSD]]=""),"",BuildingsHeatFuelsTable[[#This Row],[Total emissions (kgCO2e)]]*(1-BuildingsHeatFuelsTable[[#This Row],[RSD]]))</f>
        <v/>
      </c>
      <c r="X136" s="169" t="str" cm="1">
        <f t="array" ref="X136">IF(OR($E136="",$I136=""),"",(INDEX('Emission factors'!$K$3:$V$201,MATCH('Buildings - Heat &amp; Fuels'!$E136&amp;$F136,'Emission factors'!$J$3:$J$201&amp;'Emission factors'!$K$3:$K$201,0),MATCH('Buildings - Heat &amp; Fuels'!X$6,'Emission factors'!$K$2:$V$2,0)))*$K136)</f>
        <v/>
      </c>
      <c r="Y136" s="30"/>
      <c r="Z136" s="1" cm="1">
        <f t="array" ref="Z136">IF(OR(ISERROR(B136:X136)),1,0)</f>
        <v>0</v>
      </c>
      <c r="AA136" s="1">
        <f t="shared" si="0"/>
        <v>0</v>
      </c>
    </row>
    <row r="137" spans="1:27" ht="15" outlineLevel="1" thickBot="1" x14ac:dyDescent="0.4">
      <c r="A137" s="319"/>
      <c r="B137" s="216"/>
      <c r="C137" s="216"/>
      <c r="D137" s="489" t="str">
        <f>IFERROR(INDEX(BuildingInformationTable[Site type],MATCH(BuildingsHeatFuelsTable[[#This Row],[Site name]],BuildingInformationTable[Site name],0)),"")</f>
        <v/>
      </c>
      <c r="E137" s="491"/>
      <c r="F137" s="491"/>
      <c r="G137" s="491"/>
      <c r="H137" s="492" t="str">
        <f>IF(G137="","",INDEX(Lists!$BA$4:$BC$31,MATCH(E137,Lists!$AZ$4:$AZ$31,0),MATCH(G137,Lists!$BA$3:$BC$3,0)))</f>
        <v/>
      </c>
      <c r="I137" s="267"/>
      <c r="J137" s="491"/>
      <c r="K137" s="493" t="str" cm="1">
        <f t="array" ref="K137">IF(OR($E137="",$D137="",$I137="",$J137=""),"",IF(J137=L137,I137,(INDEX('Emission factors'!$K$3:$V$201,MATCH(E137&amp;F137,'Emission factors'!$J$3:$J$201&amp;'Emission factors'!$K$3:$K$201,0),MATCH(K$6,'Emission factors'!$K$2:$V$2,0)))*I137))</f>
        <v/>
      </c>
      <c r="L137" s="494" t="str">
        <f>IF(OR($E137="",$D137="",$I137="",$J137=""),"",INDEX('Emission factors'!$K$3:$V$201,MATCH('Buildings - Heat &amp; Fuels'!$E137,'Emission factors'!$J$3:$J$201,0),MATCH($L$6,'Emission factors'!$K$2:$V$2,0)))</f>
        <v/>
      </c>
      <c r="M137" s="495" t="str" cm="1">
        <f t="array" ref="M137">IF(OR(E137="",I137="",BuildingsHeatFuelsTable[[#This Row],[Units]]=""),"",INDEX('Emission factors'!$K$3:$V$201,MATCH('Buildings - Heat &amp; Fuels'!$E137&amp;F137,'Emission factors'!$J$3:$J$201&amp;'Emission factors'!$K$3:$K$201,0),MATCH('Buildings - Heat &amp; Fuels'!$M$6,'Emission factors'!$K$2:$V$2,0)))</f>
        <v/>
      </c>
      <c r="N137" s="496" t="str">
        <f>IF(OR(K137="",M137=""),"",SUM(BuildingsHeatFuelsTable[[#This Row],[Direct]:[Indirect WTT]]))</f>
        <v/>
      </c>
      <c r="O137" s="268"/>
      <c r="P137" s="497"/>
      <c r="Q137" s="157" t="str" cm="1">
        <f t="array" ref="Q137">IF(OR($E137="",$I137=""),"",(INDEX('Emission factors'!$K$3:$V$201,MATCH('Buildings - Heat &amp; Fuels'!$E137&amp;$F137,'Emission factors'!$J$3:$J$201&amp;'Emission factors'!$K$3:$K$201,0),MATCH('Buildings - Heat &amp; Fuels'!Q$6,'Emission factors'!$K$2:$V$2,0)))*$K137)</f>
        <v/>
      </c>
      <c r="R137" s="157" t="str" cm="1">
        <f t="array" ref="R137">IF(OR($E137="",$I137=""),"",(INDEX('Emission factors'!$K$3:$V$201,MATCH('Buildings - Heat &amp; Fuels'!$E137&amp;$F137,'Emission factors'!$J$3:$J$201&amp;'Emission factors'!$K$3:$K$201,0),MATCH('Buildings - Heat &amp; Fuels'!R$6,'Emission factors'!$K$2:$V$2,0)))*$K137)</f>
        <v/>
      </c>
      <c r="S137" s="157" t="str" cm="1">
        <f t="array" ref="S137">IF(OR($E137="",$I137=""),"",(INDEX('Emission factors'!$K$3:$V$201,MATCH('Buildings - Heat &amp; Fuels'!$E137&amp;$F137,'Emission factors'!$J$3:$J$201&amp;'Emission factors'!$K$3:$K$201,0),MATCH('Buildings - Heat &amp; Fuels'!S$6,'Emission factors'!$K$2:$V$2,0)))*$K137)</f>
        <v/>
      </c>
      <c r="T137" s="157" t="str" cm="1">
        <f t="array" ref="T137">IF(OR($E137="",$I137=""),"",(INDEX('Emission factors'!$K$3:$V$201,MATCH('Buildings - Heat &amp; Fuels'!$E137&amp;$F137,'Emission factors'!$J$3:$J$201&amp;'Emission factors'!$K$3:$K$201,0),MATCH('Buildings - Heat &amp; Fuels'!T$6,'Emission factors'!$K$2:$V$2,0)))*$K137)</f>
        <v/>
      </c>
      <c r="U137" s="157" t="str" cm="1">
        <f t="array" ref="U137">IF(OR($E137="",$I137=""),"",(INDEX('Emission factors'!$K$3:$V$201,MATCH('Buildings - Heat &amp; Fuels'!$E137&amp;$F137,'Emission factors'!$J$3:$J$201&amp;'Emission factors'!$K$3:$K$201,0),MATCH('Buildings - Heat &amp; Fuels'!U$6,'Emission factors'!$K$2:$V$2,0)))*$K137)</f>
        <v/>
      </c>
      <c r="V137" s="158" t="str">
        <f>IF(OR($N137="",BuildingsHeatFuelsTable[[#This Row],[RSD]]=""),"",BuildingsHeatFuelsTable[[#This Row],[Total emissions (kgCO2e)]]*(1+BuildingsHeatFuelsTable[[#This Row],[RSD]]))</f>
        <v/>
      </c>
      <c r="W137" s="159" t="str">
        <f>IF(OR($N137="",BuildingsHeatFuelsTable[[#This Row],[RSD]]=""),"",BuildingsHeatFuelsTable[[#This Row],[Total emissions (kgCO2e)]]*(1-BuildingsHeatFuelsTable[[#This Row],[RSD]]))</f>
        <v/>
      </c>
      <c r="X137" s="169" t="str" cm="1">
        <f t="array" ref="X137">IF(OR($E137="",$I137=""),"",(INDEX('Emission factors'!$K$3:$V$201,MATCH('Buildings - Heat &amp; Fuels'!$E137&amp;$F137,'Emission factors'!$J$3:$J$201&amp;'Emission factors'!$K$3:$K$201,0),MATCH('Buildings - Heat &amp; Fuels'!X$6,'Emission factors'!$K$2:$V$2,0)))*$K137)</f>
        <v/>
      </c>
      <c r="Y137" s="30"/>
      <c r="Z137" s="1" cm="1">
        <f t="array" ref="Z137">IF(OR(ISERROR(B137:X137)),1,0)</f>
        <v>0</v>
      </c>
      <c r="AA137" s="1">
        <f t="shared" si="0"/>
        <v>0</v>
      </c>
    </row>
    <row r="138" spans="1:27" ht="15" outlineLevel="1" thickBot="1" x14ac:dyDescent="0.4">
      <c r="A138" s="319"/>
      <c r="B138" s="216"/>
      <c r="C138" s="216"/>
      <c r="D138" s="489" t="str">
        <f>IFERROR(INDEX(BuildingInformationTable[Site type],MATCH(BuildingsHeatFuelsTable[[#This Row],[Site name]],BuildingInformationTable[Site name],0)),"")</f>
        <v/>
      </c>
      <c r="E138" s="491"/>
      <c r="F138" s="491"/>
      <c r="G138" s="491"/>
      <c r="H138" s="492" t="str">
        <f>IF(G138="","",INDEX(Lists!$BA$4:$BC$31,MATCH(E138,Lists!$AZ$4:$AZ$31,0),MATCH(G138,Lists!$BA$3:$BC$3,0)))</f>
        <v/>
      </c>
      <c r="I138" s="267"/>
      <c r="J138" s="491"/>
      <c r="K138" s="493" t="str" cm="1">
        <f t="array" ref="K138">IF(OR($E138="",$D138="",$I138="",$J138=""),"",IF(J138=L138,I138,(INDEX('Emission factors'!$K$3:$V$201,MATCH(E138&amp;F138,'Emission factors'!$J$3:$J$201&amp;'Emission factors'!$K$3:$K$201,0),MATCH(K$6,'Emission factors'!$K$2:$V$2,0)))*I138))</f>
        <v/>
      </c>
      <c r="L138" s="494" t="str">
        <f>IF(OR($E138="",$D138="",$I138="",$J138=""),"",INDEX('Emission factors'!$K$3:$V$201,MATCH('Buildings - Heat &amp; Fuels'!$E138,'Emission factors'!$J$3:$J$201,0),MATCH($L$6,'Emission factors'!$K$2:$V$2,0)))</f>
        <v/>
      </c>
      <c r="M138" s="495" t="str" cm="1">
        <f t="array" ref="M138">IF(OR(E138="",I138="",BuildingsHeatFuelsTable[[#This Row],[Units]]=""),"",INDEX('Emission factors'!$K$3:$V$201,MATCH('Buildings - Heat &amp; Fuels'!$E138&amp;F138,'Emission factors'!$J$3:$J$201&amp;'Emission factors'!$K$3:$K$201,0),MATCH('Buildings - Heat &amp; Fuels'!$M$6,'Emission factors'!$K$2:$V$2,0)))</f>
        <v/>
      </c>
      <c r="N138" s="496" t="str">
        <f>IF(OR(K138="",M138=""),"",SUM(BuildingsHeatFuelsTable[[#This Row],[Direct]:[Indirect WTT]]))</f>
        <v/>
      </c>
      <c r="O138" s="268"/>
      <c r="P138" s="497"/>
      <c r="Q138" s="157" t="str" cm="1">
        <f t="array" ref="Q138">IF(OR($E138="",$I138=""),"",(INDEX('Emission factors'!$K$3:$V$201,MATCH('Buildings - Heat &amp; Fuels'!$E138&amp;$F138,'Emission factors'!$J$3:$J$201&amp;'Emission factors'!$K$3:$K$201,0),MATCH('Buildings - Heat &amp; Fuels'!Q$6,'Emission factors'!$K$2:$V$2,0)))*$K138)</f>
        <v/>
      </c>
      <c r="R138" s="157" t="str" cm="1">
        <f t="array" ref="R138">IF(OR($E138="",$I138=""),"",(INDEX('Emission factors'!$K$3:$V$201,MATCH('Buildings - Heat &amp; Fuels'!$E138&amp;$F138,'Emission factors'!$J$3:$J$201&amp;'Emission factors'!$K$3:$K$201,0),MATCH('Buildings - Heat &amp; Fuels'!R$6,'Emission factors'!$K$2:$V$2,0)))*$K138)</f>
        <v/>
      </c>
      <c r="S138" s="157" t="str" cm="1">
        <f t="array" ref="S138">IF(OR($E138="",$I138=""),"",(INDEX('Emission factors'!$K$3:$V$201,MATCH('Buildings - Heat &amp; Fuels'!$E138&amp;$F138,'Emission factors'!$J$3:$J$201&amp;'Emission factors'!$K$3:$K$201,0),MATCH('Buildings - Heat &amp; Fuels'!S$6,'Emission factors'!$K$2:$V$2,0)))*$K138)</f>
        <v/>
      </c>
      <c r="T138" s="157" t="str" cm="1">
        <f t="array" ref="T138">IF(OR($E138="",$I138=""),"",(INDEX('Emission factors'!$K$3:$V$201,MATCH('Buildings - Heat &amp; Fuels'!$E138&amp;$F138,'Emission factors'!$J$3:$J$201&amp;'Emission factors'!$K$3:$K$201,0),MATCH('Buildings - Heat &amp; Fuels'!T$6,'Emission factors'!$K$2:$V$2,0)))*$K138)</f>
        <v/>
      </c>
      <c r="U138" s="157" t="str" cm="1">
        <f t="array" ref="U138">IF(OR($E138="",$I138=""),"",(INDEX('Emission factors'!$K$3:$V$201,MATCH('Buildings - Heat &amp; Fuels'!$E138&amp;$F138,'Emission factors'!$J$3:$J$201&amp;'Emission factors'!$K$3:$K$201,0),MATCH('Buildings - Heat &amp; Fuels'!U$6,'Emission factors'!$K$2:$V$2,0)))*$K138)</f>
        <v/>
      </c>
      <c r="V138" s="158" t="str">
        <f>IF(OR($N138="",BuildingsHeatFuelsTable[[#This Row],[RSD]]=""),"",BuildingsHeatFuelsTable[[#This Row],[Total emissions (kgCO2e)]]*(1+BuildingsHeatFuelsTable[[#This Row],[RSD]]))</f>
        <v/>
      </c>
      <c r="W138" s="159" t="str">
        <f>IF(OR($N138="",BuildingsHeatFuelsTable[[#This Row],[RSD]]=""),"",BuildingsHeatFuelsTable[[#This Row],[Total emissions (kgCO2e)]]*(1-BuildingsHeatFuelsTable[[#This Row],[RSD]]))</f>
        <v/>
      </c>
      <c r="X138" s="169" t="str" cm="1">
        <f t="array" ref="X138">IF(OR($E138="",$I138=""),"",(INDEX('Emission factors'!$K$3:$V$201,MATCH('Buildings - Heat &amp; Fuels'!$E138&amp;$F138,'Emission factors'!$J$3:$J$201&amp;'Emission factors'!$K$3:$K$201,0),MATCH('Buildings - Heat &amp; Fuels'!X$6,'Emission factors'!$K$2:$V$2,0)))*$K138)</f>
        <v/>
      </c>
      <c r="Y138" s="30"/>
      <c r="Z138" s="1" cm="1">
        <f t="array" ref="Z138">IF(OR(ISERROR(B138:X138)),1,0)</f>
        <v>0</v>
      </c>
      <c r="AA138" s="1">
        <f t="shared" si="0"/>
        <v>0</v>
      </c>
    </row>
    <row r="139" spans="1:27" ht="15" outlineLevel="1" thickBot="1" x14ac:dyDescent="0.4">
      <c r="A139" s="319"/>
      <c r="B139" s="216"/>
      <c r="C139" s="216"/>
      <c r="D139" s="489" t="str">
        <f>IFERROR(INDEX(BuildingInformationTable[Site type],MATCH(BuildingsHeatFuelsTable[[#This Row],[Site name]],BuildingInformationTable[Site name],0)),"")</f>
        <v/>
      </c>
      <c r="E139" s="491"/>
      <c r="F139" s="491"/>
      <c r="G139" s="491"/>
      <c r="H139" s="492" t="str">
        <f>IF(G139="","",INDEX(Lists!$BA$4:$BC$31,MATCH(E139,Lists!$AZ$4:$AZ$31,0),MATCH(G139,Lists!$BA$3:$BC$3,0)))</f>
        <v/>
      </c>
      <c r="I139" s="267"/>
      <c r="J139" s="491"/>
      <c r="K139" s="493" t="str" cm="1">
        <f t="array" ref="K139">IF(OR($E139="",$D139="",$I139="",$J139=""),"",IF(J139=L139,I139,(INDEX('Emission factors'!$K$3:$V$201,MATCH(E139&amp;F139,'Emission factors'!$J$3:$J$201&amp;'Emission factors'!$K$3:$K$201,0),MATCH(K$6,'Emission factors'!$K$2:$V$2,0)))*I139))</f>
        <v/>
      </c>
      <c r="L139" s="494" t="str">
        <f>IF(OR($E139="",$D139="",$I139="",$J139=""),"",INDEX('Emission factors'!$K$3:$V$201,MATCH('Buildings - Heat &amp; Fuels'!$E139,'Emission factors'!$J$3:$J$201,0),MATCH($L$6,'Emission factors'!$K$2:$V$2,0)))</f>
        <v/>
      </c>
      <c r="M139" s="495" t="str" cm="1">
        <f t="array" ref="M139">IF(OR(E139="",I139="",BuildingsHeatFuelsTable[[#This Row],[Units]]=""),"",INDEX('Emission factors'!$K$3:$V$201,MATCH('Buildings - Heat &amp; Fuels'!$E139&amp;F139,'Emission factors'!$J$3:$J$201&amp;'Emission factors'!$K$3:$K$201,0),MATCH('Buildings - Heat &amp; Fuels'!$M$6,'Emission factors'!$K$2:$V$2,0)))</f>
        <v/>
      </c>
      <c r="N139" s="496" t="str">
        <f>IF(OR(K139="",M139=""),"",SUM(BuildingsHeatFuelsTable[[#This Row],[Direct]:[Indirect WTT]]))</f>
        <v/>
      </c>
      <c r="O139" s="268"/>
      <c r="P139" s="497"/>
      <c r="Q139" s="157" t="str" cm="1">
        <f t="array" ref="Q139">IF(OR($E139="",$I139=""),"",(INDEX('Emission factors'!$K$3:$V$201,MATCH('Buildings - Heat &amp; Fuels'!$E139&amp;$F139,'Emission factors'!$J$3:$J$201&amp;'Emission factors'!$K$3:$K$201,0),MATCH('Buildings - Heat &amp; Fuels'!Q$6,'Emission factors'!$K$2:$V$2,0)))*$K139)</f>
        <v/>
      </c>
      <c r="R139" s="157" t="str" cm="1">
        <f t="array" ref="R139">IF(OR($E139="",$I139=""),"",(INDEX('Emission factors'!$K$3:$V$201,MATCH('Buildings - Heat &amp; Fuels'!$E139&amp;$F139,'Emission factors'!$J$3:$J$201&amp;'Emission factors'!$K$3:$K$201,0),MATCH('Buildings - Heat &amp; Fuels'!R$6,'Emission factors'!$K$2:$V$2,0)))*$K139)</f>
        <v/>
      </c>
      <c r="S139" s="157" t="str" cm="1">
        <f t="array" ref="S139">IF(OR($E139="",$I139=""),"",(INDEX('Emission factors'!$K$3:$V$201,MATCH('Buildings - Heat &amp; Fuels'!$E139&amp;$F139,'Emission factors'!$J$3:$J$201&amp;'Emission factors'!$K$3:$K$201,0),MATCH('Buildings - Heat &amp; Fuels'!S$6,'Emission factors'!$K$2:$V$2,0)))*$K139)</f>
        <v/>
      </c>
      <c r="T139" s="157" t="str" cm="1">
        <f t="array" ref="T139">IF(OR($E139="",$I139=""),"",(INDEX('Emission factors'!$K$3:$V$201,MATCH('Buildings - Heat &amp; Fuels'!$E139&amp;$F139,'Emission factors'!$J$3:$J$201&amp;'Emission factors'!$K$3:$K$201,0),MATCH('Buildings - Heat &amp; Fuels'!T$6,'Emission factors'!$K$2:$V$2,0)))*$K139)</f>
        <v/>
      </c>
      <c r="U139" s="157" t="str" cm="1">
        <f t="array" ref="U139">IF(OR($E139="",$I139=""),"",(INDEX('Emission factors'!$K$3:$V$201,MATCH('Buildings - Heat &amp; Fuels'!$E139&amp;$F139,'Emission factors'!$J$3:$J$201&amp;'Emission factors'!$K$3:$K$201,0),MATCH('Buildings - Heat &amp; Fuels'!U$6,'Emission factors'!$K$2:$V$2,0)))*$K139)</f>
        <v/>
      </c>
      <c r="V139" s="158" t="str">
        <f>IF(OR($N139="",BuildingsHeatFuelsTable[[#This Row],[RSD]]=""),"",BuildingsHeatFuelsTable[[#This Row],[Total emissions (kgCO2e)]]*(1+BuildingsHeatFuelsTable[[#This Row],[RSD]]))</f>
        <v/>
      </c>
      <c r="W139" s="159" t="str">
        <f>IF(OR($N139="",BuildingsHeatFuelsTable[[#This Row],[RSD]]=""),"",BuildingsHeatFuelsTable[[#This Row],[Total emissions (kgCO2e)]]*(1-BuildingsHeatFuelsTable[[#This Row],[RSD]]))</f>
        <v/>
      </c>
      <c r="X139" s="169" t="str" cm="1">
        <f t="array" ref="X139">IF(OR($E139="",$I139=""),"",(INDEX('Emission factors'!$K$3:$V$201,MATCH('Buildings - Heat &amp; Fuels'!$E139&amp;$F139,'Emission factors'!$J$3:$J$201&amp;'Emission factors'!$K$3:$K$201,0),MATCH('Buildings - Heat &amp; Fuels'!X$6,'Emission factors'!$K$2:$V$2,0)))*$K139)</f>
        <v/>
      </c>
      <c r="Y139" s="30"/>
      <c r="Z139" s="1" cm="1">
        <f t="array" ref="Z139">IF(OR(ISERROR(B139:X139)),1,0)</f>
        <v>0</v>
      </c>
      <c r="AA139" s="1">
        <f t="shared" si="0"/>
        <v>0</v>
      </c>
    </row>
    <row r="140" spans="1:27" ht="15" outlineLevel="1" thickBot="1" x14ac:dyDescent="0.4">
      <c r="A140" s="319"/>
      <c r="B140" s="216"/>
      <c r="C140" s="216"/>
      <c r="D140" s="489" t="str">
        <f>IFERROR(INDEX(BuildingInformationTable[Site type],MATCH(BuildingsHeatFuelsTable[[#This Row],[Site name]],BuildingInformationTable[Site name],0)),"")</f>
        <v/>
      </c>
      <c r="E140" s="491"/>
      <c r="F140" s="491"/>
      <c r="G140" s="491"/>
      <c r="H140" s="492" t="str">
        <f>IF(G140="","",INDEX(Lists!$BA$4:$BC$31,MATCH(E140,Lists!$AZ$4:$AZ$31,0),MATCH(G140,Lists!$BA$3:$BC$3,0)))</f>
        <v/>
      </c>
      <c r="I140" s="267"/>
      <c r="J140" s="491"/>
      <c r="K140" s="493" t="str" cm="1">
        <f t="array" ref="K140">IF(OR($E140="",$D140="",$I140="",$J140=""),"",IF(J140=L140,I140,(INDEX('Emission factors'!$K$3:$V$201,MATCH(E140&amp;F140,'Emission factors'!$J$3:$J$201&amp;'Emission factors'!$K$3:$K$201,0),MATCH(K$6,'Emission factors'!$K$2:$V$2,0)))*I140))</f>
        <v/>
      </c>
      <c r="L140" s="494" t="str">
        <f>IF(OR($E140="",$D140="",$I140="",$J140=""),"",INDEX('Emission factors'!$K$3:$V$201,MATCH('Buildings - Heat &amp; Fuels'!$E140,'Emission factors'!$J$3:$J$201,0),MATCH($L$6,'Emission factors'!$K$2:$V$2,0)))</f>
        <v/>
      </c>
      <c r="M140" s="495" t="str" cm="1">
        <f t="array" ref="M140">IF(OR(E140="",I140="",BuildingsHeatFuelsTable[[#This Row],[Units]]=""),"",INDEX('Emission factors'!$K$3:$V$201,MATCH('Buildings - Heat &amp; Fuels'!$E140&amp;F140,'Emission factors'!$J$3:$J$201&amp;'Emission factors'!$K$3:$K$201,0),MATCH('Buildings - Heat &amp; Fuels'!$M$6,'Emission factors'!$K$2:$V$2,0)))</f>
        <v/>
      </c>
      <c r="N140" s="496" t="str">
        <f>IF(OR(K140="",M140=""),"",SUM(BuildingsHeatFuelsTable[[#This Row],[Direct]:[Indirect WTT]]))</f>
        <v/>
      </c>
      <c r="O140" s="268"/>
      <c r="P140" s="497"/>
      <c r="Q140" s="157" t="str" cm="1">
        <f t="array" ref="Q140">IF(OR($E140="",$I140=""),"",(INDEX('Emission factors'!$K$3:$V$201,MATCH('Buildings - Heat &amp; Fuels'!$E140&amp;$F140,'Emission factors'!$J$3:$J$201&amp;'Emission factors'!$K$3:$K$201,0),MATCH('Buildings - Heat &amp; Fuels'!Q$6,'Emission factors'!$K$2:$V$2,0)))*$K140)</f>
        <v/>
      </c>
      <c r="R140" s="157" t="str" cm="1">
        <f t="array" ref="R140">IF(OR($E140="",$I140=""),"",(INDEX('Emission factors'!$K$3:$V$201,MATCH('Buildings - Heat &amp; Fuels'!$E140&amp;$F140,'Emission factors'!$J$3:$J$201&amp;'Emission factors'!$K$3:$K$201,0),MATCH('Buildings - Heat &amp; Fuels'!R$6,'Emission factors'!$K$2:$V$2,0)))*$K140)</f>
        <v/>
      </c>
      <c r="S140" s="157" t="str" cm="1">
        <f t="array" ref="S140">IF(OR($E140="",$I140=""),"",(INDEX('Emission factors'!$K$3:$V$201,MATCH('Buildings - Heat &amp; Fuels'!$E140&amp;$F140,'Emission factors'!$J$3:$J$201&amp;'Emission factors'!$K$3:$K$201,0),MATCH('Buildings - Heat &amp; Fuels'!S$6,'Emission factors'!$K$2:$V$2,0)))*$K140)</f>
        <v/>
      </c>
      <c r="T140" s="157" t="str" cm="1">
        <f t="array" ref="T140">IF(OR($E140="",$I140=""),"",(INDEX('Emission factors'!$K$3:$V$201,MATCH('Buildings - Heat &amp; Fuels'!$E140&amp;$F140,'Emission factors'!$J$3:$J$201&amp;'Emission factors'!$K$3:$K$201,0),MATCH('Buildings - Heat &amp; Fuels'!T$6,'Emission factors'!$K$2:$V$2,0)))*$K140)</f>
        <v/>
      </c>
      <c r="U140" s="157" t="str" cm="1">
        <f t="array" ref="U140">IF(OR($E140="",$I140=""),"",(INDEX('Emission factors'!$K$3:$V$201,MATCH('Buildings - Heat &amp; Fuels'!$E140&amp;$F140,'Emission factors'!$J$3:$J$201&amp;'Emission factors'!$K$3:$K$201,0),MATCH('Buildings - Heat &amp; Fuels'!U$6,'Emission factors'!$K$2:$V$2,0)))*$K140)</f>
        <v/>
      </c>
      <c r="V140" s="158" t="str">
        <f>IF(OR($N140="",BuildingsHeatFuelsTable[[#This Row],[RSD]]=""),"",BuildingsHeatFuelsTable[[#This Row],[Total emissions (kgCO2e)]]*(1+BuildingsHeatFuelsTable[[#This Row],[RSD]]))</f>
        <v/>
      </c>
      <c r="W140" s="159" t="str">
        <f>IF(OR($N140="",BuildingsHeatFuelsTable[[#This Row],[RSD]]=""),"",BuildingsHeatFuelsTable[[#This Row],[Total emissions (kgCO2e)]]*(1-BuildingsHeatFuelsTable[[#This Row],[RSD]]))</f>
        <v/>
      </c>
      <c r="X140" s="169" t="str" cm="1">
        <f t="array" ref="X140">IF(OR($E140="",$I140=""),"",(INDEX('Emission factors'!$K$3:$V$201,MATCH('Buildings - Heat &amp; Fuels'!$E140&amp;$F140,'Emission factors'!$J$3:$J$201&amp;'Emission factors'!$K$3:$K$201,0),MATCH('Buildings - Heat &amp; Fuels'!X$6,'Emission factors'!$K$2:$V$2,0)))*$K140)</f>
        <v/>
      </c>
      <c r="Y140" s="30"/>
      <c r="Z140" s="1" cm="1">
        <f t="array" ref="Z140">IF(OR(ISERROR(B140:X140)),1,0)</f>
        <v>0</v>
      </c>
      <c r="AA140" s="1">
        <f t="shared" si="0"/>
        <v>0</v>
      </c>
    </row>
    <row r="141" spans="1:27" ht="15" outlineLevel="1" thickBot="1" x14ac:dyDescent="0.4">
      <c r="A141" s="319"/>
      <c r="B141" s="216"/>
      <c r="C141" s="216"/>
      <c r="D141" s="489" t="str">
        <f>IFERROR(INDEX(BuildingInformationTable[Site type],MATCH(BuildingsHeatFuelsTable[[#This Row],[Site name]],BuildingInformationTable[Site name],0)),"")</f>
        <v/>
      </c>
      <c r="E141" s="491"/>
      <c r="F141" s="491"/>
      <c r="G141" s="491"/>
      <c r="H141" s="492" t="str">
        <f>IF(G141="","",INDEX(Lists!$BA$4:$BC$31,MATCH(E141,Lists!$AZ$4:$AZ$31,0),MATCH(G141,Lists!$BA$3:$BC$3,0)))</f>
        <v/>
      </c>
      <c r="I141" s="267"/>
      <c r="J141" s="491"/>
      <c r="K141" s="493" t="str" cm="1">
        <f t="array" ref="K141">IF(OR($E141="",$D141="",$I141="",$J141=""),"",IF(J141=L141,I141,(INDEX('Emission factors'!$K$3:$V$201,MATCH(E141&amp;F141,'Emission factors'!$J$3:$J$201&amp;'Emission factors'!$K$3:$K$201,0),MATCH(K$6,'Emission factors'!$K$2:$V$2,0)))*I141))</f>
        <v/>
      </c>
      <c r="L141" s="494" t="str">
        <f>IF(OR($E141="",$D141="",$I141="",$J141=""),"",INDEX('Emission factors'!$K$3:$V$201,MATCH('Buildings - Heat &amp; Fuels'!$E141,'Emission factors'!$J$3:$J$201,0),MATCH($L$6,'Emission factors'!$K$2:$V$2,0)))</f>
        <v/>
      </c>
      <c r="M141" s="495" t="str" cm="1">
        <f t="array" ref="M141">IF(OR(E141="",I141="",BuildingsHeatFuelsTable[[#This Row],[Units]]=""),"",INDEX('Emission factors'!$K$3:$V$201,MATCH('Buildings - Heat &amp; Fuels'!$E141&amp;F141,'Emission factors'!$J$3:$J$201&amp;'Emission factors'!$K$3:$K$201,0),MATCH('Buildings - Heat &amp; Fuels'!$M$6,'Emission factors'!$K$2:$V$2,0)))</f>
        <v/>
      </c>
      <c r="N141" s="496" t="str">
        <f>IF(OR(K141="",M141=""),"",SUM(BuildingsHeatFuelsTable[[#This Row],[Direct]:[Indirect WTT]]))</f>
        <v/>
      </c>
      <c r="O141" s="268"/>
      <c r="P141" s="497"/>
      <c r="Q141" s="157" t="str" cm="1">
        <f t="array" ref="Q141">IF(OR($E141="",$I141=""),"",(INDEX('Emission factors'!$K$3:$V$201,MATCH('Buildings - Heat &amp; Fuels'!$E141&amp;$F141,'Emission factors'!$J$3:$J$201&amp;'Emission factors'!$K$3:$K$201,0),MATCH('Buildings - Heat &amp; Fuels'!Q$6,'Emission factors'!$K$2:$V$2,0)))*$K141)</f>
        <v/>
      </c>
      <c r="R141" s="157" t="str" cm="1">
        <f t="array" ref="R141">IF(OR($E141="",$I141=""),"",(INDEX('Emission factors'!$K$3:$V$201,MATCH('Buildings - Heat &amp; Fuels'!$E141&amp;$F141,'Emission factors'!$J$3:$J$201&amp;'Emission factors'!$K$3:$K$201,0),MATCH('Buildings - Heat &amp; Fuels'!R$6,'Emission factors'!$K$2:$V$2,0)))*$K141)</f>
        <v/>
      </c>
      <c r="S141" s="157" t="str" cm="1">
        <f t="array" ref="S141">IF(OR($E141="",$I141=""),"",(INDEX('Emission factors'!$K$3:$V$201,MATCH('Buildings - Heat &amp; Fuels'!$E141&amp;$F141,'Emission factors'!$J$3:$J$201&amp;'Emission factors'!$K$3:$K$201,0),MATCH('Buildings - Heat &amp; Fuels'!S$6,'Emission factors'!$K$2:$V$2,0)))*$K141)</f>
        <v/>
      </c>
      <c r="T141" s="157" t="str" cm="1">
        <f t="array" ref="T141">IF(OR($E141="",$I141=""),"",(INDEX('Emission factors'!$K$3:$V$201,MATCH('Buildings - Heat &amp; Fuels'!$E141&amp;$F141,'Emission factors'!$J$3:$J$201&amp;'Emission factors'!$K$3:$K$201,0),MATCH('Buildings - Heat &amp; Fuels'!T$6,'Emission factors'!$K$2:$V$2,0)))*$K141)</f>
        <v/>
      </c>
      <c r="U141" s="157" t="str" cm="1">
        <f t="array" ref="U141">IF(OR($E141="",$I141=""),"",(INDEX('Emission factors'!$K$3:$V$201,MATCH('Buildings - Heat &amp; Fuels'!$E141&amp;$F141,'Emission factors'!$J$3:$J$201&amp;'Emission factors'!$K$3:$K$201,0),MATCH('Buildings - Heat &amp; Fuels'!U$6,'Emission factors'!$K$2:$V$2,0)))*$K141)</f>
        <v/>
      </c>
      <c r="V141" s="158" t="str">
        <f>IF(OR($N141="",BuildingsHeatFuelsTable[[#This Row],[RSD]]=""),"",BuildingsHeatFuelsTable[[#This Row],[Total emissions (kgCO2e)]]*(1+BuildingsHeatFuelsTable[[#This Row],[RSD]]))</f>
        <v/>
      </c>
      <c r="W141" s="159" t="str">
        <f>IF(OR($N141="",BuildingsHeatFuelsTable[[#This Row],[RSD]]=""),"",BuildingsHeatFuelsTable[[#This Row],[Total emissions (kgCO2e)]]*(1-BuildingsHeatFuelsTable[[#This Row],[RSD]]))</f>
        <v/>
      </c>
      <c r="X141" s="169" t="str" cm="1">
        <f t="array" ref="X141">IF(OR($E141="",$I141=""),"",(INDEX('Emission factors'!$K$3:$V$201,MATCH('Buildings - Heat &amp; Fuels'!$E141&amp;$F141,'Emission factors'!$J$3:$J$201&amp;'Emission factors'!$K$3:$K$201,0),MATCH('Buildings - Heat &amp; Fuels'!X$6,'Emission factors'!$K$2:$V$2,0)))*$K141)</f>
        <v/>
      </c>
      <c r="Y141" s="30"/>
      <c r="Z141" s="1" cm="1">
        <f t="array" ref="Z141">IF(OR(ISERROR(B141:X141)),1,0)</f>
        <v>0</v>
      </c>
      <c r="AA141" s="1">
        <f t="shared" si="0"/>
        <v>0</v>
      </c>
    </row>
    <row r="142" spans="1:27" ht="15" outlineLevel="1" thickBot="1" x14ac:dyDescent="0.4">
      <c r="A142" s="319"/>
      <c r="B142" s="216"/>
      <c r="C142" s="216"/>
      <c r="D142" s="489" t="str">
        <f>IFERROR(INDEX(BuildingInformationTable[Site type],MATCH(BuildingsHeatFuelsTable[[#This Row],[Site name]],BuildingInformationTable[Site name],0)),"")</f>
        <v/>
      </c>
      <c r="E142" s="491"/>
      <c r="F142" s="491"/>
      <c r="G142" s="491"/>
      <c r="H142" s="492" t="str">
        <f>IF(G142="","",INDEX(Lists!$BA$4:$BC$31,MATCH(E142,Lists!$AZ$4:$AZ$31,0),MATCH(G142,Lists!$BA$3:$BC$3,0)))</f>
        <v/>
      </c>
      <c r="I142" s="267"/>
      <c r="J142" s="491"/>
      <c r="K142" s="493" t="str" cm="1">
        <f t="array" ref="K142">IF(OR($E142="",$D142="",$I142="",$J142=""),"",IF(J142=L142,I142,(INDEX('Emission factors'!$K$3:$V$201,MATCH(E142&amp;F142,'Emission factors'!$J$3:$J$201&amp;'Emission factors'!$K$3:$K$201,0),MATCH(K$6,'Emission factors'!$K$2:$V$2,0)))*I142))</f>
        <v/>
      </c>
      <c r="L142" s="494" t="str">
        <f>IF(OR($E142="",$D142="",$I142="",$J142=""),"",INDEX('Emission factors'!$K$3:$V$201,MATCH('Buildings - Heat &amp; Fuels'!$E142,'Emission factors'!$J$3:$J$201,0),MATCH($L$6,'Emission factors'!$K$2:$V$2,0)))</f>
        <v/>
      </c>
      <c r="M142" s="495" t="str" cm="1">
        <f t="array" ref="M142">IF(OR(E142="",I142="",BuildingsHeatFuelsTable[[#This Row],[Units]]=""),"",INDEX('Emission factors'!$K$3:$V$201,MATCH('Buildings - Heat &amp; Fuels'!$E142&amp;F142,'Emission factors'!$J$3:$J$201&amp;'Emission factors'!$K$3:$K$201,0),MATCH('Buildings - Heat &amp; Fuels'!$M$6,'Emission factors'!$K$2:$V$2,0)))</f>
        <v/>
      </c>
      <c r="N142" s="496" t="str">
        <f>IF(OR(K142="",M142=""),"",SUM(BuildingsHeatFuelsTable[[#This Row],[Direct]:[Indirect WTT]]))</f>
        <v/>
      </c>
      <c r="O142" s="268"/>
      <c r="P142" s="497"/>
      <c r="Q142" s="157" t="str" cm="1">
        <f t="array" ref="Q142">IF(OR($E142="",$I142=""),"",(INDEX('Emission factors'!$K$3:$V$201,MATCH('Buildings - Heat &amp; Fuels'!$E142&amp;$F142,'Emission factors'!$J$3:$J$201&amp;'Emission factors'!$K$3:$K$201,0),MATCH('Buildings - Heat &amp; Fuels'!Q$6,'Emission factors'!$K$2:$V$2,0)))*$K142)</f>
        <v/>
      </c>
      <c r="R142" s="157" t="str" cm="1">
        <f t="array" ref="R142">IF(OR($E142="",$I142=""),"",(INDEX('Emission factors'!$K$3:$V$201,MATCH('Buildings - Heat &amp; Fuels'!$E142&amp;$F142,'Emission factors'!$J$3:$J$201&amp;'Emission factors'!$K$3:$K$201,0),MATCH('Buildings - Heat &amp; Fuels'!R$6,'Emission factors'!$K$2:$V$2,0)))*$K142)</f>
        <v/>
      </c>
      <c r="S142" s="157" t="str" cm="1">
        <f t="array" ref="S142">IF(OR($E142="",$I142=""),"",(INDEX('Emission factors'!$K$3:$V$201,MATCH('Buildings - Heat &amp; Fuels'!$E142&amp;$F142,'Emission factors'!$J$3:$J$201&amp;'Emission factors'!$K$3:$K$201,0),MATCH('Buildings - Heat &amp; Fuels'!S$6,'Emission factors'!$K$2:$V$2,0)))*$K142)</f>
        <v/>
      </c>
      <c r="T142" s="157" t="str" cm="1">
        <f t="array" ref="T142">IF(OR($E142="",$I142=""),"",(INDEX('Emission factors'!$K$3:$V$201,MATCH('Buildings - Heat &amp; Fuels'!$E142&amp;$F142,'Emission factors'!$J$3:$J$201&amp;'Emission factors'!$K$3:$K$201,0),MATCH('Buildings - Heat &amp; Fuels'!T$6,'Emission factors'!$K$2:$V$2,0)))*$K142)</f>
        <v/>
      </c>
      <c r="U142" s="157" t="str" cm="1">
        <f t="array" ref="U142">IF(OR($E142="",$I142=""),"",(INDEX('Emission factors'!$K$3:$V$201,MATCH('Buildings - Heat &amp; Fuels'!$E142&amp;$F142,'Emission factors'!$J$3:$J$201&amp;'Emission factors'!$K$3:$K$201,0),MATCH('Buildings - Heat &amp; Fuels'!U$6,'Emission factors'!$K$2:$V$2,0)))*$K142)</f>
        <v/>
      </c>
      <c r="V142" s="158" t="str">
        <f>IF(OR($N142="",BuildingsHeatFuelsTable[[#This Row],[RSD]]=""),"",BuildingsHeatFuelsTable[[#This Row],[Total emissions (kgCO2e)]]*(1+BuildingsHeatFuelsTable[[#This Row],[RSD]]))</f>
        <v/>
      </c>
      <c r="W142" s="159" t="str">
        <f>IF(OR($N142="",BuildingsHeatFuelsTable[[#This Row],[RSD]]=""),"",BuildingsHeatFuelsTable[[#This Row],[Total emissions (kgCO2e)]]*(1-BuildingsHeatFuelsTable[[#This Row],[RSD]]))</f>
        <v/>
      </c>
      <c r="X142" s="169" t="str" cm="1">
        <f t="array" ref="X142">IF(OR($E142="",$I142=""),"",(INDEX('Emission factors'!$K$3:$V$201,MATCH('Buildings - Heat &amp; Fuels'!$E142&amp;$F142,'Emission factors'!$J$3:$J$201&amp;'Emission factors'!$K$3:$K$201,0),MATCH('Buildings - Heat &amp; Fuels'!X$6,'Emission factors'!$K$2:$V$2,0)))*$K142)</f>
        <v/>
      </c>
      <c r="Y142" s="30"/>
      <c r="Z142" s="1" cm="1">
        <f t="array" ref="Z142">IF(OR(ISERROR(B142:X142)),1,0)</f>
        <v>0</v>
      </c>
      <c r="AA142" s="1">
        <f t="shared" si="0"/>
        <v>0</v>
      </c>
    </row>
    <row r="143" spans="1:27" ht="15" outlineLevel="1" thickBot="1" x14ac:dyDescent="0.4">
      <c r="A143" s="319"/>
      <c r="B143" s="216"/>
      <c r="C143" s="216"/>
      <c r="D143" s="489" t="str">
        <f>IFERROR(INDEX(BuildingInformationTable[Site type],MATCH(BuildingsHeatFuelsTable[[#This Row],[Site name]],BuildingInformationTable[Site name],0)),"")</f>
        <v/>
      </c>
      <c r="E143" s="491"/>
      <c r="F143" s="491"/>
      <c r="G143" s="491"/>
      <c r="H143" s="492" t="str">
        <f>IF(G143="","",INDEX(Lists!$BA$4:$BC$31,MATCH(E143,Lists!$AZ$4:$AZ$31,0),MATCH(G143,Lists!$BA$3:$BC$3,0)))</f>
        <v/>
      </c>
      <c r="I143" s="267"/>
      <c r="J143" s="491"/>
      <c r="K143" s="493" t="str" cm="1">
        <f t="array" ref="K143">IF(OR($E143="",$D143="",$I143="",$J143=""),"",IF(J143=L143,I143,(INDEX('Emission factors'!$K$3:$V$201,MATCH(E143&amp;F143,'Emission factors'!$J$3:$J$201&amp;'Emission factors'!$K$3:$K$201,0),MATCH(K$6,'Emission factors'!$K$2:$V$2,0)))*I143))</f>
        <v/>
      </c>
      <c r="L143" s="494" t="str">
        <f>IF(OR($E143="",$D143="",$I143="",$J143=""),"",INDEX('Emission factors'!$K$3:$V$201,MATCH('Buildings - Heat &amp; Fuels'!$E143,'Emission factors'!$J$3:$J$201,0),MATCH($L$6,'Emission factors'!$K$2:$V$2,0)))</f>
        <v/>
      </c>
      <c r="M143" s="495" t="str" cm="1">
        <f t="array" ref="M143">IF(OR(E143="",I143="",BuildingsHeatFuelsTable[[#This Row],[Units]]=""),"",INDEX('Emission factors'!$K$3:$V$201,MATCH('Buildings - Heat &amp; Fuels'!$E143&amp;F143,'Emission factors'!$J$3:$J$201&amp;'Emission factors'!$K$3:$K$201,0),MATCH('Buildings - Heat &amp; Fuels'!$M$6,'Emission factors'!$K$2:$V$2,0)))</f>
        <v/>
      </c>
      <c r="N143" s="496" t="str">
        <f>IF(OR(K143="",M143=""),"",SUM(BuildingsHeatFuelsTable[[#This Row],[Direct]:[Indirect WTT]]))</f>
        <v/>
      </c>
      <c r="O143" s="268"/>
      <c r="P143" s="497"/>
      <c r="Q143" s="157" t="str" cm="1">
        <f t="array" ref="Q143">IF(OR($E143="",$I143=""),"",(INDEX('Emission factors'!$K$3:$V$201,MATCH('Buildings - Heat &amp; Fuels'!$E143&amp;$F143,'Emission factors'!$J$3:$J$201&amp;'Emission factors'!$K$3:$K$201,0),MATCH('Buildings - Heat &amp; Fuels'!Q$6,'Emission factors'!$K$2:$V$2,0)))*$K143)</f>
        <v/>
      </c>
      <c r="R143" s="157" t="str" cm="1">
        <f t="array" ref="R143">IF(OR($E143="",$I143=""),"",(INDEX('Emission factors'!$K$3:$V$201,MATCH('Buildings - Heat &amp; Fuels'!$E143&amp;$F143,'Emission factors'!$J$3:$J$201&amp;'Emission factors'!$K$3:$K$201,0),MATCH('Buildings - Heat &amp; Fuels'!R$6,'Emission factors'!$K$2:$V$2,0)))*$K143)</f>
        <v/>
      </c>
      <c r="S143" s="157" t="str" cm="1">
        <f t="array" ref="S143">IF(OR($E143="",$I143=""),"",(INDEX('Emission factors'!$K$3:$V$201,MATCH('Buildings - Heat &amp; Fuels'!$E143&amp;$F143,'Emission factors'!$J$3:$J$201&amp;'Emission factors'!$K$3:$K$201,0),MATCH('Buildings - Heat &amp; Fuels'!S$6,'Emission factors'!$K$2:$V$2,0)))*$K143)</f>
        <v/>
      </c>
      <c r="T143" s="157" t="str" cm="1">
        <f t="array" ref="T143">IF(OR($E143="",$I143=""),"",(INDEX('Emission factors'!$K$3:$V$201,MATCH('Buildings - Heat &amp; Fuels'!$E143&amp;$F143,'Emission factors'!$J$3:$J$201&amp;'Emission factors'!$K$3:$K$201,0),MATCH('Buildings - Heat &amp; Fuels'!T$6,'Emission factors'!$K$2:$V$2,0)))*$K143)</f>
        <v/>
      </c>
      <c r="U143" s="157" t="str" cm="1">
        <f t="array" ref="U143">IF(OR($E143="",$I143=""),"",(INDEX('Emission factors'!$K$3:$V$201,MATCH('Buildings - Heat &amp; Fuels'!$E143&amp;$F143,'Emission factors'!$J$3:$J$201&amp;'Emission factors'!$K$3:$K$201,0),MATCH('Buildings - Heat &amp; Fuels'!U$6,'Emission factors'!$K$2:$V$2,0)))*$K143)</f>
        <v/>
      </c>
      <c r="V143" s="158" t="str">
        <f>IF(OR($N143="",BuildingsHeatFuelsTable[[#This Row],[RSD]]=""),"",BuildingsHeatFuelsTable[[#This Row],[Total emissions (kgCO2e)]]*(1+BuildingsHeatFuelsTable[[#This Row],[RSD]]))</f>
        <v/>
      </c>
      <c r="W143" s="159" t="str">
        <f>IF(OR($N143="",BuildingsHeatFuelsTable[[#This Row],[RSD]]=""),"",BuildingsHeatFuelsTable[[#This Row],[Total emissions (kgCO2e)]]*(1-BuildingsHeatFuelsTable[[#This Row],[RSD]]))</f>
        <v/>
      </c>
      <c r="X143" s="169" t="str" cm="1">
        <f t="array" ref="X143">IF(OR($E143="",$I143=""),"",(INDEX('Emission factors'!$K$3:$V$201,MATCH('Buildings - Heat &amp; Fuels'!$E143&amp;$F143,'Emission factors'!$J$3:$J$201&amp;'Emission factors'!$K$3:$K$201,0),MATCH('Buildings - Heat &amp; Fuels'!X$6,'Emission factors'!$K$2:$V$2,0)))*$K143)</f>
        <v/>
      </c>
      <c r="Y143" s="30"/>
      <c r="Z143" s="1" cm="1">
        <f t="array" ref="Z143">IF(OR(ISERROR(B143:X143)),1,0)</f>
        <v>0</v>
      </c>
      <c r="AA143" s="1">
        <f t="shared" si="0"/>
        <v>0</v>
      </c>
    </row>
    <row r="144" spans="1:27" ht="15" outlineLevel="1" thickBot="1" x14ac:dyDescent="0.4">
      <c r="A144" s="319"/>
      <c r="B144" s="216"/>
      <c r="C144" s="216"/>
      <c r="D144" s="489" t="str">
        <f>IFERROR(INDEX(BuildingInformationTable[Site type],MATCH(BuildingsHeatFuelsTable[[#This Row],[Site name]],BuildingInformationTable[Site name],0)),"")</f>
        <v/>
      </c>
      <c r="E144" s="491"/>
      <c r="F144" s="491"/>
      <c r="G144" s="491"/>
      <c r="H144" s="492" t="str">
        <f>IF(G144="","",INDEX(Lists!$BA$4:$BC$31,MATCH(E144,Lists!$AZ$4:$AZ$31,0),MATCH(G144,Lists!$BA$3:$BC$3,0)))</f>
        <v/>
      </c>
      <c r="I144" s="267"/>
      <c r="J144" s="491"/>
      <c r="K144" s="493" t="str" cm="1">
        <f t="array" ref="K144">IF(OR($E144="",$D144="",$I144="",$J144=""),"",IF(J144=L144,I144,(INDEX('Emission factors'!$K$3:$V$201,MATCH(E144&amp;F144,'Emission factors'!$J$3:$J$201&amp;'Emission factors'!$K$3:$K$201,0),MATCH(K$6,'Emission factors'!$K$2:$V$2,0)))*I144))</f>
        <v/>
      </c>
      <c r="L144" s="494" t="str">
        <f>IF(OR($E144="",$D144="",$I144="",$J144=""),"",INDEX('Emission factors'!$K$3:$V$201,MATCH('Buildings - Heat &amp; Fuels'!$E144,'Emission factors'!$J$3:$J$201,0),MATCH($L$6,'Emission factors'!$K$2:$V$2,0)))</f>
        <v/>
      </c>
      <c r="M144" s="495" t="str" cm="1">
        <f t="array" ref="M144">IF(OR(E144="",I144="",BuildingsHeatFuelsTable[[#This Row],[Units]]=""),"",INDEX('Emission factors'!$K$3:$V$201,MATCH('Buildings - Heat &amp; Fuels'!$E144&amp;F144,'Emission factors'!$J$3:$J$201&amp;'Emission factors'!$K$3:$K$201,0),MATCH('Buildings - Heat &amp; Fuels'!$M$6,'Emission factors'!$K$2:$V$2,0)))</f>
        <v/>
      </c>
      <c r="N144" s="496" t="str">
        <f>IF(OR(K144="",M144=""),"",SUM(BuildingsHeatFuelsTable[[#This Row],[Direct]:[Indirect WTT]]))</f>
        <v/>
      </c>
      <c r="O144" s="268"/>
      <c r="P144" s="497"/>
      <c r="Q144" s="157" t="str" cm="1">
        <f t="array" ref="Q144">IF(OR($E144="",$I144=""),"",(INDEX('Emission factors'!$K$3:$V$201,MATCH('Buildings - Heat &amp; Fuels'!$E144&amp;$F144,'Emission factors'!$J$3:$J$201&amp;'Emission factors'!$K$3:$K$201,0),MATCH('Buildings - Heat &amp; Fuels'!Q$6,'Emission factors'!$K$2:$V$2,0)))*$K144)</f>
        <v/>
      </c>
      <c r="R144" s="157" t="str" cm="1">
        <f t="array" ref="R144">IF(OR($E144="",$I144=""),"",(INDEX('Emission factors'!$K$3:$V$201,MATCH('Buildings - Heat &amp; Fuels'!$E144&amp;$F144,'Emission factors'!$J$3:$J$201&amp;'Emission factors'!$K$3:$K$201,0),MATCH('Buildings - Heat &amp; Fuels'!R$6,'Emission factors'!$K$2:$V$2,0)))*$K144)</f>
        <v/>
      </c>
      <c r="S144" s="157" t="str" cm="1">
        <f t="array" ref="S144">IF(OR($E144="",$I144=""),"",(INDEX('Emission factors'!$K$3:$V$201,MATCH('Buildings - Heat &amp; Fuels'!$E144&amp;$F144,'Emission factors'!$J$3:$J$201&amp;'Emission factors'!$K$3:$K$201,0),MATCH('Buildings - Heat &amp; Fuels'!S$6,'Emission factors'!$K$2:$V$2,0)))*$K144)</f>
        <v/>
      </c>
      <c r="T144" s="157" t="str" cm="1">
        <f t="array" ref="T144">IF(OR($E144="",$I144=""),"",(INDEX('Emission factors'!$K$3:$V$201,MATCH('Buildings - Heat &amp; Fuels'!$E144&amp;$F144,'Emission factors'!$J$3:$J$201&amp;'Emission factors'!$K$3:$K$201,0),MATCH('Buildings - Heat &amp; Fuels'!T$6,'Emission factors'!$K$2:$V$2,0)))*$K144)</f>
        <v/>
      </c>
      <c r="U144" s="157" t="str" cm="1">
        <f t="array" ref="U144">IF(OR($E144="",$I144=""),"",(INDEX('Emission factors'!$K$3:$V$201,MATCH('Buildings - Heat &amp; Fuels'!$E144&amp;$F144,'Emission factors'!$J$3:$J$201&amp;'Emission factors'!$K$3:$K$201,0),MATCH('Buildings - Heat &amp; Fuels'!U$6,'Emission factors'!$K$2:$V$2,0)))*$K144)</f>
        <v/>
      </c>
      <c r="V144" s="158" t="str">
        <f>IF(OR($N144="",BuildingsHeatFuelsTable[[#This Row],[RSD]]=""),"",BuildingsHeatFuelsTable[[#This Row],[Total emissions (kgCO2e)]]*(1+BuildingsHeatFuelsTable[[#This Row],[RSD]]))</f>
        <v/>
      </c>
      <c r="W144" s="159" t="str">
        <f>IF(OR($N144="",BuildingsHeatFuelsTable[[#This Row],[RSD]]=""),"",BuildingsHeatFuelsTable[[#This Row],[Total emissions (kgCO2e)]]*(1-BuildingsHeatFuelsTable[[#This Row],[RSD]]))</f>
        <v/>
      </c>
      <c r="X144" s="169" t="str" cm="1">
        <f t="array" ref="X144">IF(OR($E144="",$I144=""),"",(INDEX('Emission factors'!$K$3:$V$201,MATCH('Buildings - Heat &amp; Fuels'!$E144&amp;$F144,'Emission factors'!$J$3:$J$201&amp;'Emission factors'!$K$3:$K$201,0),MATCH('Buildings - Heat &amp; Fuels'!X$6,'Emission factors'!$K$2:$V$2,0)))*$K144)</f>
        <v/>
      </c>
      <c r="Y144" s="30"/>
      <c r="Z144" s="1" cm="1">
        <f t="array" ref="Z144">IF(OR(ISERROR(B144:X144)),1,0)</f>
        <v>0</v>
      </c>
      <c r="AA144" s="1">
        <f t="shared" si="0"/>
        <v>0</v>
      </c>
    </row>
    <row r="145" spans="1:27" ht="15" outlineLevel="1" thickBot="1" x14ac:dyDescent="0.4">
      <c r="A145" s="319"/>
      <c r="B145" s="216"/>
      <c r="C145" s="216"/>
      <c r="D145" s="489" t="str">
        <f>IFERROR(INDEX(BuildingInformationTable[Site type],MATCH(BuildingsHeatFuelsTable[[#This Row],[Site name]],BuildingInformationTable[Site name],0)),"")</f>
        <v/>
      </c>
      <c r="E145" s="491"/>
      <c r="F145" s="491"/>
      <c r="G145" s="491"/>
      <c r="H145" s="492" t="str">
        <f>IF(G145="","",INDEX(Lists!$BA$4:$BC$31,MATCH(E145,Lists!$AZ$4:$AZ$31,0),MATCH(G145,Lists!$BA$3:$BC$3,0)))</f>
        <v/>
      </c>
      <c r="I145" s="267"/>
      <c r="J145" s="491"/>
      <c r="K145" s="493" t="str" cm="1">
        <f t="array" ref="K145">IF(OR($E145="",$D145="",$I145="",$J145=""),"",IF(J145=L145,I145,(INDEX('Emission factors'!$K$3:$V$201,MATCH(E145&amp;F145,'Emission factors'!$J$3:$J$201&amp;'Emission factors'!$K$3:$K$201,0),MATCH(K$6,'Emission factors'!$K$2:$V$2,0)))*I145))</f>
        <v/>
      </c>
      <c r="L145" s="494" t="str">
        <f>IF(OR($E145="",$D145="",$I145="",$J145=""),"",INDEX('Emission factors'!$K$3:$V$201,MATCH('Buildings - Heat &amp; Fuels'!$E145,'Emission factors'!$J$3:$J$201,0),MATCH($L$6,'Emission factors'!$K$2:$V$2,0)))</f>
        <v/>
      </c>
      <c r="M145" s="495" t="str" cm="1">
        <f t="array" ref="M145">IF(OR(E145="",I145="",BuildingsHeatFuelsTable[[#This Row],[Units]]=""),"",INDEX('Emission factors'!$K$3:$V$201,MATCH('Buildings - Heat &amp; Fuels'!$E145&amp;F145,'Emission factors'!$J$3:$J$201&amp;'Emission factors'!$K$3:$K$201,0),MATCH('Buildings - Heat &amp; Fuels'!$M$6,'Emission factors'!$K$2:$V$2,0)))</f>
        <v/>
      </c>
      <c r="N145" s="496" t="str">
        <f>IF(OR(K145="",M145=""),"",SUM(BuildingsHeatFuelsTable[[#This Row],[Direct]:[Indirect WTT]]))</f>
        <v/>
      </c>
      <c r="O145" s="268"/>
      <c r="P145" s="497"/>
      <c r="Q145" s="157" t="str" cm="1">
        <f t="array" ref="Q145">IF(OR($E145="",$I145=""),"",(INDEX('Emission factors'!$K$3:$V$201,MATCH('Buildings - Heat &amp; Fuels'!$E145&amp;$F145,'Emission factors'!$J$3:$J$201&amp;'Emission factors'!$K$3:$K$201,0),MATCH('Buildings - Heat &amp; Fuels'!Q$6,'Emission factors'!$K$2:$V$2,0)))*$K145)</f>
        <v/>
      </c>
      <c r="R145" s="157" t="str" cm="1">
        <f t="array" ref="R145">IF(OR($E145="",$I145=""),"",(INDEX('Emission factors'!$K$3:$V$201,MATCH('Buildings - Heat &amp; Fuels'!$E145&amp;$F145,'Emission factors'!$J$3:$J$201&amp;'Emission factors'!$K$3:$K$201,0),MATCH('Buildings - Heat &amp; Fuels'!R$6,'Emission factors'!$K$2:$V$2,0)))*$K145)</f>
        <v/>
      </c>
      <c r="S145" s="157" t="str" cm="1">
        <f t="array" ref="S145">IF(OR($E145="",$I145=""),"",(INDEX('Emission factors'!$K$3:$V$201,MATCH('Buildings - Heat &amp; Fuels'!$E145&amp;$F145,'Emission factors'!$J$3:$J$201&amp;'Emission factors'!$K$3:$K$201,0),MATCH('Buildings - Heat &amp; Fuels'!S$6,'Emission factors'!$K$2:$V$2,0)))*$K145)</f>
        <v/>
      </c>
      <c r="T145" s="157" t="str" cm="1">
        <f t="array" ref="T145">IF(OR($E145="",$I145=""),"",(INDEX('Emission factors'!$K$3:$V$201,MATCH('Buildings - Heat &amp; Fuels'!$E145&amp;$F145,'Emission factors'!$J$3:$J$201&amp;'Emission factors'!$K$3:$K$201,0),MATCH('Buildings - Heat &amp; Fuels'!T$6,'Emission factors'!$K$2:$V$2,0)))*$K145)</f>
        <v/>
      </c>
      <c r="U145" s="157" t="str" cm="1">
        <f t="array" ref="U145">IF(OR($E145="",$I145=""),"",(INDEX('Emission factors'!$K$3:$V$201,MATCH('Buildings - Heat &amp; Fuels'!$E145&amp;$F145,'Emission factors'!$J$3:$J$201&amp;'Emission factors'!$K$3:$K$201,0),MATCH('Buildings - Heat &amp; Fuels'!U$6,'Emission factors'!$K$2:$V$2,0)))*$K145)</f>
        <v/>
      </c>
      <c r="V145" s="158" t="str">
        <f>IF(OR($N145="",BuildingsHeatFuelsTable[[#This Row],[RSD]]=""),"",BuildingsHeatFuelsTable[[#This Row],[Total emissions (kgCO2e)]]*(1+BuildingsHeatFuelsTable[[#This Row],[RSD]]))</f>
        <v/>
      </c>
      <c r="W145" s="159" t="str">
        <f>IF(OR($N145="",BuildingsHeatFuelsTable[[#This Row],[RSD]]=""),"",BuildingsHeatFuelsTable[[#This Row],[Total emissions (kgCO2e)]]*(1-BuildingsHeatFuelsTable[[#This Row],[RSD]]))</f>
        <v/>
      </c>
      <c r="X145" s="169" t="str" cm="1">
        <f t="array" ref="X145">IF(OR($E145="",$I145=""),"",(INDEX('Emission factors'!$K$3:$V$201,MATCH('Buildings - Heat &amp; Fuels'!$E145&amp;$F145,'Emission factors'!$J$3:$J$201&amp;'Emission factors'!$K$3:$K$201,0),MATCH('Buildings - Heat &amp; Fuels'!X$6,'Emission factors'!$K$2:$V$2,0)))*$K145)</f>
        <v/>
      </c>
      <c r="Y145" s="30"/>
      <c r="Z145" s="1" cm="1">
        <f t="array" ref="Z145">IF(OR(ISERROR(B145:X145)),1,0)</f>
        <v>0</v>
      </c>
      <c r="AA145" s="1">
        <f t="shared" si="0"/>
        <v>0</v>
      </c>
    </row>
    <row r="146" spans="1:27" ht="15" outlineLevel="1" thickBot="1" x14ac:dyDescent="0.4">
      <c r="A146" s="319"/>
      <c r="B146" s="216"/>
      <c r="C146" s="216"/>
      <c r="D146" s="489" t="str">
        <f>IFERROR(INDEX(BuildingInformationTable[Site type],MATCH(BuildingsHeatFuelsTable[[#This Row],[Site name]],BuildingInformationTable[Site name],0)),"")</f>
        <v/>
      </c>
      <c r="E146" s="491"/>
      <c r="F146" s="491"/>
      <c r="G146" s="491"/>
      <c r="H146" s="492" t="str">
        <f>IF(G146="","",INDEX(Lists!$BA$4:$BC$31,MATCH(E146,Lists!$AZ$4:$AZ$31,0),MATCH(G146,Lists!$BA$3:$BC$3,0)))</f>
        <v/>
      </c>
      <c r="I146" s="267"/>
      <c r="J146" s="491"/>
      <c r="K146" s="493" t="str" cm="1">
        <f t="array" ref="K146">IF(OR($E146="",$D146="",$I146="",$J146=""),"",IF(J146=L146,I146,(INDEX('Emission factors'!$K$3:$V$201,MATCH(E146&amp;F146,'Emission factors'!$J$3:$J$201&amp;'Emission factors'!$K$3:$K$201,0),MATCH(K$6,'Emission factors'!$K$2:$V$2,0)))*I146))</f>
        <v/>
      </c>
      <c r="L146" s="494" t="str">
        <f>IF(OR($E146="",$D146="",$I146="",$J146=""),"",INDEX('Emission factors'!$K$3:$V$201,MATCH('Buildings - Heat &amp; Fuels'!$E146,'Emission factors'!$J$3:$J$201,0),MATCH($L$6,'Emission factors'!$K$2:$V$2,0)))</f>
        <v/>
      </c>
      <c r="M146" s="495" t="str" cm="1">
        <f t="array" ref="M146">IF(OR(E146="",I146="",BuildingsHeatFuelsTable[[#This Row],[Units]]=""),"",INDEX('Emission factors'!$K$3:$V$201,MATCH('Buildings - Heat &amp; Fuels'!$E146&amp;F146,'Emission factors'!$J$3:$J$201&amp;'Emission factors'!$K$3:$K$201,0),MATCH('Buildings - Heat &amp; Fuels'!$M$6,'Emission factors'!$K$2:$V$2,0)))</f>
        <v/>
      </c>
      <c r="N146" s="496" t="str">
        <f>IF(OR(K146="",M146=""),"",SUM(BuildingsHeatFuelsTable[[#This Row],[Direct]:[Indirect WTT]]))</f>
        <v/>
      </c>
      <c r="O146" s="268"/>
      <c r="P146" s="497"/>
      <c r="Q146" s="157" t="str" cm="1">
        <f t="array" ref="Q146">IF(OR($E146="",$I146=""),"",(INDEX('Emission factors'!$K$3:$V$201,MATCH('Buildings - Heat &amp; Fuels'!$E146&amp;$F146,'Emission factors'!$J$3:$J$201&amp;'Emission factors'!$K$3:$K$201,0),MATCH('Buildings - Heat &amp; Fuels'!Q$6,'Emission factors'!$K$2:$V$2,0)))*$K146)</f>
        <v/>
      </c>
      <c r="R146" s="157" t="str" cm="1">
        <f t="array" ref="R146">IF(OR($E146="",$I146=""),"",(INDEX('Emission factors'!$K$3:$V$201,MATCH('Buildings - Heat &amp; Fuels'!$E146&amp;$F146,'Emission factors'!$J$3:$J$201&amp;'Emission factors'!$K$3:$K$201,0),MATCH('Buildings - Heat &amp; Fuels'!R$6,'Emission factors'!$K$2:$V$2,0)))*$K146)</f>
        <v/>
      </c>
      <c r="S146" s="157" t="str" cm="1">
        <f t="array" ref="S146">IF(OR($E146="",$I146=""),"",(INDEX('Emission factors'!$K$3:$V$201,MATCH('Buildings - Heat &amp; Fuels'!$E146&amp;$F146,'Emission factors'!$J$3:$J$201&amp;'Emission factors'!$K$3:$K$201,0),MATCH('Buildings - Heat &amp; Fuels'!S$6,'Emission factors'!$K$2:$V$2,0)))*$K146)</f>
        <v/>
      </c>
      <c r="T146" s="157" t="str" cm="1">
        <f t="array" ref="T146">IF(OR($E146="",$I146=""),"",(INDEX('Emission factors'!$K$3:$V$201,MATCH('Buildings - Heat &amp; Fuels'!$E146&amp;$F146,'Emission factors'!$J$3:$J$201&amp;'Emission factors'!$K$3:$K$201,0),MATCH('Buildings - Heat &amp; Fuels'!T$6,'Emission factors'!$K$2:$V$2,0)))*$K146)</f>
        <v/>
      </c>
      <c r="U146" s="157" t="str" cm="1">
        <f t="array" ref="U146">IF(OR($E146="",$I146=""),"",(INDEX('Emission factors'!$K$3:$V$201,MATCH('Buildings - Heat &amp; Fuels'!$E146&amp;$F146,'Emission factors'!$J$3:$J$201&amp;'Emission factors'!$K$3:$K$201,0),MATCH('Buildings - Heat &amp; Fuels'!U$6,'Emission factors'!$K$2:$V$2,0)))*$K146)</f>
        <v/>
      </c>
      <c r="V146" s="158" t="str">
        <f>IF(OR($N146="",BuildingsHeatFuelsTable[[#This Row],[RSD]]=""),"",BuildingsHeatFuelsTable[[#This Row],[Total emissions (kgCO2e)]]*(1+BuildingsHeatFuelsTable[[#This Row],[RSD]]))</f>
        <v/>
      </c>
      <c r="W146" s="159" t="str">
        <f>IF(OR($N146="",BuildingsHeatFuelsTable[[#This Row],[RSD]]=""),"",BuildingsHeatFuelsTable[[#This Row],[Total emissions (kgCO2e)]]*(1-BuildingsHeatFuelsTable[[#This Row],[RSD]]))</f>
        <v/>
      </c>
      <c r="X146" s="169" t="str" cm="1">
        <f t="array" ref="X146">IF(OR($E146="",$I146=""),"",(INDEX('Emission factors'!$K$3:$V$201,MATCH('Buildings - Heat &amp; Fuels'!$E146&amp;$F146,'Emission factors'!$J$3:$J$201&amp;'Emission factors'!$K$3:$K$201,0),MATCH('Buildings - Heat &amp; Fuels'!X$6,'Emission factors'!$K$2:$V$2,0)))*$K146)</f>
        <v/>
      </c>
      <c r="Y146" s="30"/>
      <c r="Z146" s="1" cm="1">
        <f t="array" ref="Z146">IF(OR(ISERROR(B146:X146)),1,0)</f>
        <v>0</v>
      </c>
      <c r="AA146" s="1">
        <f t="shared" si="0"/>
        <v>0</v>
      </c>
    </row>
    <row r="147" spans="1:27" ht="15" outlineLevel="1" thickBot="1" x14ac:dyDescent="0.4">
      <c r="A147" s="319"/>
      <c r="B147" s="216"/>
      <c r="C147" s="216"/>
      <c r="D147" s="489" t="str">
        <f>IFERROR(INDEX(BuildingInformationTable[Site type],MATCH(BuildingsHeatFuelsTable[[#This Row],[Site name]],BuildingInformationTable[Site name],0)),"")</f>
        <v/>
      </c>
      <c r="E147" s="491"/>
      <c r="F147" s="491"/>
      <c r="G147" s="491"/>
      <c r="H147" s="492" t="str">
        <f>IF(G147="","",INDEX(Lists!$BA$4:$BC$31,MATCH(E147,Lists!$AZ$4:$AZ$31,0),MATCH(G147,Lists!$BA$3:$BC$3,0)))</f>
        <v/>
      </c>
      <c r="I147" s="267"/>
      <c r="J147" s="491"/>
      <c r="K147" s="493" t="str" cm="1">
        <f t="array" ref="K147">IF(OR($E147="",$D147="",$I147="",$J147=""),"",IF(J147=L147,I147,(INDEX('Emission factors'!$K$3:$V$201,MATCH(E147&amp;F147,'Emission factors'!$J$3:$J$201&amp;'Emission factors'!$K$3:$K$201,0),MATCH(K$6,'Emission factors'!$K$2:$V$2,0)))*I147))</f>
        <v/>
      </c>
      <c r="L147" s="494" t="str">
        <f>IF(OR($E147="",$D147="",$I147="",$J147=""),"",INDEX('Emission factors'!$K$3:$V$201,MATCH('Buildings - Heat &amp; Fuels'!$E147,'Emission factors'!$J$3:$J$201,0),MATCH($L$6,'Emission factors'!$K$2:$V$2,0)))</f>
        <v/>
      </c>
      <c r="M147" s="495" t="str" cm="1">
        <f t="array" ref="M147">IF(OR(E147="",I147="",BuildingsHeatFuelsTable[[#This Row],[Units]]=""),"",INDEX('Emission factors'!$K$3:$V$201,MATCH('Buildings - Heat &amp; Fuels'!$E147&amp;F147,'Emission factors'!$J$3:$J$201&amp;'Emission factors'!$K$3:$K$201,0),MATCH('Buildings - Heat &amp; Fuels'!$M$6,'Emission factors'!$K$2:$V$2,0)))</f>
        <v/>
      </c>
      <c r="N147" s="496" t="str">
        <f>IF(OR(K147="",M147=""),"",SUM(BuildingsHeatFuelsTable[[#This Row],[Direct]:[Indirect WTT]]))</f>
        <v/>
      </c>
      <c r="O147" s="268"/>
      <c r="P147" s="497"/>
      <c r="Q147" s="157" t="str" cm="1">
        <f t="array" ref="Q147">IF(OR($E147="",$I147=""),"",(INDEX('Emission factors'!$K$3:$V$201,MATCH('Buildings - Heat &amp; Fuels'!$E147&amp;$F147,'Emission factors'!$J$3:$J$201&amp;'Emission factors'!$K$3:$K$201,0),MATCH('Buildings - Heat &amp; Fuels'!Q$6,'Emission factors'!$K$2:$V$2,0)))*$K147)</f>
        <v/>
      </c>
      <c r="R147" s="157" t="str" cm="1">
        <f t="array" ref="R147">IF(OR($E147="",$I147=""),"",(INDEX('Emission factors'!$K$3:$V$201,MATCH('Buildings - Heat &amp; Fuels'!$E147&amp;$F147,'Emission factors'!$J$3:$J$201&amp;'Emission factors'!$K$3:$K$201,0),MATCH('Buildings - Heat &amp; Fuels'!R$6,'Emission factors'!$K$2:$V$2,0)))*$K147)</f>
        <v/>
      </c>
      <c r="S147" s="157" t="str" cm="1">
        <f t="array" ref="S147">IF(OR($E147="",$I147=""),"",(INDEX('Emission factors'!$K$3:$V$201,MATCH('Buildings - Heat &amp; Fuels'!$E147&amp;$F147,'Emission factors'!$J$3:$J$201&amp;'Emission factors'!$K$3:$K$201,0),MATCH('Buildings - Heat &amp; Fuels'!S$6,'Emission factors'!$K$2:$V$2,0)))*$K147)</f>
        <v/>
      </c>
      <c r="T147" s="157" t="str" cm="1">
        <f t="array" ref="T147">IF(OR($E147="",$I147=""),"",(INDEX('Emission factors'!$K$3:$V$201,MATCH('Buildings - Heat &amp; Fuels'!$E147&amp;$F147,'Emission factors'!$J$3:$J$201&amp;'Emission factors'!$K$3:$K$201,0),MATCH('Buildings - Heat &amp; Fuels'!T$6,'Emission factors'!$K$2:$V$2,0)))*$K147)</f>
        <v/>
      </c>
      <c r="U147" s="157" t="str" cm="1">
        <f t="array" ref="U147">IF(OR($E147="",$I147=""),"",(INDEX('Emission factors'!$K$3:$V$201,MATCH('Buildings - Heat &amp; Fuels'!$E147&amp;$F147,'Emission factors'!$J$3:$J$201&amp;'Emission factors'!$K$3:$K$201,0),MATCH('Buildings - Heat &amp; Fuels'!U$6,'Emission factors'!$K$2:$V$2,0)))*$K147)</f>
        <v/>
      </c>
      <c r="V147" s="158" t="str">
        <f>IF(OR($N147="",BuildingsHeatFuelsTable[[#This Row],[RSD]]=""),"",BuildingsHeatFuelsTable[[#This Row],[Total emissions (kgCO2e)]]*(1+BuildingsHeatFuelsTable[[#This Row],[RSD]]))</f>
        <v/>
      </c>
      <c r="W147" s="159" t="str">
        <f>IF(OR($N147="",BuildingsHeatFuelsTable[[#This Row],[RSD]]=""),"",BuildingsHeatFuelsTable[[#This Row],[Total emissions (kgCO2e)]]*(1-BuildingsHeatFuelsTable[[#This Row],[RSD]]))</f>
        <v/>
      </c>
      <c r="X147" s="169" t="str" cm="1">
        <f t="array" ref="X147">IF(OR($E147="",$I147=""),"",(INDEX('Emission factors'!$K$3:$V$201,MATCH('Buildings - Heat &amp; Fuels'!$E147&amp;$F147,'Emission factors'!$J$3:$J$201&amp;'Emission factors'!$K$3:$K$201,0),MATCH('Buildings - Heat &amp; Fuels'!X$6,'Emission factors'!$K$2:$V$2,0)))*$K147)</f>
        <v/>
      </c>
      <c r="Y147" s="30"/>
      <c r="Z147" s="1" cm="1">
        <f t="array" ref="Z147">IF(OR(ISERROR(B147:X147)),1,0)</f>
        <v>0</v>
      </c>
      <c r="AA147" s="1">
        <f t="shared" si="0"/>
        <v>0</v>
      </c>
    </row>
    <row r="148" spans="1:27" ht="15" outlineLevel="1" thickBot="1" x14ac:dyDescent="0.4">
      <c r="A148" s="319"/>
      <c r="B148" s="216"/>
      <c r="C148" s="216"/>
      <c r="D148" s="489" t="str">
        <f>IFERROR(INDEX(BuildingInformationTable[Site type],MATCH(BuildingsHeatFuelsTable[[#This Row],[Site name]],BuildingInformationTable[Site name],0)),"")</f>
        <v/>
      </c>
      <c r="E148" s="491"/>
      <c r="F148" s="491"/>
      <c r="G148" s="491"/>
      <c r="H148" s="492" t="str">
        <f>IF(G148="","",INDEX(Lists!$BA$4:$BC$31,MATCH(E148,Lists!$AZ$4:$AZ$31,0),MATCH(G148,Lists!$BA$3:$BC$3,0)))</f>
        <v/>
      </c>
      <c r="I148" s="267"/>
      <c r="J148" s="491"/>
      <c r="K148" s="493" t="str" cm="1">
        <f t="array" ref="K148">IF(OR($E148="",$D148="",$I148="",$J148=""),"",IF(J148=L148,I148,(INDEX('Emission factors'!$K$3:$V$201,MATCH(E148&amp;F148,'Emission factors'!$J$3:$J$201&amp;'Emission factors'!$K$3:$K$201,0),MATCH(K$6,'Emission factors'!$K$2:$V$2,0)))*I148))</f>
        <v/>
      </c>
      <c r="L148" s="494" t="str">
        <f>IF(OR($E148="",$D148="",$I148="",$J148=""),"",INDEX('Emission factors'!$K$3:$V$201,MATCH('Buildings - Heat &amp; Fuels'!$E148,'Emission factors'!$J$3:$J$201,0),MATCH($L$6,'Emission factors'!$K$2:$V$2,0)))</f>
        <v/>
      </c>
      <c r="M148" s="495" t="str" cm="1">
        <f t="array" ref="M148">IF(OR(E148="",I148="",BuildingsHeatFuelsTable[[#This Row],[Units]]=""),"",INDEX('Emission factors'!$K$3:$V$201,MATCH('Buildings - Heat &amp; Fuels'!$E148&amp;F148,'Emission factors'!$J$3:$J$201&amp;'Emission factors'!$K$3:$K$201,0),MATCH('Buildings - Heat &amp; Fuels'!$M$6,'Emission factors'!$K$2:$V$2,0)))</f>
        <v/>
      </c>
      <c r="N148" s="496" t="str">
        <f>IF(OR(K148="",M148=""),"",SUM(BuildingsHeatFuelsTable[[#This Row],[Direct]:[Indirect WTT]]))</f>
        <v/>
      </c>
      <c r="O148" s="268"/>
      <c r="P148" s="497"/>
      <c r="Q148" s="157" t="str" cm="1">
        <f t="array" ref="Q148">IF(OR($E148="",$I148=""),"",(INDEX('Emission factors'!$K$3:$V$201,MATCH('Buildings - Heat &amp; Fuels'!$E148&amp;$F148,'Emission factors'!$J$3:$J$201&amp;'Emission factors'!$K$3:$K$201,0),MATCH('Buildings - Heat &amp; Fuels'!Q$6,'Emission factors'!$K$2:$V$2,0)))*$K148)</f>
        <v/>
      </c>
      <c r="R148" s="157" t="str" cm="1">
        <f t="array" ref="R148">IF(OR($E148="",$I148=""),"",(INDEX('Emission factors'!$K$3:$V$201,MATCH('Buildings - Heat &amp; Fuels'!$E148&amp;$F148,'Emission factors'!$J$3:$J$201&amp;'Emission factors'!$K$3:$K$201,0),MATCH('Buildings - Heat &amp; Fuels'!R$6,'Emission factors'!$K$2:$V$2,0)))*$K148)</f>
        <v/>
      </c>
      <c r="S148" s="157" t="str" cm="1">
        <f t="array" ref="S148">IF(OR($E148="",$I148=""),"",(INDEX('Emission factors'!$K$3:$V$201,MATCH('Buildings - Heat &amp; Fuels'!$E148&amp;$F148,'Emission factors'!$J$3:$J$201&amp;'Emission factors'!$K$3:$K$201,0),MATCH('Buildings - Heat &amp; Fuels'!S$6,'Emission factors'!$K$2:$V$2,0)))*$K148)</f>
        <v/>
      </c>
      <c r="T148" s="157" t="str" cm="1">
        <f t="array" ref="T148">IF(OR($E148="",$I148=""),"",(INDEX('Emission factors'!$K$3:$V$201,MATCH('Buildings - Heat &amp; Fuels'!$E148&amp;$F148,'Emission factors'!$J$3:$J$201&amp;'Emission factors'!$K$3:$K$201,0),MATCH('Buildings - Heat &amp; Fuels'!T$6,'Emission factors'!$K$2:$V$2,0)))*$K148)</f>
        <v/>
      </c>
      <c r="U148" s="157" t="str" cm="1">
        <f t="array" ref="U148">IF(OR($E148="",$I148=""),"",(INDEX('Emission factors'!$K$3:$V$201,MATCH('Buildings - Heat &amp; Fuels'!$E148&amp;$F148,'Emission factors'!$J$3:$J$201&amp;'Emission factors'!$K$3:$K$201,0),MATCH('Buildings - Heat &amp; Fuels'!U$6,'Emission factors'!$K$2:$V$2,0)))*$K148)</f>
        <v/>
      </c>
      <c r="V148" s="158" t="str">
        <f>IF(OR($N148="",BuildingsHeatFuelsTable[[#This Row],[RSD]]=""),"",BuildingsHeatFuelsTable[[#This Row],[Total emissions (kgCO2e)]]*(1+BuildingsHeatFuelsTable[[#This Row],[RSD]]))</f>
        <v/>
      </c>
      <c r="W148" s="159" t="str">
        <f>IF(OR($N148="",BuildingsHeatFuelsTable[[#This Row],[RSD]]=""),"",BuildingsHeatFuelsTable[[#This Row],[Total emissions (kgCO2e)]]*(1-BuildingsHeatFuelsTable[[#This Row],[RSD]]))</f>
        <v/>
      </c>
      <c r="X148" s="169" t="str" cm="1">
        <f t="array" ref="X148">IF(OR($E148="",$I148=""),"",(INDEX('Emission factors'!$K$3:$V$201,MATCH('Buildings - Heat &amp; Fuels'!$E148&amp;$F148,'Emission factors'!$J$3:$J$201&amp;'Emission factors'!$K$3:$K$201,0),MATCH('Buildings - Heat &amp; Fuels'!X$6,'Emission factors'!$K$2:$V$2,0)))*$K148)</f>
        <v/>
      </c>
      <c r="Y148" s="30"/>
      <c r="Z148" s="1" cm="1">
        <f t="array" ref="Z148">IF(OR(ISERROR(B148:X148)),1,0)</f>
        <v>0</v>
      </c>
      <c r="AA148" s="1">
        <f t="shared" si="0"/>
        <v>0</v>
      </c>
    </row>
    <row r="149" spans="1:27" ht="15" outlineLevel="1" thickBot="1" x14ac:dyDescent="0.4">
      <c r="A149" s="319"/>
      <c r="B149" s="216"/>
      <c r="C149" s="216"/>
      <c r="D149" s="489" t="str">
        <f>IFERROR(INDEX(BuildingInformationTable[Site type],MATCH(BuildingsHeatFuelsTable[[#This Row],[Site name]],BuildingInformationTable[Site name],0)),"")</f>
        <v/>
      </c>
      <c r="E149" s="491"/>
      <c r="F149" s="491"/>
      <c r="G149" s="491"/>
      <c r="H149" s="492" t="str">
        <f>IF(G149="","",INDEX(Lists!$BA$4:$BC$31,MATCH(E149,Lists!$AZ$4:$AZ$31,0),MATCH(G149,Lists!$BA$3:$BC$3,0)))</f>
        <v/>
      </c>
      <c r="I149" s="267"/>
      <c r="J149" s="491"/>
      <c r="K149" s="493" t="str" cm="1">
        <f t="array" ref="K149">IF(OR($E149="",$D149="",$I149="",$J149=""),"",IF(J149=L149,I149,(INDEX('Emission factors'!$K$3:$V$201,MATCH(E149&amp;F149,'Emission factors'!$J$3:$J$201&amp;'Emission factors'!$K$3:$K$201,0),MATCH(K$6,'Emission factors'!$K$2:$V$2,0)))*I149))</f>
        <v/>
      </c>
      <c r="L149" s="494" t="str">
        <f>IF(OR($E149="",$D149="",$I149="",$J149=""),"",INDEX('Emission factors'!$K$3:$V$201,MATCH('Buildings - Heat &amp; Fuels'!$E149,'Emission factors'!$J$3:$J$201,0),MATCH($L$6,'Emission factors'!$K$2:$V$2,0)))</f>
        <v/>
      </c>
      <c r="M149" s="495" t="str" cm="1">
        <f t="array" ref="M149">IF(OR(E149="",I149="",BuildingsHeatFuelsTable[[#This Row],[Units]]=""),"",INDEX('Emission factors'!$K$3:$V$201,MATCH('Buildings - Heat &amp; Fuels'!$E149&amp;F149,'Emission factors'!$J$3:$J$201&amp;'Emission factors'!$K$3:$K$201,0),MATCH('Buildings - Heat &amp; Fuels'!$M$6,'Emission factors'!$K$2:$V$2,0)))</f>
        <v/>
      </c>
      <c r="N149" s="496" t="str">
        <f>IF(OR(K149="",M149=""),"",SUM(BuildingsHeatFuelsTable[[#This Row],[Direct]:[Indirect WTT]]))</f>
        <v/>
      </c>
      <c r="O149" s="268"/>
      <c r="P149" s="497"/>
      <c r="Q149" s="157" t="str" cm="1">
        <f t="array" ref="Q149">IF(OR($E149="",$I149=""),"",(INDEX('Emission factors'!$K$3:$V$201,MATCH('Buildings - Heat &amp; Fuels'!$E149&amp;$F149,'Emission factors'!$J$3:$J$201&amp;'Emission factors'!$K$3:$K$201,0),MATCH('Buildings - Heat &amp; Fuels'!Q$6,'Emission factors'!$K$2:$V$2,0)))*$K149)</f>
        <v/>
      </c>
      <c r="R149" s="157" t="str" cm="1">
        <f t="array" ref="R149">IF(OR($E149="",$I149=""),"",(INDEX('Emission factors'!$K$3:$V$201,MATCH('Buildings - Heat &amp; Fuels'!$E149&amp;$F149,'Emission factors'!$J$3:$J$201&amp;'Emission factors'!$K$3:$K$201,0),MATCH('Buildings - Heat &amp; Fuels'!R$6,'Emission factors'!$K$2:$V$2,0)))*$K149)</f>
        <v/>
      </c>
      <c r="S149" s="157" t="str" cm="1">
        <f t="array" ref="S149">IF(OR($E149="",$I149=""),"",(INDEX('Emission factors'!$K$3:$V$201,MATCH('Buildings - Heat &amp; Fuels'!$E149&amp;$F149,'Emission factors'!$J$3:$J$201&amp;'Emission factors'!$K$3:$K$201,0),MATCH('Buildings - Heat &amp; Fuels'!S$6,'Emission factors'!$K$2:$V$2,0)))*$K149)</f>
        <v/>
      </c>
      <c r="T149" s="157" t="str" cm="1">
        <f t="array" ref="T149">IF(OR($E149="",$I149=""),"",(INDEX('Emission factors'!$K$3:$V$201,MATCH('Buildings - Heat &amp; Fuels'!$E149&amp;$F149,'Emission factors'!$J$3:$J$201&amp;'Emission factors'!$K$3:$K$201,0),MATCH('Buildings - Heat &amp; Fuels'!T$6,'Emission factors'!$K$2:$V$2,0)))*$K149)</f>
        <v/>
      </c>
      <c r="U149" s="157" t="str" cm="1">
        <f t="array" ref="U149">IF(OR($E149="",$I149=""),"",(INDEX('Emission factors'!$K$3:$V$201,MATCH('Buildings - Heat &amp; Fuels'!$E149&amp;$F149,'Emission factors'!$J$3:$J$201&amp;'Emission factors'!$K$3:$K$201,0),MATCH('Buildings - Heat &amp; Fuels'!U$6,'Emission factors'!$K$2:$V$2,0)))*$K149)</f>
        <v/>
      </c>
      <c r="V149" s="158" t="str">
        <f>IF(OR($N149="",BuildingsHeatFuelsTable[[#This Row],[RSD]]=""),"",BuildingsHeatFuelsTable[[#This Row],[Total emissions (kgCO2e)]]*(1+BuildingsHeatFuelsTable[[#This Row],[RSD]]))</f>
        <v/>
      </c>
      <c r="W149" s="159" t="str">
        <f>IF(OR($N149="",BuildingsHeatFuelsTable[[#This Row],[RSD]]=""),"",BuildingsHeatFuelsTable[[#This Row],[Total emissions (kgCO2e)]]*(1-BuildingsHeatFuelsTable[[#This Row],[RSD]]))</f>
        <v/>
      </c>
      <c r="X149" s="169" t="str" cm="1">
        <f t="array" ref="X149">IF(OR($E149="",$I149=""),"",(INDEX('Emission factors'!$K$3:$V$201,MATCH('Buildings - Heat &amp; Fuels'!$E149&amp;$F149,'Emission factors'!$J$3:$J$201&amp;'Emission factors'!$K$3:$K$201,0),MATCH('Buildings - Heat &amp; Fuels'!X$6,'Emission factors'!$K$2:$V$2,0)))*$K149)</f>
        <v/>
      </c>
      <c r="Y149" s="30"/>
      <c r="Z149" s="1" cm="1">
        <f t="array" ref="Z149">IF(OR(ISERROR(B149:X149)),1,0)</f>
        <v>0</v>
      </c>
      <c r="AA149" s="1">
        <f t="shared" si="0"/>
        <v>0</v>
      </c>
    </row>
    <row r="150" spans="1:27" ht="15" outlineLevel="1" thickBot="1" x14ac:dyDescent="0.4">
      <c r="A150" s="319"/>
      <c r="B150" s="216"/>
      <c r="C150" s="216"/>
      <c r="D150" s="489" t="str">
        <f>IFERROR(INDEX(BuildingInformationTable[Site type],MATCH(BuildingsHeatFuelsTable[[#This Row],[Site name]],BuildingInformationTable[Site name],0)),"")</f>
        <v/>
      </c>
      <c r="E150" s="491"/>
      <c r="F150" s="491"/>
      <c r="G150" s="491"/>
      <c r="H150" s="492" t="str">
        <f>IF(G150="","",INDEX(Lists!$BA$4:$BC$31,MATCH(E150,Lists!$AZ$4:$AZ$31,0),MATCH(G150,Lists!$BA$3:$BC$3,0)))</f>
        <v/>
      </c>
      <c r="I150" s="267"/>
      <c r="J150" s="491"/>
      <c r="K150" s="493" t="str" cm="1">
        <f t="array" ref="K150">IF(OR($E150="",$D150="",$I150="",$J150=""),"",IF(J150=L150,I150,(INDEX('Emission factors'!$K$3:$V$201,MATCH(E150&amp;F150,'Emission factors'!$J$3:$J$201&amp;'Emission factors'!$K$3:$K$201,0),MATCH(K$6,'Emission factors'!$K$2:$V$2,0)))*I150))</f>
        <v/>
      </c>
      <c r="L150" s="494" t="str">
        <f>IF(OR($E150="",$D150="",$I150="",$J150=""),"",INDEX('Emission factors'!$K$3:$V$201,MATCH('Buildings - Heat &amp; Fuels'!$E150,'Emission factors'!$J$3:$J$201,0),MATCH($L$6,'Emission factors'!$K$2:$V$2,0)))</f>
        <v/>
      </c>
      <c r="M150" s="495" t="str" cm="1">
        <f t="array" ref="M150">IF(OR(E150="",I150="",BuildingsHeatFuelsTable[[#This Row],[Units]]=""),"",INDEX('Emission factors'!$K$3:$V$201,MATCH('Buildings - Heat &amp; Fuels'!$E150&amp;F150,'Emission factors'!$J$3:$J$201&amp;'Emission factors'!$K$3:$K$201,0),MATCH('Buildings - Heat &amp; Fuels'!$M$6,'Emission factors'!$K$2:$V$2,0)))</f>
        <v/>
      </c>
      <c r="N150" s="496" t="str">
        <f>IF(OR(K150="",M150=""),"",SUM(BuildingsHeatFuelsTable[[#This Row],[Direct]:[Indirect WTT]]))</f>
        <v/>
      </c>
      <c r="O150" s="268"/>
      <c r="P150" s="497"/>
      <c r="Q150" s="157" t="str" cm="1">
        <f t="array" ref="Q150">IF(OR($E150="",$I150=""),"",(INDEX('Emission factors'!$K$3:$V$201,MATCH('Buildings - Heat &amp; Fuels'!$E150&amp;$F150,'Emission factors'!$J$3:$J$201&amp;'Emission factors'!$K$3:$K$201,0),MATCH('Buildings - Heat &amp; Fuels'!Q$6,'Emission factors'!$K$2:$V$2,0)))*$K150)</f>
        <v/>
      </c>
      <c r="R150" s="157" t="str" cm="1">
        <f t="array" ref="R150">IF(OR($E150="",$I150=""),"",(INDEX('Emission factors'!$K$3:$V$201,MATCH('Buildings - Heat &amp; Fuels'!$E150&amp;$F150,'Emission factors'!$J$3:$J$201&amp;'Emission factors'!$K$3:$K$201,0),MATCH('Buildings - Heat &amp; Fuels'!R$6,'Emission factors'!$K$2:$V$2,0)))*$K150)</f>
        <v/>
      </c>
      <c r="S150" s="157" t="str" cm="1">
        <f t="array" ref="S150">IF(OR($E150="",$I150=""),"",(INDEX('Emission factors'!$K$3:$V$201,MATCH('Buildings - Heat &amp; Fuels'!$E150&amp;$F150,'Emission factors'!$J$3:$J$201&amp;'Emission factors'!$K$3:$K$201,0),MATCH('Buildings - Heat &amp; Fuels'!S$6,'Emission factors'!$K$2:$V$2,0)))*$K150)</f>
        <v/>
      </c>
      <c r="T150" s="157" t="str" cm="1">
        <f t="array" ref="T150">IF(OR($E150="",$I150=""),"",(INDEX('Emission factors'!$K$3:$V$201,MATCH('Buildings - Heat &amp; Fuels'!$E150&amp;$F150,'Emission factors'!$J$3:$J$201&amp;'Emission factors'!$K$3:$K$201,0),MATCH('Buildings - Heat &amp; Fuels'!T$6,'Emission factors'!$K$2:$V$2,0)))*$K150)</f>
        <v/>
      </c>
      <c r="U150" s="157" t="str" cm="1">
        <f t="array" ref="U150">IF(OR($E150="",$I150=""),"",(INDEX('Emission factors'!$K$3:$V$201,MATCH('Buildings - Heat &amp; Fuels'!$E150&amp;$F150,'Emission factors'!$J$3:$J$201&amp;'Emission factors'!$K$3:$K$201,0),MATCH('Buildings - Heat &amp; Fuels'!U$6,'Emission factors'!$K$2:$V$2,0)))*$K150)</f>
        <v/>
      </c>
      <c r="V150" s="158" t="str">
        <f>IF(OR($N150="",BuildingsHeatFuelsTable[[#This Row],[RSD]]=""),"",BuildingsHeatFuelsTable[[#This Row],[Total emissions (kgCO2e)]]*(1+BuildingsHeatFuelsTable[[#This Row],[RSD]]))</f>
        <v/>
      </c>
      <c r="W150" s="159" t="str">
        <f>IF(OR($N150="",BuildingsHeatFuelsTable[[#This Row],[RSD]]=""),"",BuildingsHeatFuelsTable[[#This Row],[Total emissions (kgCO2e)]]*(1-BuildingsHeatFuelsTable[[#This Row],[RSD]]))</f>
        <v/>
      </c>
      <c r="X150" s="169" t="str" cm="1">
        <f t="array" ref="X150">IF(OR($E150="",$I150=""),"",(INDEX('Emission factors'!$K$3:$V$201,MATCH('Buildings - Heat &amp; Fuels'!$E150&amp;$F150,'Emission factors'!$J$3:$J$201&amp;'Emission factors'!$K$3:$K$201,0),MATCH('Buildings - Heat &amp; Fuels'!X$6,'Emission factors'!$K$2:$V$2,0)))*$K150)</f>
        <v/>
      </c>
      <c r="Y150" s="30"/>
      <c r="Z150" s="1" cm="1">
        <f t="array" ref="Z150">IF(OR(ISERROR(B150:X150)),1,0)</f>
        <v>0</v>
      </c>
      <c r="AA150" s="1">
        <f t="shared" si="0"/>
        <v>0</v>
      </c>
    </row>
    <row r="151" spans="1:27" ht="15" outlineLevel="1" thickBot="1" x14ac:dyDescent="0.4">
      <c r="A151" s="319"/>
      <c r="B151" s="216"/>
      <c r="C151" s="216"/>
      <c r="D151" s="489" t="str">
        <f>IFERROR(INDEX(BuildingInformationTable[Site type],MATCH(BuildingsHeatFuelsTable[[#This Row],[Site name]],BuildingInformationTable[Site name],0)),"")</f>
        <v/>
      </c>
      <c r="E151" s="491"/>
      <c r="F151" s="491"/>
      <c r="G151" s="491"/>
      <c r="H151" s="492" t="str">
        <f>IF(G151="","",INDEX(Lists!$BA$4:$BC$31,MATCH(E151,Lists!$AZ$4:$AZ$31,0),MATCH(G151,Lists!$BA$3:$BC$3,0)))</f>
        <v/>
      </c>
      <c r="I151" s="267"/>
      <c r="J151" s="491"/>
      <c r="K151" s="493" t="str" cm="1">
        <f t="array" ref="K151">IF(OR($E151="",$D151="",$I151="",$J151=""),"",IF(J151=L151,I151,(INDEX('Emission factors'!$K$3:$V$201,MATCH(E151&amp;F151,'Emission factors'!$J$3:$J$201&amp;'Emission factors'!$K$3:$K$201,0),MATCH(K$6,'Emission factors'!$K$2:$V$2,0)))*I151))</f>
        <v/>
      </c>
      <c r="L151" s="494" t="str">
        <f>IF(OR($E151="",$D151="",$I151="",$J151=""),"",INDEX('Emission factors'!$K$3:$V$201,MATCH('Buildings - Heat &amp; Fuels'!$E151,'Emission factors'!$J$3:$J$201,0),MATCH($L$6,'Emission factors'!$K$2:$V$2,0)))</f>
        <v/>
      </c>
      <c r="M151" s="495" t="str" cm="1">
        <f t="array" ref="M151">IF(OR(E151="",I151="",BuildingsHeatFuelsTable[[#This Row],[Units]]=""),"",INDEX('Emission factors'!$K$3:$V$201,MATCH('Buildings - Heat &amp; Fuels'!$E151&amp;F151,'Emission factors'!$J$3:$J$201&amp;'Emission factors'!$K$3:$K$201,0),MATCH('Buildings - Heat &amp; Fuels'!$M$6,'Emission factors'!$K$2:$V$2,0)))</f>
        <v/>
      </c>
      <c r="N151" s="496" t="str">
        <f>IF(OR(K151="",M151=""),"",SUM(BuildingsHeatFuelsTable[[#This Row],[Direct]:[Indirect WTT]]))</f>
        <v/>
      </c>
      <c r="O151" s="268"/>
      <c r="P151" s="497"/>
      <c r="Q151" s="157" t="str" cm="1">
        <f t="array" ref="Q151">IF(OR($E151="",$I151=""),"",(INDEX('Emission factors'!$K$3:$V$201,MATCH('Buildings - Heat &amp; Fuels'!$E151&amp;$F151,'Emission factors'!$J$3:$J$201&amp;'Emission factors'!$K$3:$K$201,0),MATCH('Buildings - Heat &amp; Fuels'!Q$6,'Emission factors'!$K$2:$V$2,0)))*$K151)</f>
        <v/>
      </c>
      <c r="R151" s="157" t="str" cm="1">
        <f t="array" ref="R151">IF(OR($E151="",$I151=""),"",(INDEX('Emission factors'!$K$3:$V$201,MATCH('Buildings - Heat &amp; Fuels'!$E151&amp;$F151,'Emission factors'!$J$3:$J$201&amp;'Emission factors'!$K$3:$K$201,0),MATCH('Buildings - Heat &amp; Fuels'!R$6,'Emission factors'!$K$2:$V$2,0)))*$K151)</f>
        <v/>
      </c>
      <c r="S151" s="157" t="str" cm="1">
        <f t="array" ref="S151">IF(OR($E151="",$I151=""),"",(INDEX('Emission factors'!$K$3:$V$201,MATCH('Buildings - Heat &amp; Fuels'!$E151&amp;$F151,'Emission factors'!$J$3:$J$201&amp;'Emission factors'!$K$3:$K$201,0),MATCH('Buildings - Heat &amp; Fuels'!S$6,'Emission factors'!$K$2:$V$2,0)))*$K151)</f>
        <v/>
      </c>
      <c r="T151" s="157" t="str" cm="1">
        <f t="array" ref="T151">IF(OR($E151="",$I151=""),"",(INDEX('Emission factors'!$K$3:$V$201,MATCH('Buildings - Heat &amp; Fuels'!$E151&amp;$F151,'Emission factors'!$J$3:$J$201&amp;'Emission factors'!$K$3:$K$201,0),MATCH('Buildings - Heat &amp; Fuels'!T$6,'Emission factors'!$K$2:$V$2,0)))*$K151)</f>
        <v/>
      </c>
      <c r="U151" s="157" t="str" cm="1">
        <f t="array" ref="U151">IF(OR($E151="",$I151=""),"",(INDEX('Emission factors'!$K$3:$V$201,MATCH('Buildings - Heat &amp; Fuels'!$E151&amp;$F151,'Emission factors'!$J$3:$J$201&amp;'Emission factors'!$K$3:$K$201,0),MATCH('Buildings - Heat &amp; Fuels'!U$6,'Emission factors'!$K$2:$V$2,0)))*$K151)</f>
        <v/>
      </c>
      <c r="V151" s="158" t="str">
        <f>IF(OR($N151="",BuildingsHeatFuelsTable[[#This Row],[RSD]]=""),"",BuildingsHeatFuelsTable[[#This Row],[Total emissions (kgCO2e)]]*(1+BuildingsHeatFuelsTable[[#This Row],[RSD]]))</f>
        <v/>
      </c>
      <c r="W151" s="159" t="str">
        <f>IF(OR($N151="",BuildingsHeatFuelsTable[[#This Row],[RSD]]=""),"",BuildingsHeatFuelsTable[[#This Row],[Total emissions (kgCO2e)]]*(1-BuildingsHeatFuelsTable[[#This Row],[RSD]]))</f>
        <v/>
      </c>
      <c r="X151" s="169" t="str" cm="1">
        <f t="array" ref="X151">IF(OR($E151="",$I151=""),"",(INDEX('Emission factors'!$K$3:$V$201,MATCH('Buildings - Heat &amp; Fuels'!$E151&amp;$F151,'Emission factors'!$J$3:$J$201&amp;'Emission factors'!$K$3:$K$201,0),MATCH('Buildings - Heat &amp; Fuels'!X$6,'Emission factors'!$K$2:$V$2,0)))*$K151)</f>
        <v/>
      </c>
      <c r="Y151" s="30"/>
      <c r="Z151" s="1" cm="1">
        <f t="array" ref="Z151">IF(OR(ISERROR(B151:X151)),1,0)</f>
        <v>0</v>
      </c>
      <c r="AA151" s="1">
        <f t="shared" si="0"/>
        <v>0</v>
      </c>
    </row>
    <row r="152" spans="1:27" ht="15" outlineLevel="1" thickBot="1" x14ac:dyDescent="0.4">
      <c r="A152" s="319"/>
      <c r="B152" s="216"/>
      <c r="C152" s="216"/>
      <c r="D152" s="489" t="str">
        <f>IFERROR(INDEX(BuildingInformationTable[Site type],MATCH(BuildingsHeatFuelsTable[[#This Row],[Site name]],BuildingInformationTable[Site name],0)),"")</f>
        <v/>
      </c>
      <c r="E152" s="491"/>
      <c r="F152" s="491"/>
      <c r="G152" s="491"/>
      <c r="H152" s="492" t="str">
        <f>IF(G152="","",INDEX(Lists!$BA$4:$BC$31,MATCH(E152,Lists!$AZ$4:$AZ$31,0),MATCH(G152,Lists!$BA$3:$BC$3,0)))</f>
        <v/>
      </c>
      <c r="I152" s="267"/>
      <c r="J152" s="491"/>
      <c r="K152" s="493" t="str" cm="1">
        <f t="array" ref="K152">IF(OR($E152="",$D152="",$I152="",$J152=""),"",IF(J152=L152,I152,(INDEX('Emission factors'!$K$3:$V$201,MATCH(E152&amp;F152,'Emission factors'!$J$3:$J$201&amp;'Emission factors'!$K$3:$K$201,0),MATCH(K$6,'Emission factors'!$K$2:$V$2,0)))*I152))</f>
        <v/>
      </c>
      <c r="L152" s="494" t="str">
        <f>IF(OR($E152="",$D152="",$I152="",$J152=""),"",INDEX('Emission factors'!$K$3:$V$201,MATCH('Buildings - Heat &amp; Fuels'!$E152,'Emission factors'!$J$3:$J$201,0),MATCH($L$6,'Emission factors'!$K$2:$V$2,0)))</f>
        <v/>
      </c>
      <c r="M152" s="495" t="str" cm="1">
        <f t="array" ref="M152">IF(OR(E152="",I152="",BuildingsHeatFuelsTable[[#This Row],[Units]]=""),"",INDEX('Emission factors'!$K$3:$V$201,MATCH('Buildings - Heat &amp; Fuels'!$E152&amp;F152,'Emission factors'!$J$3:$J$201&amp;'Emission factors'!$K$3:$K$201,0),MATCH('Buildings - Heat &amp; Fuels'!$M$6,'Emission factors'!$K$2:$V$2,0)))</f>
        <v/>
      </c>
      <c r="N152" s="496" t="str">
        <f>IF(OR(K152="",M152=""),"",SUM(BuildingsHeatFuelsTable[[#This Row],[Direct]:[Indirect WTT]]))</f>
        <v/>
      </c>
      <c r="O152" s="268"/>
      <c r="P152" s="497"/>
      <c r="Q152" s="157" t="str" cm="1">
        <f t="array" ref="Q152">IF(OR($E152="",$I152=""),"",(INDEX('Emission factors'!$K$3:$V$201,MATCH('Buildings - Heat &amp; Fuels'!$E152&amp;$F152,'Emission factors'!$J$3:$J$201&amp;'Emission factors'!$K$3:$K$201,0),MATCH('Buildings - Heat &amp; Fuels'!Q$6,'Emission factors'!$K$2:$V$2,0)))*$K152)</f>
        <v/>
      </c>
      <c r="R152" s="157" t="str" cm="1">
        <f t="array" ref="R152">IF(OR($E152="",$I152=""),"",(INDEX('Emission factors'!$K$3:$V$201,MATCH('Buildings - Heat &amp; Fuels'!$E152&amp;$F152,'Emission factors'!$J$3:$J$201&amp;'Emission factors'!$K$3:$K$201,0),MATCH('Buildings - Heat &amp; Fuels'!R$6,'Emission factors'!$K$2:$V$2,0)))*$K152)</f>
        <v/>
      </c>
      <c r="S152" s="157" t="str" cm="1">
        <f t="array" ref="S152">IF(OR($E152="",$I152=""),"",(INDEX('Emission factors'!$K$3:$V$201,MATCH('Buildings - Heat &amp; Fuels'!$E152&amp;$F152,'Emission factors'!$J$3:$J$201&amp;'Emission factors'!$K$3:$K$201,0),MATCH('Buildings - Heat &amp; Fuels'!S$6,'Emission factors'!$K$2:$V$2,0)))*$K152)</f>
        <v/>
      </c>
      <c r="T152" s="157" t="str" cm="1">
        <f t="array" ref="T152">IF(OR($E152="",$I152=""),"",(INDEX('Emission factors'!$K$3:$V$201,MATCH('Buildings - Heat &amp; Fuels'!$E152&amp;$F152,'Emission factors'!$J$3:$J$201&amp;'Emission factors'!$K$3:$K$201,0),MATCH('Buildings - Heat &amp; Fuels'!T$6,'Emission factors'!$K$2:$V$2,0)))*$K152)</f>
        <v/>
      </c>
      <c r="U152" s="157" t="str" cm="1">
        <f t="array" ref="U152">IF(OR($E152="",$I152=""),"",(INDEX('Emission factors'!$K$3:$V$201,MATCH('Buildings - Heat &amp; Fuels'!$E152&amp;$F152,'Emission factors'!$J$3:$J$201&amp;'Emission factors'!$K$3:$K$201,0),MATCH('Buildings - Heat &amp; Fuels'!U$6,'Emission factors'!$K$2:$V$2,0)))*$K152)</f>
        <v/>
      </c>
      <c r="V152" s="158" t="str">
        <f>IF(OR($N152="",BuildingsHeatFuelsTable[[#This Row],[RSD]]=""),"",BuildingsHeatFuelsTable[[#This Row],[Total emissions (kgCO2e)]]*(1+BuildingsHeatFuelsTable[[#This Row],[RSD]]))</f>
        <v/>
      </c>
      <c r="W152" s="159" t="str">
        <f>IF(OR($N152="",BuildingsHeatFuelsTable[[#This Row],[RSD]]=""),"",BuildingsHeatFuelsTable[[#This Row],[Total emissions (kgCO2e)]]*(1-BuildingsHeatFuelsTable[[#This Row],[RSD]]))</f>
        <v/>
      </c>
      <c r="X152" s="169" t="str" cm="1">
        <f t="array" ref="X152">IF(OR($E152="",$I152=""),"",(INDEX('Emission factors'!$K$3:$V$201,MATCH('Buildings - Heat &amp; Fuels'!$E152&amp;$F152,'Emission factors'!$J$3:$J$201&amp;'Emission factors'!$K$3:$K$201,0),MATCH('Buildings - Heat &amp; Fuels'!X$6,'Emission factors'!$K$2:$V$2,0)))*$K152)</f>
        <v/>
      </c>
      <c r="Y152" s="30"/>
      <c r="Z152" s="1" cm="1">
        <f t="array" ref="Z152">IF(OR(ISERROR(B152:X152)),1,0)</f>
        <v>0</v>
      </c>
      <c r="AA152" s="1">
        <f t="shared" si="0"/>
        <v>0</v>
      </c>
    </row>
    <row r="153" spans="1:27" ht="15" outlineLevel="1" thickBot="1" x14ac:dyDescent="0.4">
      <c r="A153" s="319"/>
      <c r="B153" s="216"/>
      <c r="C153" s="216"/>
      <c r="D153" s="489" t="str">
        <f>IFERROR(INDEX(BuildingInformationTable[Site type],MATCH(BuildingsHeatFuelsTable[[#This Row],[Site name]],BuildingInformationTable[Site name],0)),"")</f>
        <v/>
      </c>
      <c r="E153" s="491"/>
      <c r="F153" s="491"/>
      <c r="G153" s="491"/>
      <c r="H153" s="492" t="str">
        <f>IF(G153="","",INDEX(Lists!$BA$4:$BC$31,MATCH(E153,Lists!$AZ$4:$AZ$31,0),MATCH(G153,Lists!$BA$3:$BC$3,0)))</f>
        <v/>
      </c>
      <c r="I153" s="267"/>
      <c r="J153" s="491"/>
      <c r="K153" s="493" t="str" cm="1">
        <f t="array" ref="K153">IF(OR($E153="",$D153="",$I153="",$J153=""),"",IF(J153=L153,I153,(INDEX('Emission factors'!$K$3:$V$201,MATCH(E153&amp;F153,'Emission factors'!$J$3:$J$201&amp;'Emission factors'!$K$3:$K$201,0),MATCH(K$6,'Emission factors'!$K$2:$V$2,0)))*I153))</f>
        <v/>
      </c>
      <c r="L153" s="494" t="str">
        <f>IF(OR($E153="",$D153="",$I153="",$J153=""),"",INDEX('Emission factors'!$K$3:$V$201,MATCH('Buildings - Heat &amp; Fuels'!$E153,'Emission factors'!$J$3:$J$201,0),MATCH($L$6,'Emission factors'!$K$2:$V$2,0)))</f>
        <v/>
      </c>
      <c r="M153" s="495" t="str" cm="1">
        <f t="array" ref="M153">IF(OR(E153="",I153="",BuildingsHeatFuelsTable[[#This Row],[Units]]=""),"",INDEX('Emission factors'!$K$3:$V$201,MATCH('Buildings - Heat &amp; Fuels'!$E153&amp;F153,'Emission factors'!$J$3:$J$201&amp;'Emission factors'!$K$3:$K$201,0),MATCH('Buildings - Heat &amp; Fuels'!$M$6,'Emission factors'!$K$2:$V$2,0)))</f>
        <v/>
      </c>
      <c r="N153" s="496" t="str">
        <f>IF(OR(K153="",M153=""),"",SUM(BuildingsHeatFuelsTable[[#This Row],[Direct]:[Indirect WTT]]))</f>
        <v/>
      </c>
      <c r="O153" s="268"/>
      <c r="P153" s="497"/>
      <c r="Q153" s="157" t="str" cm="1">
        <f t="array" ref="Q153">IF(OR($E153="",$I153=""),"",(INDEX('Emission factors'!$K$3:$V$201,MATCH('Buildings - Heat &amp; Fuels'!$E153&amp;$F153,'Emission factors'!$J$3:$J$201&amp;'Emission factors'!$K$3:$K$201,0),MATCH('Buildings - Heat &amp; Fuels'!Q$6,'Emission factors'!$K$2:$V$2,0)))*$K153)</f>
        <v/>
      </c>
      <c r="R153" s="157" t="str" cm="1">
        <f t="array" ref="R153">IF(OR($E153="",$I153=""),"",(INDEX('Emission factors'!$K$3:$V$201,MATCH('Buildings - Heat &amp; Fuels'!$E153&amp;$F153,'Emission factors'!$J$3:$J$201&amp;'Emission factors'!$K$3:$K$201,0),MATCH('Buildings - Heat &amp; Fuels'!R$6,'Emission factors'!$K$2:$V$2,0)))*$K153)</f>
        <v/>
      </c>
      <c r="S153" s="157" t="str" cm="1">
        <f t="array" ref="S153">IF(OR($E153="",$I153=""),"",(INDEX('Emission factors'!$K$3:$V$201,MATCH('Buildings - Heat &amp; Fuels'!$E153&amp;$F153,'Emission factors'!$J$3:$J$201&amp;'Emission factors'!$K$3:$K$201,0),MATCH('Buildings - Heat &amp; Fuels'!S$6,'Emission factors'!$K$2:$V$2,0)))*$K153)</f>
        <v/>
      </c>
      <c r="T153" s="157" t="str" cm="1">
        <f t="array" ref="T153">IF(OR($E153="",$I153=""),"",(INDEX('Emission factors'!$K$3:$V$201,MATCH('Buildings - Heat &amp; Fuels'!$E153&amp;$F153,'Emission factors'!$J$3:$J$201&amp;'Emission factors'!$K$3:$K$201,0),MATCH('Buildings - Heat &amp; Fuels'!T$6,'Emission factors'!$K$2:$V$2,0)))*$K153)</f>
        <v/>
      </c>
      <c r="U153" s="157" t="str" cm="1">
        <f t="array" ref="U153">IF(OR($E153="",$I153=""),"",(INDEX('Emission factors'!$K$3:$V$201,MATCH('Buildings - Heat &amp; Fuels'!$E153&amp;$F153,'Emission factors'!$J$3:$J$201&amp;'Emission factors'!$K$3:$K$201,0),MATCH('Buildings - Heat &amp; Fuels'!U$6,'Emission factors'!$K$2:$V$2,0)))*$K153)</f>
        <v/>
      </c>
      <c r="V153" s="158" t="str">
        <f>IF(OR($N153="",BuildingsHeatFuelsTable[[#This Row],[RSD]]=""),"",BuildingsHeatFuelsTable[[#This Row],[Total emissions (kgCO2e)]]*(1+BuildingsHeatFuelsTable[[#This Row],[RSD]]))</f>
        <v/>
      </c>
      <c r="W153" s="159" t="str">
        <f>IF(OR($N153="",BuildingsHeatFuelsTable[[#This Row],[RSD]]=""),"",BuildingsHeatFuelsTable[[#This Row],[Total emissions (kgCO2e)]]*(1-BuildingsHeatFuelsTable[[#This Row],[RSD]]))</f>
        <v/>
      </c>
      <c r="X153" s="169" t="str" cm="1">
        <f t="array" ref="X153">IF(OR($E153="",$I153=""),"",(INDEX('Emission factors'!$K$3:$V$201,MATCH('Buildings - Heat &amp; Fuels'!$E153&amp;$F153,'Emission factors'!$J$3:$J$201&amp;'Emission factors'!$K$3:$K$201,0),MATCH('Buildings - Heat &amp; Fuels'!X$6,'Emission factors'!$K$2:$V$2,0)))*$K153)</f>
        <v/>
      </c>
      <c r="Y153" s="30"/>
      <c r="Z153" s="1" cm="1">
        <f t="array" ref="Z153">IF(OR(ISERROR(B153:X153)),1,0)</f>
        <v>0</v>
      </c>
      <c r="AA153" s="1">
        <f t="shared" si="0"/>
        <v>0</v>
      </c>
    </row>
    <row r="154" spans="1:27" ht="15" outlineLevel="1" thickBot="1" x14ac:dyDescent="0.4">
      <c r="A154" s="319"/>
      <c r="B154" s="216"/>
      <c r="C154" s="216"/>
      <c r="D154" s="489" t="str">
        <f>IFERROR(INDEX(BuildingInformationTable[Site type],MATCH(BuildingsHeatFuelsTable[[#This Row],[Site name]],BuildingInformationTable[Site name],0)),"")</f>
        <v/>
      </c>
      <c r="E154" s="491"/>
      <c r="F154" s="491"/>
      <c r="G154" s="491"/>
      <c r="H154" s="492" t="str">
        <f>IF(G154="","",INDEX(Lists!$BA$4:$BC$31,MATCH(E154,Lists!$AZ$4:$AZ$31,0),MATCH(G154,Lists!$BA$3:$BC$3,0)))</f>
        <v/>
      </c>
      <c r="I154" s="267"/>
      <c r="J154" s="491"/>
      <c r="K154" s="493" t="str" cm="1">
        <f t="array" ref="K154">IF(OR($E154="",$D154="",$I154="",$J154=""),"",IF(J154=L154,I154,(INDEX('Emission factors'!$K$3:$V$201,MATCH(E154&amp;F154,'Emission factors'!$J$3:$J$201&amp;'Emission factors'!$K$3:$K$201,0),MATCH(K$6,'Emission factors'!$K$2:$V$2,0)))*I154))</f>
        <v/>
      </c>
      <c r="L154" s="494" t="str">
        <f>IF(OR($E154="",$D154="",$I154="",$J154=""),"",INDEX('Emission factors'!$K$3:$V$201,MATCH('Buildings - Heat &amp; Fuels'!$E154,'Emission factors'!$J$3:$J$201,0),MATCH($L$6,'Emission factors'!$K$2:$V$2,0)))</f>
        <v/>
      </c>
      <c r="M154" s="495" t="str" cm="1">
        <f t="array" ref="M154">IF(OR(E154="",I154="",BuildingsHeatFuelsTable[[#This Row],[Units]]=""),"",INDEX('Emission factors'!$K$3:$V$201,MATCH('Buildings - Heat &amp; Fuels'!$E154&amp;F154,'Emission factors'!$J$3:$J$201&amp;'Emission factors'!$K$3:$K$201,0),MATCH('Buildings - Heat &amp; Fuels'!$M$6,'Emission factors'!$K$2:$V$2,0)))</f>
        <v/>
      </c>
      <c r="N154" s="496" t="str">
        <f>IF(OR(K154="",M154=""),"",SUM(BuildingsHeatFuelsTable[[#This Row],[Direct]:[Indirect WTT]]))</f>
        <v/>
      </c>
      <c r="O154" s="268"/>
      <c r="P154" s="497"/>
      <c r="Q154" s="157" t="str" cm="1">
        <f t="array" ref="Q154">IF(OR($E154="",$I154=""),"",(INDEX('Emission factors'!$K$3:$V$201,MATCH('Buildings - Heat &amp; Fuels'!$E154&amp;$F154,'Emission factors'!$J$3:$J$201&amp;'Emission factors'!$K$3:$K$201,0),MATCH('Buildings - Heat &amp; Fuels'!Q$6,'Emission factors'!$K$2:$V$2,0)))*$K154)</f>
        <v/>
      </c>
      <c r="R154" s="157" t="str" cm="1">
        <f t="array" ref="R154">IF(OR($E154="",$I154=""),"",(INDEX('Emission factors'!$K$3:$V$201,MATCH('Buildings - Heat &amp; Fuels'!$E154&amp;$F154,'Emission factors'!$J$3:$J$201&amp;'Emission factors'!$K$3:$K$201,0),MATCH('Buildings - Heat &amp; Fuels'!R$6,'Emission factors'!$K$2:$V$2,0)))*$K154)</f>
        <v/>
      </c>
      <c r="S154" s="157" t="str" cm="1">
        <f t="array" ref="S154">IF(OR($E154="",$I154=""),"",(INDEX('Emission factors'!$K$3:$V$201,MATCH('Buildings - Heat &amp; Fuels'!$E154&amp;$F154,'Emission factors'!$J$3:$J$201&amp;'Emission factors'!$K$3:$K$201,0),MATCH('Buildings - Heat &amp; Fuels'!S$6,'Emission factors'!$K$2:$V$2,0)))*$K154)</f>
        <v/>
      </c>
      <c r="T154" s="157" t="str" cm="1">
        <f t="array" ref="T154">IF(OR($E154="",$I154=""),"",(INDEX('Emission factors'!$K$3:$V$201,MATCH('Buildings - Heat &amp; Fuels'!$E154&amp;$F154,'Emission factors'!$J$3:$J$201&amp;'Emission factors'!$K$3:$K$201,0),MATCH('Buildings - Heat &amp; Fuels'!T$6,'Emission factors'!$K$2:$V$2,0)))*$K154)</f>
        <v/>
      </c>
      <c r="U154" s="157" t="str" cm="1">
        <f t="array" ref="U154">IF(OR($E154="",$I154=""),"",(INDEX('Emission factors'!$K$3:$V$201,MATCH('Buildings - Heat &amp; Fuels'!$E154&amp;$F154,'Emission factors'!$J$3:$J$201&amp;'Emission factors'!$K$3:$K$201,0),MATCH('Buildings - Heat &amp; Fuels'!U$6,'Emission factors'!$K$2:$V$2,0)))*$K154)</f>
        <v/>
      </c>
      <c r="V154" s="158" t="str">
        <f>IF(OR($N154="",BuildingsHeatFuelsTable[[#This Row],[RSD]]=""),"",BuildingsHeatFuelsTable[[#This Row],[Total emissions (kgCO2e)]]*(1+BuildingsHeatFuelsTable[[#This Row],[RSD]]))</f>
        <v/>
      </c>
      <c r="W154" s="159" t="str">
        <f>IF(OR($N154="",BuildingsHeatFuelsTable[[#This Row],[RSD]]=""),"",BuildingsHeatFuelsTable[[#This Row],[Total emissions (kgCO2e)]]*(1-BuildingsHeatFuelsTable[[#This Row],[RSD]]))</f>
        <v/>
      </c>
      <c r="X154" s="169" t="str" cm="1">
        <f t="array" ref="X154">IF(OR($E154="",$I154=""),"",(INDEX('Emission factors'!$K$3:$V$201,MATCH('Buildings - Heat &amp; Fuels'!$E154&amp;$F154,'Emission factors'!$J$3:$J$201&amp;'Emission factors'!$K$3:$K$201,0),MATCH('Buildings - Heat &amp; Fuels'!X$6,'Emission factors'!$K$2:$V$2,0)))*$K154)</f>
        <v/>
      </c>
      <c r="Y154" s="30"/>
      <c r="Z154" s="1" cm="1">
        <f t="array" ref="Z154">IF(OR(ISERROR(B154:X154)),1,0)</f>
        <v>0</v>
      </c>
      <c r="AA154" s="1">
        <f t="shared" si="0"/>
        <v>0</v>
      </c>
    </row>
    <row r="155" spans="1:27" ht="15" outlineLevel="1" thickBot="1" x14ac:dyDescent="0.4">
      <c r="A155" s="319"/>
      <c r="B155" s="216"/>
      <c r="C155" s="216"/>
      <c r="D155" s="489" t="str">
        <f>IFERROR(INDEX(BuildingInformationTable[Site type],MATCH(BuildingsHeatFuelsTable[[#This Row],[Site name]],BuildingInformationTable[Site name],0)),"")</f>
        <v/>
      </c>
      <c r="E155" s="491"/>
      <c r="F155" s="491"/>
      <c r="G155" s="491"/>
      <c r="H155" s="492" t="str">
        <f>IF(G155="","",INDEX(Lists!$BA$4:$BC$31,MATCH(E155,Lists!$AZ$4:$AZ$31,0),MATCH(G155,Lists!$BA$3:$BC$3,0)))</f>
        <v/>
      </c>
      <c r="I155" s="267"/>
      <c r="J155" s="491"/>
      <c r="K155" s="493" t="str" cm="1">
        <f t="array" ref="K155">IF(OR($E155="",$D155="",$I155="",$J155=""),"",IF(J155=L155,I155,(INDEX('Emission factors'!$K$3:$V$201,MATCH(E155&amp;F155,'Emission factors'!$J$3:$J$201&amp;'Emission factors'!$K$3:$K$201,0),MATCH(K$6,'Emission factors'!$K$2:$V$2,0)))*I155))</f>
        <v/>
      </c>
      <c r="L155" s="494" t="str">
        <f>IF(OR($E155="",$D155="",$I155="",$J155=""),"",INDEX('Emission factors'!$K$3:$V$201,MATCH('Buildings - Heat &amp; Fuels'!$E155,'Emission factors'!$J$3:$J$201,0),MATCH($L$6,'Emission factors'!$K$2:$V$2,0)))</f>
        <v/>
      </c>
      <c r="M155" s="495" t="str" cm="1">
        <f t="array" ref="M155">IF(OR(E155="",I155="",BuildingsHeatFuelsTable[[#This Row],[Units]]=""),"",INDEX('Emission factors'!$K$3:$V$201,MATCH('Buildings - Heat &amp; Fuels'!$E155&amp;F155,'Emission factors'!$J$3:$J$201&amp;'Emission factors'!$K$3:$K$201,0),MATCH('Buildings - Heat &amp; Fuels'!$M$6,'Emission factors'!$K$2:$V$2,0)))</f>
        <v/>
      </c>
      <c r="N155" s="496" t="str">
        <f>IF(OR(K155="",M155=""),"",SUM(BuildingsHeatFuelsTable[[#This Row],[Direct]:[Indirect WTT]]))</f>
        <v/>
      </c>
      <c r="O155" s="268"/>
      <c r="P155" s="497"/>
      <c r="Q155" s="157" t="str" cm="1">
        <f t="array" ref="Q155">IF(OR($E155="",$I155=""),"",(INDEX('Emission factors'!$K$3:$V$201,MATCH('Buildings - Heat &amp; Fuels'!$E155&amp;$F155,'Emission factors'!$J$3:$J$201&amp;'Emission factors'!$K$3:$K$201,0),MATCH('Buildings - Heat &amp; Fuels'!Q$6,'Emission factors'!$K$2:$V$2,0)))*$K155)</f>
        <v/>
      </c>
      <c r="R155" s="157" t="str" cm="1">
        <f t="array" ref="R155">IF(OR($E155="",$I155=""),"",(INDEX('Emission factors'!$K$3:$V$201,MATCH('Buildings - Heat &amp; Fuels'!$E155&amp;$F155,'Emission factors'!$J$3:$J$201&amp;'Emission factors'!$K$3:$K$201,0),MATCH('Buildings - Heat &amp; Fuels'!R$6,'Emission factors'!$K$2:$V$2,0)))*$K155)</f>
        <v/>
      </c>
      <c r="S155" s="157" t="str" cm="1">
        <f t="array" ref="S155">IF(OR($E155="",$I155=""),"",(INDEX('Emission factors'!$K$3:$V$201,MATCH('Buildings - Heat &amp; Fuels'!$E155&amp;$F155,'Emission factors'!$J$3:$J$201&amp;'Emission factors'!$K$3:$K$201,0),MATCH('Buildings - Heat &amp; Fuels'!S$6,'Emission factors'!$K$2:$V$2,0)))*$K155)</f>
        <v/>
      </c>
      <c r="T155" s="157" t="str" cm="1">
        <f t="array" ref="T155">IF(OR($E155="",$I155=""),"",(INDEX('Emission factors'!$K$3:$V$201,MATCH('Buildings - Heat &amp; Fuels'!$E155&amp;$F155,'Emission factors'!$J$3:$J$201&amp;'Emission factors'!$K$3:$K$201,0),MATCH('Buildings - Heat &amp; Fuels'!T$6,'Emission factors'!$K$2:$V$2,0)))*$K155)</f>
        <v/>
      </c>
      <c r="U155" s="157" t="str" cm="1">
        <f t="array" ref="U155">IF(OR($E155="",$I155=""),"",(INDEX('Emission factors'!$K$3:$V$201,MATCH('Buildings - Heat &amp; Fuels'!$E155&amp;$F155,'Emission factors'!$J$3:$J$201&amp;'Emission factors'!$K$3:$K$201,0),MATCH('Buildings - Heat &amp; Fuels'!U$6,'Emission factors'!$K$2:$V$2,0)))*$K155)</f>
        <v/>
      </c>
      <c r="V155" s="158" t="str">
        <f>IF(OR($N155="",BuildingsHeatFuelsTable[[#This Row],[RSD]]=""),"",BuildingsHeatFuelsTable[[#This Row],[Total emissions (kgCO2e)]]*(1+BuildingsHeatFuelsTable[[#This Row],[RSD]]))</f>
        <v/>
      </c>
      <c r="W155" s="159" t="str">
        <f>IF(OR($N155="",BuildingsHeatFuelsTable[[#This Row],[RSD]]=""),"",BuildingsHeatFuelsTable[[#This Row],[Total emissions (kgCO2e)]]*(1-BuildingsHeatFuelsTable[[#This Row],[RSD]]))</f>
        <v/>
      </c>
      <c r="X155" s="169" t="str" cm="1">
        <f t="array" ref="X155">IF(OR($E155="",$I155=""),"",(INDEX('Emission factors'!$K$3:$V$201,MATCH('Buildings - Heat &amp; Fuels'!$E155&amp;$F155,'Emission factors'!$J$3:$J$201&amp;'Emission factors'!$K$3:$K$201,0),MATCH('Buildings - Heat &amp; Fuels'!X$6,'Emission factors'!$K$2:$V$2,0)))*$K155)</f>
        <v/>
      </c>
      <c r="Y155" s="30"/>
      <c r="Z155" s="1" cm="1">
        <f t="array" ref="Z155">IF(OR(ISERROR(B155:X155)),1,0)</f>
        <v>0</v>
      </c>
      <c r="AA155" s="1">
        <f t="shared" si="0"/>
        <v>0</v>
      </c>
    </row>
    <row r="156" spans="1:27" ht="15" outlineLevel="1" thickBot="1" x14ac:dyDescent="0.4">
      <c r="A156" s="319"/>
      <c r="B156" s="216"/>
      <c r="C156" s="216"/>
      <c r="D156" s="489" t="str">
        <f>IFERROR(INDEX(BuildingInformationTable[Site type],MATCH(BuildingsHeatFuelsTable[[#This Row],[Site name]],BuildingInformationTable[Site name],0)),"")</f>
        <v/>
      </c>
      <c r="E156" s="491"/>
      <c r="F156" s="491"/>
      <c r="G156" s="491"/>
      <c r="H156" s="492" t="str">
        <f>IF(G156="","",INDEX(Lists!$BA$4:$BC$31,MATCH(E156,Lists!$AZ$4:$AZ$31,0),MATCH(G156,Lists!$BA$3:$BC$3,0)))</f>
        <v/>
      </c>
      <c r="I156" s="267"/>
      <c r="J156" s="491"/>
      <c r="K156" s="493" t="str" cm="1">
        <f t="array" ref="K156">IF(OR($E156="",$D156="",$I156="",$J156=""),"",IF(J156=L156,I156,(INDEX('Emission factors'!$K$3:$V$201,MATCH(E156&amp;F156,'Emission factors'!$J$3:$J$201&amp;'Emission factors'!$K$3:$K$201,0),MATCH(K$6,'Emission factors'!$K$2:$V$2,0)))*I156))</f>
        <v/>
      </c>
      <c r="L156" s="494" t="str">
        <f>IF(OR($E156="",$D156="",$I156="",$J156=""),"",INDEX('Emission factors'!$K$3:$V$201,MATCH('Buildings - Heat &amp; Fuels'!$E156,'Emission factors'!$J$3:$J$201,0),MATCH($L$6,'Emission factors'!$K$2:$V$2,0)))</f>
        <v/>
      </c>
      <c r="M156" s="495" t="str" cm="1">
        <f t="array" ref="M156">IF(OR(E156="",I156="",BuildingsHeatFuelsTable[[#This Row],[Units]]=""),"",INDEX('Emission factors'!$K$3:$V$201,MATCH('Buildings - Heat &amp; Fuels'!$E156&amp;F156,'Emission factors'!$J$3:$J$201&amp;'Emission factors'!$K$3:$K$201,0),MATCH('Buildings - Heat &amp; Fuels'!$M$6,'Emission factors'!$K$2:$V$2,0)))</f>
        <v/>
      </c>
      <c r="N156" s="496" t="str">
        <f>IF(OR(K156="",M156=""),"",SUM(BuildingsHeatFuelsTable[[#This Row],[Direct]:[Indirect WTT]]))</f>
        <v/>
      </c>
      <c r="O156" s="268"/>
      <c r="P156" s="497"/>
      <c r="Q156" s="157" t="str" cm="1">
        <f t="array" ref="Q156">IF(OR($E156="",$I156=""),"",(INDEX('Emission factors'!$K$3:$V$201,MATCH('Buildings - Heat &amp; Fuels'!$E156&amp;$F156,'Emission factors'!$J$3:$J$201&amp;'Emission factors'!$K$3:$K$201,0),MATCH('Buildings - Heat &amp; Fuels'!Q$6,'Emission factors'!$K$2:$V$2,0)))*$K156)</f>
        <v/>
      </c>
      <c r="R156" s="157" t="str" cm="1">
        <f t="array" ref="R156">IF(OR($E156="",$I156=""),"",(INDEX('Emission factors'!$K$3:$V$201,MATCH('Buildings - Heat &amp; Fuels'!$E156&amp;$F156,'Emission factors'!$J$3:$J$201&amp;'Emission factors'!$K$3:$K$201,0),MATCH('Buildings - Heat &amp; Fuels'!R$6,'Emission factors'!$K$2:$V$2,0)))*$K156)</f>
        <v/>
      </c>
      <c r="S156" s="157" t="str" cm="1">
        <f t="array" ref="S156">IF(OR($E156="",$I156=""),"",(INDEX('Emission factors'!$K$3:$V$201,MATCH('Buildings - Heat &amp; Fuels'!$E156&amp;$F156,'Emission factors'!$J$3:$J$201&amp;'Emission factors'!$K$3:$K$201,0),MATCH('Buildings - Heat &amp; Fuels'!S$6,'Emission factors'!$K$2:$V$2,0)))*$K156)</f>
        <v/>
      </c>
      <c r="T156" s="157" t="str" cm="1">
        <f t="array" ref="T156">IF(OR($E156="",$I156=""),"",(INDEX('Emission factors'!$K$3:$V$201,MATCH('Buildings - Heat &amp; Fuels'!$E156&amp;$F156,'Emission factors'!$J$3:$J$201&amp;'Emission factors'!$K$3:$K$201,0),MATCH('Buildings - Heat &amp; Fuels'!T$6,'Emission factors'!$K$2:$V$2,0)))*$K156)</f>
        <v/>
      </c>
      <c r="U156" s="157" t="str" cm="1">
        <f t="array" ref="U156">IF(OR($E156="",$I156=""),"",(INDEX('Emission factors'!$K$3:$V$201,MATCH('Buildings - Heat &amp; Fuels'!$E156&amp;$F156,'Emission factors'!$J$3:$J$201&amp;'Emission factors'!$K$3:$K$201,0),MATCH('Buildings - Heat &amp; Fuels'!U$6,'Emission factors'!$K$2:$V$2,0)))*$K156)</f>
        <v/>
      </c>
      <c r="V156" s="158" t="str">
        <f>IF(OR($N156="",BuildingsHeatFuelsTable[[#This Row],[RSD]]=""),"",BuildingsHeatFuelsTable[[#This Row],[Total emissions (kgCO2e)]]*(1+BuildingsHeatFuelsTable[[#This Row],[RSD]]))</f>
        <v/>
      </c>
      <c r="W156" s="159" t="str">
        <f>IF(OR($N156="",BuildingsHeatFuelsTable[[#This Row],[RSD]]=""),"",BuildingsHeatFuelsTable[[#This Row],[Total emissions (kgCO2e)]]*(1-BuildingsHeatFuelsTable[[#This Row],[RSD]]))</f>
        <v/>
      </c>
      <c r="X156" s="169" t="str" cm="1">
        <f t="array" ref="X156">IF(OR($E156="",$I156=""),"",(INDEX('Emission factors'!$K$3:$V$201,MATCH('Buildings - Heat &amp; Fuels'!$E156&amp;$F156,'Emission factors'!$J$3:$J$201&amp;'Emission factors'!$K$3:$K$201,0),MATCH('Buildings - Heat &amp; Fuels'!X$6,'Emission factors'!$K$2:$V$2,0)))*$K156)</f>
        <v/>
      </c>
      <c r="Y156" s="30"/>
      <c r="Z156" s="1" cm="1">
        <f t="array" ref="Z156">IF(OR(ISERROR(B156:X156)),1,0)</f>
        <v>0</v>
      </c>
      <c r="AA156" s="1">
        <f t="shared" si="0"/>
        <v>0</v>
      </c>
    </row>
    <row r="157" spans="1:27" ht="15" outlineLevel="1" thickBot="1" x14ac:dyDescent="0.4">
      <c r="A157" s="319"/>
      <c r="B157" s="216"/>
      <c r="C157" s="216"/>
      <c r="D157" s="489" t="str">
        <f>IFERROR(INDEX(BuildingInformationTable[Site type],MATCH(BuildingsHeatFuelsTable[[#This Row],[Site name]],BuildingInformationTable[Site name],0)),"")</f>
        <v/>
      </c>
      <c r="E157" s="491"/>
      <c r="F157" s="491"/>
      <c r="G157" s="491"/>
      <c r="H157" s="492" t="str">
        <f>IF(G157="","",INDEX(Lists!$BA$4:$BC$31,MATCH(E157,Lists!$AZ$4:$AZ$31,0),MATCH(G157,Lists!$BA$3:$BC$3,0)))</f>
        <v/>
      </c>
      <c r="I157" s="267"/>
      <c r="J157" s="491"/>
      <c r="K157" s="493" t="str" cm="1">
        <f t="array" ref="K157">IF(OR($E157="",$D157="",$I157="",$J157=""),"",IF(J157=L157,I157,(INDEX('Emission factors'!$K$3:$V$201,MATCH(E157&amp;F157,'Emission factors'!$J$3:$J$201&amp;'Emission factors'!$K$3:$K$201,0),MATCH(K$6,'Emission factors'!$K$2:$V$2,0)))*I157))</f>
        <v/>
      </c>
      <c r="L157" s="494" t="str">
        <f>IF(OR($E157="",$D157="",$I157="",$J157=""),"",INDEX('Emission factors'!$K$3:$V$201,MATCH('Buildings - Heat &amp; Fuels'!$E157,'Emission factors'!$J$3:$J$201,0),MATCH($L$6,'Emission factors'!$K$2:$V$2,0)))</f>
        <v/>
      </c>
      <c r="M157" s="495" t="str" cm="1">
        <f t="array" ref="M157">IF(OR(E157="",I157="",BuildingsHeatFuelsTable[[#This Row],[Units]]=""),"",INDEX('Emission factors'!$K$3:$V$201,MATCH('Buildings - Heat &amp; Fuels'!$E157&amp;F157,'Emission factors'!$J$3:$J$201&amp;'Emission factors'!$K$3:$K$201,0),MATCH('Buildings - Heat &amp; Fuels'!$M$6,'Emission factors'!$K$2:$V$2,0)))</f>
        <v/>
      </c>
      <c r="N157" s="496" t="str">
        <f>IF(OR(K157="",M157=""),"",SUM(BuildingsHeatFuelsTable[[#This Row],[Direct]:[Indirect WTT]]))</f>
        <v/>
      </c>
      <c r="O157" s="268"/>
      <c r="P157" s="497"/>
      <c r="Q157" s="157" t="str" cm="1">
        <f t="array" ref="Q157">IF(OR($E157="",$I157=""),"",(INDEX('Emission factors'!$K$3:$V$201,MATCH('Buildings - Heat &amp; Fuels'!$E157&amp;$F157,'Emission factors'!$J$3:$J$201&amp;'Emission factors'!$K$3:$K$201,0),MATCH('Buildings - Heat &amp; Fuels'!Q$6,'Emission factors'!$K$2:$V$2,0)))*$K157)</f>
        <v/>
      </c>
      <c r="R157" s="157" t="str" cm="1">
        <f t="array" ref="R157">IF(OR($E157="",$I157=""),"",(INDEX('Emission factors'!$K$3:$V$201,MATCH('Buildings - Heat &amp; Fuels'!$E157&amp;$F157,'Emission factors'!$J$3:$J$201&amp;'Emission factors'!$K$3:$K$201,0),MATCH('Buildings - Heat &amp; Fuels'!R$6,'Emission factors'!$K$2:$V$2,0)))*$K157)</f>
        <v/>
      </c>
      <c r="S157" s="157" t="str" cm="1">
        <f t="array" ref="S157">IF(OR($E157="",$I157=""),"",(INDEX('Emission factors'!$K$3:$V$201,MATCH('Buildings - Heat &amp; Fuels'!$E157&amp;$F157,'Emission factors'!$J$3:$J$201&amp;'Emission factors'!$K$3:$K$201,0),MATCH('Buildings - Heat &amp; Fuels'!S$6,'Emission factors'!$K$2:$V$2,0)))*$K157)</f>
        <v/>
      </c>
      <c r="T157" s="157" t="str" cm="1">
        <f t="array" ref="T157">IF(OR($E157="",$I157=""),"",(INDEX('Emission factors'!$K$3:$V$201,MATCH('Buildings - Heat &amp; Fuels'!$E157&amp;$F157,'Emission factors'!$J$3:$J$201&amp;'Emission factors'!$K$3:$K$201,0),MATCH('Buildings - Heat &amp; Fuels'!T$6,'Emission factors'!$K$2:$V$2,0)))*$K157)</f>
        <v/>
      </c>
      <c r="U157" s="157" t="str" cm="1">
        <f t="array" ref="U157">IF(OR($E157="",$I157=""),"",(INDEX('Emission factors'!$K$3:$V$201,MATCH('Buildings - Heat &amp; Fuels'!$E157&amp;$F157,'Emission factors'!$J$3:$J$201&amp;'Emission factors'!$K$3:$K$201,0),MATCH('Buildings - Heat &amp; Fuels'!U$6,'Emission factors'!$K$2:$V$2,0)))*$K157)</f>
        <v/>
      </c>
      <c r="V157" s="158" t="str">
        <f>IF(OR($N157="",BuildingsHeatFuelsTable[[#This Row],[RSD]]=""),"",BuildingsHeatFuelsTable[[#This Row],[Total emissions (kgCO2e)]]*(1+BuildingsHeatFuelsTable[[#This Row],[RSD]]))</f>
        <v/>
      </c>
      <c r="W157" s="159" t="str">
        <f>IF(OR($N157="",BuildingsHeatFuelsTable[[#This Row],[RSD]]=""),"",BuildingsHeatFuelsTable[[#This Row],[Total emissions (kgCO2e)]]*(1-BuildingsHeatFuelsTable[[#This Row],[RSD]]))</f>
        <v/>
      </c>
      <c r="X157" s="169" t="str" cm="1">
        <f t="array" ref="X157">IF(OR($E157="",$I157=""),"",(INDEX('Emission factors'!$K$3:$V$201,MATCH('Buildings - Heat &amp; Fuels'!$E157&amp;$F157,'Emission factors'!$J$3:$J$201&amp;'Emission factors'!$K$3:$K$201,0),MATCH('Buildings - Heat &amp; Fuels'!X$6,'Emission factors'!$K$2:$V$2,0)))*$K157)</f>
        <v/>
      </c>
      <c r="Y157" s="30"/>
      <c r="Z157" s="1" cm="1">
        <f t="array" ref="Z157">IF(OR(ISERROR(B157:X157)),1,0)</f>
        <v>0</v>
      </c>
      <c r="AA157" s="1">
        <f t="shared" si="0"/>
        <v>0</v>
      </c>
    </row>
    <row r="158" spans="1:27" ht="15" outlineLevel="1" thickBot="1" x14ac:dyDescent="0.4">
      <c r="A158" s="319"/>
      <c r="B158" s="216"/>
      <c r="C158" s="216"/>
      <c r="D158" s="489" t="str">
        <f>IFERROR(INDEX(BuildingInformationTable[Site type],MATCH(BuildingsHeatFuelsTable[[#This Row],[Site name]],BuildingInformationTable[Site name],0)),"")</f>
        <v/>
      </c>
      <c r="E158" s="491"/>
      <c r="F158" s="491"/>
      <c r="G158" s="491"/>
      <c r="H158" s="492" t="str">
        <f>IF(G158="","",INDEX(Lists!$BA$4:$BC$31,MATCH(E158,Lists!$AZ$4:$AZ$31,0),MATCH(G158,Lists!$BA$3:$BC$3,0)))</f>
        <v/>
      </c>
      <c r="I158" s="267"/>
      <c r="J158" s="491"/>
      <c r="K158" s="493" t="str" cm="1">
        <f t="array" ref="K158">IF(OR($E158="",$D158="",$I158="",$J158=""),"",IF(J158=L158,I158,(INDEX('Emission factors'!$K$3:$V$201,MATCH(E158&amp;F158,'Emission factors'!$J$3:$J$201&amp;'Emission factors'!$K$3:$K$201,0),MATCH(K$6,'Emission factors'!$K$2:$V$2,0)))*I158))</f>
        <v/>
      </c>
      <c r="L158" s="494" t="str">
        <f>IF(OR($E158="",$D158="",$I158="",$J158=""),"",INDEX('Emission factors'!$K$3:$V$201,MATCH('Buildings - Heat &amp; Fuels'!$E158,'Emission factors'!$J$3:$J$201,0),MATCH($L$6,'Emission factors'!$K$2:$V$2,0)))</f>
        <v/>
      </c>
      <c r="M158" s="495" t="str" cm="1">
        <f t="array" ref="M158">IF(OR(E158="",I158="",BuildingsHeatFuelsTable[[#This Row],[Units]]=""),"",INDEX('Emission factors'!$K$3:$V$201,MATCH('Buildings - Heat &amp; Fuels'!$E158&amp;F158,'Emission factors'!$J$3:$J$201&amp;'Emission factors'!$K$3:$K$201,0),MATCH('Buildings - Heat &amp; Fuels'!$M$6,'Emission factors'!$K$2:$V$2,0)))</f>
        <v/>
      </c>
      <c r="N158" s="496" t="str">
        <f>IF(OR(K158="",M158=""),"",SUM(BuildingsHeatFuelsTable[[#This Row],[Direct]:[Indirect WTT]]))</f>
        <v/>
      </c>
      <c r="O158" s="268"/>
      <c r="P158" s="497"/>
      <c r="Q158" s="157" t="str" cm="1">
        <f t="array" ref="Q158">IF(OR($E158="",$I158=""),"",(INDEX('Emission factors'!$K$3:$V$201,MATCH('Buildings - Heat &amp; Fuels'!$E158&amp;$F158,'Emission factors'!$J$3:$J$201&amp;'Emission factors'!$K$3:$K$201,0),MATCH('Buildings - Heat &amp; Fuels'!Q$6,'Emission factors'!$K$2:$V$2,0)))*$K158)</f>
        <v/>
      </c>
      <c r="R158" s="157" t="str" cm="1">
        <f t="array" ref="R158">IF(OR($E158="",$I158=""),"",(INDEX('Emission factors'!$K$3:$V$201,MATCH('Buildings - Heat &amp; Fuels'!$E158&amp;$F158,'Emission factors'!$J$3:$J$201&amp;'Emission factors'!$K$3:$K$201,0),MATCH('Buildings - Heat &amp; Fuels'!R$6,'Emission factors'!$K$2:$V$2,0)))*$K158)</f>
        <v/>
      </c>
      <c r="S158" s="157" t="str" cm="1">
        <f t="array" ref="S158">IF(OR($E158="",$I158=""),"",(INDEX('Emission factors'!$K$3:$V$201,MATCH('Buildings - Heat &amp; Fuels'!$E158&amp;$F158,'Emission factors'!$J$3:$J$201&amp;'Emission factors'!$K$3:$K$201,0),MATCH('Buildings - Heat &amp; Fuels'!S$6,'Emission factors'!$K$2:$V$2,0)))*$K158)</f>
        <v/>
      </c>
      <c r="T158" s="157" t="str" cm="1">
        <f t="array" ref="T158">IF(OR($E158="",$I158=""),"",(INDEX('Emission factors'!$K$3:$V$201,MATCH('Buildings - Heat &amp; Fuels'!$E158&amp;$F158,'Emission factors'!$J$3:$J$201&amp;'Emission factors'!$K$3:$K$201,0),MATCH('Buildings - Heat &amp; Fuels'!T$6,'Emission factors'!$K$2:$V$2,0)))*$K158)</f>
        <v/>
      </c>
      <c r="U158" s="157" t="str" cm="1">
        <f t="array" ref="U158">IF(OR($E158="",$I158=""),"",(INDEX('Emission factors'!$K$3:$V$201,MATCH('Buildings - Heat &amp; Fuels'!$E158&amp;$F158,'Emission factors'!$J$3:$J$201&amp;'Emission factors'!$K$3:$K$201,0),MATCH('Buildings - Heat &amp; Fuels'!U$6,'Emission factors'!$K$2:$V$2,0)))*$K158)</f>
        <v/>
      </c>
      <c r="V158" s="158" t="str">
        <f>IF(OR($N158="",BuildingsHeatFuelsTable[[#This Row],[RSD]]=""),"",BuildingsHeatFuelsTable[[#This Row],[Total emissions (kgCO2e)]]*(1+BuildingsHeatFuelsTable[[#This Row],[RSD]]))</f>
        <v/>
      </c>
      <c r="W158" s="159" t="str">
        <f>IF(OR($N158="",BuildingsHeatFuelsTable[[#This Row],[RSD]]=""),"",BuildingsHeatFuelsTable[[#This Row],[Total emissions (kgCO2e)]]*(1-BuildingsHeatFuelsTable[[#This Row],[RSD]]))</f>
        <v/>
      </c>
      <c r="X158" s="169" t="str" cm="1">
        <f t="array" ref="X158">IF(OR($E158="",$I158=""),"",(INDEX('Emission factors'!$K$3:$V$201,MATCH('Buildings - Heat &amp; Fuels'!$E158&amp;$F158,'Emission factors'!$J$3:$J$201&amp;'Emission factors'!$K$3:$K$201,0),MATCH('Buildings - Heat &amp; Fuels'!X$6,'Emission factors'!$K$2:$V$2,0)))*$K158)</f>
        <v/>
      </c>
      <c r="Y158" s="30"/>
      <c r="Z158" s="1" cm="1">
        <f t="array" ref="Z158">IF(OR(ISERROR(B158:X158)),1,0)</f>
        <v>0</v>
      </c>
      <c r="AA158" s="1">
        <f t="shared" si="0"/>
        <v>0</v>
      </c>
    </row>
    <row r="159" spans="1:27" ht="15" outlineLevel="1" thickBot="1" x14ac:dyDescent="0.4">
      <c r="A159" s="319"/>
      <c r="B159" s="216"/>
      <c r="C159" s="216"/>
      <c r="D159" s="489" t="str">
        <f>IFERROR(INDEX(BuildingInformationTable[Site type],MATCH(BuildingsHeatFuelsTable[[#This Row],[Site name]],BuildingInformationTable[Site name],0)),"")</f>
        <v/>
      </c>
      <c r="E159" s="491"/>
      <c r="F159" s="491"/>
      <c r="G159" s="491"/>
      <c r="H159" s="492" t="str">
        <f>IF(G159="","",INDEX(Lists!$BA$4:$BC$31,MATCH(E159,Lists!$AZ$4:$AZ$31,0),MATCH(G159,Lists!$BA$3:$BC$3,0)))</f>
        <v/>
      </c>
      <c r="I159" s="267"/>
      <c r="J159" s="491"/>
      <c r="K159" s="493" t="str" cm="1">
        <f t="array" ref="K159">IF(OR($E159="",$D159="",$I159="",$J159=""),"",IF(J159=L159,I159,(INDEX('Emission factors'!$K$3:$V$201,MATCH(E159&amp;F159,'Emission factors'!$J$3:$J$201&amp;'Emission factors'!$K$3:$K$201,0),MATCH(K$6,'Emission factors'!$K$2:$V$2,0)))*I159))</f>
        <v/>
      </c>
      <c r="L159" s="494" t="str">
        <f>IF(OR($E159="",$D159="",$I159="",$J159=""),"",INDEX('Emission factors'!$K$3:$V$201,MATCH('Buildings - Heat &amp; Fuels'!$E159,'Emission factors'!$J$3:$J$201,0),MATCH($L$6,'Emission factors'!$K$2:$V$2,0)))</f>
        <v/>
      </c>
      <c r="M159" s="495" t="str" cm="1">
        <f t="array" ref="M159">IF(OR(E159="",I159="",BuildingsHeatFuelsTable[[#This Row],[Units]]=""),"",INDEX('Emission factors'!$K$3:$V$201,MATCH('Buildings - Heat &amp; Fuels'!$E159&amp;F159,'Emission factors'!$J$3:$J$201&amp;'Emission factors'!$K$3:$K$201,0),MATCH('Buildings - Heat &amp; Fuels'!$M$6,'Emission factors'!$K$2:$V$2,0)))</f>
        <v/>
      </c>
      <c r="N159" s="496" t="str">
        <f>IF(OR(K159="",M159=""),"",SUM(BuildingsHeatFuelsTable[[#This Row],[Direct]:[Indirect WTT]]))</f>
        <v/>
      </c>
      <c r="O159" s="268"/>
      <c r="P159" s="497"/>
      <c r="Q159" s="157" t="str" cm="1">
        <f t="array" ref="Q159">IF(OR($E159="",$I159=""),"",(INDEX('Emission factors'!$K$3:$V$201,MATCH('Buildings - Heat &amp; Fuels'!$E159&amp;$F159,'Emission factors'!$J$3:$J$201&amp;'Emission factors'!$K$3:$K$201,0),MATCH('Buildings - Heat &amp; Fuels'!Q$6,'Emission factors'!$K$2:$V$2,0)))*$K159)</f>
        <v/>
      </c>
      <c r="R159" s="157" t="str" cm="1">
        <f t="array" ref="R159">IF(OR($E159="",$I159=""),"",(INDEX('Emission factors'!$K$3:$V$201,MATCH('Buildings - Heat &amp; Fuels'!$E159&amp;$F159,'Emission factors'!$J$3:$J$201&amp;'Emission factors'!$K$3:$K$201,0),MATCH('Buildings - Heat &amp; Fuels'!R$6,'Emission factors'!$K$2:$V$2,0)))*$K159)</f>
        <v/>
      </c>
      <c r="S159" s="157" t="str" cm="1">
        <f t="array" ref="S159">IF(OR($E159="",$I159=""),"",(INDEX('Emission factors'!$K$3:$V$201,MATCH('Buildings - Heat &amp; Fuels'!$E159&amp;$F159,'Emission factors'!$J$3:$J$201&amp;'Emission factors'!$K$3:$K$201,0),MATCH('Buildings - Heat &amp; Fuels'!S$6,'Emission factors'!$K$2:$V$2,0)))*$K159)</f>
        <v/>
      </c>
      <c r="T159" s="157" t="str" cm="1">
        <f t="array" ref="T159">IF(OR($E159="",$I159=""),"",(INDEX('Emission factors'!$K$3:$V$201,MATCH('Buildings - Heat &amp; Fuels'!$E159&amp;$F159,'Emission factors'!$J$3:$J$201&amp;'Emission factors'!$K$3:$K$201,0),MATCH('Buildings - Heat &amp; Fuels'!T$6,'Emission factors'!$K$2:$V$2,0)))*$K159)</f>
        <v/>
      </c>
      <c r="U159" s="157" t="str" cm="1">
        <f t="array" ref="U159">IF(OR($E159="",$I159=""),"",(INDEX('Emission factors'!$K$3:$V$201,MATCH('Buildings - Heat &amp; Fuels'!$E159&amp;$F159,'Emission factors'!$J$3:$J$201&amp;'Emission factors'!$K$3:$K$201,0),MATCH('Buildings - Heat &amp; Fuels'!U$6,'Emission factors'!$K$2:$V$2,0)))*$K159)</f>
        <v/>
      </c>
      <c r="V159" s="158" t="str">
        <f>IF(OR($N159="",BuildingsHeatFuelsTable[[#This Row],[RSD]]=""),"",BuildingsHeatFuelsTable[[#This Row],[Total emissions (kgCO2e)]]*(1+BuildingsHeatFuelsTable[[#This Row],[RSD]]))</f>
        <v/>
      </c>
      <c r="W159" s="159" t="str">
        <f>IF(OR($N159="",BuildingsHeatFuelsTable[[#This Row],[RSD]]=""),"",BuildingsHeatFuelsTable[[#This Row],[Total emissions (kgCO2e)]]*(1-BuildingsHeatFuelsTable[[#This Row],[RSD]]))</f>
        <v/>
      </c>
      <c r="X159" s="169" t="str" cm="1">
        <f t="array" ref="X159">IF(OR($E159="",$I159=""),"",(INDEX('Emission factors'!$K$3:$V$201,MATCH('Buildings - Heat &amp; Fuels'!$E159&amp;$F159,'Emission factors'!$J$3:$J$201&amp;'Emission factors'!$K$3:$K$201,0),MATCH('Buildings - Heat &amp; Fuels'!X$6,'Emission factors'!$K$2:$V$2,0)))*$K159)</f>
        <v/>
      </c>
      <c r="Y159" s="30"/>
      <c r="Z159" s="1" cm="1">
        <f t="array" ref="Z159">IF(OR(ISERROR(B159:X159)),1,0)</f>
        <v>0</v>
      </c>
      <c r="AA159" s="1">
        <f t="shared" si="0"/>
        <v>0</v>
      </c>
    </row>
    <row r="160" spans="1:27" ht="15" outlineLevel="1" thickBot="1" x14ac:dyDescent="0.4">
      <c r="A160" s="319"/>
      <c r="B160" s="216"/>
      <c r="C160" s="216"/>
      <c r="D160" s="489" t="str">
        <f>IFERROR(INDEX(BuildingInformationTable[Site type],MATCH(BuildingsHeatFuelsTable[[#This Row],[Site name]],BuildingInformationTable[Site name],0)),"")</f>
        <v/>
      </c>
      <c r="E160" s="491"/>
      <c r="F160" s="491"/>
      <c r="G160" s="491"/>
      <c r="H160" s="492" t="str">
        <f>IF(G160="","",INDEX(Lists!$BA$4:$BC$31,MATCH(E160,Lists!$AZ$4:$AZ$31,0),MATCH(G160,Lists!$BA$3:$BC$3,0)))</f>
        <v/>
      </c>
      <c r="I160" s="267"/>
      <c r="J160" s="491"/>
      <c r="K160" s="493" t="str" cm="1">
        <f t="array" ref="K160">IF(OR($E160="",$D160="",$I160="",$J160=""),"",IF(J160=L160,I160,(INDEX('Emission factors'!$K$3:$V$201,MATCH(E160&amp;F160,'Emission factors'!$J$3:$J$201&amp;'Emission factors'!$K$3:$K$201,0),MATCH(K$6,'Emission factors'!$K$2:$V$2,0)))*I160))</f>
        <v/>
      </c>
      <c r="L160" s="494" t="str">
        <f>IF(OR($E160="",$D160="",$I160="",$J160=""),"",INDEX('Emission factors'!$K$3:$V$201,MATCH('Buildings - Heat &amp; Fuels'!$E160,'Emission factors'!$J$3:$J$201,0),MATCH($L$6,'Emission factors'!$K$2:$V$2,0)))</f>
        <v/>
      </c>
      <c r="M160" s="495" t="str" cm="1">
        <f t="array" ref="M160">IF(OR(E160="",I160="",BuildingsHeatFuelsTable[[#This Row],[Units]]=""),"",INDEX('Emission factors'!$K$3:$V$201,MATCH('Buildings - Heat &amp; Fuels'!$E160&amp;F160,'Emission factors'!$J$3:$J$201&amp;'Emission factors'!$K$3:$K$201,0),MATCH('Buildings - Heat &amp; Fuels'!$M$6,'Emission factors'!$K$2:$V$2,0)))</f>
        <v/>
      </c>
      <c r="N160" s="496" t="str">
        <f>IF(OR(K160="",M160=""),"",SUM(BuildingsHeatFuelsTable[[#This Row],[Direct]:[Indirect WTT]]))</f>
        <v/>
      </c>
      <c r="O160" s="268"/>
      <c r="P160" s="497"/>
      <c r="Q160" s="157" t="str" cm="1">
        <f t="array" ref="Q160">IF(OR($E160="",$I160=""),"",(INDEX('Emission factors'!$K$3:$V$201,MATCH('Buildings - Heat &amp; Fuels'!$E160&amp;$F160,'Emission factors'!$J$3:$J$201&amp;'Emission factors'!$K$3:$K$201,0),MATCH('Buildings - Heat &amp; Fuels'!Q$6,'Emission factors'!$K$2:$V$2,0)))*$K160)</f>
        <v/>
      </c>
      <c r="R160" s="157" t="str" cm="1">
        <f t="array" ref="R160">IF(OR($E160="",$I160=""),"",(INDEX('Emission factors'!$K$3:$V$201,MATCH('Buildings - Heat &amp; Fuels'!$E160&amp;$F160,'Emission factors'!$J$3:$J$201&amp;'Emission factors'!$K$3:$K$201,0),MATCH('Buildings - Heat &amp; Fuels'!R$6,'Emission factors'!$K$2:$V$2,0)))*$K160)</f>
        <v/>
      </c>
      <c r="S160" s="157" t="str" cm="1">
        <f t="array" ref="S160">IF(OR($E160="",$I160=""),"",(INDEX('Emission factors'!$K$3:$V$201,MATCH('Buildings - Heat &amp; Fuels'!$E160&amp;$F160,'Emission factors'!$J$3:$J$201&amp;'Emission factors'!$K$3:$K$201,0),MATCH('Buildings - Heat &amp; Fuels'!S$6,'Emission factors'!$K$2:$V$2,0)))*$K160)</f>
        <v/>
      </c>
      <c r="T160" s="157" t="str" cm="1">
        <f t="array" ref="T160">IF(OR($E160="",$I160=""),"",(INDEX('Emission factors'!$K$3:$V$201,MATCH('Buildings - Heat &amp; Fuels'!$E160&amp;$F160,'Emission factors'!$J$3:$J$201&amp;'Emission factors'!$K$3:$K$201,0),MATCH('Buildings - Heat &amp; Fuels'!T$6,'Emission factors'!$K$2:$V$2,0)))*$K160)</f>
        <v/>
      </c>
      <c r="U160" s="157" t="str" cm="1">
        <f t="array" ref="U160">IF(OR($E160="",$I160=""),"",(INDEX('Emission factors'!$K$3:$V$201,MATCH('Buildings - Heat &amp; Fuels'!$E160&amp;$F160,'Emission factors'!$J$3:$J$201&amp;'Emission factors'!$K$3:$K$201,0),MATCH('Buildings - Heat &amp; Fuels'!U$6,'Emission factors'!$K$2:$V$2,0)))*$K160)</f>
        <v/>
      </c>
      <c r="V160" s="158" t="str">
        <f>IF(OR($N160="",BuildingsHeatFuelsTable[[#This Row],[RSD]]=""),"",BuildingsHeatFuelsTable[[#This Row],[Total emissions (kgCO2e)]]*(1+BuildingsHeatFuelsTable[[#This Row],[RSD]]))</f>
        <v/>
      </c>
      <c r="W160" s="159" t="str">
        <f>IF(OR($N160="",BuildingsHeatFuelsTable[[#This Row],[RSD]]=""),"",BuildingsHeatFuelsTable[[#This Row],[Total emissions (kgCO2e)]]*(1-BuildingsHeatFuelsTable[[#This Row],[RSD]]))</f>
        <v/>
      </c>
      <c r="X160" s="169" t="str" cm="1">
        <f t="array" ref="X160">IF(OR($E160="",$I160=""),"",(INDEX('Emission factors'!$K$3:$V$201,MATCH('Buildings - Heat &amp; Fuels'!$E160&amp;$F160,'Emission factors'!$J$3:$J$201&amp;'Emission factors'!$K$3:$K$201,0),MATCH('Buildings - Heat &amp; Fuels'!X$6,'Emission factors'!$K$2:$V$2,0)))*$K160)</f>
        <v/>
      </c>
      <c r="Y160" s="30"/>
      <c r="Z160" s="1" cm="1">
        <f t="array" ref="Z160">IF(OR(ISERROR(B160:X160)),1,0)</f>
        <v>0</v>
      </c>
      <c r="AA160" s="1">
        <f t="shared" si="0"/>
        <v>0</v>
      </c>
    </row>
    <row r="161" spans="1:27" ht="15" outlineLevel="1" thickBot="1" x14ac:dyDescent="0.4">
      <c r="A161" s="319"/>
      <c r="B161" s="216"/>
      <c r="C161" s="216"/>
      <c r="D161" s="489" t="str">
        <f>IFERROR(INDEX(BuildingInformationTable[Site type],MATCH(BuildingsHeatFuelsTable[[#This Row],[Site name]],BuildingInformationTable[Site name],0)),"")</f>
        <v/>
      </c>
      <c r="E161" s="491"/>
      <c r="F161" s="491"/>
      <c r="G161" s="491"/>
      <c r="H161" s="492" t="str">
        <f>IF(G161="","",INDEX(Lists!$BA$4:$BC$31,MATCH(E161,Lists!$AZ$4:$AZ$31,0),MATCH(G161,Lists!$BA$3:$BC$3,0)))</f>
        <v/>
      </c>
      <c r="I161" s="267"/>
      <c r="J161" s="491"/>
      <c r="K161" s="493" t="str" cm="1">
        <f t="array" ref="K161">IF(OR($E161="",$D161="",$I161="",$J161=""),"",IF(J161=L161,I161,(INDEX('Emission factors'!$K$3:$V$201,MATCH(E161&amp;F161,'Emission factors'!$J$3:$J$201&amp;'Emission factors'!$K$3:$K$201,0),MATCH(K$6,'Emission factors'!$K$2:$V$2,0)))*I161))</f>
        <v/>
      </c>
      <c r="L161" s="494" t="str">
        <f>IF(OR($E161="",$D161="",$I161="",$J161=""),"",INDEX('Emission factors'!$K$3:$V$201,MATCH('Buildings - Heat &amp; Fuels'!$E161,'Emission factors'!$J$3:$J$201,0),MATCH($L$6,'Emission factors'!$K$2:$V$2,0)))</f>
        <v/>
      </c>
      <c r="M161" s="495" t="str" cm="1">
        <f t="array" ref="M161">IF(OR(E161="",I161="",BuildingsHeatFuelsTable[[#This Row],[Units]]=""),"",INDEX('Emission factors'!$K$3:$V$201,MATCH('Buildings - Heat &amp; Fuels'!$E161&amp;F161,'Emission factors'!$J$3:$J$201&amp;'Emission factors'!$K$3:$K$201,0),MATCH('Buildings - Heat &amp; Fuels'!$M$6,'Emission factors'!$K$2:$V$2,0)))</f>
        <v/>
      </c>
      <c r="N161" s="496" t="str">
        <f>IF(OR(K161="",M161=""),"",SUM(BuildingsHeatFuelsTable[[#This Row],[Direct]:[Indirect WTT]]))</f>
        <v/>
      </c>
      <c r="O161" s="268"/>
      <c r="P161" s="497"/>
      <c r="Q161" s="157" t="str" cm="1">
        <f t="array" ref="Q161">IF(OR($E161="",$I161=""),"",(INDEX('Emission factors'!$K$3:$V$201,MATCH('Buildings - Heat &amp; Fuels'!$E161&amp;$F161,'Emission factors'!$J$3:$J$201&amp;'Emission factors'!$K$3:$K$201,0),MATCH('Buildings - Heat &amp; Fuels'!Q$6,'Emission factors'!$K$2:$V$2,0)))*$K161)</f>
        <v/>
      </c>
      <c r="R161" s="157" t="str" cm="1">
        <f t="array" ref="R161">IF(OR($E161="",$I161=""),"",(INDEX('Emission factors'!$K$3:$V$201,MATCH('Buildings - Heat &amp; Fuels'!$E161&amp;$F161,'Emission factors'!$J$3:$J$201&amp;'Emission factors'!$K$3:$K$201,0),MATCH('Buildings - Heat &amp; Fuels'!R$6,'Emission factors'!$K$2:$V$2,0)))*$K161)</f>
        <v/>
      </c>
      <c r="S161" s="157" t="str" cm="1">
        <f t="array" ref="S161">IF(OR($E161="",$I161=""),"",(INDEX('Emission factors'!$K$3:$V$201,MATCH('Buildings - Heat &amp; Fuels'!$E161&amp;$F161,'Emission factors'!$J$3:$J$201&amp;'Emission factors'!$K$3:$K$201,0),MATCH('Buildings - Heat &amp; Fuels'!S$6,'Emission factors'!$K$2:$V$2,0)))*$K161)</f>
        <v/>
      </c>
      <c r="T161" s="157" t="str" cm="1">
        <f t="array" ref="T161">IF(OR($E161="",$I161=""),"",(INDEX('Emission factors'!$K$3:$V$201,MATCH('Buildings - Heat &amp; Fuels'!$E161&amp;$F161,'Emission factors'!$J$3:$J$201&amp;'Emission factors'!$K$3:$K$201,0),MATCH('Buildings - Heat &amp; Fuels'!T$6,'Emission factors'!$K$2:$V$2,0)))*$K161)</f>
        <v/>
      </c>
      <c r="U161" s="157" t="str" cm="1">
        <f t="array" ref="U161">IF(OR($E161="",$I161=""),"",(INDEX('Emission factors'!$K$3:$V$201,MATCH('Buildings - Heat &amp; Fuels'!$E161&amp;$F161,'Emission factors'!$J$3:$J$201&amp;'Emission factors'!$K$3:$K$201,0),MATCH('Buildings - Heat &amp; Fuels'!U$6,'Emission factors'!$K$2:$V$2,0)))*$K161)</f>
        <v/>
      </c>
      <c r="V161" s="158" t="str">
        <f>IF(OR($N161="",BuildingsHeatFuelsTable[[#This Row],[RSD]]=""),"",BuildingsHeatFuelsTable[[#This Row],[Total emissions (kgCO2e)]]*(1+BuildingsHeatFuelsTable[[#This Row],[RSD]]))</f>
        <v/>
      </c>
      <c r="W161" s="159" t="str">
        <f>IF(OR($N161="",BuildingsHeatFuelsTable[[#This Row],[RSD]]=""),"",BuildingsHeatFuelsTable[[#This Row],[Total emissions (kgCO2e)]]*(1-BuildingsHeatFuelsTable[[#This Row],[RSD]]))</f>
        <v/>
      </c>
      <c r="X161" s="169" t="str" cm="1">
        <f t="array" ref="X161">IF(OR($E161="",$I161=""),"",(INDEX('Emission factors'!$K$3:$V$201,MATCH('Buildings - Heat &amp; Fuels'!$E161&amp;$F161,'Emission factors'!$J$3:$J$201&amp;'Emission factors'!$K$3:$K$201,0),MATCH('Buildings - Heat &amp; Fuels'!X$6,'Emission factors'!$K$2:$V$2,0)))*$K161)</f>
        <v/>
      </c>
      <c r="Y161" s="30"/>
      <c r="Z161" s="1" cm="1">
        <f t="array" ref="Z161">IF(OR(ISERROR(B161:X161)),1,0)</f>
        <v>0</v>
      </c>
      <c r="AA161" s="1">
        <f t="shared" si="0"/>
        <v>0</v>
      </c>
    </row>
    <row r="162" spans="1:27" ht="15" outlineLevel="1" thickBot="1" x14ac:dyDescent="0.4">
      <c r="A162" s="319"/>
      <c r="B162" s="216"/>
      <c r="C162" s="216"/>
      <c r="D162" s="489" t="str">
        <f>IFERROR(INDEX(BuildingInformationTable[Site type],MATCH(BuildingsHeatFuelsTable[[#This Row],[Site name]],BuildingInformationTable[Site name],0)),"")</f>
        <v/>
      </c>
      <c r="E162" s="491"/>
      <c r="F162" s="491"/>
      <c r="G162" s="491"/>
      <c r="H162" s="492" t="str">
        <f>IF(G162="","",INDEX(Lists!$BA$4:$BC$31,MATCH(E162,Lists!$AZ$4:$AZ$31,0),MATCH(G162,Lists!$BA$3:$BC$3,0)))</f>
        <v/>
      </c>
      <c r="I162" s="267"/>
      <c r="J162" s="491"/>
      <c r="K162" s="493" t="str" cm="1">
        <f t="array" ref="K162">IF(OR($E162="",$D162="",$I162="",$J162=""),"",IF(J162=L162,I162,(INDEX('Emission factors'!$K$3:$V$201,MATCH(E162&amp;F162,'Emission factors'!$J$3:$J$201&amp;'Emission factors'!$K$3:$K$201,0),MATCH(K$6,'Emission factors'!$K$2:$V$2,0)))*I162))</f>
        <v/>
      </c>
      <c r="L162" s="494" t="str">
        <f>IF(OR($E162="",$D162="",$I162="",$J162=""),"",INDEX('Emission factors'!$K$3:$V$201,MATCH('Buildings - Heat &amp; Fuels'!$E162,'Emission factors'!$J$3:$J$201,0),MATCH($L$6,'Emission factors'!$K$2:$V$2,0)))</f>
        <v/>
      </c>
      <c r="M162" s="495" t="str" cm="1">
        <f t="array" ref="M162">IF(OR(E162="",I162="",BuildingsHeatFuelsTable[[#This Row],[Units]]=""),"",INDEX('Emission factors'!$K$3:$V$201,MATCH('Buildings - Heat &amp; Fuels'!$E162&amp;F162,'Emission factors'!$J$3:$J$201&amp;'Emission factors'!$K$3:$K$201,0),MATCH('Buildings - Heat &amp; Fuels'!$M$6,'Emission factors'!$K$2:$V$2,0)))</f>
        <v/>
      </c>
      <c r="N162" s="496" t="str">
        <f>IF(OR(K162="",M162=""),"",SUM(BuildingsHeatFuelsTable[[#This Row],[Direct]:[Indirect WTT]]))</f>
        <v/>
      </c>
      <c r="O162" s="268"/>
      <c r="P162" s="497"/>
      <c r="Q162" s="157" t="str" cm="1">
        <f t="array" ref="Q162">IF(OR($E162="",$I162=""),"",(INDEX('Emission factors'!$K$3:$V$201,MATCH('Buildings - Heat &amp; Fuels'!$E162&amp;$F162,'Emission factors'!$J$3:$J$201&amp;'Emission factors'!$K$3:$K$201,0),MATCH('Buildings - Heat &amp; Fuels'!Q$6,'Emission factors'!$K$2:$V$2,0)))*$K162)</f>
        <v/>
      </c>
      <c r="R162" s="157" t="str" cm="1">
        <f t="array" ref="R162">IF(OR($E162="",$I162=""),"",(INDEX('Emission factors'!$K$3:$V$201,MATCH('Buildings - Heat &amp; Fuels'!$E162&amp;$F162,'Emission factors'!$J$3:$J$201&amp;'Emission factors'!$K$3:$K$201,0),MATCH('Buildings - Heat &amp; Fuels'!R$6,'Emission factors'!$K$2:$V$2,0)))*$K162)</f>
        <v/>
      </c>
      <c r="S162" s="157" t="str" cm="1">
        <f t="array" ref="S162">IF(OR($E162="",$I162=""),"",(INDEX('Emission factors'!$K$3:$V$201,MATCH('Buildings - Heat &amp; Fuels'!$E162&amp;$F162,'Emission factors'!$J$3:$J$201&amp;'Emission factors'!$K$3:$K$201,0),MATCH('Buildings - Heat &amp; Fuels'!S$6,'Emission factors'!$K$2:$V$2,0)))*$K162)</f>
        <v/>
      </c>
      <c r="T162" s="157" t="str" cm="1">
        <f t="array" ref="T162">IF(OR($E162="",$I162=""),"",(INDEX('Emission factors'!$K$3:$V$201,MATCH('Buildings - Heat &amp; Fuels'!$E162&amp;$F162,'Emission factors'!$J$3:$J$201&amp;'Emission factors'!$K$3:$K$201,0),MATCH('Buildings - Heat &amp; Fuels'!T$6,'Emission factors'!$K$2:$V$2,0)))*$K162)</f>
        <v/>
      </c>
      <c r="U162" s="157" t="str" cm="1">
        <f t="array" ref="U162">IF(OR($E162="",$I162=""),"",(INDEX('Emission factors'!$K$3:$V$201,MATCH('Buildings - Heat &amp; Fuels'!$E162&amp;$F162,'Emission factors'!$J$3:$J$201&amp;'Emission factors'!$K$3:$K$201,0),MATCH('Buildings - Heat &amp; Fuels'!U$6,'Emission factors'!$K$2:$V$2,0)))*$K162)</f>
        <v/>
      </c>
      <c r="V162" s="158" t="str">
        <f>IF(OR($N162="",BuildingsHeatFuelsTable[[#This Row],[RSD]]=""),"",BuildingsHeatFuelsTable[[#This Row],[Total emissions (kgCO2e)]]*(1+BuildingsHeatFuelsTable[[#This Row],[RSD]]))</f>
        <v/>
      </c>
      <c r="W162" s="159" t="str">
        <f>IF(OR($N162="",BuildingsHeatFuelsTable[[#This Row],[RSD]]=""),"",BuildingsHeatFuelsTable[[#This Row],[Total emissions (kgCO2e)]]*(1-BuildingsHeatFuelsTable[[#This Row],[RSD]]))</f>
        <v/>
      </c>
      <c r="X162" s="169" t="str" cm="1">
        <f t="array" ref="X162">IF(OR($E162="",$I162=""),"",(INDEX('Emission factors'!$K$3:$V$201,MATCH('Buildings - Heat &amp; Fuels'!$E162&amp;$F162,'Emission factors'!$J$3:$J$201&amp;'Emission factors'!$K$3:$K$201,0),MATCH('Buildings - Heat &amp; Fuels'!X$6,'Emission factors'!$K$2:$V$2,0)))*$K162)</f>
        <v/>
      </c>
      <c r="Y162" s="30"/>
      <c r="Z162" s="1" cm="1">
        <f t="array" ref="Z162">IF(OR(ISERROR(B162:X162)),1,0)</f>
        <v>0</v>
      </c>
      <c r="AA162" s="1">
        <f t="shared" si="0"/>
        <v>0</v>
      </c>
    </row>
    <row r="163" spans="1:27" ht="15" outlineLevel="1" thickBot="1" x14ac:dyDescent="0.4">
      <c r="A163" s="319"/>
      <c r="B163" s="216"/>
      <c r="C163" s="216"/>
      <c r="D163" s="489" t="str">
        <f>IFERROR(INDEX(BuildingInformationTable[Site type],MATCH(BuildingsHeatFuelsTable[[#This Row],[Site name]],BuildingInformationTable[Site name],0)),"")</f>
        <v/>
      </c>
      <c r="E163" s="491"/>
      <c r="F163" s="491"/>
      <c r="G163" s="491"/>
      <c r="H163" s="492" t="str">
        <f>IF(G163="","",INDEX(Lists!$BA$4:$BC$31,MATCH(E163,Lists!$AZ$4:$AZ$31,0),MATCH(G163,Lists!$BA$3:$BC$3,0)))</f>
        <v/>
      </c>
      <c r="I163" s="267"/>
      <c r="J163" s="491"/>
      <c r="K163" s="493" t="str" cm="1">
        <f t="array" ref="K163">IF(OR($E163="",$D163="",$I163="",$J163=""),"",IF(J163=L163,I163,(INDEX('Emission factors'!$K$3:$V$201,MATCH(E163&amp;F163,'Emission factors'!$J$3:$J$201&amp;'Emission factors'!$K$3:$K$201,0),MATCH(K$6,'Emission factors'!$K$2:$V$2,0)))*I163))</f>
        <v/>
      </c>
      <c r="L163" s="494" t="str">
        <f>IF(OR($E163="",$D163="",$I163="",$J163=""),"",INDEX('Emission factors'!$K$3:$V$201,MATCH('Buildings - Heat &amp; Fuels'!$E163,'Emission factors'!$J$3:$J$201,0),MATCH($L$6,'Emission factors'!$K$2:$V$2,0)))</f>
        <v/>
      </c>
      <c r="M163" s="495" t="str" cm="1">
        <f t="array" ref="M163">IF(OR(E163="",I163="",BuildingsHeatFuelsTable[[#This Row],[Units]]=""),"",INDEX('Emission factors'!$K$3:$V$201,MATCH('Buildings - Heat &amp; Fuels'!$E163&amp;F163,'Emission factors'!$J$3:$J$201&amp;'Emission factors'!$K$3:$K$201,0),MATCH('Buildings - Heat &amp; Fuels'!$M$6,'Emission factors'!$K$2:$V$2,0)))</f>
        <v/>
      </c>
      <c r="N163" s="496" t="str">
        <f>IF(OR(K163="",M163=""),"",SUM(BuildingsHeatFuelsTable[[#This Row],[Direct]:[Indirect WTT]]))</f>
        <v/>
      </c>
      <c r="O163" s="268"/>
      <c r="P163" s="497"/>
      <c r="Q163" s="157" t="str" cm="1">
        <f t="array" ref="Q163">IF(OR($E163="",$I163=""),"",(INDEX('Emission factors'!$K$3:$V$201,MATCH('Buildings - Heat &amp; Fuels'!$E163&amp;$F163,'Emission factors'!$J$3:$J$201&amp;'Emission factors'!$K$3:$K$201,0),MATCH('Buildings - Heat &amp; Fuels'!Q$6,'Emission factors'!$K$2:$V$2,0)))*$K163)</f>
        <v/>
      </c>
      <c r="R163" s="157" t="str" cm="1">
        <f t="array" ref="R163">IF(OR($E163="",$I163=""),"",(INDEX('Emission factors'!$K$3:$V$201,MATCH('Buildings - Heat &amp; Fuels'!$E163&amp;$F163,'Emission factors'!$J$3:$J$201&amp;'Emission factors'!$K$3:$K$201,0),MATCH('Buildings - Heat &amp; Fuels'!R$6,'Emission factors'!$K$2:$V$2,0)))*$K163)</f>
        <v/>
      </c>
      <c r="S163" s="157" t="str" cm="1">
        <f t="array" ref="S163">IF(OR($E163="",$I163=""),"",(INDEX('Emission factors'!$K$3:$V$201,MATCH('Buildings - Heat &amp; Fuels'!$E163&amp;$F163,'Emission factors'!$J$3:$J$201&amp;'Emission factors'!$K$3:$K$201,0),MATCH('Buildings - Heat &amp; Fuels'!S$6,'Emission factors'!$K$2:$V$2,0)))*$K163)</f>
        <v/>
      </c>
      <c r="T163" s="157" t="str" cm="1">
        <f t="array" ref="T163">IF(OR($E163="",$I163=""),"",(INDEX('Emission factors'!$K$3:$V$201,MATCH('Buildings - Heat &amp; Fuels'!$E163&amp;$F163,'Emission factors'!$J$3:$J$201&amp;'Emission factors'!$K$3:$K$201,0),MATCH('Buildings - Heat &amp; Fuels'!T$6,'Emission factors'!$K$2:$V$2,0)))*$K163)</f>
        <v/>
      </c>
      <c r="U163" s="157" t="str" cm="1">
        <f t="array" ref="U163">IF(OR($E163="",$I163=""),"",(INDEX('Emission factors'!$K$3:$V$201,MATCH('Buildings - Heat &amp; Fuels'!$E163&amp;$F163,'Emission factors'!$J$3:$J$201&amp;'Emission factors'!$K$3:$K$201,0),MATCH('Buildings - Heat &amp; Fuels'!U$6,'Emission factors'!$K$2:$V$2,0)))*$K163)</f>
        <v/>
      </c>
      <c r="V163" s="158" t="str">
        <f>IF(OR($N163="",BuildingsHeatFuelsTable[[#This Row],[RSD]]=""),"",BuildingsHeatFuelsTable[[#This Row],[Total emissions (kgCO2e)]]*(1+BuildingsHeatFuelsTable[[#This Row],[RSD]]))</f>
        <v/>
      </c>
      <c r="W163" s="159" t="str">
        <f>IF(OR($N163="",BuildingsHeatFuelsTable[[#This Row],[RSD]]=""),"",BuildingsHeatFuelsTable[[#This Row],[Total emissions (kgCO2e)]]*(1-BuildingsHeatFuelsTable[[#This Row],[RSD]]))</f>
        <v/>
      </c>
      <c r="X163" s="169" t="str" cm="1">
        <f t="array" ref="X163">IF(OR($E163="",$I163=""),"",(INDEX('Emission factors'!$K$3:$V$201,MATCH('Buildings - Heat &amp; Fuels'!$E163&amp;$F163,'Emission factors'!$J$3:$J$201&amp;'Emission factors'!$K$3:$K$201,0),MATCH('Buildings - Heat &amp; Fuels'!X$6,'Emission factors'!$K$2:$V$2,0)))*$K163)</f>
        <v/>
      </c>
      <c r="Y163" s="30"/>
      <c r="Z163" s="1" cm="1">
        <f t="array" ref="Z163">IF(OR(ISERROR(B163:X163)),1,0)</f>
        <v>0</v>
      </c>
      <c r="AA163" s="1">
        <f t="shared" si="0"/>
        <v>0</v>
      </c>
    </row>
    <row r="164" spans="1:27" ht="15" outlineLevel="1" thickBot="1" x14ac:dyDescent="0.4">
      <c r="A164" s="319"/>
      <c r="B164" s="216"/>
      <c r="C164" s="216"/>
      <c r="D164" s="489" t="str">
        <f>IFERROR(INDEX(BuildingInformationTable[Site type],MATCH(BuildingsHeatFuelsTable[[#This Row],[Site name]],BuildingInformationTable[Site name],0)),"")</f>
        <v/>
      </c>
      <c r="E164" s="491"/>
      <c r="F164" s="491"/>
      <c r="G164" s="491"/>
      <c r="H164" s="492" t="str">
        <f>IF(G164="","",INDEX(Lists!$BA$4:$BC$31,MATCH(E164,Lists!$AZ$4:$AZ$31,0),MATCH(G164,Lists!$BA$3:$BC$3,0)))</f>
        <v/>
      </c>
      <c r="I164" s="267"/>
      <c r="J164" s="491"/>
      <c r="K164" s="493" t="str" cm="1">
        <f t="array" ref="K164">IF(OR($E164="",$D164="",$I164="",$J164=""),"",IF(J164=L164,I164,(INDEX('Emission factors'!$K$3:$V$201,MATCH(E164&amp;F164,'Emission factors'!$J$3:$J$201&amp;'Emission factors'!$K$3:$K$201,0),MATCH(K$6,'Emission factors'!$K$2:$V$2,0)))*I164))</f>
        <v/>
      </c>
      <c r="L164" s="494" t="str">
        <f>IF(OR($E164="",$D164="",$I164="",$J164=""),"",INDEX('Emission factors'!$K$3:$V$201,MATCH('Buildings - Heat &amp; Fuels'!$E164,'Emission factors'!$J$3:$J$201,0),MATCH($L$6,'Emission factors'!$K$2:$V$2,0)))</f>
        <v/>
      </c>
      <c r="M164" s="495" t="str" cm="1">
        <f t="array" ref="M164">IF(OR(E164="",I164="",BuildingsHeatFuelsTable[[#This Row],[Units]]=""),"",INDEX('Emission factors'!$K$3:$V$201,MATCH('Buildings - Heat &amp; Fuels'!$E164&amp;F164,'Emission factors'!$J$3:$J$201&amp;'Emission factors'!$K$3:$K$201,0),MATCH('Buildings - Heat &amp; Fuels'!$M$6,'Emission factors'!$K$2:$V$2,0)))</f>
        <v/>
      </c>
      <c r="N164" s="496" t="str">
        <f>IF(OR(K164="",M164=""),"",SUM(BuildingsHeatFuelsTable[[#This Row],[Direct]:[Indirect WTT]]))</f>
        <v/>
      </c>
      <c r="O164" s="268"/>
      <c r="P164" s="497"/>
      <c r="Q164" s="157" t="str" cm="1">
        <f t="array" ref="Q164">IF(OR($E164="",$I164=""),"",(INDEX('Emission factors'!$K$3:$V$201,MATCH('Buildings - Heat &amp; Fuels'!$E164&amp;$F164,'Emission factors'!$J$3:$J$201&amp;'Emission factors'!$K$3:$K$201,0),MATCH('Buildings - Heat &amp; Fuels'!Q$6,'Emission factors'!$K$2:$V$2,0)))*$K164)</f>
        <v/>
      </c>
      <c r="R164" s="157" t="str" cm="1">
        <f t="array" ref="R164">IF(OR($E164="",$I164=""),"",(INDEX('Emission factors'!$K$3:$V$201,MATCH('Buildings - Heat &amp; Fuels'!$E164&amp;$F164,'Emission factors'!$J$3:$J$201&amp;'Emission factors'!$K$3:$K$201,0),MATCH('Buildings - Heat &amp; Fuels'!R$6,'Emission factors'!$K$2:$V$2,0)))*$K164)</f>
        <v/>
      </c>
      <c r="S164" s="157" t="str" cm="1">
        <f t="array" ref="S164">IF(OR($E164="",$I164=""),"",(INDEX('Emission factors'!$K$3:$V$201,MATCH('Buildings - Heat &amp; Fuels'!$E164&amp;$F164,'Emission factors'!$J$3:$J$201&amp;'Emission factors'!$K$3:$K$201,0),MATCH('Buildings - Heat &amp; Fuels'!S$6,'Emission factors'!$K$2:$V$2,0)))*$K164)</f>
        <v/>
      </c>
      <c r="T164" s="157" t="str" cm="1">
        <f t="array" ref="T164">IF(OR($E164="",$I164=""),"",(INDEX('Emission factors'!$K$3:$V$201,MATCH('Buildings - Heat &amp; Fuels'!$E164&amp;$F164,'Emission factors'!$J$3:$J$201&amp;'Emission factors'!$K$3:$K$201,0),MATCH('Buildings - Heat &amp; Fuels'!T$6,'Emission factors'!$K$2:$V$2,0)))*$K164)</f>
        <v/>
      </c>
      <c r="U164" s="157" t="str" cm="1">
        <f t="array" ref="U164">IF(OR($E164="",$I164=""),"",(INDEX('Emission factors'!$K$3:$V$201,MATCH('Buildings - Heat &amp; Fuels'!$E164&amp;$F164,'Emission factors'!$J$3:$J$201&amp;'Emission factors'!$K$3:$K$201,0),MATCH('Buildings - Heat &amp; Fuels'!U$6,'Emission factors'!$K$2:$V$2,0)))*$K164)</f>
        <v/>
      </c>
      <c r="V164" s="158" t="str">
        <f>IF(OR($N164="",BuildingsHeatFuelsTable[[#This Row],[RSD]]=""),"",BuildingsHeatFuelsTable[[#This Row],[Total emissions (kgCO2e)]]*(1+BuildingsHeatFuelsTable[[#This Row],[RSD]]))</f>
        <v/>
      </c>
      <c r="W164" s="159" t="str">
        <f>IF(OR($N164="",BuildingsHeatFuelsTable[[#This Row],[RSD]]=""),"",BuildingsHeatFuelsTable[[#This Row],[Total emissions (kgCO2e)]]*(1-BuildingsHeatFuelsTable[[#This Row],[RSD]]))</f>
        <v/>
      </c>
      <c r="X164" s="169" t="str" cm="1">
        <f t="array" ref="X164">IF(OR($E164="",$I164=""),"",(INDEX('Emission factors'!$K$3:$V$201,MATCH('Buildings - Heat &amp; Fuels'!$E164&amp;$F164,'Emission factors'!$J$3:$J$201&amp;'Emission factors'!$K$3:$K$201,0),MATCH('Buildings - Heat &amp; Fuels'!X$6,'Emission factors'!$K$2:$V$2,0)))*$K164)</f>
        <v/>
      </c>
      <c r="Y164" s="30"/>
      <c r="Z164" s="1" cm="1">
        <f t="array" ref="Z164">IF(OR(ISERROR(B164:X164)),1,0)</f>
        <v>0</v>
      </c>
      <c r="AA164" s="1">
        <f t="shared" si="0"/>
        <v>0</v>
      </c>
    </row>
    <row r="165" spans="1:27" ht="15" outlineLevel="1" thickBot="1" x14ac:dyDescent="0.4">
      <c r="A165" s="319"/>
      <c r="B165" s="216"/>
      <c r="C165" s="216"/>
      <c r="D165" s="489" t="str">
        <f>IFERROR(INDEX(BuildingInformationTable[Site type],MATCH(BuildingsHeatFuelsTable[[#This Row],[Site name]],BuildingInformationTable[Site name],0)),"")</f>
        <v/>
      </c>
      <c r="E165" s="491"/>
      <c r="F165" s="491"/>
      <c r="G165" s="491"/>
      <c r="H165" s="492" t="str">
        <f>IF(G165="","",INDEX(Lists!$BA$4:$BC$31,MATCH(E165,Lists!$AZ$4:$AZ$31,0),MATCH(G165,Lists!$BA$3:$BC$3,0)))</f>
        <v/>
      </c>
      <c r="I165" s="267"/>
      <c r="J165" s="491"/>
      <c r="K165" s="493" t="str" cm="1">
        <f t="array" ref="K165">IF(OR($E165="",$D165="",$I165="",$J165=""),"",IF(J165=L165,I165,(INDEX('Emission factors'!$K$3:$V$201,MATCH(E165&amp;F165,'Emission factors'!$J$3:$J$201&amp;'Emission factors'!$K$3:$K$201,0),MATCH(K$6,'Emission factors'!$K$2:$V$2,0)))*I165))</f>
        <v/>
      </c>
      <c r="L165" s="494" t="str">
        <f>IF(OR($E165="",$D165="",$I165="",$J165=""),"",INDEX('Emission factors'!$K$3:$V$201,MATCH('Buildings - Heat &amp; Fuels'!$E165,'Emission factors'!$J$3:$J$201,0),MATCH($L$6,'Emission factors'!$K$2:$V$2,0)))</f>
        <v/>
      </c>
      <c r="M165" s="495" t="str" cm="1">
        <f t="array" ref="M165">IF(OR(E165="",I165="",BuildingsHeatFuelsTable[[#This Row],[Units]]=""),"",INDEX('Emission factors'!$K$3:$V$201,MATCH('Buildings - Heat &amp; Fuels'!$E165&amp;F165,'Emission factors'!$J$3:$J$201&amp;'Emission factors'!$K$3:$K$201,0),MATCH('Buildings - Heat &amp; Fuels'!$M$6,'Emission factors'!$K$2:$V$2,0)))</f>
        <v/>
      </c>
      <c r="N165" s="496" t="str">
        <f>IF(OR(K165="",M165=""),"",SUM(BuildingsHeatFuelsTable[[#This Row],[Direct]:[Indirect WTT]]))</f>
        <v/>
      </c>
      <c r="O165" s="268"/>
      <c r="P165" s="497"/>
      <c r="Q165" s="157" t="str" cm="1">
        <f t="array" ref="Q165">IF(OR($E165="",$I165=""),"",(INDEX('Emission factors'!$K$3:$V$201,MATCH('Buildings - Heat &amp; Fuels'!$E165&amp;$F165,'Emission factors'!$J$3:$J$201&amp;'Emission factors'!$K$3:$K$201,0),MATCH('Buildings - Heat &amp; Fuels'!Q$6,'Emission factors'!$K$2:$V$2,0)))*$K165)</f>
        <v/>
      </c>
      <c r="R165" s="157" t="str" cm="1">
        <f t="array" ref="R165">IF(OR($E165="",$I165=""),"",(INDEX('Emission factors'!$K$3:$V$201,MATCH('Buildings - Heat &amp; Fuels'!$E165&amp;$F165,'Emission factors'!$J$3:$J$201&amp;'Emission factors'!$K$3:$K$201,0),MATCH('Buildings - Heat &amp; Fuels'!R$6,'Emission factors'!$K$2:$V$2,0)))*$K165)</f>
        <v/>
      </c>
      <c r="S165" s="157" t="str" cm="1">
        <f t="array" ref="S165">IF(OR($E165="",$I165=""),"",(INDEX('Emission factors'!$K$3:$V$201,MATCH('Buildings - Heat &amp; Fuels'!$E165&amp;$F165,'Emission factors'!$J$3:$J$201&amp;'Emission factors'!$K$3:$K$201,0),MATCH('Buildings - Heat &amp; Fuels'!S$6,'Emission factors'!$K$2:$V$2,0)))*$K165)</f>
        <v/>
      </c>
      <c r="T165" s="157" t="str" cm="1">
        <f t="array" ref="T165">IF(OR($E165="",$I165=""),"",(INDEX('Emission factors'!$K$3:$V$201,MATCH('Buildings - Heat &amp; Fuels'!$E165&amp;$F165,'Emission factors'!$J$3:$J$201&amp;'Emission factors'!$K$3:$K$201,0),MATCH('Buildings - Heat &amp; Fuels'!T$6,'Emission factors'!$K$2:$V$2,0)))*$K165)</f>
        <v/>
      </c>
      <c r="U165" s="157" t="str" cm="1">
        <f t="array" ref="U165">IF(OR($E165="",$I165=""),"",(INDEX('Emission factors'!$K$3:$V$201,MATCH('Buildings - Heat &amp; Fuels'!$E165&amp;$F165,'Emission factors'!$J$3:$J$201&amp;'Emission factors'!$K$3:$K$201,0),MATCH('Buildings - Heat &amp; Fuels'!U$6,'Emission factors'!$K$2:$V$2,0)))*$K165)</f>
        <v/>
      </c>
      <c r="V165" s="158" t="str">
        <f>IF(OR($N165="",BuildingsHeatFuelsTable[[#This Row],[RSD]]=""),"",BuildingsHeatFuelsTable[[#This Row],[Total emissions (kgCO2e)]]*(1+BuildingsHeatFuelsTable[[#This Row],[RSD]]))</f>
        <v/>
      </c>
      <c r="W165" s="159" t="str">
        <f>IF(OR($N165="",BuildingsHeatFuelsTable[[#This Row],[RSD]]=""),"",BuildingsHeatFuelsTable[[#This Row],[Total emissions (kgCO2e)]]*(1-BuildingsHeatFuelsTable[[#This Row],[RSD]]))</f>
        <v/>
      </c>
      <c r="X165" s="169" t="str" cm="1">
        <f t="array" ref="X165">IF(OR($E165="",$I165=""),"",(INDEX('Emission factors'!$K$3:$V$201,MATCH('Buildings - Heat &amp; Fuels'!$E165&amp;$F165,'Emission factors'!$J$3:$J$201&amp;'Emission factors'!$K$3:$K$201,0),MATCH('Buildings - Heat &amp; Fuels'!X$6,'Emission factors'!$K$2:$V$2,0)))*$K165)</f>
        <v/>
      </c>
      <c r="Y165" s="30"/>
      <c r="Z165" s="1" cm="1">
        <f t="array" ref="Z165">IF(OR(ISERROR(B165:X165)),1,0)</f>
        <v>0</v>
      </c>
      <c r="AA165" s="1">
        <f t="shared" si="0"/>
        <v>0</v>
      </c>
    </row>
    <row r="166" spans="1:27" ht="15" outlineLevel="1" thickBot="1" x14ac:dyDescent="0.4">
      <c r="A166" s="319"/>
      <c r="B166" s="216"/>
      <c r="C166" s="216"/>
      <c r="D166" s="489" t="str">
        <f>IFERROR(INDEX(BuildingInformationTable[Site type],MATCH(BuildingsHeatFuelsTable[[#This Row],[Site name]],BuildingInformationTable[Site name],0)),"")</f>
        <v/>
      </c>
      <c r="E166" s="491"/>
      <c r="F166" s="491"/>
      <c r="G166" s="491"/>
      <c r="H166" s="492" t="str">
        <f>IF(G166="","",INDEX(Lists!$BA$4:$BC$31,MATCH(E166,Lists!$AZ$4:$AZ$31,0),MATCH(G166,Lists!$BA$3:$BC$3,0)))</f>
        <v/>
      </c>
      <c r="I166" s="267"/>
      <c r="J166" s="491"/>
      <c r="K166" s="493" t="str" cm="1">
        <f t="array" ref="K166">IF(OR($E166="",$D166="",$I166="",$J166=""),"",IF(J166=L166,I166,(INDEX('Emission factors'!$K$3:$V$201,MATCH(E166&amp;F166,'Emission factors'!$J$3:$J$201&amp;'Emission factors'!$K$3:$K$201,0),MATCH(K$6,'Emission factors'!$K$2:$V$2,0)))*I166))</f>
        <v/>
      </c>
      <c r="L166" s="494" t="str">
        <f>IF(OR($E166="",$D166="",$I166="",$J166=""),"",INDEX('Emission factors'!$K$3:$V$201,MATCH('Buildings - Heat &amp; Fuels'!$E166,'Emission factors'!$J$3:$J$201,0),MATCH($L$6,'Emission factors'!$K$2:$V$2,0)))</f>
        <v/>
      </c>
      <c r="M166" s="495" t="str" cm="1">
        <f t="array" ref="M166">IF(OR(E166="",I166="",BuildingsHeatFuelsTable[[#This Row],[Units]]=""),"",INDEX('Emission factors'!$K$3:$V$201,MATCH('Buildings - Heat &amp; Fuels'!$E166&amp;F166,'Emission factors'!$J$3:$J$201&amp;'Emission factors'!$K$3:$K$201,0),MATCH('Buildings - Heat &amp; Fuels'!$M$6,'Emission factors'!$K$2:$V$2,0)))</f>
        <v/>
      </c>
      <c r="N166" s="496" t="str">
        <f>IF(OR(K166="",M166=""),"",SUM(BuildingsHeatFuelsTable[[#This Row],[Direct]:[Indirect WTT]]))</f>
        <v/>
      </c>
      <c r="O166" s="268"/>
      <c r="P166" s="497"/>
      <c r="Q166" s="157" t="str" cm="1">
        <f t="array" ref="Q166">IF(OR($E166="",$I166=""),"",(INDEX('Emission factors'!$K$3:$V$201,MATCH('Buildings - Heat &amp; Fuels'!$E166&amp;$F166,'Emission factors'!$J$3:$J$201&amp;'Emission factors'!$K$3:$K$201,0),MATCH('Buildings - Heat &amp; Fuels'!Q$6,'Emission factors'!$K$2:$V$2,0)))*$K166)</f>
        <v/>
      </c>
      <c r="R166" s="157" t="str" cm="1">
        <f t="array" ref="R166">IF(OR($E166="",$I166=""),"",(INDEX('Emission factors'!$K$3:$V$201,MATCH('Buildings - Heat &amp; Fuels'!$E166&amp;$F166,'Emission factors'!$J$3:$J$201&amp;'Emission factors'!$K$3:$K$201,0),MATCH('Buildings - Heat &amp; Fuels'!R$6,'Emission factors'!$K$2:$V$2,0)))*$K166)</f>
        <v/>
      </c>
      <c r="S166" s="157" t="str" cm="1">
        <f t="array" ref="S166">IF(OR($E166="",$I166=""),"",(INDEX('Emission factors'!$K$3:$V$201,MATCH('Buildings - Heat &amp; Fuels'!$E166&amp;$F166,'Emission factors'!$J$3:$J$201&amp;'Emission factors'!$K$3:$K$201,0),MATCH('Buildings - Heat &amp; Fuels'!S$6,'Emission factors'!$K$2:$V$2,0)))*$K166)</f>
        <v/>
      </c>
      <c r="T166" s="157" t="str" cm="1">
        <f t="array" ref="T166">IF(OR($E166="",$I166=""),"",(INDEX('Emission factors'!$K$3:$V$201,MATCH('Buildings - Heat &amp; Fuels'!$E166&amp;$F166,'Emission factors'!$J$3:$J$201&amp;'Emission factors'!$K$3:$K$201,0),MATCH('Buildings - Heat &amp; Fuels'!T$6,'Emission factors'!$K$2:$V$2,0)))*$K166)</f>
        <v/>
      </c>
      <c r="U166" s="157" t="str" cm="1">
        <f t="array" ref="U166">IF(OR($E166="",$I166=""),"",(INDEX('Emission factors'!$K$3:$V$201,MATCH('Buildings - Heat &amp; Fuels'!$E166&amp;$F166,'Emission factors'!$J$3:$J$201&amp;'Emission factors'!$K$3:$K$201,0),MATCH('Buildings - Heat &amp; Fuels'!U$6,'Emission factors'!$K$2:$V$2,0)))*$K166)</f>
        <v/>
      </c>
      <c r="V166" s="158" t="str">
        <f>IF(OR($N166="",BuildingsHeatFuelsTable[[#This Row],[RSD]]=""),"",BuildingsHeatFuelsTable[[#This Row],[Total emissions (kgCO2e)]]*(1+BuildingsHeatFuelsTable[[#This Row],[RSD]]))</f>
        <v/>
      </c>
      <c r="W166" s="159" t="str">
        <f>IF(OR($N166="",BuildingsHeatFuelsTable[[#This Row],[RSD]]=""),"",BuildingsHeatFuelsTable[[#This Row],[Total emissions (kgCO2e)]]*(1-BuildingsHeatFuelsTable[[#This Row],[RSD]]))</f>
        <v/>
      </c>
      <c r="X166" s="169" t="str" cm="1">
        <f t="array" ref="X166">IF(OR($E166="",$I166=""),"",(INDEX('Emission factors'!$K$3:$V$201,MATCH('Buildings - Heat &amp; Fuels'!$E166&amp;$F166,'Emission factors'!$J$3:$J$201&amp;'Emission factors'!$K$3:$K$201,0),MATCH('Buildings - Heat &amp; Fuels'!X$6,'Emission factors'!$K$2:$V$2,0)))*$K166)</f>
        <v/>
      </c>
      <c r="Y166" s="30"/>
      <c r="Z166" s="1" cm="1">
        <f t="array" ref="Z166">IF(OR(ISERROR(B166:X166)),1,0)</f>
        <v>0</v>
      </c>
      <c r="AA166" s="1">
        <f t="shared" si="0"/>
        <v>0</v>
      </c>
    </row>
    <row r="167" spans="1:27" ht="15" outlineLevel="1" thickBot="1" x14ac:dyDescent="0.4">
      <c r="A167" s="319"/>
      <c r="B167" s="216"/>
      <c r="C167" s="216"/>
      <c r="D167" s="489" t="str">
        <f>IFERROR(INDEX(BuildingInformationTable[Site type],MATCH(BuildingsHeatFuelsTable[[#This Row],[Site name]],BuildingInformationTable[Site name],0)),"")</f>
        <v/>
      </c>
      <c r="E167" s="491"/>
      <c r="F167" s="491"/>
      <c r="G167" s="491"/>
      <c r="H167" s="492" t="str">
        <f>IF(G167="","",INDEX(Lists!$BA$4:$BC$31,MATCH(E167,Lists!$AZ$4:$AZ$31,0),MATCH(G167,Lists!$BA$3:$BC$3,0)))</f>
        <v/>
      </c>
      <c r="I167" s="267"/>
      <c r="J167" s="491"/>
      <c r="K167" s="493" t="str" cm="1">
        <f t="array" ref="K167">IF(OR($E167="",$D167="",$I167="",$J167=""),"",IF(J167=L167,I167,(INDEX('Emission factors'!$K$3:$V$201,MATCH(E167&amp;F167,'Emission factors'!$J$3:$J$201&amp;'Emission factors'!$K$3:$K$201,0),MATCH(K$6,'Emission factors'!$K$2:$V$2,0)))*I167))</f>
        <v/>
      </c>
      <c r="L167" s="494" t="str">
        <f>IF(OR($E167="",$D167="",$I167="",$J167=""),"",INDEX('Emission factors'!$K$3:$V$201,MATCH('Buildings - Heat &amp; Fuels'!$E167,'Emission factors'!$J$3:$J$201,0),MATCH($L$6,'Emission factors'!$K$2:$V$2,0)))</f>
        <v/>
      </c>
      <c r="M167" s="495" t="str" cm="1">
        <f t="array" ref="M167">IF(OR(E167="",I167="",BuildingsHeatFuelsTable[[#This Row],[Units]]=""),"",INDEX('Emission factors'!$K$3:$V$201,MATCH('Buildings - Heat &amp; Fuels'!$E167&amp;F167,'Emission factors'!$J$3:$J$201&amp;'Emission factors'!$K$3:$K$201,0),MATCH('Buildings - Heat &amp; Fuels'!$M$6,'Emission factors'!$K$2:$V$2,0)))</f>
        <v/>
      </c>
      <c r="N167" s="496" t="str">
        <f>IF(OR(K167="",M167=""),"",SUM(BuildingsHeatFuelsTable[[#This Row],[Direct]:[Indirect WTT]]))</f>
        <v/>
      </c>
      <c r="O167" s="268"/>
      <c r="P167" s="497"/>
      <c r="Q167" s="157" t="str" cm="1">
        <f t="array" ref="Q167">IF(OR($E167="",$I167=""),"",(INDEX('Emission factors'!$K$3:$V$201,MATCH('Buildings - Heat &amp; Fuels'!$E167&amp;$F167,'Emission factors'!$J$3:$J$201&amp;'Emission factors'!$K$3:$K$201,0),MATCH('Buildings - Heat &amp; Fuels'!Q$6,'Emission factors'!$K$2:$V$2,0)))*$K167)</f>
        <v/>
      </c>
      <c r="R167" s="157" t="str" cm="1">
        <f t="array" ref="R167">IF(OR($E167="",$I167=""),"",(INDEX('Emission factors'!$K$3:$V$201,MATCH('Buildings - Heat &amp; Fuels'!$E167&amp;$F167,'Emission factors'!$J$3:$J$201&amp;'Emission factors'!$K$3:$K$201,0),MATCH('Buildings - Heat &amp; Fuels'!R$6,'Emission factors'!$K$2:$V$2,0)))*$K167)</f>
        <v/>
      </c>
      <c r="S167" s="157" t="str" cm="1">
        <f t="array" ref="S167">IF(OR($E167="",$I167=""),"",(INDEX('Emission factors'!$K$3:$V$201,MATCH('Buildings - Heat &amp; Fuels'!$E167&amp;$F167,'Emission factors'!$J$3:$J$201&amp;'Emission factors'!$K$3:$K$201,0),MATCH('Buildings - Heat &amp; Fuels'!S$6,'Emission factors'!$K$2:$V$2,0)))*$K167)</f>
        <v/>
      </c>
      <c r="T167" s="157" t="str" cm="1">
        <f t="array" ref="T167">IF(OR($E167="",$I167=""),"",(INDEX('Emission factors'!$K$3:$V$201,MATCH('Buildings - Heat &amp; Fuels'!$E167&amp;$F167,'Emission factors'!$J$3:$J$201&amp;'Emission factors'!$K$3:$K$201,0),MATCH('Buildings - Heat &amp; Fuels'!T$6,'Emission factors'!$K$2:$V$2,0)))*$K167)</f>
        <v/>
      </c>
      <c r="U167" s="157" t="str" cm="1">
        <f t="array" ref="U167">IF(OR($E167="",$I167=""),"",(INDEX('Emission factors'!$K$3:$V$201,MATCH('Buildings - Heat &amp; Fuels'!$E167&amp;$F167,'Emission factors'!$J$3:$J$201&amp;'Emission factors'!$K$3:$K$201,0),MATCH('Buildings - Heat &amp; Fuels'!U$6,'Emission factors'!$K$2:$V$2,0)))*$K167)</f>
        <v/>
      </c>
      <c r="V167" s="158" t="str">
        <f>IF(OR($N167="",BuildingsHeatFuelsTable[[#This Row],[RSD]]=""),"",BuildingsHeatFuelsTable[[#This Row],[Total emissions (kgCO2e)]]*(1+BuildingsHeatFuelsTable[[#This Row],[RSD]]))</f>
        <v/>
      </c>
      <c r="W167" s="159" t="str">
        <f>IF(OR($N167="",BuildingsHeatFuelsTable[[#This Row],[RSD]]=""),"",BuildingsHeatFuelsTable[[#This Row],[Total emissions (kgCO2e)]]*(1-BuildingsHeatFuelsTable[[#This Row],[RSD]]))</f>
        <v/>
      </c>
      <c r="X167" s="169" t="str" cm="1">
        <f t="array" ref="X167">IF(OR($E167="",$I167=""),"",(INDEX('Emission factors'!$K$3:$V$201,MATCH('Buildings - Heat &amp; Fuels'!$E167&amp;$F167,'Emission factors'!$J$3:$J$201&amp;'Emission factors'!$K$3:$K$201,0),MATCH('Buildings - Heat &amp; Fuels'!X$6,'Emission factors'!$K$2:$V$2,0)))*$K167)</f>
        <v/>
      </c>
      <c r="Y167" s="30"/>
      <c r="Z167" s="1" cm="1">
        <f t="array" ref="Z167">IF(OR(ISERROR(B167:X167)),1,0)</f>
        <v>0</v>
      </c>
      <c r="AA167" s="1">
        <f t="shared" si="0"/>
        <v>0</v>
      </c>
    </row>
    <row r="168" spans="1:27" ht="15" outlineLevel="1" thickBot="1" x14ac:dyDescent="0.4">
      <c r="A168" s="319"/>
      <c r="B168" s="216"/>
      <c r="C168" s="216"/>
      <c r="D168" s="489" t="str">
        <f>IFERROR(INDEX(BuildingInformationTable[Site type],MATCH(BuildingsHeatFuelsTable[[#This Row],[Site name]],BuildingInformationTable[Site name],0)),"")</f>
        <v/>
      </c>
      <c r="E168" s="491"/>
      <c r="F168" s="491"/>
      <c r="G168" s="491"/>
      <c r="H168" s="492" t="str">
        <f>IF(G168="","",INDEX(Lists!$BA$4:$BC$31,MATCH(E168,Lists!$AZ$4:$AZ$31,0),MATCH(G168,Lists!$BA$3:$BC$3,0)))</f>
        <v/>
      </c>
      <c r="I168" s="267"/>
      <c r="J168" s="491"/>
      <c r="K168" s="493" t="str" cm="1">
        <f t="array" ref="K168">IF(OR($E168="",$D168="",$I168="",$J168=""),"",IF(J168=L168,I168,(INDEX('Emission factors'!$K$3:$V$201,MATCH(E168&amp;F168,'Emission factors'!$J$3:$J$201&amp;'Emission factors'!$K$3:$K$201,0),MATCH(K$6,'Emission factors'!$K$2:$V$2,0)))*I168))</f>
        <v/>
      </c>
      <c r="L168" s="494" t="str">
        <f>IF(OR($E168="",$D168="",$I168="",$J168=""),"",INDEX('Emission factors'!$K$3:$V$201,MATCH('Buildings - Heat &amp; Fuels'!$E168,'Emission factors'!$J$3:$J$201,0),MATCH($L$6,'Emission factors'!$K$2:$V$2,0)))</f>
        <v/>
      </c>
      <c r="M168" s="495" t="str" cm="1">
        <f t="array" ref="M168">IF(OR(E168="",I168="",BuildingsHeatFuelsTable[[#This Row],[Units]]=""),"",INDEX('Emission factors'!$K$3:$V$201,MATCH('Buildings - Heat &amp; Fuels'!$E168&amp;F168,'Emission factors'!$J$3:$J$201&amp;'Emission factors'!$K$3:$K$201,0),MATCH('Buildings - Heat &amp; Fuels'!$M$6,'Emission factors'!$K$2:$V$2,0)))</f>
        <v/>
      </c>
      <c r="N168" s="496" t="str">
        <f>IF(OR(K168="",M168=""),"",SUM(BuildingsHeatFuelsTable[[#This Row],[Direct]:[Indirect WTT]]))</f>
        <v/>
      </c>
      <c r="O168" s="268"/>
      <c r="P168" s="497"/>
      <c r="Q168" s="157" t="str" cm="1">
        <f t="array" ref="Q168">IF(OR($E168="",$I168=""),"",(INDEX('Emission factors'!$K$3:$V$201,MATCH('Buildings - Heat &amp; Fuels'!$E168&amp;$F168,'Emission factors'!$J$3:$J$201&amp;'Emission factors'!$K$3:$K$201,0),MATCH('Buildings - Heat &amp; Fuels'!Q$6,'Emission factors'!$K$2:$V$2,0)))*$K168)</f>
        <v/>
      </c>
      <c r="R168" s="157" t="str" cm="1">
        <f t="array" ref="R168">IF(OR($E168="",$I168=""),"",(INDEX('Emission factors'!$K$3:$V$201,MATCH('Buildings - Heat &amp; Fuels'!$E168&amp;$F168,'Emission factors'!$J$3:$J$201&amp;'Emission factors'!$K$3:$K$201,0),MATCH('Buildings - Heat &amp; Fuels'!R$6,'Emission factors'!$K$2:$V$2,0)))*$K168)</f>
        <v/>
      </c>
      <c r="S168" s="157" t="str" cm="1">
        <f t="array" ref="S168">IF(OR($E168="",$I168=""),"",(INDEX('Emission factors'!$K$3:$V$201,MATCH('Buildings - Heat &amp; Fuels'!$E168&amp;$F168,'Emission factors'!$J$3:$J$201&amp;'Emission factors'!$K$3:$K$201,0),MATCH('Buildings - Heat &amp; Fuels'!S$6,'Emission factors'!$K$2:$V$2,0)))*$K168)</f>
        <v/>
      </c>
      <c r="T168" s="157" t="str" cm="1">
        <f t="array" ref="T168">IF(OR($E168="",$I168=""),"",(INDEX('Emission factors'!$K$3:$V$201,MATCH('Buildings - Heat &amp; Fuels'!$E168&amp;$F168,'Emission factors'!$J$3:$J$201&amp;'Emission factors'!$K$3:$K$201,0),MATCH('Buildings - Heat &amp; Fuels'!T$6,'Emission factors'!$K$2:$V$2,0)))*$K168)</f>
        <v/>
      </c>
      <c r="U168" s="157" t="str" cm="1">
        <f t="array" ref="U168">IF(OR($E168="",$I168=""),"",(INDEX('Emission factors'!$K$3:$V$201,MATCH('Buildings - Heat &amp; Fuels'!$E168&amp;$F168,'Emission factors'!$J$3:$J$201&amp;'Emission factors'!$K$3:$K$201,0),MATCH('Buildings - Heat &amp; Fuels'!U$6,'Emission factors'!$K$2:$V$2,0)))*$K168)</f>
        <v/>
      </c>
      <c r="V168" s="158" t="str">
        <f>IF(OR($N168="",BuildingsHeatFuelsTable[[#This Row],[RSD]]=""),"",BuildingsHeatFuelsTable[[#This Row],[Total emissions (kgCO2e)]]*(1+BuildingsHeatFuelsTable[[#This Row],[RSD]]))</f>
        <v/>
      </c>
      <c r="W168" s="159" t="str">
        <f>IF(OR($N168="",BuildingsHeatFuelsTable[[#This Row],[RSD]]=""),"",BuildingsHeatFuelsTable[[#This Row],[Total emissions (kgCO2e)]]*(1-BuildingsHeatFuelsTable[[#This Row],[RSD]]))</f>
        <v/>
      </c>
      <c r="X168" s="169" t="str" cm="1">
        <f t="array" ref="X168">IF(OR($E168="",$I168=""),"",(INDEX('Emission factors'!$K$3:$V$201,MATCH('Buildings - Heat &amp; Fuels'!$E168&amp;$F168,'Emission factors'!$J$3:$J$201&amp;'Emission factors'!$K$3:$K$201,0),MATCH('Buildings - Heat &amp; Fuels'!X$6,'Emission factors'!$K$2:$V$2,0)))*$K168)</f>
        <v/>
      </c>
      <c r="Y168" s="30"/>
      <c r="Z168" s="1" cm="1">
        <f t="array" ref="Z168">IF(OR(ISERROR(B168:X168)),1,0)</f>
        <v>0</v>
      </c>
      <c r="AA168" s="1">
        <f t="shared" si="0"/>
        <v>0</v>
      </c>
    </row>
    <row r="169" spans="1:27" ht="15" outlineLevel="1" thickBot="1" x14ac:dyDescent="0.4">
      <c r="A169" s="319"/>
      <c r="B169" s="216"/>
      <c r="C169" s="216"/>
      <c r="D169" s="489" t="str">
        <f>IFERROR(INDEX(BuildingInformationTable[Site type],MATCH(BuildingsHeatFuelsTable[[#This Row],[Site name]],BuildingInformationTable[Site name],0)),"")</f>
        <v/>
      </c>
      <c r="E169" s="491"/>
      <c r="F169" s="491"/>
      <c r="G169" s="491"/>
      <c r="H169" s="492" t="str">
        <f>IF(G169="","",INDEX(Lists!$BA$4:$BC$31,MATCH(E169,Lists!$AZ$4:$AZ$31,0),MATCH(G169,Lists!$BA$3:$BC$3,0)))</f>
        <v/>
      </c>
      <c r="I169" s="267"/>
      <c r="J169" s="491"/>
      <c r="K169" s="493" t="str" cm="1">
        <f t="array" ref="K169">IF(OR($E169="",$D169="",$I169="",$J169=""),"",IF(J169=L169,I169,(INDEX('Emission factors'!$K$3:$V$201,MATCH(E169&amp;F169,'Emission factors'!$J$3:$J$201&amp;'Emission factors'!$K$3:$K$201,0),MATCH(K$6,'Emission factors'!$K$2:$V$2,0)))*I169))</f>
        <v/>
      </c>
      <c r="L169" s="494" t="str">
        <f>IF(OR($E169="",$D169="",$I169="",$J169=""),"",INDEX('Emission factors'!$K$3:$V$201,MATCH('Buildings - Heat &amp; Fuels'!$E169,'Emission factors'!$J$3:$J$201,0),MATCH($L$6,'Emission factors'!$K$2:$V$2,0)))</f>
        <v/>
      </c>
      <c r="M169" s="495" t="str" cm="1">
        <f t="array" ref="M169">IF(OR(E169="",I169="",BuildingsHeatFuelsTable[[#This Row],[Units]]=""),"",INDEX('Emission factors'!$K$3:$V$201,MATCH('Buildings - Heat &amp; Fuels'!$E169&amp;F169,'Emission factors'!$J$3:$J$201&amp;'Emission factors'!$K$3:$K$201,0),MATCH('Buildings - Heat &amp; Fuels'!$M$6,'Emission factors'!$K$2:$V$2,0)))</f>
        <v/>
      </c>
      <c r="N169" s="496" t="str">
        <f>IF(OR(K169="",M169=""),"",SUM(BuildingsHeatFuelsTable[[#This Row],[Direct]:[Indirect WTT]]))</f>
        <v/>
      </c>
      <c r="O169" s="268"/>
      <c r="P169" s="497"/>
      <c r="Q169" s="157" t="str" cm="1">
        <f t="array" ref="Q169">IF(OR($E169="",$I169=""),"",(INDEX('Emission factors'!$K$3:$V$201,MATCH('Buildings - Heat &amp; Fuels'!$E169&amp;$F169,'Emission factors'!$J$3:$J$201&amp;'Emission factors'!$K$3:$K$201,0),MATCH('Buildings - Heat &amp; Fuels'!Q$6,'Emission factors'!$K$2:$V$2,0)))*$K169)</f>
        <v/>
      </c>
      <c r="R169" s="157" t="str" cm="1">
        <f t="array" ref="R169">IF(OR($E169="",$I169=""),"",(INDEX('Emission factors'!$K$3:$V$201,MATCH('Buildings - Heat &amp; Fuels'!$E169&amp;$F169,'Emission factors'!$J$3:$J$201&amp;'Emission factors'!$K$3:$K$201,0),MATCH('Buildings - Heat &amp; Fuels'!R$6,'Emission factors'!$K$2:$V$2,0)))*$K169)</f>
        <v/>
      </c>
      <c r="S169" s="157" t="str" cm="1">
        <f t="array" ref="S169">IF(OR($E169="",$I169=""),"",(INDEX('Emission factors'!$K$3:$V$201,MATCH('Buildings - Heat &amp; Fuels'!$E169&amp;$F169,'Emission factors'!$J$3:$J$201&amp;'Emission factors'!$K$3:$K$201,0),MATCH('Buildings - Heat &amp; Fuels'!S$6,'Emission factors'!$K$2:$V$2,0)))*$K169)</f>
        <v/>
      </c>
      <c r="T169" s="157" t="str" cm="1">
        <f t="array" ref="T169">IF(OR($E169="",$I169=""),"",(INDEX('Emission factors'!$K$3:$V$201,MATCH('Buildings - Heat &amp; Fuels'!$E169&amp;$F169,'Emission factors'!$J$3:$J$201&amp;'Emission factors'!$K$3:$K$201,0),MATCH('Buildings - Heat &amp; Fuels'!T$6,'Emission factors'!$K$2:$V$2,0)))*$K169)</f>
        <v/>
      </c>
      <c r="U169" s="157" t="str" cm="1">
        <f t="array" ref="U169">IF(OR($E169="",$I169=""),"",(INDEX('Emission factors'!$K$3:$V$201,MATCH('Buildings - Heat &amp; Fuels'!$E169&amp;$F169,'Emission factors'!$J$3:$J$201&amp;'Emission factors'!$K$3:$K$201,0),MATCH('Buildings - Heat &amp; Fuels'!U$6,'Emission factors'!$K$2:$V$2,0)))*$K169)</f>
        <v/>
      </c>
      <c r="V169" s="158" t="str">
        <f>IF(OR($N169="",BuildingsHeatFuelsTable[[#This Row],[RSD]]=""),"",BuildingsHeatFuelsTable[[#This Row],[Total emissions (kgCO2e)]]*(1+BuildingsHeatFuelsTable[[#This Row],[RSD]]))</f>
        <v/>
      </c>
      <c r="W169" s="159" t="str">
        <f>IF(OR($N169="",BuildingsHeatFuelsTable[[#This Row],[RSD]]=""),"",BuildingsHeatFuelsTable[[#This Row],[Total emissions (kgCO2e)]]*(1-BuildingsHeatFuelsTable[[#This Row],[RSD]]))</f>
        <v/>
      </c>
      <c r="X169" s="169" t="str" cm="1">
        <f t="array" ref="X169">IF(OR($E169="",$I169=""),"",(INDEX('Emission factors'!$K$3:$V$201,MATCH('Buildings - Heat &amp; Fuels'!$E169&amp;$F169,'Emission factors'!$J$3:$J$201&amp;'Emission factors'!$K$3:$K$201,0),MATCH('Buildings - Heat &amp; Fuels'!X$6,'Emission factors'!$K$2:$V$2,0)))*$K169)</f>
        <v/>
      </c>
      <c r="Y169" s="30"/>
      <c r="Z169" s="1" cm="1">
        <f t="array" ref="Z169">IF(OR(ISERROR(B169:X169)),1,0)</f>
        <v>0</v>
      </c>
      <c r="AA169" s="1">
        <f t="shared" si="0"/>
        <v>0</v>
      </c>
    </row>
    <row r="170" spans="1:27" ht="15" outlineLevel="1" thickBot="1" x14ac:dyDescent="0.4">
      <c r="A170" s="319"/>
      <c r="B170" s="216"/>
      <c r="C170" s="216"/>
      <c r="D170" s="489" t="str">
        <f>IFERROR(INDEX(BuildingInformationTable[Site type],MATCH(BuildingsHeatFuelsTable[[#This Row],[Site name]],BuildingInformationTable[Site name],0)),"")</f>
        <v/>
      </c>
      <c r="E170" s="491"/>
      <c r="F170" s="491"/>
      <c r="G170" s="491"/>
      <c r="H170" s="492" t="str">
        <f>IF(G170="","",INDEX(Lists!$BA$4:$BC$31,MATCH(E170,Lists!$AZ$4:$AZ$31,0),MATCH(G170,Lists!$BA$3:$BC$3,0)))</f>
        <v/>
      </c>
      <c r="I170" s="267"/>
      <c r="J170" s="491"/>
      <c r="K170" s="493" t="str" cm="1">
        <f t="array" ref="K170">IF(OR($E170="",$D170="",$I170="",$J170=""),"",IF(J170=L170,I170,(INDEX('Emission factors'!$K$3:$V$201,MATCH(E170&amp;F170,'Emission factors'!$J$3:$J$201&amp;'Emission factors'!$K$3:$K$201,0),MATCH(K$6,'Emission factors'!$K$2:$V$2,0)))*I170))</f>
        <v/>
      </c>
      <c r="L170" s="494" t="str">
        <f>IF(OR($E170="",$D170="",$I170="",$J170=""),"",INDEX('Emission factors'!$K$3:$V$201,MATCH('Buildings - Heat &amp; Fuels'!$E170,'Emission factors'!$J$3:$J$201,0),MATCH($L$6,'Emission factors'!$K$2:$V$2,0)))</f>
        <v/>
      </c>
      <c r="M170" s="495" t="str" cm="1">
        <f t="array" ref="M170">IF(OR(E170="",I170="",BuildingsHeatFuelsTable[[#This Row],[Units]]=""),"",INDEX('Emission factors'!$K$3:$V$201,MATCH('Buildings - Heat &amp; Fuels'!$E170&amp;F170,'Emission factors'!$J$3:$J$201&amp;'Emission factors'!$K$3:$K$201,0),MATCH('Buildings - Heat &amp; Fuels'!$M$6,'Emission factors'!$K$2:$V$2,0)))</f>
        <v/>
      </c>
      <c r="N170" s="496" t="str">
        <f>IF(OR(K170="",M170=""),"",SUM(BuildingsHeatFuelsTable[[#This Row],[Direct]:[Indirect WTT]]))</f>
        <v/>
      </c>
      <c r="O170" s="268"/>
      <c r="P170" s="497"/>
      <c r="Q170" s="157" t="str" cm="1">
        <f t="array" ref="Q170">IF(OR($E170="",$I170=""),"",(INDEX('Emission factors'!$K$3:$V$201,MATCH('Buildings - Heat &amp; Fuels'!$E170&amp;$F170,'Emission factors'!$J$3:$J$201&amp;'Emission factors'!$K$3:$K$201,0),MATCH('Buildings - Heat &amp; Fuels'!Q$6,'Emission factors'!$K$2:$V$2,0)))*$K170)</f>
        <v/>
      </c>
      <c r="R170" s="157" t="str" cm="1">
        <f t="array" ref="R170">IF(OR($E170="",$I170=""),"",(INDEX('Emission factors'!$K$3:$V$201,MATCH('Buildings - Heat &amp; Fuels'!$E170&amp;$F170,'Emission factors'!$J$3:$J$201&amp;'Emission factors'!$K$3:$K$201,0),MATCH('Buildings - Heat &amp; Fuels'!R$6,'Emission factors'!$K$2:$V$2,0)))*$K170)</f>
        <v/>
      </c>
      <c r="S170" s="157" t="str" cm="1">
        <f t="array" ref="S170">IF(OR($E170="",$I170=""),"",(INDEX('Emission factors'!$K$3:$V$201,MATCH('Buildings - Heat &amp; Fuels'!$E170&amp;$F170,'Emission factors'!$J$3:$J$201&amp;'Emission factors'!$K$3:$K$201,0),MATCH('Buildings - Heat &amp; Fuels'!S$6,'Emission factors'!$K$2:$V$2,0)))*$K170)</f>
        <v/>
      </c>
      <c r="T170" s="157" t="str" cm="1">
        <f t="array" ref="T170">IF(OR($E170="",$I170=""),"",(INDEX('Emission factors'!$K$3:$V$201,MATCH('Buildings - Heat &amp; Fuels'!$E170&amp;$F170,'Emission factors'!$J$3:$J$201&amp;'Emission factors'!$K$3:$K$201,0),MATCH('Buildings - Heat &amp; Fuels'!T$6,'Emission factors'!$K$2:$V$2,0)))*$K170)</f>
        <v/>
      </c>
      <c r="U170" s="157" t="str" cm="1">
        <f t="array" ref="U170">IF(OR($E170="",$I170=""),"",(INDEX('Emission factors'!$K$3:$V$201,MATCH('Buildings - Heat &amp; Fuels'!$E170&amp;$F170,'Emission factors'!$J$3:$J$201&amp;'Emission factors'!$K$3:$K$201,0),MATCH('Buildings - Heat &amp; Fuels'!U$6,'Emission factors'!$K$2:$V$2,0)))*$K170)</f>
        <v/>
      </c>
      <c r="V170" s="158" t="str">
        <f>IF(OR($N170="",BuildingsHeatFuelsTable[[#This Row],[RSD]]=""),"",BuildingsHeatFuelsTable[[#This Row],[Total emissions (kgCO2e)]]*(1+BuildingsHeatFuelsTable[[#This Row],[RSD]]))</f>
        <v/>
      </c>
      <c r="W170" s="159" t="str">
        <f>IF(OR($N170="",BuildingsHeatFuelsTable[[#This Row],[RSD]]=""),"",BuildingsHeatFuelsTable[[#This Row],[Total emissions (kgCO2e)]]*(1-BuildingsHeatFuelsTable[[#This Row],[RSD]]))</f>
        <v/>
      </c>
      <c r="X170" s="169" t="str" cm="1">
        <f t="array" ref="X170">IF(OR($E170="",$I170=""),"",(INDEX('Emission factors'!$K$3:$V$201,MATCH('Buildings - Heat &amp; Fuels'!$E170&amp;$F170,'Emission factors'!$J$3:$J$201&amp;'Emission factors'!$K$3:$K$201,0),MATCH('Buildings - Heat &amp; Fuels'!X$6,'Emission factors'!$K$2:$V$2,0)))*$K170)</f>
        <v/>
      </c>
      <c r="Y170" s="30"/>
      <c r="Z170" s="1" cm="1">
        <f t="array" ref="Z170">IF(OR(ISERROR(B170:X170)),1,0)</f>
        <v>0</v>
      </c>
      <c r="AA170" s="1">
        <f t="shared" si="0"/>
        <v>0</v>
      </c>
    </row>
    <row r="171" spans="1:27" ht="15" outlineLevel="1" thickBot="1" x14ac:dyDescent="0.4">
      <c r="A171" s="319"/>
      <c r="B171" s="216"/>
      <c r="C171" s="216"/>
      <c r="D171" s="489" t="str">
        <f>IFERROR(INDEX(BuildingInformationTable[Site type],MATCH(BuildingsHeatFuelsTable[[#This Row],[Site name]],BuildingInformationTable[Site name],0)),"")</f>
        <v/>
      </c>
      <c r="E171" s="491"/>
      <c r="F171" s="491"/>
      <c r="G171" s="491"/>
      <c r="H171" s="492" t="str">
        <f>IF(G171="","",INDEX(Lists!$BA$4:$BC$31,MATCH(E171,Lists!$AZ$4:$AZ$31,0),MATCH(G171,Lists!$BA$3:$BC$3,0)))</f>
        <v/>
      </c>
      <c r="I171" s="267"/>
      <c r="J171" s="491"/>
      <c r="K171" s="493" t="str" cm="1">
        <f t="array" ref="K171">IF(OR($E171="",$D171="",$I171="",$J171=""),"",IF(J171=L171,I171,(INDEX('Emission factors'!$K$3:$V$201,MATCH(E171&amp;F171,'Emission factors'!$J$3:$J$201&amp;'Emission factors'!$K$3:$K$201,0),MATCH(K$6,'Emission factors'!$K$2:$V$2,0)))*I171))</f>
        <v/>
      </c>
      <c r="L171" s="494" t="str">
        <f>IF(OR($E171="",$D171="",$I171="",$J171=""),"",INDEX('Emission factors'!$K$3:$V$201,MATCH('Buildings - Heat &amp; Fuels'!$E171,'Emission factors'!$J$3:$J$201,0),MATCH($L$6,'Emission factors'!$K$2:$V$2,0)))</f>
        <v/>
      </c>
      <c r="M171" s="495" t="str" cm="1">
        <f t="array" ref="M171">IF(OR(E171="",I171="",BuildingsHeatFuelsTable[[#This Row],[Units]]=""),"",INDEX('Emission factors'!$K$3:$V$201,MATCH('Buildings - Heat &amp; Fuels'!$E171&amp;F171,'Emission factors'!$J$3:$J$201&amp;'Emission factors'!$K$3:$K$201,0),MATCH('Buildings - Heat &amp; Fuels'!$M$6,'Emission factors'!$K$2:$V$2,0)))</f>
        <v/>
      </c>
      <c r="N171" s="496" t="str">
        <f>IF(OR(K171="",M171=""),"",SUM(BuildingsHeatFuelsTable[[#This Row],[Direct]:[Indirect WTT]]))</f>
        <v/>
      </c>
      <c r="O171" s="268"/>
      <c r="P171" s="497"/>
      <c r="Q171" s="157" t="str" cm="1">
        <f t="array" ref="Q171">IF(OR($E171="",$I171=""),"",(INDEX('Emission factors'!$K$3:$V$201,MATCH('Buildings - Heat &amp; Fuels'!$E171&amp;$F171,'Emission factors'!$J$3:$J$201&amp;'Emission factors'!$K$3:$K$201,0),MATCH('Buildings - Heat &amp; Fuels'!Q$6,'Emission factors'!$K$2:$V$2,0)))*$K171)</f>
        <v/>
      </c>
      <c r="R171" s="157" t="str" cm="1">
        <f t="array" ref="R171">IF(OR($E171="",$I171=""),"",(INDEX('Emission factors'!$K$3:$V$201,MATCH('Buildings - Heat &amp; Fuels'!$E171&amp;$F171,'Emission factors'!$J$3:$J$201&amp;'Emission factors'!$K$3:$K$201,0),MATCH('Buildings - Heat &amp; Fuels'!R$6,'Emission factors'!$K$2:$V$2,0)))*$K171)</f>
        <v/>
      </c>
      <c r="S171" s="157" t="str" cm="1">
        <f t="array" ref="S171">IF(OR($E171="",$I171=""),"",(INDEX('Emission factors'!$K$3:$V$201,MATCH('Buildings - Heat &amp; Fuels'!$E171&amp;$F171,'Emission factors'!$J$3:$J$201&amp;'Emission factors'!$K$3:$K$201,0),MATCH('Buildings - Heat &amp; Fuels'!S$6,'Emission factors'!$K$2:$V$2,0)))*$K171)</f>
        <v/>
      </c>
      <c r="T171" s="157" t="str" cm="1">
        <f t="array" ref="T171">IF(OR($E171="",$I171=""),"",(INDEX('Emission factors'!$K$3:$V$201,MATCH('Buildings - Heat &amp; Fuels'!$E171&amp;$F171,'Emission factors'!$J$3:$J$201&amp;'Emission factors'!$K$3:$K$201,0),MATCH('Buildings - Heat &amp; Fuels'!T$6,'Emission factors'!$K$2:$V$2,0)))*$K171)</f>
        <v/>
      </c>
      <c r="U171" s="157" t="str" cm="1">
        <f t="array" ref="U171">IF(OR($E171="",$I171=""),"",(INDEX('Emission factors'!$K$3:$V$201,MATCH('Buildings - Heat &amp; Fuels'!$E171&amp;$F171,'Emission factors'!$J$3:$J$201&amp;'Emission factors'!$K$3:$K$201,0),MATCH('Buildings - Heat &amp; Fuels'!U$6,'Emission factors'!$K$2:$V$2,0)))*$K171)</f>
        <v/>
      </c>
      <c r="V171" s="158" t="str">
        <f>IF(OR($N171="",BuildingsHeatFuelsTable[[#This Row],[RSD]]=""),"",BuildingsHeatFuelsTable[[#This Row],[Total emissions (kgCO2e)]]*(1+BuildingsHeatFuelsTable[[#This Row],[RSD]]))</f>
        <v/>
      </c>
      <c r="W171" s="159" t="str">
        <f>IF(OR($N171="",BuildingsHeatFuelsTable[[#This Row],[RSD]]=""),"",BuildingsHeatFuelsTable[[#This Row],[Total emissions (kgCO2e)]]*(1-BuildingsHeatFuelsTable[[#This Row],[RSD]]))</f>
        <v/>
      </c>
      <c r="X171" s="169" t="str" cm="1">
        <f t="array" ref="X171">IF(OR($E171="",$I171=""),"",(INDEX('Emission factors'!$K$3:$V$201,MATCH('Buildings - Heat &amp; Fuels'!$E171&amp;$F171,'Emission factors'!$J$3:$J$201&amp;'Emission factors'!$K$3:$K$201,0),MATCH('Buildings - Heat &amp; Fuels'!X$6,'Emission factors'!$K$2:$V$2,0)))*$K171)</f>
        <v/>
      </c>
      <c r="Y171" s="30"/>
      <c r="Z171" s="1" cm="1">
        <f t="array" ref="Z171">IF(OR(ISERROR(B171:X171)),1,0)</f>
        <v>0</v>
      </c>
      <c r="AA171" s="1">
        <f t="shared" si="0"/>
        <v>0</v>
      </c>
    </row>
    <row r="172" spans="1:27" ht="15" outlineLevel="1" thickBot="1" x14ac:dyDescent="0.4">
      <c r="A172" s="319"/>
      <c r="B172" s="216"/>
      <c r="C172" s="216"/>
      <c r="D172" s="489" t="str">
        <f>IFERROR(INDEX(BuildingInformationTable[Site type],MATCH(BuildingsHeatFuelsTable[[#This Row],[Site name]],BuildingInformationTable[Site name],0)),"")</f>
        <v/>
      </c>
      <c r="E172" s="491"/>
      <c r="F172" s="491"/>
      <c r="G172" s="491"/>
      <c r="H172" s="492" t="str">
        <f>IF(G172="","",INDEX(Lists!$BA$4:$BC$31,MATCH(E172,Lists!$AZ$4:$AZ$31,0),MATCH(G172,Lists!$BA$3:$BC$3,0)))</f>
        <v/>
      </c>
      <c r="I172" s="267"/>
      <c r="J172" s="491"/>
      <c r="K172" s="493" t="str" cm="1">
        <f t="array" ref="K172">IF(OR($E172="",$D172="",$I172="",$J172=""),"",IF(J172=L172,I172,(INDEX('Emission factors'!$K$3:$V$201,MATCH(E172&amp;F172,'Emission factors'!$J$3:$J$201&amp;'Emission factors'!$K$3:$K$201,0),MATCH(K$6,'Emission factors'!$K$2:$V$2,0)))*I172))</f>
        <v/>
      </c>
      <c r="L172" s="494" t="str">
        <f>IF(OR($E172="",$D172="",$I172="",$J172=""),"",INDEX('Emission factors'!$K$3:$V$201,MATCH('Buildings - Heat &amp; Fuels'!$E172,'Emission factors'!$J$3:$J$201,0),MATCH($L$6,'Emission factors'!$K$2:$V$2,0)))</f>
        <v/>
      </c>
      <c r="M172" s="495" t="str" cm="1">
        <f t="array" ref="M172">IF(OR(E172="",I172="",BuildingsHeatFuelsTable[[#This Row],[Units]]=""),"",INDEX('Emission factors'!$K$3:$V$201,MATCH('Buildings - Heat &amp; Fuels'!$E172&amp;F172,'Emission factors'!$J$3:$J$201&amp;'Emission factors'!$K$3:$K$201,0),MATCH('Buildings - Heat &amp; Fuels'!$M$6,'Emission factors'!$K$2:$V$2,0)))</f>
        <v/>
      </c>
      <c r="N172" s="496" t="str">
        <f>IF(OR(K172="",M172=""),"",SUM(BuildingsHeatFuelsTable[[#This Row],[Direct]:[Indirect WTT]]))</f>
        <v/>
      </c>
      <c r="O172" s="268"/>
      <c r="P172" s="497"/>
      <c r="Q172" s="157" t="str" cm="1">
        <f t="array" ref="Q172">IF(OR($E172="",$I172=""),"",(INDEX('Emission factors'!$K$3:$V$201,MATCH('Buildings - Heat &amp; Fuels'!$E172&amp;$F172,'Emission factors'!$J$3:$J$201&amp;'Emission factors'!$K$3:$K$201,0),MATCH('Buildings - Heat &amp; Fuels'!Q$6,'Emission factors'!$K$2:$V$2,0)))*$K172)</f>
        <v/>
      </c>
      <c r="R172" s="157" t="str" cm="1">
        <f t="array" ref="R172">IF(OR($E172="",$I172=""),"",(INDEX('Emission factors'!$K$3:$V$201,MATCH('Buildings - Heat &amp; Fuels'!$E172&amp;$F172,'Emission factors'!$J$3:$J$201&amp;'Emission factors'!$K$3:$K$201,0),MATCH('Buildings - Heat &amp; Fuels'!R$6,'Emission factors'!$K$2:$V$2,0)))*$K172)</f>
        <v/>
      </c>
      <c r="S172" s="157" t="str" cm="1">
        <f t="array" ref="S172">IF(OR($E172="",$I172=""),"",(INDEX('Emission factors'!$K$3:$V$201,MATCH('Buildings - Heat &amp; Fuels'!$E172&amp;$F172,'Emission factors'!$J$3:$J$201&amp;'Emission factors'!$K$3:$K$201,0),MATCH('Buildings - Heat &amp; Fuels'!S$6,'Emission factors'!$K$2:$V$2,0)))*$K172)</f>
        <v/>
      </c>
      <c r="T172" s="157" t="str" cm="1">
        <f t="array" ref="T172">IF(OR($E172="",$I172=""),"",(INDEX('Emission factors'!$K$3:$V$201,MATCH('Buildings - Heat &amp; Fuels'!$E172&amp;$F172,'Emission factors'!$J$3:$J$201&amp;'Emission factors'!$K$3:$K$201,0),MATCH('Buildings - Heat &amp; Fuels'!T$6,'Emission factors'!$K$2:$V$2,0)))*$K172)</f>
        <v/>
      </c>
      <c r="U172" s="157" t="str" cm="1">
        <f t="array" ref="U172">IF(OR($E172="",$I172=""),"",(INDEX('Emission factors'!$K$3:$V$201,MATCH('Buildings - Heat &amp; Fuels'!$E172&amp;$F172,'Emission factors'!$J$3:$J$201&amp;'Emission factors'!$K$3:$K$201,0),MATCH('Buildings - Heat &amp; Fuels'!U$6,'Emission factors'!$K$2:$V$2,0)))*$K172)</f>
        <v/>
      </c>
      <c r="V172" s="158" t="str">
        <f>IF(OR($N172="",BuildingsHeatFuelsTable[[#This Row],[RSD]]=""),"",BuildingsHeatFuelsTable[[#This Row],[Total emissions (kgCO2e)]]*(1+BuildingsHeatFuelsTable[[#This Row],[RSD]]))</f>
        <v/>
      </c>
      <c r="W172" s="159" t="str">
        <f>IF(OR($N172="",BuildingsHeatFuelsTable[[#This Row],[RSD]]=""),"",BuildingsHeatFuelsTable[[#This Row],[Total emissions (kgCO2e)]]*(1-BuildingsHeatFuelsTable[[#This Row],[RSD]]))</f>
        <v/>
      </c>
      <c r="X172" s="169" t="str" cm="1">
        <f t="array" ref="X172">IF(OR($E172="",$I172=""),"",(INDEX('Emission factors'!$K$3:$V$201,MATCH('Buildings - Heat &amp; Fuels'!$E172&amp;$F172,'Emission factors'!$J$3:$J$201&amp;'Emission factors'!$K$3:$K$201,0),MATCH('Buildings - Heat &amp; Fuels'!X$6,'Emission factors'!$K$2:$V$2,0)))*$K172)</f>
        <v/>
      </c>
      <c r="Y172" s="30"/>
      <c r="Z172" s="1" cm="1">
        <f t="array" ref="Z172">IF(OR(ISERROR(B172:X172)),1,0)</f>
        <v>0</v>
      </c>
      <c r="AA172" s="1">
        <f t="shared" si="0"/>
        <v>0</v>
      </c>
    </row>
    <row r="173" spans="1:27" ht="15" outlineLevel="1" thickBot="1" x14ac:dyDescent="0.4">
      <c r="A173" s="319"/>
      <c r="B173" s="216"/>
      <c r="C173" s="216"/>
      <c r="D173" s="489" t="str">
        <f>IFERROR(INDEX(BuildingInformationTable[Site type],MATCH(BuildingsHeatFuelsTable[[#This Row],[Site name]],BuildingInformationTable[Site name],0)),"")</f>
        <v/>
      </c>
      <c r="E173" s="491"/>
      <c r="F173" s="491"/>
      <c r="G173" s="491"/>
      <c r="H173" s="492" t="str">
        <f>IF(G173="","",INDEX(Lists!$BA$4:$BC$31,MATCH(E173,Lists!$AZ$4:$AZ$31,0),MATCH(G173,Lists!$BA$3:$BC$3,0)))</f>
        <v/>
      </c>
      <c r="I173" s="267"/>
      <c r="J173" s="491"/>
      <c r="K173" s="493" t="str" cm="1">
        <f t="array" ref="K173">IF(OR($E173="",$D173="",$I173="",$J173=""),"",IF(J173=L173,I173,(INDEX('Emission factors'!$K$3:$V$201,MATCH(E173&amp;F173,'Emission factors'!$J$3:$J$201&amp;'Emission factors'!$K$3:$K$201,0),MATCH(K$6,'Emission factors'!$K$2:$V$2,0)))*I173))</f>
        <v/>
      </c>
      <c r="L173" s="494" t="str">
        <f>IF(OR($E173="",$D173="",$I173="",$J173=""),"",INDEX('Emission factors'!$K$3:$V$201,MATCH('Buildings - Heat &amp; Fuels'!$E173,'Emission factors'!$J$3:$J$201,0),MATCH($L$6,'Emission factors'!$K$2:$V$2,0)))</f>
        <v/>
      </c>
      <c r="M173" s="495" t="str" cm="1">
        <f t="array" ref="M173">IF(OR(E173="",I173="",BuildingsHeatFuelsTable[[#This Row],[Units]]=""),"",INDEX('Emission factors'!$K$3:$V$201,MATCH('Buildings - Heat &amp; Fuels'!$E173&amp;F173,'Emission factors'!$J$3:$J$201&amp;'Emission factors'!$K$3:$K$201,0),MATCH('Buildings - Heat &amp; Fuels'!$M$6,'Emission factors'!$K$2:$V$2,0)))</f>
        <v/>
      </c>
      <c r="N173" s="496" t="str">
        <f>IF(OR(K173="",M173=""),"",SUM(BuildingsHeatFuelsTable[[#This Row],[Direct]:[Indirect WTT]]))</f>
        <v/>
      </c>
      <c r="O173" s="268"/>
      <c r="P173" s="497"/>
      <c r="Q173" s="157" t="str" cm="1">
        <f t="array" ref="Q173">IF(OR($E173="",$I173=""),"",(INDEX('Emission factors'!$K$3:$V$201,MATCH('Buildings - Heat &amp; Fuels'!$E173&amp;$F173,'Emission factors'!$J$3:$J$201&amp;'Emission factors'!$K$3:$K$201,0),MATCH('Buildings - Heat &amp; Fuels'!Q$6,'Emission factors'!$K$2:$V$2,0)))*$K173)</f>
        <v/>
      </c>
      <c r="R173" s="157" t="str" cm="1">
        <f t="array" ref="R173">IF(OR($E173="",$I173=""),"",(INDEX('Emission factors'!$K$3:$V$201,MATCH('Buildings - Heat &amp; Fuels'!$E173&amp;$F173,'Emission factors'!$J$3:$J$201&amp;'Emission factors'!$K$3:$K$201,0),MATCH('Buildings - Heat &amp; Fuels'!R$6,'Emission factors'!$K$2:$V$2,0)))*$K173)</f>
        <v/>
      </c>
      <c r="S173" s="157" t="str" cm="1">
        <f t="array" ref="S173">IF(OR($E173="",$I173=""),"",(INDEX('Emission factors'!$K$3:$V$201,MATCH('Buildings - Heat &amp; Fuels'!$E173&amp;$F173,'Emission factors'!$J$3:$J$201&amp;'Emission factors'!$K$3:$K$201,0),MATCH('Buildings - Heat &amp; Fuels'!S$6,'Emission factors'!$K$2:$V$2,0)))*$K173)</f>
        <v/>
      </c>
      <c r="T173" s="157" t="str" cm="1">
        <f t="array" ref="T173">IF(OR($E173="",$I173=""),"",(INDEX('Emission factors'!$K$3:$V$201,MATCH('Buildings - Heat &amp; Fuels'!$E173&amp;$F173,'Emission factors'!$J$3:$J$201&amp;'Emission factors'!$K$3:$K$201,0),MATCH('Buildings - Heat &amp; Fuels'!T$6,'Emission factors'!$K$2:$V$2,0)))*$K173)</f>
        <v/>
      </c>
      <c r="U173" s="157" t="str" cm="1">
        <f t="array" ref="U173">IF(OR($E173="",$I173=""),"",(INDEX('Emission factors'!$K$3:$V$201,MATCH('Buildings - Heat &amp; Fuels'!$E173&amp;$F173,'Emission factors'!$J$3:$J$201&amp;'Emission factors'!$K$3:$K$201,0),MATCH('Buildings - Heat &amp; Fuels'!U$6,'Emission factors'!$K$2:$V$2,0)))*$K173)</f>
        <v/>
      </c>
      <c r="V173" s="158" t="str">
        <f>IF(OR($N173="",BuildingsHeatFuelsTable[[#This Row],[RSD]]=""),"",BuildingsHeatFuelsTable[[#This Row],[Total emissions (kgCO2e)]]*(1+BuildingsHeatFuelsTable[[#This Row],[RSD]]))</f>
        <v/>
      </c>
      <c r="W173" s="159" t="str">
        <f>IF(OR($N173="",BuildingsHeatFuelsTable[[#This Row],[RSD]]=""),"",BuildingsHeatFuelsTable[[#This Row],[Total emissions (kgCO2e)]]*(1-BuildingsHeatFuelsTable[[#This Row],[RSD]]))</f>
        <v/>
      </c>
      <c r="X173" s="169" t="str" cm="1">
        <f t="array" ref="X173">IF(OR($E173="",$I173=""),"",(INDEX('Emission factors'!$K$3:$V$201,MATCH('Buildings - Heat &amp; Fuels'!$E173&amp;$F173,'Emission factors'!$J$3:$J$201&amp;'Emission factors'!$K$3:$K$201,0),MATCH('Buildings - Heat &amp; Fuels'!X$6,'Emission factors'!$K$2:$V$2,0)))*$K173)</f>
        <v/>
      </c>
      <c r="Y173" s="30"/>
      <c r="Z173" s="1" cm="1">
        <f t="array" ref="Z173">IF(OR(ISERROR(B173:X173)),1,0)</f>
        <v>0</v>
      </c>
      <c r="AA173" s="1">
        <f t="shared" si="0"/>
        <v>0</v>
      </c>
    </row>
    <row r="174" spans="1:27" ht="15" outlineLevel="1" thickBot="1" x14ac:dyDescent="0.4">
      <c r="A174" s="319"/>
      <c r="B174" s="216"/>
      <c r="C174" s="216"/>
      <c r="D174" s="489" t="str">
        <f>IFERROR(INDEX(BuildingInformationTable[Site type],MATCH(BuildingsHeatFuelsTable[[#This Row],[Site name]],BuildingInformationTable[Site name],0)),"")</f>
        <v/>
      </c>
      <c r="E174" s="491"/>
      <c r="F174" s="491"/>
      <c r="G174" s="491"/>
      <c r="H174" s="492" t="str">
        <f>IF(G174="","",INDEX(Lists!$BA$4:$BC$31,MATCH(E174,Lists!$AZ$4:$AZ$31,0),MATCH(G174,Lists!$BA$3:$BC$3,0)))</f>
        <v/>
      </c>
      <c r="I174" s="267"/>
      <c r="J174" s="491"/>
      <c r="K174" s="493" t="str" cm="1">
        <f t="array" ref="K174">IF(OR($E174="",$D174="",$I174="",$J174=""),"",IF(J174=L174,I174,(INDEX('Emission factors'!$K$3:$V$201,MATCH(E174&amp;F174,'Emission factors'!$J$3:$J$201&amp;'Emission factors'!$K$3:$K$201,0),MATCH(K$6,'Emission factors'!$K$2:$V$2,0)))*I174))</f>
        <v/>
      </c>
      <c r="L174" s="494" t="str">
        <f>IF(OR($E174="",$D174="",$I174="",$J174=""),"",INDEX('Emission factors'!$K$3:$V$201,MATCH('Buildings - Heat &amp; Fuels'!$E174,'Emission factors'!$J$3:$J$201,0),MATCH($L$6,'Emission factors'!$K$2:$V$2,0)))</f>
        <v/>
      </c>
      <c r="M174" s="495" t="str" cm="1">
        <f t="array" ref="M174">IF(OR(E174="",I174="",BuildingsHeatFuelsTable[[#This Row],[Units]]=""),"",INDEX('Emission factors'!$K$3:$V$201,MATCH('Buildings - Heat &amp; Fuels'!$E174&amp;F174,'Emission factors'!$J$3:$J$201&amp;'Emission factors'!$K$3:$K$201,0),MATCH('Buildings - Heat &amp; Fuels'!$M$6,'Emission factors'!$K$2:$V$2,0)))</f>
        <v/>
      </c>
      <c r="N174" s="496" t="str">
        <f>IF(OR(K174="",M174=""),"",SUM(BuildingsHeatFuelsTable[[#This Row],[Direct]:[Indirect WTT]]))</f>
        <v/>
      </c>
      <c r="O174" s="268"/>
      <c r="P174" s="497"/>
      <c r="Q174" s="157" t="str" cm="1">
        <f t="array" ref="Q174">IF(OR($E174="",$I174=""),"",(INDEX('Emission factors'!$K$3:$V$201,MATCH('Buildings - Heat &amp; Fuels'!$E174&amp;$F174,'Emission factors'!$J$3:$J$201&amp;'Emission factors'!$K$3:$K$201,0),MATCH('Buildings - Heat &amp; Fuels'!Q$6,'Emission factors'!$K$2:$V$2,0)))*$K174)</f>
        <v/>
      </c>
      <c r="R174" s="157" t="str" cm="1">
        <f t="array" ref="R174">IF(OR($E174="",$I174=""),"",(INDEX('Emission factors'!$K$3:$V$201,MATCH('Buildings - Heat &amp; Fuels'!$E174&amp;$F174,'Emission factors'!$J$3:$J$201&amp;'Emission factors'!$K$3:$K$201,0),MATCH('Buildings - Heat &amp; Fuels'!R$6,'Emission factors'!$K$2:$V$2,0)))*$K174)</f>
        <v/>
      </c>
      <c r="S174" s="157" t="str" cm="1">
        <f t="array" ref="S174">IF(OR($E174="",$I174=""),"",(INDEX('Emission factors'!$K$3:$V$201,MATCH('Buildings - Heat &amp; Fuels'!$E174&amp;$F174,'Emission factors'!$J$3:$J$201&amp;'Emission factors'!$K$3:$K$201,0),MATCH('Buildings - Heat &amp; Fuels'!S$6,'Emission factors'!$K$2:$V$2,0)))*$K174)</f>
        <v/>
      </c>
      <c r="T174" s="157" t="str" cm="1">
        <f t="array" ref="T174">IF(OR($E174="",$I174=""),"",(INDEX('Emission factors'!$K$3:$V$201,MATCH('Buildings - Heat &amp; Fuels'!$E174&amp;$F174,'Emission factors'!$J$3:$J$201&amp;'Emission factors'!$K$3:$K$201,0),MATCH('Buildings - Heat &amp; Fuels'!T$6,'Emission factors'!$K$2:$V$2,0)))*$K174)</f>
        <v/>
      </c>
      <c r="U174" s="157" t="str" cm="1">
        <f t="array" ref="U174">IF(OR($E174="",$I174=""),"",(INDEX('Emission factors'!$K$3:$V$201,MATCH('Buildings - Heat &amp; Fuels'!$E174&amp;$F174,'Emission factors'!$J$3:$J$201&amp;'Emission factors'!$K$3:$K$201,0),MATCH('Buildings - Heat &amp; Fuels'!U$6,'Emission factors'!$K$2:$V$2,0)))*$K174)</f>
        <v/>
      </c>
      <c r="V174" s="158" t="str">
        <f>IF(OR($N174="",BuildingsHeatFuelsTable[[#This Row],[RSD]]=""),"",BuildingsHeatFuelsTable[[#This Row],[Total emissions (kgCO2e)]]*(1+BuildingsHeatFuelsTable[[#This Row],[RSD]]))</f>
        <v/>
      </c>
      <c r="W174" s="159" t="str">
        <f>IF(OR($N174="",BuildingsHeatFuelsTable[[#This Row],[RSD]]=""),"",BuildingsHeatFuelsTable[[#This Row],[Total emissions (kgCO2e)]]*(1-BuildingsHeatFuelsTable[[#This Row],[RSD]]))</f>
        <v/>
      </c>
      <c r="X174" s="169" t="str" cm="1">
        <f t="array" ref="X174">IF(OR($E174="",$I174=""),"",(INDEX('Emission factors'!$K$3:$V$201,MATCH('Buildings - Heat &amp; Fuels'!$E174&amp;$F174,'Emission factors'!$J$3:$J$201&amp;'Emission factors'!$K$3:$K$201,0),MATCH('Buildings - Heat &amp; Fuels'!X$6,'Emission factors'!$K$2:$V$2,0)))*$K174)</f>
        <v/>
      </c>
      <c r="Y174" s="30"/>
      <c r="Z174" s="1" cm="1">
        <f t="array" ref="Z174">IF(OR(ISERROR(B174:X174)),1,0)</f>
        <v>0</v>
      </c>
      <c r="AA174" s="1">
        <f t="shared" si="0"/>
        <v>0</v>
      </c>
    </row>
    <row r="175" spans="1:27" ht="15" outlineLevel="1" thickBot="1" x14ac:dyDescent="0.4">
      <c r="A175" s="319"/>
      <c r="B175" s="216"/>
      <c r="C175" s="216"/>
      <c r="D175" s="489" t="str">
        <f>IFERROR(INDEX(BuildingInformationTable[Site type],MATCH(BuildingsHeatFuelsTable[[#This Row],[Site name]],BuildingInformationTable[Site name],0)),"")</f>
        <v/>
      </c>
      <c r="E175" s="491"/>
      <c r="F175" s="491"/>
      <c r="G175" s="491"/>
      <c r="H175" s="492" t="str">
        <f>IF(G175="","",INDEX(Lists!$BA$4:$BC$31,MATCH(E175,Lists!$AZ$4:$AZ$31,0),MATCH(G175,Lists!$BA$3:$BC$3,0)))</f>
        <v/>
      </c>
      <c r="I175" s="267"/>
      <c r="J175" s="491"/>
      <c r="K175" s="493" t="str" cm="1">
        <f t="array" ref="K175">IF(OR($E175="",$D175="",$I175="",$J175=""),"",IF(J175=L175,I175,(INDEX('Emission factors'!$K$3:$V$201,MATCH(E175&amp;F175,'Emission factors'!$J$3:$J$201&amp;'Emission factors'!$K$3:$K$201,0),MATCH(K$6,'Emission factors'!$K$2:$V$2,0)))*I175))</f>
        <v/>
      </c>
      <c r="L175" s="494" t="str">
        <f>IF(OR($E175="",$D175="",$I175="",$J175=""),"",INDEX('Emission factors'!$K$3:$V$201,MATCH('Buildings - Heat &amp; Fuels'!$E175,'Emission factors'!$J$3:$J$201,0),MATCH($L$6,'Emission factors'!$K$2:$V$2,0)))</f>
        <v/>
      </c>
      <c r="M175" s="495" t="str" cm="1">
        <f t="array" ref="M175">IF(OR(E175="",I175="",BuildingsHeatFuelsTable[[#This Row],[Units]]=""),"",INDEX('Emission factors'!$K$3:$V$201,MATCH('Buildings - Heat &amp; Fuels'!$E175&amp;F175,'Emission factors'!$J$3:$J$201&amp;'Emission factors'!$K$3:$K$201,0),MATCH('Buildings - Heat &amp; Fuels'!$M$6,'Emission factors'!$K$2:$V$2,0)))</f>
        <v/>
      </c>
      <c r="N175" s="496" t="str">
        <f>IF(OR(K175="",M175=""),"",SUM(BuildingsHeatFuelsTable[[#This Row],[Direct]:[Indirect WTT]]))</f>
        <v/>
      </c>
      <c r="O175" s="268"/>
      <c r="P175" s="497"/>
      <c r="Q175" s="157" t="str" cm="1">
        <f t="array" ref="Q175">IF(OR($E175="",$I175=""),"",(INDEX('Emission factors'!$K$3:$V$201,MATCH('Buildings - Heat &amp; Fuels'!$E175&amp;$F175,'Emission factors'!$J$3:$J$201&amp;'Emission factors'!$K$3:$K$201,0),MATCH('Buildings - Heat &amp; Fuels'!Q$6,'Emission factors'!$K$2:$V$2,0)))*$K175)</f>
        <v/>
      </c>
      <c r="R175" s="157" t="str" cm="1">
        <f t="array" ref="R175">IF(OR($E175="",$I175=""),"",(INDEX('Emission factors'!$K$3:$V$201,MATCH('Buildings - Heat &amp; Fuels'!$E175&amp;$F175,'Emission factors'!$J$3:$J$201&amp;'Emission factors'!$K$3:$K$201,0),MATCH('Buildings - Heat &amp; Fuels'!R$6,'Emission factors'!$K$2:$V$2,0)))*$K175)</f>
        <v/>
      </c>
      <c r="S175" s="157" t="str" cm="1">
        <f t="array" ref="S175">IF(OR($E175="",$I175=""),"",(INDEX('Emission factors'!$K$3:$V$201,MATCH('Buildings - Heat &amp; Fuels'!$E175&amp;$F175,'Emission factors'!$J$3:$J$201&amp;'Emission factors'!$K$3:$K$201,0),MATCH('Buildings - Heat &amp; Fuels'!S$6,'Emission factors'!$K$2:$V$2,0)))*$K175)</f>
        <v/>
      </c>
      <c r="T175" s="157" t="str" cm="1">
        <f t="array" ref="T175">IF(OR($E175="",$I175=""),"",(INDEX('Emission factors'!$K$3:$V$201,MATCH('Buildings - Heat &amp; Fuels'!$E175&amp;$F175,'Emission factors'!$J$3:$J$201&amp;'Emission factors'!$K$3:$K$201,0),MATCH('Buildings - Heat &amp; Fuels'!T$6,'Emission factors'!$K$2:$V$2,0)))*$K175)</f>
        <v/>
      </c>
      <c r="U175" s="157" t="str" cm="1">
        <f t="array" ref="U175">IF(OR($E175="",$I175=""),"",(INDEX('Emission factors'!$K$3:$V$201,MATCH('Buildings - Heat &amp; Fuels'!$E175&amp;$F175,'Emission factors'!$J$3:$J$201&amp;'Emission factors'!$K$3:$K$201,0),MATCH('Buildings - Heat &amp; Fuels'!U$6,'Emission factors'!$K$2:$V$2,0)))*$K175)</f>
        <v/>
      </c>
      <c r="V175" s="158" t="str">
        <f>IF(OR($N175="",BuildingsHeatFuelsTable[[#This Row],[RSD]]=""),"",BuildingsHeatFuelsTable[[#This Row],[Total emissions (kgCO2e)]]*(1+BuildingsHeatFuelsTable[[#This Row],[RSD]]))</f>
        <v/>
      </c>
      <c r="W175" s="159" t="str">
        <f>IF(OR($N175="",BuildingsHeatFuelsTable[[#This Row],[RSD]]=""),"",BuildingsHeatFuelsTable[[#This Row],[Total emissions (kgCO2e)]]*(1-BuildingsHeatFuelsTable[[#This Row],[RSD]]))</f>
        <v/>
      </c>
      <c r="X175" s="169" t="str" cm="1">
        <f t="array" ref="X175">IF(OR($E175="",$I175=""),"",(INDEX('Emission factors'!$K$3:$V$201,MATCH('Buildings - Heat &amp; Fuels'!$E175&amp;$F175,'Emission factors'!$J$3:$J$201&amp;'Emission factors'!$K$3:$K$201,0),MATCH('Buildings - Heat &amp; Fuels'!X$6,'Emission factors'!$K$2:$V$2,0)))*$K175)</f>
        <v/>
      </c>
      <c r="Y175" s="30"/>
      <c r="Z175" s="1" cm="1">
        <f t="array" ref="Z175">IF(OR(ISERROR(B175:X175)),1,0)</f>
        <v>0</v>
      </c>
      <c r="AA175" s="1">
        <f t="shared" si="0"/>
        <v>0</v>
      </c>
    </row>
    <row r="176" spans="1:27" ht="15" outlineLevel="1" thickBot="1" x14ac:dyDescent="0.4">
      <c r="A176" s="319"/>
      <c r="B176" s="216"/>
      <c r="C176" s="216"/>
      <c r="D176" s="489" t="str">
        <f>IFERROR(INDEX(BuildingInformationTable[Site type],MATCH(BuildingsHeatFuelsTable[[#This Row],[Site name]],BuildingInformationTable[Site name],0)),"")</f>
        <v/>
      </c>
      <c r="E176" s="491"/>
      <c r="F176" s="491"/>
      <c r="G176" s="491"/>
      <c r="H176" s="492" t="str">
        <f>IF(G176="","",INDEX(Lists!$BA$4:$BC$31,MATCH(E176,Lists!$AZ$4:$AZ$31,0),MATCH(G176,Lists!$BA$3:$BC$3,0)))</f>
        <v/>
      </c>
      <c r="I176" s="267"/>
      <c r="J176" s="491"/>
      <c r="K176" s="493" t="str" cm="1">
        <f t="array" ref="K176">IF(OR($E176="",$D176="",$I176="",$J176=""),"",IF(J176=L176,I176,(INDEX('Emission factors'!$K$3:$V$201,MATCH(E176&amp;F176,'Emission factors'!$J$3:$J$201&amp;'Emission factors'!$K$3:$K$201,0),MATCH(K$6,'Emission factors'!$K$2:$V$2,0)))*I176))</f>
        <v/>
      </c>
      <c r="L176" s="494" t="str">
        <f>IF(OR($E176="",$D176="",$I176="",$J176=""),"",INDEX('Emission factors'!$K$3:$V$201,MATCH('Buildings - Heat &amp; Fuels'!$E176,'Emission factors'!$J$3:$J$201,0),MATCH($L$6,'Emission factors'!$K$2:$V$2,0)))</f>
        <v/>
      </c>
      <c r="M176" s="495" t="str" cm="1">
        <f t="array" ref="M176">IF(OR(E176="",I176="",BuildingsHeatFuelsTable[[#This Row],[Units]]=""),"",INDEX('Emission factors'!$K$3:$V$201,MATCH('Buildings - Heat &amp; Fuels'!$E176&amp;F176,'Emission factors'!$J$3:$J$201&amp;'Emission factors'!$K$3:$K$201,0),MATCH('Buildings - Heat &amp; Fuels'!$M$6,'Emission factors'!$K$2:$V$2,0)))</f>
        <v/>
      </c>
      <c r="N176" s="496" t="str">
        <f>IF(OR(K176="",M176=""),"",SUM(BuildingsHeatFuelsTable[[#This Row],[Direct]:[Indirect WTT]]))</f>
        <v/>
      </c>
      <c r="O176" s="268"/>
      <c r="P176" s="497"/>
      <c r="Q176" s="157" t="str" cm="1">
        <f t="array" ref="Q176">IF(OR($E176="",$I176=""),"",(INDEX('Emission factors'!$K$3:$V$201,MATCH('Buildings - Heat &amp; Fuels'!$E176&amp;$F176,'Emission factors'!$J$3:$J$201&amp;'Emission factors'!$K$3:$K$201,0),MATCH('Buildings - Heat &amp; Fuels'!Q$6,'Emission factors'!$K$2:$V$2,0)))*$K176)</f>
        <v/>
      </c>
      <c r="R176" s="157" t="str" cm="1">
        <f t="array" ref="R176">IF(OR($E176="",$I176=""),"",(INDEX('Emission factors'!$K$3:$V$201,MATCH('Buildings - Heat &amp; Fuels'!$E176&amp;$F176,'Emission factors'!$J$3:$J$201&amp;'Emission factors'!$K$3:$K$201,0),MATCH('Buildings - Heat &amp; Fuels'!R$6,'Emission factors'!$K$2:$V$2,0)))*$K176)</f>
        <v/>
      </c>
      <c r="S176" s="157" t="str" cm="1">
        <f t="array" ref="S176">IF(OR($E176="",$I176=""),"",(INDEX('Emission factors'!$K$3:$V$201,MATCH('Buildings - Heat &amp; Fuels'!$E176&amp;$F176,'Emission factors'!$J$3:$J$201&amp;'Emission factors'!$K$3:$K$201,0),MATCH('Buildings - Heat &amp; Fuels'!S$6,'Emission factors'!$K$2:$V$2,0)))*$K176)</f>
        <v/>
      </c>
      <c r="T176" s="157" t="str" cm="1">
        <f t="array" ref="T176">IF(OR($E176="",$I176=""),"",(INDEX('Emission factors'!$K$3:$V$201,MATCH('Buildings - Heat &amp; Fuels'!$E176&amp;$F176,'Emission factors'!$J$3:$J$201&amp;'Emission factors'!$K$3:$K$201,0),MATCH('Buildings - Heat &amp; Fuels'!T$6,'Emission factors'!$K$2:$V$2,0)))*$K176)</f>
        <v/>
      </c>
      <c r="U176" s="157" t="str" cm="1">
        <f t="array" ref="U176">IF(OR($E176="",$I176=""),"",(INDEX('Emission factors'!$K$3:$V$201,MATCH('Buildings - Heat &amp; Fuels'!$E176&amp;$F176,'Emission factors'!$J$3:$J$201&amp;'Emission factors'!$K$3:$K$201,0),MATCH('Buildings - Heat &amp; Fuels'!U$6,'Emission factors'!$K$2:$V$2,0)))*$K176)</f>
        <v/>
      </c>
      <c r="V176" s="158" t="str">
        <f>IF(OR($N176="",BuildingsHeatFuelsTable[[#This Row],[RSD]]=""),"",BuildingsHeatFuelsTable[[#This Row],[Total emissions (kgCO2e)]]*(1+BuildingsHeatFuelsTable[[#This Row],[RSD]]))</f>
        <v/>
      </c>
      <c r="W176" s="159" t="str">
        <f>IF(OR($N176="",BuildingsHeatFuelsTable[[#This Row],[RSD]]=""),"",BuildingsHeatFuelsTable[[#This Row],[Total emissions (kgCO2e)]]*(1-BuildingsHeatFuelsTable[[#This Row],[RSD]]))</f>
        <v/>
      </c>
      <c r="X176" s="169" t="str" cm="1">
        <f t="array" ref="X176">IF(OR($E176="",$I176=""),"",(INDEX('Emission factors'!$K$3:$V$201,MATCH('Buildings - Heat &amp; Fuels'!$E176&amp;$F176,'Emission factors'!$J$3:$J$201&amp;'Emission factors'!$K$3:$K$201,0),MATCH('Buildings - Heat &amp; Fuels'!X$6,'Emission factors'!$K$2:$V$2,0)))*$K176)</f>
        <v/>
      </c>
      <c r="Y176" s="30"/>
      <c r="Z176" s="1" cm="1">
        <f t="array" ref="Z176">IF(OR(ISERROR(B176:X176)),1,0)</f>
        <v>0</v>
      </c>
      <c r="AA176" s="1">
        <f t="shared" si="0"/>
        <v>0</v>
      </c>
    </row>
    <row r="177" spans="1:27" ht="15" outlineLevel="1" thickBot="1" x14ac:dyDescent="0.4">
      <c r="A177" s="319"/>
      <c r="B177" s="216"/>
      <c r="C177" s="216"/>
      <c r="D177" s="489" t="str">
        <f>IFERROR(INDEX(BuildingInformationTable[Site type],MATCH(BuildingsHeatFuelsTable[[#This Row],[Site name]],BuildingInformationTable[Site name],0)),"")</f>
        <v/>
      </c>
      <c r="E177" s="491"/>
      <c r="F177" s="491"/>
      <c r="G177" s="491"/>
      <c r="H177" s="492" t="str">
        <f>IF(G177="","",INDEX(Lists!$BA$4:$BC$31,MATCH(E177,Lists!$AZ$4:$AZ$31,0),MATCH(G177,Lists!$BA$3:$BC$3,0)))</f>
        <v/>
      </c>
      <c r="I177" s="267"/>
      <c r="J177" s="491"/>
      <c r="K177" s="493" t="str" cm="1">
        <f t="array" ref="K177">IF(OR($E177="",$D177="",$I177="",$J177=""),"",IF(J177=L177,I177,(INDEX('Emission factors'!$K$3:$V$201,MATCH(E177&amp;F177,'Emission factors'!$J$3:$J$201&amp;'Emission factors'!$K$3:$K$201,0),MATCH(K$6,'Emission factors'!$K$2:$V$2,0)))*I177))</f>
        <v/>
      </c>
      <c r="L177" s="494" t="str">
        <f>IF(OR($E177="",$D177="",$I177="",$J177=""),"",INDEX('Emission factors'!$K$3:$V$201,MATCH('Buildings - Heat &amp; Fuels'!$E177,'Emission factors'!$J$3:$J$201,0),MATCH($L$6,'Emission factors'!$K$2:$V$2,0)))</f>
        <v/>
      </c>
      <c r="M177" s="495" t="str" cm="1">
        <f t="array" ref="M177">IF(OR(E177="",I177="",BuildingsHeatFuelsTable[[#This Row],[Units]]=""),"",INDEX('Emission factors'!$K$3:$V$201,MATCH('Buildings - Heat &amp; Fuels'!$E177&amp;F177,'Emission factors'!$J$3:$J$201&amp;'Emission factors'!$K$3:$K$201,0),MATCH('Buildings - Heat &amp; Fuels'!$M$6,'Emission factors'!$K$2:$V$2,0)))</f>
        <v/>
      </c>
      <c r="N177" s="496" t="str">
        <f>IF(OR(K177="",M177=""),"",SUM(BuildingsHeatFuelsTable[[#This Row],[Direct]:[Indirect WTT]]))</f>
        <v/>
      </c>
      <c r="O177" s="268"/>
      <c r="P177" s="497"/>
      <c r="Q177" s="157" t="str" cm="1">
        <f t="array" ref="Q177">IF(OR($E177="",$I177=""),"",(INDEX('Emission factors'!$K$3:$V$201,MATCH('Buildings - Heat &amp; Fuels'!$E177&amp;$F177,'Emission factors'!$J$3:$J$201&amp;'Emission factors'!$K$3:$K$201,0),MATCH('Buildings - Heat &amp; Fuels'!Q$6,'Emission factors'!$K$2:$V$2,0)))*$K177)</f>
        <v/>
      </c>
      <c r="R177" s="157" t="str" cm="1">
        <f t="array" ref="R177">IF(OR($E177="",$I177=""),"",(INDEX('Emission factors'!$K$3:$V$201,MATCH('Buildings - Heat &amp; Fuels'!$E177&amp;$F177,'Emission factors'!$J$3:$J$201&amp;'Emission factors'!$K$3:$K$201,0),MATCH('Buildings - Heat &amp; Fuels'!R$6,'Emission factors'!$K$2:$V$2,0)))*$K177)</f>
        <v/>
      </c>
      <c r="S177" s="157" t="str" cm="1">
        <f t="array" ref="S177">IF(OR($E177="",$I177=""),"",(INDEX('Emission factors'!$K$3:$V$201,MATCH('Buildings - Heat &amp; Fuels'!$E177&amp;$F177,'Emission factors'!$J$3:$J$201&amp;'Emission factors'!$K$3:$K$201,0),MATCH('Buildings - Heat &amp; Fuels'!S$6,'Emission factors'!$K$2:$V$2,0)))*$K177)</f>
        <v/>
      </c>
      <c r="T177" s="157" t="str" cm="1">
        <f t="array" ref="T177">IF(OR($E177="",$I177=""),"",(INDEX('Emission factors'!$K$3:$V$201,MATCH('Buildings - Heat &amp; Fuels'!$E177&amp;$F177,'Emission factors'!$J$3:$J$201&amp;'Emission factors'!$K$3:$K$201,0),MATCH('Buildings - Heat &amp; Fuels'!T$6,'Emission factors'!$K$2:$V$2,0)))*$K177)</f>
        <v/>
      </c>
      <c r="U177" s="157" t="str" cm="1">
        <f t="array" ref="U177">IF(OR($E177="",$I177=""),"",(INDEX('Emission factors'!$K$3:$V$201,MATCH('Buildings - Heat &amp; Fuels'!$E177&amp;$F177,'Emission factors'!$J$3:$J$201&amp;'Emission factors'!$K$3:$K$201,0),MATCH('Buildings - Heat &amp; Fuels'!U$6,'Emission factors'!$K$2:$V$2,0)))*$K177)</f>
        <v/>
      </c>
      <c r="V177" s="158" t="str">
        <f>IF(OR($N177="",BuildingsHeatFuelsTable[[#This Row],[RSD]]=""),"",BuildingsHeatFuelsTable[[#This Row],[Total emissions (kgCO2e)]]*(1+BuildingsHeatFuelsTable[[#This Row],[RSD]]))</f>
        <v/>
      </c>
      <c r="W177" s="159" t="str">
        <f>IF(OR($N177="",BuildingsHeatFuelsTable[[#This Row],[RSD]]=""),"",BuildingsHeatFuelsTable[[#This Row],[Total emissions (kgCO2e)]]*(1-BuildingsHeatFuelsTable[[#This Row],[RSD]]))</f>
        <v/>
      </c>
      <c r="X177" s="169" t="str" cm="1">
        <f t="array" ref="X177">IF(OR($E177="",$I177=""),"",(INDEX('Emission factors'!$K$3:$V$201,MATCH('Buildings - Heat &amp; Fuels'!$E177&amp;$F177,'Emission factors'!$J$3:$J$201&amp;'Emission factors'!$K$3:$K$201,0),MATCH('Buildings - Heat &amp; Fuels'!X$6,'Emission factors'!$K$2:$V$2,0)))*$K177)</f>
        <v/>
      </c>
      <c r="Y177" s="30"/>
      <c r="Z177" s="1" cm="1">
        <f t="array" ref="Z177">IF(OR(ISERROR(B177:X177)),1,0)</f>
        <v>0</v>
      </c>
      <c r="AA177" s="1">
        <f t="shared" si="0"/>
        <v>0</v>
      </c>
    </row>
    <row r="178" spans="1:27" ht="15" outlineLevel="1" thickBot="1" x14ac:dyDescent="0.4">
      <c r="A178" s="319"/>
      <c r="B178" s="216"/>
      <c r="C178" s="216"/>
      <c r="D178" s="489" t="str">
        <f>IFERROR(INDEX(BuildingInformationTable[Site type],MATCH(BuildingsHeatFuelsTable[[#This Row],[Site name]],BuildingInformationTable[Site name],0)),"")</f>
        <v/>
      </c>
      <c r="E178" s="491"/>
      <c r="F178" s="491"/>
      <c r="G178" s="491"/>
      <c r="H178" s="492" t="str">
        <f>IF(G178="","",INDEX(Lists!$BA$4:$BC$31,MATCH(E178,Lists!$AZ$4:$AZ$31,0),MATCH(G178,Lists!$BA$3:$BC$3,0)))</f>
        <v/>
      </c>
      <c r="I178" s="267"/>
      <c r="J178" s="491"/>
      <c r="K178" s="493" t="str" cm="1">
        <f t="array" ref="K178">IF(OR($E178="",$D178="",$I178="",$J178=""),"",IF(J178=L178,I178,(INDEX('Emission factors'!$K$3:$V$201,MATCH(E178&amp;F178,'Emission factors'!$J$3:$J$201&amp;'Emission factors'!$K$3:$K$201,0),MATCH(K$6,'Emission factors'!$K$2:$V$2,0)))*I178))</f>
        <v/>
      </c>
      <c r="L178" s="494" t="str">
        <f>IF(OR($E178="",$D178="",$I178="",$J178=""),"",INDEX('Emission factors'!$K$3:$V$201,MATCH('Buildings - Heat &amp; Fuels'!$E178,'Emission factors'!$J$3:$J$201,0),MATCH($L$6,'Emission factors'!$K$2:$V$2,0)))</f>
        <v/>
      </c>
      <c r="M178" s="495" t="str" cm="1">
        <f t="array" ref="M178">IF(OR(E178="",I178="",BuildingsHeatFuelsTable[[#This Row],[Units]]=""),"",INDEX('Emission factors'!$K$3:$V$201,MATCH('Buildings - Heat &amp; Fuels'!$E178&amp;F178,'Emission factors'!$J$3:$J$201&amp;'Emission factors'!$K$3:$K$201,0),MATCH('Buildings - Heat &amp; Fuels'!$M$6,'Emission factors'!$K$2:$V$2,0)))</f>
        <v/>
      </c>
      <c r="N178" s="496" t="str">
        <f>IF(OR(K178="",M178=""),"",SUM(BuildingsHeatFuelsTable[[#This Row],[Direct]:[Indirect WTT]]))</f>
        <v/>
      </c>
      <c r="O178" s="268"/>
      <c r="P178" s="497"/>
      <c r="Q178" s="157" t="str" cm="1">
        <f t="array" ref="Q178">IF(OR($E178="",$I178=""),"",(INDEX('Emission factors'!$K$3:$V$201,MATCH('Buildings - Heat &amp; Fuels'!$E178&amp;$F178,'Emission factors'!$J$3:$J$201&amp;'Emission factors'!$K$3:$K$201,0),MATCH('Buildings - Heat &amp; Fuels'!Q$6,'Emission factors'!$K$2:$V$2,0)))*$K178)</f>
        <v/>
      </c>
      <c r="R178" s="157" t="str" cm="1">
        <f t="array" ref="R178">IF(OR($E178="",$I178=""),"",(INDEX('Emission factors'!$K$3:$V$201,MATCH('Buildings - Heat &amp; Fuels'!$E178&amp;$F178,'Emission factors'!$J$3:$J$201&amp;'Emission factors'!$K$3:$K$201,0),MATCH('Buildings - Heat &amp; Fuels'!R$6,'Emission factors'!$K$2:$V$2,0)))*$K178)</f>
        <v/>
      </c>
      <c r="S178" s="157" t="str" cm="1">
        <f t="array" ref="S178">IF(OR($E178="",$I178=""),"",(INDEX('Emission factors'!$K$3:$V$201,MATCH('Buildings - Heat &amp; Fuels'!$E178&amp;$F178,'Emission factors'!$J$3:$J$201&amp;'Emission factors'!$K$3:$K$201,0),MATCH('Buildings - Heat &amp; Fuels'!S$6,'Emission factors'!$K$2:$V$2,0)))*$K178)</f>
        <v/>
      </c>
      <c r="T178" s="157" t="str" cm="1">
        <f t="array" ref="T178">IF(OR($E178="",$I178=""),"",(INDEX('Emission factors'!$K$3:$V$201,MATCH('Buildings - Heat &amp; Fuels'!$E178&amp;$F178,'Emission factors'!$J$3:$J$201&amp;'Emission factors'!$K$3:$K$201,0),MATCH('Buildings - Heat &amp; Fuels'!T$6,'Emission factors'!$K$2:$V$2,0)))*$K178)</f>
        <v/>
      </c>
      <c r="U178" s="157" t="str" cm="1">
        <f t="array" ref="U178">IF(OR($E178="",$I178=""),"",(INDEX('Emission factors'!$K$3:$V$201,MATCH('Buildings - Heat &amp; Fuels'!$E178&amp;$F178,'Emission factors'!$J$3:$J$201&amp;'Emission factors'!$K$3:$K$201,0),MATCH('Buildings - Heat &amp; Fuels'!U$6,'Emission factors'!$K$2:$V$2,0)))*$K178)</f>
        <v/>
      </c>
      <c r="V178" s="158" t="str">
        <f>IF(OR($N178="",BuildingsHeatFuelsTable[[#This Row],[RSD]]=""),"",BuildingsHeatFuelsTable[[#This Row],[Total emissions (kgCO2e)]]*(1+BuildingsHeatFuelsTable[[#This Row],[RSD]]))</f>
        <v/>
      </c>
      <c r="W178" s="159" t="str">
        <f>IF(OR($N178="",BuildingsHeatFuelsTable[[#This Row],[RSD]]=""),"",BuildingsHeatFuelsTable[[#This Row],[Total emissions (kgCO2e)]]*(1-BuildingsHeatFuelsTable[[#This Row],[RSD]]))</f>
        <v/>
      </c>
      <c r="X178" s="169" t="str" cm="1">
        <f t="array" ref="X178">IF(OR($E178="",$I178=""),"",(INDEX('Emission factors'!$K$3:$V$201,MATCH('Buildings - Heat &amp; Fuels'!$E178&amp;$F178,'Emission factors'!$J$3:$J$201&amp;'Emission factors'!$K$3:$K$201,0),MATCH('Buildings - Heat &amp; Fuels'!X$6,'Emission factors'!$K$2:$V$2,0)))*$K178)</f>
        <v/>
      </c>
      <c r="Y178" s="30"/>
      <c r="Z178" s="1" cm="1">
        <f t="array" ref="Z178">IF(OR(ISERROR(B178:X178)),1,0)</f>
        <v>0</v>
      </c>
      <c r="AA178" s="1">
        <f t="shared" si="0"/>
        <v>0</v>
      </c>
    </row>
    <row r="179" spans="1:27" ht="15" outlineLevel="1" thickBot="1" x14ac:dyDescent="0.4">
      <c r="A179" s="319"/>
      <c r="B179" s="216"/>
      <c r="C179" s="216"/>
      <c r="D179" s="489" t="str">
        <f>IFERROR(INDEX(BuildingInformationTable[Site type],MATCH(BuildingsHeatFuelsTable[[#This Row],[Site name]],BuildingInformationTable[Site name],0)),"")</f>
        <v/>
      </c>
      <c r="E179" s="491"/>
      <c r="F179" s="491"/>
      <c r="G179" s="491"/>
      <c r="H179" s="492" t="str">
        <f>IF(G179="","",INDEX(Lists!$BA$4:$BC$31,MATCH(E179,Lists!$AZ$4:$AZ$31,0),MATCH(G179,Lists!$BA$3:$BC$3,0)))</f>
        <v/>
      </c>
      <c r="I179" s="267"/>
      <c r="J179" s="491"/>
      <c r="K179" s="493" t="str" cm="1">
        <f t="array" ref="K179">IF(OR($E179="",$D179="",$I179="",$J179=""),"",IF(J179=L179,I179,(INDEX('Emission factors'!$K$3:$V$201,MATCH(E179&amp;F179,'Emission factors'!$J$3:$J$201&amp;'Emission factors'!$K$3:$K$201,0),MATCH(K$6,'Emission factors'!$K$2:$V$2,0)))*I179))</f>
        <v/>
      </c>
      <c r="L179" s="494" t="str">
        <f>IF(OR($E179="",$D179="",$I179="",$J179=""),"",INDEX('Emission factors'!$K$3:$V$201,MATCH('Buildings - Heat &amp; Fuels'!$E179,'Emission factors'!$J$3:$J$201,0),MATCH($L$6,'Emission factors'!$K$2:$V$2,0)))</f>
        <v/>
      </c>
      <c r="M179" s="495" t="str" cm="1">
        <f t="array" ref="M179">IF(OR(E179="",I179="",BuildingsHeatFuelsTable[[#This Row],[Units]]=""),"",INDEX('Emission factors'!$K$3:$V$201,MATCH('Buildings - Heat &amp; Fuels'!$E179&amp;F179,'Emission factors'!$J$3:$J$201&amp;'Emission factors'!$K$3:$K$201,0),MATCH('Buildings - Heat &amp; Fuels'!$M$6,'Emission factors'!$K$2:$V$2,0)))</f>
        <v/>
      </c>
      <c r="N179" s="496" t="str">
        <f>IF(OR(K179="",M179=""),"",SUM(BuildingsHeatFuelsTable[[#This Row],[Direct]:[Indirect WTT]]))</f>
        <v/>
      </c>
      <c r="O179" s="268"/>
      <c r="P179" s="497"/>
      <c r="Q179" s="157" t="str" cm="1">
        <f t="array" ref="Q179">IF(OR($E179="",$I179=""),"",(INDEX('Emission factors'!$K$3:$V$201,MATCH('Buildings - Heat &amp; Fuels'!$E179&amp;$F179,'Emission factors'!$J$3:$J$201&amp;'Emission factors'!$K$3:$K$201,0),MATCH('Buildings - Heat &amp; Fuels'!Q$6,'Emission factors'!$K$2:$V$2,0)))*$K179)</f>
        <v/>
      </c>
      <c r="R179" s="157" t="str" cm="1">
        <f t="array" ref="R179">IF(OR($E179="",$I179=""),"",(INDEX('Emission factors'!$K$3:$V$201,MATCH('Buildings - Heat &amp; Fuels'!$E179&amp;$F179,'Emission factors'!$J$3:$J$201&amp;'Emission factors'!$K$3:$K$201,0),MATCH('Buildings - Heat &amp; Fuels'!R$6,'Emission factors'!$K$2:$V$2,0)))*$K179)</f>
        <v/>
      </c>
      <c r="S179" s="157" t="str" cm="1">
        <f t="array" ref="S179">IF(OR($E179="",$I179=""),"",(INDEX('Emission factors'!$K$3:$V$201,MATCH('Buildings - Heat &amp; Fuels'!$E179&amp;$F179,'Emission factors'!$J$3:$J$201&amp;'Emission factors'!$K$3:$K$201,0),MATCH('Buildings - Heat &amp; Fuels'!S$6,'Emission factors'!$K$2:$V$2,0)))*$K179)</f>
        <v/>
      </c>
      <c r="T179" s="157" t="str" cm="1">
        <f t="array" ref="T179">IF(OR($E179="",$I179=""),"",(INDEX('Emission factors'!$K$3:$V$201,MATCH('Buildings - Heat &amp; Fuels'!$E179&amp;$F179,'Emission factors'!$J$3:$J$201&amp;'Emission factors'!$K$3:$K$201,0),MATCH('Buildings - Heat &amp; Fuels'!T$6,'Emission factors'!$K$2:$V$2,0)))*$K179)</f>
        <v/>
      </c>
      <c r="U179" s="157" t="str" cm="1">
        <f t="array" ref="U179">IF(OR($E179="",$I179=""),"",(INDEX('Emission factors'!$K$3:$V$201,MATCH('Buildings - Heat &amp; Fuels'!$E179&amp;$F179,'Emission factors'!$J$3:$J$201&amp;'Emission factors'!$K$3:$K$201,0),MATCH('Buildings - Heat &amp; Fuels'!U$6,'Emission factors'!$K$2:$V$2,0)))*$K179)</f>
        <v/>
      </c>
      <c r="V179" s="158" t="str">
        <f>IF(OR($N179="",BuildingsHeatFuelsTable[[#This Row],[RSD]]=""),"",BuildingsHeatFuelsTable[[#This Row],[Total emissions (kgCO2e)]]*(1+BuildingsHeatFuelsTable[[#This Row],[RSD]]))</f>
        <v/>
      </c>
      <c r="W179" s="159" t="str">
        <f>IF(OR($N179="",BuildingsHeatFuelsTable[[#This Row],[RSD]]=""),"",BuildingsHeatFuelsTable[[#This Row],[Total emissions (kgCO2e)]]*(1-BuildingsHeatFuelsTable[[#This Row],[RSD]]))</f>
        <v/>
      </c>
      <c r="X179" s="169" t="str" cm="1">
        <f t="array" ref="X179">IF(OR($E179="",$I179=""),"",(INDEX('Emission factors'!$K$3:$V$201,MATCH('Buildings - Heat &amp; Fuels'!$E179&amp;$F179,'Emission factors'!$J$3:$J$201&amp;'Emission factors'!$K$3:$K$201,0),MATCH('Buildings - Heat &amp; Fuels'!X$6,'Emission factors'!$K$2:$V$2,0)))*$K179)</f>
        <v/>
      </c>
      <c r="Y179" s="30"/>
      <c r="Z179" s="1" cm="1">
        <f t="array" ref="Z179">IF(OR(ISERROR(B179:X179)),1,0)</f>
        <v>0</v>
      </c>
      <c r="AA179" s="1">
        <f t="shared" si="0"/>
        <v>0</v>
      </c>
    </row>
    <row r="180" spans="1:27" ht="15" outlineLevel="1" thickBot="1" x14ac:dyDescent="0.4">
      <c r="A180" s="319"/>
      <c r="B180" s="216"/>
      <c r="C180" s="216"/>
      <c r="D180" s="489" t="str">
        <f>IFERROR(INDEX(BuildingInformationTable[Site type],MATCH(BuildingsHeatFuelsTable[[#This Row],[Site name]],BuildingInformationTable[Site name],0)),"")</f>
        <v/>
      </c>
      <c r="E180" s="491"/>
      <c r="F180" s="491"/>
      <c r="G180" s="491"/>
      <c r="H180" s="492" t="str">
        <f>IF(G180="","",INDEX(Lists!$BA$4:$BC$31,MATCH(E180,Lists!$AZ$4:$AZ$31,0),MATCH(G180,Lists!$BA$3:$BC$3,0)))</f>
        <v/>
      </c>
      <c r="I180" s="267"/>
      <c r="J180" s="491"/>
      <c r="K180" s="493" t="str" cm="1">
        <f t="array" ref="K180">IF(OR($E180="",$D180="",$I180="",$J180=""),"",IF(J180=L180,I180,(INDEX('Emission factors'!$K$3:$V$201,MATCH(E180&amp;F180,'Emission factors'!$J$3:$J$201&amp;'Emission factors'!$K$3:$K$201,0),MATCH(K$6,'Emission factors'!$K$2:$V$2,0)))*I180))</f>
        <v/>
      </c>
      <c r="L180" s="494" t="str">
        <f>IF(OR($E180="",$D180="",$I180="",$J180=""),"",INDEX('Emission factors'!$K$3:$V$201,MATCH('Buildings - Heat &amp; Fuels'!$E180,'Emission factors'!$J$3:$J$201,0),MATCH($L$6,'Emission factors'!$K$2:$V$2,0)))</f>
        <v/>
      </c>
      <c r="M180" s="495" t="str" cm="1">
        <f t="array" ref="M180">IF(OR(E180="",I180="",BuildingsHeatFuelsTable[[#This Row],[Units]]=""),"",INDEX('Emission factors'!$K$3:$V$201,MATCH('Buildings - Heat &amp; Fuels'!$E180&amp;F180,'Emission factors'!$J$3:$J$201&amp;'Emission factors'!$K$3:$K$201,0),MATCH('Buildings - Heat &amp; Fuels'!$M$6,'Emission factors'!$K$2:$V$2,0)))</f>
        <v/>
      </c>
      <c r="N180" s="496" t="str">
        <f>IF(OR(K180="",M180=""),"",SUM(BuildingsHeatFuelsTable[[#This Row],[Direct]:[Indirect WTT]]))</f>
        <v/>
      </c>
      <c r="O180" s="268"/>
      <c r="P180" s="497"/>
      <c r="Q180" s="157" t="str" cm="1">
        <f t="array" ref="Q180">IF(OR($E180="",$I180=""),"",(INDEX('Emission factors'!$K$3:$V$201,MATCH('Buildings - Heat &amp; Fuels'!$E180&amp;$F180,'Emission factors'!$J$3:$J$201&amp;'Emission factors'!$K$3:$K$201,0),MATCH('Buildings - Heat &amp; Fuels'!Q$6,'Emission factors'!$K$2:$V$2,0)))*$K180)</f>
        <v/>
      </c>
      <c r="R180" s="157" t="str" cm="1">
        <f t="array" ref="R180">IF(OR($E180="",$I180=""),"",(INDEX('Emission factors'!$K$3:$V$201,MATCH('Buildings - Heat &amp; Fuels'!$E180&amp;$F180,'Emission factors'!$J$3:$J$201&amp;'Emission factors'!$K$3:$K$201,0),MATCH('Buildings - Heat &amp; Fuels'!R$6,'Emission factors'!$K$2:$V$2,0)))*$K180)</f>
        <v/>
      </c>
      <c r="S180" s="157" t="str" cm="1">
        <f t="array" ref="S180">IF(OR($E180="",$I180=""),"",(INDEX('Emission factors'!$K$3:$V$201,MATCH('Buildings - Heat &amp; Fuels'!$E180&amp;$F180,'Emission factors'!$J$3:$J$201&amp;'Emission factors'!$K$3:$K$201,0),MATCH('Buildings - Heat &amp; Fuels'!S$6,'Emission factors'!$K$2:$V$2,0)))*$K180)</f>
        <v/>
      </c>
      <c r="T180" s="157" t="str" cm="1">
        <f t="array" ref="T180">IF(OR($E180="",$I180=""),"",(INDEX('Emission factors'!$K$3:$V$201,MATCH('Buildings - Heat &amp; Fuels'!$E180&amp;$F180,'Emission factors'!$J$3:$J$201&amp;'Emission factors'!$K$3:$K$201,0),MATCH('Buildings - Heat &amp; Fuels'!T$6,'Emission factors'!$K$2:$V$2,0)))*$K180)</f>
        <v/>
      </c>
      <c r="U180" s="157" t="str" cm="1">
        <f t="array" ref="U180">IF(OR($E180="",$I180=""),"",(INDEX('Emission factors'!$K$3:$V$201,MATCH('Buildings - Heat &amp; Fuels'!$E180&amp;$F180,'Emission factors'!$J$3:$J$201&amp;'Emission factors'!$K$3:$K$201,0),MATCH('Buildings - Heat &amp; Fuels'!U$6,'Emission factors'!$K$2:$V$2,0)))*$K180)</f>
        <v/>
      </c>
      <c r="V180" s="158" t="str">
        <f>IF(OR($N180="",BuildingsHeatFuelsTable[[#This Row],[RSD]]=""),"",BuildingsHeatFuelsTable[[#This Row],[Total emissions (kgCO2e)]]*(1+BuildingsHeatFuelsTable[[#This Row],[RSD]]))</f>
        <v/>
      </c>
      <c r="W180" s="159" t="str">
        <f>IF(OR($N180="",BuildingsHeatFuelsTable[[#This Row],[RSD]]=""),"",BuildingsHeatFuelsTable[[#This Row],[Total emissions (kgCO2e)]]*(1-BuildingsHeatFuelsTable[[#This Row],[RSD]]))</f>
        <v/>
      </c>
      <c r="X180" s="169" t="str" cm="1">
        <f t="array" ref="X180">IF(OR($E180="",$I180=""),"",(INDEX('Emission factors'!$K$3:$V$201,MATCH('Buildings - Heat &amp; Fuels'!$E180&amp;$F180,'Emission factors'!$J$3:$J$201&amp;'Emission factors'!$K$3:$K$201,0),MATCH('Buildings - Heat &amp; Fuels'!X$6,'Emission factors'!$K$2:$V$2,0)))*$K180)</f>
        <v/>
      </c>
      <c r="Y180" s="30"/>
      <c r="Z180" s="1" cm="1">
        <f t="array" ref="Z180">IF(OR(ISERROR(B180:X180)),1,0)</f>
        <v>0</v>
      </c>
      <c r="AA180" s="1">
        <f t="shared" si="0"/>
        <v>0</v>
      </c>
    </row>
    <row r="181" spans="1:27" ht="15" outlineLevel="1" thickBot="1" x14ac:dyDescent="0.4">
      <c r="A181" s="319"/>
      <c r="B181" s="216"/>
      <c r="C181" s="216"/>
      <c r="D181" s="489" t="str">
        <f>IFERROR(INDEX(BuildingInformationTable[Site type],MATCH(BuildingsHeatFuelsTable[[#This Row],[Site name]],BuildingInformationTable[Site name],0)),"")</f>
        <v/>
      </c>
      <c r="E181" s="491"/>
      <c r="F181" s="491"/>
      <c r="G181" s="491"/>
      <c r="H181" s="492" t="str">
        <f>IF(G181="","",INDEX(Lists!$BA$4:$BC$31,MATCH(E181,Lists!$AZ$4:$AZ$31,0),MATCH(G181,Lists!$BA$3:$BC$3,0)))</f>
        <v/>
      </c>
      <c r="I181" s="267"/>
      <c r="J181" s="491"/>
      <c r="K181" s="493" t="str" cm="1">
        <f t="array" ref="K181">IF(OR($E181="",$D181="",$I181="",$J181=""),"",IF(J181=L181,I181,(INDEX('Emission factors'!$K$3:$V$201,MATCH(E181&amp;F181,'Emission factors'!$J$3:$J$201&amp;'Emission factors'!$K$3:$K$201,0),MATCH(K$6,'Emission factors'!$K$2:$V$2,0)))*I181))</f>
        <v/>
      </c>
      <c r="L181" s="494" t="str">
        <f>IF(OR($E181="",$D181="",$I181="",$J181=""),"",INDEX('Emission factors'!$K$3:$V$201,MATCH('Buildings - Heat &amp; Fuels'!$E181,'Emission factors'!$J$3:$J$201,0),MATCH($L$6,'Emission factors'!$K$2:$V$2,0)))</f>
        <v/>
      </c>
      <c r="M181" s="495" t="str" cm="1">
        <f t="array" ref="M181">IF(OR(E181="",I181="",BuildingsHeatFuelsTable[[#This Row],[Units]]=""),"",INDEX('Emission factors'!$K$3:$V$201,MATCH('Buildings - Heat &amp; Fuels'!$E181&amp;F181,'Emission factors'!$J$3:$J$201&amp;'Emission factors'!$K$3:$K$201,0),MATCH('Buildings - Heat &amp; Fuels'!$M$6,'Emission factors'!$K$2:$V$2,0)))</f>
        <v/>
      </c>
      <c r="N181" s="496" t="str">
        <f>IF(OR(K181="",M181=""),"",SUM(BuildingsHeatFuelsTable[[#This Row],[Direct]:[Indirect WTT]]))</f>
        <v/>
      </c>
      <c r="O181" s="268"/>
      <c r="P181" s="497"/>
      <c r="Q181" s="157" t="str" cm="1">
        <f t="array" ref="Q181">IF(OR($E181="",$I181=""),"",(INDEX('Emission factors'!$K$3:$V$201,MATCH('Buildings - Heat &amp; Fuels'!$E181&amp;$F181,'Emission factors'!$J$3:$J$201&amp;'Emission factors'!$K$3:$K$201,0),MATCH('Buildings - Heat &amp; Fuels'!Q$6,'Emission factors'!$K$2:$V$2,0)))*$K181)</f>
        <v/>
      </c>
      <c r="R181" s="157" t="str" cm="1">
        <f t="array" ref="R181">IF(OR($E181="",$I181=""),"",(INDEX('Emission factors'!$K$3:$V$201,MATCH('Buildings - Heat &amp; Fuels'!$E181&amp;$F181,'Emission factors'!$J$3:$J$201&amp;'Emission factors'!$K$3:$K$201,0),MATCH('Buildings - Heat &amp; Fuels'!R$6,'Emission factors'!$K$2:$V$2,0)))*$K181)</f>
        <v/>
      </c>
      <c r="S181" s="157" t="str" cm="1">
        <f t="array" ref="S181">IF(OR($E181="",$I181=""),"",(INDEX('Emission factors'!$K$3:$V$201,MATCH('Buildings - Heat &amp; Fuels'!$E181&amp;$F181,'Emission factors'!$J$3:$J$201&amp;'Emission factors'!$K$3:$K$201,0),MATCH('Buildings - Heat &amp; Fuels'!S$6,'Emission factors'!$K$2:$V$2,0)))*$K181)</f>
        <v/>
      </c>
      <c r="T181" s="157" t="str" cm="1">
        <f t="array" ref="T181">IF(OR($E181="",$I181=""),"",(INDEX('Emission factors'!$K$3:$V$201,MATCH('Buildings - Heat &amp; Fuels'!$E181&amp;$F181,'Emission factors'!$J$3:$J$201&amp;'Emission factors'!$K$3:$K$201,0),MATCH('Buildings - Heat &amp; Fuels'!T$6,'Emission factors'!$K$2:$V$2,0)))*$K181)</f>
        <v/>
      </c>
      <c r="U181" s="157" t="str" cm="1">
        <f t="array" ref="U181">IF(OR($E181="",$I181=""),"",(INDEX('Emission factors'!$K$3:$V$201,MATCH('Buildings - Heat &amp; Fuels'!$E181&amp;$F181,'Emission factors'!$J$3:$J$201&amp;'Emission factors'!$K$3:$K$201,0),MATCH('Buildings - Heat &amp; Fuels'!U$6,'Emission factors'!$K$2:$V$2,0)))*$K181)</f>
        <v/>
      </c>
      <c r="V181" s="158" t="str">
        <f>IF(OR($N181="",BuildingsHeatFuelsTable[[#This Row],[RSD]]=""),"",BuildingsHeatFuelsTable[[#This Row],[Total emissions (kgCO2e)]]*(1+BuildingsHeatFuelsTable[[#This Row],[RSD]]))</f>
        <v/>
      </c>
      <c r="W181" s="159" t="str">
        <f>IF(OR($N181="",BuildingsHeatFuelsTable[[#This Row],[RSD]]=""),"",BuildingsHeatFuelsTable[[#This Row],[Total emissions (kgCO2e)]]*(1-BuildingsHeatFuelsTable[[#This Row],[RSD]]))</f>
        <v/>
      </c>
      <c r="X181" s="169" t="str" cm="1">
        <f t="array" ref="X181">IF(OR($E181="",$I181=""),"",(INDEX('Emission factors'!$K$3:$V$201,MATCH('Buildings - Heat &amp; Fuels'!$E181&amp;$F181,'Emission factors'!$J$3:$J$201&amp;'Emission factors'!$K$3:$K$201,0),MATCH('Buildings - Heat &amp; Fuels'!X$6,'Emission factors'!$K$2:$V$2,0)))*$K181)</f>
        <v/>
      </c>
      <c r="Y181" s="30"/>
      <c r="Z181" s="1" cm="1">
        <f t="array" ref="Z181">IF(OR(ISERROR(B181:X181)),1,0)</f>
        <v>0</v>
      </c>
      <c r="AA181" s="1">
        <f t="shared" si="0"/>
        <v>0</v>
      </c>
    </row>
    <row r="182" spans="1:27" ht="15" outlineLevel="1" thickBot="1" x14ac:dyDescent="0.4">
      <c r="A182" s="319"/>
      <c r="B182" s="216"/>
      <c r="C182" s="216"/>
      <c r="D182" s="489" t="str">
        <f>IFERROR(INDEX(BuildingInformationTable[Site type],MATCH(BuildingsHeatFuelsTable[[#This Row],[Site name]],BuildingInformationTable[Site name],0)),"")</f>
        <v/>
      </c>
      <c r="E182" s="491"/>
      <c r="F182" s="491"/>
      <c r="G182" s="491"/>
      <c r="H182" s="492" t="str">
        <f>IF(G182="","",INDEX(Lists!$BA$4:$BC$31,MATCH(E182,Lists!$AZ$4:$AZ$31,0),MATCH(G182,Lists!$BA$3:$BC$3,0)))</f>
        <v/>
      </c>
      <c r="I182" s="267"/>
      <c r="J182" s="491"/>
      <c r="K182" s="493" t="str" cm="1">
        <f t="array" ref="K182">IF(OR($E182="",$D182="",$I182="",$J182=""),"",IF(J182=L182,I182,(INDEX('Emission factors'!$K$3:$V$201,MATCH(E182&amp;F182,'Emission factors'!$J$3:$J$201&amp;'Emission factors'!$K$3:$K$201,0),MATCH(K$6,'Emission factors'!$K$2:$V$2,0)))*I182))</f>
        <v/>
      </c>
      <c r="L182" s="494" t="str">
        <f>IF(OR($E182="",$D182="",$I182="",$J182=""),"",INDEX('Emission factors'!$K$3:$V$201,MATCH('Buildings - Heat &amp; Fuels'!$E182,'Emission factors'!$J$3:$J$201,0),MATCH($L$6,'Emission factors'!$K$2:$V$2,0)))</f>
        <v/>
      </c>
      <c r="M182" s="495" t="str" cm="1">
        <f t="array" ref="M182">IF(OR(E182="",I182="",BuildingsHeatFuelsTable[[#This Row],[Units]]=""),"",INDEX('Emission factors'!$K$3:$V$201,MATCH('Buildings - Heat &amp; Fuels'!$E182&amp;F182,'Emission factors'!$J$3:$J$201&amp;'Emission factors'!$K$3:$K$201,0),MATCH('Buildings - Heat &amp; Fuels'!$M$6,'Emission factors'!$K$2:$V$2,0)))</f>
        <v/>
      </c>
      <c r="N182" s="496" t="str">
        <f>IF(OR(K182="",M182=""),"",SUM(BuildingsHeatFuelsTable[[#This Row],[Direct]:[Indirect WTT]]))</f>
        <v/>
      </c>
      <c r="O182" s="268"/>
      <c r="P182" s="497"/>
      <c r="Q182" s="157" t="str" cm="1">
        <f t="array" ref="Q182">IF(OR($E182="",$I182=""),"",(INDEX('Emission factors'!$K$3:$V$201,MATCH('Buildings - Heat &amp; Fuels'!$E182&amp;$F182,'Emission factors'!$J$3:$J$201&amp;'Emission factors'!$K$3:$K$201,0),MATCH('Buildings - Heat &amp; Fuels'!Q$6,'Emission factors'!$K$2:$V$2,0)))*$K182)</f>
        <v/>
      </c>
      <c r="R182" s="157" t="str" cm="1">
        <f t="array" ref="R182">IF(OR($E182="",$I182=""),"",(INDEX('Emission factors'!$K$3:$V$201,MATCH('Buildings - Heat &amp; Fuels'!$E182&amp;$F182,'Emission factors'!$J$3:$J$201&amp;'Emission factors'!$K$3:$K$201,0),MATCH('Buildings - Heat &amp; Fuels'!R$6,'Emission factors'!$K$2:$V$2,0)))*$K182)</f>
        <v/>
      </c>
      <c r="S182" s="157" t="str" cm="1">
        <f t="array" ref="S182">IF(OR($E182="",$I182=""),"",(INDEX('Emission factors'!$K$3:$V$201,MATCH('Buildings - Heat &amp; Fuels'!$E182&amp;$F182,'Emission factors'!$J$3:$J$201&amp;'Emission factors'!$K$3:$K$201,0),MATCH('Buildings - Heat &amp; Fuels'!S$6,'Emission factors'!$K$2:$V$2,0)))*$K182)</f>
        <v/>
      </c>
      <c r="T182" s="157" t="str" cm="1">
        <f t="array" ref="T182">IF(OR($E182="",$I182=""),"",(INDEX('Emission factors'!$K$3:$V$201,MATCH('Buildings - Heat &amp; Fuels'!$E182&amp;$F182,'Emission factors'!$J$3:$J$201&amp;'Emission factors'!$K$3:$K$201,0),MATCH('Buildings - Heat &amp; Fuels'!T$6,'Emission factors'!$K$2:$V$2,0)))*$K182)</f>
        <v/>
      </c>
      <c r="U182" s="157" t="str" cm="1">
        <f t="array" ref="U182">IF(OR($E182="",$I182=""),"",(INDEX('Emission factors'!$K$3:$V$201,MATCH('Buildings - Heat &amp; Fuels'!$E182&amp;$F182,'Emission factors'!$J$3:$J$201&amp;'Emission factors'!$K$3:$K$201,0),MATCH('Buildings - Heat &amp; Fuels'!U$6,'Emission factors'!$K$2:$V$2,0)))*$K182)</f>
        <v/>
      </c>
      <c r="V182" s="158" t="str">
        <f>IF(OR($N182="",BuildingsHeatFuelsTable[[#This Row],[RSD]]=""),"",BuildingsHeatFuelsTable[[#This Row],[Total emissions (kgCO2e)]]*(1+BuildingsHeatFuelsTable[[#This Row],[RSD]]))</f>
        <v/>
      </c>
      <c r="W182" s="159" t="str">
        <f>IF(OR($N182="",BuildingsHeatFuelsTable[[#This Row],[RSD]]=""),"",BuildingsHeatFuelsTable[[#This Row],[Total emissions (kgCO2e)]]*(1-BuildingsHeatFuelsTable[[#This Row],[RSD]]))</f>
        <v/>
      </c>
      <c r="X182" s="169" t="str" cm="1">
        <f t="array" ref="X182">IF(OR($E182="",$I182=""),"",(INDEX('Emission factors'!$K$3:$V$201,MATCH('Buildings - Heat &amp; Fuels'!$E182&amp;$F182,'Emission factors'!$J$3:$J$201&amp;'Emission factors'!$K$3:$K$201,0),MATCH('Buildings - Heat &amp; Fuels'!X$6,'Emission factors'!$K$2:$V$2,0)))*$K182)</f>
        <v/>
      </c>
      <c r="Y182" s="30"/>
      <c r="Z182" s="1" cm="1">
        <f t="array" ref="Z182">IF(OR(ISERROR(B182:X182)),1,0)</f>
        <v>0</v>
      </c>
      <c r="AA182" s="1">
        <f t="shared" si="0"/>
        <v>0</v>
      </c>
    </row>
    <row r="183" spans="1:27" ht="15" outlineLevel="1" thickBot="1" x14ac:dyDescent="0.4">
      <c r="A183" s="319"/>
      <c r="B183" s="215"/>
      <c r="C183" s="215"/>
      <c r="D183" s="233" t="str">
        <f>IFERROR(INDEX(BuildingInformationTable[Site type],MATCH(BuildingsHeatFuelsTable[[#This Row],[Site name]],BuildingInformationTable[Site name],0)),"")</f>
        <v/>
      </c>
      <c r="E183" s="72"/>
      <c r="F183" s="72"/>
      <c r="G183" s="72"/>
      <c r="H183" s="98" t="str">
        <f>IF(G183="","",INDEX(Lists!$BA$4:$BC$31,MATCH(E183,Lists!$AZ$4:$AZ$31,0),MATCH(G183,Lists!$BA$3:$BC$3,0)))</f>
        <v/>
      </c>
      <c r="I183" s="70"/>
      <c r="J183" s="72"/>
      <c r="K183" s="75" t="str" cm="1">
        <f t="array" ref="K183">IF(OR($E183="",$D183="",$I183="",$J183=""),"",IF(J183=L183,I183,(INDEX('Emission factors'!$K$3:$V$201,MATCH(E183&amp;F183,'Emission factors'!$J$3:$J$201&amp;'Emission factors'!$K$3:$K$201,0),MATCH(K$6,'Emission factors'!$K$2:$V$2,0)))*I183))</f>
        <v/>
      </c>
      <c r="L183" s="312" t="str">
        <f>IF(OR($E183="",$D183="",$I183="",$J183=""),"",INDEX('Emission factors'!$K$3:$V$201,MATCH('Buildings - Heat &amp; Fuels'!$E183,'Emission factors'!$J$3:$J$201,0),MATCH($L$6,'Emission factors'!$K$2:$V$2,0)))</f>
        <v/>
      </c>
      <c r="M183" s="313" t="str" cm="1">
        <f t="array" ref="M183">IF(OR(E183="",I183="",BuildingsHeatFuelsTable[[#This Row],[Units]]=""),"",INDEX('Emission factors'!$K$3:$V$201,MATCH('Buildings - Heat &amp; Fuels'!$E183&amp;F183,'Emission factors'!$J$3:$J$201&amp;'Emission factors'!$K$3:$K$201,0),MATCH('Buildings - Heat &amp; Fuels'!$M$6,'Emission factors'!$K$2:$V$2,0)))</f>
        <v/>
      </c>
      <c r="N183" s="156" t="str">
        <f>IF(OR(K183="",M183=""),"",SUM(BuildingsHeatFuelsTable[[#This Row],[Direct]:[Indirect WTT]]))</f>
        <v/>
      </c>
      <c r="O183" s="71"/>
      <c r="P183" s="72"/>
      <c r="Q183" s="157" t="str" cm="1">
        <f t="array" ref="Q183">IF(OR($E183="",$I183=""),"",(INDEX('Emission factors'!$K$3:$V$201,MATCH('Buildings - Heat &amp; Fuels'!$E183&amp;$F183,'Emission factors'!$J$3:$J$201&amp;'Emission factors'!$K$3:$K$201,0),MATCH('Buildings - Heat &amp; Fuels'!Q$6,'Emission factors'!$K$2:$V$2,0)))*$K183)</f>
        <v/>
      </c>
      <c r="R183" s="157" t="str" cm="1">
        <f t="array" ref="R183">IF(OR($E183="",$I183=""),"",(INDEX('Emission factors'!$K$3:$V$201,MATCH('Buildings - Heat &amp; Fuels'!$E183&amp;$F183,'Emission factors'!$J$3:$J$201&amp;'Emission factors'!$K$3:$K$201,0),MATCH('Buildings - Heat &amp; Fuels'!R$6,'Emission factors'!$K$2:$V$2,0)))*$K183)</f>
        <v/>
      </c>
      <c r="S183" s="157" t="str" cm="1">
        <f t="array" ref="S183">IF(OR($E183="",$I183=""),"",(INDEX('Emission factors'!$K$3:$V$201,MATCH('Buildings - Heat &amp; Fuels'!$E183&amp;$F183,'Emission factors'!$J$3:$J$201&amp;'Emission factors'!$K$3:$K$201,0),MATCH('Buildings - Heat &amp; Fuels'!S$6,'Emission factors'!$K$2:$V$2,0)))*$K183)</f>
        <v/>
      </c>
      <c r="T183" s="157" t="str" cm="1">
        <f t="array" ref="T183">IF(OR($E183="",$I183=""),"",(INDEX('Emission factors'!$K$3:$V$201,MATCH('Buildings - Heat &amp; Fuels'!$E183&amp;$F183,'Emission factors'!$J$3:$J$201&amp;'Emission factors'!$K$3:$K$201,0),MATCH('Buildings - Heat &amp; Fuels'!T$6,'Emission factors'!$K$2:$V$2,0)))*$K183)</f>
        <v/>
      </c>
      <c r="U183" s="157" t="str" cm="1">
        <f t="array" ref="U183">IF(OR($E183="",$I183=""),"",(INDEX('Emission factors'!$K$3:$V$201,MATCH('Buildings - Heat &amp; Fuels'!$E183&amp;$F183,'Emission factors'!$J$3:$J$201&amp;'Emission factors'!$K$3:$K$201,0),MATCH('Buildings - Heat &amp; Fuels'!U$6,'Emission factors'!$K$2:$V$2,0)))*$K183)</f>
        <v/>
      </c>
      <c r="V183" s="158" t="str">
        <f>IF(OR($N183="",BuildingsHeatFuelsTable[[#This Row],[RSD]]=""),"",BuildingsHeatFuelsTable[[#This Row],[Total emissions (kgCO2e)]]*(1+BuildingsHeatFuelsTable[[#This Row],[RSD]]))</f>
        <v/>
      </c>
      <c r="W183" s="159" t="str">
        <f>IF(OR($N183="",BuildingsHeatFuelsTable[[#This Row],[RSD]]=""),"",BuildingsHeatFuelsTable[[#This Row],[Total emissions (kgCO2e)]]*(1-BuildingsHeatFuelsTable[[#This Row],[RSD]]))</f>
        <v/>
      </c>
      <c r="X183" s="169" t="str" cm="1">
        <f t="array" ref="X183">IF(OR($E183="",$I183=""),"",(INDEX('Emission factors'!$K$3:$V$201,MATCH('Buildings - Heat &amp; Fuels'!$E183&amp;$F183,'Emission factors'!$J$3:$J$201&amp;'Emission factors'!$K$3:$K$201,0),MATCH('Buildings - Heat &amp; Fuels'!X$6,'Emission factors'!$K$2:$V$2,0)))*$K183)</f>
        <v/>
      </c>
      <c r="Y183" s="30"/>
      <c r="Z183" s="1" cm="1">
        <f t="array" ref="Z183">IF(OR(ISERROR(B183:X183)),1,0)</f>
        <v>0</v>
      </c>
      <c r="AA183" s="1">
        <f t="shared" si="0"/>
        <v>0</v>
      </c>
    </row>
    <row r="184" spans="1:27" ht="15" outlineLevel="1" thickBot="1" x14ac:dyDescent="0.4">
      <c r="A184" s="319"/>
      <c r="B184" s="215"/>
      <c r="C184" s="215"/>
      <c r="D184" s="233" t="str">
        <f>IFERROR(INDEX(BuildingInformationTable[Site type],MATCH(BuildingsHeatFuelsTable[[#This Row],[Site name]],BuildingInformationTable[Site name],0)),"")</f>
        <v/>
      </c>
      <c r="E184" s="72"/>
      <c r="F184" s="72"/>
      <c r="G184" s="72"/>
      <c r="H184" s="98" t="str">
        <f>IF(G184="","",INDEX(Lists!$BA$4:$BC$31,MATCH(E184,Lists!$AZ$4:$AZ$31,0),MATCH(G184,Lists!$BA$3:$BC$3,0)))</f>
        <v/>
      </c>
      <c r="I184" s="70"/>
      <c r="J184" s="72"/>
      <c r="K184" s="75" t="str" cm="1">
        <f t="array" ref="K184">IF(OR($E184="",$D184="",$I184="",$J184=""),"",IF(J184=L184,I184,(INDEX('Emission factors'!$K$3:$V$201,MATCH(E184&amp;F184,'Emission factors'!$J$3:$J$201&amp;'Emission factors'!$K$3:$K$201,0),MATCH(K$6,'Emission factors'!$K$2:$V$2,0)))*I184))</f>
        <v/>
      </c>
      <c r="L184" s="312" t="str">
        <f>IF(OR($E184="",$D184="",$I184="",$J184=""),"",INDEX('Emission factors'!$K$3:$V$201,MATCH('Buildings - Heat &amp; Fuels'!$E184,'Emission factors'!$J$3:$J$201,0),MATCH($L$6,'Emission factors'!$K$2:$V$2,0)))</f>
        <v/>
      </c>
      <c r="M184" s="313" t="str" cm="1">
        <f t="array" ref="M184">IF(OR(E184="",I184="",BuildingsHeatFuelsTable[[#This Row],[Units]]=""),"",INDEX('Emission factors'!$K$3:$V$201,MATCH('Buildings - Heat &amp; Fuels'!$E184&amp;F184,'Emission factors'!$J$3:$J$201&amp;'Emission factors'!$K$3:$K$201,0),MATCH('Buildings - Heat &amp; Fuels'!$M$6,'Emission factors'!$K$2:$V$2,0)))</f>
        <v/>
      </c>
      <c r="N184" s="156" t="str">
        <f>IF(OR(K184="",M184=""),"",SUM(BuildingsHeatFuelsTable[[#This Row],[Direct]:[Indirect WTT]]))</f>
        <v/>
      </c>
      <c r="O184" s="71"/>
      <c r="P184" s="72"/>
      <c r="Q184" s="157" t="str" cm="1">
        <f t="array" ref="Q184">IF(OR($E184="",$I184=""),"",(INDEX('Emission factors'!$K$3:$V$201,MATCH('Buildings - Heat &amp; Fuels'!$E184&amp;$F184,'Emission factors'!$J$3:$J$201&amp;'Emission factors'!$K$3:$K$201,0),MATCH('Buildings - Heat &amp; Fuels'!Q$6,'Emission factors'!$K$2:$V$2,0)))*$K184)</f>
        <v/>
      </c>
      <c r="R184" s="157" t="str" cm="1">
        <f t="array" ref="R184">IF(OR($E184="",$I184=""),"",(INDEX('Emission factors'!$K$3:$V$201,MATCH('Buildings - Heat &amp; Fuels'!$E184&amp;$F184,'Emission factors'!$J$3:$J$201&amp;'Emission factors'!$K$3:$K$201,0),MATCH('Buildings - Heat &amp; Fuels'!R$6,'Emission factors'!$K$2:$V$2,0)))*$K184)</f>
        <v/>
      </c>
      <c r="S184" s="157" t="str" cm="1">
        <f t="array" ref="S184">IF(OR($E184="",$I184=""),"",(INDEX('Emission factors'!$K$3:$V$201,MATCH('Buildings - Heat &amp; Fuels'!$E184&amp;$F184,'Emission factors'!$J$3:$J$201&amp;'Emission factors'!$K$3:$K$201,0),MATCH('Buildings - Heat &amp; Fuels'!S$6,'Emission factors'!$K$2:$V$2,0)))*$K184)</f>
        <v/>
      </c>
      <c r="T184" s="157" t="str" cm="1">
        <f t="array" ref="T184">IF(OR($E184="",$I184=""),"",(INDEX('Emission factors'!$K$3:$V$201,MATCH('Buildings - Heat &amp; Fuels'!$E184&amp;$F184,'Emission factors'!$J$3:$J$201&amp;'Emission factors'!$K$3:$K$201,0),MATCH('Buildings - Heat &amp; Fuels'!T$6,'Emission factors'!$K$2:$V$2,0)))*$K184)</f>
        <v/>
      </c>
      <c r="U184" s="157" t="str" cm="1">
        <f t="array" ref="U184">IF(OR($E184="",$I184=""),"",(INDEX('Emission factors'!$K$3:$V$201,MATCH('Buildings - Heat &amp; Fuels'!$E184&amp;$F184,'Emission factors'!$J$3:$J$201&amp;'Emission factors'!$K$3:$K$201,0),MATCH('Buildings - Heat &amp; Fuels'!U$6,'Emission factors'!$K$2:$V$2,0)))*$K184)</f>
        <v/>
      </c>
      <c r="V184" s="158" t="str">
        <f>IF(OR($N184="",BuildingsHeatFuelsTable[[#This Row],[RSD]]=""),"",BuildingsHeatFuelsTable[[#This Row],[Total emissions (kgCO2e)]]*(1+BuildingsHeatFuelsTable[[#This Row],[RSD]]))</f>
        <v/>
      </c>
      <c r="W184" s="159" t="str">
        <f>IF(OR($N184="",BuildingsHeatFuelsTable[[#This Row],[RSD]]=""),"",BuildingsHeatFuelsTable[[#This Row],[Total emissions (kgCO2e)]]*(1-BuildingsHeatFuelsTable[[#This Row],[RSD]]))</f>
        <v/>
      </c>
      <c r="X184" s="169" t="str" cm="1">
        <f t="array" ref="X184">IF(OR($E184="",$I184=""),"",(INDEX('Emission factors'!$K$3:$V$201,MATCH('Buildings - Heat &amp; Fuels'!$E184&amp;$F184,'Emission factors'!$J$3:$J$201&amp;'Emission factors'!$K$3:$K$201,0),MATCH('Buildings - Heat &amp; Fuels'!X$6,'Emission factors'!$K$2:$V$2,0)))*$K184)</f>
        <v/>
      </c>
      <c r="Y184" s="30"/>
      <c r="Z184" s="1" cm="1">
        <f t="array" ref="Z184">IF(OR(ISERROR(B184:X184)),1,0)</f>
        <v>0</v>
      </c>
      <c r="AA184" s="1">
        <f t="shared" si="0"/>
        <v>0</v>
      </c>
    </row>
    <row r="185" spans="1:27" ht="15" outlineLevel="1" thickBot="1" x14ac:dyDescent="0.4">
      <c r="A185" s="319"/>
      <c r="B185" s="215"/>
      <c r="C185" s="215"/>
      <c r="D185" s="233" t="str">
        <f>IFERROR(INDEX(BuildingInformationTable[Site type],MATCH(BuildingsHeatFuelsTable[[#This Row],[Site name]],BuildingInformationTable[Site name],0)),"")</f>
        <v/>
      </c>
      <c r="E185" s="72"/>
      <c r="F185" s="72"/>
      <c r="G185" s="72"/>
      <c r="H185" s="98" t="str">
        <f>IF(G185="","",INDEX(Lists!$BA$4:$BC$31,MATCH(E185,Lists!$AZ$4:$AZ$31,0),MATCH(G185,Lists!$BA$3:$BC$3,0)))</f>
        <v/>
      </c>
      <c r="I185" s="70"/>
      <c r="J185" s="72"/>
      <c r="K185" s="75" t="str" cm="1">
        <f t="array" ref="K185">IF(OR($E185="",$D185="",$I185="",$J185=""),"",IF(J185=L185,I185,(INDEX('Emission factors'!$K$3:$V$201,MATCH(E185&amp;F185,'Emission factors'!$J$3:$J$201&amp;'Emission factors'!$K$3:$K$201,0),MATCH(K$6,'Emission factors'!$K$2:$V$2,0)))*I185))</f>
        <v/>
      </c>
      <c r="L185" s="312" t="str">
        <f>IF(OR($E185="",$D185="",$I185="",$J185=""),"",INDEX('Emission factors'!$K$3:$V$201,MATCH('Buildings - Heat &amp; Fuels'!$E185,'Emission factors'!$J$3:$J$201,0),MATCH($L$6,'Emission factors'!$K$2:$V$2,0)))</f>
        <v/>
      </c>
      <c r="M185" s="313" t="str" cm="1">
        <f t="array" ref="M185">IF(OR(E185="",I185="",BuildingsHeatFuelsTable[[#This Row],[Units]]=""),"",INDEX('Emission factors'!$K$3:$V$201,MATCH('Buildings - Heat &amp; Fuels'!$E185&amp;F185,'Emission factors'!$J$3:$J$201&amp;'Emission factors'!$K$3:$K$201,0),MATCH('Buildings - Heat &amp; Fuels'!$M$6,'Emission factors'!$K$2:$V$2,0)))</f>
        <v/>
      </c>
      <c r="N185" s="156" t="str">
        <f>IF(OR(K185="",M185=""),"",SUM(BuildingsHeatFuelsTable[[#This Row],[Direct]:[Indirect WTT]]))</f>
        <v/>
      </c>
      <c r="O185" s="71"/>
      <c r="P185" s="72"/>
      <c r="Q185" s="157" t="str" cm="1">
        <f t="array" ref="Q185">IF(OR($E185="",$I185=""),"",(INDEX('Emission factors'!$K$3:$V$201,MATCH('Buildings - Heat &amp; Fuels'!$E185&amp;$F185,'Emission factors'!$J$3:$J$201&amp;'Emission factors'!$K$3:$K$201,0),MATCH('Buildings - Heat &amp; Fuels'!Q$6,'Emission factors'!$K$2:$V$2,0)))*$K185)</f>
        <v/>
      </c>
      <c r="R185" s="157" t="str" cm="1">
        <f t="array" ref="R185">IF(OR($E185="",$I185=""),"",(INDEX('Emission factors'!$K$3:$V$201,MATCH('Buildings - Heat &amp; Fuels'!$E185&amp;$F185,'Emission factors'!$J$3:$J$201&amp;'Emission factors'!$K$3:$K$201,0),MATCH('Buildings - Heat &amp; Fuels'!R$6,'Emission factors'!$K$2:$V$2,0)))*$K185)</f>
        <v/>
      </c>
      <c r="S185" s="157" t="str" cm="1">
        <f t="array" ref="S185">IF(OR($E185="",$I185=""),"",(INDEX('Emission factors'!$K$3:$V$201,MATCH('Buildings - Heat &amp; Fuels'!$E185&amp;$F185,'Emission factors'!$J$3:$J$201&amp;'Emission factors'!$K$3:$K$201,0),MATCH('Buildings - Heat &amp; Fuels'!S$6,'Emission factors'!$K$2:$V$2,0)))*$K185)</f>
        <v/>
      </c>
      <c r="T185" s="157" t="str" cm="1">
        <f t="array" ref="T185">IF(OR($E185="",$I185=""),"",(INDEX('Emission factors'!$K$3:$V$201,MATCH('Buildings - Heat &amp; Fuels'!$E185&amp;$F185,'Emission factors'!$J$3:$J$201&amp;'Emission factors'!$K$3:$K$201,0),MATCH('Buildings - Heat &amp; Fuels'!T$6,'Emission factors'!$K$2:$V$2,0)))*$K185)</f>
        <v/>
      </c>
      <c r="U185" s="157" t="str" cm="1">
        <f t="array" ref="U185">IF(OR($E185="",$I185=""),"",(INDEX('Emission factors'!$K$3:$V$201,MATCH('Buildings - Heat &amp; Fuels'!$E185&amp;$F185,'Emission factors'!$J$3:$J$201&amp;'Emission factors'!$K$3:$K$201,0),MATCH('Buildings - Heat &amp; Fuels'!U$6,'Emission factors'!$K$2:$V$2,0)))*$K185)</f>
        <v/>
      </c>
      <c r="V185" s="158" t="str">
        <f>IF(OR($N185="",BuildingsHeatFuelsTable[[#This Row],[RSD]]=""),"",BuildingsHeatFuelsTable[[#This Row],[Total emissions (kgCO2e)]]*(1+BuildingsHeatFuelsTable[[#This Row],[RSD]]))</f>
        <v/>
      </c>
      <c r="W185" s="159" t="str">
        <f>IF(OR($N185="",BuildingsHeatFuelsTable[[#This Row],[RSD]]=""),"",BuildingsHeatFuelsTable[[#This Row],[Total emissions (kgCO2e)]]*(1-BuildingsHeatFuelsTable[[#This Row],[RSD]]))</f>
        <v/>
      </c>
      <c r="X185" s="169" t="str" cm="1">
        <f t="array" ref="X185">IF(OR($E185="",$I185=""),"",(INDEX('Emission factors'!$K$3:$V$201,MATCH('Buildings - Heat &amp; Fuels'!$E185&amp;$F185,'Emission factors'!$J$3:$J$201&amp;'Emission factors'!$K$3:$K$201,0),MATCH('Buildings - Heat &amp; Fuels'!X$6,'Emission factors'!$K$2:$V$2,0)))*$K185)</f>
        <v/>
      </c>
      <c r="Y185" s="30"/>
      <c r="Z185" s="1" cm="1">
        <f t="array" ref="Z185">IF(OR(ISERROR(B185:X185)),1,0)</f>
        <v>0</v>
      </c>
      <c r="AA185" s="1">
        <f t="shared" si="0"/>
        <v>0</v>
      </c>
    </row>
    <row r="186" spans="1:27" ht="15" outlineLevel="1" thickBot="1" x14ac:dyDescent="0.4">
      <c r="A186" s="319"/>
      <c r="B186" s="215"/>
      <c r="C186" s="215"/>
      <c r="D186" s="233" t="str">
        <f>IFERROR(INDEX(BuildingInformationTable[Site type],MATCH(BuildingsHeatFuelsTable[[#This Row],[Site name]],BuildingInformationTable[Site name],0)),"")</f>
        <v/>
      </c>
      <c r="E186" s="72"/>
      <c r="F186" s="72"/>
      <c r="G186" s="72"/>
      <c r="H186" s="98" t="str">
        <f>IF(G186="","",INDEX(Lists!$BA$4:$BC$31,MATCH(E186,Lists!$AZ$4:$AZ$31,0),MATCH(G186,Lists!$BA$3:$BC$3,0)))</f>
        <v/>
      </c>
      <c r="I186" s="70"/>
      <c r="J186" s="72"/>
      <c r="K186" s="75" t="str" cm="1">
        <f t="array" ref="K186">IF(OR($E186="",$D186="",$I186="",$J186=""),"",IF(J186=L186,I186,(INDEX('Emission factors'!$K$3:$V$201,MATCH(E186&amp;F186,'Emission factors'!$J$3:$J$201&amp;'Emission factors'!$K$3:$K$201,0),MATCH(K$6,'Emission factors'!$K$2:$V$2,0)))*I186))</f>
        <v/>
      </c>
      <c r="L186" s="312" t="str">
        <f>IF(OR($E186="",$D186="",$I186="",$J186=""),"",INDEX('Emission factors'!$K$3:$V$201,MATCH('Buildings - Heat &amp; Fuels'!$E186,'Emission factors'!$J$3:$J$201,0),MATCH($L$6,'Emission factors'!$K$2:$V$2,0)))</f>
        <v/>
      </c>
      <c r="M186" s="313" t="str" cm="1">
        <f t="array" ref="M186">IF(OR(E186="",I186="",BuildingsHeatFuelsTable[[#This Row],[Units]]=""),"",INDEX('Emission factors'!$K$3:$V$201,MATCH('Buildings - Heat &amp; Fuels'!$E186&amp;F186,'Emission factors'!$J$3:$J$201&amp;'Emission factors'!$K$3:$K$201,0),MATCH('Buildings - Heat &amp; Fuels'!$M$6,'Emission factors'!$K$2:$V$2,0)))</f>
        <v/>
      </c>
      <c r="N186" s="156" t="str">
        <f>IF(OR(K186="",M186=""),"",SUM(BuildingsHeatFuelsTable[[#This Row],[Direct]:[Indirect WTT]]))</f>
        <v/>
      </c>
      <c r="O186" s="71"/>
      <c r="P186" s="72"/>
      <c r="Q186" s="157" t="str" cm="1">
        <f t="array" ref="Q186">IF(OR($E186="",$I186=""),"",(INDEX('Emission factors'!$K$3:$V$201,MATCH('Buildings - Heat &amp; Fuels'!$E186&amp;$F186,'Emission factors'!$J$3:$J$201&amp;'Emission factors'!$K$3:$K$201,0),MATCH('Buildings - Heat &amp; Fuels'!Q$6,'Emission factors'!$K$2:$V$2,0)))*$K186)</f>
        <v/>
      </c>
      <c r="R186" s="157" t="str" cm="1">
        <f t="array" ref="R186">IF(OR($E186="",$I186=""),"",(INDEX('Emission factors'!$K$3:$V$201,MATCH('Buildings - Heat &amp; Fuels'!$E186&amp;$F186,'Emission factors'!$J$3:$J$201&amp;'Emission factors'!$K$3:$K$201,0),MATCH('Buildings - Heat &amp; Fuels'!R$6,'Emission factors'!$K$2:$V$2,0)))*$K186)</f>
        <v/>
      </c>
      <c r="S186" s="157" t="str" cm="1">
        <f t="array" ref="S186">IF(OR($E186="",$I186=""),"",(INDEX('Emission factors'!$K$3:$V$201,MATCH('Buildings - Heat &amp; Fuels'!$E186&amp;$F186,'Emission factors'!$J$3:$J$201&amp;'Emission factors'!$K$3:$K$201,0),MATCH('Buildings - Heat &amp; Fuels'!S$6,'Emission factors'!$K$2:$V$2,0)))*$K186)</f>
        <v/>
      </c>
      <c r="T186" s="157" t="str" cm="1">
        <f t="array" ref="T186">IF(OR($E186="",$I186=""),"",(INDEX('Emission factors'!$K$3:$V$201,MATCH('Buildings - Heat &amp; Fuels'!$E186&amp;$F186,'Emission factors'!$J$3:$J$201&amp;'Emission factors'!$K$3:$K$201,0),MATCH('Buildings - Heat &amp; Fuels'!T$6,'Emission factors'!$K$2:$V$2,0)))*$K186)</f>
        <v/>
      </c>
      <c r="U186" s="157" t="str" cm="1">
        <f t="array" ref="U186">IF(OR($E186="",$I186=""),"",(INDEX('Emission factors'!$K$3:$V$201,MATCH('Buildings - Heat &amp; Fuels'!$E186&amp;$F186,'Emission factors'!$J$3:$J$201&amp;'Emission factors'!$K$3:$K$201,0),MATCH('Buildings - Heat &amp; Fuels'!U$6,'Emission factors'!$K$2:$V$2,0)))*$K186)</f>
        <v/>
      </c>
      <c r="V186" s="158" t="str">
        <f>IF(OR($N186="",BuildingsHeatFuelsTable[[#This Row],[RSD]]=""),"",BuildingsHeatFuelsTable[[#This Row],[Total emissions (kgCO2e)]]*(1+BuildingsHeatFuelsTable[[#This Row],[RSD]]))</f>
        <v/>
      </c>
      <c r="W186" s="159" t="str">
        <f>IF(OR($N186="",BuildingsHeatFuelsTable[[#This Row],[RSD]]=""),"",BuildingsHeatFuelsTable[[#This Row],[Total emissions (kgCO2e)]]*(1-BuildingsHeatFuelsTable[[#This Row],[RSD]]))</f>
        <v/>
      </c>
      <c r="X186" s="169" t="str" cm="1">
        <f t="array" ref="X186">IF(OR($E186="",$I186=""),"",(INDEX('Emission factors'!$K$3:$V$201,MATCH('Buildings - Heat &amp; Fuels'!$E186&amp;$F186,'Emission factors'!$J$3:$J$201&amp;'Emission factors'!$K$3:$K$201,0),MATCH('Buildings - Heat &amp; Fuels'!X$6,'Emission factors'!$K$2:$V$2,0)))*$K186)</f>
        <v/>
      </c>
      <c r="Y186" s="30"/>
      <c r="Z186" s="1" cm="1">
        <f t="array" ref="Z186">IF(OR(ISERROR(B186:X186)),1,0)</f>
        <v>0</v>
      </c>
      <c r="AA186" s="1">
        <f t="shared" si="0"/>
        <v>0</v>
      </c>
    </row>
    <row r="187" spans="1:27" ht="15" outlineLevel="1" thickBot="1" x14ac:dyDescent="0.4">
      <c r="A187" s="319"/>
      <c r="B187" s="215"/>
      <c r="C187" s="215"/>
      <c r="D187" s="233" t="str">
        <f>IFERROR(INDEX(BuildingInformationTable[Site type],MATCH(BuildingsHeatFuelsTable[[#This Row],[Site name]],BuildingInformationTable[Site name],0)),"")</f>
        <v/>
      </c>
      <c r="E187" s="72"/>
      <c r="F187" s="72"/>
      <c r="G187" s="72"/>
      <c r="H187" s="98" t="str">
        <f>IF(G187="","",INDEX(Lists!$BA$4:$BC$31,MATCH(E187,Lists!$AZ$4:$AZ$31,0),MATCH(G187,Lists!$BA$3:$BC$3,0)))</f>
        <v/>
      </c>
      <c r="I187" s="70"/>
      <c r="J187" s="72"/>
      <c r="K187" s="75" t="str" cm="1">
        <f t="array" ref="K187">IF(OR($E187="",$D187="",$I187="",$J187=""),"",IF(J187=L187,I187,(INDEX('Emission factors'!$K$3:$V$201,MATCH(E187&amp;F187,'Emission factors'!$J$3:$J$201&amp;'Emission factors'!$K$3:$K$201,0),MATCH(K$6,'Emission factors'!$K$2:$V$2,0)))*I187))</f>
        <v/>
      </c>
      <c r="L187" s="312" t="str">
        <f>IF(OR($E187="",$D187="",$I187="",$J187=""),"",INDEX('Emission factors'!$K$3:$V$201,MATCH('Buildings - Heat &amp; Fuels'!$E187,'Emission factors'!$J$3:$J$201,0),MATCH($L$6,'Emission factors'!$K$2:$V$2,0)))</f>
        <v/>
      </c>
      <c r="M187" s="313" t="str" cm="1">
        <f t="array" ref="M187">IF(OR(E187="",I187="",BuildingsHeatFuelsTable[[#This Row],[Units]]=""),"",INDEX('Emission factors'!$K$3:$V$201,MATCH('Buildings - Heat &amp; Fuels'!$E187&amp;F187,'Emission factors'!$J$3:$J$201&amp;'Emission factors'!$K$3:$K$201,0),MATCH('Buildings - Heat &amp; Fuels'!$M$6,'Emission factors'!$K$2:$V$2,0)))</f>
        <v/>
      </c>
      <c r="N187" s="156" t="str">
        <f>IF(OR(K187="",M187=""),"",SUM(BuildingsHeatFuelsTable[[#This Row],[Direct]:[Indirect WTT]]))</f>
        <v/>
      </c>
      <c r="O187" s="71"/>
      <c r="P187" s="72"/>
      <c r="Q187" s="157" t="str" cm="1">
        <f t="array" ref="Q187">IF(OR($E187="",$I187=""),"",(INDEX('Emission factors'!$K$3:$V$201,MATCH('Buildings - Heat &amp; Fuels'!$E187&amp;$F187,'Emission factors'!$J$3:$J$201&amp;'Emission factors'!$K$3:$K$201,0),MATCH('Buildings - Heat &amp; Fuels'!Q$6,'Emission factors'!$K$2:$V$2,0)))*$K187)</f>
        <v/>
      </c>
      <c r="R187" s="157" t="str" cm="1">
        <f t="array" ref="R187">IF(OR($E187="",$I187=""),"",(INDEX('Emission factors'!$K$3:$V$201,MATCH('Buildings - Heat &amp; Fuels'!$E187&amp;$F187,'Emission factors'!$J$3:$J$201&amp;'Emission factors'!$K$3:$K$201,0),MATCH('Buildings - Heat &amp; Fuels'!R$6,'Emission factors'!$K$2:$V$2,0)))*$K187)</f>
        <v/>
      </c>
      <c r="S187" s="157" t="str" cm="1">
        <f t="array" ref="S187">IF(OR($E187="",$I187=""),"",(INDEX('Emission factors'!$K$3:$V$201,MATCH('Buildings - Heat &amp; Fuels'!$E187&amp;$F187,'Emission factors'!$J$3:$J$201&amp;'Emission factors'!$K$3:$K$201,0),MATCH('Buildings - Heat &amp; Fuels'!S$6,'Emission factors'!$K$2:$V$2,0)))*$K187)</f>
        <v/>
      </c>
      <c r="T187" s="157" t="str" cm="1">
        <f t="array" ref="T187">IF(OR($E187="",$I187=""),"",(INDEX('Emission factors'!$K$3:$V$201,MATCH('Buildings - Heat &amp; Fuels'!$E187&amp;$F187,'Emission factors'!$J$3:$J$201&amp;'Emission factors'!$K$3:$K$201,0),MATCH('Buildings - Heat &amp; Fuels'!T$6,'Emission factors'!$K$2:$V$2,0)))*$K187)</f>
        <v/>
      </c>
      <c r="U187" s="157" t="str" cm="1">
        <f t="array" ref="U187">IF(OR($E187="",$I187=""),"",(INDEX('Emission factors'!$K$3:$V$201,MATCH('Buildings - Heat &amp; Fuels'!$E187&amp;$F187,'Emission factors'!$J$3:$J$201&amp;'Emission factors'!$K$3:$K$201,0),MATCH('Buildings - Heat &amp; Fuels'!U$6,'Emission factors'!$K$2:$V$2,0)))*$K187)</f>
        <v/>
      </c>
      <c r="V187" s="158" t="str">
        <f>IF(OR($N187="",BuildingsHeatFuelsTable[[#This Row],[RSD]]=""),"",BuildingsHeatFuelsTable[[#This Row],[Total emissions (kgCO2e)]]*(1+BuildingsHeatFuelsTable[[#This Row],[RSD]]))</f>
        <v/>
      </c>
      <c r="W187" s="159" t="str">
        <f>IF(OR($N187="",BuildingsHeatFuelsTable[[#This Row],[RSD]]=""),"",BuildingsHeatFuelsTable[[#This Row],[Total emissions (kgCO2e)]]*(1-BuildingsHeatFuelsTable[[#This Row],[RSD]]))</f>
        <v/>
      </c>
      <c r="X187" s="169" t="str" cm="1">
        <f t="array" ref="X187">IF(OR($E187="",$I187=""),"",(INDEX('Emission factors'!$K$3:$V$201,MATCH('Buildings - Heat &amp; Fuels'!$E187&amp;$F187,'Emission factors'!$J$3:$J$201&amp;'Emission factors'!$K$3:$K$201,0),MATCH('Buildings - Heat &amp; Fuels'!X$6,'Emission factors'!$K$2:$V$2,0)))*$K187)</f>
        <v/>
      </c>
      <c r="Y187" s="30"/>
      <c r="Z187" s="1" cm="1">
        <f t="array" ref="Z187">IF(OR(ISERROR(B187:X187)),1,0)</f>
        <v>0</v>
      </c>
      <c r="AA187" s="1">
        <f t="shared" si="0"/>
        <v>0</v>
      </c>
    </row>
    <row r="188" spans="1:27" ht="15" outlineLevel="1" thickBot="1" x14ac:dyDescent="0.4">
      <c r="A188" s="319"/>
      <c r="B188" s="216"/>
      <c r="C188" s="215"/>
      <c r="D188" s="233" t="str">
        <f>IFERROR(INDEX(BuildingInformationTable[Site type],MATCH(BuildingsHeatFuelsTable[[#This Row],[Site name]],BuildingInformationTable[Site name],0)),"")</f>
        <v/>
      </c>
      <c r="E188" s="72"/>
      <c r="F188" s="72"/>
      <c r="G188" s="72"/>
      <c r="H188" s="98" t="str">
        <f>IF(G188="","",INDEX(Lists!$BA$4:$BC$31,MATCH(E188,Lists!$AZ$4:$AZ$31,0),MATCH(G188,Lists!$BA$3:$BC$3,0)))</f>
        <v/>
      </c>
      <c r="I188" s="70"/>
      <c r="J188" s="72"/>
      <c r="K188" s="75" t="str" cm="1">
        <f t="array" ref="K188">IF(OR($E188="",$D188="",$I188="",$J188=""),"",IF(J188=L188,I188,(INDEX('Emission factors'!$K$3:$V$201,MATCH(E188&amp;F188,'Emission factors'!$J$3:$J$201&amp;'Emission factors'!$K$3:$K$201,0),MATCH(K$6,'Emission factors'!$K$2:$V$2,0)))*I188))</f>
        <v/>
      </c>
      <c r="L188" s="312" t="str">
        <f>IF(OR($E188="",$D188="",$I188="",$J188=""),"",INDEX('Emission factors'!$K$3:$V$201,MATCH('Buildings - Heat &amp; Fuels'!$E188,'Emission factors'!$J$3:$J$201,0),MATCH($L$6,'Emission factors'!$K$2:$V$2,0)))</f>
        <v/>
      </c>
      <c r="M188" s="313" t="str" cm="1">
        <f t="array" ref="M188">IF(OR(E188="",I188="",BuildingsHeatFuelsTable[[#This Row],[Units]]=""),"",INDEX('Emission factors'!$K$3:$V$201,MATCH('Buildings - Heat &amp; Fuels'!$E188&amp;F188,'Emission factors'!$J$3:$J$201&amp;'Emission factors'!$K$3:$K$201,0),MATCH('Buildings - Heat &amp; Fuels'!$M$6,'Emission factors'!$K$2:$V$2,0)))</f>
        <v/>
      </c>
      <c r="N188" s="156" t="str">
        <f>IF(OR(K188="",M188=""),"",SUM(BuildingsHeatFuelsTable[[#This Row],[Direct]:[Indirect WTT]]))</f>
        <v/>
      </c>
      <c r="O188" s="71"/>
      <c r="P188" s="72"/>
      <c r="Q188" s="157" t="str" cm="1">
        <f t="array" ref="Q188">IF(OR($E188="",$I188=""),"",(INDEX('Emission factors'!$K$3:$V$201,MATCH('Buildings - Heat &amp; Fuels'!$E188&amp;$F188,'Emission factors'!$J$3:$J$201&amp;'Emission factors'!$K$3:$K$201,0),MATCH('Buildings - Heat &amp; Fuels'!Q$6,'Emission factors'!$K$2:$V$2,0)))*$K188)</f>
        <v/>
      </c>
      <c r="R188" s="157" t="str" cm="1">
        <f t="array" ref="R188">IF(OR($E188="",$I188=""),"",(INDEX('Emission factors'!$K$3:$V$201,MATCH('Buildings - Heat &amp; Fuels'!$E188&amp;$F188,'Emission factors'!$J$3:$J$201&amp;'Emission factors'!$K$3:$K$201,0),MATCH('Buildings - Heat &amp; Fuels'!R$6,'Emission factors'!$K$2:$V$2,0)))*$K188)</f>
        <v/>
      </c>
      <c r="S188" s="157" t="str" cm="1">
        <f t="array" ref="S188">IF(OR($E188="",$I188=""),"",(INDEX('Emission factors'!$K$3:$V$201,MATCH('Buildings - Heat &amp; Fuels'!$E188&amp;$F188,'Emission factors'!$J$3:$J$201&amp;'Emission factors'!$K$3:$K$201,0),MATCH('Buildings - Heat &amp; Fuels'!S$6,'Emission factors'!$K$2:$V$2,0)))*$K188)</f>
        <v/>
      </c>
      <c r="T188" s="157" t="str" cm="1">
        <f t="array" ref="T188">IF(OR($E188="",$I188=""),"",(INDEX('Emission factors'!$K$3:$V$201,MATCH('Buildings - Heat &amp; Fuels'!$E188&amp;$F188,'Emission factors'!$J$3:$J$201&amp;'Emission factors'!$K$3:$K$201,0),MATCH('Buildings - Heat &amp; Fuels'!T$6,'Emission factors'!$K$2:$V$2,0)))*$K188)</f>
        <v/>
      </c>
      <c r="U188" s="157" t="str" cm="1">
        <f t="array" ref="U188">IF(OR($E188="",$I188=""),"",(INDEX('Emission factors'!$K$3:$V$201,MATCH('Buildings - Heat &amp; Fuels'!$E188&amp;$F188,'Emission factors'!$J$3:$J$201&amp;'Emission factors'!$K$3:$K$201,0),MATCH('Buildings - Heat &amp; Fuels'!U$6,'Emission factors'!$K$2:$V$2,0)))*$K188)</f>
        <v/>
      </c>
      <c r="V188" s="158" t="str">
        <f>IF(OR($N188="",BuildingsHeatFuelsTable[[#This Row],[RSD]]=""),"",BuildingsHeatFuelsTable[[#This Row],[Total emissions (kgCO2e)]]*(1+BuildingsHeatFuelsTable[[#This Row],[RSD]]))</f>
        <v/>
      </c>
      <c r="W188" s="159" t="str">
        <f>IF(OR($N188="",BuildingsHeatFuelsTable[[#This Row],[RSD]]=""),"",BuildingsHeatFuelsTable[[#This Row],[Total emissions (kgCO2e)]]*(1-BuildingsHeatFuelsTable[[#This Row],[RSD]]))</f>
        <v/>
      </c>
      <c r="X188" s="169" t="str" cm="1">
        <f t="array" ref="X188">IF(OR($E188="",$I188=""),"",(INDEX('Emission factors'!$K$3:$V$201,MATCH('Buildings - Heat &amp; Fuels'!$E188&amp;$F188,'Emission factors'!$J$3:$J$201&amp;'Emission factors'!$K$3:$K$201,0),MATCH('Buildings - Heat &amp; Fuels'!X$6,'Emission factors'!$K$2:$V$2,0)))*$K188)</f>
        <v/>
      </c>
      <c r="Y188" s="30"/>
      <c r="Z188" s="1" cm="1">
        <f t="array" ref="Z188">IF(OR(ISERROR(B188:X188)),1,0)</f>
        <v>0</v>
      </c>
      <c r="AA188" s="1">
        <f t="shared" si="0"/>
        <v>0</v>
      </c>
    </row>
    <row r="189" spans="1:27" ht="15" outlineLevel="1" thickBot="1" x14ac:dyDescent="0.4">
      <c r="A189" s="319"/>
      <c r="B189" s="216"/>
      <c r="C189" s="215"/>
      <c r="D189" s="233" t="str">
        <f>IFERROR(INDEX(BuildingInformationTable[Site type],MATCH(BuildingsHeatFuelsTable[[#This Row],[Site name]],BuildingInformationTable[Site name],0)),"")</f>
        <v/>
      </c>
      <c r="E189" s="72"/>
      <c r="F189" s="72"/>
      <c r="G189" s="72"/>
      <c r="H189" s="98" t="str">
        <f>IF(G189="","",INDEX(Lists!$BA$4:$BC$31,MATCH(E189,Lists!$AZ$4:$AZ$31,0),MATCH(G189,Lists!$BA$3:$BC$3,0)))</f>
        <v/>
      </c>
      <c r="I189" s="70"/>
      <c r="J189" s="72"/>
      <c r="K189" s="75" t="str" cm="1">
        <f t="array" ref="K189">IF(OR($E189="",$D189="",$I189="",$J189=""),"",IF(J189=L189,I189,(INDEX('Emission factors'!$K$3:$V$201,MATCH(E189&amp;F189,'Emission factors'!$J$3:$J$201&amp;'Emission factors'!$K$3:$K$201,0),MATCH(K$6,'Emission factors'!$K$2:$V$2,0)))*I189))</f>
        <v/>
      </c>
      <c r="L189" s="312" t="str">
        <f>IF(OR($E189="",$D189="",$I189="",$J189=""),"",INDEX('Emission factors'!$K$3:$V$201,MATCH('Buildings - Heat &amp; Fuels'!$E189,'Emission factors'!$J$3:$J$201,0),MATCH($L$6,'Emission factors'!$K$2:$V$2,0)))</f>
        <v/>
      </c>
      <c r="M189" s="313" t="str" cm="1">
        <f t="array" ref="M189">IF(OR(E189="",I189="",BuildingsHeatFuelsTable[[#This Row],[Units]]=""),"",INDEX('Emission factors'!$K$3:$V$201,MATCH('Buildings - Heat &amp; Fuels'!$E189&amp;F189,'Emission factors'!$J$3:$J$201&amp;'Emission factors'!$K$3:$K$201,0),MATCH('Buildings - Heat &amp; Fuels'!$M$6,'Emission factors'!$K$2:$V$2,0)))</f>
        <v/>
      </c>
      <c r="N189" s="156" t="str">
        <f>IF(OR(K189="",M189=""),"",SUM(BuildingsHeatFuelsTable[[#This Row],[Direct]:[Indirect WTT]]))</f>
        <v/>
      </c>
      <c r="O189" s="71"/>
      <c r="P189" s="72"/>
      <c r="Q189" s="157" t="str" cm="1">
        <f t="array" ref="Q189">IF(OR($E189="",$I189=""),"",(INDEX('Emission factors'!$K$3:$V$201,MATCH('Buildings - Heat &amp; Fuels'!$E189&amp;$F189,'Emission factors'!$J$3:$J$201&amp;'Emission factors'!$K$3:$K$201,0),MATCH('Buildings - Heat &amp; Fuels'!Q$6,'Emission factors'!$K$2:$V$2,0)))*$K189)</f>
        <v/>
      </c>
      <c r="R189" s="157" t="str" cm="1">
        <f t="array" ref="R189">IF(OR($E189="",$I189=""),"",(INDEX('Emission factors'!$K$3:$V$201,MATCH('Buildings - Heat &amp; Fuels'!$E189&amp;$F189,'Emission factors'!$J$3:$J$201&amp;'Emission factors'!$K$3:$K$201,0),MATCH('Buildings - Heat &amp; Fuels'!R$6,'Emission factors'!$K$2:$V$2,0)))*$K189)</f>
        <v/>
      </c>
      <c r="S189" s="157" t="str" cm="1">
        <f t="array" ref="S189">IF(OR($E189="",$I189=""),"",(INDEX('Emission factors'!$K$3:$V$201,MATCH('Buildings - Heat &amp; Fuels'!$E189&amp;$F189,'Emission factors'!$J$3:$J$201&amp;'Emission factors'!$K$3:$K$201,0),MATCH('Buildings - Heat &amp; Fuels'!S$6,'Emission factors'!$K$2:$V$2,0)))*$K189)</f>
        <v/>
      </c>
      <c r="T189" s="157" t="str" cm="1">
        <f t="array" ref="T189">IF(OR($E189="",$I189=""),"",(INDEX('Emission factors'!$K$3:$V$201,MATCH('Buildings - Heat &amp; Fuels'!$E189&amp;$F189,'Emission factors'!$J$3:$J$201&amp;'Emission factors'!$K$3:$K$201,0),MATCH('Buildings - Heat &amp; Fuels'!T$6,'Emission factors'!$K$2:$V$2,0)))*$K189)</f>
        <v/>
      </c>
      <c r="U189" s="157" t="str" cm="1">
        <f t="array" ref="U189">IF(OR($E189="",$I189=""),"",(INDEX('Emission factors'!$K$3:$V$201,MATCH('Buildings - Heat &amp; Fuels'!$E189&amp;$F189,'Emission factors'!$J$3:$J$201&amp;'Emission factors'!$K$3:$K$201,0),MATCH('Buildings - Heat &amp; Fuels'!U$6,'Emission factors'!$K$2:$V$2,0)))*$K189)</f>
        <v/>
      </c>
      <c r="V189" s="158" t="str">
        <f>IF(OR($N189="",BuildingsHeatFuelsTable[[#This Row],[RSD]]=""),"",BuildingsHeatFuelsTable[[#This Row],[Total emissions (kgCO2e)]]*(1+BuildingsHeatFuelsTable[[#This Row],[RSD]]))</f>
        <v/>
      </c>
      <c r="W189" s="159" t="str">
        <f>IF(OR($N189="",BuildingsHeatFuelsTable[[#This Row],[RSD]]=""),"",BuildingsHeatFuelsTable[[#This Row],[Total emissions (kgCO2e)]]*(1-BuildingsHeatFuelsTable[[#This Row],[RSD]]))</f>
        <v/>
      </c>
      <c r="X189" s="169" t="str" cm="1">
        <f t="array" ref="X189">IF(OR($E189="",$I189=""),"",(INDEX('Emission factors'!$K$3:$V$201,MATCH('Buildings - Heat &amp; Fuels'!$E189&amp;$F189,'Emission factors'!$J$3:$J$201&amp;'Emission factors'!$K$3:$K$201,0),MATCH('Buildings - Heat &amp; Fuels'!X$6,'Emission factors'!$K$2:$V$2,0)))*$K189)</f>
        <v/>
      </c>
      <c r="Y189" s="30"/>
      <c r="Z189" s="1" cm="1">
        <f t="array" ref="Z189">IF(OR(ISERROR(B189:X189)),1,0)</f>
        <v>0</v>
      </c>
      <c r="AA189" s="1">
        <f t="shared" si="0"/>
        <v>0</v>
      </c>
    </row>
    <row r="190" spans="1:27" ht="15" outlineLevel="1" thickBot="1" x14ac:dyDescent="0.4">
      <c r="A190" s="319"/>
      <c r="B190" s="216"/>
      <c r="C190" s="215"/>
      <c r="D190" s="233" t="str">
        <f>IFERROR(INDEX(BuildingInformationTable[Site type],MATCH(BuildingsHeatFuelsTable[[#This Row],[Site name]],BuildingInformationTable[Site name],0)),"")</f>
        <v/>
      </c>
      <c r="E190" s="72"/>
      <c r="F190" s="72"/>
      <c r="G190" s="72"/>
      <c r="H190" s="98" t="str">
        <f>IF(G190="","",INDEX(Lists!$BA$4:$BC$31,MATCH(E190,Lists!$AZ$4:$AZ$31,0),MATCH(G190,Lists!$BA$3:$BC$3,0)))</f>
        <v/>
      </c>
      <c r="I190" s="70"/>
      <c r="J190" s="72"/>
      <c r="K190" s="75" t="str" cm="1">
        <f t="array" ref="K190">IF(OR($E190="",$D190="",$I190="",$J190=""),"",IF(J190=L190,I190,(INDEX('Emission factors'!$K$3:$V$201,MATCH(E190&amp;F190,'Emission factors'!$J$3:$J$201&amp;'Emission factors'!$K$3:$K$201,0),MATCH(K$6,'Emission factors'!$K$2:$V$2,0)))*I190))</f>
        <v/>
      </c>
      <c r="L190" s="312" t="str">
        <f>IF(OR($E190="",$D190="",$I190="",$J190=""),"",INDEX('Emission factors'!$K$3:$V$201,MATCH('Buildings - Heat &amp; Fuels'!$E190,'Emission factors'!$J$3:$J$201,0),MATCH($L$6,'Emission factors'!$K$2:$V$2,0)))</f>
        <v/>
      </c>
      <c r="M190" s="313" t="str" cm="1">
        <f t="array" ref="M190">IF(OR(E190="",I190="",BuildingsHeatFuelsTable[[#This Row],[Units]]=""),"",INDEX('Emission factors'!$K$3:$V$201,MATCH('Buildings - Heat &amp; Fuels'!$E190&amp;F190,'Emission factors'!$J$3:$J$201&amp;'Emission factors'!$K$3:$K$201,0),MATCH('Buildings - Heat &amp; Fuels'!$M$6,'Emission factors'!$K$2:$V$2,0)))</f>
        <v/>
      </c>
      <c r="N190" s="156" t="str">
        <f>IF(OR(K190="",M190=""),"",SUM(BuildingsHeatFuelsTable[[#This Row],[Direct]:[Indirect WTT]]))</f>
        <v/>
      </c>
      <c r="O190" s="71"/>
      <c r="P190" s="72"/>
      <c r="Q190" s="157" t="str" cm="1">
        <f t="array" ref="Q190">IF(OR($E190="",$I190=""),"",(INDEX('Emission factors'!$K$3:$V$201,MATCH('Buildings - Heat &amp; Fuels'!$E190&amp;$F190,'Emission factors'!$J$3:$J$201&amp;'Emission factors'!$K$3:$K$201,0),MATCH('Buildings - Heat &amp; Fuels'!Q$6,'Emission factors'!$K$2:$V$2,0)))*$K190)</f>
        <v/>
      </c>
      <c r="R190" s="157" t="str" cm="1">
        <f t="array" ref="R190">IF(OR($E190="",$I190=""),"",(INDEX('Emission factors'!$K$3:$V$201,MATCH('Buildings - Heat &amp; Fuels'!$E190&amp;$F190,'Emission factors'!$J$3:$J$201&amp;'Emission factors'!$K$3:$K$201,0),MATCH('Buildings - Heat &amp; Fuels'!R$6,'Emission factors'!$K$2:$V$2,0)))*$K190)</f>
        <v/>
      </c>
      <c r="S190" s="157" t="str" cm="1">
        <f t="array" ref="S190">IF(OR($E190="",$I190=""),"",(INDEX('Emission factors'!$K$3:$V$201,MATCH('Buildings - Heat &amp; Fuels'!$E190&amp;$F190,'Emission factors'!$J$3:$J$201&amp;'Emission factors'!$K$3:$K$201,0),MATCH('Buildings - Heat &amp; Fuels'!S$6,'Emission factors'!$K$2:$V$2,0)))*$K190)</f>
        <v/>
      </c>
      <c r="T190" s="157" t="str" cm="1">
        <f t="array" ref="T190">IF(OR($E190="",$I190=""),"",(INDEX('Emission factors'!$K$3:$V$201,MATCH('Buildings - Heat &amp; Fuels'!$E190&amp;$F190,'Emission factors'!$J$3:$J$201&amp;'Emission factors'!$K$3:$K$201,0),MATCH('Buildings - Heat &amp; Fuels'!T$6,'Emission factors'!$K$2:$V$2,0)))*$K190)</f>
        <v/>
      </c>
      <c r="U190" s="157" t="str" cm="1">
        <f t="array" ref="U190">IF(OR($E190="",$I190=""),"",(INDEX('Emission factors'!$K$3:$V$201,MATCH('Buildings - Heat &amp; Fuels'!$E190&amp;$F190,'Emission factors'!$J$3:$J$201&amp;'Emission factors'!$K$3:$K$201,0),MATCH('Buildings - Heat &amp; Fuels'!U$6,'Emission factors'!$K$2:$V$2,0)))*$K190)</f>
        <v/>
      </c>
      <c r="V190" s="158" t="str">
        <f>IF(OR($N190="",BuildingsHeatFuelsTable[[#This Row],[RSD]]=""),"",BuildingsHeatFuelsTable[[#This Row],[Total emissions (kgCO2e)]]*(1+BuildingsHeatFuelsTable[[#This Row],[RSD]]))</f>
        <v/>
      </c>
      <c r="W190" s="159" t="str">
        <f>IF(OR($N190="",BuildingsHeatFuelsTable[[#This Row],[RSD]]=""),"",BuildingsHeatFuelsTable[[#This Row],[Total emissions (kgCO2e)]]*(1-BuildingsHeatFuelsTable[[#This Row],[RSD]]))</f>
        <v/>
      </c>
      <c r="X190" s="169" t="str" cm="1">
        <f t="array" ref="X190">IF(OR($E190="",$I190=""),"",(INDEX('Emission factors'!$K$3:$V$201,MATCH('Buildings - Heat &amp; Fuels'!$E190&amp;$F190,'Emission factors'!$J$3:$J$201&amp;'Emission factors'!$K$3:$K$201,0),MATCH('Buildings - Heat &amp; Fuels'!X$6,'Emission factors'!$K$2:$V$2,0)))*$K190)</f>
        <v/>
      </c>
      <c r="Y190" s="30"/>
      <c r="Z190" s="1" cm="1">
        <f t="array" ref="Z190">IF(OR(ISERROR(B190:X190)),1,0)</f>
        <v>0</v>
      </c>
      <c r="AA190" s="1">
        <f t="shared" si="0"/>
        <v>0</v>
      </c>
    </row>
    <row r="191" spans="1:27" ht="15" outlineLevel="1" thickBot="1" x14ac:dyDescent="0.4">
      <c r="A191" s="319"/>
      <c r="B191" s="216"/>
      <c r="C191" s="215"/>
      <c r="D191" s="233" t="str">
        <f>IFERROR(INDEX(BuildingInformationTable[Site type],MATCH(BuildingsHeatFuelsTable[[#This Row],[Site name]],BuildingInformationTable[Site name],0)),"")</f>
        <v/>
      </c>
      <c r="E191" s="72"/>
      <c r="F191" s="72"/>
      <c r="G191" s="72"/>
      <c r="H191" s="98" t="str">
        <f>IF(G191="","",INDEX(Lists!$BA$4:$BC$31,MATCH(E191,Lists!$AZ$4:$AZ$31,0),MATCH(G191,Lists!$BA$3:$BC$3,0)))</f>
        <v/>
      </c>
      <c r="I191" s="70"/>
      <c r="J191" s="72"/>
      <c r="K191" s="75" t="str" cm="1">
        <f t="array" ref="K191">IF(OR($E191="",$D191="",$I191="",$J191=""),"",IF(J191=L191,I191,(INDEX('Emission factors'!$K$3:$V$201,MATCH(E191&amp;F191,'Emission factors'!$J$3:$J$201&amp;'Emission factors'!$K$3:$K$201,0),MATCH(K$6,'Emission factors'!$K$2:$V$2,0)))*I191))</f>
        <v/>
      </c>
      <c r="L191" s="312" t="str">
        <f>IF(OR($E191="",$D191="",$I191="",$J191=""),"",INDEX('Emission factors'!$K$3:$V$201,MATCH('Buildings - Heat &amp; Fuels'!$E191,'Emission factors'!$J$3:$J$201,0),MATCH($L$6,'Emission factors'!$K$2:$V$2,0)))</f>
        <v/>
      </c>
      <c r="M191" s="313" t="str" cm="1">
        <f t="array" ref="M191">IF(OR(E191="",I191="",BuildingsHeatFuelsTable[[#This Row],[Units]]=""),"",INDEX('Emission factors'!$K$3:$V$201,MATCH('Buildings - Heat &amp; Fuels'!$E191&amp;F191,'Emission factors'!$J$3:$J$201&amp;'Emission factors'!$K$3:$K$201,0),MATCH('Buildings - Heat &amp; Fuels'!$M$6,'Emission factors'!$K$2:$V$2,0)))</f>
        <v/>
      </c>
      <c r="N191" s="156" t="str">
        <f>IF(OR(K191="",M191=""),"",SUM(BuildingsHeatFuelsTable[[#This Row],[Direct]:[Indirect WTT]]))</f>
        <v/>
      </c>
      <c r="O191" s="71"/>
      <c r="P191" s="72"/>
      <c r="Q191" s="157" t="str" cm="1">
        <f t="array" ref="Q191">IF(OR($E191="",$I191=""),"",(INDEX('Emission factors'!$K$3:$V$201,MATCH('Buildings - Heat &amp; Fuels'!$E191&amp;$F191,'Emission factors'!$J$3:$J$201&amp;'Emission factors'!$K$3:$K$201,0),MATCH('Buildings - Heat &amp; Fuels'!Q$6,'Emission factors'!$K$2:$V$2,0)))*$K191)</f>
        <v/>
      </c>
      <c r="R191" s="157" t="str" cm="1">
        <f t="array" ref="R191">IF(OR($E191="",$I191=""),"",(INDEX('Emission factors'!$K$3:$V$201,MATCH('Buildings - Heat &amp; Fuels'!$E191&amp;$F191,'Emission factors'!$J$3:$J$201&amp;'Emission factors'!$K$3:$K$201,0),MATCH('Buildings - Heat &amp; Fuels'!R$6,'Emission factors'!$K$2:$V$2,0)))*$K191)</f>
        <v/>
      </c>
      <c r="S191" s="157" t="str" cm="1">
        <f t="array" ref="S191">IF(OR($E191="",$I191=""),"",(INDEX('Emission factors'!$K$3:$V$201,MATCH('Buildings - Heat &amp; Fuels'!$E191&amp;$F191,'Emission factors'!$J$3:$J$201&amp;'Emission factors'!$K$3:$K$201,0),MATCH('Buildings - Heat &amp; Fuels'!S$6,'Emission factors'!$K$2:$V$2,0)))*$K191)</f>
        <v/>
      </c>
      <c r="T191" s="157" t="str" cm="1">
        <f t="array" ref="T191">IF(OR($E191="",$I191=""),"",(INDEX('Emission factors'!$K$3:$V$201,MATCH('Buildings - Heat &amp; Fuels'!$E191&amp;$F191,'Emission factors'!$J$3:$J$201&amp;'Emission factors'!$K$3:$K$201,0),MATCH('Buildings - Heat &amp; Fuels'!T$6,'Emission factors'!$K$2:$V$2,0)))*$K191)</f>
        <v/>
      </c>
      <c r="U191" s="157" t="str" cm="1">
        <f t="array" ref="U191">IF(OR($E191="",$I191=""),"",(INDEX('Emission factors'!$K$3:$V$201,MATCH('Buildings - Heat &amp; Fuels'!$E191&amp;$F191,'Emission factors'!$J$3:$J$201&amp;'Emission factors'!$K$3:$K$201,0),MATCH('Buildings - Heat &amp; Fuels'!U$6,'Emission factors'!$K$2:$V$2,0)))*$K191)</f>
        <v/>
      </c>
      <c r="V191" s="158" t="str">
        <f>IF(OR($N191="",BuildingsHeatFuelsTable[[#This Row],[RSD]]=""),"",BuildingsHeatFuelsTable[[#This Row],[Total emissions (kgCO2e)]]*(1+BuildingsHeatFuelsTable[[#This Row],[RSD]]))</f>
        <v/>
      </c>
      <c r="W191" s="159" t="str">
        <f>IF(OR($N191="",BuildingsHeatFuelsTable[[#This Row],[RSD]]=""),"",BuildingsHeatFuelsTable[[#This Row],[Total emissions (kgCO2e)]]*(1-BuildingsHeatFuelsTable[[#This Row],[RSD]]))</f>
        <v/>
      </c>
      <c r="X191" s="169" t="str" cm="1">
        <f t="array" ref="X191">IF(OR($E191="",$I191=""),"",(INDEX('Emission factors'!$K$3:$V$201,MATCH('Buildings - Heat &amp; Fuels'!$E191&amp;$F191,'Emission factors'!$J$3:$J$201&amp;'Emission factors'!$K$3:$K$201,0),MATCH('Buildings - Heat &amp; Fuels'!X$6,'Emission factors'!$K$2:$V$2,0)))*$K191)</f>
        <v/>
      </c>
      <c r="Y191" s="30"/>
      <c r="Z191" s="1" cm="1">
        <f t="array" ref="Z191">IF(OR(ISERROR(B191:X191)),1,0)</f>
        <v>0</v>
      </c>
      <c r="AA191" s="1">
        <f t="shared" si="0"/>
        <v>0</v>
      </c>
    </row>
    <row r="192" spans="1:27" ht="15" outlineLevel="1" thickBot="1" x14ac:dyDescent="0.4">
      <c r="A192" s="319"/>
      <c r="B192" s="216"/>
      <c r="C192" s="215"/>
      <c r="D192" s="233" t="str">
        <f>IFERROR(INDEX(BuildingInformationTable[Site type],MATCH(BuildingsHeatFuelsTable[[#This Row],[Site name]],BuildingInformationTable[Site name],0)),"")</f>
        <v/>
      </c>
      <c r="E192" s="72"/>
      <c r="F192" s="72"/>
      <c r="G192" s="72"/>
      <c r="H192" s="98" t="str">
        <f>IF(G192="","",INDEX(Lists!$BA$4:$BC$31,MATCH(E192,Lists!$AZ$4:$AZ$31,0),MATCH(G192,Lists!$BA$3:$BC$3,0)))</f>
        <v/>
      </c>
      <c r="I192" s="70"/>
      <c r="J192" s="72"/>
      <c r="K192" s="75" t="str" cm="1">
        <f t="array" ref="K192">IF(OR($E192="",$D192="",$I192="",$J192=""),"",IF(J192=L192,I192,(INDEX('Emission factors'!$K$3:$V$201,MATCH(E192&amp;F192,'Emission factors'!$J$3:$J$201&amp;'Emission factors'!$K$3:$K$201,0),MATCH(K$6,'Emission factors'!$K$2:$V$2,0)))*I192))</f>
        <v/>
      </c>
      <c r="L192" s="312" t="str">
        <f>IF(OR($E192="",$D192="",$I192="",$J192=""),"",INDEX('Emission factors'!$K$3:$V$201,MATCH('Buildings - Heat &amp; Fuels'!$E192,'Emission factors'!$J$3:$J$201,0),MATCH($L$6,'Emission factors'!$K$2:$V$2,0)))</f>
        <v/>
      </c>
      <c r="M192" s="313" t="str" cm="1">
        <f t="array" ref="M192">IF(OR(E192="",I192="",BuildingsHeatFuelsTable[[#This Row],[Units]]=""),"",INDEX('Emission factors'!$K$3:$V$201,MATCH('Buildings - Heat &amp; Fuels'!$E192&amp;F192,'Emission factors'!$J$3:$J$201&amp;'Emission factors'!$K$3:$K$201,0),MATCH('Buildings - Heat &amp; Fuels'!$M$6,'Emission factors'!$K$2:$V$2,0)))</f>
        <v/>
      </c>
      <c r="N192" s="156" t="str">
        <f>IF(OR(K192="",M192=""),"",SUM(BuildingsHeatFuelsTable[[#This Row],[Direct]:[Indirect WTT]]))</f>
        <v/>
      </c>
      <c r="O192" s="71"/>
      <c r="P192" s="72"/>
      <c r="Q192" s="157" t="str" cm="1">
        <f t="array" ref="Q192">IF(OR($E192="",$I192=""),"",(INDEX('Emission factors'!$K$3:$V$201,MATCH('Buildings - Heat &amp; Fuels'!$E192&amp;$F192,'Emission factors'!$J$3:$J$201&amp;'Emission factors'!$K$3:$K$201,0),MATCH('Buildings - Heat &amp; Fuels'!Q$6,'Emission factors'!$K$2:$V$2,0)))*$K192)</f>
        <v/>
      </c>
      <c r="R192" s="157" t="str" cm="1">
        <f t="array" ref="R192">IF(OR($E192="",$I192=""),"",(INDEX('Emission factors'!$K$3:$V$201,MATCH('Buildings - Heat &amp; Fuels'!$E192&amp;$F192,'Emission factors'!$J$3:$J$201&amp;'Emission factors'!$K$3:$K$201,0),MATCH('Buildings - Heat &amp; Fuels'!R$6,'Emission factors'!$K$2:$V$2,0)))*$K192)</f>
        <v/>
      </c>
      <c r="S192" s="157" t="str" cm="1">
        <f t="array" ref="S192">IF(OR($E192="",$I192=""),"",(INDEX('Emission factors'!$K$3:$V$201,MATCH('Buildings - Heat &amp; Fuels'!$E192&amp;$F192,'Emission factors'!$J$3:$J$201&amp;'Emission factors'!$K$3:$K$201,0),MATCH('Buildings - Heat &amp; Fuels'!S$6,'Emission factors'!$K$2:$V$2,0)))*$K192)</f>
        <v/>
      </c>
      <c r="T192" s="157" t="str" cm="1">
        <f t="array" ref="T192">IF(OR($E192="",$I192=""),"",(INDEX('Emission factors'!$K$3:$V$201,MATCH('Buildings - Heat &amp; Fuels'!$E192&amp;$F192,'Emission factors'!$J$3:$J$201&amp;'Emission factors'!$K$3:$K$201,0),MATCH('Buildings - Heat &amp; Fuels'!T$6,'Emission factors'!$K$2:$V$2,0)))*$K192)</f>
        <v/>
      </c>
      <c r="U192" s="157" t="str" cm="1">
        <f t="array" ref="U192">IF(OR($E192="",$I192=""),"",(INDEX('Emission factors'!$K$3:$V$201,MATCH('Buildings - Heat &amp; Fuels'!$E192&amp;$F192,'Emission factors'!$J$3:$J$201&amp;'Emission factors'!$K$3:$K$201,0),MATCH('Buildings - Heat &amp; Fuels'!U$6,'Emission factors'!$K$2:$V$2,0)))*$K192)</f>
        <v/>
      </c>
      <c r="V192" s="158" t="str">
        <f>IF(OR($N192="",BuildingsHeatFuelsTable[[#This Row],[RSD]]=""),"",BuildingsHeatFuelsTable[[#This Row],[Total emissions (kgCO2e)]]*(1+BuildingsHeatFuelsTable[[#This Row],[RSD]]))</f>
        <v/>
      </c>
      <c r="W192" s="159" t="str">
        <f>IF(OR($N192="",BuildingsHeatFuelsTable[[#This Row],[RSD]]=""),"",BuildingsHeatFuelsTable[[#This Row],[Total emissions (kgCO2e)]]*(1-BuildingsHeatFuelsTable[[#This Row],[RSD]]))</f>
        <v/>
      </c>
      <c r="X192" s="169" t="str" cm="1">
        <f t="array" ref="X192">IF(OR($E192="",$I192=""),"",(INDEX('Emission factors'!$K$3:$V$201,MATCH('Buildings - Heat &amp; Fuels'!$E192&amp;$F192,'Emission factors'!$J$3:$J$201&amp;'Emission factors'!$K$3:$K$201,0),MATCH('Buildings - Heat &amp; Fuels'!X$6,'Emission factors'!$K$2:$V$2,0)))*$K192)</f>
        <v/>
      </c>
      <c r="Y192" s="30"/>
      <c r="Z192" s="1" cm="1">
        <f t="array" ref="Z192">IF(OR(ISERROR(B192:X192)),1,0)</f>
        <v>0</v>
      </c>
      <c r="AA192" s="1">
        <f t="shared" si="0"/>
        <v>0</v>
      </c>
    </row>
    <row r="193" spans="1:27" ht="15" outlineLevel="1" thickBot="1" x14ac:dyDescent="0.4">
      <c r="A193" s="319"/>
      <c r="B193" s="216"/>
      <c r="C193" s="215"/>
      <c r="D193" s="233" t="str">
        <f>IFERROR(INDEX(BuildingInformationTable[Site type],MATCH(BuildingsHeatFuelsTable[[#This Row],[Site name]],BuildingInformationTable[Site name],0)),"")</f>
        <v/>
      </c>
      <c r="E193" s="72"/>
      <c r="F193" s="72"/>
      <c r="G193" s="72"/>
      <c r="H193" s="98" t="str">
        <f>IF(G193="","",INDEX(Lists!$BA$4:$BC$31,MATCH(E193,Lists!$AZ$4:$AZ$31,0),MATCH(G193,Lists!$BA$3:$BC$3,0)))</f>
        <v/>
      </c>
      <c r="I193" s="70"/>
      <c r="J193" s="72"/>
      <c r="K193" s="75" t="str" cm="1">
        <f t="array" ref="K193">IF(OR($E193="",$D193="",$I193="",$J193=""),"",IF(J193=L193,I193,(INDEX('Emission factors'!$K$3:$V$201,MATCH(E193&amp;F193,'Emission factors'!$J$3:$J$201&amp;'Emission factors'!$K$3:$K$201,0),MATCH(K$6,'Emission factors'!$K$2:$V$2,0)))*I193))</f>
        <v/>
      </c>
      <c r="L193" s="312" t="str">
        <f>IF(OR($E193="",$D193="",$I193="",$J193=""),"",INDEX('Emission factors'!$K$3:$V$201,MATCH('Buildings - Heat &amp; Fuels'!$E193,'Emission factors'!$J$3:$J$201,0),MATCH($L$6,'Emission factors'!$K$2:$V$2,0)))</f>
        <v/>
      </c>
      <c r="M193" s="313" t="str" cm="1">
        <f t="array" ref="M193">IF(OR(E193="",I193="",BuildingsHeatFuelsTable[[#This Row],[Units]]=""),"",INDEX('Emission factors'!$K$3:$V$201,MATCH('Buildings - Heat &amp; Fuels'!$E193&amp;F193,'Emission factors'!$J$3:$J$201&amp;'Emission factors'!$K$3:$K$201,0),MATCH('Buildings - Heat &amp; Fuels'!$M$6,'Emission factors'!$K$2:$V$2,0)))</f>
        <v/>
      </c>
      <c r="N193" s="156" t="str">
        <f>IF(OR(K193="",M193=""),"",SUM(BuildingsHeatFuelsTable[[#This Row],[Direct]:[Indirect WTT]]))</f>
        <v/>
      </c>
      <c r="O193" s="71"/>
      <c r="P193" s="72"/>
      <c r="Q193" s="157" t="str" cm="1">
        <f t="array" ref="Q193">IF(OR($E193="",$I193=""),"",(INDEX('Emission factors'!$K$3:$V$201,MATCH('Buildings - Heat &amp; Fuels'!$E193&amp;$F193,'Emission factors'!$J$3:$J$201&amp;'Emission factors'!$K$3:$K$201,0),MATCH('Buildings - Heat &amp; Fuels'!Q$6,'Emission factors'!$K$2:$V$2,0)))*$K193)</f>
        <v/>
      </c>
      <c r="R193" s="157" t="str" cm="1">
        <f t="array" ref="R193">IF(OR($E193="",$I193=""),"",(INDEX('Emission factors'!$K$3:$V$201,MATCH('Buildings - Heat &amp; Fuels'!$E193&amp;$F193,'Emission factors'!$J$3:$J$201&amp;'Emission factors'!$K$3:$K$201,0),MATCH('Buildings - Heat &amp; Fuels'!R$6,'Emission factors'!$K$2:$V$2,0)))*$K193)</f>
        <v/>
      </c>
      <c r="S193" s="157" t="str" cm="1">
        <f t="array" ref="S193">IF(OR($E193="",$I193=""),"",(INDEX('Emission factors'!$K$3:$V$201,MATCH('Buildings - Heat &amp; Fuels'!$E193&amp;$F193,'Emission factors'!$J$3:$J$201&amp;'Emission factors'!$K$3:$K$201,0),MATCH('Buildings - Heat &amp; Fuels'!S$6,'Emission factors'!$K$2:$V$2,0)))*$K193)</f>
        <v/>
      </c>
      <c r="T193" s="157" t="str" cm="1">
        <f t="array" ref="T193">IF(OR($E193="",$I193=""),"",(INDEX('Emission factors'!$K$3:$V$201,MATCH('Buildings - Heat &amp; Fuels'!$E193&amp;$F193,'Emission factors'!$J$3:$J$201&amp;'Emission factors'!$K$3:$K$201,0),MATCH('Buildings - Heat &amp; Fuels'!T$6,'Emission factors'!$K$2:$V$2,0)))*$K193)</f>
        <v/>
      </c>
      <c r="U193" s="157" t="str" cm="1">
        <f t="array" ref="U193">IF(OR($E193="",$I193=""),"",(INDEX('Emission factors'!$K$3:$V$201,MATCH('Buildings - Heat &amp; Fuels'!$E193&amp;$F193,'Emission factors'!$J$3:$J$201&amp;'Emission factors'!$K$3:$K$201,0),MATCH('Buildings - Heat &amp; Fuels'!U$6,'Emission factors'!$K$2:$V$2,0)))*$K193)</f>
        <v/>
      </c>
      <c r="V193" s="158" t="str">
        <f>IF(OR($N193="",BuildingsHeatFuelsTable[[#This Row],[RSD]]=""),"",BuildingsHeatFuelsTable[[#This Row],[Total emissions (kgCO2e)]]*(1+BuildingsHeatFuelsTable[[#This Row],[RSD]]))</f>
        <v/>
      </c>
      <c r="W193" s="159" t="str">
        <f>IF(OR($N193="",BuildingsHeatFuelsTable[[#This Row],[RSD]]=""),"",BuildingsHeatFuelsTable[[#This Row],[Total emissions (kgCO2e)]]*(1-BuildingsHeatFuelsTable[[#This Row],[RSD]]))</f>
        <v/>
      </c>
      <c r="X193" s="169" t="str" cm="1">
        <f t="array" ref="X193">IF(OR($E193="",$I193=""),"",(INDEX('Emission factors'!$K$3:$V$201,MATCH('Buildings - Heat &amp; Fuels'!$E193&amp;$F193,'Emission factors'!$J$3:$J$201&amp;'Emission factors'!$K$3:$K$201,0),MATCH('Buildings - Heat &amp; Fuels'!X$6,'Emission factors'!$K$2:$V$2,0)))*$K193)</f>
        <v/>
      </c>
      <c r="Y193" s="30"/>
      <c r="Z193" s="1" cm="1">
        <f t="array" ref="Z193">IF(OR(ISERROR(B193:X193)),1,0)</f>
        <v>0</v>
      </c>
      <c r="AA193" s="1">
        <f t="shared" si="0"/>
        <v>0</v>
      </c>
    </row>
    <row r="194" spans="1:27" ht="15" outlineLevel="1" thickBot="1" x14ac:dyDescent="0.4">
      <c r="A194" s="319"/>
      <c r="B194" s="216"/>
      <c r="C194" s="215"/>
      <c r="D194" s="233" t="str">
        <f>IFERROR(INDEX(BuildingInformationTable[Site type],MATCH(BuildingsHeatFuelsTable[[#This Row],[Site name]],BuildingInformationTable[Site name],0)),"")</f>
        <v/>
      </c>
      <c r="E194" s="72"/>
      <c r="F194" s="72"/>
      <c r="G194" s="72"/>
      <c r="H194" s="98" t="str">
        <f>IF(G194="","",INDEX(Lists!$BA$4:$BC$31,MATCH(E194,Lists!$AZ$4:$AZ$31,0),MATCH(G194,Lists!$BA$3:$BC$3,0)))</f>
        <v/>
      </c>
      <c r="I194" s="70"/>
      <c r="J194" s="72"/>
      <c r="K194" s="75" t="str" cm="1">
        <f t="array" ref="K194">IF(OR($E194="",$D194="",$I194="",$J194=""),"",IF(J194=L194,I194,(INDEX('Emission factors'!$K$3:$V$201,MATCH(E194&amp;F194,'Emission factors'!$J$3:$J$201&amp;'Emission factors'!$K$3:$K$201,0),MATCH(K$6,'Emission factors'!$K$2:$V$2,0)))*I194))</f>
        <v/>
      </c>
      <c r="L194" s="312" t="str">
        <f>IF(OR($E194="",$D194="",$I194="",$J194=""),"",INDEX('Emission factors'!$K$3:$V$201,MATCH('Buildings - Heat &amp; Fuels'!$E194,'Emission factors'!$J$3:$J$201,0),MATCH($L$6,'Emission factors'!$K$2:$V$2,0)))</f>
        <v/>
      </c>
      <c r="M194" s="313" t="str" cm="1">
        <f t="array" ref="M194">IF(OR(E194="",I194="",BuildingsHeatFuelsTable[[#This Row],[Units]]=""),"",INDEX('Emission factors'!$K$3:$V$201,MATCH('Buildings - Heat &amp; Fuels'!$E194&amp;F194,'Emission factors'!$J$3:$J$201&amp;'Emission factors'!$K$3:$K$201,0),MATCH('Buildings - Heat &amp; Fuels'!$M$6,'Emission factors'!$K$2:$V$2,0)))</f>
        <v/>
      </c>
      <c r="N194" s="156" t="str">
        <f>IF(OR(K194="",M194=""),"",SUM(BuildingsHeatFuelsTable[[#This Row],[Direct]:[Indirect WTT]]))</f>
        <v/>
      </c>
      <c r="O194" s="71"/>
      <c r="P194" s="72"/>
      <c r="Q194" s="157" t="str" cm="1">
        <f t="array" ref="Q194">IF(OR($E194="",$I194=""),"",(INDEX('Emission factors'!$K$3:$V$201,MATCH('Buildings - Heat &amp; Fuels'!$E194&amp;$F194,'Emission factors'!$J$3:$J$201&amp;'Emission factors'!$K$3:$K$201,0),MATCH('Buildings - Heat &amp; Fuels'!Q$6,'Emission factors'!$K$2:$V$2,0)))*$K194)</f>
        <v/>
      </c>
      <c r="R194" s="157" t="str" cm="1">
        <f t="array" ref="R194">IF(OR($E194="",$I194=""),"",(INDEX('Emission factors'!$K$3:$V$201,MATCH('Buildings - Heat &amp; Fuels'!$E194&amp;$F194,'Emission factors'!$J$3:$J$201&amp;'Emission factors'!$K$3:$K$201,0),MATCH('Buildings - Heat &amp; Fuels'!R$6,'Emission factors'!$K$2:$V$2,0)))*$K194)</f>
        <v/>
      </c>
      <c r="S194" s="157" t="str" cm="1">
        <f t="array" ref="S194">IF(OR($E194="",$I194=""),"",(INDEX('Emission factors'!$K$3:$V$201,MATCH('Buildings - Heat &amp; Fuels'!$E194&amp;$F194,'Emission factors'!$J$3:$J$201&amp;'Emission factors'!$K$3:$K$201,0),MATCH('Buildings - Heat &amp; Fuels'!S$6,'Emission factors'!$K$2:$V$2,0)))*$K194)</f>
        <v/>
      </c>
      <c r="T194" s="157" t="str" cm="1">
        <f t="array" ref="T194">IF(OR($E194="",$I194=""),"",(INDEX('Emission factors'!$K$3:$V$201,MATCH('Buildings - Heat &amp; Fuels'!$E194&amp;$F194,'Emission factors'!$J$3:$J$201&amp;'Emission factors'!$K$3:$K$201,0),MATCH('Buildings - Heat &amp; Fuels'!T$6,'Emission factors'!$K$2:$V$2,0)))*$K194)</f>
        <v/>
      </c>
      <c r="U194" s="157" t="str" cm="1">
        <f t="array" ref="U194">IF(OR($E194="",$I194=""),"",(INDEX('Emission factors'!$K$3:$V$201,MATCH('Buildings - Heat &amp; Fuels'!$E194&amp;$F194,'Emission factors'!$J$3:$J$201&amp;'Emission factors'!$K$3:$K$201,0),MATCH('Buildings - Heat &amp; Fuels'!U$6,'Emission factors'!$K$2:$V$2,0)))*$K194)</f>
        <v/>
      </c>
      <c r="V194" s="158" t="str">
        <f>IF(OR($N194="",BuildingsHeatFuelsTable[[#This Row],[RSD]]=""),"",BuildingsHeatFuelsTable[[#This Row],[Total emissions (kgCO2e)]]*(1+BuildingsHeatFuelsTable[[#This Row],[RSD]]))</f>
        <v/>
      </c>
      <c r="W194" s="159" t="str">
        <f>IF(OR($N194="",BuildingsHeatFuelsTable[[#This Row],[RSD]]=""),"",BuildingsHeatFuelsTable[[#This Row],[Total emissions (kgCO2e)]]*(1-BuildingsHeatFuelsTable[[#This Row],[RSD]]))</f>
        <v/>
      </c>
      <c r="X194" s="169" t="str" cm="1">
        <f t="array" ref="X194">IF(OR($E194="",$I194=""),"",(INDEX('Emission factors'!$K$3:$V$201,MATCH('Buildings - Heat &amp; Fuels'!$E194&amp;$F194,'Emission factors'!$J$3:$J$201&amp;'Emission factors'!$K$3:$K$201,0),MATCH('Buildings - Heat &amp; Fuels'!X$6,'Emission factors'!$K$2:$V$2,0)))*$K194)</f>
        <v/>
      </c>
      <c r="Y194" s="30"/>
      <c r="Z194" s="1" cm="1">
        <f t="array" ref="Z194">IF(OR(ISERROR(B194:X194)),1,0)</f>
        <v>0</v>
      </c>
      <c r="AA194" s="1">
        <f t="shared" si="0"/>
        <v>0</v>
      </c>
    </row>
    <row r="195" spans="1:27" ht="15" outlineLevel="1" thickBot="1" x14ac:dyDescent="0.4">
      <c r="A195" s="319"/>
      <c r="B195" s="216"/>
      <c r="C195" s="215"/>
      <c r="D195" s="233" t="str">
        <f>IFERROR(INDEX(BuildingInformationTable[Site type],MATCH(BuildingsHeatFuelsTable[[#This Row],[Site name]],BuildingInformationTable[Site name],0)),"")</f>
        <v/>
      </c>
      <c r="E195" s="72"/>
      <c r="F195" s="72"/>
      <c r="G195" s="72"/>
      <c r="H195" s="98" t="str">
        <f>IF(G195="","",INDEX(Lists!$BA$4:$BC$31,MATCH(E195,Lists!$AZ$4:$AZ$31,0),MATCH(G195,Lists!$BA$3:$BC$3,0)))</f>
        <v/>
      </c>
      <c r="I195" s="70"/>
      <c r="J195" s="72"/>
      <c r="K195" s="75" t="str" cm="1">
        <f t="array" ref="K195">IF(OR($E195="",$D195="",$I195="",$J195=""),"",IF(J195=L195,I195,(INDEX('Emission factors'!$K$3:$V$201,MATCH(E195&amp;F195,'Emission factors'!$J$3:$J$201&amp;'Emission factors'!$K$3:$K$201,0),MATCH(K$6,'Emission factors'!$K$2:$V$2,0)))*I195))</f>
        <v/>
      </c>
      <c r="L195" s="312" t="str">
        <f>IF(OR($E195="",$D195="",$I195="",$J195=""),"",INDEX('Emission factors'!$K$3:$V$201,MATCH('Buildings - Heat &amp; Fuels'!$E195,'Emission factors'!$J$3:$J$201,0),MATCH($L$6,'Emission factors'!$K$2:$V$2,0)))</f>
        <v/>
      </c>
      <c r="M195" s="313" t="str" cm="1">
        <f t="array" ref="M195">IF(OR(E195="",I195="",BuildingsHeatFuelsTable[[#This Row],[Units]]=""),"",INDEX('Emission factors'!$K$3:$V$201,MATCH('Buildings - Heat &amp; Fuels'!$E195&amp;F195,'Emission factors'!$J$3:$J$201&amp;'Emission factors'!$K$3:$K$201,0),MATCH('Buildings - Heat &amp; Fuels'!$M$6,'Emission factors'!$K$2:$V$2,0)))</f>
        <v/>
      </c>
      <c r="N195" s="156" t="str">
        <f>IF(OR(K195="",M195=""),"",SUM(BuildingsHeatFuelsTable[[#This Row],[Direct]:[Indirect WTT]]))</f>
        <v/>
      </c>
      <c r="O195" s="71"/>
      <c r="P195" s="72"/>
      <c r="Q195" s="157" t="str" cm="1">
        <f t="array" ref="Q195">IF(OR($E195="",$I195=""),"",(INDEX('Emission factors'!$K$3:$V$201,MATCH('Buildings - Heat &amp; Fuels'!$E195&amp;$F195,'Emission factors'!$J$3:$J$201&amp;'Emission factors'!$K$3:$K$201,0),MATCH('Buildings - Heat &amp; Fuels'!Q$6,'Emission factors'!$K$2:$V$2,0)))*$K195)</f>
        <v/>
      </c>
      <c r="R195" s="157" t="str" cm="1">
        <f t="array" ref="R195">IF(OR($E195="",$I195=""),"",(INDEX('Emission factors'!$K$3:$V$201,MATCH('Buildings - Heat &amp; Fuels'!$E195&amp;$F195,'Emission factors'!$J$3:$J$201&amp;'Emission factors'!$K$3:$K$201,0),MATCH('Buildings - Heat &amp; Fuels'!R$6,'Emission factors'!$K$2:$V$2,0)))*$K195)</f>
        <v/>
      </c>
      <c r="S195" s="157" t="str" cm="1">
        <f t="array" ref="S195">IF(OR($E195="",$I195=""),"",(INDEX('Emission factors'!$K$3:$V$201,MATCH('Buildings - Heat &amp; Fuels'!$E195&amp;$F195,'Emission factors'!$J$3:$J$201&amp;'Emission factors'!$K$3:$K$201,0),MATCH('Buildings - Heat &amp; Fuels'!S$6,'Emission factors'!$K$2:$V$2,0)))*$K195)</f>
        <v/>
      </c>
      <c r="T195" s="157" t="str" cm="1">
        <f t="array" ref="T195">IF(OR($E195="",$I195=""),"",(INDEX('Emission factors'!$K$3:$V$201,MATCH('Buildings - Heat &amp; Fuels'!$E195&amp;$F195,'Emission factors'!$J$3:$J$201&amp;'Emission factors'!$K$3:$K$201,0),MATCH('Buildings - Heat &amp; Fuels'!T$6,'Emission factors'!$K$2:$V$2,0)))*$K195)</f>
        <v/>
      </c>
      <c r="U195" s="157" t="str" cm="1">
        <f t="array" ref="U195">IF(OR($E195="",$I195=""),"",(INDEX('Emission factors'!$K$3:$V$201,MATCH('Buildings - Heat &amp; Fuels'!$E195&amp;$F195,'Emission factors'!$J$3:$J$201&amp;'Emission factors'!$K$3:$K$201,0),MATCH('Buildings - Heat &amp; Fuels'!U$6,'Emission factors'!$K$2:$V$2,0)))*$K195)</f>
        <v/>
      </c>
      <c r="V195" s="158" t="str">
        <f>IF(OR($N195="",BuildingsHeatFuelsTable[[#This Row],[RSD]]=""),"",BuildingsHeatFuelsTable[[#This Row],[Total emissions (kgCO2e)]]*(1+BuildingsHeatFuelsTable[[#This Row],[RSD]]))</f>
        <v/>
      </c>
      <c r="W195" s="159" t="str">
        <f>IF(OR($N195="",BuildingsHeatFuelsTable[[#This Row],[RSD]]=""),"",BuildingsHeatFuelsTable[[#This Row],[Total emissions (kgCO2e)]]*(1-BuildingsHeatFuelsTable[[#This Row],[RSD]]))</f>
        <v/>
      </c>
      <c r="X195" s="169" t="str" cm="1">
        <f t="array" ref="X195">IF(OR($E195="",$I195=""),"",(INDEX('Emission factors'!$K$3:$V$201,MATCH('Buildings - Heat &amp; Fuels'!$E195&amp;$F195,'Emission factors'!$J$3:$J$201&amp;'Emission factors'!$K$3:$K$201,0),MATCH('Buildings - Heat &amp; Fuels'!X$6,'Emission factors'!$K$2:$V$2,0)))*$K195)</f>
        <v/>
      </c>
      <c r="Y195" s="30"/>
      <c r="Z195" s="1" cm="1">
        <f t="array" ref="Z195">IF(OR(ISERROR(B195:X195)),1,0)</f>
        <v>0</v>
      </c>
      <c r="AA195" s="1">
        <f t="shared" si="0"/>
        <v>0</v>
      </c>
    </row>
    <row r="196" spans="1:27" ht="15" outlineLevel="1" thickBot="1" x14ac:dyDescent="0.4">
      <c r="A196" s="319"/>
      <c r="B196" s="216"/>
      <c r="C196" s="215"/>
      <c r="D196" s="233" t="str">
        <f>IFERROR(INDEX(BuildingInformationTable[Site type],MATCH(BuildingsHeatFuelsTable[[#This Row],[Site name]],BuildingInformationTable[Site name],0)),"")</f>
        <v/>
      </c>
      <c r="E196" s="72"/>
      <c r="F196" s="72"/>
      <c r="G196" s="72"/>
      <c r="H196" s="98" t="str">
        <f>IF(G196="","",INDEX(Lists!$BA$4:$BC$31,MATCH(E196,Lists!$AZ$4:$AZ$31,0),MATCH(G196,Lists!$BA$3:$BC$3,0)))</f>
        <v/>
      </c>
      <c r="I196" s="70"/>
      <c r="J196" s="72"/>
      <c r="K196" s="75" t="str" cm="1">
        <f t="array" ref="K196">IF(OR($E196="",$D196="",$I196="",$J196=""),"",IF(J196=L196,I196,(INDEX('Emission factors'!$K$3:$V$201,MATCH(E196&amp;F196,'Emission factors'!$J$3:$J$201&amp;'Emission factors'!$K$3:$K$201,0),MATCH(K$6,'Emission factors'!$K$2:$V$2,0)))*I196))</f>
        <v/>
      </c>
      <c r="L196" s="312" t="str">
        <f>IF(OR($E196="",$D196="",$I196="",$J196=""),"",INDEX('Emission factors'!$K$3:$V$201,MATCH('Buildings - Heat &amp; Fuels'!$E196,'Emission factors'!$J$3:$J$201,0),MATCH($L$6,'Emission factors'!$K$2:$V$2,0)))</f>
        <v/>
      </c>
      <c r="M196" s="313" t="str" cm="1">
        <f t="array" ref="M196">IF(OR(E196="",I196="",BuildingsHeatFuelsTable[[#This Row],[Units]]=""),"",INDEX('Emission factors'!$K$3:$V$201,MATCH('Buildings - Heat &amp; Fuels'!$E196&amp;F196,'Emission factors'!$J$3:$J$201&amp;'Emission factors'!$K$3:$K$201,0),MATCH('Buildings - Heat &amp; Fuels'!$M$6,'Emission factors'!$K$2:$V$2,0)))</f>
        <v/>
      </c>
      <c r="N196" s="156" t="str">
        <f>IF(OR(K196="",M196=""),"",SUM(BuildingsHeatFuelsTable[[#This Row],[Direct]:[Indirect WTT]]))</f>
        <v/>
      </c>
      <c r="O196" s="71"/>
      <c r="P196" s="72"/>
      <c r="Q196" s="157" t="str" cm="1">
        <f t="array" ref="Q196">IF(OR($E196="",$I196=""),"",(INDEX('Emission factors'!$K$3:$V$201,MATCH('Buildings - Heat &amp; Fuels'!$E196&amp;$F196,'Emission factors'!$J$3:$J$201&amp;'Emission factors'!$K$3:$K$201,0),MATCH('Buildings - Heat &amp; Fuels'!Q$6,'Emission factors'!$K$2:$V$2,0)))*$K196)</f>
        <v/>
      </c>
      <c r="R196" s="157" t="str" cm="1">
        <f t="array" ref="R196">IF(OR($E196="",$I196=""),"",(INDEX('Emission factors'!$K$3:$V$201,MATCH('Buildings - Heat &amp; Fuels'!$E196&amp;$F196,'Emission factors'!$J$3:$J$201&amp;'Emission factors'!$K$3:$K$201,0),MATCH('Buildings - Heat &amp; Fuels'!R$6,'Emission factors'!$K$2:$V$2,0)))*$K196)</f>
        <v/>
      </c>
      <c r="S196" s="157" t="str" cm="1">
        <f t="array" ref="S196">IF(OR($E196="",$I196=""),"",(INDEX('Emission factors'!$K$3:$V$201,MATCH('Buildings - Heat &amp; Fuels'!$E196&amp;$F196,'Emission factors'!$J$3:$J$201&amp;'Emission factors'!$K$3:$K$201,0),MATCH('Buildings - Heat &amp; Fuels'!S$6,'Emission factors'!$K$2:$V$2,0)))*$K196)</f>
        <v/>
      </c>
      <c r="T196" s="157" t="str" cm="1">
        <f t="array" ref="T196">IF(OR($E196="",$I196=""),"",(INDEX('Emission factors'!$K$3:$V$201,MATCH('Buildings - Heat &amp; Fuels'!$E196&amp;$F196,'Emission factors'!$J$3:$J$201&amp;'Emission factors'!$K$3:$K$201,0),MATCH('Buildings - Heat &amp; Fuels'!T$6,'Emission factors'!$K$2:$V$2,0)))*$K196)</f>
        <v/>
      </c>
      <c r="U196" s="157" t="str" cm="1">
        <f t="array" ref="U196">IF(OR($E196="",$I196=""),"",(INDEX('Emission factors'!$K$3:$V$201,MATCH('Buildings - Heat &amp; Fuels'!$E196&amp;$F196,'Emission factors'!$J$3:$J$201&amp;'Emission factors'!$K$3:$K$201,0),MATCH('Buildings - Heat &amp; Fuels'!U$6,'Emission factors'!$K$2:$V$2,0)))*$K196)</f>
        <v/>
      </c>
      <c r="V196" s="158" t="str">
        <f>IF(OR($N196="",BuildingsHeatFuelsTable[[#This Row],[RSD]]=""),"",BuildingsHeatFuelsTable[[#This Row],[Total emissions (kgCO2e)]]*(1+BuildingsHeatFuelsTable[[#This Row],[RSD]]))</f>
        <v/>
      </c>
      <c r="W196" s="159" t="str">
        <f>IF(OR($N196="",BuildingsHeatFuelsTable[[#This Row],[RSD]]=""),"",BuildingsHeatFuelsTable[[#This Row],[Total emissions (kgCO2e)]]*(1-BuildingsHeatFuelsTable[[#This Row],[RSD]]))</f>
        <v/>
      </c>
      <c r="X196" s="169" t="str" cm="1">
        <f t="array" ref="X196">IF(OR($E196="",$I196=""),"",(INDEX('Emission factors'!$K$3:$V$201,MATCH('Buildings - Heat &amp; Fuels'!$E196&amp;$F196,'Emission factors'!$J$3:$J$201&amp;'Emission factors'!$K$3:$K$201,0),MATCH('Buildings - Heat &amp; Fuels'!X$6,'Emission factors'!$K$2:$V$2,0)))*$K196)</f>
        <v/>
      </c>
      <c r="Y196" s="30"/>
      <c r="Z196" s="1" cm="1">
        <f t="array" ref="Z196">IF(OR(ISERROR(B196:X196)),1,0)</f>
        <v>0</v>
      </c>
      <c r="AA196" s="1">
        <f t="shared" si="0"/>
        <v>0</v>
      </c>
    </row>
    <row r="197" spans="1:27" ht="15" outlineLevel="1" thickBot="1" x14ac:dyDescent="0.4">
      <c r="A197" s="319"/>
      <c r="B197" s="216"/>
      <c r="C197" s="215"/>
      <c r="D197" s="233" t="str">
        <f>IFERROR(INDEX(BuildingInformationTable[Site type],MATCH(BuildingsHeatFuelsTable[[#This Row],[Site name]],BuildingInformationTable[Site name],0)),"")</f>
        <v/>
      </c>
      <c r="E197" s="72"/>
      <c r="F197" s="72"/>
      <c r="G197" s="72"/>
      <c r="H197" s="98" t="str">
        <f>IF(G197="","",INDEX(Lists!$BA$4:$BC$31,MATCH(E197,Lists!$AZ$4:$AZ$31,0),MATCH(G197,Lists!$BA$3:$BC$3,0)))</f>
        <v/>
      </c>
      <c r="I197" s="70"/>
      <c r="J197" s="72"/>
      <c r="K197" s="75" t="str" cm="1">
        <f t="array" ref="K197">IF(OR($E197="",$D197="",$I197="",$J197=""),"",IF(J197=L197,I197,(INDEX('Emission factors'!$K$3:$V$201,MATCH(E197&amp;F197,'Emission factors'!$J$3:$J$201&amp;'Emission factors'!$K$3:$K$201,0),MATCH(K$6,'Emission factors'!$K$2:$V$2,0)))*I197))</f>
        <v/>
      </c>
      <c r="L197" s="312" t="str">
        <f>IF(OR($E197="",$D197="",$I197="",$J197=""),"",INDEX('Emission factors'!$K$3:$V$201,MATCH('Buildings - Heat &amp; Fuels'!$E197,'Emission factors'!$J$3:$J$201,0),MATCH($L$6,'Emission factors'!$K$2:$V$2,0)))</f>
        <v/>
      </c>
      <c r="M197" s="313" t="str" cm="1">
        <f t="array" ref="M197">IF(OR(E197="",I197="",BuildingsHeatFuelsTable[[#This Row],[Units]]=""),"",INDEX('Emission factors'!$K$3:$V$201,MATCH('Buildings - Heat &amp; Fuels'!$E197&amp;F197,'Emission factors'!$J$3:$J$201&amp;'Emission factors'!$K$3:$K$201,0),MATCH('Buildings - Heat &amp; Fuels'!$M$6,'Emission factors'!$K$2:$V$2,0)))</f>
        <v/>
      </c>
      <c r="N197" s="156" t="str">
        <f>IF(OR(K197="",M197=""),"",SUM(BuildingsHeatFuelsTable[[#This Row],[Direct]:[Indirect WTT]]))</f>
        <v/>
      </c>
      <c r="O197" s="71"/>
      <c r="P197" s="72"/>
      <c r="Q197" s="157" t="str" cm="1">
        <f t="array" ref="Q197">IF(OR($E197="",$I197=""),"",(INDEX('Emission factors'!$K$3:$V$201,MATCH('Buildings - Heat &amp; Fuels'!$E197&amp;$F197,'Emission factors'!$J$3:$J$201&amp;'Emission factors'!$K$3:$K$201,0),MATCH('Buildings - Heat &amp; Fuels'!Q$6,'Emission factors'!$K$2:$V$2,0)))*$K197)</f>
        <v/>
      </c>
      <c r="R197" s="157" t="str" cm="1">
        <f t="array" ref="R197">IF(OR($E197="",$I197=""),"",(INDEX('Emission factors'!$K$3:$V$201,MATCH('Buildings - Heat &amp; Fuels'!$E197&amp;$F197,'Emission factors'!$J$3:$J$201&amp;'Emission factors'!$K$3:$K$201,0),MATCH('Buildings - Heat &amp; Fuels'!R$6,'Emission factors'!$K$2:$V$2,0)))*$K197)</f>
        <v/>
      </c>
      <c r="S197" s="157" t="str" cm="1">
        <f t="array" ref="S197">IF(OR($E197="",$I197=""),"",(INDEX('Emission factors'!$K$3:$V$201,MATCH('Buildings - Heat &amp; Fuels'!$E197&amp;$F197,'Emission factors'!$J$3:$J$201&amp;'Emission factors'!$K$3:$K$201,0),MATCH('Buildings - Heat &amp; Fuels'!S$6,'Emission factors'!$K$2:$V$2,0)))*$K197)</f>
        <v/>
      </c>
      <c r="T197" s="157" t="str" cm="1">
        <f t="array" ref="T197">IF(OR($E197="",$I197=""),"",(INDEX('Emission factors'!$K$3:$V$201,MATCH('Buildings - Heat &amp; Fuels'!$E197&amp;$F197,'Emission factors'!$J$3:$J$201&amp;'Emission factors'!$K$3:$K$201,0),MATCH('Buildings - Heat &amp; Fuels'!T$6,'Emission factors'!$K$2:$V$2,0)))*$K197)</f>
        <v/>
      </c>
      <c r="U197" s="157" t="str" cm="1">
        <f t="array" ref="U197">IF(OR($E197="",$I197=""),"",(INDEX('Emission factors'!$K$3:$V$201,MATCH('Buildings - Heat &amp; Fuels'!$E197&amp;$F197,'Emission factors'!$J$3:$J$201&amp;'Emission factors'!$K$3:$K$201,0),MATCH('Buildings - Heat &amp; Fuels'!U$6,'Emission factors'!$K$2:$V$2,0)))*$K197)</f>
        <v/>
      </c>
      <c r="V197" s="158" t="str">
        <f>IF(OR($N197="",BuildingsHeatFuelsTable[[#This Row],[RSD]]=""),"",BuildingsHeatFuelsTable[[#This Row],[Total emissions (kgCO2e)]]*(1+BuildingsHeatFuelsTable[[#This Row],[RSD]]))</f>
        <v/>
      </c>
      <c r="W197" s="159" t="str">
        <f>IF(OR($N197="",BuildingsHeatFuelsTable[[#This Row],[RSD]]=""),"",BuildingsHeatFuelsTable[[#This Row],[Total emissions (kgCO2e)]]*(1-BuildingsHeatFuelsTable[[#This Row],[RSD]]))</f>
        <v/>
      </c>
      <c r="X197" s="169" t="str" cm="1">
        <f t="array" ref="X197">IF(OR($E197="",$I197=""),"",(INDEX('Emission factors'!$K$3:$V$201,MATCH('Buildings - Heat &amp; Fuels'!$E197&amp;$F197,'Emission factors'!$J$3:$J$201&amp;'Emission factors'!$K$3:$K$201,0),MATCH('Buildings - Heat &amp; Fuels'!X$6,'Emission factors'!$K$2:$V$2,0)))*$K197)</f>
        <v/>
      </c>
      <c r="Y197" s="30"/>
      <c r="Z197" s="1" cm="1">
        <f t="array" ref="Z197">IF(OR(ISERROR(B197:X197)),1,0)</f>
        <v>0</v>
      </c>
      <c r="AA197" s="1">
        <f t="shared" si="0"/>
        <v>0</v>
      </c>
    </row>
    <row r="198" spans="1:27" ht="15" outlineLevel="1" thickBot="1" x14ac:dyDescent="0.4">
      <c r="A198" s="319"/>
      <c r="B198" s="216"/>
      <c r="C198" s="215"/>
      <c r="D198" s="233" t="str">
        <f>IFERROR(INDEX(BuildingInformationTable[Site type],MATCH(BuildingsHeatFuelsTable[[#This Row],[Site name]],BuildingInformationTable[Site name],0)),"")</f>
        <v/>
      </c>
      <c r="E198" s="72"/>
      <c r="F198" s="72"/>
      <c r="G198" s="72"/>
      <c r="H198" s="98" t="str">
        <f>IF(G198="","",INDEX(Lists!$BA$4:$BC$31,MATCH(E198,Lists!$AZ$4:$AZ$31,0),MATCH(G198,Lists!$BA$3:$BC$3,0)))</f>
        <v/>
      </c>
      <c r="I198" s="70"/>
      <c r="J198" s="72"/>
      <c r="K198" s="75" t="str" cm="1">
        <f t="array" ref="K198">IF(OR($E198="",$D198="",$I198="",$J198=""),"",IF(J198=L198,I198,(INDEX('Emission factors'!$K$3:$V$201,MATCH(E198&amp;F198,'Emission factors'!$J$3:$J$201&amp;'Emission factors'!$K$3:$K$201,0),MATCH(K$6,'Emission factors'!$K$2:$V$2,0)))*I198))</f>
        <v/>
      </c>
      <c r="L198" s="312" t="str">
        <f>IF(OR($E198="",$D198="",$I198="",$J198=""),"",INDEX('Emission factors'!$K$3:$V$201,MATCH('Buildings - Heat &amp; Fuels'!$E198,'Emission factors'!$J$3:$J$201,0),MATCH($L$6,'Emission factors'!$K$2:$V$2,0)))</f>
        <v/>
      </c>
      <c r="M198" s="313" t="str" cm="1">
        <f t="array" ref="M198">IF(OR(E198="",I198="",BuildingsHeatFuelsTable[[#This Row],[Units]]=""),"",INDEX('Emission factors'!$K$3:$V$201,MATCH('Buildings - Heat &amp; Fuels'!$E198&amp;F198,'Emission factors'!$J$3:$J$201&amp;'Emission factors'!$K$3:$K$201,0),MATCH('Buildings - Heat &amp; Fuels'!$M$6,'Emission factors'!$K$2:$V$2,0)))</f>
        <v/>
      </c>
      <c r="N198" s="156" t="str">
        <f>IF(OR(K198="",M198=""),"",SUM(BuildingsHeatFuelsTable[[#This Row],[Direct]:[Indirect WTT]]))</f>
        <v/>
      </c>
      <c r="O198" s="71"/>
      <c r="P198" s="72"/>
      <c r="Q198" s="157" t="str" cm="1">
        <f t="array" ref="Q198">IF(OR($E198="",$I198=""),"",(INDEX('Emission factors'!$K$3:$V$201,MATCH('Buildings - Heat &amp; Fuels'!$E198&amp;$F198,'Emission factors'!$J$3:$J$201&amp;'Emission factors'!$K$3:$K$201,0),MATCH('Buildings - Heat &amp; Fuels'!Q$6,'Emission factors'!$K$2:$V$2,0)))*$K198)</f>
        <v/>
      </c>
      <c r="R198" s="157" t="str" cm="1">
        <f t="array" ref="R198">IF(OR($E198="",$I198=""),"",(INDEX('Emission factors'!$K$3:$V$201,MATCH('Buildings - Heat &amp; Fuels'!$E198&amp;$F198,'Emission factors'!$J$3:$J$201&amp;'Emission factors'!$K$3:$K$201,0),MATCH('Buildings - Heat &amp; Fuels'!R$6,'Emission factors'!$K$2:$V$2,0)))*$K198)</f>
        <v/>
      </c>
      <c r="S198" s="157" t="str" cm="1">
        <f t="array" ref="S198">IF(OR($E198="",$I198=""),"",(INDEX('Emission factors'!$K$3:$V$201,MATCH('Buildings - Heat &amp; Fuels'!$E198&amp;$F198,'Emission factors'!$J$3:$J$201&amp;'Emission factors'!$K$3:$K$201,0),MATCH('Buildings - Heat &amp; Fuels'!S$6,'Emission factors'!$K$2:$V$2,0)))*$K198)</f>
        <v/>
      </c>
      <c r="T198" s="157" t="str" cm="1">
        <f t="array" ref="T198">IF(OR($E198="",$I198=""),"",(INDEX('Emission factors'!$K$3:$V$201,MATCH('Buildings - Heat &amp; Fuels'!$E198&amp;$F198,'Emission factors'!$J$3:$J$201&amp;'Emission factors'!$K$3:$K$201,0),MATCH('Buildings - Heat &amp; Fuels'!T$6,'Emission factors'!$K$2:$V$2,0)))*$K198)</f>
        <v/>
      </c>
      <c r="U198" s="157" t="str" cm="1">
        <f t="array" ref="U198">IF(OR($E198="",$I198=""),"",(INDEX('Emission factors'!$K$3:$V$201,MATCH('Buildings - Heat &amp; Fuels'!$E198&amp;$F198,'Emission factors'!$J$3:$J$201&amp;'Emission factors'!$K$3:$K$201,0),MATCH('Buildings - Heat &amp; Fuels'!U$6,'Emission factors'!$K$2:$V$2,0)))*$K198)</f>
        <v/>
      </c>
      <c r="V198" s="158" t="str">
        <f>IF(OR($N198="",BuildingsHeatFuelsTable[[#This Row],[RSD]]=""),"",BuildingsHeatFuelsTable[[#This Row],[Total emissions (kgCO2e)]]*(1+BuildingsHeatFuelsTable[[#This Row],[RSD]]))</f>
        <v/>
      </c>
      <c r="W198" s="159" t="str">
        <f>IF(OR($N198="",BuildingsHeatFuelsTable[[#This Row],[RSD]]=""),"",BuildingsHeatFuelsTable[[#This Row],[Total emissions (kgCO2e)]]*(1-BuildingsHeatFuelsTable[[#This Row],[RSD]]))</f>
        <v/>
      </c>
      <c r="X198" s="169" t="str" cm="1">
        <f t="array" ref="X198">IF(OR($E198="",$I198=""),"",(INDEX('Emission factors'!$K$3:$V$201,MATCH('Buildings - Heat &amp; Fuels'!$E198&amp;$F198,'Emission factors'!$J$3:$J$201&amp;'Emission factors'!$K$3:$K$201,0),MATCH('Buildings - Heat &amp; Fuels'!X$6,'Emission factors'!$K$2:$V$2,0)))*$K198)</f>
        <v/>
      </c>
      <c r="Y198" s="30"/>
      <c r="Z198" s="1" cm="1">
        <f t="array" ref="Z198">IF(OR(ISERROR(B198:X198)),1,0)</f>
        <v>0</v>
      </c>
      <c r="AA198" s="1">
        <f t="shared" si="0"/>
        <v>0</v>
      </c>
    </row>
    <row r="199" spans="1:27" ht="15" outlineLevel="1" thickBot="1" x14ac:dyDescent="0.4">
      <c r="A199" s="319"/>
      <c r="B199" s="216"/>
      <c r="C199" s="215"/>
      <c r="D199" s="233" t="str">
        <f>IFERROR(INDEX(BuildingInformationTable[Site type],MATCH(BuildingsHeatFuelsTable[[#This Row],[Site name]],BuildingInformationTable[Site name],0)),"")</f>
        <v/>
      </c>
      <c r="E199" s="72"/>
      <c r="F199" s="72"/>
      <c r="G199" s="72"/>
      <c r="H199" s="98" t="str">
        <f>IF(G199="","",INDEX(Lists!$BA$4:$BC$31,MATCH(E199,Lists!$AZ$4:$AZ$31,0),MATCH(G199,Lists!$BA$3:$BC$3,0)))</f>
        <v/>
      </c>
      <c r="I199" s="70"/>
      <c r="J199" s="72"/>
      <c r="K199" s="75" t="str" cm="1">
        <f t="array" ref="K199">IF(OR($E199="",$D199="",$I199="",$J199=""),"",IF(J199=L199,I199,(INDEX('Emission factors'!$K$3:$V$201,MATCH(E199&amp;F199,'Emission factors'!$J$3:$J$201&amp;'Emission factors'!$K$3:$K$201,0),MATCH(K$6,'Emission factors'!$K$2:$V$2,0)))*I199))</f>
        <v/>
      </c>
      <c r="L199" s="312" t="str">
        <f>IF(OR($E199="",$D199="",$I199="",$J199=""),"",INDEX('Emission factors'!$K$3:$V$201,MATCH('Buildings - Heat &amp; Fuels'!$E199,'Emission factors'!$J$3:$J$201,0),MATCH($L$6,'Emission factors'!$K$2:$V$2,0)))</f>
        <v/>
      </c>
      <c r="M199" s="313" t="str" cm="1">
        <f t="array" ref="M199">IF(OR(E199="",I199="",BuildingsHeatFuelsTable[[#This Row],[Units]]=""),"",INDEX('Emission factors'!$K$3:$V$201,MATCH('Buildings - Heat &amp; Fuels'!$E199&amp;F199,'Emission factors'!$J$3:$J$201&amp;'Emission factors'!$K$3:$K$201,0),MATCH('Buildings - Heat &amp; Fuels'!$M$6,'Emission factors'!$K$2:$V$2,0)))</f>
        <v/>
      </c>
      <c r="N199" s="156" t="str">
        <f>IF(OR(K199="",M199=""),"",SUM(BuildingsHeatFuelsTable[[#This Row],[Direct]:[Indirect WTT]]))</f>
        <v/>
      </c>
      <c r="O199" s="71"/>
      <c r="P199" s="72"/>
      <c r="Q199" s="157" t="str" cm="1">
        <f t="array" ref="Q199">IF(OR($E199="",$I199=""),"",(INDEX('Emission factors'!$K$3:$V$201,MATCH('Buildings - Heat &amp; Fuels'!$E199&amp;$F199,'Emission factors'!$J$3:$J$201&amp;'Emission factors'!$K$3:$K$201,0),MATCH('Buildings - Heat &amp; Fuels'!Q$6,'Emission factors'!$K$2:$V$2,0)))*$K199)</f>
        <v/>
      </c>
      <c r="R199" s="157" t="str" cm="1">
        <f t="array" ref="R199">IF(OR($E199="",$I199=""),"",(INDEX('Emission factors'!$K$3:$V$201,MATCH('Buildings - Heat &amp; Fuels'!$E199&amp;$F199,'Emission factors'!$J$3:$J$201&amp;'Emission factors'!$K$3:$K$201,0),MATCH('Buildings - Heat &amp; Fuels'!R$6,'Emission factors'!$K$2:$V$2,0)))*$K199)</f>
        <v/>
      </c>
      <c r="S199" s="157" t="str" cm="1">
        <f t="array" ref="S199">IF(OR($E199="",$I199=""),"",(INDEX('Emission factors'!$K$3:$V$201,MATCH('Buildings - Heat &amp; Fuels'!$E199&amp;$F199,'Emission factors'!$J$3:$J$201&amp;'Emission factors'!$K$3:$K$201,0),MATCH('Buildings - Heat &amp; Fuels'!S$6,'Emission factors'!$K$2:$V$2,0)))*$K199)</f>
        <v/>
      </c>
      <c r="T199" s="157" t="str" cm="1">
        <f t="array" ref="T199">IF(OR($E199="",$I199=""),"",(INDEX('Emission factors'!$K$3:$V$201,MATCH('Buildings - Heat &amp; Fuels'!$E199&amp;$F199,'Emission factors'!$J$3:$J$201&amp;'Emission factors'!$K$3:$K$201,0),MATCH('Buildings - Heat &amp; Fuels'!T$6,'Emission factors'!$K$2:$V$2,0)))*$K199)</f>
        <v/>
      </c>
      <c r="U199" s="157" t="str" cm="1">
        <f t="array" ref="U199">IF(OR($E199="",$I199=""),"",(INDEX('Emission factors'!$K$3:$V$201,MATCH('Buildings - Heat &amp; Fuels'!$E199&amp;$F199,'Emission factors'!$J$3:$J$201&amp;'Emission factors'!$K$3:$K$201,0),MATCH('Buildings - Heat &amp; Fuels'!U$6,'Emission factors'!$K$2:$V$2,0)))*$K199)</f>
        <v/>
      </c>
      <c r="V199" s="158" t="str">
        <f>IF(OR($N199="",BuildingsHeatFuelsTable[[#This Row],[RSD]]=""),"",BuildingsHeatFuelsTable[[#This Row],[Total emissions (kgCO2e)]]*(1+BuildingsHeatFuelsTable[[#This Row],[RSD]]))</f>
        <v/>
      </c>
      <c r="W199" s="159" t="str">
        <f>IF(OR($N199="",BuildingsHeatFuelsTable[[#This Row],[RSD]]=""),"",BuildingsHeatFuelsTable[[#This Row],[Total emissions (kgCO2e)]]*(1-BuildingsHeatFuelsTable[[#This Row],[RSD]]))</f>
        <v/>
      </c>
      <c r="X199" s="169" t="str" cm="1">
        <f t="array" ref="X199">IF(OR($E199="",$I199=""),"",(INDEX('Emission factors'!$K$3:$V$201,MATCH('Buildings - Heat &amp; Fuels'!$E199&amp;$F199,'Emission factors'!$J$3:$J$201&amp;'Emission factors'!$K$3:$K$201,0),MATCH('Buildings - Heat &amp; Fuels'!X$6,'Emission factors'!$K$2:$V$2,0)))*$K199)</f>
        <v/>
      </c>
      <c r="Y199" s="30"/>
      <c r="Z199" s="1" cm="1">
        <f t="array" ref="Z199">IF(OR(ISERROR(B199:X199)),1,0)</f>
        <v>0</v>
      </c>
      <c r="AA199" s="1">
        <f t="shared" si="0"/>
        <v>0</v>
      </c>
    </row>
    <row r="200" spans="1:27" ht="15" outlineLevel="1" thickBot="1" x14ac:dyDescent="0.4">
      <c r="A200" s="319"/>
      <c r="B200" s="216"/>
      <c r="C200" s="215"/>
      <c r="D200" s="233" t="str">
        <f>IFERROR(INDEX(BuildingInformationTable[Site type],MATCH(BuildingsHeatFuelsTable[[#This Row],[Site name]],BuildingInformationTable[Site name],0)),"")</f>
        <v/>
      </c>
      <c r="E200" s="72"/>
      <c r="F200" s="72"/>
      <c r="G200" s="72"/>
      <c r="H200" s="98" t="str">
        <f>IF(G200="","",INDEX(Lists!$BA$4:$BC$31,MATCH(E200,Lists!$AZ$4:$AZ$31,0),MATCH(G200,Lists!$BA$3:$BC$3,0)))</f>
        <v/>
      </c>
      <c r="I200" s="70"/>
      <c r="J200" s="72"/>
      <c r="K200" s="75" t="str" cm="1">
        <f t="array" ref="K200">IF(OR($E200="",$D200="",$I200="",$J200=""),"",IF(J200=L200,I200,(INDEX('Emission factors'!$K$3:$V$201,MATCH(E200&amp;F200,'Emission factors'!$J$3:$J$201&amp;'Emission factors'!$K$3:$K$201,0),MATCH(K$6,'Emission factors'!$K$2:$V$2,0)))*I200))</f>
        <v/>
      </c>
      <c r="L200" s="312" t="str">
        <f>IF(OR($E200="",$D200="",$I200="",$J200=""),"",INDEX('Emission factors'!$K$3:$V$201,MATCH('Buildings - Heat &amp; Fuels'!$E200,'Emission factors'!$J$3:$J$201,0),MATCH($L$6,'Emission factors'!$K$2:$V$2,0)))</f>
        <v/>
      </c>
      <c r="M200" s="313" t="str" cm="1">
        <f t="array" ref="M200">IF(OR(E200="",I200="",BuildingsHeatFuelsTable[[#This Row],[Units]]=""),"",INDEX('Emission factors'!$K$3:$V$201,MATCH('Buildings - Heat &amp; Fuels'!$E200&amp;F200,'Emission factors'!$J$3:$J$201&amp;'Emission factors'!$K$3:$K$201,0),MATCH('Buildings - Heat &amp; Fuels'!$M$6,'Emission factors'!$K$2:$V$2,0)))</f>
        <v/>
      </c>
      <c r="N200" s="156" t="str">
        <f>IF(OR(K200="",M200=""),"",SUM(BuildingsHeatFuelsTable[[#This Row],[Direct]:[Indirect WTT]]))</f>
        <v/>
      </c>
      <c r="O200" s="71"/>
      <c r="P200" s="72"/>
      <c r="Q200" s="157" t="str" cm="1">
        <f t="array" ref="Q200">IF(OR($E200="",$I200=""),"",(INDEX('Emission factors'!$K$3:$V$201,MATCH('Buildings - Heat &amp; Fuels'!$E200&amp;$F200,'Emission factors'!$J$3:$J$201&amp;'Emission factors'!$K$3:$K$201,0),MATCH('Buildings - Heat &amp; Fuels'!Q$6,'Emission factors'!$K$2:$V$2,0)))*$K200)</f>
        <v/>
      </c>
      <c r="R200" s="157" t="str" cm="1">
        <f t="array" ref="R200">IF(OR($E200="",$I200=""),"",(INDEX('Emission factors'!$K$3:$V$201,MATCH('Buildings - Heat &amp; Fuels'!$E200&amp;$F200,'Emission factors'!$J$3:$J$201&amp;'Emission factors'!$K$3:$K$201,0),MATCH('Buildings - Heat &amp; Fuels'!R$6,'Emission factors'!$K$2:$V$2,0)))*$K200)</f>
        <v/>
      </c>
      <c r="S200" s="157" t="str" cm="1">
        <f t="array" ref="S200">IF(OR($E200="",$I200=""),"",(INDEX('Emission factors'!$K$3:$V$201,MATCH('Buildings - Heat &amp; Fuels'!$E200&amp;$F200,'Emission factors'!$J$3:$J$201&amp;'Emission factors'!$K$3:$K$201,0),MATCH('Buildings - Heat &amp; Fuels'!S$6,'Emission factors'!$K$2:$V$2,0)))*$K200)</f>
        <v/>
      </c>
      <c r="T200" s="157" t="str" cm="1">
        <f t="array" ref="T200">IF(OR($E200="",$I200=""),"",(INDEX('Emission factors'!$K$3:$V$201,MATCH('Buildings - Heat &amp; Fuels'!$E200&amp;$F200,'Emission factors'!$J$3:$J$201&amp;'Emission factors'!$K$3:$K$201,0),MATCH('Buildings - Heat &amp; Fuels'!T$6,'Emission factors'!$K$2:$V$2,0)))*$K200)</f>
        <v/>
      </c>
      <c r="U200" s="157" t="str" cm="1">
        <f t="array" ref="U200">IF(OR($E200="",$I200=""),"",(INDEX('Emission factors'!$K$3:$V$201,MATCH('Buildings - Heat &amp; Fuels'!$E200&amp;$F200,'Emission factors'!$J$3:$J$201&amp;'Emission factors'!$K$3:$K$201,0),MATCH('Buildings - Heat &amp; Fuels'!U$6,'Emission factors'!$K$2:$V$2,0)))*$K200)</f>
        <v/>
      </c>
      <c r="V200" s="158" t="str">
        <f>IF(OR($N200="",BuildingsHeatFuelsTable[[#This Row],[RSD]]=""),"",BuildingsHeatFuelsTable[[#This Row],[Total emissions (kgCO2e)]]*(1+BuildingsHeatFuelsTable[[#This Row],[RSD]]))</f>
        <v/>
      </c>
      <c r="W200" s="159" t="str">
        <f>IF(OR($N200="",BuildingsHeatFuelsTable[[#This Row],[RSD]]=""),"",BuildingsHeatFuelsTable[[#This Row],[Total emissions (kgCO2e)]]*(1-BuildingsHeatFuelsTable[[#This Row],[RSD]]))</f>
        <v/>
      </c>
      <c r="X200" s="169" t="str" cm="1">
        <f t="array" ref="X200">IF(OR($E200="",$I200=""),"",(INDEX('Emission factors'!$K$3:$V$201,MATCH('Buildings - Heat &amp; Fuels'!$E200&amp;$F200,'Emission factors'!$J$3:$J$201&amp;'Emission factors'!$K$3:$K$201,0),MATCH('Buildings - Heat &amp; Fuels'!X$6,'Emission factors'!$K$2:$V$2,0)))*$K200)</f>
        <v/>
      </c>
      <c r="Y200" s="30"/>
      <c r="Z200" s="1" cm="1">
        <f t="array" ref="Z200">IF(OR(ISERROR(B200:X200)),1,0)</f>
        <v>0</v>
      </c>
      <c r="AA200" s="1">
        <f t="shared" si="0"/>
        <v>0</v>
      </c>
    </row>
    <row r="201" spans="1:27" ht="15" outlineLevel="1" thickBot="1" x14ac:dyDescent="0.4">
      <c r="A201" s="319"/>
      <c r="B201" s="216"/>
      <c r="C201" s="215"/>
      <c r="D201" s="233" t="str">
        <f>IFERROR(INDEX(BuildingInformationTable[Site type],MATCH(BuildingsHeatFuelsTable[[#This Row],[Site name]],BuildingInformationTable[Site name],0)),"")</f>
        <v/>
      </c>
      <c r="E201" s="72"/>
      <c r="F201" s="72"/>
      <c r="G201" s="72"/>
      <c r="H201" s="98" t="str">
        <f>IF(G201="","",INDEX(Lists!$BA$4:$BC$31,MATCH(E201,Lists!$AZ$4:$AZ$31,0),MATCH(G201,Lists!$BA$3:$BC$3,0)))</f>
        <v/>
      </c>
      <c r="I201" s="70"/>
      <c r="J201" s="72"/>
      <c r="K201" s="75" t="str" cm="1">
        <f t="array" ref="K201">IF(OR($E201="",$D201="",$I201="",$J201=""),"",IF(J201=L201,I201,(INDEX('Emission factors'!$K$3:$V$201,MATCH(E201&amp;F201,'Emission factors'!$J$3:$J$201&amp;'Emission factors'!$K$3:$K$201,0),MATCH(K$6,'Emission factors'!$K$2:$V$2,0)))*I201))</f>
        <v/>
      </c>
      <c r="L201" s="312" t="str">
        <f>IF(OR($E201="",$D201="",$I201="",$J201=""),"",INDEX('Emission factors'!$K$3:$V$201,MATCH('Buildings - Heat &amp; Fuels'!$E201,'Emission factors'!$J$3:$J$201,0),MATCH($L$6,'Emission factors'!$K$2:$V$2,0)))</f>
        <v/>
      </c>
      <c r="M201" s="313" t="str" cm="1">
        <f t="array" ref="M201">IF(OR(E201="",I201="",BuildingsHeatFuelsTable[[#This Row],[Units]]=""),"",INDEX('Emission factors'!$K$3:$V$201,MATCH('Buildings - Heat &amp; Fuels'!$E201&amp;F201,'Emission factors'!$J$3:$J$201&amp;'Emission factors'!$K$3:$K$201,0),MATCH('Buildings - Heat &amp; Fuels'!$M$6,'Emission factors'!$K$2:$V$2,0)))</f>
        <v/>
      </c>
      <c r="N201" s="156" t="str">
        <f>IF(OR(K201="",M201=""),"",SUM(BuildingsHeatFuelsTable[[#This Row],[Direct]:[Indirect WTT]]))</f>
        <v/>
      </c>
      <c r="O201" s="71"/>
      <c r="P201" s="72"/>
      <c r="Q201" s="157" t="str" cm="1">
        <f t="array" ref="Q201">IF(OR($E201="",$I201=""),"",(INDEX('Emission factors'!$K$3:$V$201,MATCH('Buildings - Heat &amp; Fuels'!$E201&amp;$F201,'Emission factors'!$J$3:$J$201&amp;'Emission factors'!$K$3:$K$201,0),MATCH('Buildings - Heat &amp; Fuels'!Q$6,'Emission factors'!$K$2:$V$2,0)))*$K201)</f>
        <v/>
      </c>
      <c r="R201" s="157" t="str" cm="1">
        <f t="array" ref="R201">IF(OR($E201="",$I201=""),"",(INDEX('Emission factors'!$K$3:$V$201,MATCH('Buildings - Heat &amp; Fuels'!$E201&amp;$F201,'Emission factors'!$J$3:$J$201&amp;'Emission factors'!$K$3:$K$201,0),MATCH('Buildings - Heat &amp; Fuels'!R$6,'Emission factors'!$K$2:$V$2,0)))*$K201)</f>
        <v/>
      </c>
      <c r="S201" s="157" t="str" cm="1">
        <f t="array" ref="S201">IF(OR($E201="",$I201=""),"",(INDEX('Emission factors'!$K$3:$V$201,MATCH('Buildings - Heat &amp; Fuels'!$E201&amp;$F201,'Emission factors'!$J$3:$J$201&amp;'Emission factors'!$K$3:$K$201,0),MATCH('Buildings - Heat &amp; Fuels'!S$6,'Emission factors'!$K$2:$V$2,0)))*$K201)</f>
        <v/>
      </c>
      <c r="T201" s="157" t="str" cm="1">
        <f t="array" ref="T201">IF(OR($E201="",$I201=""),"",(INDEX('Emission factors'!$K$3:$V$201,MATCH('Buildings - Heat &amp; Fuels'!$E201&amp;$F201,'Emission factors'!$J$3:$J$201&amp;'Emission factors'!$K$3:$K$201,0),MATCH('Buildings - Heat &amp; Fuels'!T$6,'Emission factors'!$K$2:$V$2,0)))*$K201)</f>
        <v/>
      </c>
      <c r="U201" s="157" t="str" cm="1">
        <f t="array" ref="U201">IF(OR($E201="",$I201=""),"",(INDEX('Emission factors'!$K$3:$V$201,MATCH('Buildings - Heat &amp; Fuels'!$E201&amp;$F201,'Emission factors'!$J$3:$J$201&amp;'Emission factors'!$K$3:$K$201,0),MATCH('Buildings - Heat &amp; Fuels'!U$6,'Emission factors'!$K$2:$V$2,0)))*$K201)</f>
        <v/>
      </c>
      <c r="V201" s="158" t="str">
        <f>IF(OR($N201="",BuildingsHeatFuelsTable[[#This Row],[RSD]]=""),"",BuildingsHeatFuelsTable[[#This Row],[Total emissions (kgCO2e)]]*(1+BuildingsHeatFuelsTable[[#This Row],[RSD]]))</f>
        <v/>
      </c>
      <c r="W201" s="159" t="str">
        <f>IF(OR($N201="",BuildingsHeatFuelsTable[[#This Row],[RSD]]=""),"",BuildingsHeatFuelsTable[[#This Row],[Total emissions (kgCO2e)]]*(1-BuildingsHeatFuelsTable[[#This Row],[RSD]]))</f>
        <v/>
      </c>
      <c r="X201" s="169" t="str" cm="1">
        <f t="array" ref="X201">IF(OR($E201="",$I201=""),"",(INDEX('Emission factors'!$K$3:$V$201,MATCH('Buildings - Heat &amp; Fuels'!$E201&amp;$F201,'Emission factors'!$J$3:$J$201&amp;'Emission factors'!$K$3:$K$201,0),MATCH('Buildings - Heat &amp; Fuels'!X$6,'Emission factors'!$K$2:$V$2,0)))*$K201)</f>
        <v/>
      </c>
      <c r="Y201" s="30"/>
      <c r="Z201" s="1" cm="1">
        <f t="array" ref="Z201">IF(OR(ISERROR(B201:X201)),1,0)</f>
        <v>0</v>
      </c>
      <c r="AA201" s="1">
        <f t="shared" si="0"/>
        <v>0</v>
      </c>
    </row>
    <row r="202" spans="1:27" ht="15" outlineLevel="1" thickBot="1" x14ac:dyDescent="0.4">
      <c r="A202" s="319"/>
      <c r="B202" s="216"/>
      <c r="C202" s="215"/>
      <c r="D202" s="233" t="str">
        <f>IFERROR(INDEX(BuildingInformationTable[Site type],MATCH(BuildingsHeatFuelsTable[[#This Row],[Site name]],BuildingInformationTable[Site name],0)),"")</f>
        <v/>
      </c>
      <c r="E202" s="72"/>
      <c r="F202" s="72"/>
      <c r="G202" s="72"/>
      <c r="H202" s="98" t="str">
        <f>IF(G202="","",INDEX(Lists!$BA$4:$BC$31,MATCH(E202,Lists!$AZ$4:$AZ$31,0),MATCH(G202,Lists!$BA$3:$BC$3,0)))</f>
        <v/>
      </c>
      <c r="I202" s="70"/>
      <c r="J202" s="72"/>
      <c r="K202" s="75" t="str" cm="1">
        <f t="array" ref="K202">IF(OR($E202="",$D202="",$I202="",$J202=""),"",IF(J202=L202,I202,(INDEX('Emission factors'!$K$3:$V$201,MATCH(E202&amp;F202,'Emission factors'!$J$3:$J$201&amp;'Emission factors'!$K$3:$K$201,0),MATCH(K$6,'Emission factors'!$K$2:$V$2,0)))*I202))</f>
        <v/>
      </c>
      <c r="L202" s="312" t="str">
        <f>IF(OR($E202="",$D202="",$I202="",$J202=""),"",INDEX('Emission factors'!$K$3:$V$201,MATCH('Buildings - Heat &amp; Fuels'!$E202,'Emission factors'!$J$3:$J$201,0),MATCH($L$6,'Emission factors'!$K$2:$V$2,0)))</f>
        <v/>
      </c>
      <c r="M202" s="313" t="str" cm="1">
        <f t="array" ref="M202">IF(OR(E202="",I202="",BuildingsHeatFuelsTable[[#This Row],[Units]]=""),"",INDEX('Emission factors'!$K$3:$V$201,MATCH('Buildings - Heat &amp; Fuels'!$E202&amp;F202,'Emission factors'!$J$3:$J$201&amp;'Emission factors'!$K$3:$K$201,0),MATCH('Buildings - Heat &amp; Fuels'!$M$6,'Emission factors'!$K$2:$V$2,0)))</f>
        <v/>
      </c>
      <c r="N202" s="156" t="str">
        <f>IF(OR(K202="",M202=""),"",SUM(BuildingsHeatFuelsTable[[#This Row],[Direct]:[Indirect WTT]]))</f>
        <v/>
      </c>
      <c r="O202" s="71"/>
      <c r="P202" s="72"/>
      <c r="Q202" s="157" t="str" cm="1">
        <f t="array" ref="Q202">IF(OR($E202="",$I202=""),"",(INDEX('Emission factors'!$K$3:$V$201,MATCH('Buildings - Heat &amp; Fuels'!$E202&amp;$F202,'Emission factors'!$J$3:$J$201&amp;'Emission factors'!$K$3:$K$201,0),MATCH('Buildings - Heat &amp; Fuels'!Q$6,'Emission factors'!$K$2:$V$2,0)))*$K202)</f>
        <v/>
      </c>
      <c r="R202" s="157" t="str" cm="1">
        <f t="array" ref="R202">IF(OR($E202="",$I202=""),"",(INDEX('Emission factors'!$K$3:$V$201,MATCH('Buildings - Heat &amp; Fuels'!$E202&amp;$F202,'Emission factors'!$J$3:$J$201&amp;'Emission factors'!$K$3:$K$201,0),MATCH('Buildings - Heat &amp; Fuels'!R$6,'Emission factors'!$K$2:$V$2,0)))*$K202)</f>
        <v/>
      </c>
      <c r="S202" s="157" t="str" cm="1">
        <f t="array" ref="S202">IF(OR($E202="",$I202=""),"",(INDEX('Emission factors'!$K$3:$V$201,MATCH('Buildings - Heat &amp; Fuels'!$E202&amp;$F202,'Emission factors'!$J$3:$J$201&amp;'Emission factors'!$K$3:$K$201,0),MATCH('Buildings - Heat &amp; Fuels'!S$6,'Emission factors'!$K$2:$V$2,0)))*$K202)</f>
        <v/>
      </c>
      <c r="T202" s="157" t="str" cm="1">
        <f t="array" ref="T202">IF(OR($E202="",$I202=""),"",(INDEX('Emission factors'!$K$3:$V$201,MATCH('Buildings - Heat &amp; Fuels'!$E202&amp;$F202,'Emission factors'!$J$3:$J$201&amp;'Emission factors'!$K$3:$K$201,0),MATCH('Buildings - Heat &amp; Fuels'!T$6,'Emission factors'!$K$2:$V$2,0)))*$K202)</f>
        <v/>
      </c>
      <c r="U202" s="157" t="str" cm="1">
        <f t="array" ref="U202">IF(OR($E202="",$I202=""),"",(INDEX('Emission factors'!$K$3:$V$201,MATCH('Buildings - Heat &amp; Fuels'!$E202&amp;$F202,'Emission factors'!$J$3:$J$201&amp;'Emission factors'!$K$3:$K$201,0),MATCH('Buildings - Heat &amp; Fuels'!U$6,'Emission factors'!$K$2:$V$2,0)))*$K202)</f>
        <v/>
      </c>
      <c r="V202" s="158" t="str">
        <f>IF(OR($N202="",BuildingsHeatFuelsTable[[#This Row],[RSD]]=""),"",BuildingsHeatFuelsTable[[#This Row],[Total emissions (kgCO2e)]]*(1+BuildingsHeatFuelsTable[[#This Row],[RSD]]))</f>
        <v/>
      </c>
      <c r="W202" s="159" t="str">
        <f>IF(OR($N202="",BuildingsHeatFuelsTable[[#This Row],[RSD]]=""),"",BuildingsHeatFuelsTable[[#This Row],[Total emissions (kgCO2e)]]*(1-BuildingsHeatFuelsTable[[#This Row],[RSD]]))</f>
        <v/>
      </c>
      <c r="X202" s="169" t="str" cm="1">
        <f t="array" ref="X202">IF(OR($E202="",$I202=""),"",(INDEX('Emission factors'!$K$3:$V$201,MATCH('Buildings - Heat &amp; Fuels'!$E202&amp;$F202,'Emission factors'!$J$3:$J$201&amp;'Emission factors'!$K$3:$K$201,0),MATCH('Buildings - Heat &amp; Fuels'!X$6,'Emission factors'!$K$2:$V$2,0)))*$K202)</f>
        <v/>
      </c>
      <c r="Y202" s="30"/>
      <c r="Z202" s="1" cm="1">
        <f t="array" ref="Z202">IF(OR(ISERROR(B202:X202)),1,0)</f>
        <v>0</v>
      </c>
      <c r="AA202" s="1">
        <f t="shared" si="0"/>
        <v>0</v>
      </c>
    </row>
    <row r="203" spans="1:27" ht="15" outlineLevel="1" thickBot="1" x14ac:dyDescent="0.4">
      <c r="A203" s="319"/>
      <c r="B203" s="216"/>
      <c r="C203" s="215"/>
      <c r="D203" s="233" t="str">
        <f>IFERROR(INDEX(BuildingInformationTable[Site type],MATCH(BuildingsHeatFuelsTable[[#This Row],[Site name]],BuildingInformationTable[Site name],0)),"")</f>
        <v/>
      </c>
      <c r="E203" s="72"/>
      <c r="F203" s="72"/>
      <c r="G203" s="72"/>
      <c r="H203" s="98" t="str">
        <f>IF(G203="","",INDEX(Lists!$BA$4:$BC$31,MATCH(E203,Lists!$AZ$4:$AZ$31,0),MATCH(G203,Lists!$BA$3:$BC$3,0)))</f>
        <v/>
      </c>
      <c r="I203" s="70"/>
      <c r="J203" s="72"/>
      <c r="K203" s="75" t="str" cm="1">
        <f t="array" ref="K203">IF(OR($E203="",$D203="",$I203="",$J203=""),"",IF(J203=L203,I203,(INDEX('Emission factors'!$K$3:$V$201,MATCH(E203&amp;F203,'Emission factors'!$J$3:$J$201&amp;'Emission factors'!$K$3:$K$201,0),MATCH(K$6,'Emission factors'!$K$2:$V$2,0)))*I203))</f>
        <v/>
      </c>
      <c r="L203" s="312" t="str">
        <f>IF(OR($E203="",$D203="",$I203="",$J203=""),"",INDEX('Emission factors'!$K$3:$V$201,MATCH('Buildings - Heat &amp; Fuels'!$E203,'Emission factors'!$J$3:$J$201,0),MATCH($L$6,'Emission factors'!$K$2:$V$2,0)))</f>
        <v/>
      </c>
      <c r="M203" s="313" t="str" cm="1">
        <f t="array" ref="M203">IF(OR(E203="",I203="",BuildingsHeatFuelsTable[[#This Row],[Units]]=""),"",INDEX('Emission factors'!$K$3:$V$201,MATCH('Buildings - Heat &amp; Fuels'!$E203&amp;F203,'Emission factors'!$J$3:$J$201&amp;'Emission factors'!$K$3:$K$201,0),MATCH('Buildings - Heat &amp; Fuels'!$M$6,'Emission factors'!$K$2:$V$2,0)))</f>
        <v/>
      </c>
      <c r="N203" s="156" t="str">
        <f>IF(OR(K203="",M203=""),"",SUM(BuildingsHeatFuelsTable[[#This Row],[Direct]:[Indirect WTT]]))</f>
        <v/>
      </c>
      <c r="O203" s="71"/>
      <c r="P203" s="72"/>
      <c r="Q203" s="157" t="str" cm="1">
        <f t="array" ref="Q203">IF(OR($E203="",$I203=""),"",(INDEX('Emission factors'!$K$3:$V$201,MATCH('Buildings - Heat &amp; Fuels'!$E203&amp;$F203,'Emission factors'!$J$3:$J$201&amp;'Emission factors'!$K$3:$K$201,0),MATCH('Buildings - Heat &amp; Fuels'!Q$6,'Emission factors'!$K$2:$V$2,0)))*$K203)</f>
        <v/>
      </c>
      <c r="R203" s="157" t="str" cm="1">
        <f t="array" ref="R203">IF(OR($E203="",$I203=""),"",(INDEX('Emission factors'!$K$3:$V$201,MATCH('Buildings - Heat &amp; Fuels'!$E203&amp;$F203,'Emission factors'!$J$3:$J$201&amp;'Emission factors'!$K$3:$K$201,0),MATCH('Buildings - Heat &amp; Fuels'!R$6,'Emission factors'!$K$2:$V$2,0)))*$K203)</f>
        <v/>
      </c>
      <c r="S203" s="157" t="str" cm="1">
        <f t="array" ref="S203">IF(OR($E203="",$I203=""),"",(INDEX('Emission factors'!$K$3:$V$201,MATCH('Buildings - Heat &amp; Fuels'!$E203&amp;$F203,'Emission factors'!$J$3:$J$201&amp;'Emission factors'!$K$3:$K$201,0),MATCH('Buildings - Heat &amp; Fuels'!S$6,'Emission factors'!$K$2:$V$2,0)))*$K203)</f>
        <v/>
      </c>
      <c r="T203" s="157" t="str" cm="1">
        <f t="array" ref="T203">IF(OR($E203="",$I203=""),"",(INDEX('Emission factors'!$K$3:$V$201,MATCH('Buildings - Heat &amp; Fuels'!$E203&amp;$F203,'Emission factors'!$J$3:$J$201&amp;'Emission factors'!$K$3:$K$201,0),MATCH('Buildings - Heat &amp; Fuels'!T$6,'Emission factors'!$K$2:$V$2,0)))*$K203)</f>
        <v/>
      </c>
      <c r="U203" s="157" t="str" cm="1">
        <f t="array" ref="U203">IF(OR($E203="",$I203=""),"",(INDEX('Emission factors'!$K$3:$V$201,MATCH('Buildings - Heat &amp; Fuels'!$E203&amp;$F203,'Emission factors'!$J$3:$J$201&amp;'Emission factors'!$K$3:$K$201,0),MATCH('Buildings - Heat &amp; Fuels'!U$6,'Emission factors'!$K$2:$V$2,0)))*$K203)</f>
        <v/>
      </c>
      <c r="V203" s="158" t="str">
        <f>IF(OR($N203="",BuildingsHeatFuelsTable[[#This Row],[RSD]]=""),"",BuildingsHeatFuelsTable[[#This Row],[Total emissions (kgCO2e)]]*(1+BuildingsHeatFuelsTable[[#This Row],[RSD]]))</f>
        <v/>
      </c>
      <c r="W203" s="159" t="str">
        <f>IF(OR($N203="",BuildingsHeatFuelsTable[[#This Row],[RSD]]=""),"",BuildingsHeatFuelsTable[[#This Row],[Total emissions (kgCO2e)]]*(1-BuildingsHeatFuelsTable[[#This Row],[RSD]]))</f>
        <v/>
      </c>
      <c r="X203" s="169" t="str" cm="1">
        <f t="array" ref="X203">IF(OR($E203="",$I203=""),"",(INDEX('Emission factors'!$K$3:$V$201,MATCH('Buildings - Heat &amp; Fuels'!$E203&amp;$F203,'Emission factors'!$J$3:$J$201&amp;'Emission factors'!$K$3:$K$201,0),MATCH('Buildings - Heat &amp; Fuels'!X$6,'Emission factors'!$K$2:$V$2,0)))*$K203)</f>
        <v/>
      </c>
      <c r="Y203" s="30"/>
      <c r="Z203" s="1" cm="1">
        <f t="array" ref="Z203">IF(OR(ISERROR(B203:X203)),1,0)</f>
        <v>0</v>
      </c>
      <c r="AA203" s="1">
        <f t="shared" si="0"/>
        <v>0</v>
      </c>
    </row>
    <row r="204" spans="1:27" ht="15" outlineLevel="1" thickBot="1" x14ac:dyDescent="0.4">
      <c r="A204" s="319"/>
      <c r="B204" s="216"/>
      <c r="C204" s="215"/>
      <c r="D204" s="233" t="str">
        <f>IFERROR(INDEX(BuildingInformationTable[Site type],MATCH(BuildingsHeatFuelsTable[[#This Row],[Site name]],BuildingInformationTable[Site name],0)),"")</f>
        <v/>
      </c>
      <c r="E204" s="72"/>
      <c r="F204" s="72"/>
      <c r="G204" s="72"/>
      <c r="H204" s="98" t="str">
        <f>IF(G204="","",INDEX(Lists!$BA$4:$BC$31,MATCH(E204,Lists!$AZ$4:$AZ$31,0),MATCH(G204,Lists!$BA$3:$BC$3,0)))</f>
        <v/>
      </c>
      <c r="I204" s="70"/>
      <c r="J204" s="72"/>
      <c r="K204" s="75" t="str" cm="1">
        <f t="array" ref="K204">IF(OR($E204="",$D204="",$I204="",$J204=""),"",IF(J204=L204,I204,(INDEX('Emission factors'!$K$3:$V$201,MATCH(E204&amp;F204,'Emission factors'!$J$3:$J$201&amp;'Emission factors'!$K$3:$K$201,0),MATCH(K$6,'Emission factors'!$K$2:$V$2,0)))*I204))</f>
        <v/>
      </c>
      <c r="L204" s="312" t="str">
        <f>IF(OR($E204="",$D204="",$I204="",$J204=""),"",INDEX('Emission factors'!$K$3:$V$201,MATCH('Buildings - Heat &amp; Fuels'!$E204,'Emission factors'!$J$3:$J$201,0),MATCH($L$6,'Emission factors'!$K$2:$V$2,0)))</f>
        <v/>
      </c>
      <c r="M204" s="313" t="str" cm="1">
        <f t="array" ref="M204">IF(OR(E204="",I204="",BuildingsHeatFuelsTable[[#This Row],[Units]]=""),"",INDEX('Emission factors'!$K$3:$V$201,MATCH('Buildings - Heat &amp; Fuels'!$E204&amp;F204,'Emission factors'!$J$3:$J$201&amp;'Emission factors'!$K$3:$K$201,0),MATCH('Buildings - Heat &amp; Fuels'!$M$6,'Emission factors'!$K$2:$V$2,0)))</f>
        <v/>
      </c>
      <c r="N204" s="156" t="str">
        <f>IF(OR(K204="",M204=""),"",SUM(BuildingsHeatFuelsTable[[#This Row],[Direct]:[Indirect WTT]]))</f>
        <v/>
      </c>
      <c r="O204" s="71"/>
      <c r="P204" s="72"/>
      <c r="Q204" s="157" t="str" cm="1">
        <f t="array" ref="Q204">IF(OR($E204="",$I204=""),"",(INDEX('Emission factors'!$K$3:$V$201,MATCH('Buildings - Heat &amp; Fuels'!$E204&amp;$F204,'Emission factors'!$J$3:$J$201&amp;'Emission factors'!$K$3:$K$201,0),MATCH('Buildings - Heat &amp; Fuels'!Q$6,'Emission factors'!$K$2:$V$2,0)))*$K204)</f>
        <v/>
      </c>
      <c r="R204" s="157" t="str" cm="1">
        <f t="array" ref="R204">IF(OR($E204="",$I204=""),"",(INDEX('Emission factors'!$K$3:$V$201,MATCH('Buildings - Heat &amp; Fuels'!$E204&amp;$F204,'Emission factors'!$J$3:$J$201&amp;'Emission factors'!$K$3:$K$201,0),MATCH('Buildings - Heat &amp; Fuels'!R$6,'Emission factors'!$K$2:$V$2,0)))*$K204)</f>
        <v/>
      </c>
      <c r="S204" s="157" t="str" cm="1">
        <f t="array" ref="S204">IF(OR($E204="",$I204=""),"",(INDEX('Emission factors'!$K$3:$V$201,MATCH('Buildings - Heat &amp; Fuels'!$E204&amp;$F204,'Emission factors'!$J$3:$J$201&amp;'Emission factors'!$K$3:$K$201,0),MATCH('Buildings - Heat &amp; Fuels'!S$6,'Emission factors'!$K$2:$V$2,0)))*$K204)</f>
        <v/>
      </c>
      <c r="T204" s="157" t="str" cm="1">
        <f t="array" ref="T204">IF(OR($E204="",$I204=""),"",(INDEX('Emission factors'!$K$3:$V$201,MATCH('Buildings - Heat &amp; Fuels'!$E204&amp;$F204,'Emission factors'!$J$3:$J$201&amp;'Emission factors'!$K$3:$K$201,0),MATCH('Buildings - Heat &amp; Fuels'!T$6,'Emission factors'!$K$2:$V$2,0)))*$K204)</f>
        <v/>
      </c>
      <c r="U204" s="157" t="str" cm="1">
        <f t="array" ref="U204">IF(OR($E204="",$I204=""),"",(INDEX('Emission factors'!$K$3:$V$201,MATCH('Buildings - Heat &amp; Fuels'!$E204&amp;$F204,'Emission factors'!$J$3:$J$201&amp;'Emission factors'!$K$3:$K$201,0),MATCH('Buildings - Heat &amp; Fuels'!U$6,'Emission factors'!$K$2:$V$2,0)))*$K204)</f>
        <v/>
      </c>
      <c r="V204" s="158" t="str">
        <f>IF(OR($N204="",BuildingsHeatFuelsTable[[#This Row],[RSD]]=""),"",BuildingsHeatFuelsTable[[#This Row],[Total emissions (kgCO2e)]]*(1+BuildingsHeatFuelsTable[[#This Row],[RSD]]))</f>
        <v/>
      </c>
      <c r="W204" s="159" t="str">
        <f>IF(OR($N204="",BuildingsHeatFuelsTable[[#This Row],[RSD]]=""),"",BuildingsHeatFuelsTable[[#This Row],[Total emissions (kgCO2e)]]*(1-BuildingsHeatFuelsTable[[#This Row],[RSD]]))</f>
        <v/>
      </c>
      <c r="X204" s="169" t="str" cm="1">
        <f t="array" ref="X204">IF(OR($E204="",$I204=""),"",(INDEX('Emission factors'!$K$3:$V$201,MATCH('Buildings - Heat &amp; Fuels'!$E204&amp;$F204,'Emission factors'!$J$3:$J$201&amp;'Emission factors'!$K$3:$K$201,0),MATCH('Buildings - Heat &amp; Fuels'!X$6,'Emission factors'!$K$2:$V$2,0)))*$K204)</f>
        <v/>
      </c>
      <c r="Y204" s="30"/>
      <c r="Z204" s="1" cm="1">
        <f t="array" ref="Z204">IF(OR(ISERROR(B204:X204)),1,0)</f>
        <v>0</v>
      </c>
      <c r="AA204" s="1">
        <f t="shared" si="0"/>
        <v>0</v>
      </c>
    </row>
    <row r="205" spans="1:27" ht="15" outlineLevel="1" thickBot="1" x14ac:dyDescent="0.4">
      <c r="A205" s="319"/>
      <c r="B205" s="216"/>
      <c r="C205" s="215"/>
      <c r="D205" s="233" t="str">
        <f>IFERROR(INDEX(BuildingInformationTable[Site type],MATCH(BuildingsHeatFuelsTable[[#This Row],[Site name]],BuildingInformationTable[Site name],0)),"")</f>
        <v/>
      </c>
      <c r="E205" s="72"/>
      <c r="F205" s="72"/>
      <c r="G205" s="72"/>
      <c r="H205" s="98" t="str">
        <f>IF(G205="","",INDEX(Lists!$BA$4:$BC$31,MATCH(E205,Lists!$AZ$4:$AZ$31,0),MATCH(G205,Lists!$BA$3:$BC$3,0)))</f>
        <v/>
      </c>
      <c r="I205" s="70"/>
      <c r="J205" s="72"/>
      <c r="K205" s="75" t="str" cm="1">
        <f t="array" ref="K205">IF(OR($E205="",$D205="",$I205="",$J205=""),"",IF(J205=L205,I205,(INDEX('Emission factors'!$K$3:$V$201,MATCH(E205&amp;F205,'Emission factors'!$J$3:$J$201&amp;'Emission factors'!$K$3:$K$201,0),MATCH(K$6,'Emission factors'!$K$2:$V$2,0)))*I205))</f>
        <v/>
      </c>
      <c r="L205" s="312" t="str">
        <f>IF(OR($E205="",$D205="",$I205="",$J205=""),"",INDEX('Emission factors'!$K$3:$V$201,MATCH('Buildings - Heat &amp; Fuels'!$E205,'Emission factors'!$J$3:$J$201,0),MATCH($L$6,'Emission factors'!$K$2:$V$2,0)))</f>
        <v/>
      </c>
      <c r="M205" s="313" t="str" cm="1">
        <f t="array" ref="M205">IF(OR(E205="",I205="",BuildingsHeatFuelsTable[[#This Row],[Units]]=""),"",INDEX('Emission factors'!$K$3:$V$201,MATCH('Buildings - Heat &amp; Fuels'!$E205&amp;F205,'Emission factors'!$J$3:$J$201&amp;'Emission factors'!$K$3:$K$201,0),MATCH('Buildings - Heat &amp; Fuels'!$M$6,'Emission factors'!$K$2:$V$2,0)))</f>
        <v/>
      </c>
      <c r="N205" s="156" t="str">
        <f>IF(OR(K205="",M205=""),"",SUM(BuildingsHeatFuelsTable[[#This Row],[Direct]:[Indirect WTT]]))</f>
        <v/>
      </c>
      <c r="O205" s="71"/>
      <c r="P205" s="72"/>
      <c r="Q205" s="157" t="str" cm="1">
        <f t="array" ref="Q205">IF(OR($E205="",$I205=""),"",(INDEX('Emission factors'!$K$3:$V$201,MATCH('Buildings - Heat &amp; Fuels'!$E205&amp;$F205,'Emission factors'!$J$3:$J$201&amp;'Emission factors'!$K$3:$K$201,0),MATCH('Buildings - Heat &amp; Fuels'!Q$6,'Emission factors'!$K$2:$V$2,0)))*$K205)</f>
        <v/>
      </c>
      <c r="R205" s="157" t="str" cm="1">
        <f t="array" ref="R205">IF(OR($E205="",$I205=""),"",(INDEX('Emission factors'!$K$3:$V$201,MATCH('Buildings - Heat &amp; Fuels'!$E205&amp;$F205,'Emission factors'!$J$3:$J$201&amp;'Emission factors'!$K$3:$K$201,0),MATCH('Buildings - Heat &amp; Fuels'!R$6,'Emission factors'!$K$2:$V$2,0)))*$K205)</f>
        <v/>
      </c>
      <c r="S205" s="157" t="str" cm="1">
        <f t="array" ref="S205">IF(OR($E205="",$I205=""),"",(INDEX('Emission factors'!$K$3:$V$201,MATCH('Buildings - Heat &amp; Fuels'!$E205&amp;$F205,'Emission factors'!$J$3:$J$201&amp;'Emission factors'!$K$3:$K$201,0),MATCH('Buildings - Heat &amp; Fuels'!S$6,'Emission factors'!$K$2:$V$2,0)))*$K205)</f>
        <v/>
      </c>
      <c r="T205" s="157" t="str" cm="1">
        <f t="array" ref="T205">IF(OR($E205="",$I205=""),"",(INDEX('Emission factors'!$K$3:$V$201,MATCH('Buildings - Heat &amp; Fuels'!$E205&amp;$F205,'Emission factors'!$J$3:$J$201&amp;'Emission factors'!$K$3:$K$201,0),MATCH('Buildings - Heat &amp; Fuels'!T$6,'Emission factors'!$K$2:$V$2,0)))*$K205)</f>
        <v/>
      </c>
      <c r="U205" s="157" t="str" cm="1">
        <f t="array" ref="U205">IF(OR($E205="",$I205=""),"",(INDEX('Emission factors'!$K$3:$V$201,MATCH('Buildings - Heat &amp; Fuels'!$E205&amp;$F205,'Emission factors'!$J$3:$J$201&amp;'Emission factors'!$K$3:$K$201,0),MATCH('Buildings - Heat &amp; Fuels'!U$6,'Emission factors'!$K$2:$V$2,0)))*$K205)</f>
        <v/>
      </c>
      <c r="V205" s="158" t="str">
        <f>IF(OR($N205="",BuildingsHeatFuelsTable[[#This Row],[RSD]]=""),"",BuildingsHeatFuelsTable[[#This Row],[Total emissions (kgCO2e)]]*(1+BuildingsHeatFuelsTable[[#This Row],[RSD]]))</f>
        <v/>
      </c>
      <c r="W205" s="159" t="str">
        <f>IF(OR($N205="",BuildingsHeatFuelsTable[[#This Row],[RSD]]=""),"",BuildingsHeatFuelsTable[[#This Row],[Total emissions (kgCO2e)]]*(1-BuildingsHeatFuelsTable[[#This Row],[RSD]]))</f>
        <v/>
      </c>
      <c r="X205" s="169" t="str" cm="1">
        <f t="array" ref="X205">IF(OR($E205="",$I205=""),"",(INDEX('Emission factors'!$K$3:$V$201,MATCH('Buildings - Heat &amp; Fuels'!$E205&amp;$F205,'Emission factors'!$J$3:$J$201&amp;'Emission factors'!$K$3:$K$201,0),MATCH('Buildings - Heat &amp; Fuels'!X$6,'Emission factors'!$K$2:$V$2,0)))*$K205)</f>
        <v/>
      </c>
      <c r="Y205" s="30"/>
      <c r="Z205" s="1" cm="1">
        <f t="array" ref="Z205">IF(OR(ISERROR(B205:X205)),1,0)</f>
        <v>0</v>
      </c>
      <c r="AA205" s="1">
        <f t="shared" si="0"/>
        <v>0</v>
      </c>
    </row>
    <row r="206" spans="1:27" ht="15" outlineLevel="1" thickBot="1" x14ac:dyDescent="0.4">
      <c r="A206" s="319"/>
      <c r="B206" s="216"/>
      <c r="C206" s="215"/>
      <c r="D206" s="233" t="str">
        <f>IFERROR(INDEX(BuildingInformationTable[Site type],MATCH(BuildingsHeatFuelsTable[[#This Row],[Site name]],BuildingInformationTable[Site name],0)),"")</f>
        <v/>
      </c>
      <c r="E206" s="72"/>
      <c r="F206" s="72"/>
      <c r="G206" s="72"/>
      <c r="H206" s="98" t="str">
        <f>IF(G206="","",INDEX(Lists!$BA$4:$BC$31,MATCH(E206,Lists!$AZ$4:$AZ$31,0),MATCH(G206,Lists!$BA$3:$BC$3,0)))</f>
        <v/>
      </c>
      <c r="I206" s="70"/>
      <c r="J206" s="72"/>
      <c r="K206" s="75" t="str" cm="1">
        <f t="array" ref="K206">IF(OR($E206="",$D206="",$I206="",$J206=""),"",IF(J206=L206,I206,(INDEX('Emission factors'!$K$3:$V$201,MATCH(E206&amp;F206,'Emission factors'!$J$3:$J$201&amp;'Emission factors'!$K$3:$K$201,0),MATCH(K$6,'Emission factors'!$K$2:$V$2,0)))*I206))</f>
        <v/>
      </c>
      <c r="L206" s="312" t="str">
        <f>IF(OR($E206="",$D206="",$I206="",$J206=""),"",INDEX('Emission factors'!$K$3:$V$201,MATCH('Buildings - Heat &amp; Fuels'!$E206,'Emission factors'!$J$3:$J$201,0),MATCH($L$6,'Emission factors'!$K$2:$V$2,0)))</f>
        <v/>
      </c>
      <c r="M206" s="313" t="str" cm="1">
        <f t="array" ref="M206">IF(OR(E206="",I206="",BuildingsHeatFuelsTable[[#This Row],[Units]]=""),"",INDEX('Emission factors'!$K$3:$V$201,MATCH('Buildings - Heat &amp; Fuels'!$E206&amp;F206,'Emission factors'!$J$3:$J$201&amp;'Emission factors'!$K$3:$K$201,0),MATCH('Buildings - Heat &amp; Fuels'!$M$6,'Emission factors'!$K$2:$V$2,0)))</f>
        <v/>
      </c>
      <c r="N206" s="156" t="str">
        <f>IF(OR(K206="",M206=""),"",SUM(BuildingsHeatFuelsTable[[#This Row],[Direct]:[Indirect WTT]]))</f>
        <v/>
      </c>
      <c r="O206" s="71"/>
      <c r="P206" s="72"/>
      <c r="Q206" s="157" t="str" cm="1">
        <f t="array" ref="Q206">IF(OR($E206="",$I206=""),"",(INDEX('Emission factors'!$K$3:$V$201,MATCH('Buildings - Heat &amp; Fuels'!$E206&amp;$F206,'Emission factors'!$J$3:$J$201&amp;'Emission factors'!$K$3:$K$201,0),MATCH('Buildings - Heat &amp; Fuels'!Q$6,'Emission factors'!$K$2:$V$2,0)))*$K206)</f>
        <v/>
      </c>
      <c r="R206" s="157" t="str" cm="1">
        <f t="array" ref="R206">IF(OR($E206="",$I206=""),"",(INDEX('Emission factors'!$K$3:$V$201,MATCH('Buildings - Heat &amp; Fuels'!$E206&amp;$F206,'Emission factors'!$J$3:$J$201&amp;'Emission factors'!$K$3:$K$201,0),MATCH('Buildings - Heat &amp; Fuels'!R$6,'Emission factors'!$K$2:$V$2,0)))*$K206)</f>
        <v/>
      </c>
      <c r="S206" s="157" t="str" cm="1">
        <f t="array" ref="S206">IF(OR($E206="",$I206=""),"",(INDEX('Emission factors'!$K$3:$V$201,MATCH('Buildings - Heat &amp; Fuels'!$E206&amp;$F206,'Emission factors'!$J$3:$J$201&amp;'Emission factors'!$K$3:$K$201,0),MATCH('Buildings - Heat &amp; Fuels'!S$6,'Emission factors'!$K$2:$V$2,0)))*$K206)</f>
        <v/>
      </c>
      <c r="T206" s="157" t="str" cm="1">
        <f t="array" ref="T206">IF(OR($E206="",$I206=""),"",(INDEX('Emission factors'!$K$3:$V$201,MATCH('Buildings - Heat &amp; Fuels'!$E206&amp;$F206,'Emission factors'!$J$3:$J$201&amp;'Emission factors'!$K$3:$K$201,0),MATCH('Buildings - Heat &amp; Fuels'!T$6,'Emission factors'!$K$2:$V$2,0)))*$K206)</f>
        <v/>
      </c>
      <c r="U206" s="157" t="str" cm="1">
        <f t="array" ref="U206">IF(OR($E206="",$I206=""),"",(INDEX('Emission factors'!$K$3:$V$201,MATCH('Buildings - Heat &amp; Fuels'!$E206&amp;$F206,'Emission factors'!$J$3:$J$201&amp;'Emission factors'!$K$3:$K$201,0),MATCH('Buildings - Heat &amp; Fuels'!U$6,'Emission factors'!$K$2:$V$2,0)))*$K206)</f>
        <v/>
      </c>
      <c r="V206" s="158" t="str">
        <f>IF(OR($N206="",BuildingsHeatFuelsTable[[#This Row],[RSD]]=""),"",BuildingsHeatFuelsTable[[#This Row],[Total emissions (kgCO2e)]]*(1+BuildingsHeatFuelsTable[[#This Row],[RSD]]))</f>
        <v/>
      </c>
      <c r="W206" s="159" t="str">
        <f>IF(OR($N206="",BuildingsHeatFuelsTable[[#This Row],[RSD]]=""),"",BuildingsHeatFuelsTable[[#This Row],[Total emissions (kgCO2e)]]*(1-BuildingsHeatFuelsTable[[#This Row],[RSD]]))</f>
        <v/>
      </c>
      <c r="X206" s="169" t="str" cm="1">
        <f t="array" ref="X206">IF(OR($E206="",$I206=""),"",(INDEX('Emission factors'!$K$3:$V$201,MATCH('Buildings - Heat &amp; Fuels'!$E206&amp;$F206,'Emission factors'!$J$3:$J$201&amp;'Emission factors'!$K$3:$K$201,0),MATCH('Buildings - Heat &amp; Fuels'!X$6,'Emission factors'!$K$2:$V$2,0)))*$K206)</f>
        <v/>
      </c>
      <c r="Y206" s="30"/>
      <c r="Z206" s="1" cm="1">
        <f t="array" ref="Z206">IF(OR(ISERROR(B206:X206)),1,0)</f>
        <v>0</v>
      </c>
      <c r="AA206" s="1">
        <f t="shared" si="0"/>
        <v>0</v>
      </c>
    </row>
    <row r="207" spans="1:27" ht="15" outlineLevel="1" thickBot="1" x14ac:dyDescent="0.4">
      <c r="A207" s="319"/>
      <c r="B207" s="216"/>
      <c r="C207" s="215"/>
      <c r="D207" s="233" t="str">
        <f>IFERROR(INDEX(BuildingInformationTable[Site type],MATCH(BuildingsHeatFuelsTable[[#This Row],[Site name]],BuildingInformationTable[Site name],0)),"")</f>
        <v/>
      </c>
      <c r="E207" s="72"/>
      <c r="F207" s="72"/>
      <c r="G207" s="72"/>
      <c r="H207" s="98" t="str">
        <f>IF(G207="","",INDEX(Lists!$BA$4:$BC$31,MATCH(E207,Lists!$AZ$4:$AZ$31,0),MATCH(G207,Lists!$BA$3:$BC$3,0)))</f>
        <v/>
      </c>
      <c r="I207" s="70"/>
      <c r="J207" s="72"/>
      <c r="K207" s="75" t="str" cm="1">
        <f t="array" ref="K207">IF(OR($E207="",$D207="",$I207="",$J207=""),"",IF(J207=L207,I207,(INDEX('Emission factors'!$K$3:$V$201,MATCH(E207&amp;F207,'Emission factors'!$J$3:$J$201&amp;'Emission factors'!$K$3:$K$201,0),MATCH(K$6,'Emission factors'!$K$2:$V$2,0)))*I207))</f>
        <v/>
      </c>
      <c r="L207" s="312" t="str">
        <f>IF(OR($E207="",$D207="",$I207="",$J207=""),"",INDEX('Emission factors'!$K$3:$V$201,MATCH('Buildings - Heat &amp; Fuels'!$E207,'Emission factors'!$J$3:$J$201,0),MATCH($L$6,'Emission factors'!$K$2:$V$2,0)))</f>
        <v/>
      </c>
      <c r="M207" s="313" t="str" cm="1">
        <f t="array" ref="M207">IF(OR(E207="",I207="",BuildingsHeatFuelsTable[[#This Row],[Units]]=""),"",INDEX('Emission factors'!$K$3:$V$201,MATCH('Buildings - Heat &amp; Fuels'!$E207&amp;F207,'Emission factors'!$J$3:$J$201&amp;'Emission factors'!$K$3:$K$201,0),MATCH('Buildings - Heat &amp; Fuels'!$M$6,'Emission factors'!$K$2:$V$2,0)))</f>
        <v/>
      </c>
      <c r="N207" s="156" t="str">
        <f>IF(OR(K207="",M207=""),"",SUM(BuildingsHeatFuelsTable[[#This Row],[Direct]:[Indirect WTT]]))</f>
        <v/>
      </c>
      <c r="O207" s="71"/>
      <c r="P207" s="72"/>
      <c r="Q207" s="157" t="str" cm="1">
        <f t="array" ref="Q207">IF(OR($E207="",$I207=""),"",(INDEX('Emission factors'!$K$3:$V$201,MATCH('Buildings - Heat &amp; Fuels'!$E207&amp;$F207,'Emission factors'!$J$3:$J$201&amp;'Emission factors'!$K$3:$K$201,0),MATCH('Buildings - Heat &amp; Fuels'!Q$6,'Emission factors'!$K$2:$V$2,0)))*$K207)</f>
        <v/>
      </c>
      <c r="R207" s="157" t="str" cm="1">
        <f t="array" ref="R207">IF(OR($E207="",$I207=""),"",(INDEX('Emission factors'!$K$3:$V$201,MATCH('Buildings - Heat &amp; Fuels'!$E207&amp;$F207,'Emission factors'!$J$3:$J$201&amp;'Emission factors'!$K$3:$K$201,0),MATCH('Buildings - Heat &amp; Fuels'!R$6,'Emission factors'!$K$2:$V$2,0)))*$K207)</f>
        <v/>
      </c>
      <c r="S207" s="157" t="str" cm="1">
        <f t="array" ref="S207">IF(OR($E207="",$I207=""),"",(INDEX('Emission factors'!$K$3:$V$201,MATCH('Buildings - Heat &amp; Fuels'!$E207&amp;$F207,'Emission factors'!$J$3:$J$201&amp;'Emission factors'!$K$3:$K$201,0),MATCH('Buildings - Heat &amp; Fuels'!S$6,'Emission factors'!$K$2:$V$2,0)))*$K207)</f>
        <v/>
      </c>
      <c r="T207" s="157" t="str" cm="1">
        <f t="array" ref="T207">IF(OR($E207="",$I207=""),"",(INDEX('Emission factors'!$K$3:$V$201,MATCH('Buildings - Heat &amp; Fuels'!$E207&amp;$F207,'Emission factors'!$J$3:$J$201&amp;'Emission factors'!$K$3:$K$201,0),MATCH('Buildings - Heat &amp; Fuels'!T$6,'Emission factors'!$K$2:$V$2,0)))*$K207)</f>
        <v/>
      </c>
      <c r="U207" s="157" t="str" cm="1">
        <f t="array" ref="U207">IF(OR($E207="",$I207=""),"",(INDEX('Emission factors'!$K$3:$V$201,MATCH('Buildings - Heat &amp; Fuels'!$E207&amp;$F207,'Emission factors'!$J$3:$J$201&amp;'Emission factors'!$K$3:$K$201,0),MATCH('Buildings - Heat &amp; Fuels'!U$6,'Emission factors'!$K$2:$V$2,0)))*$K207)</f>
        <v/>
      </c>
      <c r="V207" s="158" t="str">
        <f>IF(OR($N207="",BuildingsHeatFuelsTable[[#This Row],[RSD]]=""),"",BuildingsHeatFuelsTable[[#This Row],[Total emissions (kgCO2e)]]*(1+BuildingsHeatFuelsTable[[#This Row],[RSD]]))</f>
        <v/>
      </c>
      <c r="W207" s="159" t="str">
        <f>IF(OR($N207="",BuildingsHeatFuelsTable[[#This Row],[RSD]]=""),"",BuildingsHeatFuelsTable[[#This Row],[Total emissions (kgCO2e)]]*(1-BuildingsHeatFuelsTable[[#This Row],[RSD]]))</f>
        <v/>
      </c>
      <c r="X207" s="169" t="str" cm="1">
        <f t="array" ref="X207">IF(OR($E207="",$I207=""),"",(INDEX('Emission factors'!$K$3:$V$201,MATCH('Buildings - Heat &amp; Fuels'!$E207&amp;$F207,'Emission factors'!$J$3:$J$201&amp;'Emission factors'!$K$3:$K$201,0),MATCH('Buildings - Heat &amp; Fuels'!X$6,'Emission factors'!$K$2:$V$2,0)))*$K207)</f>
        <v/>
      </c>
      <c r="Y207" s="30"/>
      <c r="Z207" s="1" cm="1">
        <f t="array" ref="Z207">IF(OR(ISERROR(B207:X207)),1,0)</f>
        <v>0</v>
      </c>
      <c r="AA207" s="1">
        <f t="shared" si="0"/>
        <v>0</v>
      </c>
    </row>
    <row r="208" spans="1:27" ht="15" outlineLevel="1" thickBot="1" x14ac:dyDescent="0.4">
      <c r="A208" s="319"/>
      <c r="B208" s="216"/>
      <c r="C208" s="215"/>
      <c r="D208" s="233" t="str">
        <f>IFERROR(INDEX(BuildingInformationTable[Site type],MATCH(BuildingsHeatFuelsTable[[#This Row],[Site name]],BuildingInformationTable[Site name],0)),"")</f>
        <v/>
      </c>
      <c r="E208" s="72"/>
      <c r="F208" s="72"/>
      <c r="G208" s="72"/>
      <c r="H208" s="98" t="str">
        <f>IF(G208="","",INDEX(Lists!$BA$4:$BC$31,MATCH(E208,Lists!$AZ$4:$AZ$31,0),MATCH(G208,Lists!$BA$3:$BC$3,0)))</f>
        <v/>
      </c>
      <c r="I208" s="70"/>
      <c r="J208" s="72"/>
      <c r="K208" s="75" t="str" cm="1">
        <f t="array" ref="K208">IF(OR($E208="",$D208="",$I208="",$J208=""),"",IF(J208=L208,I208,(INDEX('Emission factors'!$K$3:$V$201,MATCH(E208&amp;F208,'Emission factors'!$J$3:$J$201&amp;'Emission factors'!$K$3:$K$201,0),MATCH(K$6,'Emission factors'!$K$2:$V$2,0)))*I208))</f>
        <v/>
      </c>
      <c r="L208" s="312" t="str">
        <f>IF(OR($E208="",$D208="",$I208="",$J208=""),"",INDEX('Emission factors'!$K$3:$V$201,MATCH('Buildings - Heat &amp; Fuels'!$E208,'Emission factors'!$J$3:$J$201,0),MATCH($L$6,'Emission factors'!$K$2:$V$2,0)))</f>
        <v/>
      </c>
      <c r="M208" s="313" t="str" cm="1">
        <f t="array" ref="M208">IF(OR(E208="",I208="",BuildingsHeatFuelsTable[[#This Row],[Units]]=""),"",INDEX('Emission factors'!$K$3:$V$201,MATCH('Buildings - Heat &amp; Fuels'!$E208&amp;F208,'Emission factors'!$J$3:$J$201&amp;'Emission factors'!$K$3:$K$201,0),MATCH('Buildings - Heat &amp; Fuels'!$M$6,'Emission factors'!$K$2:$V$2,0)))</f>
        <v/>
      </c>
      <c r="N208" s="156" t="str">
        <f>IF(OR(K208="",M208=""),"",SUM(BuildingsHeatFuelsTable[[#This Row],[Direct]:[Indirect WTT]]))</f>
        <v/>
      </c>
      <c r="O208" s="71"/>
      <c r="P208" s="72"/>
      <c r="Q208" s="157" t="str" cm="1">
        <f t="array" ref="Q208">IF(OR($E208="",$I208=""),"",(INDEX('Emission factors'!$K$3:$V$201,MATCH('Buildings - Heat &amp; Fuels'!$E208&amp;$F208,'Emission factors'!$J$3:$J$201&amp;'Emission factors'!$K$3:$K$201,0),MATCH('Buildings - Heat &amp; Fuels'!Q$6,'Emission factors'!$K$2:$V$2,0)))*$K208)</f>
        <v/>
      </c>
      <c r="R208" s="157" t="str" cm="1">
        <f t="array" ref="R208">IF(OR($E208="",$I208=""),"",(INDEX('Emission factors'!$K$3:$V$201,MATCH('Buildings - Heat &amp; Fuels'!$E208&amp;$F208,'Emission factors'!$J$3:$J$201&amp;'Emission factors'!$K$3:$K$201,0),MATCH('Buildings - Heat &amp; Fuels'!R$6,'Emission factors'!$K$2:$V$2,0)))*$K208)</f>
        <v/>
      </c>
      <c r="S208" s="157" t="str" cm="1">
        <f t="array" ref="S208">IF(OR($E208="",$I208=""),"",(INDEX('Emission factors'!$K$3:$V$201,MATCH('Buildings - Heat &amp; Fuels'!$E208&amp;$F208,'Emission factors'!$J$3:$J$201&amp;'Emission factors'!$K$3:$K$201,0),MATCH('Buildings - Heat &amp; Fuels'!S$6,'Emission factors'!$K$2:$V$2,0)))*$K208)</f>
        <v/>
      </c>
      <c r="T208" s="157" t="str" cm="1">
        <f t="array" ref="T208">IF(OR($E208="",$I208=""),"",(INDEX('Emission factors'!$K$3:$V$201,MATCH('Buildings - Heat &amp; Fuels'!$E208&amp;$F208,'Emission factors'!$J$3:$J$201&amp;'Emission factors'!$K$3:$K$201,0),MATCH('Buildings - Heat &amp; Fuels'!T$6,'Emission factors'!$K$2:$V$2,0)))*$K208)</f>
        <v/>
      </c>
      <c r="U208" s="157" t="str" cm="1">
        <f t="array" ref="U208">IF(OR($E208="",$I208=""),"",(INDEX('Emission factors'!$K$3:$V$201,MATCH('Buildings - Heat &amp; Fuels'!$E208&amp;$F208,'Emission factors'!$J$3:$J$201&amp;'Emission factors'!$K$3:$K$201,0),MATCH('Buildings - Heat &amp; Fuels'!U$6,'Emission factors'!$K$2:$V$2,0)))*$K208)</f>
        <v/>
      </c>
      <c r="V208" s="158" t="str">
        <f>IF(OR($N208="",BuildingsHeatFuelsTable[[#This Row],[RSD]]=""),"",BuildingsHeatFuelsTable[[#This Row],[Total emissions (kgCO2e)]]*(1+BuildingsHeatFuelsTable[[#This Row],[RSD]]))</f>
        <v/>
      </c>
      <c r="W208" s="159" t="str">
        <f>IF(OR($N208="",BuildingsHeatFuelsTable[[#This Row],[RSD]]=""),"",BuildingsHeatFuelsTable[[#This Row],[Total emissions (kgCO2e)]]*(1-BuildingsHeatFuelsTable[[#This Row],[RSD]]))</f>
        <v/>
      </c>
      <c r="X208" s="169" t="str" cm="1">
        <f t="array" ref="X208">IF(OR($E208="",$I208=""),"",(INDEX('Emission factors'!$K$3:$V$201,MATCH('Buildings - Heat &amp; Fuels'!$E208&amp;$F208,'Emission factors'!$J$3:$J$201&amp;'Emission factors'!$K$3:$K$201,0),MATCH('Buildings - Heat &amp; Fuels'!X$6,'Emission factors'!$K$2:$V$2,0)))*$K208)</f>
        <v/>
      </c>
      <c r="Y208" s="30"/>
      <c r="Z208" s="1" cm="1">
        <f t="array" ref="Z208">IF(OR(ISERROR(B208:X208)),1,0)</f>
        <v>0</v>
      </c>
      <c r="AA208" s="1">
        <f t="shared" si="0"/>
        <v>0</v>
      </c>
    </row>
    <row r="209" spans="1:27" ht="15" outlineLevel="1" thickBot="1" x14ac:dyDescent="0.4">
      <c r="A209" s="319"/>
      <c r="B209" s="216"/>
      <c r="C209" s="215"/>
      <c r="D209" s="233" t="str">
        <f>IFERROR(INDEX(BuildingInformationTable[Site type],MATCH(BuildingsHeatFuelsTable[[#This Row],[Site name]],BuildingInformationTable[Site name],0)),"")</f>
        <v/>
      </c>
      <c r="E209" s="72"/>
      <c r="F209" s="72"/>
      <c r="G209" s="72"/>
      <c r="H209" s="98" t="str">
        <f>IF(G209="","",INDEX(Lists!$BA$4:$BC$31,MATCH(E209,Lists!$AZ$4:$AZ$31,0),MATCH(G209,Lists!$BA$3:$BC$3,0)))</f>
        <v/>
      </c>
      <c r="I209" s="70"/>
      <c r="J209" s="72"/>
      <c r="K209" s="75" t="str" cm="1">
        <f t="array" ref="K209">IF(OR($E209="",$D209="",$I209="",$J209=""),"",IF(J209=L209,I209,(INDEX('Emission factors'!$K$3:$V$201,MATCH(E209&amp;F209,'Emission factors'!$J$3:$J$201&amp;'Emission factors'!$K$3:$K$201,0),MATCH(K$6,'Emission factors'!$K$2:$V$2,0)))*I209))</f>
        <v/>
      </c>
      <c r="L209" s="312" t="str">
        <f>IF(OR($E209="",$D209="",$I209="",$J209=""),"",INDEX('Emission factors'!$K$3:$V$201,MATCH('Buildings - Heat &amp; Fuels'!$E209,'Emission factors'!$J$3:$J$201,0),MATCH($L$6,'Emission factors'!$K$2:$V$2,0)))</f>
        <v/>
      </c>
      <c r="M209" s="313" t="str" cm="1">
        <f t="array" ref="M209">IF(OR(E209="",I209="",BuildingsHeatFuelsTable[[#This Row],[Units]]=""),"",INDEX('Emission factors'!$K$3:$V$201,MATCH('Buildings - Heat &amp; Fuels'!$E209&amp;F209,'Emission factors'!$J$3:$J$201&amp;'Emission factors'!$K$3:$K$201,0),MATCH('Buildings - Heat &amp; Fuels'!$M$6,'Emission factors'!$K$2:$V$2,0)))</f>
        <v/>
      </c>
      <c r="N209" s="156" t="str">
        <f>IF(OR(K209="",M209=""),"",SUM(BuildingsHeatFuelsTable[[#This Row],[Direct]:[Indirect WTT]]))</f>
        <v/>
      </c>
      <c r="O209" s="71"/>
      <c r="P209" s="72"/>
      <c r="Q209" s="157" t="str" cm="1">
        <f t="array" ref="Q209">IF(OR($E209="",$I209=""),"",(INDEX('Emission factors'!$K$3:$V$201,MATCH('Buildings - Heat &amp; Fuels'!$E209&amp;$F209,'Emission factors'!$J$3:$J$201&amp;'Emission factors'!$K$3:$K$201,0),MATCH('Buildings - Heat &amp; Fuels'!Q$6,'Emission factors'!$K$2:$V$2,0)))*$K209)</f>
        <v/>
      </c>
      <c r="R209" s="157" t="str" cm="1">
        <f t="array" ref="R209">IF(OR($E209="",$I209=""),"",(INDEX('Emission factors'!$K$3:$V$201,MATCH('Buildings - Heat &amp; Fuels'!$E209&amp;$F209,'Emission factors'!$J$3:$J$201&amp;'Emission factors'!$K$3:$K$201,0),MATCH('Buildings - Heat &amp; Fuels'!R$6,'Emission factors'!$K$2:$V$2,0)))*$K209)</f>
        <v/>
      </c>
      <c r="S209" s="157" t="str" cm="1">
        <f t="array" ref="S209">IF(OR($E209="",$I209=""),"",(INDEX('Emission factors'!$K$3:$V$201,MATCH('Buildings - Heat &amp; Fuels'!$E209&amp;$F209,'Emission factors'!$J$3:$J$201&amp;'Emission factors'!$K$3:$K$201,0),MATCH('Buildings - Heat &amp; Fuels'!S$6,'Emission factors'!$K$2:$V$2,0)))*$K209)</f>
        <v/>
      </c>
      <c r="T209" s="157" t="str" cm="1">
        <f t="array" ref="T209">IF(OR($E209="",$I209=""),"",(INDEX('Emission factors'!$K$3:$V$201,MATCH('Buildings - Heat &amp; Fuels'!$E209&amp;$F209,'Emission factors'!$J$3:$J$201&amp;'Emission factors'!$K$3:$K$201,0),MATCH('Buildings - Heat &amp; Fuels'!T$6,'Emission factors'!$K$2:$V$2,0)))*$K209)</f>
        <v/>
      </c>
      <c r="U209" s="157" t="str" cm="1">
        <f t="array" ref="U209">IF(OR($E209="",$I209=""),"",(INDEX('Emission factors'!$K$3:$V$201,MATCH('Buildings - Heat &amp; Fuels'!$E209&amp;$F209,'Emission factors'!$J$3:$J$201&amp;'Emission factors'!$K$3:$K$201,0),MATCH('Buildings - Heat &amp; Fuels'!U$6,'Emission factors'!$K$2:$V$2,0)))*$K209)</f>
        <v/>
      </c>
      <c r="V209" s="158" t="str">
        <f>IF(OR($N209="",BuildingsHeatFuelsTable[[#This Row],[RSD]]=""),"",BuildingsHeatFuelsTable[[#This Row],[Total emissions (kgCO2e)]]*(1+BuildingsHeatFuelsTable[[#This Row],[RSD]]))</f>
        <v/>
      </c>
      <c r="W209" s="159" t="str">
        <f>IF(OR($N209="",BuildingsHeatFuelsTable[[#This Row],[RSD]]=""),"",BuildingsHeatFuelsTable[[#This Row],[Total emissions (kgCO2e)]]*(1-BuildingsHeatFuelsTable[[#This Row],[RSD]]))</f>
        <v/>
      </c>
      <c r="X209" s="169" t="str" cm="1">
        <f t="array" ref="X209">IF(OR($E209="",$I209=""),"",(INDEX('Emission factors'!$K$3:$V$201,MATCH('Buildings - Heat &amp; Fuels'!$E209&amp;$F209,'Emission factors'!$J$3:$J$201&amp;'Emission factors'!$K$3:$K$201,0),MATCH('Buildings - Heat &amp; Fuels'!X$6,'Emission factors'!$K$2:$V$2,0)))*$K209)</f>
        <v/>
      </c>
      <c r="Y209" s="30"/>
      <c r="Z209" s="1" cm="1">
        <f t="array" ref="Z209">IF(OR(ISERROR(B209:X209)),1,0)</f>
        <v>0</v>
      </c>
      <c r="AA209" s="1">
        <f t="shared" si="0"/>
        <v>0</v>
      </c>
    </row>
    <row r="210" spans="1:27" ht="15" outlineLevel="1" thickBot="1" x14ac:dyDescent="0.4">
      <c r="A210" s="319"/>
      <c r="B210" s="216"/>
      <c r="C210" s="215"/>
      <c r="D210" s="233" t="str">
        <f>IFERROR(INDEX(BuildingInformationTable[Site type],MATCH(BuildingsHeatFuelsTable[[#This Row],[Site name]],BuildingInformationTable[Site name],0)),"")</f>
        <v/>
      </c>
      <c r="E210" s="72"/>
      <c r="F210" s="72"/>
      <c r="G210" s="72"/>
      <c r="H210" s="98" t="str">
        <f>IF(G210="","",INDEX(Lists!$BA$4:$BC$31,MATCH(E210,Lists!$AZ$4:$AZ$31,0),MATCH(G210,Lists!$BA$3:$BC$3,0)))</f>
        <v/>
      </c>
      <c r="I210" s="70"/>
      <c r="J210" s="72"/>
      <c r="K210" s="75" t="str" cm="1">
        <f t="array" ref="K210">IF(OR($E210="",$D210="",$I210="",$J210=""),"",IF(J210=L210,I210,(INDEX('Emission factors'!$K$3:$V$201,MATCH(E210&amp;F210,'Emission factors'!$J$3:$J$201&amp;'Emission factors'!$K$3:$K$201,0),MATCH(K$6,'Emission factors'!$K$2:$V$2,0)))*I210))</f>
        <v/>
      </c>
      <c r="L210" s="312" t="str">
        <f>IF(OR($E210="",$D210="",$I210="",$J210=""),"",INDEX('Emission factors'!$K$3:$V$201,MATCH('Buildings - Heat &amp; Fuels'!$E210,'Emission factors'!$J$3:$J$201,0),MATCH($L$6,'Emission factors'!$K$2:$V$2,0)))</f>
        <v/>
      </c>
      <c r="M210" s="313" t="str" cm="1">
        <f t="array" ref="M210">IF(OR(E210="",I210="",BuildingsHeatFuelsTable[[#This Row],[Units]]=""),"",INDEX('Emission factors'!$K$3:$V$201,MATCH('Buildings - Heat &amp; Fuels'!$E210&amp;F210,'Emission factors'!$J$3:$J$201&amp;'Emission factors'!$K$3:$K$201,0),MATCH('Buildings - Heat &amp; Fuels'!$M$6,'Emission factors'!$K$2:$V$2,0)))</f>
        <v/>
      </c>
      <c r="N210" s="156" t="str">
        <f>IF(OR(K210="",M210=""),"",SUM(BuildingsHeatFuelsTable[[#This Row],[Direct]:[Indirect WTT]]))</f>
        <v/>
      </c>
      <c r="O210" s="71"/>
      <c r="P210" s="72"/>
      <c r="Q210" s="157" t="str" cm="1">
        <f t="array" ref="Q210">IF(OR($E210="",$I210=""),"",(INDEX('Emission factors'!$K$3:$V$201,MATCH('Buildings - Heat &amp; Fuels'!$E210&amp;$F210,'Emission factors'!$J$3:$J$201&amp;'Emission factors'!$K$3:$K$201,0),MATCH('Buildings - Heat &amp; Fuels'!Q$6,'Emission factors'!$K$2:$V$2,0)))*$K210)</f>
        <v/>
      </c>
      <c r="R210" s="157" t="str" cm="1">
        <f t="array" ref="R210">IF(OR($E210="",$I210=""),"",(INDEX('Emission factors'!$K$3:$V$201,MATCH('Buildings - Heat &amp; Fuels'!$E210&amp;$F210,'Emission factors'!$J$3:$J$201&amp;'Emission factors'!$K$3:$K$201,0),MATCH('Buildings - Heat &amp; Fuels'!R$6,'Emission factors'!$K$2:$V$2,0)))*$K210)</f>
        <v/>
      </c>
      <c r="S210" s="157" t="str" cm="1">
        <f t="array" ref="S210">IF(OR($E210="",$I210=""),"",(INDEX('Emission factors'!$K$3:$V$201,MATCH('Buildings - Heat &amp; Fuels'!$E210&amp;$F210,'Emission factors'!$J$3:$J$201&amp;'Emission factors'!$K$3:$K$201,0),MATCH('Buildings - Heat &amp; Fuels'!S$6,'Emission factors'!$K$2:$V$2,0)))*$K210)</f>
        <v/>
      </c>
      <c r="T210" s="157" t="str" cm="1">
        <f t="array" ref="T210">IF(OR($E210="",$I210=""),"",(INDEX('Emission factors'!$K$3:$V$201,MATCH('Buildings - Heat &amp; Fuels'!$E210&amp;$F210,'Emission factors'!$J$3:$J$201&amp;'Emission factors'!$K$3:$K$201,0),MATCH('Buildings - Heat &amp; Fuels'!T$6,'Emission factors'!$K$2:$V$2,0)))*$K210)</f>
        <v/>
      </c>
      <c r="U210" s="157" t="str" cm="1">
        <f t="array" ref="U210">IF(OR($E210="",$I210=""),"",(INDEX('Emission factors'!$K$3:$V$201,MATCH('Buildings - Heat &amp; Fuels'!$E210&amp;$F210,'Emission factors'!$J$3:$J$201&amp;'Emission factors'!$K$3:$K$201,0),MATCH('Buildings - Heat &amp; Fuels'!U$6,'Emission factors'!$K$2:$V$2,0)))*$K210)</f>
        <v/>
      </c>
      <c r="V210" s="158" t="str">
        <f>IF(OR($N210="",BuildingsHeatFuelsTable[[#This Row],[RSD]]=""),"",BuildingsHeatFuelsTable[[#This Row],[Total emissions (kgCO2e)]]*(1+BuildingsHeatFuelsTable[[#This Row],[RSD]]))</f>
        <v/>
      </c>
      <c r="W210" s="159" t="str">
        <f>IF(OR($N210="",BuildingsHeatFuelsTable[[#This Row],[RSD]]=""),"",BuildingsHeatFuelsTable[[#This Row],[Total emissions (kgCO2e)]]*(1-BuildingsHeatFuelsTable[[#This Row],[RSD]]))</f>
        <v/>
      </c>
      <c r="X210" s="169" t="str" cm="1">
        <f t="array" ref="X210">IF(OR($E210="",$I210=""),"",(INDEX('Emission factors'!$K$3:$V$201,MATCH('Buildings - Heat &amp; Fuels'!$E210&amp;$F210,'Emission factors'!$J$3:$J$201&amp;'Emission factors'!$K$3:$K$201,0),MATCH('Buildings - Heat &amp; Fuels'!X$6,'Emission factors'!$K$2:$V$2,0)))*$K210)</f>
        <v/>
      </c>
      <c r="Y210" s="30"/>
      <c r="Z210" s="1" cm="1">
        <f t="array" ref="Z210">IF(OR(ISERROR(B210:X210)),1,0)</f>
        <v>0</v>
      </c>
      <c r="AA210" s="1">
        <f t="shared" si="0"/>
        <v>0</v>
      </c>
    </row>
    <row r="211" spans="1:27" ht="15" outlineLevel="1" thickBot="1" x14ac:dyDescent="0.4">
      <c r="A211" s="319"/>
      <c r="B211" s="216"/>
      <c r="C211" s="215"/>
      <c r="D211" s="233" t="str">
        <f>IFERROR(INDEX(BuildingInformationTable[Site type],MATCH(BuildingsHeatFuelsTable[[#This Row],[Site name]],BuildingInformationTable[Site name],0)),"")</f>
        <v/>
      </c>
      <c r="E211" s="72"/>
      <c r="F211" s="72"/>
      <c r="G211" s="72"/>
      <c r="H211" s="98" t="str">
        <f>IF(G211="","",INDEX(Lists!$BA$4:$BC$31,MATCH(E211,Lists!$AZ$4:$AZ$31,0),MATCH(G211,Lists!$BA$3:$BC$3,0)))</f>
        <v/>
      </c>
      <c r="I211" s="70"/>
      <c r="J211" s="72"/>
      <c r="K211" s="75" t="str" cm="1">
        <f t="array" ref="K211">IF(OR($E211="",$D211="",$I211="",$J211=""),"",IF(J211=L211,I211,(INDEX('Emission factors'!$K$3:$V$201,MATCH(E211&amp;F211,'Emission factors'!$J$3:$J$201&amp;'Emission factors'!$K$3:$K$201,0),MATCH(K$6,'Emission factors'!$K$2:$V$2,0)))*I211))</f>
        <v/>
      </c>
      <c r="L211" s="312" t="str">
        <f>IF(OR($E211="",$D211="",$I211="",$J211=""),"",INDEX('Emission factors'!$K$3:$V$201,MATCH('Buildings - Heat &amp; Fuels'!$E211,'Emission factors'!$J$3:$J$201,0),MATCH($L$6,'Emission factors'!$K$2:$V$2,0)))</f>
        <v/>
      </c>
      <c r="M211" s="313" t="str" cm="1">
        <f t="array" ref="M211">IF(OR(E211="",I211="",BuildingsHeatFuelsTable[[#This Row],[Units]]=""),"",INDEX('Emission factors'!$K$3:$V$201,MATCH('Buildings - Heat &amp; Fuels'!$E211&amp;F211,'Emission factors'!$J$3:$J$201&amp;'Emission factors'!$K$3:$K$201,0),MATCH('Buildings - Heat &amp; Fuels'!$M$6,'Emission factors'!$K$2:$V$2,0)))</f>
        <v/>
      </c>
      <c r="N211" s="156" t="str">
        <f>IF(OR(K211="",M211=""),"",SUM(BuildingsHeatFuelsTable[[#This Row],[Direct]:[Indirect WTT]]))</f>
        <v/>
      </c>
      <c r="O211" s="71"/>
      <c r="P211" s="72"/>
      <c r="Q211" s="157" t="str" cm="1">
        <f t="array" ref="Q211">IF(OR($E211="",$I211=""),"",(INDEX('Emission factors'!$K$3:$V$201,MATCH('Buildings - Heat &amp; Fuels'!$E211&amp;$F211,'Emission factors'!$J$3:$J$201&amp;'Emission factors'!$K$3:$K$201,0),MATCH('Buildings - Heat &amp; Fuels'!Q$6,'Emission factors'!$K$2:$V$2,0)))*$K211)</f>
        <v/>
      </c>
      <c r="R211" s="157" t="str" cm="1">
        <f t="array" ref="R211">IF(OR($E211="",$I211=""),"",(INDEX('Emission factors'!$K$3:$V$201,MATCH('Buildings - Heat &amp; Fuels'!$E211&amp;$F211,'Emission factors'!$J$3:$J$201&amp;'Emission factors'!$K$3:$K$201,0),MATCH('Buildings - Heat &amp; Fuels'!R$6,'Emission factors'!$K$2:$V$2,0)))*$K211)</f>
        <v/>
      </c>
      <c r="S211" s="157" t="str" cm="1">
        <f t="array" ref="S211">IF(OR($E211="",$I211=""),"",(INDEX('Emission factors'!$K$3:$V$201,MATCH('Buildings - Heat &amp; Fuels'!$E211&amp;$F211,'Emission factors'!$J$3:$J$201&amp;'Emission factors'!$K$3:$K$201,0),MATCH('Buildings - Heat &amp; Fuels'!S$6,'Emission factors'!$K$2:$V$2,0)))*$K211)</f>
        <v/>
      </c>
      <c r="T211" s="157" t="str" cm="1">
        <f t="array" ref="T211">IF(OR($E211="",$I211=""),"",(INDEX('Emission factors'!$K$3:$V$201,MATCH('Buildings - Heat &amp; Fuels'!$E211&amp;$F211,'Emission factors'!$J$3:$J$201&amp;'Emission factors'!$K$3:$K$201,0),MATCH('Buildings - Heat &amp; Fuels'!T$6,'Emission factors'!$K$2:$V$2,0)))*$K211)</f>
        <v/>
      </c>
      <c r="U211" s="157" t="str" cm="1">
        <f t="array" ref="U211">IF(OR($E211="",$I211=""),"",(INDEX('Emission factors'!$K$3:$V$201,MATCH('Buildings - Heat &amp; Fuels'!$E211&amp;$F211,'Emission factors'!$J$3:$J$201&amp;'Emission factors'!$K$3:$K$201,0),MATCH('Buildings - Heat &amp; Fuels'!U$6,'Emission factors'!$K$2:$V$2,0)))*$K211)</f>
        <v/>
      </c>
      <c r="V211" s="158" t="str">
        <f>IF(OR($N211="",BuildingsHeatFuelsTable[[#This Row],[RSD]]=""),"",BuildingsHeatFuelsTable[[#This Row],[Total emissions (kgCO2e)]]*(1+BuildingsHeatFuelsTable[[#This Row],[RSD]]))</f>
        <v/>
      </c>
      <c r="W211" s="159" t="str">
        <f>IF(OR($N211="",BuildingsHeatFuelsTable[[#This Row],[RSD]]=""),"",BuildingsHeatFuelsTable[[#This Row],[Total emissions (kgCO2e)]]*(1-BuildingsHeatFuelsTable[[#This Row],[RSD]]))</f>
        <v/>
      </c>
      <c r="X211" s="169" t="str" cm="1">
        <f t="array" ref="X211">IF(OR($E211="",$I211=""),"",(INDEX('Emission factors'!$K$3:$V$201,MATCH('Buildings - Heat &amp; Fuels'!$E211&amp;$F211,'Emission factors'!$J$3:$J$201&amp;'Emission factors'!$K$3:$K$201,0),MATCH('Buildings - Heat &amp; Fuels'!X$6,'Emission factors'!$K$2:$V$2,0)))*$K211)</f>
        <v/>
      </c>
      <c r="Y211" s="30"/>
      <c r="Z211" s="1" cm="1">
        <f t="array" ref="Z211">IF(OR(ISERROR(B211:X211)),1,0)</f>
        <v>0</v>
      </c>
      <c r="AA211" s="1">
        <f t="shared" si="0"/>
        <v>0</v>
      </c>
    </row>
    <row r="212" spans="1:27" ht="15" outlineLevel="1" thickBot="1" x14ac:dyDescent="0.4">
      <c r="A212" s="319"/>
      <c r="B212" s="216"/>
      <c r="C212" s="215"/>
      <c r="D212" s="233" t="str">
        <f>IFERROR(INDEX(BuildingInformationTable[Site type],MATCH(BuildingsHeatFuelsTable[[#This Row],[Site name]],BuildingInformationTable[Site name],0)),"")</f>
        <v/>
      </c>
      <c r="E212" s="72"/>
      <c r="F212" s="72"/>
      <c r="G212" s="72"/>
      <c r="H212" s="98" t="str">
        <f>IF(G212="","",INDEX(Lists!$BA$4:$BC$31,MATCH(E212,Lists!$AZ$4:$AZ$31,0),MATCH(G212,Lists!$BA$3:$BC$3,0)))</f>
        <v/>
      </c>
      <c r="I212" s="70"/>
      <c r="J212" s="72"/>
      <c r="K212" s="75" t="str" cm="1">
        <f t="array" ref="K212">IF(OR($E212="",$D212="",$I212="",$J212=""),"",IF(J212=L212,I212,(INDEX('Emission factors'!$K$3:$V$201,MATCH(E212&amp;F212,'Emission factors'!$J$3:$J$201&amp;'Emission factors'!$K$3:$K$201,0),MATCH(K$6,'Emission factors'!$K$2:$V$2,0)))*I212))</f>
        <v/>
      </c>
      <c r="L212" s="312" t="str">
        <f>IF(OR($E212="",$D212="",$I212="",$J212=""),"",INDEX('Emission factors'!$K$3:$V$201,MATCH('Buildings - Heat &amp; Fuels'!$E212,'Emission factors'!$J$3:$J$201,0),MATCH($L$6,'Emission factors'!$K$2:$V$2,0)))</f>
        <v/>
      </c>
      <c r="M212" s="313" t="str" cm="1">
        <f t="array" ref="M212">IF(OR(E212="",I212="",BuildingsHeatFuelsTable[[#This Row],[Units]]=""),"",INDEX('Emission factors'!$K$3:$V$201,MATCH('Buildings - Heat &amp; Fuels'!$E212&amp;F212,'Emission factors'!$J$3:$J$201&amp;'Emission factors'!$K$3:$K$201,0),MATCH('Buildings - Heat &amp; Fuels'!$M$6,'Emission factors'!$K$2:$V$2,0)))</f>
        <v/>
      </c>
      <c r="N212" s="156" t="str">
        <f>IF(OR(K212="",M212=""),"",SUM(BuildingsHeatFuelsTable[[#This Row],[Direct]:[Indirect WTT]]))</f>
        <v/>
      </c>
      <c r="O212" s="71"/>
      <c r="P212" s="72"/>
      <c r="Q212" s="157" t="str" cm="1">
        <f t="array" ref="Q212">IF(OR($E212="",$I212=""),"",(INDEX('Emission factors'!$K$3:$V$201,MATCH('Buildings - Heat &amp; Fuels'!$E212&amp;$F212,'Emission factors'!$J$3:$J$201&amp;'Emission factors'!$K$3:$K$201,0),MATCH('Buildings - Heat &amp; Fuels'!Q$6,'Emission factors'!$K$2:$V$2,0)))*$K212)</f>
        <v/>
      </c>
      <c r="R212" s="157" t="str" cm="1">
        <f t="array" ref="R212">IF(OR($E212="",$I212=""),"",(INDEX('Emission factors'!$K$3:$V$201,MATCH('Buildings - Heat &amp; Fuels'!$E212&amp;$F212,'Emission factors'!$J$3:$J$201&amp;'Emission factors'!$K$3:$K$201,0),MATCH('Buildings - Heat &amp; Fuels'!R$6,'Emission factors'!$K$2:$V$2,0)))*$K212)</f>
        <v/>
      </c>
      <c r="S212" s="157" t="str" cm="1">
        <f t="array" ref="S212">IF(OR($E212="",$I212=""),"",(INDEX('Emission factors'!$K$3:$V$201,MATCH('Buildings - Heat &amp; Fuels'!$E212&amp;$F212,'Emission factors'!$J$3:$J$201&amp;'Emission factors'!$K$3:$K$201,0),MATCH('Buildings - Heat &amp; Fuels'!S$6,'Emission factors'!$K$2:$V$2,0)))*$K212)</f>
        <v/>
      </c>
      <c r="T212" s="157" t="str" cm="1">
        <f t="array" ref="T212">IF(OR($E212="",$I212=""),"",(INDEX('Emission factors'!$K$3:$V$201,MATCH('Buildings - Heat &amp; Fuels'!$E212&amp;$F212,'Emission factors'!$J$3:$J$201&amp;'Emission factors'!$K$3:$K$201,0),MATCH('Buildings - Heat &amp; Fuels'!T$6,'Emission factors'!$K$2:$V$2,0)))*$K212)</f>
        <v/>
      </c>
      <c r="U212" s="157" t="str" cm="1">
        <f t="array" ref="U212">IF(OR($E212="",$I212=""),"",(INDEX('Emission factors'!$K$3:$V$201,MATCH('Buildings - Heat &amp; Fuels'!$E212&amp;$F212,'Emission factors'!$J$3:$J$201&amp;'Emission factors'!$K$3:$K$201,0),MATCH('Buildings - Heat &amp; Fuels'!U$6,'Emission factors'!$K$2:$V$2,0)))*$K212)</f>
        <v/>
      </c>
      <c r="V212" s="158" t="str">
        <f>IF(OR($N212="",BuildingsHeatFuelsTable[[#This Row],[RSD]]=""),"",BuildingsHeatFuelsTable[[#This Row],[Total emissions (kgCO2e)]]*(1+BuildingsHeatFuelsTable[[#This Row],[RSD]]))</f>
        <v/>
      </c>
      <c r="W212" s="159" t="str">
        <f>IF(OR($N212="",BuildingsHeatFuelsTable[[#This Row],[RSD]]=""),"",BuildingsHeatFuelsTable[[#This Row],[Total emissions (kgCO2e)]]*(1-BuildingsHeatFuelsTable[[#This Row],[RSD]]))</f>
        <v/>
      </c>
      <c r="X212" s="169" t="str" cm="1">
        <f t="array" ref="X212">IF(OR($E212="",$I212=""),"",(INDEX('Emission factors'!$K$3:$V$201,MATCH('Buildings - Heat &amp; Fuels'!$E212&amp;$F212,'Emission factors'!$J$3:$J$201&amp;'Emission factors'!$K$3:$K$201,0),MATCH('Buildings - Heat &amp; Fuels'!X$6,'Emission factors'!$K$2:$V$2,0)))*$K212)</f>
        <v/>
      </c>
      <c r="Y212" s="30"/>
      <c r="Z212" s="1" cm="1">
        <f t="array" ref="Z212">IF(OR(ISERROR(B212:X212)),1,0)</f>
        <v>0</v>
      </c>
      <c r="AA212" s="1">
        <f t="shared" si="0"/>
        <v>0</v>
      </c>
    </row>
    <row r="213" spans="1:27" ht="15" outlineLevel="1" thickBot="1" x14ac:dyDescent="0.4">
      <c r="A213" s="319"/>
      <c r="B213" s="216"/>
      <c r="C213" s="215"/>
      <c r="D213" s="233" t="str">
        <f>IFERROR(INDEX(BuildingInformationTable[Site type],MATCH(BuildingsHeatFuelsTable[[#This Row],[Site name]],BuildingInformationTable[Site name],0)),"")</f>
        <v/>
      </c>
      <c r="E213" s="72"/>
      <c r="F213" s="72"/>
      <c r="G213" s="72"/>
      <c r="H213" s="98" t="str">
        <f>IF(G213="","",INDEX(Lists!$BA$4:$BC$31,MATCH(E213,Lists!$AZ$4:$AZ$31,0),MATCH(G213,Lists!$BA$3:$BC$3,0)))</f>
        <v/>
      </c>
      <c r="I213" s="70"/>
      <c r="J213" s="72"/>
      <c r="K213" s="75" t="str" cm="1">
        <f t="array" ref="K213">IF(OR($E213="",$D213="",$I213="",$J213=""),"",IF(J213=L213,I213,(INDEX('Emission factors'!$K$3:$V$201,MATCH(E213&amp;F213,'Emission factors'!$J$3:$J$201&amp;'Emission factors'!$K$3:$K$201,0),MATCH(K$6,'Emission factors'!$K$2:$V$2,0)))*I213))</f>
        <v/>
      </c>
      <c r="L213" s="312" t="str">
        <f>IF(OR($E213="",$D213="",$I213="",$J213=""),"",INDEX('Emission factors'!$K$3:$V$201,MATCH('Buildings - Heat &amp; Fuels'!$E213,'Emission factors'!$J$3:$J$201,0),MATCH($L$6,'Emission factors'!$K$2:$V$2,0)))</f>
        <v/>
      </c>
      <c r="M213" s="313" t="str" cm="1">
        <f t="array" ref="M213">IF(OR(E213="",I213="",BuildingsHeatFuelsTable[[#This Row],[Units]]=""),"",INDEX('Emission factors'!$K$3:$V$201,MATCH('Buildings - Heat &amp; Fuels'!$E213&amp;F213,'Emission factors'!$J$3:$J$201&amp;'Emission factors'!$K$3:$K$201,0),MATCH('Buildings - Heat &amp; Fuels'!$M$6,'Emission factors'!$K$2:$V$2,0)))</f>
        <v/>
      </c>
      <c r="N213" s="156" t="str">
        <f>IF(OR(K213="",M213=""),"",SUM(BuildingsHeatFuelsTable[[#This Row],[Direct]:[Indirect WTT]]))</f>
        <v/>
      </c>
      <c r="O213" s="71"/>
      <c r="P213" s="72"/>
      <c r="Q213" s="157" t="str" cm="1">
        <f t="array" ref="Q213">IF(OR($E213="",$I213=""),"",(INDEX('Emission factors'!$K$3:$V$201,MATCH('Buildings - Heat &amp; Fuels'!$E213&amp;$F213,'Emission factors'!$J$3:$J$201&amp;'Emission factors'!$K$3:$K$201,0),MATCH('Buildings - Heat &amp; Fuels'!Q$6,'Emission factors'!$K$2:$V$2,0)))*$K213)</f>
        <v/>
      </c>
      <c r="R213" s="157" t="str" cm="1">
        <f t="array" ref="R213">IF(OR($E213="",$I213=""),"",(INDEX('Emission factors'!$K$3:$V$201,MATCH('Buildings - Heat &amp; Fuels'!$E213&amp;$F213,'Emission factors'!$J$3:$J$201&amp;'Emission factors'!$K$3:$K$201,0),MATCH('Buildings - Heat &amp; Fuels'!R$6,'Emission factors'!$K$2:$V$2,0)))*$K213)</f>
        <v/>
      </c>
      <c r="S213" s="157" t="str" cm="1">
        <f t="array" ref="S213">IF(OR($E213="",$I213=""),"",(INDEX('Emission factors'!$K$3:$V$201,MATCH('Buildings - Heat &amp; Fuels'!$E213&amp;$F213,'Emission factors'!$J$3:$J$201&amp;'Emission factors'!$K$3:$K$201,0),MATCH('Buildings - Heat &amp; Fuels'!S$6,'Emission factors'!$K$2:$V$2,0)))*$K213)</f>
        <v/>
      </c>
      <c r="T213" s="157" t="str" cm="1">
        <f t="array" ref="T213">IF(OR($E213="",$I213=""),"",(INDEX('Emission factors'!$K$3:$V$201,MATCH('Buildings - Heat &amp; Fuels'!$E213&amp;$F213,'Emission factors'!$J$3:$J$201&amp;'Emission factors'!$K$3:$K$201,0),MATCH('Buildings - Heat &amp; Fuels'!T$6,'Emission factors'!$K$2:$V$2,0)))*$K213)</f>
        <v/>
      </c>
      <c r="U213" s="157" t="str" cm="1">
        <f t="array" ref="U213">IF(OR($E213="",$I213=""),"",(INDEX('Emission factors'!$K$3:$V$201,MATCH('Buildings - Heat &amp; Fuels'!$E213&amp;$F213,'Emission factors'!$J$3:$J$201&amp;'Emission factors'!$K$3:$K$201,0),MATCH('Buildings - Heat &amp; Fuels'!U$6,'Emission factors'!$K$2:$V$2,0)))*$K213)</f>
        <v/>
      </c>
      <c r="V213" s="158" t="str">
        <f>IF(OR($N213="",BuildingsHeatFuelsTable[[#This Row],[RSD]]=""),"",BuildingsHeatFuelsTable[[#This Row],[Total emissions (kgCO2e)]]*(1+BuildingsHeatFuelsTable[[#This Row],[RSD]]))</f>
        <v/>
      </c>
      <c r="W213" s="159" t="str">
        <f>IF(OR($N213="",BuildingsHeatFuelsTable[[#This Row],[RSD]]=""),"",BuildingsHeatFuelsTable[[#This Row],[Total emissions (kgCO2e)]]*(1-BuildingsHeatFuelsTable[[#This Row],[RSD]]))</f>
        <v/>
      </c>
      <c r="X213" s="169" t="str" cm="1">
        <f t="array" ref="X213">IF(OR($E213="",$I213=""),"",(INDEX('Emission factors'!$K$3:$V$201,MATCH('Buildings - Heat &amp; Fuels'!$E213&amp;$F213,'Emission factors'!$J$3:$J$201&amp;'Emission factors'!$K$3:$K$201,0),MATCH('Buildings - Heat &amp; Fuels'!X$6,'Emission factors'!$K$2:$V$2,0)))*$K213)</f>
        <v/>
      </c>
      <c r="Y213" s="30"/>
      <c r="Z213" s="1" cm="1">
        <f t="array" ref="Z213">IF(OR(ISERROR(B213:X213)),1,0)</f>
        <v>0</v>
      </c>
      <c r="AA213" s="1">
        <f t="shared" si="0"/>
        <v>0</v>
      </c>
    </row>
    <row r="214" spans="1:27" ht="15" outlineLevel="1" thickBot="1" x14ac:dyDescent="0.4">
      <c r="A214" s="319"/>
      <c r="B214" s="216"/>
      <c r="C214" s="215"/>
      <c r="D214" s="233" t="str">
        <f>IFERROR(INDEX(BuildingInformationTable[Site type],MATCH(BuildingsHeatFuelsTable[[#This Row],[Site name]],BuildingInformationTable[Site name],0)),"")</f>
        <v/>
      </c>
      <c r="E214" s="72"/>
      <c r="F214" s="72"/>
      <c r="G214" s="72"/>
      <c r="H214" s="98" t="str">
        <f>IF(G214="","",INDEX(Lists!$BA$4:$BC$31,MATCH(E214,Lists!$AZ$4:$AZ$31,0),MATCH(G214,Lists!$BA$3:$BC$3,0)))</f>
        <v/>
      </c>
      <c r="I214" s="70"/>
      <c r="J214" s="72"/>
      <c r="K214" s="75" t="str" cm="1">
        <f t="array" ref="K214">IF(OR($E214="",$D214="",$I214="",$J214=""),"",IF(J214=L214,I214,(INDEX('Emission factors'!$K$3:$V$201,MATCH(E214&amp;F214,'Emission factors'!$J$3:$J$201&amp;'Emission factors'!$K$3:$K$201,0),MATCH(K$6,'Emission factors'!$K$2:$V$2,0)))*I214))</f>
        <v/>
      </c>
      <c r="L214" s="312" t="str">
        <f>IF(OR($E214="",$D214="",$I214="",$J214=""),"",INDEX('Emission factors'!$K$3:$V$201,MATCH('Buildings - Heat &amp; Fuels'!$E214,'Emission factors'!$J$3:$J$201,0),MATCH($L$6,'Emission factors'!$K$2:$V$2,0)))</f>
        <v/>
      </c>
      <c r="M214" s="313" t="str" cm="1">
        <f t="array" ref="M214">IF(OR(E214="",I214="",BuildingsHeatFuelsTable[[#This Row],[Units]]=""),"",INDEX('Emission factors'!$K$3:$V$201,MATCH('Buildings - Heat &amp; Fuels'!$E214&amp;F214,'Emission factors'!$J$3:$J$201&amp;'Emission factors'!$K$3:$K$201,0),MATCH('Buildings - Heat &amp; Fuels'!$M$6,'Emission factors'!$K$2:$V$2,0)))</f>
        <v/>
      </c>
      <c r="N214" s="156" t="str">
        <f>IF(OR(K214="",M214=""),"",SUM(BuildingsHeatFuelsTable[[#This Row],[Direct]:[Indirect WTT]]))</f>
        <v/>
      </c>
      <c r="O214" s="71"/>
      <c r="P214" s="72"/>
      <c r="Q214" s="157" t="str" cm="1">
        <f t="array" ref="Q214">IF(OR($E214="",$I214=""),"",(INDEX('Emission factors'!$K$3:$V$201,MATCH('Buildings - Heat &amp; Fuels'!$E214&amp;$F214,'Emission factors'!$J$3:$J$201&amp;'Emission factors'!$K$3:$K$201,0),MATCH('Buildings - Heat &amp; Fuels'!Q$6,'Emission factors'!$K$2:$V$2,0)))*$K214)</f>
        <v/>
      </c>
      <c r="R214" s="157" t="str" cm="1">
        <f t="array" ref="R214">IF(OR($E214="",$I214=""),"",(INDEX('Emission factors'!$K$3:$V$201,MATCH('Buildings - Heat &amp; Fuels'!$E214&amp;$F214,'Emission factors'!$J$3:$J$201&amp;'Emission factors'!$K$3:$K$201,0),MATCH('Buildings - Heat &amp; Fuels'!R$6,'Emission factors'!$K$2:$V$2,0)))*$K214)</f>
        <v/>
      </c>
      <c r="S214" s="157" t="str" cm="1">
        <f t="array" ref="S214">IF(OR($E214="",$I214=""),"",(INDEX('Emission factors'!$K$3:$V$201,MATCH('Buildings - Heat &amp; Fuels'!$E214&amp;$F214,'Emission factors'!$J$3:$J$201&amp;'Emission factors'!$K$3:$K$201,0),MATCH('Buildings - Heat &amp; Fuels'!S$6,'Emission factors'!$K$2:$V$2,0)))*$K214)</f>
        <v/>
      </c>
      <c r="T214" s="157" t="str" cm="1">
        <f t="array" ref="T214">IF(OR($E214="",$I214=""),"",(INDEX('Emission factors'!$K$3:$V$201,MATCH('Buildings - Heat &amp; Fuels'!$E214&amp;$F214,'Emission factors'!$J$3:$J$201&amp;'Emission factors'!$K$3:$K$201,0),MATCH('Buildings - Heat &amp; Fuels'!T$6,'Emission factors'!$K$2:$V$2,0)))*$K214)</f>
        <v/>
      </c>
      <c r="U214" s="157" t="str" cm="1">
        <f t="array" ref="U214">IF(OR($E214="",$I214=""),"",(INDEX('Emission factors'!$K$3:$V$201,MATCH('Buildings - Heat &amp; Fuels'!$E214&amp;$F214,'Emission factors'!$J$3:$J$201&amp;'Emission factors'!$K$3:$K$201,0),MATCH('Buildings - Heat &amp; Fuels'!U$6,'Emission factors'!$K$2:$V$2,0)))*$K214)</f>
        <v/>
      </c>
      <c r="V214" s="158" t="str">
        <f>IF(OR($N214="",BuildingsHeatFuelsTable[[#This Row],[RSD]]=""),"",BuildingsHeatFuelsTable[[#This Row],[Total emissions (kgCO2e)]]*(1+BuildingsHeatFuelsTable[[#This Row],[RSD]]))</f>
        <v/>
      </c>
      <c r="W214" s="159" t="str">
        <f>IF(OR($N214="",BuildingsHeatFuelsTable[[#This Row],[RSD]]=""),"",BuildingsHeatFuelsTable[[#This Row],[Total emissions (kgCO2e)]]*(1-BuildingsHeatFuelsTable[[#This Row],[RSD]]))</f>
        <v/>
      </c>
      <c r="X214" s="169" t="str" cm="1">
        <f t="array" ref="X214">IF(OR($E214="",$I214=""),"",(INDEX('Emission factors'!$K$3:$V$201,MATCH('Buildings - Heat &amp; Fuels'!$E214&amp;$F214,'Emission factors'!$J$3:$J$201&amp;'Emission factors'!$K$3:$K$201,0),MATCH('Buildings - Heat &amp; Fuels'!X$6,'Emission factors'!$K$2:$V$2,0)))*$K214)</f>
        <v/>
      </c>
      <c r="Y214" s="30"/>
      <c r="Z214" s="1" cm="1">
        <f t="array" ref="Z214">IF(OR(ISERROR(B214:X214)),1,0)</f>
        <v>0</v>
      </c>
      <c r="AA214" s="1">
        <f t="shared" si="0"/>
        <v>0</v>
      </c>
    </row>
    <row r="215" spans="1:27" ht="15" outlineLevel="1" thickBot="1" x14ac:dyDescent="0.4">
      <c r="A215" s="319"/>
      <c r="B215" s="216"/>
      <c r="C215" s="215"/>
      <c r="D215" s="233" t="str">
        <f>IFERROR(INDEX(BuildingInformationTable[Site type],MATCH(BuildingsHeatFuelsTable[[#This Row],[Site name]],BuildingInformationTable[Site name],0)),"")</f>
        <v/>
      </c>
      <c r="E215" s="72"/>
      <c r="F215" s="72"/>
      <c r="G215" s="72"/>
      <c r="H215" s="98" t="str">
        <f>IF(G215="","",INDEX(Lists!$BA$4:$BC$31,MATCH(E215,Lists!$AZ$4:$AZ$31,0),MATCH(G215,Lists!$BA$3:$BC$3,0)))</f>
        <v/>
      </c>
      <c r="I215" s="70"/>
      <c r="J215" s="72"/>
      <c r="K215" s="75" t="str" cm="1">
        <f t="array" ref="K215">IF(OR($E215="",$D215="",$I215="",$J215=""),"",IF(J215=L215,I215,(INDEX('Emission factors'!$K$3:$V$201,MATCH(E215&amp;F215,'Emission factors'!$J$3:$J$201&amp;'Emission factors'!$K$3:$K$201,0),MATCH(K$6,'Emission factors'!$K$2:$V$2,0)))*I215))</f>
        <v/>
      </c>
      <c r="L215" s="312" t="str">
        <f>IF(OR($E215="",$D215="",$I215="",$J215=""),"",INDEX('Emission factors'!$K$3:$V$201,MATCH('Buildings - Heat &amp; Fuels'!$E215,'Emission factors'!$J$3:$J$201,0),MATCH($L$6,'Emission factors'!$K$2:$V$2,0)))</f>
        <v/>
      </c>
      <c r="M215" s="313" t="str" cm="1">
        <f t="array" ref="M215">IF(OR(E215="",I215="",BuildingsHeatFuelsTable[[#This Row],[Units]]=""),"",INDEX('Emission factors'!$K$3:$V$201,MATCH('Buildings - Heat &amp; Fuels'!$E215&amp;F215,'Emission factors'!$J$3:$J$201&amp;'Emission factors'!$K$3:$K$201,0),MATCH('Buildings - Heat &amp; Fuels'!$M$6,'Emission factors'!$K$2:$V$2,0)))</f>
        <v/>
      </c>
      <c r="N215" s="156" t="str">
        <f>IF(OR(K215="",M215=""),"",SUM(BuildingsHeatFuelsTable[[#This Row],[Direct]:[Indirect WTT]]))</f>
        <v/>
      </c>
      <c r="O215" s="71"/>
      <c r="P215" s="72"/>
      <c r="Q215" s="157" t="str" cm="1">
        <f t="array" ref="Q215">IF(OR($E215="",$I215=""),"",(INDEX('Emission factors'!$K$3:$V$201,MATCH('Buildings - Heat &amp; Fuels'!$E215&amp;$F215,'Emission factors'!$J$3:$J$201&amp;'Emission factors'!$K$3:$K$201,0),MATCH('Buildings - Heat &amp; Fuels'!Q$6,'Emission factors'!$K$2:$V$2,0)))*$K215)</f>
        <v/>
      </c>
      <c r="R215" s="157" t="str" cm="1">
        <f t="array" ref="R215">IF(OR($E215="",$I215=""),"",(INDEX('Emission factors'!$K$3:$V$201,MATCH('Buildings - Heat &amp; Fuels'!$E215&amp;$F215,'Emission factors'!$J$3:$J$201&amp;'Emission factors'!$K$3:$K$201,0),MATCH('Buildings - Heat &amp; Fuels'!R$6,'Emission factors'!$K$2:$V$2,0)))*$K215)</f>
        <v/>
      </c>
      <c r="S215" s="157" t="str" cm="1">
        <f t="array" ref="S215">IF(OR($E215="",$I215=""),"",(INDEX('Emission factors'!$K$3:$V$201,MATCH('Buildings - Heat &amp; Fuels'!$E215&amp;$F215,'Emission factors'!$J$3:$J$201&amp;'Emission factors'!$K$3:$K$201,0),MATCH('Buildings - Heat &amp; Fuels'!S$6,'Emission factors'!$K$2:$V$2,0)))*$K215)</f>
        <v/>
      </c>
      <c r="T215" s="157" t="str" cm="1">
        <f t="array" ref="T215">IF(OR($E215="",$I215=""),"",(INDEX('Emission factors'!$K$3:$V$201,MATCH('Buildings - Heat &amp; Fuels'!$E215&amp;$F215,'Emission factors'!$J$3:$J$201&amp;'Emission factors'!$K$3:$K$201,0),MATCH('Buildings - Heat &amp; Fuels'!T$6,'Emission factors'!$K$2:$V$2,0)))*$K215)</f>
        <v/>
      </c>
      <c r="U215" s="157" t="str" cm="1">
        <f t="array" ref="U215">IF(OR($E215="",$I215=""),"",(INDEX('Emission factors'!$K$3:$V$201,MATCH('Buildings - Heat &amp; Fuels'!$E215&amp;$F215,'Emission factors'!$J$3:$J$201&amp;'Emission factors'!$K$3:$K$201,0),MATCH('Buildings - Heat &amp; Fuels'!U$6,'Emission factors'!$K$2:$V$2,0)))*$K215)</f>
        <v/>
      </c>
      <c r="V215" s="158" t="str">
        <f>IF(OR($N215="",BuildingsHeatFuelsTable[[#This Row],[RSD]]=""),"",BuildingsHeatFuelsTable[[#This Row],[Total emissions (kgCO2e)]]*(1+BuildingsHeatFuelsTable[[#This Row],[RSD]]))</f>
        <v/>
      </c>
      <c r="W215" s="159" t="str">
        <f>IF(OR($N215="",BuildingsHeatFuelsTable[[#This Row],[RSD]]=""),"",BuildingsHeatFuelsTable[[#This Row],[Total emissions (kgCO2e)]]*(1-BuildingsHeatFuelsTable[[#This Row],[RSD]]))</f>
        <v/>
      </c>
      <c r="X215" s="169" t="str" cm="1">
        <f t="array" ref="X215">IF(OR($E215="",$I215=""),"",(INDEX('Emission factors'!$K$3:$V$201,MATCH('Buildings - Heat &amp; Fuels'!$E215&amp;$F215,'Emission factors'!$J$3:$J$201&amp;'Emission factors'!$K$3:$K$201,0),MATCH('Buildings - Heat &amp; Fuels'!X$6,'Emission factors'!$K$2:$V$2,0)))*$K215)</f>
        <v/>
      </c>
      <c r="Y215" s="30"/>
      <c r="Z215" s="1" cm="1">
        <f t="array" ref="Z215">IF(OR(ISERROR(B215:X215)),1,0)</f>
        <v>0</v>
      </c>
      <c r="AA215" s="1">
        <f t="shared" si="0"/>
        <v>0</v>
      </c>
    </row>
    <row r="216" spans="1:27" ht="15" outlineLevel="1" thickBot="1" x14ac:dyDescent="0.4">
      <c r="A216" s="319"/>
      <c r="B216" s="216"/>
      <c r="C216" s="215"/>
      <c r="D216" s="233" t="str">
        <f>IFERROR(INDEX(BuildingInformationTable[Site type],MATCH(BuildingsHeatFuelsTable[[#This Row],[Site name]],BuildingInformationTable[Site name],0)),"")</f>
        <v/>
      </c>
      <c r="E216" s="72"/>
      <c r="F216" s="72"/>
      <c r="G216" s="72"/>
      <c r="H216" s="98" t="str">
        <f>IF(G216="","",INDEX(Lists!$BA$4:$BC$31,MATCH(E216,Lists!$AZ$4:$AZ$31,0),MATCH(G216,Lists!$BA$3:$BC$3,0)))</f>
        <v/>
      </c>
      <c r="I216" s="70"/>
      <c r="J216" s="72"/>
      <c r="K216" s="75" t="str" cm="1">
        <f t="array" ref="K216">IF(OR($E216="",$D216="",$I216="",$J216=""),"",IF(J216=L216,I216,(INDEX('Emission factors'!$K$3:$V$201,MATCH(E216&amp;F216,'Emission factors'!$J$3:$J$201&amp;'Emission factors'!$K$3:$K$201,0),MATCH(K$6,'Emission factors'!$K$2:$V$2,0)))*I216))</f>
        <v/>
      </c>
      <c r="L216" s="312" t="str">
        <f>IF(OR($E216="",$D216="",$I216="",$J216=""),"",INDEX('Emission factors'!$K$3:$V$201,MATCH('Buildings - Heat &amp; Fuels'!$E216,'Emission factors'!$J$3:$J$201,0),MATCH($L$6,'Emission factors'!$K$2:$V$2,0)))</f>
        <v/>
      </c>
      <c r="M216" s="313" t="str" cm="1">
        <f t="array" ref="M216">IF(OR(E216="",I216="",BuildingsHeatFuelsTable[[#This Row],[Units]]=""),"",INDEX('Emission factors'!$K$3:$V$201,MATCH('Buildings - Heat &amp; Fuels'!$E216&amp;F216,'Emission factors'!$J$3:$J$201&amp;'Emission factors'!$K$3:$K$201,0),MATCH('Buildings - Heat &amp; Fuels'!$M$6,'Emission factors'!$K$2:$V$2,0)))</f>
        <v/>
      </c>
      <c r="N216" s="156" t="str">
        <f>IF(OR(K216="",M216=""),"",SUM(BuildingsHeatFuelsTable[[#This Row],[Direct]:[Indirect WTT]]))</f>
        <v/>
      </c>
      <c r="O216" s="71"/>
      <c r="P216" s="72"/>
      <c r="Q216" s="157" t="str" cm="1">
        <f t="array" ref="Q216">IF(OR($E216="",$I216=""),"",(INDEX('Emission factors'!$K$3:$V$201,MATCH('Buildings - Heat &amp; Fuels'!$E216&amp;$F216,'Emission factors'!$J$3:$J$201&amp;'Emission factors'!$K$3:$K$201,0),MATCH('Buildings - Heat &amp; Fuels'!Q$6,'Emission factors'!$K$2:$V$2,0)))*$K216)</f>
        <v/>
      </c>
      <c r="R216" s="157" t="str" cm="1">
        <f t="array" ref="R216">IF(OR($E216="",$I216=""),"",(INDEX('Emission factors'!$K$3:$V$201,MATCH('Buildings - Heat &amp; Fuels'!$E216&amp;$F216,'Emission factors'!$J$3:$J$201&amp;'Emission factors'!$K$3:$K$201,0),MATCH('Buildings - Heat &amp; Fuels'!R$6,'Emission factors'!$K$2:$V$2,0)))*$K216)</f>
        <v/>
      </c>
      <c r="S216" s="157" t="str" cm="1">
        <f t="array" ref="S216">IF(OR($E216="",$I216=""),"",(INDEX('Emission factors'!$K$3:$V$201,MATCH('Buildings - Heat &amp; Fuels'!$E216&amp;$F216,'Emission factors'!$J$3:$J$201&amp;'Emission factors'!$K$3:$K$201,0),MATCH('Buildings - Heat &amp; Fuels'!S$6,'Emission factors'!$K$2:$V$2,0)))*$K216)</f>
        <v/>
      </c>
      <c r="T216" s="157" t="str" cm="1">
        <f t="array" ref="T216">IF(OR($E216="",$I216=""),"",(INDEX('Emission factors'!$K$3:$V$201,MATCH('Buildings - Heat &amp; Fuels'!$E216&amp;$F216,'Emission factors'!$J$3:$J$201&amp;'Emission factors'!$K$3:$K$201,0),MATCH('Buildings - Heat &amp; Fuels'!T$6,'Emission factors'!$K$2:$V$2,0)))*$K216)</f>
        <v/>
      </c>
      <c r="U216" s="157" t="str" cm="1">
        <f t="array" ref="U216">IF(OR($E216="",$I216=""),"",(INDEX('Emission factors'!$K$3:$V$201,MATCH('Buildings - Heat &amp; Fuels'!$E216&amp;$F216,'Emission factors'!$J$3:$J$201&amp;'Emission factors'!$K$3:$K$201,0),MATCH('Buildings - Heat &amp; Fuels'!U$6,'Emission factors'!$K$2:$V$2,0)))*$K216)</f>
        <v/>
      </c>
      <c r="V216" s="158" t="str">
        <f>IF(OR($N216="",BuildingsHeatFuelsTable[[#This Row],[RSD]]=""),"",BuildingsHeatFuelsTable[[#This Row],[Total emissions (kgCO2e)]]*(1+BuildingsHeatFuelsTable[[#This Row],[RSD]]))</f>
        <v/>
      </c>
      <c r="W216" s="159" t="str">
        <f>IF(OR($N216="",BuildingsHeatFuelsTable[[#This Row],[RSD]]=""),"",BuildingsHeatFuelsTable[[#This Row],[Total emissions (kgCO2e)]]*(1-BuildingsHeatFuelsTable[[#This Row],[RSD]]))</f>
        <v/>
      </c>
      <c r="X216" s="169" t="str" cm="1">
        <f t="array" ref="X216">IF(OR($E216="",$I216=""),"",(INDEX('Emission factors'!$K$3:$V$201,MATCH('Buildings - Heat &amp; Fuels'!$E216&amp;$F216,'Emission factors'!$J$3:$J$201&amp;'Emission factors'!$K$3:$K$201,0),MATCH('Buildings - Heat &amp; Fuels'!X$6,'Emission factors'!$K$2:$V$2,0)))*$K216)</f>
        <v/>
      </c>
      <c r="Y216" s="30"/>
      <c r="Z216" s="1" cm="1">
        <f t="array" ref="Z216">IF(OR(ISERROR(B216:X216)),1,0)</f>
        <v>0</v>
      </c>
      <c r="AA216" s="1">
        <f t="shared" si="0"/>
        <v>0</v>
      </c>
    </row>
    <row r="217" spans="1:27" ht="15" outlineLevel="1" thickBot="1" x14ac:dyDescent="0.4">
      <c r="A217" s="319"/>
      <c r="B217" s="216"/>
      <c r="C217" s="215"/>
      <c r="D217" s="233" t="str">
        <f>IFERROR(INDEX(BuildingInformationTable[Site type],MATCH(BuildingsHeatFuelsTable[[#This Row],[Site name]],BuildingInformationTable[Site name],0)),"")</f>
        <v/>
      </c>
      <c r="E217" s="72"/>
      <c r="F217" s="72"/>
      <c r="G217" s="72"/>
      <c r="H217" s="98" t="str">
        <f>IF(G217="","",INDEX(Lists!$BA$4:$BC$31,MATCH(E217,Lists!$AZ$4:$AZ$31,0),MATCH(G217,Lists!$BA$3:$BC$3,0)))</f>
        <v/>
      </c>
      <c r="I217" s="70"/>
      <c r="J217" s="72"/>
      <c r="K217" s="75" t="str" cm="1">
        <f t="array" ref="K217">IF(OR($E217="",$D217="",$I217="",$J217=""),"",IF(J217=L217,I217,(INDEX('Emission factors'!$K$3:$V$201,MATCH(E217&amp;F217,'Emission factors'!$J$3:$J$201&amp;'Emission factors'!$K$3:$K$201,0),MATCH(K$6,'Emission factors'!$K$2:$V$2,0)))*I217))</f>
        <v/>
      </c>
      <c r="L217" s="312" t="str">
        <f>IF(OR($E217="",$D217="",$I217="",$J217=""),"",INDEX('Emission factors'!$K$3:$V$201,MATCH('Buildings - Heat &amp; Fuels'!$E217,'Emission factors'!$J$3:$J$201,0),MATCH($L$6,'Emission factors'!$K$2:$V$2,0)))</f>
        <v/>
      </c>
      <c r="M217" s="313" t="str" cm="1">
        <f t="array" ref="M217">IF(OR(E217="",I217="",BuildingsHeatFuelsTable[[#This Row],[Units]]=""),"",INDEX('Emission factors'!$K$3:$V$201,MATCH('Buildings - Heat &amp; Fuels'!$E217&amp;F217,'Emission factors'!$J$3:$J$201&amp;'Emission factors'!$K$3:$K$201,0),MATCH('Buildings - Heat &amp; Fuels'!$M$6,'Emission factors'!$K$2:$V$2,0)))</f>
        <v/>
      </c>
      <c r="N217" s="156" t="str">
        <f>IF(OR(K217="",M217=""),"",SUM(BuildingsHeatFuelsTable[[#This Row],[Direct]:[Indirect WTT]]))</f>
        <v/>
      </c>
      <c r="O217" s="71"/>
      <c r="P217" s="72"/>
      <c r="Q217" s="157" t="str" cm="1">
        <f t="array" ref="Q217">IF(OR($E217="",$I217=""),"",(INDEX('Emission factors'!$K$3:$V$201,MATCH('Buildings - Heat &amp; Fuels'!$E217&amp;$F217,'Emission factors'!$J$3:$J$201&amp;'Emission factors'!$K$3:$K$201,0),MATCH('Buildings - Heat &amp; Fuels'!Q$6,'Emission factors'!$K$2:$V$2,0)))*$K217)</f>
        <v/>
      </c>
      <c r="R217" s="157" t="str" cm="1">
        <f t="array" ref="R217">IF(OR($E217="",$I217=""),"",(INDEX('Emission factors'!$K$3:$V$201,MATCH('Buildings - Heat &amp; Fuels'!$E217&amp;$F217,'Emission factors'!$J$3:$J$201&amp;'Emission factors'!$K$3:$K$201,0),MATCH('Buildings - Heat &amp; Fuels'!R$6,'Emission factors'!$K$2:$V$2,0)))*$K217)</f>
        <v/>
      </c>
      <c r="S217" s="157" t="str" cm="1">
        <f t="array" ref="S217">IF(OR($E217="",$I217=""),"",(INDEX('Emission factors'!$K$3:$V$201,MATCH('Buildings - Heat &amp; Fuels'!$E217&amp;$F217,'Emission factors'!$J$3:$J$201&amp;'Emission factors'!$K$3:$K$201,0),MATCH('Buildings - Heat &amp; Fuels'!S$6,'Emission factors'!$K$2:$V$2,0)))*$K217)</f>
        <v/>
      </c>
      <c r="T217" s="157" t="str" cm="1">
        <f t="array" ref="T217">IF(OR($E217="",$I217=""),"",(INDEX('Emission factors'!$K$3:$V$201,MATCH('Buildings - Heat &amp; Fuels'!$E217&amp;$F217,'Emission factors'!$J$3:$J$201&amp;'Emission factors'!$K$3:$K$201,0),MATCH('Buildings - Heat &amp; Fuels'!T$6,'Emission factors'!$K$2:$V$2,0)))*$K217)</f>
        <v/>
      </c>
      <c r="U217" s="157" t="str" cm="1">
        <f t="array" ref="U217">IF(OR($E217="",$I217=""),"",(INDEX('Emission factors'!$K$3:$V$201,MATCH('Buildings - Heat &amp; Fuels'!$E217&amp;$F217,'Emission factors'!$J$3:$J$201&amp;'Emission factors'!$K$3:$K$201,0),MATCH('Buildings - Heat &amp; Fuels'!U$6,'Emission factors'!$K$2:$V$2,0)))*$K217)</f>
        <v/>
      </c>
      <c r="V217" s="158" t="str">
        <f>IF(OR($N217="",BuildingsHeatFuelsTable[[#This Row],[RSD]]=""),"",BuildingsHeatFuelsTable[[#This Row],[Total emissions (kgCO2e)]]*(1+BuildingsHeatFuelsTable[[#This Row],[RSD]]))</f>
        <v/>
      </c>
      <c r="W217" s="159" t="str">
        <f>IF(OR($N217="",BuildingsHeatFuelsTable[[#This Row],[RSD]]=""),"",BuildingsHeatFuelsTable[[#This Row],[Total emissions (kgCO2e)]]*(1-BuildingsHeatFuelsTable[[#This Row],[RSD]]))</f>
        <v/>
      </c>
      <c r="X217" s="169" t="str" cm="1">
        <f t="array" ref="X217">IF(OR($E217="",$I217=""),"",(INDEX('Emission factors'!$K$3:$V$201,MATCH('Buildings - Heat &amp; Fuels'!$E217&amp;$F217,'Emission factors'!$J$3:$J$201&amp;'Emission factors'!$K$3:$K$201,0),MATCH('Buildings - Heat &amp; Fuels'!X$6,'Emission factors'!$K$2:$V$2,0)))*$K217)</f>
        <v/>
      </c>
      <c r="Y217" s="30"/>
      <c r="Z217" s="1" cm="1">
        <f t="array" ref="Z217">IF(OR(ISERROR(B217:X217)),1,0)</f>
        <v>0</v>
      </c>
      <c r="AA217" s="1">
        <f t="shared" si="0"/>
        <v>0</v>
      </c>
    </row>
    <row r="218" spans="1:27" ht="15" outlineLevel="1" thickBot="1" x14ac:dyDescent="0.4">
      <c r="A218" s="319"/>
      <c r="B218" s="216"/>
      <c r="C218" s="215"/>
      <c r="D218" s="233" t="str">
        <f>IFERROR(INDEX(BuildingInformationTable[Site type],MATCH(BuildingsHeatFuelsTable[[#This Row],[Site name]],BuildingInformationTable[Site name],0)),"")</f>
        <v/>
      </c>
      <c r="E218" s="72"/>
      <c r="F218" s="72"/>
      <c r="G218" s="72"/>
      <c r="H218" s="98" t="str">
        <f>IF(G218="","",INDEX(Lists!$BA$4:$BC$31,MATCH(E218,Lists!$AZ$4:$AZ$31,0),MATCH(G218,Lists!$BA$3:$BC$3,0)))</f>
        <v/>
      </c>
      <c r="I218" s="70"/>
      <c r="J218" s="72"/>
      <c r="K218" s="75" t="str" cm="1">
        <f t="array" ref="K218">IF(OR($E218="",$D218="",$I218="",$J218=""),"",IF(J218=L218,I218,(INDEX('Emission factors'!$K$3:$V$201,MATCH(E218&amp;F218,'Emission factors'!$J$3:$J$201&amp;'Emission factors'!$K$3:$K$201,0),MATCH(K$6,'Emission factors'!$K$2:$V$2,0)))*I218))</f>
        <v/>
      </c>
      <c r="L218" s="312" t="str">
        <f>IF(OR($E218="",$D218="",$I218="",$J218=""),"",INDEX('Emission factors'!$K$3:$V$201,MATCH('Buildings - Heat &amp; Fuels'!$E218,'Emission factors'!$J$3:$J$201,0),MATCH($L$6,'Emission factors'!$K$2:$V$2,0)))</f>
        <v/>
      </c>
      <c r="M218" s="313" t="str" cm="1">
        <f t="array" ref="M218">IF(OR(E218="",I218="",BuildingsHeatFuelsTable[[#This Row],[Units]]=""),"",INDEX('Emission factors'!$K$3:$V$201,MATCH('Buildings - Heat &amp; Fuels'!$E218&amp;F218,'Emission factors'!$J$3:$J$201&amp;'Emission factors'!$K$3:$K$201,0),MATCH('Buildings - Heat &amp; Fuels'!$M$6,'Emission factors'!$K$2:$V$2,0)))</f>
        <v/>
      </c>
      <c r="N218" s="156" t="str">
        <f>IF(OR(K218="",M218=""),"",SUM(BuildingsHeatFuelsTable[[#This Row],[Direct]:[Indirect WTT]]))</f>
        <v/>
      </c>
      <c r="O218" s="71"/>
      <c r="P218" s="72"/>
      <c r="Q218" s="157" t="str" cm="1">
        <f t="array" ref="Q218">IF(OR($E218="",$I218=""),"",(INDEX('Emission factors'!$K$3:$V$201,MATCH('Buildings - Heat &amp; Fuels'!$E218&amp;$F218,'Emission factors'!$J$3:$J$201&amp;'Emission factors'!$K$3:$K$201,0),MATCH('Buildings - Heat &amp; Fuels'!Q$6,'Emission factors'!$K$2:$V$2,0)))*$K218)</f>
        <v/>
      </c>
      <c r="R218" s="157" t="str" cm="1">
        <f t="array" ref="R218">IF(OR($E218="",$I218=""),"",(INDEX('Emission factors'!$K$3:$V$201,MATCH('Buildings - Heat &amp; Fuels'!$E218&amp;$F218,'Emission factors'!$J$3:$J$201&amp;'Emission factors'!$K$3:$K$201,0),MATCH('Buildings - Heat &amp; Fuels'!R$6,'Emission factors'!$K$2:$V$2,0)))*$K218)</f>
        <v/>
      </c>
      <c r="S218" s="157" t="str" cm="1">
        <f t="array" ref="S218">IF(OR($E218="",$I218=""),"",(INDEX('Emission factors'!$K$3:$V$201,MATCH('Buildings - Heat &amp; Fuels'!$E218&amp;$F218,'Emission factors'!$J$3:$J$201&amp;'Emission factors'!$K$3:$K$201,0),MATCH('Buildings - Heat &amp; Fuels'!S$6,'Emission factors'!$K$2:$V$2,0)))*$K218)</f>
        <v/>
      </c>
      <c r="T218" s="157" t="str" cm="1">
        <f t="array" ref="T218">IF(OR($E218="",$I218=""),"",(INDEX('Emission factors'!$K$3:$V$201,MATCH('Buildings - Heat &amp; Fuels'!$E218&amp;$F218,'Emission factors'!$J$3:$J$201&amp;'Emission factors'!$K$3:$K$201,0),MATCH('Buildings - Heat &amp; Fuels'!T$6,'Emission factors'!$K$2:$V$2,0)))*$K218)</f>
        <v/>
      </c>
      <c r="U218" s="157" t="str" cm="1">
        <f t="array" ref="U218">IF(OR($E218="",$I218=""),"",(INDEX('Emission factors'!$K$3:$V$201,MATCH('Buildings - Heat &amp; Fuels'!$E218&amp;$F218,'Emission factors'!$J$3:$J$201&amp;'Emission factors'!$K$3:$K$201,0),MATCH('Buildings - Heat &amp; Fuels'!U$6,'Emission factors'!$K$2:$V$2,0)))*$K218)</f>
        <v/>
      </c>
      <c r="V218" s="158" t="str">
        <f>IF(OR($N218="",BuildingsHeatFuelsTable[[#This Row],[RSD]]=""),"",BuildingsHeatFuelsTable[[#This Row],[Total emissions (kgCO2e)]]*(1+BuildingsHeatFuelsTable[[#This Row],[RSD]]))</f>
        <v/>
      </c>
      <c r="W218" s="159" t="str">
        <f>IF(OR($N218="",BuildingsHeatFuelsTable[[#This Row],[RSD]]=""),"",BuildingsHeatFuelsTable[[#This Row],[Total emissions (kgCO2e)]]*(1-BuildingsHeatFuelsTable[[#This Row],[RSD]]))</f>
        <v/>
      </c>
      <c r="X218" s="169" t="str" cm="1">
        <f t="array" ref="X218">IF(OR($E218="",$I218=""),"",(INDEX('Emission factors'!$K$3:$V$201,MATCH('Buildings - Heat &amp; Fuels'!$E218&amp;$F218,'Emission factors'!$J$3:$J$201&amp;'Emission factors'!$K$3:$K$201,0),MATCH('Buildings - Heat &amp; Fuels'!X$6,'Emission factors'!$K$2:$V$2,0)))*$K218)</f>
        <v/>
      </c>
      <c r="Y218" s="30"/>
      <c r="Z218" s="1" cm="1">
        <f t="array" ref="Z218">IF(OR(ISERROR(B218:X218)),1,0)</f>
        <v>0</v>
      </c>
      <c r="AA218" s="1">
        <f t="shared" si="0"/>
        <v>0</v>
      </c>
    </row>
    <row r="219" spans="1:27" ht="15" outlineLevel="1" thickBot="1" x14ac:dyDescent="0.4">
      <c r="A219" s="319"/>
      <c r="B219" s="216"/>
      <c r="C219" s="215"/>
      <c r="D219" s="233" t="str">
        <f>IFERROR(INDEX(BuildingInformationTable[Site type],MATCH(BuildingsHeatFuelsTable[[#This Row],[Site name]],BuildingInformationTable[Site name],0)),"")</f>
        <v/>
      </c>
      <c r="E219" s="72"/>
      <c r="F219" s="72"/>
      <c r="G219" s="72"/>
      <c r="H219" s="98" t="str">
        <f>IF(G219="","",INDEX(Lists!$BA$4:$BC$31,MATCH(E219,Lists!$AZ$4:$AZ$31,0),MATCH(G219,Lists!$BA$3:$BC$3,0)))</f>
        <v/>
      </c>
      <c r="I219" s="70"/>
      <c r="J219" s="72"/>
      <c r="K219" s="75" t="str" cm="1">
        <f t="array" ref="K219">IF(OR($E219="",$D219="",$I219="",$J219=""),"",IF(J219=L219,I219,(INDEX('Emission factors'!$K$3:$V$201,MATCH(E219&amp;F219,'Emission factors'!$J$3:$J$201&amp;'Emission factors'!$K$3:$K$201,0),MATCH(K$6,'Emission factors'!$K$2:$V$2,0)))*I219))</f>
        <v/>
      </c>
      <c r="L219" s="312" t="str">
        <f>IF(OR($E219="",$D219="",$I219="",$J219=""),"",INDEX('Emission factors'!$K$3:$V$201,MATCH('Buildings - Heat &amp; Fuels'!$E219,'Emission factors'!$J$3:$J$201,0),MATCH($L$6,'Emission factors'!$K$2:$V$2,0)))</f>
        <v/>
      </c>
      <c r="M219" s="313" t="str" cm="1">
        <f t="array" ref="M219">IF(OR(E219="",I219="",BuildingsHeatFuelsTable[[#This Row],[Units]]=""),"",INDEX('Emission factors'!$K$3:$V$201,MATCH('Buildings - Heat &amp; Fuels'!$E219&amp;F219,'Emission factors'!$J$3:$J$201&amp;'Emission factors'!$K$3:$K$201,0),MATCH('Buildings - Heat &amp; Fuels'!$M$6,'Emission factors'!$K$2:$V$2,0)))</f>
        <v/>
      </c>
      <c r="N219" s="156" t="str">
        <f>IF(OR(K219="",M219=""),"",SUM(BuildingsHeatFuelsTable[[#This Row],[Direct]:[Indirect WTT]]))</f>
        <v/>
      </c>
      <c r="O219" s="71"/>
      <c r="P219" s="72"/>
      <c r="Q219" s="157" t="str" cm="1">
        <f t="array" ref="Q219">IF(OR($E219="",$I219=""),"",(INDEX('Emission factors'!$K$3:$V$201,MATCH('Buildings - Heat &amp; Fuels'!$E219&amp;$F219,'Emission factors'!$J$3:$J$201&amp;'Emission factors'!$K$3:$K$201,0),MATCH('Buildings - Heat &amp; Fuels'!Q$6,'Emission factors'!$K$2:$V$2,0)))*$K219)</f>
        <v/>
      </c>
      <c r="R219" s="157" t="str" cm="1">
        <f t="array" ref="R219">IF(OR($E219="",$I219=""),"",(INDEX('Emission factors'!$K$3:$V$201,MATCH('Buildings - Heat &amp; Fuels'!$E219&amp;$F219,'Emission factors'!$J$3:$J$201&amp;'Emission factors'!$K$3:$K$201,0),MATCH('Buildings - Heat &amp; Fuels'!R$6,'Emission factors'!$K$2:$V$2,0)))*$K219)</f>
        <v/>
      </c>
      <c r="S219" s="157" t="str" cm="1">
        <f t="array" ref="S219">IF(OR($E219="",$I219=""),"",(INDEX('Emission factors'!$K$3:$V$201,MATCH('Buildings - Heat &amp; Fuels'!$E219&amp;$F219,'Emission factors'!$J$3:$J$201&amp;'Emission factors'!$K$3:$K$201,0),MATCH('Buildings - Heat &amp; Fuels'!S$6,'Emission factors'!$K$2:$V$2,0)))*$K219)</f>
        <v/>
      </c>
      <c r="T219" s="157" t="str" cm="1">
        <f t="array" ref="T219">IF(OR($E219="",$I219=""),"",(INDEX('Emission factors'!$K$3:$V$201,MATCH('Buildings - Heat &amp; Fuels'!$E219&amp;$F219,'Emission factors'!$J$3:$J$201&amp;'Emission factors'!$K$3:$K$201,0),MATCH('Buildings - Heat &amp; Fuels'!T$6,'Emission factors'!$K$2:$V$2,0)))*$K219)</f>
        <v/>
      </c>
      <c r="U219" s="157" t="str" cm="1">
        <f t="array" ref="U219">IF(OR($E219="",$I219=""),"",(INDEX('Emission factors'!$K$3:$V$201,MATCH('Buildings - Heat &amp; Fuels'!$E219&amp;$F219,'Emission factors'!$J$3:$J$201&amp;'Emission factors'!$K$3:$K$201,0),MATCH('Buildings - Heat &amp; Fuels'!U$6,'Emission factors'!$K$2:$V$2,0)))*$K219)</f>
        <v/>
      </c>
      <c r="V219" s="158" t="str">
        <f>IF(OR($N219="",BuildingsHeatFuelsTable[[#This Row],[RSD]]=""),"",BuildingsHeatFuelsTable[[#This Row],[Total emissions (kgCO2e)]]*(1+BuildingsHeatFuelsTable[[#This Row],[RSD]]))</f>
        <v/>
      </c>
      <c r="W219" s="159" t="str">
        <f>IF(OR($N219="",BuildingsHeatFuelsTable[[#This Row],[RSD]]=""),"",BuildingsHeatFuelsTable[[#This Row],[Total emissions (kgCO2e)]]*(1-BuildingsHeatFuelsTable[[#This Row],[RSD]]))</f>
        <v/>
      </c>
      <c r="X219" s="169" t="str" cm="1">
        <f t="array" ref="X219">IF(OR($E219="",$I219=""),"",(INDEX('Emission factors'!$K$3:$V$201,MATCH('Buildings - Heat &amp; Fuels'!$E219&amp;$F219,'Emission factors'!$J$3:$J$201&amp;'Emission factors'!$K$3:$K$201,0),MATCH('Buildings - Heat &amp; Fuels'!X$6,'Emission factors'!$K$2:$V$2,0)))*$K219)</f>
        <v/>
      </c>
      <c r="Y219" s="30"/>
      <c r="Z219" s="1" cm="1">
        <f t="array" ref="Z219">IF(OR(ISERROR(B219:X219)),1,0)</f>
        <v>0</v>
      </c>
      <c r="AA219" s="1">
        <f t="shared" si="0"/>
        <v>0</v>
      </c>
    </row>
    <row r="220" spans="1:27" ht="15" outlineLevel="1" thickBot="1" x14ac:dyDescent="0.4">
      <c r="A220" s="319"/>
      <c r="B220" s="216"/>
      <c r="C220" s="215"/>
      <c r="D220" s="233" t="str">
        <f>IFERROR(INDEX(BuildingInformationTable[Site type],MATCH(BuildingsHeatFuelsTable[[#This Row],[Site name]],BuildingInformationTable[Site name],0)),"")</f>
        <v/>
      </c>
      <c r="E220" s="72"/>
      <c r="F220" s="72"/>
      <c r="G220" s="72"/>
      <c r="H220" s="98" t="str">
        <f>IF(G220="","",INDEX(Lists!$BA$4:$BC$31,MATCH(E220,Lists!$AZ$4:$AZ$31,0),MATCH(G220,Lists!$BA$3:$BC$3,0)))</f>
        <v/>
      </c>
      <c r="I220" s="70"/>
      <c r="J220" s="72"/>
      <c r="K220" s="75" t="str" cm="1">
        <f t="array" ref="K220">IF(OR($E220="",$D220="",$I220="",$J220=""),"",IF(J220=L220,I220,(INDEX('Emission factors'!$K$3:$V$201,MATCH(E220&amp;F220,'Emission factors'!$J$3:$J$201&amp;'Emission factors'!$K$3:$K$201,0),MATCH(K$6,'Emission factors'!$K$2:$V$2,0)))*I220))</f>
        <v/>
      </c>
      <c r="L220" s="312" t="str">
        <f>IF(OR($E220="",$D220="",$I220="",$J220=""),"",INDEX('Emission factors'!$K$3:$V$201,MATCH('Buildings - Heat &amp; Fuels'!$E220,'Emission factors'!$J$3:$J$201,0),MATCH($L$6,'Emission factors'!$K$2:$V$2,0)))</f>
        <v/>
      </c>
      <c r="M220" s="313" t="str" cm="1">
        <f t="array" ref="M220">IF(OR(E220="",I220="",BuildingsHeatFuelsTable[[#This Row],[Units]]=""),"",INDEX('Emission factors'!$K$3:$V$201,MATCH('Buildings - Heat &amp; Fuels'!$E220&amp;F220,'Emission factors'!$J$3:$J$201&amp;'Emission factors'!$K$3:$K$201,0),MATCH('Buildings - Heat &amp; Fuels'!$M$6,'Emission factors'!$K$2:$V$2,0)))</f>
        <v/>
      </c>
      <c r="N220" s="156" t="str">
        <f>IF(OR(K220="",M220=""),"",SUM(BuildingsHeatFuelsTable[[#This Row],[Direct]:[Indirect WTT]]))</f>
        <v/>
      </c>
      <c r="O220" s="71"/>
      <c r="P220" s="72"/>
      <c r="Q220" s="157" t="str" cm="1">
        <f t="array" ref="Q220">IF(OR($E220="",$I220=""),"",(INDEX('Emission factors'!$K$3:$V$201,MATCH('Buildings - Heat &amp; Fuels'!$E220&amp;$F220,'Emission factors'!$J$3:$J$201&amp;'Emission factors'!$K$3:$K$201,0),MATCH('Buildings - Heat &amp; Fuels'!Q$6,'Emission factors'!$K$2:$V$2,0)))*$K220)</f>
        <v/>
      </c>
      <c r="R220" s="157" t="str" cm="1">
        <f t="array" ref="R220">IF(OR($E220="",$I220=""),"",(INDEX('Emission factors'!$K$3:$V$201,MATCH('Buildings - Heat &amp; Fuels'!$E220&amp;$F220,'Emission factors'!$J$3:$J$201&amp;'Emission factors'!$K$3:$K$201,0),MATCH('Buildings - Heat &amp; Fuels'!R$6,'Emission factors'!$K$2:$V$2,0)))*$K220)</f>
        <v/>
      </c>
      <c r="S220" s="157" t="str" cm="1">
        <f t="array" ref="S220">IF(OR($E220="",$I220=""),"",(INDEX('Emission factors'!$K$3:$V$201,MATCH('Buildings - Heat &amp; Fuels'!$E220&amp;$F220,'Emission factors'!$J$3:$J$201&amp;'Emission factors'!$K$3:$K$201,0),MATCH('Buildings - Heat &amp; Fuels'!S$6,'Emission factors'!$K$2:$V$2,0)))*$K220)</f>
        <v/>
      </c>
      <c r="T220" s="157" t="str" cm="1">
        <f t="array" ref="T220">IF(OR($E220="",$I220=""),"",(INDEX('Emission factors'!$K$3:$V$201,MATCH('Buildings - Heat &amp; Fuels'!$E220&amp;$F220,'Emission factors'!$J$3:$J$201&amp;'Emission factors'!$K$3:$K$201,0),MATCH('Buildings - Heat &amp; Fuels'!T$6,'Emission factors'!$K$2:$V$2,0)))*$K220)</f>
        <v/>
      </c>
      <c r="U220" s="157" t="str" cm="1">
        <f t="array" ref="U220">IF(OR($E220="",$I220=""),"",(INDEX('Emission factors'!$K$3:$V$201,MATCH('Buildings - Heat &amp; Fuels'!$E220&amp;$F220,'Emission factors'!$J$3:$J$201&amp;'Emission factors'!$K$3:$K$201,0),MATCH('Buildings - Heat &amp; Fuels'!U$6,'Emission factors'!$K$2:$V$2,0)))*$K220)</f>
        <v/>
      </c>
      <c r="V220" s="158" t="str">
        <f>IF(OR($N220="",BuildingsHeatFuelsTable[[#This Row],[RSD]]=""),"",BuildingsHeatFuelsTable[[#This Row],[Total emissions (kgCO2e)]]*(1+BuildingsHeatFuelsTable[[#This Row],[RSD]]))</f>
        <v/>
      </c>
      <c r="W220" s="159" t="str">
        <f>IF(OR($N220="",BuildingsHeatFuelsTable[[#This Row],[RSD]]=""),"",BuildingsHeatFuelsTable[[#This Row],[Total emissions (kgCO2e)]]*(1-BuildingsHeatFuelsTable[[#This Row],[RSD]]))</f>
        <v/>
      </c>
      <c r="X220" s="169" t="str" cm="1">
        <f t="array" ref="X220">IF(OR($E220="",$I220=""),"",(INDEX('Emission factors'!$K$3:$V$201,MATCH('Buildings - Heat &amp; Fuels'!$E220&amp;$F220,'Emission factors'!$J$3:$J$201&amp;'Emission factors'!$K$3:$K$201,0),MATCH('Buildings - Heat &amp; Fuels'!X$6,'Emission factors'!$K$2:$V$2,0)))*$K220)</f>
        <v/>
      </c>
      <c r="Y220" s="30"/>
      <c r="Z220" s="1" cm="1">
        <f t="array" ref="Z220">IF(OR(ISERROR(B220:X220)),1,0)</f>
        <v>0</v>
      </c>
      <c r="AA220" s="1">
        <f t="shared" si="0"/>
        <v>0</v>
      </c>
    </row>
    <row r="221" spans="1:27" ht="15" outlineLevel="1" thickBot="1" x14ac:dyDescent="0.4">
      <c r="A221" s="319"/>
      <c r="B221" s="216"/>
      <c r="C221" s="215"/>
      <c r="D221" s="233" t="str">
        <f>IFERROR(INDEX(BuildingInformationTable[Site type],MATCH(BuildingsHeatFuelsTable[[#This Row],[Site name]],BuildingInformationTable[Site name],0)),"")</f>
        <v/>
      </c>
      <c r="E221" s="72"/>
      <c r="F221" s="72"/>
      <c r="G221" s="72"/>
      <c r="H221" s="98" t="str">
        <f>IF(G221="","",INDEX(Lists!$BA$4:$BC$31,MATCH(E221,Lists!$AZ$4:$AZ$31,0),MATCH(G221,Lists!$BA$3:$BC$3,0)))</f>
        <v/>
      </c>
      <c r="I221" s="70"/>
      <c r="J221" s="72"/>
      <c r="K221" s="75" t="str" cm="1">
        <f t="array" ref="K221">IF(OR($E221="",$D221="",$I221="",$J221=""),"",IF(J221=L221,I221,(INDEX('Emission factors'!$K$3:$V$201,MATCH(E221&amp;F221,'Emission factors'!$J$3:$J$201&amp;'Emission factors'!$K$3:$K$201,0),MATCH(K$6,'Emission factors'!$K$2:$V$2,0)))*I221))</f>
        <v/>
      </c>
      <c r="L221" s="312" t="str">
        <f>IF(OR($E221="",$D221="",$I221="",$J221=""),"",INDEX('Emission factors'!$K$3:$V$201,MATCH('Buildings - Heat &amp; Fuels'!$E221,'Emission factors'!$J$3:$J$201,0),MATCH($L$6,'Emission factors'!$K$2:$V$2,0)))</f>
        <v/>
      </c>
      <c r="M221" s="313" t="str" cm="1">
        <f t="array" ref="M221">IF(OR(E221="",I221="",BuildingsHeatFuelsTable[[#This Row],[Units]]=""),"",INDEX('Emission factors'!$K$3:$V$201,MATCH('Buildings - Heat &amp; Fuels'!$E221&amp;F221,'Emission factors'!$J$3:$J$201&amp;'Emission factors'!$K$3:$K$201,0),MATCH('Buildings - Heat &amp; Fuels'!$M$6,'Emission factors'!$K$2:$V$2,0)))</f>
        <v/>
      </c>
      <c r="N221" s="156" t="str">
        <f>IF(OR(K221="",M221=""),"",SUM(BuildingsHeatFuelsTable[[#This Row],[Direct]:[Indirect WTT]]))</f>
        <v/>
      </c>
      <c r="O221" s="71"/>
      <c r="P221" s="72"/>
      <c r="Q221" s="157" t="str" cm="1">
        <f t="array" ref="Q221">IF(OR($E221="",$I221=""),"",(INDEX('Emission factors'!$K$3:$V$201,MATCH('Buildings - Heat &amp; Fuels'!$E221&amp;$F221,'Emission factors'!$J$3:$J$201&amp;'Emission factors'!$K$3:$K$201,0),MATCH('Buildings - Heat &amp; Fuels'!Q$6,'Emission factors'!$K$2:$V$2,0)))*$K221)</f>
        <v/>
      </c>
      <c r="R221" s="157" t="str" cm="1">
        <f t="array" ref="R221">IF(OR($E221="",$I221=""),"",(INDEX('Emission factors'!$K$3:$V$201,MATCH('Buildings - Heat &amp; Fuels'!$E221&amp;$F221,'Emission factors'!$J$3:$J$201&amp;'Emission factors'!$K$3:$K$201,0),MATCH('Buildings - Heat &amp; Fuels'!R$6,'Emission factors'!$K$2:$V$2,0)))*$K221)</f>
        <v/>
      </c>
      <c r="S221" s="157" t="str" cm="1">
        <f t="array" ref="S221">IF(OR($E221="",$I221=""),"",(INDEX('Emission factors'!$K$3:$V$201,MATCH('Buildings - Heat &amp; Fuels'!$E221&amp;$F221,'Emission factors'!$J$3:$J$201&amp;'Emission factors'!$K$3:$K$201,0),MATCH('Buildings - Heat &amp; Fuels'!S$6,'Emission factors'!$K$2:$V$2,0)))*$K221)</f>
        <v/>
      </c>
      <c r="T221" s="157" t="str" cm="1">
        <f t="array" ref="T221">IF(OR($E221="",$I221=""),"",(INDEX('Emission factors'!$K$3:$V$201,MATCH('Buildings - Heat &amp; Fuels'!$E221&amp;$F221,'Emission factors'!$J$3:$J$201&amp;'Emission factors'!$K$3:$K$201,0),MATCH('Buildings - Heat &amp; Fuels'!T$6,'Emission factors'!$K$2:$V$2,0)))*$K221)</f>
        <v/>
      </c>
      <c r="U221" s="157" t="str" cm="1">
        <f t="array" ref="U221">IF(OR($E221="",$I221=""),"",(INDEX('Emission factors'!$K$3:$V$201,MATCH('Buildings - Heat &amp; Fuels'!$E221&amp;$F221,'Emission factors'!$J$3:$J$201&amp;'Emission factors'!$K$3:$K$201,0),MATCH('Buildings - Heat &amp; Fuels'!U$6,'Emission factors'!$K$2:$V$2,0)))*$K221)</f>
        <v/>
      </c>
      <c r="V221" s="158" t="str">
        <f>IF(OR($N221="",BuildingsHeatFuelsTable[[#This Row],[RSD]]=""),"",BuildingsHeatFuelsTable[[#This Row],[Total emissions (kgCO2e)]]*(1+BuildingsHeatFuelsTable[[#This Row],[RSD]]))</f>
        <v/>
      </c>
      <c r="W221" s="159" t="str">
        <f>IF(OR($N221="",BuildingsHeatFuelsTable[[#This Row],[RSD]]=""),"",BuildingsHeatFuelsTable[[#This Row],[Total emissions (kgCO2e)]]*(1-BuildingsHeatFuelsTable[[#This Row],[RSD]]))</f>
        <v/>
      </c>
      <c r="X221" s="169" t="str" cm="1">
        <f t="array" ref="X221">IF(OR($E221="",$I221=""),"",(INDEX('Emission factors'!$K$3:$V$201,MATCH('Buildings - Heat &amp; Fuels'!$E221&amp;$F221,'Emission factors'!$J$3:$J$201&amp;'Emission factors'!$K$3:$K$201,0),MATCH('Buildings - Heat &amp; Fuels'!X$6,'Emission factors'!$K$2:$V$2,0)))*$K221)</f>
        <v/>
      </c>
      <c r="Y221" s="30"/>
      <c r="Z221" s="1" cm="1">
        <f t="array" ref="Z221">IF(OR(ISERROR(B221:X221)),1,0)</f>
        <v>0</v>
      </c>
      <c r="AA221" s="1">
        <f t="shared" si="0"/>
        <v>0</v>
      </c>
    </row>
    <row r="222" spans="1:27" ht="15" outlineLevel="1" thickBot="1" x14ac:dyDescent="0.4">
      <c r="A222" s="319"/>
      <c r="B222" s="216"/>
      <c r="C222" s="215"/>
      <c r="D222" s="233" t="str">
        <f>IFERROR(INDEX(BuildingInformationTable[Site type],MATCH(BuildingsHeatFuelsTable[[#This Row],[Site name]],BuildingInformationTable[Site name],0)),"")</f>
        <v/>
      </c>
      <c r="E222" s="72"/>
      <c r="F222" s="72"/>
      <c r="G222" s="72"/>
      <c r="H222" s="98" t="str">
        <f>IF(G222="","",INDEX(Lists!$BA$4:$BC$31,MATCH(E222,Lists!$AZ$4:$AZ$31,0),MATCH(G222,Lists!$BA$3:$BC$3,0)))</f>
        <v/>
      </c>
      <c r="I222" s="70"/>
      <c r="J222" s="72"/>
      <c r="K222" s="75" t="str" cm="1">
        <f t="array" ref="K222">IF(OR($E222="",$D222="",$I222="",$J222=""),"",IF(J222=L222,I222,(INDEX('Emission factors'!$K$3:$V$201,MATCH(E222&amp;F222,'Emission factors'!$J$3:$J$201&amp;'Emission factors'!$K$3:$K$201,0),MATCH(K$6,'Emission factors'!$K$2:$V$2,0)))*I222))</f>
        <v/>
      </c>
      <c r="L222" s="312" t="str">
        <f>IF(OR($E222="",$D222="",$I222="",$J222=""),"",INDEX('Emission factors'!$K$3:$V$201,MATCH('Buildings - Heat &amp; Fuels'!$E222,'Emission factors'!$J$3:$J$201,0),MATCH($L$6,'Emission factors'!$K$2:$V$2,0)))</f>
        <v/>
      </c>
      <c r="M222" s="313" t="str" cm="1">
        <f t="array" ref="M222">IF(OR(E222="",I222="",BuildingsHeatFuelsTable[[#This Row],[Units]]=""),"",INDEX('Emission factors'!$K$3:$V$201,MATCH('Buildings - Heat &amp; Fuels'!$E222&amp;F222,'Emission factors'!$J$3:$J$201&amp;'Emission factors'!$K$3:$K$201,0),MATCH('Buildings - Heat &amp; Fuels'!$M$6,'Emission factors'!$K$2:$V$2,0)))</f>
        <v/>
      </c>
      <c r="N222" s="156" t="str">
        <f>IF(OR(K222="",M222=""),"",SUM(BuildingsHeatFuelsTable[[#This Row],[Direct]:[Indirect WTT]]))</f>
        <v/>
      </c>
      <c r="O222" s="71"/>
      <c r="P222" s="72"/>
      <c r="Q222" s="157" t="str" cm="1">
        <f t="array" ref="Q222">IF(OR($E222="",$I222=""),"",(INDEX('Emission factors'!$K$3:$V$201,MATCH('Buildings - Heat &amp; Fuels'!$E222&amp;$F222,'Emission factors'!$J$3:$J$201&amp;'Emission factors'!$K$3:$K$201,0),MATCH('Buildings - Heat &amp; Fuels'!Q$6,'Emission factors'!$K$2:$V$2,0)))*$K222)</f>
        <v/>
      </c>
      <c r="R222" s="157" t="str" cm="1">
        <f t="array" ref="R222">IF(OR($E222="",$I222=""),"",(INDEX('Emission factors'!$K$3:$V$201,MATCH('Buildings - Heat &amp; Fuels'!$E222&amp;$F222,'Emission factors'!$J$3:$J$201&amp;'Emission factors'!$K$3:$K$201,0),MATCH('Buildings - Heat &amp; Fuels'!R$6,'Emission factors'!$K$2:$V$2,0)))*$K222)</f>
        <v/>
      </c>
      <c r="S222" s="157" t="str" cm="1">
        <f t="array" ref="S222">IF(OR($E222="",$I222=""),"",(INDEX('Emission factors'!$K$3:$V$201,MATCH('Buildings - Heat &amp; Fuels'!$E222&amp;$F222,'Emission factors'!$J$3:$J$201&amp;'Emission factors'!$K$3:$K$201,0),MATCH('Buildings - Heat &amp; Fuels'!S$6,'Emission factors'!$K$2:$V$2,0)))*$K222)</f>
        <v/>
      </c>
      <c r="T222" s="157" t="str" cm="1">
        <f t="array" ref="T222">IF(OR($E222="",$I222=""),"",(INDEX('Emission factors'!$K$3:$V$201,MATCH('Buildings - Heat &amp; Fuels'!$E222&amp;$F222,'Emission factors'!$J$3:$J$201&amp;'Emission factors'!$K$3:$K$201,0),MATCH('Buildings - Heat &amp; Fuels'!T$6,'Emission factors'!$K$2:$V$2,0)))*$K222)</f>
        <v/>
      </c>
      <c r="U222" s="157" t="str" cm="1">
        <f t="array" ref="U222">IF(OR($E222="",$I222=""),"",(INDEX('Emission factors'!$K$3:$V$201,MATCH('Buildings - Heat &amp; Fuels'!$E222&amp;$F222,'Emission factors'!$J$3:$J$201&amp;'Emission factors'!$K$3:$K$201,0),MATCH('Buildings - Heat &amp; Fuels'!U$6,'Emission factors'!$K$2:$V$2,0)))*$K222)</f>
        <v/>
      </c>
      <c r="V222" s="158" t="str">
        <f>IF(OR($N222="",BuildingsHeatFuelsTable[[#This Row],[RSD]]=""),"",BuildingsHeatFuelsTable[[#This Row],[Total emissions (kgCO2e)]]*(1+BuildingsHeatFuelsTable[[#This Row],[RSD]]))</f>
        <v/>
      </c>
      <c r="W222" s="159" t="str">
        <f>IF(OR($N222="",BuildingsHeatFuelsTable[[#This Row],[RSD]]=""),"",BuildingsHeatFuelsTable[[#This Row],[Total emissions (kgCO2e)]]*(1-BuildingsHeatFuelsTable[[#This Row],[RSD]]))</f>
        <v/>
      </c>
      <c r="X222" s="169" t="str" cm="1">
        <f t="array" ref="X222">IF(OR($E222="",$I222=""),"",(INDEX('Emission factors'!$K$3:$V$201,MATCH('Buildings - Heat &amp; Fuels'!$E222&amp;$F222,'Emission factors'!$J$3:$J$201&amp;'Emission factors'!$K$3:$K$201,0),MATCH('Buildings - Heat &amp; Fuels'!X$6,'Emission factors'!$K$2:$V$2,0)))*$K222)</f>
        <v/>
      </c>
      <c r="Y222" s="30"/>
      <c r="Z222" s="1" cm="1">
        <f t="array" ref="Z222">IF(OR(ISERROR(B222:X222)),1,0)</f>
        <v>0</v>
      </c>
      <c r="AA222" s="1">
        <f t="shared" si="0"/>
        <v>0</v>
      </c>
    </row>
    <row r="223" spans="1:27" ht="15" outlineLevel="1" thickBot="1" x14ac:dyDescent="0.4">
      <c r="A223" s="319"/>
      <c r="B223" s="216"/>
      <c r="C223" s="215"/>
      <c r="D223" s="233" t="str">
        <f>IFERROR(INDEX(BuildingInformationTable[Site type],MATCH(BuildingsHeatFuelsTable[[#This Row],[Site name]],BuildingInformationTable[Site name],0)),"")</f>
        <v/>
      </c>
      <c r="E223" s="72"/>
      <c r="F223" s="72"/>
      <c r="G223" s="72"/>
      <c r="H223" s="98" t="str">
        <f>IF(G223="","",INDEX(Lists!$BA$4:$BC$31,MATCH(E223,Lists!$AZ$4:$AZ$31,0),MATCH(G223,Lists!$BA$3:$BC$3,0)))</f>
        <v/>
      </c>
      <c r="I223" s="70"/>
      <c r="J223" s="72"/>
      <c r="K223" s="75" t="str" cm="1">
        <f t="array" ref="K223">IF(OR($E223="",$D223="",$I223="",$J223=""),"",IF(J223=L223,I223,(INDEX('Emission factors'!$K$3:$V$201,MATCH(E223&amp;F223,'Emission factors'!$J$3:$J$201&amp;'Emission factors'!$K$3:$K$201,0),MATCH(K$6,'Emission factors'!$K$2:$V$2,0)))*I223))</f>
        <v/>
      </c>
      <c r="L223" s="312" t="str">
        <f>IF(OR($E223="",$D223="",$I223="",$J223=""),"",INDEX('Emission factors'!$K$3:$V$201,MATCH('Buildings - Heat &amp; Fuels'!$E223,'Emission factors'!$J$3:$J$201,0),MATCH($L$6,'Emission factors'!$K$2:$V$2,0)))</f>
        <v/>
      </c>
      <c r="M223" s="313" t="str" cm="1">
        <f t="array" ref="M223">IF(OR(E223="",I223="",BuildingsHeatFuelsTable[[#This Row],[Units]]=""),"",INDEX('Emission factors'!$K$3:$V$201,MATCH('Buildings - Heat &amp; Fuels'!$E223&amp;F223,'Emission factors'!$J$3:$J$201&amp;'Emission factors'!$K$3:$K$201,0),MATCH('Buildings - Heat &amp; Fuels'!$M$6,'Emission factors'!$K$2:$V$2,0)))</f>
        <v/>
      </c>
      <c r="N223" s="156" t="str">
        <f>IF(OR(K223="",M223=""),"",SUM(BuildingsHeatFuelsTable[[#This Row],[Direct]:[Indirect WTT]]))</f>
        <v/>
      </c>
      <c r="O223" s="71"/>
      <c r="P223" s="72"/>
      <c r="Q223" s="157" t="str" cm="1">
        <f t="array" ref="Q223">IF(OR($E223="",$I223=""),"",(INDEX('Emission factors'!$K$3:$V$201,MATCH('Buildings - Heat &amp; Fuels'!$E223&amp;$F223,'Emission factors'!$J$3:$J$201&amp;'Emission factors'!$K$3:$K$201,0),MATCH('Buildings - Heat &amp; Fuels'!Q$6,'Emission factors'!$K$2:$V$2,0)))*$K223)</f>
        <v/>
      </c>
      <c r="R223" s="157" t="str" cm="1">
        <f t="array" ref="R223">IF(OR($E223="",$I223=""),"",(INDEX('Emission factors'!$K$3:$V$201,MATCH('Buildings - Heat &amp; Fuels'!$E223&amp;$F223,'Emission factors'!$J$3:$J$201&amp;'Emission factors'!$K$3:$K$201,0),MATCH('Buildings - Heat &amp; Fuels'!R$6,'Emission factors'!$K$2:$V$2,0)))*$K223)</f>
        <v/>
      </c>
      <c r="S223" s="157" t="str" cm="1">
        <f t="array" ref="S223">IF(OR($E223="",$I223=""),"",(INDEX('Emission factors'!$K$3:$V$201,MATCH('Buildings - Heat &amp; Fuels'!$E223&amp;$F223,'Emission factors'!$J$3:$J$201&amp;'Emission factors'!$K$3:$K$201,0),MATCH('Buildings - Heat &amp; Fuels'!S$6,'Emission factors'!$K$2:$V$2,0)))*$K223)</f>
        <v/>
      </c>
      <c r="T223" s="157" t="str" cm="1">
        <f t="array" ref="T223">IF(OR($E223="",$I223=""),"",(INDEX('Emission factors'!$K$3:$V$201,MATCH('Buildings - Heat &amp; Fuels'!$E223&amp;$F223,'Emission factors'!$J$3:$J$201&amp;'Emission factors'!$K$3:$K$201,0),MATCH('Buildings - Heat &amp; Fuels'!T$6,'Emission factors'!$K$2:$V$2,0)))*$K223)</f>
        <v/>
      </c>
      <c r="U223" s="157" t="str" cm="1">
        <f t="array" ref="U223">IF(OR($E223="",$I223=""),"",(INDEX('Emission factors'!$K$3:$V$201,MATCH('Buildings - Heat &amp; Fuels'!$E223&amp;$F223,'Emission factors'!$J$3:$J$201&amp;'Emission factors'!$K$3:$K$201,0),MATCH('Buildings - Heat &amp; Fuels'!U$6,'Emission factors'!$K$2:$V$2,0)))*$K223)</f>
        <v/>
      </c>
      <c r="V223" s="158" t="str">
        <f>IF(OR($N223="",BuildingsHeatFuelsTable[[#This Row],[RSD]]=""),"",BuildingsHeatFuelsTable[[#This Row],[Total emissions (kgCO2e)]]*(1+BuildingsHeatFuelsTable[[#This Row],[RSD]]))</f>
        <v/>
      </c>
      <c r="W223" s="159" t="str">
        <f>IF(OR($N223="",BuildingsHeatFuelsTable[[#This Row],[RSD]]=""),"",BuildingsHeatFuelsTable[[#This Row],[Total emissions (kgCO2e)]]*(1-BuildingsHeatFuelsTable[[#This Row],[RSD]]))</f>
        <v/>
      </c>
      <c r="X223" s="169" t="str" cm="1">
        <f t="array" ref="X223">IF(OR($E223="",$I223=""),"",(INDEX('Emission factors'!$K$3:$V$201,MATCH('Buildings - Heat &amp; Fuels'!$E223&amp;$F223,'Emission factors'!$J$3:$J$201&amp;'Emission factors'!$K$3:$K$201,0),MATCH('Buildings - Heat &amp; Fuels'!X$6,'Emission factors'!$K$2:$V$2,0)))*$K223)</f>
        <v/>
      </c>
      <c r="Y223" s="30"/>
      <c r="Z223" s="1" cm="1">
        <f t="array" ref="Z223">IF(OR(ISERROR(B223:X223)),1,0)</f>
        <v>0</v>
      </c>
      <c r="AA223" s="1">
        <f t="shared" si="0"/>
        <v>0</v>
      </c>
    </row>
    <row r="224" spans="1:27" ht="15" outlineLevel="1" thickBot="1" x14ac:dyDescent="0.4">
      <c r="A224" s="319"/>
      <c r="B224" s="216"/>
      <c r="C224" s="215"/>
      <c r="D224" s="233" t="str">
        <f>IFERROR(INDEX(BuildingInformationTable[Site type],MATCH(BuildingsHeatFuelsTable[[#This Row],[Site name]],BuildingInformationTable[Site name],0)),"")</f>
        <v/>
      </c>
      <c r="E224" s="72"/>
      <c r="F224" s="72"/>
      <c r="G224" s="72"/>
      <c r="H224" s="98" t="str">
        <f>IF(G224="","",INDEX(Lists!$BA$4:$BC$31,MATCH(E224,Lists!$AZ$4:$AZ$31,0),MATCH(G224,Lists!$BA$3:$BC$3,0)))</f>
        <v/>
      </c>
      <c r="I224" s="70"/>
      <c r="J224" s="72"/>
      <c r="K224" s="75" t="str" cm="1">
        <f t="array" ref="K224">IF(OR($E224="",$D224="",$I224="",$J224=""),"",IF(J224=L224,I224,(INDEX('Emission factors'!$K$3:$V$201,MATCH(E224&amp;F224,'Emission factors'!$J$3:$J$201&amp;'Emission factors'!$K$3:$K$201,0),MATCH(K$6,'Emission factors'!$K$2:$V$2,0)))*I224))</f>
        <v/>
      </c>
      <c r="L224" s="312" t="str">
        <f>IF(OR($E224="",$D224="",$I224="",$J224=""),"",INDEX('Emission factors'!$K$3:$V$201,MATCH('Buildings - Heat &amp; Fuels'!$E224,'Emission factors'!$J$3:$J$201,0),MATCH($L$6,'Emission factors'!$K$2:$V$2,0)))</f>
        <v/>
      </c>
      <c r="M224" s="313" t="str" cm="1">
        <f t="array" ref="M224">IF(OR(E224="",I224="",BuildingsHeatFuelsTable[[#This Row],[Units]]=""),"",INDEX('Emission factors'!$K$3:$V$201,MATCH('Buildings - Heat &amp; Fuels'!$E224&amp;F224,'Emission factors'!$J$3:$J$201&amp;'Emission factors'!$K$3:$K$201,0),MATCH('Buildings - Heat &amp; Fuels'!$M$6,'Emission factors'!$K$2:$V$2,0)))</f>
        <v/>
      </c>
      <c r="N224" s="156" t="str">
        <f>IF(OR(K224="",M224=""),"",SUM(BuildingsHeatFuelsTable[[#This Row],[Direct]:[Indirect WTT]]))</f>
        <v/>
      </c>
      <c r="O224" s="71"/>
      <c r="P224" s="72"/>
      <c r="Q224" s="157" t="str" cm="1">
        <f t="array" ref="Q224">IF(OR($E224="",$I224=""),"",(INDEX('Emission factors'!$K$3:$V$201,MATCH('Buildings - Heat &amp; Fuels'!$E224&amp;$F224,'Emission factors'!$J$3:$J$201&amp;'Emission factors'!$K$3:$K$201,0),MATCH('Buildings - Heat &amp; Fuels'!Q$6,'Emission factors'!$K$2:$V$2,0)))*$K224)</f>
        <v/>
      </c>
      <c r="R224" s="157" t="str" cm="1">
        <f t="array" ref="R224">IF(OR($E224="",$I224=""),"",(INDEX('Emission factors'!$K$3:$V$201,MATCH('Buildings - Heat &amp; Fuels'!$E224&amp;$F224,'Emission factors'!$J$3:$J$201&amp;'Emission factors'!$K$3:$K$201,0),MATCH('Buildings - Heat &amp; Fuels'!R$6,'Emission factors'!$K$2:$V$2,0)))*$K224)</f>
        <v/>
      </c>
      <c r="S224" s="157" t="str" cm="1">
        <f t="array" ref="S224">IF(OR($E224="",$I224=""),"",(INDEX('Emission factors'!$K$3:$V$201,MATCH('Buildings - Heat &amp; Fuels'!$E224&amp;$F224,'Emission factors'!$J$3:$J$201&amp;'Emission factors'!$K$3:$K$201,0),MATCH('Buildings - Heat &amp; Fuels'!S$6,'Emission factors'!$K$2:$V$2,0)))*$K224)</f>
        <v/>
      </c>
      <c r="T224" s="157" t="str" cm="1">
        <f t="array" ref="T224">IF(OR($E224="",$I224=""),"",(INDEX('Emission factors'!$K$3:$V$201,MATCH('Buildings - Heat &amp; Fuels'!$E224&amp;$F224,'Emission factors'!$J$3:$J$201&amp;'Emission factors'!$K$3:$K$201,0),MATCH('Buildings - Heat &amp; Fuels'!T$6,'Emission factors'!$K$2:$V$2,0)))*$K224)</f>
        <v/>
      </c>
      <c r="U224" s="157" t="str" cm="1">
        <f t="array" ref="U224">IF(OR($E224="",$I224=""),"",(INDEX('Emission factors'!$K$3:$V$201,MATCH('Buildings - Heat &amp; Fuels'!$E224&amp;$F224,'Emission factors'!$J$3:$J$201&amp;'Emission factors'!$K$3:$K$201,0),MATCH('Buildings - Heat &amp; Fuels'!U$6,'Emission factors'!$K$2:$V$2,0)))*$K224)</f>
        <v/>
      </c>
      <c r="V224" s="158" t="str">
        <f>IF(OR($N224="",BuildingsHeatFuelsTable[[#This Row],[RSD]]=""),"",BuildingsHeatFuelsTable[[#This Row],[Total emissions (kgCO2e)]]*(1+BuildingsHeatFuelsTable[[#This Row],[RSD]]))</f>
        <v/>
      </c>
      <c r="W224" s="159" t="str">
        <f>IF(OR($N224="",BuildingsHeatFuelsTable[[#This Row],[RSD]]=""),"",BuildingsHeatFuelsTable[[#This Row],[Total emissions (kgCO2e)]]*(1-BuildingsHeatFuelsTable[[#This Row],[RSD]]))</f>
        <v/>
      </c>
      <c r="X224" s="169" t="str" cm="1">
        <f t="array" ref="X224">IF(OR($E224="",$I224=""),"",(INDEX('Emission factors'!$K$3:$V$201,MATCH('Buildings - Heat &amp; Fuels'!$E224&amp;$F224,'Emission factors'!$J$3:$J$201&amp;'Emission factors'!$K$3:$K$201,0),MATCH('Buildings - Heat &amp; Fuels'!X$6,'Emission factors'!$K$2:$V$2,0)))*$K224)</f>
        <v/>
      </c>
      <c r="Y224" s="30"/>
      <c r="Z224" s="1" cm="1">
        <f t="array" ref="Z224">IF(OR(ISERROR(B224:X224)),1,0)</f>
        <v>0</v>
      </c>
      <c r="AA224" s="1">
        <f t="shared" si="0"/>
        <v>0</v>
      </c>
    </row>
    <row r="225" spans="1:27" ht="15" outlineLevel="1" thickBot="1" x14ac:dyDescent="0.4">
      <c r="A225" s="319"/>
      <c r="B225" s="216"/>
      <c r="C225" s="215"/>
      <c r="D225" s="233" t="str">
        <f>IFERROR(INDEX(BuildingInformationTable[Site type],MATCH(BuildingsHeatFuelsTable[[#This Row],[Site name]],BuildingInformationTable[Site name],0)),"")</f>
        <v/>
      </c>
      <c r="E225" s="72"/>
      <c r="F225" s="72"/>
      <c r="G225" s="72"/>
      <c r="H225" s="98" t="str">
        <f>IF(G225="","",INDEX(Lists!$BA$4:$BC$31,MATCH(E225,Lists!$AZ$4:$AZ$31,0),MATCH(G225,Lists!$BA$3:$BC$3,0)))</f>
        <v/>
      </c>
      <c r="I225" s="70"/>
      <c r="J225" s="72"/>
      <c r="K225" s="75" t="str" cm="1">
        <f t="array" ref="K225">IF(OR($E225="",$D225="",$I225="",$J225=""),"",IF(J225=L225,I225,(INDEX('Emission factors'!$K$3:$V$201,MATCH(E225&amp;F225,'Emission factors'!$J$3:$J$201&amp;'Emission factors'!$K$3:$K$201,0),MATCH(K$6,'Emission factors'!$K$2:$V$2,0)))*I225))</f>
        <v/>
      </c>
      <c r="L225" s="312" t="str">
        <f>IF(OR($E225="",$D225="",$I225="",$J225=""),"",INDEX('Emission factors'!$K$3:$V$201,MATCH('Buildings - Heat &amp; Fuels'!$E225,'Emission factors'!$J$3:$J$201,0),MATCH($L$6,'Emission factors'!$K$2:$V$2,0)))</f>
        <v/>
      </c>
      <c r="M225" s="313" t="str" cm="1">
        <f t="array" ref="M225">IF(OR(E225="",I225="",BuildingsHeatFuelsTable[[#This Row],[Units]]=""),"",INDEX('Emission factors'!$K$3:$V$201,MATCH('Buildings - Heat &amp; Fuels'!$E225&amp;F225,'Emission factors'!$J$3:$J$201&amp;'Emission factors'!$K$3:$K$201,0),MATCH('Buildings - Heat &amp; Fuels'!$M$6,'Emission factors'!$K$2:$V$2,0)))</f>
        <v/>
      </c>
      <c r="N225" s="156" t="str">
        <f>IF(OR(K225="",M225=""),"",SUM(BuildingsHeatFuelsTable[[#This Row],[Direct]:[Indirect WTT]]))</f>
        <v/>
      </c>
      <c r="O225" s="71"/>
      <c r="P225" s="72"/>
      <c r="Q225" s="157" t="str" cm="1">
        <f t="array" ref="Q225">IF(OR($E225="",$I225=""),"",(INDEX('Emission factors'!$K$3:$V$201,MATCH('Buildings - Heat &amp; Fuels'!$E225&amp;$F225,'Emission factors'!$J$3:$J$201&amp;'Emission factors'!$K$3:$K$201,0),MATCH('Buildings - Heat &amp; Fuels'!Q$6,'Emission factors'!$K$2:$V$2,0)))*$K225)</f>
        <v/>
      </c>
      <c r="R225" s="157" t="str" cm="1">
        <f t="array" ref="R225">IF(OR($E225="",$I225=""),"",(INDEX('Emission factors'!$K$3:$V$201,MATCH('Buildings - Heat &amp; Fuels'!$E225&amp;$F225,'Emission factors'!$J$3:$J$201&amp;'Emission factors'!$K$3:$K$201,0),MATCH('Buildings - Heat &amp; Fuels'!R$6,'Emission factors'!$K$2:$V$2,0)))*$K225)</f>
        <v/>
      </c>
      <c r="S225" s="157" t="str" cm="1">
        <f t="array" ref="S225">IF(OR($E225="",$I225=""),"",(INDEX('Emission factors'!$K$3:$V$201,MATCH('Buildings - Heat &amp; Fuels'!$E225&amp;$F225,'Emission factors'!$J$3:$J$201&amp;'Emission factors'!$K$3:$K$201,0),MATCH('Buildings - Heat &amp; Fuels'!S$6,'Emission factors'!$K$2:$V$2,0)))*$K225)</f>
        <v/>
      </c>
      <c r="T225" s="157" t="str" cm="1">
        <f t="array" ref="T225">IF(OR($E225="",$I225=""),"",(INDEX('Emission factors'!$K$3:$V$201,MATCH('Buildings - Heat &amp; Fuels'!$E225&amp;$F225,'Emission factors'!$J$3:$J$201&amp;'Emission factors'!$K$3:$K$201,0),MATCH('Buildings - Heat &amp; Fuels'!T$6,'Emission factors'!$K$2:$V$2,0)))*$K225)</f>
        <v/>
      </c>
      <c r="U225" s="157" t="str" cm="1">
        <f t="array" ref="U225">IF(OR($E225="",$I225=""),"",(INDEX('Emission factors'!$K$3:$V$201,MATCH('Buildings - Heat &amp; Fuels'!$E225&amp;$F225,'Emission factors'!$J$3:$J$201&amp;'Emission factors'!$K$3:$K$201,0),MATCH('Buildings - Heat &amp; Fuels'!U$6,'Emission factors'!$K$2:$V$2,0)))*$K225)</f>
        <v/>
      </c>
      <c r="V225" s="158" t="str">
        <f>IF(OR($N225="",BuildingsHeatFuelsTable[[#This Row],[RSD]]=""),"",BuildingsHeatFuelsTable[[#This Row],[Total emissions (kgCO2e)]]*(1+BuildingsHeatFuelsTable[[#This Row],[RSD]]))</f>
        <v/>
      </c>
      <c r="W225" s="159" t="str">
        <f>IF(OR($N225="",BuildingsHeatFuelsTable[[#This Row],[RSD]]=""),"",BuildingsHeatFuelsTable[[#This Row],[Total emissions (kgCO2e)]]*(1-BuildingsHeatFuelsTable[[#This Row],[RSD]]))</f>
        <v/>
      </c>
      <c r="X225" s="169" t="str" cm="1">
        <f t="array" ref="X225">IF(OR($E225="",$I225=""),"",(INDEX('Emission factors'!$K$3:$V$201,MATCH('Buildings - Heat &amp; Fuels'!$E225&amp;$F225,'Emission factors'!$J$3:$J$201&amp;'Emission factors'!$K$3:$K$201,0),MATCH('Buildings - Heat &amp; Fuels'!X$6,'Emission factors'!$K$2:$V$2,0)))*$K225)</f>
        <v/>
      </c>
      <c r="Y225" s="30"/>
      <c r="Z225" s="1" cm="1">
        <f t="array" ref="Z225">IF(OR(ISERROR(B225:X225)),1,0)</f>
        <v>0</v>
      </c>
      <c r="AA225" s="1">
        <f t="shared" si="0"/>
        <v>0</v>
      </c>
    </row>
    <row r="226" spans="1:27" ht="15" outlineLevel="1" thickBot="1" x14ac:dyDescent="0.4">
      <c r="A226" s="319"/>
      <c r="B226" s="216"/>
      <c r="C226" s="215"/>
      <c r="D226" s="233" t="str">
        <f>IFERROR(INDEX(BuildingInformationTable[Site type],MATCH(BuildingsHeatFuelsTable[[#This Row],[Site name]],BuildingInformationTable[Site name],0)),"")</f>
        <v/>
      </c>
      <c r="E226" s="72"/>
      <c r="F226" s="72"/>
      <c r="G226" s="72"/>
      <c r="H226" s="98" t="str">
        <f>IF(G226="","",INDEX(Lists!$BA$4:$BC$31,MATCH(E226,Lists!$AZ$4:$AZ$31,0),MATCH(G226,Lists!$BA$3:$BC$3,0)))</f>
        <v/>
      </c>
      <c r="I226" s="70"/>
      <c r="J226" s="72"/>
      <c r="K226" s="75" t="str" cm="1">
        <f t="array" ref="K226">IF(OR($E226="",$D226="",$I226="",$J226=""),"",IF(J226=L226,I226,(INDEX('Emission factors'!$K$3:$V$201,MATCH(E226&amp;F226,'Emission factors'!$J$3:$J$201&amp;'Emission factors'!$K$3:$K$201,0),MATCH(K$6,'Emission factors'!$K$2:$V$2,0)))*I226))</f>
        <v/>
      </c>
      <c r="L226" s="312" t="str">
        <f>IF(OR($E226="",$D226="",$I226="",$J226=""),"",INDEX('Emission factors'!$K$3:$V$201,MATCH('Buildings - Heat &amp; Fuels'!$E226,'Emission factors'!$J$3:$J$201,0),MATCH($L$6,'Emission factors'!$K$2:$V$2,0)))</f>
        <v/>
      </c>
      <c r="M226" s="313" t="str" cm="1">
        <f t="array" ref="M226">IF(OR(E226="",I226="",BuildingsHeatFuelsTable[[#This Row],[Units]]=""),"",INDEX('Emission factors'!$K$3:$V$201,MATCH('Buildings - Heat &amp; Fuels'!$E226&amp;F226,'Emission factors'!$J$3:$J$201&amp;'Emission factors'!$K$3:$K$201,0),MATCH('Buildings - Heat &amp; Fuels'!$M$6,'Emission factors'!$K$2:$V$2,0)))</f>
        <v/>
      </c>
      <c r="N226" s="156" t="str">
        <f>IF(OR(K226="",M226=""),"",SUM(BuildingsHeatFuelsTable[[#This Row],[Direct]:[Indirect WTT]]))</f>
        <v/>
      </c>
      <c r="O226" s="71"/>
      <c r="P226" s="72"/>
      <c r="Q226" s="157" t="str" cm="1">
        <f t="array" ref="Q226">IF(OR($E226="",$I226=""),"",(INDEX('Emission factors'!$K$3:$V$201,MATCH('Buildings - Heat &amp; Fuels'!$E226&amp;$F226,'Emission factors'!$J$3:$J$201&amp;'Emission factors'!$K$3:$K$201,0),MATCH('Buildings - Heat &amp; Fuels'!Q$6,'Emission factors'!$K$2:$V$2,0)))*$K226)</f>
        <v/>
      </c>
      <c r="R226" s="157" t="str" cm="1">
        <f t="array" ref="R226">IF(OR($E226="",$I226=""),"",(INDEX('Emission factors'!$K$3:$V$201,MATCH('Buildings - Heat &amp; Fuels'!$E226&amp;$F226,'Emission factors'!$J$3:$J$201&amp;'Emission factors'!$K$3:$K$201,0),MATCH('Buildings - Heat &amp; Fuels'!R$6,'Emission factors'!$K$2:$V$2,0)))*$K226)</f>
        <v/>
      </c>
      <c r="S226" s="157" t="str" cm="1">
        <f t="array" ref="S226">IF(OR($E226="",$I226=""),"",(INDEX('Emission factors'!$K$3:$V$201,MATCH('Buildings - Heat &amp; Fuels'!$E226&amp;$F226,'Emission factors'!$J$3:$J$201&amp;'Emission factors'!$K$3:$K$201,0),MATCH('Buildings - Heat &amp; Fuels'!S$6,'Emission factors'!$K$2:$V$2,0)))*$K226)</f>
        <v/>
      </c>
      <c r="T226" s="157" t="str" cm="1">
        <f t="array" ref="T226">IF(OR($E226="",$I226=""),"",(INDEX('Emission factors'!$K$3:$V$201,MATCH('Buildings - Heat &amp; Fuels'!$E226&amp;$F226,'Emission factors'!$J$3:$J$201&amp;'Emission factors'!$K$3:$K$201,0),MATCH('Buildings - Heat &amp; Fuels'!T$6,'Emission factors'!$K$2:$V$2,0)))*$K226)</f>
        <v/>
      </c>
      <c r="U226" s="157" t="str" cm="1">
        <f t="array" ref="U226">IF(OR($E226="",$I226=""),"",(INDEX('Emission factors'!$K$3:$V$201,MATCH('Buildings - Heat &amp; Fuels'!$E226&amp;$F226,'Emission factors'!$J$3:$J$201&amp;'Emission factors'!$K$3:$K$201,0),MATCH('Buildings - Heat &amp; Fuels'!U$6,'Emission factors'!$K$2:$V$2,0)))*$K226)</f>
        <v/>
      </c>
      <c r="V226" s="158" t="str">
        <f>IF(OR($N226="",BuildingsHeatFuelsTable[[#This Row],[RSD]]=""),"",BuildingsHeatFuelsTable[[#This Row],[Total emissions (kgCO2e)]]*(1+BuildingsHeatFuelsTable[[#This Row],[RSD]]))</f>
        <v/>
      </c>
      <c r="W226" s="159" t="str">
        <f>IF(OR($N226="",BuildingsHeatFuelsTable[[#This Row],[RSD]]=""),"",BuildingsHeatFuelsTable[[#This Row],[Total emissions (kgCO2e)]]*(1-BuildingsHeatFuelsTable[[#This Row],[RSD]]))</f>
        <v/>
      </c>
      <c r="X226" s="169" t="str" cm="1">
        <f t="array" ref="X226">IF(OR($E226="",$I226=""),"",(INDEX('Emission factors'!$K$3:$V$201,MATCH('Buildings - Heat &amp; Fuels'!$E226&amp;$F226,'Emission factors'!$J$3:$J$201&amp;'Emission factors'!$K$3:$K$201,0),MATCH('Buildings - Heat &amp; Fuels'!X$6,'Emission factors'!$K$2:$V$2,0)))*$K226)</f>
        <v/>
      </c>
      <c r="Y226" s="30"/>
      <c r="Z226" s="1" cm="1">
        <f t="array" ref="Z226">IF(OR(ISERROR(B226:X226)),1,0)</f>
        <v>0</v>
      </c>
      <c r="AA226" s="1">
        <f t="shared" si="0"/>
        <v>0</v>
      </c>
    </row>
    <row r="227" spans="1:27" ht="15" outlineLevel="1" thickBot="1" x14ac:dyDescent="0.4">
      <c r="A227" s="319"/>
      <c r="B227" s="216"/>
      <c r="C227" s="215"/>
      <c r="D227" s="233" t="str">
        <f>IFERROR(INDEX(BuildingInformationTable[Site type],MATCH(BuildingsHeatFuelsTable[[#This Row],[Site name]],BuildingInformationTable[Site name],0)),"")</f>
        <v/>
      </c>
      <c r="E227" s="72"/>
      <c r="F227" s="72"/>
      <c r="G227" s="72"/>
      <c r="H227" s="98" t="str">
        <f>IF(G227="","",INDEX(Lists!$BA$4:$BC$31,MATCH(E227,Lists!$AZ$4:$AZ$31,0),MATCH(G227,Lists!$BA$3:$BC$3,0)))</f>
        <v/>
      </c>
      <c r="I227" s="70"/>
      <c r="J227" s="72"/>
      <c r="K227" s="75" t="str" cm="1">
        <f t="array" ref="K227">IF(OR($E227="",$D227="",$I227="",$J227=""),"",IF(J227=L227,I227,(INDEX('Emission factors'!$K$3:$V$201,MATCH(E227&amp;F227,'Emission factors'!$J$3:$J$201&amp;'Emission factors'!$K$3:$K$201,0),MATCH(K$6,'Emission factors'!$K$2:$V$2,0)))*I227))</f>
        <v/>
      </c>
      <c r="L227" s="312" t="str">
        <f>IF(OR($E227="",$D227="",$I227="",$J227=""),"",INDEX('Emission factors'!$K$3:$V$201,MATCH('Buildings - Heat &amp; Fuels'!$E227,'Emission factors'!$J$3:$J$201,0),MATCH($L$6,'Emission factors'!$K$2:$V$2,0)))</f>
        <v/>
      </c>
      <c r="M227" s="313" t="str" cm="1">
        <f t="array" ref="M227">IF(OR(E227="",I227="",BuildingsHeatFuelsTable[[#This Row],[Units]]=""),"",INDEX('Emission factors'!$K$3:$V$201,MATCH('Buildings - Heat &amp; Fuels'!$E227&amp;F227,'Emission factors'!$J$3:$J$201&amp;'Emission factors'!$K$3:$K$201,0),MATCH('Buildings - Heat &amp; Fuels'!$M$6,'Emission factors'!$K$2:$V$2,0)))</f>
        <v/>
      </c>
      <c r="N227" s="156" t="str">
        <f>IF(OR(K227="",M227=""),"",SUM(BuildingsHeatFuelsTable[[#This Row],[Direct]:[Indirect WTT]]))</f>
        <v/>
      </c>
      <c r="O227" s="71"/>
      <c r="P227" s="72"/>
      <c r="Q227" s="157" t="str" cm="1">
        <f t="array" ref="Q227">IF(OR($E227="",$I227=""),"",(INDEX('Emission factors'!$K$3:$V$201,MATCH('Buildings - Heat &amp; Fuels'!$E227&amp;$F227,'Emission factors'!$J$3:$J$201&amp;'Emission factors'!$K$3:$K$201,0),MATCH('Buildings - Heat &amp; Fuels'!Q$6,'Emission factors'!$K$2:$V$2,0)))*$K227)</f>
        <v/>
      </c>
      <c r="R227" s="157" t="str" cm="1">
        <f t="array" ref="R227">IF(OR($E227="",$I227=""),"",(INDEX('Emission factors'!$K$3:$V$201,MATCH('Buildings - Heat &amp; Fuels'!$E227&amp;$F227,'Emission factors'!$J$3:$J$201&amp;'Emission factors'!$K$3:$K$201,0),MATCH('Buildings - Heat &amp; Fuels'!R$6,'Emission factors'!$K$2:$V$2,0)))*$K227)</f>
        <v/>
      </c>
      <c r="S227" s="157" t="str" cm="1">
        <f t="array" ref="S227">IF(OR($E227="",$I227=""),"",(INDEX('Emission factors'!$K$3:$V$201,MATCH('Buildings - Heat &amp; Fuels'!$E227&amp;$F227,'Emission factors'!$J$3:$J$201&amp;'Emission factors'!$K$3:$K$201,0),MATCH('Buildings - Heat &amp; Fuels'!S$6,'Emission factors'!$K$2:$V$2,0)))*$K227)</f>
        <v/>
      </c>
      <c r="T227" s="157" t="str" cm="1">
        <f t="array" ref="T227">IF(OR($E227="",$I227=""),"",(INDEX('Emission factors'!$K$3:$V$201,MATCH('Buildings - Heat &amp; Fuels'!$E227&amp;$F227,'Emission factors'!$J$3:$J$201&amp;'Emission factors'!$K$3:$K$201,0),MATCH('Buildings - Heat &amp; Fuels'!T$6,'Emission factors'!$K$2:$V$2,0)))*$K227)</f>
        <v/>
      </c>
      <c r="U227" s="157" t="str" cm="1">
        <f t="array" ref="U227">IF(OR($E227="",$I227=""),"",(INDEX('Emission factors'!$K$3:$V$201,MATCH('Buildings - Heat &amp; Fuels'!$E227&amp;$F227,'Emission factors'!$J$3:$J$201&amp;'Emission factors'!$K$3:$K$201,0),MATCH('Buildings - Heat &amp; Fuels'!U$6,'Emission factors'!$K$2:$V$2,0)))*$K227)</f>
        <v/>
      </c>
      <c r="V227" s="158" t="str">
        <f>IF(OR($N227="",BuildingsHeatFuelsTable[[#This Row],[RSD]]=""),"",BuildingsHeatFuelsTable[[#This Row],[Total emissions (kgCO2e)]]*(1+BuildingsHeatFuelsTable[[#This Row],[RSD]]))</f>
        <v/>
      </c>
      <c r="W227" s="159" t="str">
        <f>IF(OR($N227="",BuildingsHeatFuelsTable[[#This Row],[RSD]]=""),"",BuildingsHeatFuelsTable[[#This Row],[Total emissions (kgCO2e)]]*(1-BuildingsHeatFuelsTable[[#This Row],[RSD]]))</f>
        <v/>
      </c>
      <c r="X227" s="169" t="str" cm="1">
        <f t="array" ref="X227">IF(OR($E227="",$I227=""),"",(INDEX('Emission factors'!$K$3:$V$201,MATCH('Buildings - Heat &amp; Fuels'!$E227&amp;$F227,'Emission factors'!$J$3:$J$201&amp;'Emission factors'!$K$3:$K$201,0),MATCH('Buildings - Heat &amp; Fuels'!X$6,'Emission factors'!$K$2:$V$2,0)))*$K227)</f>
        <v/>
      </c>
      <c r="Y227" s="30"/>
      <c r="Z227" s="1" cm="1">
        <f t="array" ref="Z227">IF(OR(ISERROR(B227:X227)),1,0)</f>
        <v>0</v>
      </c>
      <c r="AA227" s="1">
        <f t="shared" si="0"/>
        <v>0</v>
      </c>
    </row>
    <row r="228" spans="1:27" ht="15" outlineLevel="1" thickBot="1" x14ac:dyDescent="0.4">
      <c r="A228" s="319"/>
      <c r="B228" s="216"/>
      <c r="C228" s="215"/>
      <c r="D228" s="233" t="str">
        <f>IFERROR(INDEX(BuildingInformationTable[Site type],MATCH(BuildingsHeatFuelsTable[[#This Row],[Site name]],BuildingInformationTable[Site name],0)),"")</f>
        <v/>
      </c>
      <c r="E228" s="72"/>
      <c r="F228" s="72"/>
      <c r="G228" s="72"/>
      <c r="H228" s="98" t="str">
        <f>IF(G228="","",INDEX(Lists!$BA$4:$BC$31,MATCH(E228,Lists!$AZ$4:$AZ$31,0),MATCH(G228,Lists!$BA$3:$BC$3,0)))</f>
        <v/>
      </c>
      <c r="I228" s="70"/>
      <c r="J228" s="72"/>
      <c r="K228" s="75" t="str" cm="1">
        <f t="array" ref="K228">IF(OR($E228="",$D228="",$I228="",$J228=""),"",IF(J228=L228,I228,(INDEX('Emission factors'!$K$3:$V$201,MATCH(E228&amp;F228,'Emission factors'!$J$3:$J$201&amp;'Emission factors'!$K$3:$K$201,0),MATCH(K$6,'Emission factors'!$K$2:$V$2,0)))*I228))</f>
        <v/>
      </c>
      <c r="L228" s="312" t="str">
        <f>IF(OR($E228="",$D228="",$I228="",$J228=""),"",INDEX('Emission factors'!$K$3:$V$201,MATCH('Buildings - Heat &amp; Fuels'!$E228,'Emission factors'!$J$3:$J$201,0),MATCH($L$6,'Emission factors'!$K$2:$V$2,0)))</f>
        <v/>
      </c>
      <c r="M228" s="313" t="str" cm="1">
        <f t="array" ref="M228">IF(OR(E228="",I228="",BuildingsHeatFuelsTable[[#This Row],[Units]]=""),"",INDEX('Emission factors'!$K$3:$V$201,MATCH('Buildings - Heat &amp; Fuels'!$E228&amp;F228,'Emission factors'!$J$3:$J$201&amp;'Emission factors'!$K$3:$K$201,0),MATCH('Buildings - Heat &amp; Fuels'!$M$6,'Emission factors'!$K$2:$V$2,0)))</f>
        <v/>
      </c>
      <c r="N228" s="156" t="str">
        <f>IF(OR(K228="",M228=""),"",SUM(BuildingsHeatFuelsTable[[#This Row],[Direct]:[Indirect WTT]]))</f>
        <v/>
      </c>
      <c r="O228" s="71"/>
      <c r="P228" s="72"/>
      <c r="Q228" s="157" t="str" cm="1">
        <f t="array" ref="Q228">IF(OR($E228="",$I228=""),"",(INDEX('Emission factors'!$K$3:$V$201,MATCH('Buildings - Heat &amp; Fuels'!$E228&amp;$F228,'Emission factors'!$J$3:$J$201&amp;'Emission factors'!$K$3:$K$201,0),MATCH('Buildings - Heat &amp; Fuels'!Q$6,'Emission factors'!$K$2:$V$2,0)))*$K228)</f>
        <v/>
      </c>
      <c r="R228" s="157" t="str" cm="1">
        <f t="array" ref="R228">IF(OR($E228="",$I228=""),"",(INDEX('Emission factors'!$K$3:$V$201,MATCH('Buildings - Heat &amp; Fuels'!$E228&amp;$F228,'Emission factors'!$J$3:$J$201&amp;'Emission factors'!$K$3:$K$201,0),MATCH('Buildings - Heat &amp; Fuels'!R$6,'Emission factors'!$K$2:$V$2,0)))*$K228)</f>
        <v/>
      </c>
      <c r="S228" s="157" t="str" cm="1">
        <f t="array" ref="S228">IF(OR($E228="",$I228=""),"",(INDEX('Emission factors'!$K$3:$V$201,MATCH('Buildings - Heat &amp; Fuels'!$E228&amp;$F228,'Emission factors'!$J$3:$J$201&amp;'Emission factors'!$K$3:$K$201,0),MATCH('Buildings - Heat &amp; Fuels'!S$6,'Emission factors'!$K$2:$V$2,0)))*$K228)</f>
        <v/>
      </c>
      <c r="T228" s="157" t="str" cm="1">
        <f t="array" ref="T228">IF(OR($E228="",$I228=""),"",(INDEX('Emission factors'!$K$3:$V$201,MATCH('Buildings - Heat &amp; Fuels'!$E228&amp;$F228,'Emission factors'!$J$3:$J$201&amp;'Emission factors'!$K$3:$K$201,0),MATCH('Buildings - Heat &amp; Fuels'!T$6,'Emission factors'!$K$2:$V$2,0)))*$K228)</f>
        <v/>
      </c>
      <c r="U228" s="157" t="str" cm="1">
        <f t="array" ref="U228">IF(OR($E228="",$I228=""),"",(INDEX('Emission factors'!$K$3:$V$201,MATCH('Buildings - Heat &amp; Fuels'!$E228&amp;$F228,'Emission factors'!$J$3:$J$201&amp;'Emission factors'!$K$3:$K$201,0),MATCH('Buildings - Heat &amp; Fuels'!U$6,'Emission factors'!$K$2:$V$2,0)))*$K228)</f>
        <v/>
      </c>
      <c r="V228" s="158" t="str">
        <f>IF(OR($N228="",BuildingsHeatFuelsTable[[#This Row],[RSD]]=""),"",BuildingsHeatFuelsTable[[#This Row],[Total emissions (kgCO2e)]]*(1+BuildingsHeatFuelsTable[[#This Row],[RSD]]))</f>
        <v/>
      </c>
      <c r="W228" s="159" t="str">
        <f>IF(OR($N228="",BuildingsHeatFuelsTable[[#This Row],[RSD]]=""),"",BuildingsHeatFuelsTable[[#This Row],[Total emissions (kgCO2e)]]*(1-BuildingsHeatFuelsTable[[#This Row],[RSD]]))</f>
        <v/>
      </c>
      <c r="X228" s="169" t="str" cm="1">
        <f t="array" ref="X228">IF(OR($E228="",$I228=""),"",(INDEX('Emission factors'!$K$3:$V$201,MATCH('Buildings - Heat &amp; Fuels'!$E228&amp;$F228,'Emission factors'!$J$3:$J$201&amp;'Emission factors'!$K$3:$K$201,0),MATCH('Buildings - Heat &amp; Fuels'!X$6,'Emission factors'!$K$2:$V$2,0)))*$K228)</f>
        <v/>
      </c>
      <c r="Y228" s="30"/>
      <c r="Z228" s="1" cm="1">
        <f t="array" ref="Z228">IF(OR(ISERROR(B228:X228)),1,0)</f>
        <v>0</v>
      </c>
      <c r="AA228" s="1">
        <f t="shared" si="0"/>
        <v>0</v>
      </c>
    </row>
    <row r="229" spans="1:27" ht="15" outlineLevel="1" thickBot="1" x14ac:dyDescent="0.4">
      <c r="A229" s="319"/>
      <c r="B229" s="216"/>
      <c r="C229" s="215"/>
      <c r="D229" s="233" t="str">
        <f>IFERROR(INDEX(BuildingInformationTable[Site type],MATCH(BuildingsHeatFuelsTable[[#This Row],[Site name]],BuildingInformationTable[Site name],0)),"")</f>
        <v/>
      </c>
      <c r="E229" s="72"/>
      <c r="F229" s="72"/>
      <c r="G229" s="72"/>
      <c r="H229" s="98" t="str">
        <f>IF(G229="","",INDEX(Lists!$BA$4:$BC$31,MATCH(E229,Lists!$AZ$4:$AZ$31,0),MATCH(G229,Lists!$BA$3:$BC$3,0)))</f>
        <v/>
      </c>
      <c r="I229" s="70"/>
      <c r="J229" s="72"/>
      <c r="K229" s="75" t="str" cm="1">
        <f t="array" ref="K229">IF(OR($E229="",$D229="",$I229="",$J229=""),"",IF(J229=L229,I229,(INDEX('Emission factors'!$K$3:$V$201,MATCH(E229&amp;F229,'Emission factors'!$J$3:$J$201&amp;'Emission factors'!$K$3:$K$201,0),MATCH(K$6,'Emission factors'!$K$2:$V$2,0)))*I229))</f>
        <v/>
      </c>
      <c r="L229" s="312" t="str">
        <f>IF(OR($E229="",$D229="",$I229="",$J229=""),"",INDEX('Emission factors'!$K$3:$V$201,MATCH('Buildings - Heat &amp; Fuels'!$E229,'Emission factors'!$J$3:$J$201,0),MATCH($L$6,'Emission factors'!$K$2:$V$2,0)))</f>
        <v/>
      </c>
      <c r="M229" s="313" t="str" cm="1">
        <f t="array" ref="M229">IF(OR(E229="",I229="",BuildingsHeatFuelsTable[[#This Row],[Units]]=""),"",INDEX('Emission factors'!$K$3:$V$201,MATCH('Buildings - Heat &amp; Fuels'!$E229&amp;F229,'Emission factors'!$J$3:$J$201&amp;'Emission factors'!$K$3:$K$201,0),MATCH('Buildings - Heat &amp; Fuels'!$M$6,'Emission factors'!$K$2:$V$2,0)))</f>
        <v/>
      </c>
      <c r="N229" s="156" t="str">
        <f>IF(OR(K229="",M229=""),"",SUM(BuildingsHeatFuelsTable[[#This Row],[Direct]:[Indirect WTT]]))</f>
        <v/>
      </c>
      <c r="O229" s="71"/>
      <c r="P229" s="72"/>
      <c r="Q229" s="157" t="str" cm="1">
        <f t="array" ref="Q229">IF(OR($E229="",$I229=""),"",(INDEX('Emission factors'!$K$3:$V$201,MATCH('Buildings - Heat &amp; Fuels'!$E229&amp;$F229,'Emission factors'!$J$3:$J$201&amp;'Emission factors'!$K$3:$K$201,0),MATCH('Buildings - Heat &amp; Fuels'!Q$6,'Emission factors'!$K$2:$V$2,0)))*$K229)</f>
        <v/>
      </c>
      <c r="R229" s="157" t="str" cm="1">
        <f t="array" ref="R229">IF(OR($E229="",$I229=""),"",(INDEX('Emission factors'!$K$3:$V$201,MATCH('Buildings - Heat &amp; Fuels'!$E229&amp;$F229,'Emission factors'!$J$3:$J$201&amp;'Emission factors'!$K$3:$K$201,0),MATCH('Buildings - Heat &amp; Fuels'!R$6,'Emission factors'!$K$2:$V$2,0)))*$K229)</f>
        <v/>
      </c>
      <c r="S229" s="157" t="str" cm="1">
        <f t="array" ref="S229">IF(OR($E229="",$I229=""),"",(INDEX('Emission factors'!$K$3:$V$201,MATCH('Buildings - Heat &amp; Fuels'!$E229&amp;$F229,'Emission factors'!$J$3:$J$201&amp;'Emission factors'!$K$3:$K$201,0),MATCH('Buildings - Heat &amp; Fuels'!S$6,'Emission factors'!$K$2:$V$2,0)))*$K229)</f>
        <v/>
      </c>
      <c r="T229" s="157" t="str" cm="1">
        <f t="array" ref="T229">IF(OR($E229="",$I229=""),"",(INDEX('Emission factors'!$K$3:$V$201,MATCH('Buildings - Heat &amp; Fuels'!$E229&amp;$F229,'Emission factors'!$J$3:$J$201&amp;'Emission factors'!$K$3:$K$201,0),MATCH('Buildings - Heat &amp; Fuels'!T$6,'Emission factors'!$K$2:$V$2,0)))*$K229)</f>
        <v/>
      </c>
      <c r="U229" s="157" t="str" cm="1">
        <f t="array" ref="U229">IF(OR($E229="",$I229=""),"",(INDEX('Emission factors'!$K$3:$V$201,MATCH('Buildings - Heat &amp; Fuels'!$E229&amp;$F229,'Emission factors'!$J$3:$J$201&amp;'Emission factors'!$K$3:$K$201,0),MATCH('Buildings - Heat &amp; Fuels'!U$6,'Emission factors'!$K$2:$V$2,0)))*$K229)</f>
        <v/>
      </c>
      <c r="V229" s="158" t="str">
        <f>IF(OR($N229="",BuildingsHeatFuelsTable[[#This Row],[RSD]]=""),"",BuildingsHeatFuelsTable[[#This Row],[Total emissions (kgCO2e)]]*(1+BuildingsHeatFuelsTable[[#This Row],[RSD]]))</f>
        <v/>
      </c>
      <c r="W229" s="159" t="str">
        <f>IF(OR($N229="",BuildingsHeatFuelsTable[[#This Row],[RSD]]=""),"",BuildingsHeatFuelsTable[[#This Row],[Total emissions (kgCO2e)]]*(1-BuildingsHeatFuelsTable[[#This Row],[RSD]]))</f>
        <v/>
      </c>
      <c r="X229" s="169" t="str" cm="1">
        <f t="array" ref="X229">IF(OR($E229="",$I229=""),"",(INDEX('Emission factors'!$K$3:$V$201,MATCH('Buildings - Heat &amp; Fuels'!$E229&amp;$F229,'Emission factors'!$J$3:$J$201&amp;'Emission factors'!$K$3:$K$201,0),MATCH('Buildings - Heat &amp; Fuels'!X$6,'Emission factors'!$K$2:$V$2,0)))*$K229)</f>
        <v/>
      </c>
      <c r="Y229" s="30"/>
      <c r="Z229" s="1" cm="1">
        <f t="array" ref="Z229">IF(OR(ISERROR(B229:X229)),1,0)</f>
        <v>0</v>
      </c>
      <c r="AA229" s="1">
        <f t="shared" si="0"/>
        <v>0</v>
      </c>
    </row>
    <row r="230" spans="1:27" ht="15" outlineLevel="1" thickBot="1" x14ac:dyDescent="0.4">
      <c r="A230" s="319"/>
      <c r="B230" s="216"/>
      <c r="C230" s="215"/>
      <c r="D230" s="233" t="str">
        <f>IFERROR(INDEX(BuildingInformationTable[Site type],MATCH(BuildingsHeatFuelsTable[[#This Row],[Site name]],BuildingInformationTable[Site name],0)),"")</f>
        <v/>
      </c>
      <c r="E230" s="72"/>
      <c r="F230" s="72"/>
      <c r="G230" s="72"/>
      <c r="H230" s="98" t="str">
        <f>IF(G230="","",INDEX(Lists!$BA$4:$BC$31,MATCH(E230,Lists!$AZ$4:$AZ$31,0),MATCH(G230,Lists!$BA$3:$BC$3,0)))</f>
        <v/>
      </c>
      <c r="I230" s="70"/>
      <c r="J230" s="72"/>
      <c r="K230" s="75" t="str" cm="1">
        <f t="array" ref="K230">IF(OR($E230="",$D230="",$I230="",$J230=""),"",IF(J230=L230,I230,(INDEX('Emission factors'!$K$3:$V$201,MATCH(E230&amp;F230,'Emission factors'!$J$3:$J$201&amp;'Emission factors'!$K$3:$K$201,0),MATCH(K$6,'Emission factors'!$K$2:$V$2,0)))*I230))</f>
        <v/>
      </c>
      <c r="L230" s="312" t="str">
        <f>IF(OR($E230="",$D230="",$I230="",$J230=""),"",INDEX('Emission factors'!$K$3:$V$201,MATCH('Buildings - Heat &amp; Fuels'!$E230,'Emission factors'!$J$3:$J$201,0),MATCH($L$6,'Emission factors'!$K$2:$V$2,0)))</f>
        <v/>
      </c>
      <c r="M230" s="313" t="str" cm="1">
        <f t="array" ref="M230">IF(OR(E230="",I230="",BuildingsHeatFuelsTable[[#This Row],[Units]]=""),"",INDEX('Emission factors'!$K$3:$V$201,MATCH('Buildings - Heat &amp; Fuels'!$E230&amp;F230,'Emission factors'!$J$3:$J$201&amp;'Emission factors'!$K$3:$K$201,0),MATCH('Buildings - Heat &amp; Fuels'!$M$6,'Emission factors'!$K$2:$V$2,0)))</f>
        <v/>
      </c>
      <c r="N230" s="156" t="str">
        <f>IF(OR(K230="",M230=""),"",SUM(BuildingsHeatFuelsTable[[#This Row],[Direct]:[Indirect WTT]]))</f>
        <v/>
      </c>
      <c r="O230" s="71"/>
      <c r="P230" s="72"/>
      <c r="Q230" s="157" t="str" cm="1">
        <f t="array" ref="Q230">IF(OR($E230="",$I230=""),"",(INDEX('Emission factors'!$K$3:$V$201,MATCH('Buildings - Heat &amp; Fuels'!$E230&amp;$F230,'Emission factors'!$J$3:$J$201&amp;'Emission factors'!$K$3:$K$201,0),MATCH('Buildings - Heat &amp; Fuels'!Q$6,'Emission factors'!$K$2:$V$2,0)))*$K230)</f>
        <v/>
      </c>
      <c r="R230" s="157" t="str" cm="1">
        <f t="array" ref="R230">IF(OR($E230="",$I230=""),"",(INDEX('Emission factors'!$K$3:$V$201,MATCH('Buildings - Heat &amp; Fuels'!$E230&amp;$F230,'Emission factors'!$J$3:$J$201&amp;'Emission factors'!$K$3:$K$201,0),MATCH('Buildings - Heat &amp; Fuels'!R$6,'Emission factors'!$K$2:$V$2,0)))*$K230)</f>
        <v/>
      </c>
      <c r="S230" s="157" t="str" cm="1">
        <f t="array" ref="S230">IF(OR($E230="",$I230=""),"",(INDEX('Emission factors'!$K$3:$V$201,MATCH('Buildings - Heat &amp; Fuels'!$E230&amp;$F230,'Emission factors'!$J$3:$J$201&amp;'Emission factors'!$K$3:$K$201,0),MATCH('Buildings - Heat &amp; Fuels'!S$6,'Emission factors'!$K$2:$V$2,0)))*$K230)</f>
        <v/>
      </c>
      <c r="T230" s="157" t="str" cm="1">
        <f t="array" ref="T230">IF(OR($E230="",$I230=""),"",(INDEX('Emission factors'!$K$3:$V$201,MATCH('Buildings - Heat &amp; Fuels'!$E230&amp;$F230,'Emission factors'!$J$3:$J$201&amp;'Emission factors'!$K$3:$K$201,0),MATCH('Buildings - Heat &amp; Fuels'!T$6,'Emission factors'!$K$2:$V$2,0)))*$K230)</f>
        <v/>
      </c>
      <c r="U230" s="157" t="str" cm="1">
        <f t="array" ref="U230">IF(OR($E230="",$I230=""),"",(INDEX('Emission factors'!$K$3:$V$201,MATCH('Buildings - Heat &amp; Fuels'!$E230&amp;$F230,'Emission factors'!$J$3:$J$201&amp;'Emission factors'!$K$3:$K$201,0),MATCH('Buildings - Heat &amp; Fuels'!U$6,'Emission factors'!$K$2:$V$2,0)))*$K230)</f>
        <v/>
      </c>
      <c r="V230" s="158" t="str">
        <f>IF(OR($N230="",BuildingsHeatFuelsTable[[#This Row],[RSD]]=""),"",BuildingsHeatFuelsTable[[#This Row],[Total emissions (kgCO2e)]]*(1+BuildingsHeatFuelsTable[[#This Row],[RSD]]))</f>
        <v/>
      </c>
      <c r="W230" s="159" t="str">
        <f>IF(OR($N230="",BuildingsHeatFuelsTable[[#This Row],[RSD]]=""),"",BuildingsHeatFuelsTable[[#This Row],[Total emissions (kgCO2e)]]*(1-BuildingsHeatFuelsTable[[#This Row],[RSD]]))</f>
        <v/>
      </c>
      <c r="X230" s="169" t="str" cm="1">
        <f t="array" ref="X230">IF(OR($E230="",$I230=""),"",(INDEX('Emission factors'!$K$3:$V$201,MATCH('Buildings - Heat &amp; Fuels'!$E230&amp;$F230,'Emission factors'!$J$3:$J$201&amp;'Emission factors'!$K$3:$K$201,0),MATCH('Buildings - Heat &amp; Fuels'!X$6,'Emission factors'!$K$2:$V$2,0)))*$K230)</f>
        <v/>
      </c>
      <c r="Y230" s="30"/>
      <c r="Z230" s="1" cm="1">
        <f t="array" ref="Z230">IF(OR(ISERROR(B230:X230)),1,0)</f>
        <v>0</v>
      </c>
      <c r="AA230" s="1">
        <f t="shared" si="0"/>
        <v>0</v>
      </c>
    </row>
    <row r="231" spans="1:27" ht="15" outlineLevel="1" thickBot="1" x14ac:dyDescent="0.4">
      <c r="A231" s="319"/>
      <c r="B231" s="216"/>
      <c r="C231" s="215"/>
      <c r="D231" s="233" t="str">
        <f>IFERROR(INDEX(BuildingInformationTable[Site type],MATCH(BuildingsHeatFuelsTable[[#This Row],[Site name]],BuildingInformationTable[Site name],0)),"")</f>
        <v/>
      </c>
      <c r="E231" s="72"/>
      <c r="F231" s="72"/>
      <c r="G231" s="72"/>
      <c r="H231" s="98" t="str">
        <f>IF(G231="","",INDEX(Lists!$BA$4:$BC$31,MATCH(E231,Lists!$AZ$4:$AZ$31,0),MATCH(G231,Lists!$BA$3:$BC$3,0)))</f>
        <v/>
      </c>
      <c r="I231" s="70"/>
      <c r="J231" s="72"/>
      <c r="K231" s="75" t="str" cm="1">
        <f t="array" ref="K231">IF(OR($E231="",$D231="",$I231="",$J231=""),"",IF(J231=L231,I231,(INDEX('Emission factors'!$K$3:$V$201,MATCH(E231&amp;F231,'Emission factors'!$J$3:$J$201&amp;'Emission factors'!$K$3:$K$201,0),MATCH(K$6,'Emission factors'!$K$2:$V$2,0)))*I231))</f>
        <v/>
      </c>
      <c r="L231" s="312" t="str">
        <f>IF(OR($E231="",$D231="",$I231="",$J231=""),"",INDEX('Emission factors'!$K$3:$V$201,MATCH('Buildings - Heat &amp; Fuels'!$E231,'Emission factors'!$J$3:$J$201,0),MATCH($L$6,'Emission factors'!$K$2:$V$2,0)))</f>
        <v/>
      </c>
      <c r="M231" s="313" t="str" cm="1">
        <f t="array" ref="M231">IF(OR(E231="",I231="",BuildingsHeatFuelsTable[[#This Row],[Units]]=""),"",INDEX('Emission factors'!$K$3:$V$201,MATCH('Buildings - Heat &amp; Fuels'!$E231&amp;F231,'Emission factors'!$J$3:$J$201&amp;'Emission factors'!$K$3:$K$201,0),MATCH('Buildings - Heat &amp; Fuels'!$M$6,'Emission factors'!$K$2:$V$2,0)))</f>
        <v/>
      </c>
      <c r="N231" s="156" t="str">
        <f>IF(OR(K231="",M231=""),"",SUM(BuildingsHeatFuelsTable[[#This Row],[Direct]:[Indirect WTT]]))</f>
        <v/>
      </c>
      <c r="O231" s="71"/>
      <c r="P231" s="72"/>
      <c r="Q231" s="157" t="str" cm="1">
        <f t="array" ref="Q231">IF(OR($E231="",$I231=""),"",(INDEX('Emission factors'!$K$3:$V$201,MATCH('Buildings - Heat &amp; Fuels'!$E231&amp;$F231,'Emission factors'!$J$3:$J$201&amp;'Emission factors'!$K$3:$K$201,0),MATCH('Buildings - Heat &amp; Fuels'!Q$6,'Emission factors'!$K$2:$V$2,0)))*$K231)</f>
        <v/>
      </c>
      <c r="R231" s="157" t="str" cm="1">
        <f t="array" ref="R231">IF(OR($E231="",$I231=""),"",(INDEX('Emission factors'!$K$3:$V$201,MATCH('Buildings - Heat &amp; Fuels'!$E231&amp;$F231,'Emission factors'!$J$3:$J$201&amp;'Emission factors'!$K$3:$K$201,0),MATCH('Buildings - Heat &amp; Fuels'!R$6,'Emission factors'!$K$2:$V$2,0)))*$K231)</f>
        <v/>
      </c>
      <c r="S231" s="157" t="str" cm="1">
        <f t="array" ref="S231">IF(OR($E231="",$I231=""),"",(INDEX('Emission factors'!$K$3:$V$201,MATCH('Buildings - Heat &amp; Fuels'!$E231&amp;$F231,'Emission factors'!$J$3:$J$201&amp;'Emission factors'!$K$3:$K$201,0),MATCH('Buildings - Heat &amp; Fuels'!S$6,'Emission factors'!$K$2:$V$2,0)))*$K231)</f>
        <v/>
      </c>
      <c r="T231" s="157" t="str" cm="1">
        <f t="array" ref="T231">IF(OR($E231="",$I231=""),"",(INDEX('Emission factors'!$K$3:$V$201,MATCH('Buildings - Heat &amp; Fuels'!$E231&amp;$F231,'Emission factors'!$J$3:$J$201&amp;'Emission factors'!$K$3:$K$201,0),MATCH('Buildings - Heat &amp; Fuels'!T$6,'Emission factors'!$K$2:$V$2,0)))*$K231)</f>
        <v/>
      </c>
      <c r="U231" s="157" t="str" cm="1">
        <f t="array" ref="U231">IF(OR($E231="",$I231=""),"",(INDEX('Emission factors'!$K$3:$V$201,MATCH('Buildings - Heat &amp; Fuels'!$E231&amp;$F231,'Emission factors'!$J$3:$J$201&amp;'Emission factors'!$K$3:$K$201,0),MATCH('Buildings - Heat &amp; Fuels'!U$6,'Emission factors'!$K$2:$V$2,0)))*$K231)</f>
        <v/>
      </c>
      <c r="V231" s="158" t="str">
        <f>IF(OR($N231="",BuildingsHeatFuelsTable[[#This Row],[RSD]]=""),"",BuildingsHeatFuelsTable[[#This Row],[Total emissions (kgCO2e)]]*(1+BuildingsHeatFuelsTable[[#This Row],[RSD]]))</f>
        <v/>
      </c>
      <c r="W231" s="159" t="str">
        <f>IF(OR($N231="",BuildingsHeatFuelsTable[[#This Row],[RSD]]=""),"",BuildingsHeatFuelsTable[[#This Row],[Total emissions (kgCO2e)]]*(1-BuildingsHeatFuelsTable[[#This Row],[RSD]]))</f>
        <v/>
      </c>
      <c r="X231" s="169" t="str" cm="1">
        <f t="array" ref="X231">IF(OR($E231="",$I231=""),"",(INDEX('Emission factors'!$K$3:$V$201,MATCH('Buildings - Heat &amp; Fuels'!$E231&amp;$F231,'Emission factors'!$J$3:$J$201&amp;'Emission factors'!$K$3:$K$201,0),MATCH('Buildings - Heat &amp; Fuels'!X$6,'Emission factors'!$K$2:$V$2,0)))*$K231)</f>
        <v/>
      </c>
      <c r="Y231" s="30"/>
      <c r="Z231" s="1" cm="1">
        <f t="array" ref="Z231">IF(OR(ISERROR(B231:X231)),1,0)</f>
        <v>0</v>
      </c>
      <c r="AA231" s="1">
        <f t="shared" si="0"/>
        <v>0</v>
      </c>
    </row>
    <row r="232" spans="1:27" ht="15" outlineLevel="1" thickBot="1" x14ac:dyDescent="0.4">
      <c r="A232" s="319"/>
      <c r="B232" s="216"/>
      <c r="C232" s="215"/>
      <c r="D232" s="233" t="str">
        <f>IFERROR(INDEX(BuildingInformationTable[Site type],MATCH(BuildingsHeatFuelsTable[[#This Row],[Site name]],BuildingInformationTable[Site name],0)),"")</f>
        <v/>
      </c>
      <c r="E232" s="72"/>
      <c r="F232" s="72"/>
      <c r="G232" s="72"/>
      <c r="H232" s="98" t="str">
        <f>IF(G232="","",INDEX(Lists!$BA$4:$BC$31,MATCH(E232,Lists!$AZ$4:$AZ$31,0),MATCH(G232,Lists!$BA$3:$BC$3,0)))</f>
        <v/>
      </c>
      <c r="I232" s="70"/>
      <c r="J232" s="72"/>
      <c r="K232" s="75" t="str" cm="1">
        <f t="array" ref="K232">IF(OR($E232="",$D232="",$I232="",$J232=""),"",IF(J232=L232,I232,(INDEX('Emission factors'!$K$3:$V$201,MATCH(E232&amp;F232,'Emission factors'!$J$3:$J$201&amp;'Emission factors'!$K$3:$K$201,0),MATCH(K$6,'Emission factors'!$K$2:$V$2,0)))*I232))</f>
        <v/>
      </c>
      <c r="L232" s="312" t="str">
        <f>IF(OR($E232="",$D232="",$I232="",$J232=""),"",INDEX('Emission factors'!$K$3:$V$201,MATCH('Buildings - Heat &amp; Fuels'!$E232,'Emission factors'!$J$3:$J$201,0),MATCH($L$6,'Emission factors'!$K$2:$V$2,0)))</f>
        <v/>
      </c>
      <c r="M232" s="313" t="str" cm="1">
        <f t="array" ref="M232">IF(OR(E232="",I232="",BuildingsHeatFuelsTable[[#This Row],[Units]]=""),"",INDEX('Emission factors'!$K$3:$V$201,MATCH('Buildings - Heat &amp; Fuels'!$E232&amp;F232,'Emission factors'!$J$3:$J$201&amp;'Emission factors'!$K$3:$K$201,0),MATCH('Buildings - Heat &amp; Fuels'!$M$6,'Emission factors'!$K$2:$V$2,0)))</f>
        <v/>
      </c>
      <c r="N232" s="156" t="str">
        <f>IF(OR(K232="",M232=""),"",SUM(BuildingsHeatFuelsTable[[#This Row],[Direct]:[Indirect WTT]]))</f>
        <v/>
      </c>
      <c r="O232" s="71"/>
      <c r="P232" s="190"/>
      <c r="Q232" s="157" t="str" cm="1">
        <f t="array" ref="Q232">IF(OR($E232="",$I232=""),"",(INDEX('Emission factors'!$K$3:$V$201,MATCH('Buildings - Heat &amp; Fuels'!$E232&amp;$F232,'Emission factors'!$J$3:$J$201&amp;'Emission factors'!$K$3:$K$201,0),MATCH('Buildings - Heat &amp; Fuels'!Q$6,'Emission factors'!$K$2:$V$2,0)))*$K232)</f>
        <v/>
      </c>
      <c r="R232" s="157" t="str" cm="1">
        <f t="array" ref="R232">IF(OR($E232="",$I232=""),"",(INDEX('Emission factors'!$K$3:$V$201,MATCH('Buildings - Heat &amp; Fuels'!$E232&amp;$F232,'Emission factors'!$J$3:$J$201&amp;'Emission factors'!$K$3:$K$201,0),MATCH('Buildings - Heat &amp; Fuels'!R$6,'Emission factors'!$K$2:$V$2,0)))*$K232)</f>
        <v/>
      </c>
      <c r="S232" s="157" t="str" cm="1">
        <f t="array" ref="S232">IF(OR($E232="",$I232=""),"",(INDEX('Emission factors'!$K$3:$V$201,MATCH('Buildings - Heat &amp; Fuels'!$E232&amp;$F232,'Emission factors'!$J$3:$J$201&amp;'Emission factors'!$K$3:$K$201,0),MATCH('Buildings - Heat &amp; Fuels'!S$6,'Emission factors'!$K$2:$V$2,0)))*$K232)</f>
        <v/>
      </c>
      <c r="T232" s="157" t="str" cm="1">
        <f t="array" ref="T232">IF(OR($E232="",$I232=""),"",(INDEX('Emission factors'!$K$3:$V$201,MATCH('Buildings - Heat &amp; Fuels'!$E232&amp;$F232,'Emission factors'!$J$3:$J$201&amp;'Emission factors'!$K$3:$K$201,0),MATCH('Buildings - Heat &amp; Fuels'!T$6,'Emission factors'!$K$2:$V$2,0)))*$K232)</f>
        <v/>
      </c>
      <c r="U232" s="157" t="str" cm="1">
        <f t="array" ref="U232">IF(OR($E232="",$I232=""),"",(INDEX('Emission factors'!$K$3:$V$201,MATCH('Buildings - Heat &amp; Fuels'!$E232&amp;$F232,'Emission factors'!$J$3:$J$201&amp;'Emission factors'!$K$3:$K$201,0),MATCH('Buildings - Heat &amp; Fuels'!U$6,'Emission factors'!$K$2:$V$2,0)))*$K232)</f>
        <v/>
      </c>
      <c r="V232" s="158" t="str">
        <f>IF(OR($N232="",BuildingsHeatFuelsTable[[#This Row],[RSD]]=""),"",BuildingsHeatFuelsTable[[#This Row],[Total emissions (kgCO2e)]]*(1+BuildingsHeatFuelsTable[[#This Row],[RSD]]))</f>
        <v/>
      </c>
      <c r="W232" s="159" t="str">
        <f>IF(OR($N232="",BuildingsHeatFuelsTable[[#This Row],[RSD]]=""),"",BuildingsHeatFuelsTable[[#This Row],[Total emissions (kgCO2e)]]*(1-BuildingsHeatFuelsTable[[#This Row],[RSD]]))</f>
        <v/>
      </c>
      <c r="X232" s="169" t="str" cm="1">
        <f t="array" ref="X232">IF(OR($E232="",$I232=""),"",(INDEX('Emission factors'!$K$3:$V$201,MATCH('Buildings - Heat &amp; Fuels'!$E232&amp;$F232,'Emission factors'!$J$3:$J$201&amp;'Emission factors'!$K$3:$K$201,0),MATCH('Buildings - Heat &amp; Fuels'!X$6,'Emission factors'!$K$2:$V$2,0)))*$K232)</f>
        <v/>
      </c>
      <c r="Y232" s="30"/>
      <c r="Z232" s="1" cm="1">
        <f t="array" ref="Z232">IF(OR(ISERROR(B232:X232)),1,0)</f>
        <v>0</v>
      </c>
      <c r="AA232" s="1">
        <f t="shared" si="0"/>
        <v>0</v>
      </c>
    </row>
    <row r="233" spans="1:27" ht="15" outlineLevel="1" thickBot="1" x14ac:dyDescent="0.4">
      <c r="A233" s="319"/>
      <c r="B233" s="216"/>
      <c r="C233" s="215"/>
      <c r="D233" s="233" t="str">
        <f>IFERROR(INDEX(BuildingInformationTable[Site type],MATCH(BuildingsHeatFuelsTable[[#This Row],[Site name]],BuildingInformationTable[Site name],0)),"")</f>
        <v/>
      </c>
      <c r="E233" s="72"/>
      <c r="F233" s="72"/>
      <c r="G233" s="72"/>
      <c r="H233" s="98" t="str">
        <f>IF(G233="","",INDEX(Lists!$BA$4:$BC$31,MATCH(E233,Lists!$AZ$4:$AZ$31,0),MATCH(G233,Lists!$BA$3:$BC$3,0)))</f>
        <v/>
      </c>
      <c r="I233" s="70"/>
      <c r="J233" s="72"/>
      <c r="K233" s="75" t="str" cm="1">
        <f t="array" ref="K233">IF(OR($E233="",$D233="",$I233="",$J233=""),"",IF(J233=L233,I233,(INDEX('Emission factors'!$K$3:$V$201,MATCH(E233&amp;F233,'Emission factors'!$J$3:$J$201&amp;'Emission factors'!$K$3:$K$201,0),MATCH(K$6,'Emission factors'!$K$2:$V$2,0)))*I233))</f>
        <v/>
      </c>
      <c r="L233" s="312" t="str">
        <f>IF(OR($E233="",$D233="",$I233="",$J233=""),"",INDEX('Emission factors'!$K$3:$V$201,MATCH('Buildings - Heat &amp; Fuels'!$E233,'Emission factors'!$J$3:$J$201,0),MATCH($L$6,'Emission factors'!$K$2:$V$2,0)))</f>
        <v/>
      </c>
      <c r="M233" s="313" t="str" cm="1">
        <f t="array" ref="M233">IF(OR(E233="",I233="",BuildingsHeatFuelsTable[[#This Row],[Units]]=""),"",INDEX('Emission factors'!$K$3:$V$201,MATCH('Buildings - Heat &amp; Fuels'!$E233&amp;F233,'Emission factors'!$J$3:$J$201&amp;'Emission factors'!$K$3:$K$201,0),MATCH('Buildings - Heat &amp; Fuels'!$M$6,'Emission factors'!$K$2:$V$2,0)))</f>
        <v/>
      </c>
      <c r="N233" s="156" t="str">
        <f>IF(OR(K233="",M233=""),"",SUM(BuildingsHeatFuelsTable[[#This Row],[Direct]:[Indirect WTT]]))</f>
        <v/>
      </c>
      <c r="O233" s="71"/>
      <c r="P233" s="190"/>
      <c r="Q233" s="157" t="str" cm="1">
        <f t="array" ref="Q233">IF(OR($E233="",$I233=""),"",(INDEX('Emission factors'!$K$3:$V$201,MATCH('Buildings - Heat &amp; Fuels'!$E233&amp;$F233,'Emission factors'!$J$3:$J$201&amp;'Emission factors'!$K$3:$K$201,0),MATCH('Buildings - Heat &amp; Fuels'!Q$6,'Emission factors'!$K$2:$V$2,0)))*$K233)</f>
        <v/>
      </c>
      <c r="R233" s="157" t="str" cm="1">
        <f t="array" ref="R233">IF(OR($E233="",$I233=""),"",(INDEX('Emission factors'!$K$3:$V$201,MATCH('Buildings - Heat &amp; Fuels'!$E233&amp;$F233,'Emission factors'!$J$3:$J$201&amp;'Emission factors'!$K$3:$K$201,0),MATCH('Buildings - Heat &amp; Fuels'!R$6,'Emission factors'!$K$2:$V$2,0)))*$K233)</f>
        <v/>
      </c>
      <c r="S233" s="157" t="str" cm="1">
        <f t="array" ref="S233">IF(OR($E233="",$I233=""),"",(INDEX('Emission factors'!$K$3:$V$201,MATCH('Buildings - Heat &amp; Fuels'!$E233&amp;$F233,'Emission factors'!$J$3:$J$201&amp;'Emission factors'!$K$3:$K$201,0),MATCH('Buildings - Heat &amp; Fuels'!S$6,'Emission factors'!$K$2:$V$2,0)))*$K233)</f>
        <v/>
      </c>
      <c r="T233" s="157" t="str" cm="1">
        <f t="array" ref="T233">IF(OR($E233="",$I233=""),"",(INDEX('Emission factors'!$K$3:$V$201,MATCH('Buildings - Heat &amp; Fuels'!$E233&amp;$F233,'Emission factors'!$J$3:$J$201&amp;'Emission factors'!$K$3:$K$201,0),MATCH('Buildings - Heat &amp; Fuels'!T$6,'Emission factors'!$K$2:$V$2,0)))*$K233)</f>
        <v/>
      </c>
      <c r="U233" s="157" t="str" cm="1">
        <f t="array" ref="U233">IF(OR($E233="",$I233=""),"",(INDEX('Emission factors'!$K$3:$V$201,MATCH('Buildings - Heat &amp; Fuels'!$E233&amp;$F233,'Emission factors'!$J$3:$J$201&amp;'Emission factors'!$K$3:$K$201,0),MATCH('Buildings - Heat &amp; Fuels'!U$6,'Emission factors'!$K$2:$V$2,0)))*$K233)</f>
        <v/>
      </c>
      <c r="V233" s="158" t="str">
        <f>IF(OR($N233="",BuildingsHeatFuelsTable[[#This Row],[RSD]]=""),"",BuildingsHeatFuelsTable[[#This Row],[Total emissions (kgCO2e)]]*(1+BuildingsHeatFuelsTable[[#This Row],[RSD]]))</f>
        <v/>
      </c>
      <c r="W233" s="159" t="str">
        <f>IF(OR($N233="",BuildingsHeatFuelsTable[[#This Row],[RSD]]=""),"",BuildingsHeatFuelsTable[[#This Row],[Total emissions (kgCO2e)]]*(1-BuildingsHeatFuelsTable[[#This Row],[RSD]]))</f>
        <v/>
      </c>
      <c r="X233" s="169" t="str" cm="1">
        <f t="array" ref="X233">IF(OR($E233="",$I233=""),"",(INDEX('Emission factors'!$K$3:$V$201,MATCH('Buildings - Heat &amp; Fuels'!$E233&amp;$F233,'Emission factors'!$J$3:$J$201&amp;'Emission factors'!$K$3:$K$201,0),MATCH('Buildings - Heat &amp; Fuels'!X$6,'Emission factors'!$K$2:$V$2,0)))*$K233)</f>
        <v/>
      </c>
      <c r="Y233" s="30"/>
      <c r="Z233" s="1" cm="1">
        <f t="array" ref="Z233">IF(OR(ISERROR(B233:X233)),1,0)</f>
        <v>0</v>
      </c>
      <c r="AA233" s="1">
        <f t="shared" si="0"/>
        <v>0</v>
      </c>
    </row>
    <row r="234" spans="1:27" ht="15" outlineLevel="1" thickBot="1" x14ac:dyDescent="0.4">
      <c r="A234" s="319"/>
      <c r="B234" s="216"/>
      <c r="C234" s="215"/>
      <c r="D234" s="233" t="str">
        <f>IFERROR(INDEX(BuildingInformationTable[Site type],MATCH(BuildingsHeatFuelsTable[[#This Row],[Site name]],BuildingInformationTable[Site name],0)),"")</f>
        <v/>
      </c>
      <c r="E234" s="72"/>
      <c r="F234" s="72"/>
      <c r="G234" s="72"/>
      <c r="H234" s="98" t="str">
        <f>IF(G234="","",INDEX(Lists!$BA$4:$BC$31,MATCH(E234,Lists!$AZ$4:$AZ$31,0),MATCH(G234,Lists!$BA$3:$BC$3,0)))</f>
        <v/>
      </c>
      <c r="I234" s="70"/>
      <c r="J234" s="72"/>
      <c r="K234" s="75" t="str" cm="1">
        <f t="array" ref="K234">IF(OR($E234="",$D234="",$I234="",$J234=""),"",IF(J234=L234,I234,(INDEX('Emission factors'!$K$3:$V$201,MATCH(E234&amp;F234,'Emission factors'!$J$3:$J$201&amp;'Emission factors'!$K$3:$K$201,0),MATCH(K$6,'Emission factors'!$K$2:$V$2,0)))*I234))</f>
        <v/>
      </c>
      <c r="L234" s="312" t="str">
        <f>IF(OR($E234="",$D234="",$I234="",$J234=""),"",INDEX('Emission factors'!$K$3:$V$201,MATCH('Buildings - Heat &amp; Fuels'!$E234,'Emission factors'!$J$3:$J$201,0),MATCH($L$6,'Emission factors'!$K$2:$V$2,0)))</f>
        <v/>
      </c>
      <c r="M234" s="313" t="str" cm="1">
        <f t="array" ref="M234">IF(OR(E234="",I234="",BuildingsHeatFuelsTable[[#This Row],[Units]]=""),"",INDEX('Emission factors'!$K$3:$V$201,MATCH('Buildings - Heat &amp; Fuels'!$E234&amp;F234,'Emission factors'!$J$3:$J$201&amp;'Emission factors'!$K$3:$K$201,0),MATCH('Buildings - Heat &amp; Fuels'!$M$6,'Emission factors'!$K$2:$V$2,0)))</f>
        <v/>
      </c>
      <c r="N234" s="156" t="str">
        <f>IF(OR(K234="",M234=""),"",SUM(BuildingsHeatFuelsTable[[#This Row],[Direct]:[Indirect WTT]]))</f>
        <v/>
      </c>
      <c r="O234" s="71"/>
      <c r="P234" s="190"/>
      <c r="Q234" s="157" t="str" cm="1">
        <f t="array" ref="Q234">IF(OR($E234="",$I234=""),"",(INDEX('Emission factors'!$K$3:$V$201,MATCH('Buildings - Heat &amp; Fuels'!$E234&amp;$F234,'Emission factors'!$J$3:$J$201&amp;'Emission factors'!$K$3:$K$201,0),MATCH('Buildings - Heat &amp; Fuels'!Q$6,'Emission factors'!$K$2:$V$2,0)))*$K234)</f>
        <v/>
      </c>
      <c r="R234" s="157" t="str" cm="1">
        <f t="array" ref="R234">IF(OR($E234="",$I234=""),"",(INDEX('Emission factors'!$K$3:$V$201,MATCH('Buildings - Heat &amp; Fuels'!$E234&amp;$F234,'Emission factors'!$J$3:$J$201&amp;'Emission factors'!$K$3:$K$201,0),MATCH('Buildings - Heat &amp; Fuels'!R$6,'Emission factors'!$K$2:$V$2,0)))*$K234)</f>
        <v/>
      </c>
      <c r="S234" s="157" t="str" cm="1">
        <f t="array" ref="S234">IF(OR($E234="",$I234=""),"",(INDEX('Emission factors'!$K$3:$V$201,MATCH('Buildings - Heat &amp; Fuels'!$E234&amp;$F234,'Emission factors'!$J$3:$J$201&amp;'Emission factors'!$K$3:$K$201,0),MATCH('Buildings - Heat &amp; Fuels'!S$6,'Emission factors'!$K$2:$V$2,0)))*$K234)</f>
        <v/>
      </c>
      <c r="T234" s="157" t="str" cm="1">
        <f t="array" ref="T234">IF(OR($E234="",$I234=""),"",(INDEX('Emission factors'!$K$3:$V$201,MATCH('Buildings - Heat &amp; Fuels'!$E234&amp;$F234,'Emission factors'!$J$3:$J$201&amp;'Emission factors'!$K$3:$K$201,0),MATCH('Buildings - Heat &amp; Fuels'!T$6,'Emission factors'!$K$2:$V$2,0)))*$K234)</f>
        <v/>
      </c>
      <c r="U234" s="157" t="str" cm="1">
        <f t="array" ref="U234">IF(OR($E234="",$I234=""),"",(INDEX('Emission factors'!$K$3:$V$201,MATCH('Buildings - Heat &amp; Fuels'!$E234&amp;$F234,'Emission factors'!$J$3:$J$201&amp;'Emission factors'!$K$3:$K$201,0),MATCH('Buildings - Heat &amp; Fuels'!U$6,'Emission factors'!$K$2:$V$2,0)))*$K234)</f>
        <v/>
      </c>
      <c r="V234" s="158" t="str">
        <f>IF(OR($N234="",BuildingsHeatFuelsTable[[#This Row],[RSD]]=""),"",BuildingsHeatFuelsTable[[#This Row],[Total emissions (kgCO2e)]]*(1+BuildingsHeatFuelsTable[[#This Row],[RSD]]))</f>
        <v/>
      </c>
      <c r="W234" s="159" t="str">
        <f>IF(OR($N234="",BuildingsHeatFuelsTable[[#This Row],[RSD]]=""),"",BuildingsHeatFuelsTable[[#This Row],[Total emissions (kgCO2e)]]*(1-BuildingsHeatFuelsTable[[#This Row],[RSD]]))</f>
        <v/>
      </c>
      <c r="X234" s="169" t="str" cm="1">
        <f t="array" ref="X234">IF(OR($E234="",$I234=""),"",(INDEX('Emission factors'!$K$3:$V$201,MATCH('Buildings - Heat &amp; Fuels'!$E234&amp;$F234,'Emission factors'!$J$3:$J$201&amp;'Emission factors'!$K$3:$K$201,0),MATCH('Buildings - Heat &amp; Fuels'!X$6,'Emission factors'!$K$2:$V$2,0)))*$K234)</f>
        <v/>
      </c>
      <c r="Y234" s="30"/>
      <c r="Z234" s="1" cm="1">
        <f t="array" ref="Z234">IF(OR(ISERROR(B234:X234)),1,0)</f>
        <v>0</v>
      </c>
      <c r="AA234" s="1">
        <f t="shared" si="0"/>
        <v>0</v>
      </c>
    </row>
    <row r="235" spans="1:27" ht="15" outlineLevel="1" thickBot="1" x14ac:dyDescent="0.4">
      <c r="A235" s="319"/>
      <c r="B235" s="216"/>
      <c r="C235" s="215"/>
      <c r="D235" s="233" t="str">
        <f>IFERROR(INDEX(BuildingInformationTable[Site type],MATCH(BuildingsHeatFuelsTable[[#This Row],[Site name]],BuildingInformationTable[Site name],0)),"")</f>
        <v/>
      </c>
      <c r="E235" s="72"/>
      <c r="F235" s="72"/>
      <c r="G235" s="72"/>
      <c r="H235" s="98" t="str">
        <f>IF(G235="","",INDEX(Lists!$BA$4:$BC$31,MATCH(E235,Lists!$AZ$4:$AZ$31,0),MATCH(G235,Lists!$BA$3:$BC$3,0)))</f>
        <v/>
      </c>
      <c r="I235" s="70"/>
      <c r="J235" s="72"/>
      <c r="K235" s="75" t="str" cm="1">
        <f t="array" ref="K235">IF(OR($E235="",$D235="",$I235="",$J235=""),"",IF(J235=L235,I235,(INDEX('Emission factors'!$K$3:$V$201,MATCH(E235&amp;F235,'Emission factors'!$J$3:$J$201&amp;'Emission factors'!$K$3:$K$201,0),MATCH(K$6,'Emission factors'!$K$2:$V$2,0)))*I235))</f>
        <v/>
      </c>
      <c r="L235" s="312" t="str">
        <f>IF(OR($E235="",$D235="",$I235="",$J235=""),"",INDEX('Emission factors'!$K$3:$V$201,MATCH('Buildings - Heat &amp; Fuels'!$E235,'Emission factors'!$J$3:$J$201,0),MATCH($L$6,'Emission factors'!$K$2:$V$2,0)))</f>
        <v/>
      </c>
      <c r="M235" s="313" t="str" cm="1">
        <f t="array" ref="M235">IF(OR(E235="",I235="",BuildingsHeatFuelsTable[[#This Row],[Units]]=""),"",INDEX('Emission factors'!$K$3:$V$201,MATCH('Buildings - Heat &amp; Fuels'!$E235&amp;F235,'Emission factors'!$J$3:$J$201&amp;'Emission factors'!$K$3:$K$201,0),MATCH('Buildings - Heat &amp; Fuels'!$M$6,'Emission factors'!$K$2:$V$2,0)))</f>
        <v/>
      </c>
      <c r="N235" s="156" t="str">
        <f>IF(OR(K235="",M235=""),"",SUM(BuildingsHeatFuelsTable[[#This Row],[Direct]:[Indirect WTT]]))</f>
        <v/>
      </c>
      <c r="O235" s="71"/>
      <c r="P235" s="190"/>
      <c r="Q235" s="157" t="str" cm="1">
        <f t="array" ref="Q235">IF(OR($E235="",$I235=""),"",(INDEX('Emission factors'!$K$3:$V$201,MATCH('Buildings - Heat &amp; Fuels'!$E235&amp;$F235,'Emission factors'!$J$3:$J$201&amp;'Emission factors'!$K$3:$K$201,0),MATCH('Buildings - Heat &amp; Fuels'!Q$6,'Emission factors'!$K$2:$V$2,0)))*$K235)</f>
        <v/>
      </c>
      <c r="R235" s="157" t="str" cm="1">
        <f t="array" ref="R235">IF(OR($E235="",$I235=""),"",(INDEX('Emission factors'!$K$3:$V$201,MATCH('Buildings - Heat &amp; Fuels'!$E235&amp;$F235,'Emission factors'!$J$3:$J$201&amp;'Emission factors'!$K$3:$K$201,0),MATCH('Buildings - Heat &amp; Fuels'!R$6,'Emission factors'!$K$2:$V$2,0)))*$K235)</f>
        <v/>
      </c>
      <c r="S235" s="157" t="str" cm="1">
        <f t="array" ref="S235">IF(OR($E235="",$I235=""),"",(INDEX('Emission factors'!$K$3:$V$201,MATCH('Buildings - Heat &amp; Fuels'!$E235&amp;$F235,'Emission factors'!$J$3:$J$201&amp;'Emission factors'!$K$3:$K$201,0),MATCH('Buildings - Heat &amp; Fuels'!S$6,'Emission factors'!$K$2:$V$2,0)))*$K235)</f>
        <v/>
      </c>
      <c r="T235" s="157" t="str" cm="1">
        <f t="array" ref="T235">IF(OR($E235="",$I235=""),"",(INDEX('Emission factors'!$K$3:$V$201,MATCH('Buildings - Heat &amp; Fuels'!$E235&amp;$F235,'Emission factors'!$J$3:$J$201&amp;'Emission factors'!$K$3:$K$201,0),MATCH('Buildings - Heat &amp; Fuels'!T$6,'Emission factors'!$K$2:$V$2,0)))*$K235)</f>
        <v/>
      </c>
      <c r="U235" s="157" t="str" cm="1">
        <f t="array" ref="U235">IF(OR($E235="",$I235=""),"",(INDEX('Emission factors'!$K$3:$V$201,MATCH('Buildings - Heat &amp; Fuels'!$E235&amp;$F235,'Emission factors'!$J$3:$J$201&amp;'Emission factors'!$K$3:$K$201,0),MATCH('Buildings - Heat &amp; Fuels'!U$6,'Emission factors'!$K$2:$V$2,0)))*$K235)</f>
        <v/>
      </c>
      <c r="V235" s="158" t="str">
        <f>IF(OR($N235="",BuildingsHeatFuelsTable[[#This Row],[RSD]]=""),"",BuildingsHeatFuelsTable[[#This Row],[Total emissions (kgCO2e)]]*(1+BuildingsHeatFuelsTable[[#This Row],[RSD]]))</f>
        <v/>
      </c>
      <c r="W235" s="159" t="str">
        <f>IF(OR($N235="",BuildingsHeatFuelsTable[[#This Row],[RSD]]=""),"",BuildingsHeatFuelsTable[[#This Row],[Total emissions (kgCO2e)]]*(1-BuildingsHeatFuelsTable[[#This Row],[RSD]]))</f>
        <v/>
      </c>
      <c r="X235" s="169" t="str" cm="1">
        <f t="array" ref="X235">IF(OR($E235="",$I235=""),"",(INDEX('Emission factors'!$K$3:$V$201,MATCH('Buildings - Heat &amp; Fuels'!$E235&amp;$F235,'Emission factors'!$J$3:$J$201&amp;'Emission factors'!$K$3:$K$201,0),MATCH('Buildings - Heat &amp; Fuels'!X$6,'Emission factors'!$K$2:$V$2,0)))*$K235)</f>
        <v/>
      </c>
      <c r="Y235" s="30"/>
      <c r="Z235" s="1" cm="1">
        <f t="array" ref="Z235">IF(OR(ISERROR(B235:X235)),1,0)</f>
        <v>0</v>
      </c>
      <c r="AA235" s="1">
        <f t="shared" si="0"/>
        <v>0</v>
      </c>
    </row>
    <row r="236" spans="1:27" ht="15" outlineLevel="1" thickBot="1" x14ac:dyDescent="0.4">
      <c r="A236" s="319"/>
      <c r="B236" s="216"/>
      <c r="C236" s="215"/>
      <c r="D236" s="233" t="str">
        <f>IFERROR(INDEX(BuildingInformationTable[Site type],MATCH(BuildingsHeatFuelsTable[[#This Row],[Site name]],BuildingInformationTable[Site name],0)),"")</f>
        <v/>
      </c>
      <c r="E236" s="72"/>
      <c r="F236" s="72"/>
      <c r="G236" s="72"/>
      <c r="H236" s="98" t="str">
        <f>IF(G236="","",INDEX(Lists!$BA$4:$BC$31,MATCH(E236,Lists!$AZ$4:$AZ$31,0),MATCH(G236,Lists!$BA$3:$BC$3,0)))</f>
        <v/>
      </c>
      <c r="I236" s="70"/>
      <c r="J236" s="72"/>
      <c r="K236" s="75" t="str" cm="1">
        <f t="array" ref="K236">IF(OR($E236="",$D236="",$I236="",$J236=""),"",IF(J236=L236,I236,(INDEX('Emission factors'!$K$3:$V$201,MATCH(E236&amp;F236,'Emission factors'!$J$3:$J$201&amp;'Emission factors'!$K$3:$K$201,0),MATCH(K$6,'Emission factors'!$K$2:$V$2,0)))*I236))</f>
        <v/>
      </c>
      <c r="L236" s="312" t="str">
        <f>IF(OR($E236="",$D236="",$I236="",$J236=""),"",INDEX('Emission factors'!$K$3:$V$201,MATCH('Buildings - Heat &amp; Fuels'!$E236,'Emission factors'!$J$3:$J$201,0),MATCH($L$6,'Emission factors'!$K$2:$V$2,0)))</f>
        <v/>
      </c>
      <c r="M236" s="313" t="str" cm="1">
        <f t="array" ref="M236">IF(OR(E236="",I236="",BuildingsHeatFuelsTable[[#This Row],[Units]]=""),"",INDEX('Emission factors'!$K$3:$V$201,MATCH('Buildings - Heat &amp; Fuels'!$E236&amp;F236,'Emission factors'!$J$3:$J$201&amp;'Emission factors'!$K$3:$K$201,0),MATCH('Buildings - Heat &amp; Fuels'!$M$6,'Emission factors'!$K$2:$V$2,0)))</f>
        <v/>
      </c>
      <c r="N236" s="156" t="str">
        <f>IF(OR(K236="",M236=""),"",SUM(BuildingsHeatFuelsTable[[#This Row],[Direct]:[Indirect WTT]]))</f>
        <v/>
      </c>
      <c r="O236" s="71"/>
      <c r="P236" s="190"/>
      <c r="Q236" s="157" t="str" cm="1">
        <f t="array" ref="Q236">IF(OR($E236="",$I236=""),"",(INDEX('Emission factors'!$K$3:$V$201,MATCH('Buildings - Heat &amp; Fuels'!$E236&amp;$F236,'Emission factors'!$J$3:$J$201&amp;'Emission factors'!$K$3:$K$201,0),MATCH('Buildings - Heat &amp; Fuels'!Q$6,'Emission factors'!$K$2:$V$2,0)))*$K236)</f>
        <v/>
      </c>
      <c r="R236" s="157" t="str" cm="1">
        <f t="array" ref="R236">IF(OR($E236="",$I236=""),"",(INDEX('Emission factors'!$K$3:$V$201,MATCH('Buildings - Heat &amp; Fuels'!$E236&amp;$F236,'Emission factors'!$J$3:$J$201&amp;'Emission factors'!$K$3:$K$201,0),MATCH('Buildings - Heat &amp; Fuels'!R$6,'Emission factors'!$K$2:$V$2,0)))*$K236)</f>
        <v/>
      </c>
      <c r="S236" s="157" t="str" cm="1">
        <f t="array" ref="S236">IF(OR($E236="",$I236=""),"",(INDEX('Emission factors'!$K$3:$V$201,MATCH('Buildings - Heat &amp; Fuels'!$E236&amp;$F236,'Emission factors'!$J$3:$J$201&amp;'Emission factors'!$K$3:$K$201,0),MATCH('Buildings - Heat &amp; Fuels'!S$6,'Emission factors'!$K$2:$V$2,0)))*$K236)</f>
        <v/>
      </c>
      <c r="T236" s="157" t="str" cm="1">
        <f t="array" ref="T236">IF(OR($E236="",$I236=""),"",(INDEX('Emission factors'!$K$3:$V$201,MATCH('Buildings - Heat &amp; Fuels'!$E236&amp;$F236,'Emission factors'!$J$3:$J$201&amp;'Emission factors'!$K$3:$K$201,0),MATCH('Buildings - Heat &amp; Fuels'!T$6,'Emission factors'!$K$2:$V$2,0)))*$K236)</f>
        <v/>
      </c>
      <c r="U236" s="157" t="str" cm="1">
        <f t="array" ref="U236">IF(OR($E236="",$I236=""),"",(INDEX('Emission factors'!$K$3:$V$201,MATCH('Buildings - Heat &amp; Fuels'!$E236&amp;$F236,'Emission factors'!$J$3:$J$201&amp;'Emission factors'!$K$3:$K$201,0),MATCH('Buildings - Heat &amp; Fuels'!U$6,'Emission factors'!$K$2:$V$2,0)))*$K236)</f>
        <v/>
      </c>
      <c r="V236" s="158" t="str">
        <f>IF(OR($N236="",BuildingsHeatFuelsTable[[#This Row],[RSD]]=""),"",BuildingsHeatFuelsTable[[#This Row],[Total emissions (kgCO2e)]]*(1+BuildingsHeatFuelsTable[[#This Row],[RSD]]))</f>
        <v/>
      </c>
      <c r="W236" s="159" t="str">
        <f>IF(OR($N236="",BuildingsHeatFuelsTable[[#This Row],[RSD]]=""),"",BuildingsHeatFuelsTable[[#This Row],[Total emissions (kgCO2e)]]*(1-BuildingsHeatFuelsTable[[#This Row],[RSD]]))</f>
        <v/>
      </c>
      <c r="X236" s="169" t="str" cm="1">
        <f t="array" ref="X236">IF(OR($E236="",$I236=""),"",(INDEX('Emission factors'!$K$3:$V$201,MATCH('Buildings - Heat &amp; Fuels'!$E236&amp;$F236,'Emission factors'!$J$3:$J$201&amp;'Emission factors'!$K$3:$K$201,0),MATCH('Buildings - Heat &amp; Fuels'!X$6,'Emission factors'!$K$2:$V$2,0)))*$K236)</f>
        <v/>
      </c>
      <c r="Y236" s="30"/>
      <c r="Z236" s="1" cm="1">
        <f t="array" ref="Z236">IF(OR(ISERROR(B236:X236)),1,0)</f>
        <v>0</v>
      </c>
      <c r="AA236" s="1">
        <f t="shared" si="0"/>
        <v>0</v>
      </c>
    </row>
    <row r="237" spans="1:27" ht="15" outlineLevel="1" thickBot="1" x14ac:dyDescent="0.4">
      <c r="A237" s="319"/>
      <c r="B237" s="216"/>
      <c r="C237" s="215"/>
      <c r="D237" s="233" t="str">
        <f>IFERROR(INDEX(BuildingInformationTable[Site type],MATCH(BuildingsHeatFuelsTable[[#This Row],[Site name]],BuildingInformationTable[Site name],0)),"")</f>
        <v/>
      </c>
      <c r="E237" s="72"/>
      <c r="F237" s="72"/>
      <c r="G237" s="72"/>
      <c r="H237" s="98" t="str">
        <f>IF(G237="","",INDEX(Lists!$BA$4:$BC$31,MATCH(E237,Lists!$AZ$4:$AZ$31,0),MATCH(G237,Lists!$BA$3:$BC$3,0)))</f>
        <v/>
      </c>
      <c r="I237" s="70"/>
      <c r="J237" s="72"/>
      <c r="K237" s="75" t="str" cm="1">
        <f t="array" ref="K237">IF(OR($E237="",$D237="",$I237="",$J237=""),"",IF(J237=L237,I237,(INDEX('Emission factors'!$K$3:$V$201,MATCH(E237&amp;F237,'Emission factors'!$J$3:$J$201&amp;'Emission factors'!$K$3:$K$201,0),MATCH(K$6,'Emission factors'!$K$2:$V$2,0)))*I237))</f>
        <v/>
      </c>
      <c r="L237" s="312" t="str">
        <f>IF(OR($E237="",$D237="",$I237="",$J237=""),"",INDEX('Emission factors'!$K$3:$V$201,MATCH('Buildings - Heat &amp; Fuels'!$E237,'Emission factors'!$J$3:$J$201,0),MATCH($L$6,'Emission factors'!$K$2:$V$2,0)))</f>
        <v/>
      </c>
      <c r="M237" s="313" t="str" cm="1">
        <f t="array" ref="M237">IF(OR(E237="",I237="",BuildingsHeatFuelsTable[[#This Row],[Units]]=""),"",INDEX('Emission factors'!$K$3:$V$201,MATCH('Buildings - Heat &amp; Fuels'!$E237&amp;F237,'Emission factors'!$J$3:$J$201&amp;'Emission factors'!$K$3:$K$201,0),MATCH('Buildings - Heat &amp; Fuels'!$M$6,'Emission factors'!$K$2:$V$2,0)))</f>
        <v/>
      </c>
      <c r="N237" s="156" t="str">
        <f>IF(OR(K237="",M237=""),"",SUM(BuildingsHeatFuelsTable[[#This Row],[Direct]:[Indirect WTT]]))</f>
        <v/>
      </c>
      <c r="O237" s="71"/>
      <c r="P237" s="190"/>
      <c r="Q237" s="157" t="str" cm="1">
        <f t="array" ref="Q237">IF(OR($E237="",$I237=""),"",(INDEX('Emission factors'!$K$3:$V$201,MATCH('Buildings - Heat &amp; Fuels'!$E237&amp;$F237,'Emission factors'!$J$3:$J$201&amp;'Emission factors'!$K$3:$K$201,0),MATCH('Buildings - Heat &amp; Fuels'!Q$6,'Emission factors'!$K$2:$V$2,0)))*$K237)</f>
        <v/>
      </c>
      <c r="R237" s="157" t="str" cm="1">
        <f t="array" ref="R237">IF(OR($E237="",$I237=""),"",(INDEX('Emission factors'!$K$3:$V$201,MATCH('Buildings - Heat &amp; Fuels'!$E237&amp;$F237,'Emission factors'!$J$3:$J$201&amp;'Emission factors'!$K$3:$K$201,0),MATCH('Buildings - Heat &amp; Fuels'!R$6,'Emission factors'!$K$2:$V$2,0)))*$K237)</f>
        <v/>
      </c>
      <c r="S237" s="157" t="str" cm="1">
        <f t="array" ref="S237">IF(OR($E237="",$I237=""),"",(INDEX('Emission factors'!$K$3:$V$201,MATCH('Buildings - Heat &amp; Fuels'!$E237&amp;$F237,'Emission factors'!$J$3:$J$201&amp;'Emission factors'!$K$3:$K$201,0),MATCH('Buildings - Heat &amp; Fuels'!S$6,'Emission factors'!$K$2:$V$2,0)))*$K237)</f>
        <v/>
      </c>
      <c r="T237" s="157" t="str" cm="1">
        <f t="array" ref="T237">IF(OR($E237="",$I237=""),"",(INDEX('Emission factors'!$K$3:$V$201,MATCH('Buildings - Heat &amp; Fuels'!$E237&amp;$F237,'Emission factors'!$J$3:$J$201&amp;'Emission factors'!$K$3:$K$201,0),MATCH('Buildings - Heat &amp; Fuels'!T$6,'Emission factors'!$K$2:$V$2,0)))*$K237)</f>
        <v/>
      </c>
      <c r="U237" s="157" t="str" cm="1">
        <f t="array" ref="U237">IF(OR($E237="",$I237=""),"",(INDEX('Emission factors'!$K$3:$V$201,MATCH('Buildings - Heat &amp; Fuels'!$E237&amp;$F237,'Emission factors'!$J$3:$J$201&amp;'Emission factors'!$K$3:$K$201,0),MATCH('Buildings - Heat &amp; Fuels'!U$6,'Emission factors'!$K$2:$V$2,0)))*$K237)</f>
        <v/>
      </c>
      <c r="V237" s="158" t="str">
        <f>IF(OR($N237="",BuildingsHeatFuelsTable[[#This Row],[RSD]]=""),"",BuildingsHeatFuelsTable[[#This Row],[Total emissions (kgCO2e)]]*(1+BuildingsHeatFuelsTable[[#This Row],[RSD]]))</f>
        <v/>
      </c>
      <c r="W237" s="159" t="str">
        <f>IF(OR($N237="",BuildingsHeatFuelsTable[[#This Row],[RSD]]=""),"",BuildingsHeatFuelsTable[[#This Row],[Total emissions (kgCO2e)]]*(1-BuildingsHeatFuelsTable[[#This Row],[RSD]]))</f>
        <v/>
      </c>
      <c r="X237" s="169" t="str" cm="1">
        <f t="array" ref="X237">IF(OR($E237="",$I237=""),"",(INDEX('Emission factors'!$K$3:$V$201,MATCH('Buildings - Heat &amp; Fuels'!$E237&amp;$F237,'Emission factors'!$J$3:$J$201&amp;'Emission factors'!$K$3:$K$201,0),MATCH('Buildings - Heat &amp; Fuels'!X$6,'Emission factors'!$K$2:$V$2,0)))*$K237)</f>
        <v/>
      </c>
      <c r="Y237" s="30"/>
      <c r="Z237" s="1" cm="1">
        <f t="array" ref="Z237">IF(OR(ISERROR(B237:X237)),1,0)</f>
        <v>0</v>
      </c>
      <c r="AA237" s="1">
        <f t="shared" si="0"/>
        <v>0</v>
      </c>
    </row>
    <row r="238" spans="1:27" ht="15" outlineLevel="1" thickBot="1" x14ac:dyDescent="0.4">
      <c r="A238" s="319"/>
      <c r="B238" s="216"/>
      <c r="C238" s="215"/>
      <c r="D238" s="233" t="str">
        <f>IFERROR(INDEX(BuildingInformationTable[Site type],MATCH(BuildingsHeatFuelsTable[[#This Row],[Site name]],BuildingInformationTable[Site name],0)),"")</f>
        <v/>
      </c>
      <c r="E238" s="72"/>
      <c r="F238" s="72"/>
      <c r="G238" s="72"/>
      <c r="H238" s="98" t="str">
        <f>IF(G238="","",INDEX(Lists!$BA$4:$BC$31,MATCH(E238,Lists!$AZ$4:$AZ$31,0),MATCH(G238,Lists!$BA$3:$BC$3,0)))</f>
        <v/>
      </c>
      <c r="I238" s="70"/>
      <c r="J238" s="72"/>
      <c r="K238" s="75" t="str" cm="1">
        <f t="array" ref="K238">IF(OR($E238="",$D238="",$I238="",$J238=""),"",IF(J238=L238,I238,(INDEX('Emission factors'!$K$3:$V$201,MATCH(E238&amp;F238,'Emission factors'!$J$3:$J$201&amp;'Emission factors'!$K$3:$K$201,0),MATCH(K$6,'Emission factors'!$K$2:$V$2,0)))*I238))</f>
        <v/>
      </c>
      <c r="L238" s="312" t="str">
        <f>IF(OR($E238="",$D238="",$I238="",$J238=""),"",INDEX('Emission factors'!$K$3:$V$201,MATCH('Buildings - Heat &amp; Fuels'!$E238,'Emission factors'!$J$3:$J$201,0),MATCH($L$6,'Emission factors'!$K$2:$V$2,0)))</f>
        <v/>
      </c>
      <c r="M238" s="313" t="str" cm="1">
        <f t="array" ref="M238">IF(OR(E238="",I238="",BuildingsHeatFuelsTable[[#This Row],[Units]]=""),"",INDEX('Emission factors'!$K$3:$V$201,MATCH('Buildings - Heat &amp; Fuels'!$E238&amp;F238,'Emission factors'!$J$3:$J$201&amp;'Emission factors'!$K$3:$K$201,0),MATCH('Buildings - Heat &amp; Fuels'!$M$6,'Emission factors'!$K$2:$V$2,0)))</f>
        <v/>
      </c>
      <c r="N238" s="156" t="str">
        <f>IF(OR(K238="",M238=""),"",SUM(BuildingsHeatFuelsTable[[#This Row],[Direct]:[Indirect WTT]]))</f>
        <v/>
      </c>
      <c r="O238" s="71"/>
      <c r="P238" s="190"/>
      <c r="Q238" s="157" t="str" cm="1">
        <f t="array" ref="Q238">IF(OR($E238="",$I238=""),"",(INDEX('Emission factors'!$K$3:$V$201,MATCH('Buildings - Heat &amp; Fuels'!$E238&amp;$F238,'Emission factors'!$J$3:$J$201&amp;'Emission factors'!$K$3:$K$201,0),MATCH('Buildings - Heat &amp; Fuels'!Q$6,'Emission factors'!$K$2:$V$2,0)))*$K238)</f>
        <v/>
      </c>
      <c r="R238" s="157" t="str" cm="1">
        <f t="array" ref="R238">IF(OR($E238="",$I238=""),"",(INDEX('Emission factors'!$K$3:$V$201,MATCH('Buildings - Heat &amp; Fuels'!$E238&amp;$F238,'Emission factors'!$J$3:$J$201&amp;'Emission factors'!$K$3:$K$201,0),MATCH('Buildings - Heat &amp; Fuels'!R$6,'Emission factors'!$K$2:$V$2,0)))*$K238)</f>
        <v/>
      </c>
      <c r="S238" s="157" t="str" cm="1">
        <f t="array" ref="S238">IF(OR($E238="",$I238=""),"",(INDEX('Emission factors'!$K$3:$V$201,MATCH('Buildings - Heat &amp; Fuels'!$E238&amp;$F238,'Emission factors'!$J$3:$J$201&amp;'Emission factors'!$K$3:$K$201,0),MATCH('Buildings - Heat &amp; Fuels'!S$6,'Emission factors'!$K$2:$V$2,0)))*$K238)</f>
        <v/>
      </c>
      <c r="T238" s="157" t="str" cm="1">
        <f t="array" ref="T238">IF(OR($E238="",$I238=""),"",(INDEX('Emission factors'!$K$3:$V$201,MATCH('Buildings - Heat &amp; Fuels'!$E238&amp;$F238,'Emission factors'!$J$3:$J$201&amp;'Emission factors'!$K$3:$K$201,0),MATCH('Buildings - Heat &amp; Fuels'!T$6,'Emission factors'!$K$2:$V$2,0)))*$K238)</f>
        <v/>
      </c>
      <c r="U238" s="157" t="str" cm="1">
        <f t="array" ref="U238">IF(OR($E238="",$I238=""),"",(INDEX('Emission factors'!$K$3:$V$201,MATCH('Buildings - Heat &amp; Fuels'!$E238&amp;$F238,'Emission factors'!$J$3:$J$201&amp;'Emission factors'!$K$3:$K$201,0),MATCH('Buildings - Heat &amp; Fuels'!U$6,'Emission factors'!$K$2:$V$2,0)))*$K238)</f>
        <v/>
      </c>
      <c r="V238" s="158" t="str">
        <f>IF(OR($N238="",BuildingsHeatFuelsTable[[#This Row],[RSD]]=""),"",BuildingsHeatFuelsTable[[#This Row],[Total emissions (kgCO2e)]]*(1+BuildingsHeatFuelsTable[[#This Row],[RSD]]))</f>
        <v/>
      </c>
      <c r="W238" s="159" t="str">
        <f>IF(OR($N238="",BuildingsHeatFuelsTable[[#This Row],[RSD]]=""),"",BuildingsHeatFuelsTable[[#This Row],[Total emissions (kgCO2e)]]*(1-BuildingsHeatFuelsTable[[#This Row],[RSD]]))</f>
        <v/>
      </c>
      <c r="X238" s="169" t="str" cm="1">
        <f t="array" ref="X238">IF(OR($E238="",$I238=""),"",(INDEX('Emission factors'!$K$3:$V$201,MATCH('Buildings - Heat &amp; Fuels'!$E238&amp;$F238,'Emission factors'!$J$3:$J$201&amp;'Emission factors'!$K$3:$K$201,0),MATCH('Buildings - Heat &amp; Fuels'!X$6,'Emission factors'!$K$2:$V$2,0)))*$K238)</f>
        <v/>
      </c>
      <c r="Y238" s="30"/>
      <c r="Z238" s="1" cm="1">
        <f t="array" ref="Z238">IF(OR(ISERROR(B238:X238)),1,0)</f>
        <v>0</v>
      </c>
      <c r="AA238" s="1">
        <f t="shared" si="0"/>
        <v>0</v>
      </c>
    </row>
    <row r="239" spans="1:27" ht="15" outlineLevel="1" thickBot="1" x14ac:dyDescent="0.4">
      <c r="A239" s="319"/>
      <c r="B239" s="216"/>
      <c r="C239" s="215"/>
      <c r="D239" s="233" t="str">
        <f>IFERROR(INDEX(BuildingInformationTable[Site type],MATCH(BuildingsHeatFuelsTable[[#This Row],[Site name]],BuildingInformationTable[Site name],0)),"")</f>
        <v/>
      </c>
      <c r="E239" s="72"/>
      <c r="F239" s="72"/>
      <c r="G239" s="72"/>
      <c r="H239" s="98" t="str">
        <f>IF(G239="","",INDEX(Lists!$BA$4:$BC$31,MATCH(E239,Lists!$AZ$4:$AZ$31,0),MATCH(G239,Lists!$BA$3:$BC$3,0)))</f>
        <v/>
      </c>
      <c r="I239" s="70"/>
      <c r="J239" s="72"/>
      <c r="K239" s="75" t="str" cm="1">
        <f t="array" ref="K239">IF(OR($E239="",$D239="",$I239="",$J239=""),"",IF(J239=L239,I239,(INDEX('Emission factors'!$K$3:$V$201,MATCH(E239&amp;F239,'Emission factors'!$J$3:$J$201&amp;'Emission factors'!$K$3:$K$201,0),MATCH(K$6,'Emission factors'!$K$2:$V$2,0)))*I239))</f>
        <v/>
      </c>
      <c r="L239" s="312" t="str">
        <f>IF(OR($E239="",$D239="",$I239="",$J239=""),"",INDEX('Emission factors'!$K$3:$V$201,MATCH('Buildings - Heat &amp; Fuels'!$E239,'Emission factors'!$J$3:$J$201,0),MATCH($L$6,'Emission factors'!$K$2:$V$2,0)))</f>
        <v/>
      </c>
      <c r="M239" s="313" t="str" cm="1">
        <f t="array" ref="M239">IF(OR(E239="",I239="",BuildingsHeatFuelsTable[[#This Row],[Units]]=""),"",INDEX('Emission factors'!$K$3:$V$201,MATCH('Buildings - Heat &amp; Fuels'!$E239&amp;F239,'Emission factors'!$J$3:$J$201&amp;'Emission factors'!$K$3:$K$201,0),MATCH('Buildings - Heat &amp; Fuels'!$M$6,'Emission factors'!$K$2:$V$2,0)))</f>
        <v/>
      </c>
      <c r="N239" s="156" t="str">
        <f>IF(OR(K239="",M239=""),"",SUM(BuildingsHeatFuelsTable[[#This Row],[Direct]:[Indirect WTT]]))</f>
        <v/>
      </c>
      <c r="O239" s="71"/>
      <c r="P239" s="190"/>
      <c r="Q239" s="157" t="str" cm="1">
        <f t="array" ref="Q239">IF(OR($E239="",$I239=""),"",(INDEX('Emission factors'!$K$3:$V$201,MATCH('Buildings - Heat &amp; Fuels'!$E239&amp;$F239,'Emission factors'!$J$3:$J$201&amp;'Emission factors'!$K$3:$K$201,0),MATCH('Buildings - Heat &amp; Fuels'!Q$6,'Emission factors'!$K$2:$V$2,0)))*$K239)</f>
        <v/>
      </c>
      <c r="R239" s="157" t="str" cm="1">
        <f t="array" ref="R239">IF(OR($E239="",$I239=""),"",(INDEX('Emission factors'!$K$3:$V$201,MATCH('Buildings - Heat &amp; Fuels'!$E239&amp;$F239,'Emission factors'!$J$3:$J$201&amp;'Emission factors'!$K$3:$K$201,0),MATCH('Buildings - Heat &amp; Fuels'!R$6,'Emission factors'!$K$2:$V$2,0)))*$K239)</f>
        <v/>
      </c>
      <c r="S239" s="157" t="str" cm="1">
        <f t="array" ref="S239">IF(OR($E239="",$I239=""),"",(INDEX('Emission factors'!$K$3:$V$201,MATCH('Buildings - Heat &amp; Fuels'!$E239&amp;$F239,'Emission factors'!$J$3:$J$201&amp;'Emission factors'!$K$3:$K$201,0),MATCH('Buildings - Heat &amp; Fuels'!S$6,'Emission factors'!$K$2:$V$2,0)))*$K239)</f>
        <v/>
      </c>
      <c r="T239" s="157" t="str" cm="1">
        <f t="array" ref="T239">IF(OR($E239="",$I239=""),"",(INDEX('Emission factors'!$K$3:$V$201,MATCH('Buildings - Heat &amp; Fuels'!$E239&amp;$F239,'Emission factors'!$J$3:$J$201&amp;'Emission factors'!$K$3:$K$201,0),MATCH('Buildings - Heat &amp; Fuels'!T$6,'Emission factors'!$K$2:$V$2,0)))*$K239)</f>
        <v/>
      </c>
      <c r="U239" s="157" t="str" cm="1">
        <f t="array" ref="U239">IF(OR($E239="",$I239=""),"",(INDEX('Emission factors'!$K$3:$V$201,MATCH('Buildings - Heat &amp; Fuels'!$E239&amp;$F239,'Emission factors'!$J$3:$J$201&amp;'Emission factors'!$K$3:$K$201,0),MATCH('Buildings - Heat &amp; Fuels'!U$6,'Emission factors'!$K$2:$V$2,0)))*$K239)</f>
        <v/>
      </c>
      <c r="V239" s="158" t="str">
        <f>IF(OR($N239="",BuildingsHeatFuelsTable[[#This Row],[RSD]]=""),"",BuildingsHeatFuelsTable[[#This Row],[Total emissions (kgCO2e)]]*(1+BuildingsHeatFuelsTable[[#This Row],[RSD]]))</f>
        <v/>
      </c>
      <c r="W239" s="159" t="str">
        <f>IF(OR($N239="",BuildingsHeatFuelsTable[[#This Row],[RSD]]=""),"",BuildingsHeatFuelsTable[[#This Row],[Total emissions (kgCO2e)]]*(1-BuildingsHeatFuelsTable[[#This Row],[RSD]]))</f>
        <v/>
      </c>
      <c r="X239" s="169" t="str" cm="1">
        <f t="array" ref="X239">IF(OR($E239="",$I239=""),"",(INDEX('Emission factors'!$K$3:$V$201,MATCH('Buildings - Heat &amp; Fuels'!$E239&amp;$F239,'Emission factors'!$J$3:$J$201&amp;'Emission factors'!$K$3:$K$201,0),MATCH('Buildings - Heat &amp; Fuels'!X$6,'Emission factors'!$K$2:$V$2,0)))*$K239)</f>
        <v/>
      </c>
      <c r="Y239" s="30"/>
      <c r="Z239" s="1" cm="1">
        <f t="array" ref="Z239">IF(OR(ISERROR(B239:X239)),1,0)</f>
        <v>0</v>
      </c>
      <c r="AA239" s="1">
        <f t="shared" si="0"/>
        <v>0</v>
      </c>
    </row>
    <row r="240" spans="1:27" ht="15" outlineLevel="1" thickBot="1" x14ac:dyDescent="0.4">
      <c r="A240" s="319"/>
      <c r="B240" s="216"/>
      <c r="C240" s="215"/>
      <c r="D240" s="233" t="str">
        <f>IFERROR(INDEX(BuildingInformationTable[Site type],MATCH(BuildingsHeatFuelsTable[[#This Row],[Site name]],BuildingInformationTable[Site name],0)),"")</f>
        <v/>
      </c>
      <c r="E240" s="72"/>
      <c r="F240" s="72"/>
      <c r="G240" s="72"/>
      <c r="H240" s="98" t="str">
        <f>IF(G240="","",INDEX(Lists!$BA$4:$BC$31,MATCH(E240,Lists!$AZ$4:$AZ$31,0),MATCH(G240,Lists!$BA$3:$BC$3,0)))</f>
        <v/>
      </c>
      <c r="I240" s="70"/>
      <c r="J240" s="72"/>
      <c r="K240" s="75" t="str" cm="1">
        <f t="array" ref="K240">IF(OR($E240="",$D240="",$I240="",$J240=""),"",IF(J240=L240,I240,(INDEX('Emission factors'!$K$3:$V$201,MATCH(E240&amp;F240,'Emission factors'!$J$3:$J$201&amp;'Emission factors'!$K$3:$K$201,0),MATCH(K$6,'Emission factors'!$K$2:$V$2,0)))*I240))</f>
        <v/>
      </c>
      <c r="L240" s="312" t="str">
        <f>IF(OR($E240="",$D240="",$I240="",$J240=""),"",INDEX('Emission factors'!$K$3:$V$201,MATCH('Buildings - Heat &amp; Fuels'!$E240,'Emission factors'!$J$3:$J$201,0),MATCH($L$6,'Emission factors'!$K$2:$V$2,0)))</f>
        <v/>
      </c>
      <c r="M240" s="313" t="str" cm="1">
        <f t="array" ref="M240">IF(OR(E240="",I240="",BuildingsHeatFuelsTable[[#This Row],[Units]]=""),"",INDEX('Emission factors'!$K$3:$V$201,MATCH('Buildings - Heat &amp; Fuels'!$E240&amp;F240,'Emission factors'!$J$3:$J$201&amp;'Emission factors'!$K$3:$K$201,0),MATCH('Buildings - Heat &amp; Fuels'!$M$6,'Emission factors'!$K$2:$V$2,0)))</f>
        <v/>
      </c>
      <c r="N240" s="156" t="str">
        <f>IF(OR(K240="",M240=""),"",SUM(BuildingsHeatFuelsTable[[#This Row],[Direct]:[Indirect WTT]]))</f>
        <v/>
      </c>
      <c r="O240" s="71"/>
      <c r="P240" s="190"/>
      <c r="Q240" s="157" t="str" cm="1">
        <f t="array" ref="Q240">IF(OR($E240="",$I240=""),"",(INDEX('Emission factors'!$K$3:$V$201,MATCH('Buildings - Heat &amp; Fuels'!$E240&amp;$F240,'Emission factors'!$J$3:$J$201&amp;'Emission factors'!$K$3:$K$201,0),MATCH('Buildings - Heat &amp; Fuels'!Q$6,'Emission factors'!$K$2:$V$2,0)))*$K240)</f>
        <v/>
      </c>
      <c r="R240" s="157" t="str" cm="1">
        <f t="array" ref="R240">IF(OR($E240="",$I240=""),"",(INDEX('Emission factors'!$K$3:$V$201,MATCH('Buildings - Heat &amp; Fuels'!$E240&amp;$F240,'Emission factors'!$J$3:$J$201&amp;'Emission factors'!$K$3:$K$201,0),MATCH('Buildings - Heat &amp; Fuels'!R$6,'Emission factors'!$K$2:$V$2,0)))*$K240)</f>
        <v/>
      </c>
      <c r="S240" s="157" t="str" cm="1">
        <f t="array" ref="S240">IF(OR($E240="",$I240=""),"",(INDEX('Emission factors'!$K$3:$V$201,MATCH('Buildings - Heat &amp; Fuels'!$E240&amp;$F240,'Emission factors'!$J$3:$J$201&amp;'Emission factors'!$K$3:$K$201,0),MATCH('Buildings - Heat &amp; Fuels'!S$6,'Emission factors'!$K$2:$V$2,0)))*$K240)</f>
        <v/>
      </c>
      <c r="T240" s="157" t="str" cm="1">
        <f t="array" ref="T240">IF(OR($E240="",$I240=""),"",(INDEX('Emission factors'!$K$3:$V$201,MATCH('Buildings - Heat &amp; Fuels'!$E240&amp;$F240,'Emission factors'!$J$3:$J$201&amp;'Emission factors'!$K$3:$K$201,0),MATCH('Buildings - Heat &amp; Fuels'!T$6,'Emission factors'!$K$2:$V$2,0)))*$K240)</f>
        <v/>
      </c>
      <c r="U240" s="157" t="str" cm="1">
        <f t="array" ref="U240">IF(OR($E240="",$I240=""),"",(INDEX('Emission factors'!$K$3:$V$201,MATCH('Buildings - Heat &amp; Fuels'!$E240&amp;$F240,'Emission factors'!$J$3:$J$201&amp;'Emission factors'!$K$3:$K$201,0),MATCH('Buildings - Heat &amp; Fuels'!U$6,'Emission factors'!$K$2:$V$2,0)))*$K240)</f>
        <v/>
      </c>
      <c r="V240" s="158" t="str">
        <f>IF(OR($N240="",BuildingsHeatFuelsTable[[#This Row],[RSD]]=""),"",BuildingsHeatFuelsTable[[#This Row],[Total emissions (kgCO2e)]]*(1+BuildingsHeatFuelsTable[[#This Row],[RSD]]))</f>
        <v/>
      </c>
      <c r="W240" s="159" t="str">
        <f>IF(OR($N240="",BuildingsHeatFuelsTable[[#This Row],[RSD]]=""),"",BuildingsHeatFuelsTable[[#This Row],[Total emissions (kgCO2e)]]*(1-BuildingsHeatFuelsTable[[#This Row],[RSD]]))</f>
        <v/>
      </c>
      <c r="X240" s="169" t="str" cm="1">
        <f t="array" ref="X240">IF(OR($E240="",$I240=""),"",(INDEX('Emission factors'!$K$3:$V$201,MATCH('Buildings - Heat &amp; Fuels'!$E240&amp;$F240,'Emission factors'!$J$3:$J$201&amp;'Emission factors'!$K$3:$K$201,0),MATCH('Buildings - Heat &amp; Fuels'!X$6,'Emission factors'!$K$2:$V$2,0)))*$K240)</f>
        <v/>
      </c>
      <c r="Y240" s="30"/>
      <c r="Z240" s="1" cm="1">
        <f t="array" ref="Z240">IF(OR(ISERROR(B240:X240)),1,0)</f>
        <v>0</v>
      </c>
      <c r="AA240" s="1">
        <f t="shared" si="0"/>
        <v>0</v>
      </c>
    </row>
    <row r="241" spans="1:27" ht="15" outlineLevel="1" thickBot="1" x14ac:dyDescent="0.4">
      <c r="A241" s="319"/>
      <c r="B241" s="216"/>
      <c r="C241" s="215"/>
      <c r="D241" s="233" t="str">
        <f>IFERROR(INDEX(BuildingInformationTable[Site type],MATCH(BuildingsHeatFuelsTable[[#This Row],[Site name]],BuildingInformationTable[Site name],0)),"")</f>
        <v/>
      </c>
      <c r="E241" s="72"/>
      <c r="F241" s="72"/>
      <c r="G241" s="72"/>
      <c r="H241" s="98" t="str">
        <f>IF(G241="","",INDEX(Lists!$BA$4:$BC$31,MATCH(E241,Lists!$AZ$4:$AZ$31,0),MATCH(G241,Lists!$BA$3:$BC$3,0)))</f>
        <v/>
      </c>
      <c r="I241" s="70"/>
      <c r="J241" s="72"/>
      <c r="K241" s="75" t="str" cm="1">
        <f t="array" ref="K241">IF(OR($E241="",$D241="",$I241="",$J241=""),"",IF(J241=L241,I241,(INDEX('Emission factors'!$K$3:$V$201,MATCH(E241&amp;F241,'Emission factors'!$J$3:$J$201&amp;'Emission factors'!$K$3:$K$201,0),MATCH(K$6,'Emission factors'!$K$2:$V$2,0)))*I241))</f>
        <v/>
      </c>
      <c r="L241" s="312" t="str">
        <f>IF(OR($E241="",$D241="",$I241="",$J241=""),"",INDEX('Emission factors'!$K$3:$V$201,MATCH('Buildings - Heat &amp; Fuels'!$E241,'Emission factors'!$J$3:$J$201,0),MATCH($L$6,'Emission factors'!$K$2:$V$2,0)))</f>
        <v/>
      </c>
      <c r="M241" s="313" t="str" cm="1">
        <f t="array" ref="M241">IF(OR(E241="",I241="",BuildingsHeatFuelsTable[[#This Row],[Units]]=""),"",INDEX('Emission factors'!$K$3:$V$201,MATCH('Buildings - Heat &amp; Fuels'!$E241&amp;F241,'Emission factors'!$J$3:$J$201&amp;'Emission factors'!$K$3:$K$201,0),MATCH('Buildings - Heat &amp; Fuels'!$M$6,'Emission factors'!$K$2:$V$2,0)))</f>
        <v/>
      </c>
      <c r="N241" s="156" t="str">
        <f>IF(OR(K241="",M241=""),"",SUM(BuildingsHeatFuelsTable[[#This Row],[Direct]:[Indirect WTT]]))</f>
        <v/>
      </c>
      <c r="O241" s="71"/>
      <c r="P241" s="190"/>
      <c r="Q241" s="157" t="str" cm="1">
        <f t="array" ref="Q241">IF(OR($E241="",$I241=""),"",(INDEX('Emission factors'!$K$3:$V$201,MATCH('Buildings - Heat &amp; Fuels'!$E241&amp;$F241,'Emission factors'!$J$3:$J$201&amp;'Emission factors'!$K$3:$K$201,0),MATCH('Buildings - Heat &amp; Fuels'!Q$6,'Emission factors'!$K$2:$V$2,0)))*$K241)</f>
        <v/>
      </c>
      <c r="R241" s="157" t="str" cm="1">
        <f t="array" ref="R241">IF(OR($E241="",$I241=""),"",(INDEX('Emission factors'!$K$3:$V$201,MATCH('Buildings - Heat &amp; Fuels'!$E241&amp;$F241,'Emission factors'!$J$3:$J$201&amp;'Emission factors'!$K$3:$K$201,0),MATCH('Buildings - Heat &amp; Fuels'!R$6,'Emission factors'!$K$2:$V$2,0)))*$K241)</f>
        <v/>
      </c>
      <c r="S241" s="157" t="str" cm="1">
        <f t="array" ref="S241">IF(OR($E241="",$I241=""),"",(INDEX('Emission factors'!$K$3:$V$201,MATCH('Buildings - Heat &amp; Fuels'!$E241&amp;$F241,'Emission factors'!$J$3:$J$201&amp;'Emission factors'!$K$3:$K$201,0),MATCH('Buildings - Heat &amp; Fuels'!S$6,'Emission factors'!$K$2:$V$2,0)))*$K241)</f>
        <v/>
      </c>
      <c r="T241" s="157" t="str" cm="1">
        <f t="array" ref="T241">IF(OR($E241="",$I241=""),"",(INDEX('Emission factors'!$K$3:$V$201,MATCH('Buildings - Heat &amp; Fuels'!$E241&amp;$F241,'Emission factors'!$J$3:$J$201&amp;'Emission factors'!$K$3:$K$201,0),MATCH('Buildings - Heat &amp; Fuels'!T$6,'Emission factors'!$K$2:$V$2,0)))*$K241)</f>
        <v/>
      </c>
      <c r="U241" s="157" t="str" cm="1">
        <f t="array" ref="U241">IF(OR($E241="",$I241=""),"",(INDEX('Emission factors'!$K$3:$V$201,MATCH('Buildings - Heat &amp; Fuels'!$E241&amp;$F241,'Emission factors'!$J$3:$J$201&amp;'Emission factors'!$K$3:$K$201,0),MATCH('Buildings - Heat &amp; Fuels'!U$6,'Emission factors'!$K$2:$V$2,0)))*$K241)</f>
        <v/>
      </c>
      <c r="V241" s="158" t="str">
        <f>IF(OR($N241="",BuildingsHeatFuelsTable[[#This Row],[RSD]]=""),"",BuildingsHeatFuelsTable[[#This Row],[Total emissions (kgCO2e)]]*(1+BuildingsHeatFuelsTable[[#This Row],[RSD]]))</f>
        <v/>
      </c>
      <c r="W241" s="159" t="str">
        <f>IF(OR($N241="",BuildingsHeatFuelsTable[[#This Row],[RSD]]=""),"",BuildingsHeatFuelsTable[[#This Row],[Total emissions (kgCO2e)]]*(1-BuildingsHeatFuelsTable[[#This Row],[RSD]]))</f>
        <v/>
      </c>
      <c r="X241" s="169" t="str" cm="1">
        <f t="array" ref="X241">IF(OR($E241="",$I241=""),"",(INDEX('Emission factors'!$K$3:$V$201,MATCH('Buildings - Heat &amp; Fuels'!$E241&amp;$F241,'Emission factors'!$J$3:$J$201&amp;'Emission factors'!$K$3:$K$201,0),MATCH('Buildings - Heat &amp; Fuels'!X$6,'Emission factors'!$K$2:$V$2,0)))*$K241)</f>
        <v/>
      </c>
      <c r="Y241" s="30"/>
      <c r="Z241" s="1" cm="1">
        <f t="array" ref="Z241">IF(OR(ISERROR(B241:X241)),1,0)</f>
        <v>0</v>
      </c>
      <c r="AA241" s="1">
        <f t="shared" si="0"/>
        <v>0</v>
      </c>
    </row>
    <row r="242" spans="1:27" ht="15" outlineLevel="1" thickBot="1" x14ac:dyDescent="0.4">
      <c r="A242" s="319"/>
      <c r="B242" s="216"/>
      <c r="C242" s="215"/>
      <c r="D242" s="233" t="str">
        <f>IFERROR(INDEX(BuildingInformationTable[Site type],MATCH(BuildingsHeatFuelsTable[[#This Row],[Site name]],BuildingInformationTable[Site name],0)),"")</f>
        <v/>
      </c>
      <c r="E242" s="72"/>
      <c r="F242" s="72"/>
      <c r="G242" s="72"/>
      <c r="H242" s="98" t="str">
        <f>IF(G242="","",INDEX(Lists!$BA$4:$BC$31,MATCH(E242,Lists!$AZ$4:$AZ$31,0),MATCH(G242,Lists!$BA$3:$BC$3,0)))</f>
        <v/>
      </c>
      <c r="I242" s="70"/>
      <c r="J242" s="72"/>
      <c r="K242" s="75" t="str" cm="1">
        <f t="array" ref="K242">IF(OR($E242="",$D242="",$I242="",$J242=""),"",IF(J242=L242,I242,(INDEX('Emission factors'!$K$3:$V$201,MATCH(E242&amp;F242,'Emission factors'!$J$3:$J$201&amp;'Emission factors'!$K$3:$K$201,0),MATCH(K$6,'Emission factors'!$K$2:$V$2,0)))*I242))</f>
        <v/>
      </c>
      <c r="L242" s="312" t="str">
        <f>IF(OR($E242="",$D242="",$I242="",$J242=""),"",INDEX('Emission factors'!$K$3:$V$201,MATCH('Buildings - Heat &amp; Fuels'!$E242,'Emission factors'!$J$3:$J$201,0),MATCH($L$6,'Emission factors'!$K$2:$V$2,0)))</f>
        <v/>
      </c>
      <c r="M242" s="313" t="str" cm="1">
        <f t="array" ref="M242">IF(OR(E242="",I242="",BuildingsHeatFuelsTable[[#This Row],[Units]]=""),"",INDEX('Emission factors'!$K$3:$V$201,MATCH('Buildings - Heat &amp; Fuels'!$E242&amp;F242,'Emission factors'!$J$3:$J$201&amp;'Emission factors'!$K$3:$K$201,0),MATCH('Buildings - Heat &amp; Fuels'!$M$6,'Emission factors'!$K$2:$V$2,0)))</f>
        <v/>
      </c>
      <c r="N242" s="156" t="str">
        <f>IF(OR(K242="",M242=""),"",SUM(BuildingsHeatFuelsTable[[#This Row],[Direct]:[Indirect WTT]]))</f>
        <v/>
      </c>
      <c r="O242" s="71"/>
      <c r="P242" s="190"/>
      <c r="Q242" s="157" t="str" cm="1">
        <f t="array" ref="Q242">IF(OR($E242="",$I242=""),"",(INDEX('Emission factors'!$K$3:$V$201,MATCH('Buildings - Heat &amp; Fuels'!$E242&amp;$F242,'Emission factors'!$J$3:$J$201&amp;'Emission factors'!$K$3:$K$201,0),MATCH('Buildings - Heat &amp; Fuels'!Q$6,'Emission factors'!$K$2:$V$2,0)))*$K242)</f>
        <v/>
      </c>
      <c r="R242" s="157" t="str" cm="1">
        <f t="array" ref="R242">IF(OR($E242="",$I242=""),"",(INDEX('Emission factors'!$K$3:$V$201,MATCH('Buildings - Heat &amp; Fuels'!$E242&amp;$F242,'Emission factors'!$J$3:$J$201&amp;'Emission factors'!$K$3:$K$201,0),MATCH('Buildings - Heat &amp; Fuels'!R$6,'Emission factors'!$K$2:$V$2,0)))*$K242)</f>
        <v/>
      </c>
      <c r="S242" s="157" t="str" cm="1">
        <f t="array" ref="S242">IF(OR($E242="",$I242=""),"",(INDEX('Emission factors'!$K$3:$V$201,MATCH('Buildings - Heat &amp; Fuels'!$E242&amp;$F242,'Emission factors'!$J$3:$J$201&amp;'Emission factors'!$K$3:$K$201,0),MATCH('Buildings - Heat &amp; Fuels'!S$6,'Emission factors'!$K$2:$V$2,0)))*$K242)</f>
        <v/>
      </c>
      <c r="T242" s="157" t="str" cm="1">
        <f t="array" ref="T242">IF(OR($E242="",$I242=""),"",(INDEX('Emission factors'!$K$3:$V$201,MATCH('Buildings - Heat &amp; Fuels'!$E242&amp;$F242,'Emission factors'!$J$3:$J$201&amp;'Emission factors'!$K$3:$K$201,0),MATCH('Buildings - Heat &amp; Fuels'!T$6,'Emission factors'!$K$2:$V$2,0)))*$K242)</f>
        <v/>
      </c>
      <c r="U242" s="157" t="str" cm="1">
        <f t="array" ref="U242">IF(OR($E242="",$I242=""),"",(INDEX('Emission factors'!$K$3:$V$201,MATCH('Buildings - Heat &amp; Fuels'!$E242&amp;$F242,'Emission factors'!$J$3:$J$201&amp;'Emission factors'!$K$3:$K$201,0),MATCH('Buildings - Heat &amp; Fuels'!U$6,'Emission factors'!$K$2:$V$2,0)))*$K242)</f>
        <v/>
      </c>
      <c r="V242" s="158" t="str">
        <f>IF(OR($N242="",BuildingsHeatFuelsTable[[#This Row],[RSD]]=""),"",BuildingsHeatFuelsTable[[#This Row],[Total emissions (kgCO2e)]]*(1+BuildingsHeatFuelsTable[[#This Row],[RSD]]))</f>
        <v/>
      </c>
      <c r="W242" s="159" t="str">
        <f>IF(OR($N242="",BuildingsHeatFuelsTable[[#This Row],[RSD]]=""),"",BuildingsHeatFuelsTable[[#This Row],[Total emissions (kgCO2e)]]*(1-BuildingsHeatFuelsTable[[#This Row],[RSD]]))</f>
        <v/>
      </c>
      <c r="X242" s="169" t="str" cm="1">
        <f t="array" ref="X242">IF(OR($E242="",$I242=""),"",(INDEX('Emission factors'!$K$3:$V$201,MATCH('Buildings - Heat &amp; Fuels'!$E242&amp;$F242,'Emission factors'!$J$3:$J$201&amp;'Emission factors'!$K$3:$K$201,0),MATCH('Buildings - Heat &amp; Fuels'!X$6,'Emission factors'!$K$2:$V$2,0)))*$K242)</f>
        <v/>
      </c>
      <c r="Y242" s="30"/>
      <c r="Z242" s="1" cm="1">
        <f t="array" ref="Z242">IF(OR(ISERROR(B242:X242)),1,0)</f>
        <v>0</v>
      </c>
      <c r="AA242" s="1">
        <f t="shared" si="0"/>
        <v>0</v>
      </c>
    </row>
    <row r="243" spans="1:27" ht="15" outlineLevel="1" thickBot="1" x14ac:dyDescent="0.4">
      <c r="A243" s="319"/>
      <c r="B243" s="216"/>
      <c r="C243" s="215"/>
      <c r="D243" s="233" t="str">
        <f>IFERROR(INDEX(BuildingInformationTable[Site type],MATCH(BuildingsHeatFuelsTable[[#This Row],[Site name]],BuildingInformationTable[Site name],0)),"")</f>
        <v/>
      </c>
      <c r="E243" s="72"/>
      <c r="F243" s="72"/>
      <c r="G243" s="72"/>
      <c r="H243" s="98" t="str">
        <f>IF(G243="","",INDEX(Lists!$BA$4:$BC$31,MATCH(E243,Lists!$AZ$4:$AZ$31,0),MATCH(G243,Lists!$BA$3:$BC$3,0)))</f>
        <v/>
      </c>
      <c r="I243" s="70"/>
      <c r="J243" s="72"/>
      <c r="K243" s="75" t="str" cm="1">
        <f t="array" ref="K243">IF(OR($E243="",$D243="",$I243="",$J243=""),"",IF(J243=L243,I243,(INDEX('Emission factors'!$K$3:$V$201,MATCH(E243&amp;F243,'Emission factors'!$J$3:$J$201&amp;'Emission factors'!$K$3:$K$201,0),MATCH(K$6,'Emission factors'!$K$2:$V$2,0)))*I243))</f>
        <v/>
      </c>
      <c r="L243" s="312" t="str">
        <f>IF(OR($E243="",$D243="",$I243="",$J243=""),"",INDEX('Emission factors'!$K$3:$V$201,MATCH('Buildings - Heat &amp; Fuels'!$E243,'Emission factors'!$J$3:$J$201,0),MATCH($L$6,'Emission factors'!$K$2:$V$2,0)))</f>
        <v/>
      </c>
      <c r="M243" s="313" t="str" cm="1">
        <f t="array" ref="M243">IF(OR(E243="",I243="",BuildingsHeatFuelsTable[[#This Row],[Units]]=""),"",INDEX('Emission factors'!$K$3:$V$201,MATCH('Buildings - Heat &amp; Fuels'!$E243&amp;F243,'Emission factors'!$J$3:$J$201&amp;'Emission factors'!$K$3:$K$201,0),MATCH('Buildings - Heat &amp; Fuels'!$M$6,'Emission factors'!$K$2:$V$2,0)))</f>
        <v/>
      </c>
      <c r="N243" s="156" t="str">
        <f>IF(OR(K243="",M243=""),"",SUM(BuildingsHeatFuelsTable[[#This Row],[Direct]:[Indirect WTT]]))</f>
        <v/>
      </c>
      <c r="O243" s="71"/>
      <c r="P243" s="190"/>
      <c r="Q243" s="157" t="str" cm="1">
        <f t="array" ref="Q243">IF(OR($E243="",$I243=""),"",(INDEX('Emission factors'!$K$3:$V$201,MATCH('Buildings - Heat &amp; Fuels'!$E243&amp;$F243,'Emission factors'!$J$3:$J$201&amp;'Emission factors'!$K$3:$K$201,0),MATCH('Buildings - Heat &amp; Fuels'!Q$6,'Emission factors'!$K$2:$V$2,0)))*$K243)</f>
        <v/>
      </c>
      <c r="R243" s="157" t="str" cm="1">
        <f t="array" ref="R243">IF(OR($E243="",$I243=""),"",(INDEX('Emission factors'!$K$3:$V$201,MATCH('Buildings - Heat &amp; Fuels'!$E243&amp;$F243,'Emission factors'!$J$3:$J$201&amp;'Emission factors'!$K$3:$K$201,0),MATCH('Buildings - Heat &amp; Fuels'!R$6,'Emission factors'!$K$2:$V$2,0)))*$K243)</f>
        <v/>
      </c>
      <c r="S243" s="157" t="str" cm="1">
        <f t="array" ref="S243">IF(OR($E243="",$I243=""),"",(INDEX('Emission factors'!$K$3:$V$201,MATCH('Buildings - Heat &amp; Fuels'!$E243&amp;$F243,'Emission factors'!$J$3:$J$201&amp;'Emission factors'!$K$3:$K$201,0),MATCH('Buildings - Heat &amp; Fuels'!S$6,'Emission factors'!$K$2:$V$2,0)))*$K243)</f>
        <v/>
      </c>
      <c r="T243" s="157" t="str" cm="1">
        <f t="array" ref="T243">IF(OR($E243="",$I243=""),"",(INDEX('Emission factors'!$K$3:$V$201,MATCH('Buildings - Heat &amp; Fuels'!$E243&amp;$F243,'Emission factors'!$J$3:$J$201&amp;'Emission factors'!$K$3:$K$201,0),MATCH('Buildings - Heat &amp; Fuels'!T$6,'Emission factors'!$K$2:$V$2,0)))*$K243)</f>
        <v/>
      </c>
      <c r="U243" s="157" t="str" cm="1">
        <f t="array" ref="U243">IF(OR($E243="",$I243=""),"",(INDEX('Emission factors'!$K$3:$V$201,MATCH('Buildings - Heat &amp; Fuels'!$E243&amp;$F243,'Emission factors'!$J$3:$J$201&amp;'Emission factors'!$K$3:$K$201,0),MATCH('Buildings - Heat &amp; Fuels'!U$6,'Emission factors'!$K$2:$V$2,0)))*$K243)</f>
        <v/>
      </c>
      <c r="V243" s="158" t="str">
        <f>IF(OR($N243="",BuildingsHeatFuelsTable[[#This Row],[RSD]]=""),"",BuildingsHeatFuelsTable[[#This Row],[Total emissions (kgCO2e)]]*(1+BuildingsHeatFuelsTable[[#This Row],[RSD]]))</f>
        <v/>
      </c>
      <c r="W243" s="159" t="str">
        <f>IF(OR($N243="",BuildingsHeatFuelsTable[[#This Row],[RSD]]=""),"",BuildingsHeatFuelsTable[[#This Row],[Total emissions (kgCO2e)]]*(1-BuildingsHeatFuelsTable[[#This Row],[RSD]]))</f>
        <v/>
      </c>
      <c r="X243" s="169" t="str" cm="1">
        <f t="array" ref="X243">IF(OR($E243="",$I243=""),"",(INDEX('Emission factors'!$K$3:$V$201,MATCH('Buildings - Heat &amp; Fuels'!$E243&amp;$F243,'Emission factors'!$J$3:$J$201&amp;'Emission factors'!$K$3:$K$201,0),MATCH('Buildings - Heat &amp; Fuels'!X$6,'Emission factors'!$K$2:$V$2,0)))*$K243)</f>
        <v/>
      </c>
      <c r="Y243" s="30"/>
      <c r="Z243" s="1" cm="1">
        <f t="array" ref="Z243">IF(OR(ISERROR(B243:X243)),1,0)</f>
        <v>0</v>
      </c>
      <c r="AA243" s="1">
        <f t="shared" si="0"/>
        <v>0</v>
      </c>
    </row>
    <row r="244" spans="1:27" ht="15" outlineLevel="1" thickBot="1" x14ac:dyDescent="0.4">
      <c r="A244" s="319"/>
      <c r="B244" s="216"/>
      <c r="C244" s="215"/>
      <c r="D244" s="233" t="str">
        <f>IFERROR(INDEX(BuildingInformationTable[Site type],MATCH(BuildingsHeatFuelsTable[[#This Row],[Site name]],BuildingInformationTable[Site name],0)),"")</f>
        <v/>
      </c>
      <c r="E244" s="72"/>
      <c r="F244" s="72"/>
      <c r="G244" s="72"/>
      <c r="H244" s="98" t="str">
        <f>IF(G244="","",INDEX(Lists!$BA$4:$BC$31,MATCH(E244,Lists!$AZ$4:$AZ$31,0),MATCH(G244,Lists!$BA$3:$BC$3,0)))</f>
        <v/>
      </c>
      <c r="I244" s="70"/>
      <c r="J244" s="72"/>
      <c r="K244" s="75" t="str" cm="1">
        <f t="array" ref="K244">IF(OR($E244="",$D244="",$I244="",$J244=""),"",IF(J244=L244,I244,(INDEX('Emission factors'!$K$3:$V$201,MATCH(E244&amp;F244,'Emission factors'!$J$3:$J$201&amp;'Emission factors'!$K$3:$K$201,0),MATCH(K$6,'Emission factors'!$K$2:$V$2,0)))*I244))</f>
        <v/>
      </c>
      <c r="L244" s="312" t="str">
        <f>IF(OR($E244="",$D244="",$I244="",$J244=""),"",INDEX('Emission factors'!$K$3:$V$201,MATCH('Buildings - Heat &amp; Fuels'!$E244,'Emission factors'!$J$3:$J$201,0),MATCH($L$6,'Emission factors'!$K$2:$V$2,0)))</f>
        <v/>
      </c>
      <c r="M244" s="313" t="str" cm="1">
        <f t="array" ref="M244">IF(OR(E244="",I244="",BuildingsHeatFuelsTable[[#This Row],[Units]]=""),"",INDEX('Emission factors'!$K$3:$V$201,MATCH('Buildings - Heat &amp; Fuels'!$E244&amp;F244,'Emission factors'!$J$3:$J$201&amp;'Emission factors'!$K$3:$K$201,0),MATCH('Buildings - Heat &amp; Fuels'!$M$6,'Emission factors'!$K$2:$V$2,0)))</f>
        <v/>
      </c>
      <c r="N244" s="156" t="str">
        <f>IF(OR(K244="",M244=""),"",SUM(BuildingsHeatFuelsTable[[#This Row],[Direct]:[Indirect WTT]]))</f>
        <v/>
      </c>
      <c r="O244" s="71"/>
      <c r="P244" s="190"/>
      <c r="Q244" s="157" t="str" cm="1">
        <f t="array" ref="Q244">IF(OR($E244="",$I244=""),"",(INDEX('Emission factors'!$K$3:$V$201,MATCH('Buildings - Heat &amp; Fuels'!$E244&amp;$F244,'Emission factors'!$J$3:$J$201&amp;'Emission factors'!$K$3:$K$201,0),MATCH('Buildings - Heat &amp; Fuels'!Q$6,'Emission factors'!$K$2:$V$2,0)))*$K244)</f>
        <v/>
      </c>
      <c r="R244" s="157" t="str" cm="1">
        <f t="array" ref="R244">IF(OR($E244="",$I244=""),"",(INDEX('Emission factors'!$K$3:$V$201,MATCH('Buildings - Heat &amp; Fuels'!$E244&amp;$F244,'Emission factors'!$J$3:$J$201&amp;'Emission factors'!$K$3:$K$201,0),MATCH('Buildings - Heat &amp; Fuels'!R$6,'Emission factors'!$K$2:$V$2,0)))*$K244)</f>
        <v/>
      </c>
      <c r="S244" s="157" t="str" cm="1">
        <f t="array" ref="S244">IF(OR($E244="",$I244=""),"",(INDEX('Emission factors'!$K$3:$V$201,MATCH('Buildings - Heat &amp; Fuels'!$E244&amp;$F244,'Emission factors'!$J$3:$J$201&amp;'Emission factors'!$K$3:$K$201,0),MATCH('Buildings - Heat &amp; Fuels'!S$6,'Emission factors'!$K$2:$V$2,0)))*$K244)</f>
        <v/>
      </c>
      <c r="T244" s="157" t="str" cm="1">
        <f t="array" ref="T244">IF(OR($E244="",$I244=""),"",(INDEX('Emission factors'!$K$3:$V$201,MATCH('Buildings - Heat &amp; Fuels'!$E244&amp;$F244,'Emission factors'!$J$3:$J$201&amp;'Emission factors'!$K$3:$K$201,0),MATCH('Buildings - Heat &amp; Fuels'!T$6,'Emission factors'!$K$2:$V$2,0)))*$K244)</f>
        <v/>
      </c>
      <c r="U244" s="157" t="str" cm="1">
        <f t="array" ref="U244">IF(OR($E244="",$I244=""),"",(INDEX('Emission factors'!$K$3:$V$201,MATCH('Buildings - Heat &amp; Fuels'!$E244&amp;$F244,'Emission factors'!$J$3:$J$201&amp;'Emission factors'!$K$3:$K$201,0),MATCH('Buildings - Heat &amp; Fuels'!U$6,'Emission factors'!$K$2:$V$2,0)))*$K244)</f>
        <v/>
      </c>
      <c r="V244" s="158" t="str">
        <f>IF(OR($N244="",BuildingsHeatFuelsTable[[#This Row],[RSD]]=""),"",BuildingsHeatFuelsTable[[#This Row],[Total emissions (kgCO2e)]]*(1+BuildingsHeatFuelsTable[[#This Row],[RSD]]))</f>
        <v/>
      </c>
      <c r="W244" s="159" t="str">
        <f>IF(OR($N244="",BuildingsHeatFuelsTable[[#This Row],[RSD]]=""),"",BuildingsHeatFuelsTable[[#This Row],[Total emissions (kgCO2e)]]*(1-BuildingsHeatFuelsTable[[#This Row],[RSD]]))</f>
        <v/>
      </c>
      <c r="X244" s="169" t="str" cm="1">
        <f t="array" ref="X244">IF(OR($E244="",$I244=""),"",(INDEX('Emission factors'!$K$3:$V$201,MATCH('Buildings - Heat &amp; Fuels'!$E244&amp;$F244,'Emission factors'!$J$3:$J$201&amp;'Emission factors'!$K$3:$K$201,0),MATCH('Buildings - Heat &amp; Fuels'!X$6,'Emission factors'!$K$2:$V$2,0)))*$K244)</f>
        <v/>
      </c>
      <c r="Y244" s="30"/>
      <c r="Z244" s="1" cm="1">
        <f t="array" ref="Z244">IF(OR(ISERROR(B244:X244)),1,0)</f>
        <v>0</v>
      </c>
      <c r="AA244" s="1">
        <f t="shared" si="0"/>
        <v>0</v>
      </c>
    </row>
    <row r="245" spans="1:27" ht="15" outlineLevel="1" thickBot="1" x14ac:dyDescent="0.4">
      <c r="A245" s="319"/>
      <c r="B245" s="216"/>
      <c r="C245" s="215"/>
      <c r="D245" s="233" t="str">
        <f>IFERROR(INDEX(BuildingInformationTable[Site type],MATCH(BuildingsHeatFuelsTable[[#This Row],[Site name]],BuildingInformationTable[Site name],0)),"")</f>
        <v/>
      </c>
      <c r="E245" s="72"/>
      <c r="F245" s="72"/>
      <c r="G245" s="72"/>
      <c r="H245" s="98" t="str">
        <f>IF(G245="","",INDEX(Lists!$BA$4:$BC$31,MATCH(E245,Lists!$AZ$4:$AZ$31,0),MATCH(G245,Lists!$BA$3:$BC$3,0)))</f>
        <v/>
      </c>
      <c r="I245" s="70"/>
      <c r="J245" s="72"/>
      <c r="K245" s="75" t="str" cm="1">
        <f t="array" ref="K245">IF(OR($E245="",$D245="",$I245="",$J245=""),"",IF(J245=L245,I245,(INDEX('Emission factors'!$K$3:$V$201,MATCH(E245&amp;F245,'Emission factors'!$J$3:$J$201&amp;'Emission factors'!$K$3:$K$201,0),MATCH(K$6,'Emission factors'!$K$2:$V$2,0)))*I245))</f>
        <v/>
      </c>
      <c r="L245" s="312" t="str">
        <f>IF(OR($E245="",$D245="",$I245="",$J245=""),"",INDEX('Emission factors'!$K$3:$V$201,MATCH('Buildings - Heat &amp; Fuels'!$E245,'Emission factors'!$J$3:$J$201,0),MATCH($L$6,'Emission factors'!$K$2:$V$2,0)))</f>
        <v/>
      </c>
      <c r="M245" s="313" t="str" cm="1">
        <f t="array" ref="M245">IF(OR(E245="",I245="",BuildingsHeatFuelsTable[[#This Row],[Units]]=""),"",INDEX('Emission factors'!$K$3:$V$201,MATCH('Buildings - Heat &amp; Fuels'!$E245&amp;F245,'Emission factors'!$J$3:$J$201&amp;'Emission factors'!$K$3:$K$201,0),MATCH('Buildings - Heat &amp; Fuels'!$M$6,'Emission factors'!$K$2:$V$2,0)))</f>
        <v/>
      </c>
      <c r="N245" s="156" t="str">
        <f>IF(OR(K245="",M245=""),"",SUM(BuildingsHeatFuelsTable[[#This Row],[Direct]:[Indirect WTT]]))</f>
        <v/>
      </c>
      <c r="O245" s="71"/>
      <c r="P245" s="190"/>
      <c r="Q245" s="157" t="str" cm="1">
        <f t="array" ref="Q245">IF(OR($E245="",$I245=""),"",(INDEX('Emission factors'!$K$3:$V$201,MATCH('Buildings - Heat &amp; Fuels'!$E245&amp;$F245,'Emission factors'!$J$3:$J$201&amp;'Emission factors'!$K$3:$K$201,0),MATCH('Buildings - Heat &amp; Fuels'!Q$6,'Emission factors'!$K$2:$V$2,0)))*$K245)</f>
        <v/>
      </c>
      <c r="R245" s="157" t="str" cm="1">
        <f t="array" ref="R245">IF(OR($E245="",$I245=""),"",(INDEX('Emission factors'!$K$3:$V$201,MATCH('Buildings - Heat &amp; Fuels'!$E245&amp;$F245,'Emission factors'!$J$3:$J$201&amp;'Emission factors'!$K$3:$K$201,0),MATCH('Buildings - Heat &amp; Fuels'!R$6,'Emission factors'!$K$2:$V$2,0)))*$K245)</f>
        <v/>
      </c>
      <c r="S245" s="157" t="str" cm="1">
        <f t="array" ref="S245">IF(OR($E245="",$I245=""),"",(INDEX('Emission factors'!$K$3:$V$201,MATCH('Buildings - Heat &amp; Fuels'!$E245&amp;$F245,'Emission factors'!$J$3:$J$201&amp;'Emission factors'!$K$3:$K$201,0),MATCH('Buildings - Heat &amp; Fuels'!S$6,'Emission factors'!$K$2:$V$2,0)))*$K245)</f>
        <v/>
      </c>
      <c r="T245" s="157" t="str" cm="1">
        <f t="array" ref="T245">IF(OR($E245="",$I245=""),"",(INDEX('Emission factors'!$K$3:$V$201,MATCH('Buildings - Heat &amp; Fuels'!$E245&amp;$F245,'Emission factors'!$J$3:$J$201&amp;'Emission factors'!$K$3:$K$201,0),MATCH('Buildings - Heat &amp; Fuels'!T$6,'Emission factors'!$K$2:$V$2,0)))*$K245)</f>
        <v/>
      </c>
      <c r="U245" s="157" t="str" cm="1">
        <f t="array" ref="U245">IF(OR($E245="",$I245=""),"",(INDEX('Emission factors'!$K$3:$V$201,MATCH('Buildings - Heat &amp; Fuels'!$E245&amp;$F245,'Emission factors'!$J$3:$J$201&amp;'Emission factors'!$K$3:$K$201,0),MATCH('Buildings - Heat &amp; Fuels'!U$6,'Emission factors'!$K$2:$V$2,0)))*$K245)</f>
        <v/>
      </c>
      <c r="V245" s="158" t="str">
        <f>IF(OR($N245="",BuildingsHeatFuelsTable[[#This Row],[RSD]]=""),"",BuildingsHeatFuelsTable[[#This Row],[Total emissions (kgCO2e)]]*(1+BuildingsHeatFuelsTable[[#This Row],[RSD]]))</f>
        <v/>
      </c>
      <c r="W245" s="159" t="str">
        <f>IF(OR($N245="",BuildingsHeatFuelsTable[[#This Row],[RSD]]=""),"",BuildingsHeatFuelsTable[[#This Row],[Total emissions (kgCO2e)]]*(1-BuildingsHeatFuelsTable[[#This Row],[RSD]]))</f>
        <v/>
      </c>
      <c r="X245" s="169" t="str" cm="1">
        <f t="array" ref="X245">IF(OR($E245="",$I245=""),"",(INDEX('Emission factors'!$K$3:$V$201,MATCH('Buildings - Heat &amp; Fuels'!$E245&amp;$F245,'Emission factors'!$J$3:$J$201&amp;'Emission factors'!$K$3:$K$201,0),MATCH('Buildings - Heat &amp; Fuels'!X$6,'Emission factors'!$K$2:$V$2,0)))*$K245)</f>
        <v/>
      </c>
      <c r="Y245" s="30"/>
      <c r="Z245" s="1" cm="1">
        <f t="array" ref="Z245">IF(OR(ISERROR(B245:X245)),1,0)</f>
        <v>0</v>
      </c>
      <c r="AA245" s="1">
        <f t="shared" ref="AA245:AA300" si="1">IF(AND(E245="",I245="",J245=""),0,1)</f>
        <v>0</v>
      </c>
    </row>
    <row r="246" spans="1:27" ht="15" outlineLevel="1" thickBot="1" x14ac:dyDescent="0.4">
      <c r="A246" s="319"/>
      <c r="B246" s="216"/>
      <c r="C246" s="215"/>
      <c r="D246" s="233" t="str">
        <f>IFERROR(INDEX(BuildingInformationTable[Site type],MATCH(BuildingsHeatFuelsTable[[#This Row],[Site name]],BuildingInformationTable[Site name],0)),"")</f>
        <v/>
      </c>
      <c r="E246" s="72"/>
      <c r="F246" s="72"/>
      <c r="G246" s="72"/>
      <c r="H246" s="98" t="str">
        <f>IF(G246="","",INDEX(Lists!$BA$4:$BC$31,MATCH(E246,Lists!$AZ$4:$AZ$31,0),MATCH(G246,Lists!$BA$3:$BC$3,0)))</f>
        <v/>
      </c>
      <c r="I246" s="70"/>
      <c r="J246" s="72"/>
      <c r="K246" s="75" t="str" cm="1">
        <f t="array" ref="K246">IF(OR($E246="",$D246="",$I246="",$J246=""),"",IF(J246=L246,I246,(INDEX('Emission factors'!$K$3:$V$201,MATCH(E246&amp;F246,'Emission factors'!$J$3:$J$201&amp;'Emission factors'!$K$3:$K$201,0),MATCH(K$6,'Emission factors'!$K$2:$V$2,0)))*I246))</f>
        <v/>
      </c>
      <c r="L246" s="312" t="str">
        <f>IF(OR($E246="",$D246="",$I246="",$J246=""),"",INDEX('Emission factors'!$K$3:$V$201,MATCH('Buildings - Heat &amp; Fuels'!$E246,'Emission factors'!$J$3:$J$201,0),MATCH($L$6,'Emission factors'!$K$2:$V$2,0)))</f>
        <v/>
      </c>
      <c r="M246" s="313" t="str" cm="1">
        <f t="array" ref="M246">IF(OR(E246="",I246="",BuildingsHeatFuelsTable[[#This Row],[Units]]=""),"",INDEX('Emission factors'!$K$3:$V$201,MATCH('Buildings - Heat &amp; Fuels'!$E246&amp;F246,'Emission factors'!$J$3:$J$201&amp;'Emission factors'!$K$3:$K$201,0),MATCH('Buildings - Heat &amp; Fuels'!$M$6,'Emission factors'!$K$2:$V$2,0)))</f>
        <v/>
      </c>
      <c r="N246" s="156" t="str">
        <f>IF(OR(K246="",M246=""),"",SUM(BuildingsHeatFuelsTable[[#This Row],[Direct]:[Indirect WTT]]))</f>
        <v/>
      </c>
      <c r="O246" s="71"/>
      <c r="P246" s="190"/>
      <c r="Q246" s="157" t="str" cm="1">
        <f t="array" ref="Q246">IF(OR($E246="",$I246=""),"",(INDEX('Emission factors'!$K$3:$V$201,MATCH('Buildings - Heat &amp; Fuels'!$E246&amp;$F246,'Emission factors'!$J$3:$J$201&amp;'Emission factors'!$K$3:$K$201,0),MATCH('Buildings - Heat &amp; Fuels'!Q$6,'Emission factors'!$K$2:$V$2,0)))*$K246)</f>
        <v/>
      </c>
      <c r="R246" s="157" t="str" cm="1">
        <f t="array" ref="R246">IF(OR($E246="",$I246=""),"",(INDEX('Emission factors'!$K$3:$V$201,MATCH('Buildings - Heat &amp; Fuels'!$E246&amp;$F246,'Emission factors'!$J$3:$J$201&amp;'Emission factors'!$K$3:$K$201,0),MATCH('Buildings - Heat &amp; Fuels'!R$6,'Emission factors'!$K$2:$V$2,0)))*$K246)</f>
        <v/>
      </c>
      <c r="S246" s="157" t="str" cm="1">
        <f t="array" ref="S246">IF(OR($E246="",$I246=""),"",(INDEX('Emission factors'!$K$3:$V$201,MATCH('Buildings - Heat &amp; Fuels'!$E246&amp;$F246,'Emission factors'!$J$3:$J$201&amp;'Emission factors'!$K$3:$K$201,0),MATCH('Buildings - Heat &amp; Fuels'!S$6,'Emission factors'!$K$2:$V$2,0)))*$K246)</f>
        <v/>
      </c>
      <c r="T246" s="157" t="str" cm="1">
        <f t="array" ref="T246">IF(OR($E246="",$I246=""),"",(INDEX('Emission factors'!$K$3:$V$201,MATCH('Buildings - Heat &amp; Fuels'!$E246&amp;$F246,'Emission factors'!$J$3:$J$201&amp;'Emission factors'!$K$3:$K$201,0),MATCH('Buildings - Heat &amp; Fuels'!T$6,'Emission factors'!$K$2:$V$2,0)))*$K246)</f>
        <v/>
      </c>
      <c r="U246" s="157" t="str" cm="1">
        <f t="array" ref="U246">IF(OR($E246="",$I246=""),"",(INDEX('Emission factors'!$K$3:$V$201,MATCH('Buildings - Heat &amp; Fuels'!$E246&amp;$F246,'Emission factors'!$J$3:$J$201&amp;'Emission factors'!$K$3:$K$201,0),MATCH('Buildings - Heat &amp; Fuels'!U$6,'Emission factors'!$K$2:$V$2,0)))*$K246)</f>
        <v/>
      </c>
      <c r="V246" s="158" t="str">
        <f>IF(OR($N246="",BuildingsHeatFuelsTable[[#This Row],[RSD]]=""),"",BuildingsHeatFuelsTable[[#This Row],[Total emissions (kgCO2e)]]*(1+BuildingsHeatFuelsTable[[#This Row],[RSD]]))</f>
        <v/>
      </c>
      <c r="W246" s="159" t="str">
        <f>IF(OR($N246="",BuildingsHeatFuelsTable[[#This Row],[RSD]]=""),"",BuildingsHeatFuelsTable[[#This Row],[Total emissions (kgCO2e)]]*(1-BuildingsHeatFuelsTable[[#This Row],[RSD]]))</f>
        <v/>
      </c>
      <c r="X246" s="169" t="str" cm="1">
        <f t="array" ref="X246">IF(OR($E246="",$I246=""),"",(INDEX('Emission factors'!$K$3:$V$201,MATCH('Buildings - Heat &amp; Fuels'!$E246&amp;$F246,'Emission factors'!$J$3:$J$201&amp;'Emission factors'!$K$3:$K$201,0),MATCH('Buildings - Heat &amp; Fuels'!X$6,'Emission factors'!$K$2:$V$2,0)))*$K246)</f>
        <v/>
      </c>
      <c r="Y246" s="30"/>
      <c r="Z246" s="1" cm="1">
        <f t="array" ref="Z246">IF(OR(ISERROR(B246:X246)),1,0)</f>
        <v>0</v>
      </c>
      <c r="AA246" s="1">
        <f t="shared" si="1"/>
        <v>0</v>
      </c>
    </row>
    <row r="247" spans="1:27" ht="15" outlineLevel="1" thickBot="1" x14ac:dyDescent="0.4">
      <c r="A247" s="319"/>
      <c r="B247" s="216"/>
      <c r="C247" s="215"/>
      <c r="D247" s="233" t="str">
        <f>IFERROR(INDEX(BuildingInformationTable[Site type],MATCH(BuildingsHeatFuelsTable[[#This Row],[Site name]],BuildingInformationTable[Site name],0)),"")</f>
        <v/>
      </c>
      <c r="E247" s="72"/>
      <c r="F247" s="72"/>
      <c r="G247" s="72"/>
      <c r="H247" s="98" t="str">
        <f>IF(G247="","",INDEX(Lists!$BA$4:$BC$31,MATCH(E247,Lists!$AZ$4:$AZ$31,0),MATCH(G247,Lists!$BA$3:$BC$3,0)))</f>
        <v/>
      </c>
      <c r="I247" s="70"/>
      <c r="J247" s="72"/>
      <c r="K247" s="75" t="str" cm="1">
        <f t="array" ref="K247">IF(OR($E247="",$D247="",$I247="",$J247=""),"",IF(J247=L247,I247,(INDEX('Emission factors'!$K$3:$V$201,MATCH(E247&amp;F247,'Emission factors'!$J$3:$J$201&amp;'Emission factors'!$K$3:$K$201,0),MATCH(K$6,'Emission factors'!$K$2:$V$2,0)))*I247))</f>
        <v/>
      </c>
      <c r="L247" s="312" t="str">
        <f>IF(OR($E247="",$D247="",$I247="",$J247=""),"",INDEX('Emission factors'!$K$3:$V$201,MATCH('Buildings - Heat &amp; Fuels'!$E247,'Emission factors'!$J$3:$J$201,0),MATCH($L$6,'Emission factors'!$K$2:$V$2,0)))</f>
        <v/>
      </c>
      <c r="M247" s="313" t="str" cm="1">
        <f t="array" ref="M247">IF(OR(E247="",I247="",BuildingsHeatFuelsTable[[#This Row],[Units]]=""),"",INDEX('Emission factors'!$K$3:$V$201,MATCH('Buildings - Heat &amp; Fuels'!$E247&amp;F247,'Emission factors'!$J$3:$J$201&amp;'Emission factors'!$K$3:$K$201,0),MATCH('Buildings - Heat &amp; Fuels'!$M$6,'Emission factors'!$K$2:$V$2,0)))</f>
        <v/>
      </c>
      <c r="N247" s="156" t="str">
        <f>IF(OR(K247="",M247=""),"",SUM(BuildingsHeatFuelsTable[[#This Row],[Direct]:[Indirect WTT]]))</f>
        <v/>
      </c>
      <c r="O247" s="71"/>
      <c r="P247" s="190"/>
      <c r="Q247" s="157" t="str" cm="1">
        <f t="array" ref="Q247">IF(OR($E247="",$I247=""),"",(INDEX('Emission factors'!$K$3:$V$201,MATCH('Buildings - Heat &amp; Fuels'!$E247&amp;$F247,'Emission factors'!$J$3:$J$201&amp;'Emission factors'!$K$3:$K$201,0),MATCH('Buildings - Heat &amp; Fuels'!Q$6,'Emission factors'!$K$2:$V$2,0)))*$K247)</f>
        <v/>
      </c>
      <c r="R247" s="157" t="str" cm="1">
        <f t="array" ref="R247">IF(OR($E247="",$I247=""),"",(INDEX('Emission factors'!$K$3:$V$201,MATCH('Buildings - Heat &amp; Fuels'!$E247&amp;$F247,'Emission factors'!$J$3:$J$201&amp;'Emission factors'!$K$3:$K$201,0),MATCH('Buildings - Heat &amp; Fuels'!R$6,'Emission factors'!$K$2:$V$2,0)))*$K247)</f>
        <v/>
      </c>
      <c r="S247" s="157" t="str" cm="1">
        <f t="array" ref="S247">IF(OR($E247="",$I247=""),"",(INDEX('Emission factors'!$K$3:$V$201,MATCH('Buildings - Heat &amp; Fuels'!$E247&amp;$F247,'Emission factors'!$J$3:$J$201&amp;'Emission factors'!$K$3:$K$201,0),MATCH('Buildings - Heat &amp; Fuels'!S$6,'Emission factors'!$K$2:$V$2,0)))*$K247)</f>
        <v/>
      </c>
      <c r="T247" s="157" t="str" cm="1">
        <f t="array" ref="T247">IF(OR($E247="",$I247=""),"",(INDEX('Emission factors'!$K$3:$V$201,MATCH('Buildings - Heat &amp; Fuels'!$E247&amp;$F247,'Emission factors'!$J$3:$J$201&amp;'Emission factors'!$K$3:$K$201,0),MATCH('Buildings - Heat &amp; Fuels'!T$6,'Emission factors'!$K$2:$V$2,0)))*$K247)</f>
        <v/>
      </c>
      <c r="U247" s="157" t="str" cm="1">
        <f t="array" ref="U247">IF(OR($E247="",$I247=""),"",(INDEX('Emission factors'!$K$3:$V$201,MATCH('Buildings - Heat &amp; Fuels'!$E247&amp;$F247,'Emission factors'!$J$3:$J$201&amp;'Emission factors'!$K$3:$K$201,0),MATCH('Buildings - Heat &amp; Fuels'!U$6,'Emission factors'!$K$2:$V$2,0)))*$K247)</f>
        <v/>
      </c>
      <c r="V247" s="158" t="str">
        <f>IF(OR($N247="",BuildingsHeatFuelsTable[[#This Row],[RSD]]=""),"",BuildingsHeatFuelsTable[[#This Row],[Total emissions (kgCO2e)]]*(1+BuildingsHeatFuelsTable[[#This Row],[RSD]]))</f>
        <v/>
      </c>
      <c r="W247" s="159" t="str">
        <f>IF(OR($N247="",BuildingsHeatFuelsTable[[#This Row],[RSD]]=""),"",BuildingsHeatFuelsTable[[#This Row],[Total emissions (kgCO2e)]]*(1-BuildingsHeatFuelsTable[[#This Row],[RSD]]))</f>
        <v/>
      </c>
      <c r="X247" s="169" t="str" cm="1">
        <f t="array" ref="X247">IF(OR($E247="",$I247=""),"",(INDEX('Emission factors'!$K$3:$V$201,MATCH('Buildings - Heat &amp; Fuels'!$E247&amp;$F247,'Emission factors'!$J$3:$J$201&amp;'Emission factors'!$K$3:$K$201,0),MATCH('Buildings - Heat &amp; Fuels'!X$6,'Emission factors'!$K$2:$V$2,0)))*$K247)</f>
        <v/>
      </c>
      <c r="Y247" s="30"/>
      <c r="Z247" s="1" cm="1">
        <f t="array" ref="Z247">IF(OR(ISERROR(B247:X247)),1,0)</f>
        <v>0</v>
      </c>
      <c r="AA247" s="1">
        <f t="shared" si="1"/>
        <v>0</v>
      </c>
    </row>
    <row r="248" spans="1:27" ht="15" outlineLevel="1" thickBot="1" x14ac:dyDescent="0.4">
      <c r="A248" s="319"/>
      <c r="B248" s="216"/>
      <c r="C248" s="215"/>
      <c r="D248" s="233" t="str">
        <f>IFERROR(INDEX(BuildingInformationTable[Site type],MATCH(BuildingsHeatFuelsTable[[#This Row],[Site name]],BuildingInformationTable[Site name],0)),"")</f>
        <v/>
      </c>
      <c r="E248" s="72"/>
      <c r="F248" s="72"/>
      <c r="G248" s="72"/>
      <c r="H248" s="98" t="str">
        <f>IF(G248="","",INDEX(Lists!$BA$4:$BC$31,MATCH(E248,Lists!$AZ$4:$AZ$31,0),MATCH(G248,Lists!$BA$3:$BC$3,0)))</f>
        <v/>
      </c>
      <c r="I248" s="70"/>
      <c r="J248" s="72"/>
      <c r="K248" s="75" t="str" cm="1">
        <f t="array" ref="K248">IF(OR($E248="",$D248="",$I248="",$J248=""),"",IF(J248=L248,I248,(INDEX('Emission factors'!$K$3:$V$201,MATCH(E248&amp;F248,'Emission factors'!$J$3:$J$201&amp;'Emission factors'!$K$3:$K$201,0),MATCH(K$6,'Emission factors'!$K$2:$V$2,0)))*I248))</f>
        <v/>
      </c>
      <c r="L248" s="312" t="str">
        <f>IF(OR($E248="",$D248="",$I248="",$J248=""),"",INDEX('Emission factors'!$K$3:$V$201,MATCH('Buildings - Heat &amp; Fuels'!$E248,'Emission factors'!$J$3:$J$201,0),MATCH($L$6,'Emission factors'!$K$2:$V$2,0)))</f>
        <v/>
      </c>
      <c r="M248" s="313" t="str" cm="1">
        <f t="array" ref="M248">IF(OR(E248="",I248="",BuildingsHeatFuelsTable[[#This Row],[Units]]=""),"",INDEX('Emission factors'!$K$3:$V$201,MATCH('Buildings - Heat &amp; Fuels'!$E248&amp;F248,'Emission factors'!$J$3:$J$201&amp;'Emission factors'!$K$3:$K$201,0),MATCH('Buildings - Heat &amp; Fuels'!$M$6,'Emission factors'!$K$2:$V$2,0)))</f>
        <v/>
      </c>
      <c r="N248" s="156" t="str">
        <f>IF(OR(K248="",M248=""),"",SUM(BuildingsHeatFuelsTable[[#This Row],[Direct]:[Indirect WTT]]))</f>
        <v/>
      </c>
      <c r="O248" s="71"/>
      <c r="P248" s="190"/>
      <c r="Q248" s="157" t="str" cm="1">
        <f t="array" ref="Q248">IF(OR($E248="",$I248=""),"",(INDEX('Emission factors'!$K$3:$V$201,MATCH('Buildings - Heat &amp; Fuels'!$E248&amp;$F248,'Emission factors'!$J$3:$J$201&amp;'Emission factors'!$K$3:$K$201,0),MATCH('Buildings - Heat &amp; Fuels'!Q$6,'Emission factors'!$K$2:$V$2,0)))*$K248)</f>
        <v/>
      </c>
      <c r="R248" s="157" t="str" cm="1">
        <f t="array" ref="R248">IF(OR($E248="",$I248=""),"",(INDEX('Emission factors'!$K$3:$V$201,MATCH('Buildings - Heat &amp; Fuels'!$E248&amp;$F248,'Emission factors'!$J$3:$J$201&amp;'Emission factors'!$K$3:$K$201,0),MATCH('Buildings - Heat &amp; Fuels'!R$6,'Emission factors'!$K$2:$V$2,0)))*$K248)</f>
        <v/>
      </c>
      <c r="S248" s="157" t="str" cm="1">
        <f t="array" ref="S248">IF(OR($E248="",$I248=""),"",(INDEX('Emission factors'!$K$3:$V$201,MATCH('Buildings - Heat &amp; Fuels'!$E248&amp;$F248,'Emission factors'!$J$3:$J$201&amp;'Emission factors'!$K$3:$K$201,0),MATCH('Buildings - Heat &amp; Fuels'!S$6,'Emission factors'!$K$2:$V$2,0)))*$K248)</f>
        <v/>
      </c>
      <c r="T248" s="157" t="str" cm="1">
        <f t="array" ref="T248">IF(OR($E248="",$I248=""),"",(INDEX('Emission factors'!$K$3:$V$201,MATCH('Buildings - Heat &amp; Fuels'!$E248&amp;$F248,'Emission factors'!$J$3:$J$201&amp;'Emission factors'!$K$3:$K$201,0),MATCH('Buildings - Heat &amp; Fuels'!T$6,'Emission factors'!$K$2:$V$2,0)))*$K248)</f>
        <v/>
      </c>
      <c r="U248" s="157" t="str" cm="1">
        <f t="array" ref="U248">IF(OR($E248="",$I248=""),"",(INDEX('Emission factors'!$K$3:$V$201,MATCH('Buildings - Heat &amp; Fuels'!$E248&amp;$F248,'Emission factors'!$J$3:$J$201&amp;'Emission factors'!$K$3:$K$201,0),MATCH('Buildings - Heat &amp; Fuels'!U$6,'Emission factors'!$K$2:$V$2,0)))*$K248)</f>
        <v/>
      </c>
      <c r="V248" s="158" t="str">
        <f>IF(OR($N248="",BuildingsHeatFuelsTable[[#This Row],[RSD]]=""),"",BuildingsHeatFuelsTable[[#This Row],[Total emissions (kgCO2e)]]*(1+BuildingsHeatFuelsTable[[#This Row],[RSD]]))</f>
        <v/>
      </c>
      <c r="W248" s="159" t="str">
        <f>IF(OR($N248="",BuildingsHeatFuelsTable[[#This Row],[RSD]]=""),"",BuildingsHeatFuelsTable[[#This Row],[Total emissions (kgCO2e)]]*(1-BuildingsHeatFuelsTable[[#This Row],[RSD]]))</f>
        <v/>
      </c>
      <c r="X248" s="169" t="str" cm="1">
        <f t="array" ref="X248">IF(OR($E248="",$I248=""),"",(INDEX('Emission factors'!$K$3:$V$201,MATCH('Buildings - Heat &amp; Fuels'!$E248&amp;$F248,'Emission factors'!$J$3:$J$201&amp;'Emission factors'!$K$3:$K$201,0),MATCH('Buildings - Heat &amp; Fuels'!X$6,'Emission factors'!$K$2:$V$2,0)))*$K248)</f>
        <v/>
      </c>
      <c r="Y248" s="30"/>
      <c r="Z248" s="1" cm="1">
        <f t="array" ref="Z248">IF(OR(ISERROR(B248:X248)),1,0)</f>
        <v>0</v>
      </c>
      <c r="AA248" s="1">
        <f t="shared" si="1"/>
        <v>0</v>
      </c>
    </row>
    <row r="249" spans="1:27" ht="15" outlineLevel="1" thickBot="1" x14ac:dyDescent="0.4">
      <c r="A249" s="319"/>
      <c r="B249" s="216"/>
      <c r="C249" s="215"/>
      <c r="D249" s="233" t="str">
        <f>IFERROR(INDEX(BuildingInformationTable[Site type],MATCH(BuildingsHeatFuelsTable[[#This Row],[Site name]],BuildingInformationTable[Site name],0)),"")</f>
        <v/>
      </c>
      <c r="E249" s="72"/>
      <c r="F249" s="72"/>
      <c r="G249" s="72"/>
      <c r="H249" s="98" t="str">
        <f>IF(G249="","",INDEX(Lists!$BA$4:$BC$31,MATCH(E249,Lists!$AZ$4:$AZ$31,0),MATCH(G249,Lists!$BA$3:$BC$3,0)))</f>
        <v/>
      </c>
      <c r="I249" s="70"/>
      <c r="J249" s="72"/>
      <c r="K249" s="75" t="str" cm="1">
        <f t="array" ref="K249">IF(OR($E249="",$D249="",$I249="",$J249=""),"",IF(J249=L249,I249,(INDEX('Emission factors'!$K$3:$V$201,MATCH(E249&amp;F249,'Emission factors'!$J$3:$J$201&amp;'Emission factors'!$K$3:$K$201,0),MATCH(K$6,'Emission factors'!$K$2:$V$2,0)))*I249))</f>
        <v/>
      </c>
      <c r="L249" s="312" t="str">
        <f>IF(OR($E249="",$D249="",$I249="",$J249=""),"",INDEX('Emission factors'!$K$3:$V$201,MATCH('Buildings - Heat &amp; Fuels'!$E249,'Emission factors'!$J$3:$J$201,0),MATCH($L$6,'Emission factors'!$K$2:$V$2,0)))</f>
        <v/>
      </c>
      <c r="M249" s="313" t="str" cm="1">
        <f t="array" ref="M249">IF(OR(E249="",I249="",BuildingsHeatFuelsTable[[#This Row],[Units]]=""),"",INDEX('Emission factors'!$K$3:$V$201,MATCH('Buildings - Heat &amp; Fuels'!$E249&amp;F249,'Emission factors'!$J$3:$J$201&amp;'Emission factors'!$K$3:$K$201,0),MATCH('Buildings - Heat &amp; Fuels'!$M$6,'Emission factors'!$K$2:$V$2,0)))</f>
        <v/>
      </c>
      <c r="N249" s="156" t="str">
        <f>IF(OR(K249="",M249=""),"",SUM(BuildingsHeatFuelsTable[[#This Row],[Direct]:[Indirect WTT]]))</f>
        <v/>
      </c>
      <c r="O249" s="71"/>
      <c r="P249" s="190"/>
      <c r="Q249" s="157" t="str" cm="1">
        <f t="array" ref="Q249">IF(OR($E249="",$I249=""),"",(INDEX('Emission factors'!$K$3:$V$201,MATCH('Buildings - Heat &amp; Fuels'!$E249&amp;$F249,'Emission factors'!$J$3:$J$201&amp;'Emission factors'!$K$3:$K$201,0),MATCH('Buildings - Heat &amp; Fuels'!Q$6,'Emission factors'!$K$2:$V$2,0)))*$K249)</f>
        <v/>
      </c>
      <c r="R249" s="157" t="str" cm="1">
        <f t="array" ref="R249">IF(OR($E249="",$I249=""),"",(INDEX('Emission factors'!$K$3:$V$201,MATCH('Buildings - Heat &amp; Fuels'!$E249&amp;$F249,'Emission factors'!$J$3:$J$201&amp;'Emission factors'!$K$3:$K$201,0),MATCH('Buildings - Heat &amp; Fuels'!R$6,'Emission factors'!$K$2:$V$2,0)))*$K249)</f>
        <v/>
      </c>
      <c r="S249" s="157" t="str" cm="1">
        <f t="array" ref="S249">IF(OR($E249="",$I249=""),"",(INDEX('Emission factors'!$K$3:$V$201,MATCH('Buildings - Heat &amp; Fuels'!$E249&amp;$F249,'Emission factors'!$J$3:$J$201&amp;'Emission factors'!$K$3:$K$201,0),MATCH('Buildings - Heat &amp; Fuels'!S$6,'Emission factors'!$K$2:$V$2,0)))*$K249)</f>
        <v/>
      </c>
      <c r="T249" s="157" t="str" cm="1">
        <f t="array" ref="T249">IF(OR($E249="",$I249=""),"",(INDEX('Emission factors'!$K$3:$V$201,MATCH('Buildings - Heat &amp; Fuels'!$E249&amp;$F249,'Emission factors'!$J$3:$J$201&amp;'Emission factors'!$K$3:$K$201,0),MATCH('Buildings - Heat &amp; Fuels'!T$6,'Emission factors'!$K$2:$V$2,0)))*$K249)</f>
        <v/>
      </c>
      <c r="U249" s="157" t="str" cm="1">
        <f t="array" ref="U249">IF(OR($E249="",$I249=""),"",(INDEX('Emission factors'!$K$3:$V$201,MATCH('Buildings - Heat &amp; Fuels'!$E249&amp;$F249,'Emission factors'!$J$3:$J$201&amp;'Emission factors'!$K$3:$K$201,0),MATCH('Buildings - Heat &amp; Fuels'!U$6,'Emission factors'!$K$2:$V$2,0)))*$K249)</f>
        <v/>
      </c>
      <c r="V249" s="158" t="str">
        <f>IF(OR($N249="",BuildingsHeatFuelsTable[[#This Row],[RSD]]=""),"",BuildingsHeatFuelsTable[[#This Row],[Total emissions (kgCO2e)]]*(1+BuildingsHeatFuelsTable[[#This Row],[RSD]]))</f>
        <v/>
      </c>
      <c r="W249" s="159" t="str">
        <f>IF(OR($N249="",BuildingsHeatFuelsTable[[#This Row],[RSD]]=""),"",BuildingsHeatFuelsTable[[#This Row],[Total emissions (kgCO2e)]]*(1-BuildingsHeatFuelsTable[[#This Row],[RSD]]))</f>
        <v/>
      </c>
      <c r="X249" s="169" t="str" cm="1">
        <f t="array" ref="X249">IF(OR($E249="",$I249=""),"",(INDEX('Emission factors'!$K$3:$V$201,MATCH('Buildings - Heat &amp; Fuels'!$E249&amp;$F249,'Emission factors'!$J$3:$J$201&amp;'Emission factors'!$K$3:$K$201,0),MATCH('Buildings - Heat &amp; Fuels'!X$6,'Emission factors'!$K$2:$V$2,0)))*$K249)</f>
        <v/>
      </c>
      <c r="Y249" s="30"/>
      <c r="Z249" s="1" cm="1">
        <f t="array" ref="Z249">IF(OR(ISERROR(B249:X249)),1,0)</f>
        <v>0</v>
      </c>
      <c r="AA249" s="1">
        <f t="shared" si="1"/>
        <v>0</v>
      </c>
    </row>
    <row r="250" spans="1:27" ht="15" outlineLevel="1" thickBot="1" x14ac:dyDescent="0.4">
      <c r="A250" s="319"/>
      <c r="B250" s="216"/>
      <c r="C250" s="215"/>
      <c r="D250" s="233" t="str">
        <f>IFERROR(INDEX(BuildingInformationTable[Site type],MATCH(BuildingsHeatFuelsTable[[#This Row],[Site name]],BuildingInformationTable[Site name],0)),"")</f>
        <v/>
      </c>
      <c r="E250" s="72"/>
      <c r="F250" s="72"/>
      <c r="G250" s="72"/>
      <c r="H250" s="98" t="str">
        <f>IF(G250="","",INDEX(Lists!$BA$4:$BC$31,MATCH(E250,Lists!$AZ$4:$AZ$31,0),MATCH(G250,Lists!$BA$3:$BC$3,0)))</f>
        <v/>
      </c>
      <c r="I250" s="70"/>
      <c r="J250" s="72"/>
      <c r="K250" s="75" t="str" cm="1">
        <f t="array" ref="K250">IF(OR($E250="",$D250="",$I250="",$J250=""),"",IF(J250=L250,I250,(INDEX('Emission factors'!$K$3:$V$201,MATCH(E250&amp;F250,'Emission factors'!$J$3:$J$201&amp;'Emission factors'!$K$3:$K$201,0),MATCH(K$6,'Emission factors'!$K$2:$V$2,0)))*I250))</f>
        <v/>
      </c>
      <c r="L250" s="312" t="str">
        <f>IF(OR($E250="",$D250="",$I250="",$J250=""),"",INDEX('Emission factors'!$K$3:$V$201,MATCH('Buildings - Heat &amp; Fuels'!$E250,'Emission factors'!$J$3:$J$201,0),MATCH($L$6,'Emission factors'!$K$2:$V$2,0)))</f>
        <v/>
      </c>
      <c r="M250" s="313" t="str" cm="1">
        <f t="array" ref="M250">IF(OR(E250="",I250="",BuildingsHeatFuelsTable[[#This Row],[Units]]=""),"",INDEX('Emission factors'!$K$3:$V$201,MATCH('Buildings - Heat &amp; Fuels'!$E250&amp;F250,'Emission factors'!$J$3:$J$201&amp;'Emission factors'!$K$3:$K$201,0),MATCH('Buildings - Heat &amp; Fuels'!$M$6,'Emission factors'!$K$2:$V$2,0)))</f>
        <v/>
      </c>
      <c r="N250" s="156" t="str">
        <f>IF(OR(K250="",M250=""),"",SUM(BuildingsHeatFuelsTable[[#This Row],[Direct]:[Indirect WTT]]))</f>
        <v/>
      </c>
      <c r="O250" s="71"/>
      <c r="P250" s="190"/>
      <c r="Q250" s="157" t="str" cm="1">
        <f t="array" ref="Q250">IF(OR($E250="",$I250=""),"",(INDEX('Emission factors'!$K$3:$V$201,MATCH('Buildings - Heat &amp; Fuels'!$E250&amp;$F250,'Emission factors'!$J$3:$J$201&amp;'Emission factors'!$K$3:$K$201,0),MATCH('Buildings - Heat &amp; Fuels'!Q$6,'Emission factors'!$K$2:$V$2,0)))*$K250)</f>
        <v/>
      </c>
      <c r="R250" s="157" t="str" cm="1">
        <f t="array" ref="R250">IF(OR($E250="",$I250=""),"",(INDEX('Emission factors'!$K$3:$V$201,MATCH('Buildings - Heat &amp; Fuels'!$E250&amp;$F250,'Emission factors'!$J$3:$J$201&amp;'Emission factors'!$K$3:$K$201,0),MATCH('Buildings - Heat &amp; Fuels'!R$6,'Emission factors'!$K$2:$V$2,0)))*$K250)</f>
        <v/>
      </c>
      <c r="S250" s="157" t="str" cm="1">
        <f t="array" ref="S250">IF(OR($E250="",$I250=""),"",(INDEX('Emission factors'!$K$3:$V$201,MATCH('Buildings - Heat &amp; Fuels'!$E250&amp;$F250,'Emission factors'!$J$3:$J$201&amp;'Emission factors'!$K$3:$K$201,0),MATCH('Buildings - Heat &amp; Fuels'!S$6,'Emission factors'!$K$2:$V$2,0)))*$K250)</f>
        <v/>
      </c>
      <c r="T250" s="157" t="str" cm="1">
        <f t="array" ref="T250">IF(OR($E250="",$I250=""),"",(INDEX('Emission factors'!$K$3:$V$201,MATCH('Buildings - Heat &amp; Fuels'!$E250&amp;$F250,'Emission factors'!$J$3:$J$201&amp;'Emission factors'!$K$3:$K$201,0),MATCH('Buildings - Heat &amp; Fuels'!T$6,'Emission factors'!$K$2:$V$2,0)))*$K250)</f>
        <v/>
      </c>
      <c r="U250" s="157" t="str" cm="1">
        <f t="array" ref="U250">IF(OR($E250="",$I250=""),"",(INDEX('Emission factors'!$K$3:$V$201,MATCH('Buildings - Heat &amp; Fuels'!$E250&amp;$F250,'Emission factors'!$J$3:$J$201&amp;'Emission factors'!$K$3:$K$201,0),MATCH('Buildings - Heat &amp; Fuels'!U$6,'Emission factors'!$K$2:$V$2,0)))*$K250)</f>
        <v/>
      </c>
      <c r="V250" s="158" t="str">
        <f>IF(OR($N250="",BuildingsHeatFuelsTable[[#This Row],[RSD]]=""),"",BuildingsHeatFuelsTable[[#This Row],[Total emissions (kgCO2e)]]*(1+BuildingsHeatFuelsTable[[#This Row],[RSD]]))</f>
        <v/>
      </c>
      <c r="W250" s="159" t="str">
        <f>IF(OR($N250="",BuildingsHeatFuelsTable[[#This Row],[RSD]]=""),"",BuildingsHeatFuelsTable[[#This Row],[Total emissions (kgCO2e)]]*(1-BuildingsHeatFuelsTable[[#This Row],[RSD]]))</f>
        <v/>
      </c>
      <c r="X250" s="169" t="str" cm="1">
        <f t="array" ref="X250">IF(OR($E250="",$I250=""),"",(INDEX('Emission factors'!$K$3:$V$201,MATCH('Buildings - Heat &amp; Fuels'!$E250&amp;$F250,'Emission factors'!$J$3:$J$201&amp;'Emission factors'!$K$3:$K$201,0),MATCH('Buildings - Heat &amp; Fuels'!X$6,'Emission factors'!$K$2:$V$2,0)))*$K250)</f>
        <v/>
      </c>
      <c r="Y250" s="30"/>
      <c r="Z250" s="1" cm="1">
        <f t="array" ref="Z250">IF(OR(ISERROR(B250:X250)),1,0)</f>
        <v>0</v>
      </c>
      <c r="AA250" s="1">
        <f t="shared" si="1"/>
        <v>0</v>
      </c>
    </row>
    <row r="251" spans="1:27" ht="15" outlineLevel="1" thickBot="1" x14ac:dyDescent="0.4">
      <c r="A251" s="319"/>
      <c r="B251" s="216"/>
      <c r="C251" s="215"/>
      <c r="D251" s="233" t="str">
        <f>IFERROR(INDEX(BuildingInformationTable[Site type],MATCH(BuildingsHeatFuelsTable[[#This Row],[Site name]],BuildingInformationTable[Site name],0)),"")</f>
        <v/>
      </c>
      <c r="E251" s="72"/>
      <c r="F251" s="72"/>
      <c r="G251" s="72"/>
      <c r="H251" s="98" t="str">
        <f>IF(G251="","",INDEX(Lists!$BA$4:$BC$31,MATCH(E251,Lists!$AZ$4:$AZ$31,0),MATCH(G251,Lists!$BA$3:$BC$3,0)))</f>
        <v/>
      </c>
      <c r="I251" s="70"/>
      <c r="J251" s="72"/>
      <c r="K251" s="75" t="str" cm="1">
        <f t="array" ref="K251">IF(OR($E251="",$D251="",$I251="",$J251=""),"",IF(J251=L251,I251,(INDEX('Emission factors'!$K$3:$V$201,MATCH(E251&amp;F251,'Emission factors'!$J$3:$J$201&amp;'Emission factors'!$K$3:$K$201,0),MATCH(K$6,'Emission factors'!$K$2:$V$2,0)))*I251))</f>
        <v/>
      </c>
      <c r="L251" s="312" t="str">
        <f>IF(OR($E251="",$D251="",$I251="",$J251=""),"",INDEX('Emission factors'!$K$3:$V$201,MATCH('Buildings - Heat &amp; Fuels'!$E251,'Emission factors'!$J$3:$J$201,0),MATCH($L$6,'Emission factors'!$K$2:$V$2,0)))</f>
        <v/>
      </c>
      <c r="M251" s="313" t="str" cm="1">
        <f t="array" ref="M251">IF(OR(E251="",I251="",BuildingsHeatFuelsTable[[#This Row],[Units]]=""),"",INDEX('Emission factors'!$K$3:$V$201,MATCH('Buildings - Heat &amp; Fuels'!$E251&amp;F251,'Emission factors'!$J$3:$J$201&amp;'Emission factors'!$K$3:$K$201,0),MATCH('Buildings - Heat &amp; Fuels'!$M$6,'Emission factors'!$K$2:$V$2,0)))</f>
        <v/>
      </c>
      <c r="N251" s="156" t="str">
        <f>IF(OR(K251="",M251=""),"",SUM(BuildingsHeatFuelsTable[[#This Row],[Direct]:[Indirect WTT]]))</f>
        <v/>
      </c>
      <c r="O251" s="71"/>
      <c r="P251" s="190"/>
      <c r="Q251" s="157" t="str" cm="1">
        <f t="array" ref="Q251">IF(OR($E251="",$I251=""),"",(INDEX('Emission factors'!$K$3:$V$201,MATCH('Buildings - Heat &amp; Fuels'!$E251&amp;$F251,'Emission factors'!$J$3:$J$201&amp;'Emission factors'!$K$3:$K$201,0),MATCH('Buildings - Heat &amp; Fuels'!Q$6,'Emission factors'!$K$2:$V$2,0)))*$K251)</f>
        <v/>
      </c>
      <c r="R251" s="157" t="str" cm="1">
        <f t="array" ref="R251">IF(OR($E251="",$I251=""),"",(INDEX('Emission factors'!$K$3:$V$201,MATCH('Buildings - Heat &amp; Fuels'!$E251&amp;$F251,'Emission factors'!$J$3:$J$201&amp;'Emission factors'!$K$3:$K$201,0),MATCH('Buildings - Heat &amp; Fuels'!R$6,'Emission factors'!$K$2:$V$2,0)))*$K251)</f>
        <v/>
      </c>
      <c r="S251" s="157" t="str" cm="1">
        <f t="array" ref="S251">IF(OR($E251="",$I251=""),"",(INDEX('Emission factors'!$K$3:$V$201,MATCH('Buildings - Heat &amp; Fuels'!$E251&amp;$F251,'Emission factors'!$J$3:$J$201&amp;'Emission factors'!$K$3:$K$201,0),MATCH('Buildings - Heat &amp; Fuels'!S$6,'Emission factors'!$K$2:$V$2,0)))*$K251)</f>
        <v/>
      </c>
      <c r="T251" s="157" t="str" cm="1">
        <f t="array" ref="T251">IF(OR($E251="",$I251=""),"",(INDEX('Emission factors'!$K$3:$V$201,MATCH('Buildings - Heat &amp; Fuels'!$E251&amp;$F251,'Emission factors'!$J$3:$J$201&amp;'Emission factors'!$K$3:$K$201,0),MATCH('Buildings - Heat &amp; Fuels'!T$6,'Emission factors'!$K$2:$V$2,0)))*$K251)</f>
        <v/>
      </c>
      <c r="U251" s="157" t="str" cm="1">
        <f t="array" ref="U251">IF(OR($E251="",$I251=""),"",(INDEX('Emission factors'!$K$3:$V$201,MATCH('Buildings - Heat &amp; Fuels'!$E251&amp;$F251,'Emission factors'!$J$3:$J$201&amp;'Emission factors'!$K$3:$K$201,0),MATCH('Buildings - Heat &amp; Fuels'!U$6,'Emission factors'!$K$2:$V$2,0)))*$K251)</f>
        <v/>
      </c>
      <c r="V251" s="158" t="str">
        <f>IF(OR($N251="",BuildingsHeatFuelsTable[[#This Row],[RSD]]=""),"",BuildingsHeatFuelsTable[[#This Row],[Total emissions (kgCO2e)]]*(1+BuildingsHeatFuelsTable[[#This Row],[RSD]]))</f>
        <v/>
      </c>
      <c r="W251" s="159" t="str">
        <f>IF(OR($N251="",BuildingsHeatFuelsTable[[#This Row],[RSD]]=""),"",BuildingsHeatFuelsTable[[#This Row],[Total emissions (kgCO2e)]]*(1-BuildingsHeatFuelsTable[[#This Row],[RSD]]))</f>
        <v/>
      </c>
      <c r="X251" s="169" t="str" cm="1">
        <f t="array" ref="X251">IF(OR($E251="",$I251=""),"",(INDEX('Emission factors'!$K$3:$V$201,MATCH('Buildings - Heat &amp; Fuels'!$E251&amp;$F251,'Emission factors'!$J$3:$J$201&amp;'Emission factors'!$K$3:$K$201,0),MATCH('Buildings - Heat &amp; Fuels'!X$6,'Emission factors'!$K$2:$V$2,0)))*$K251)</f>
        <v/>
      </c>
      <c r="Y251" s="30"/>
      <c r="Z251" s="1" cm="1">
        <f t="array" ref="Z251">IF(OR(ISERROR(B251:X251)),1,0)</f>
        <v>0</v>
      </c>
      <c r="AA251" s="1">
        <f t="shared" si="1"/>
        <v>0</v>
      </c>
    </row>
    <row r="252" spans="1:27" ht="15" outlineLevel="1" thickBot="1" x14ac:dyDescent="0.4">
      <c r="A252" s="319"/>
      <c r="B252" s="216"/>
      <c r="C252" s="215"/>
      <c r="D252" s="233" t="str">
        <f>IFERROR(INDEX(BuildingInformationTable[Site type],MATCH(BuildingsHeatFuelsTable[[#This Row],[Site name]],BuildingInformationTable[Site name],0)),"")</f>
        <v/>
      </c>
      <c r="E252" s="72"/>
      <c r="F252" s="72"/>
      <c r="G252" s="72"/>
      <c r="H252" s="98" t="str">
        <f>IF(G252="","",INDEX(Lists!$BA$4:$BC$31,MATCH(E252,Lists!$AZ$4:$AZ$31,0),MATCH(G252,Lists!$BA$3:$BC$3,0)))</f>
        <v/>
      </c>
      <c r="I252" s="70"/>
      <c r="J252" s="72"/>
      <c r="K252" s="75" t="str" cm="1">
        <f t="array" ref="K252">IF(OR($E252="",$D252="",$I252="",$J252=""),"",IF(J252=L252,I252,(INDEX('Emission factors'!$K$3:$V$201,MATCH(E252&amp;F252,'Emission factors'!$J$3:$J$201&amp;'Emission factors'!$K$3:$K$201,0),MATCH(K$6,'Emission factors'!$K$2:$V$2,0)))*I252))</f>
        <v/>
      </c>
      <c r="L252" s="312" t="str">
        <f>IF(OR($E252="",$D252="",$I252="",$J252=""),"",INDEX('Emission factors'!$K$3:$V$201,MATCH('Buildings - Heat &amp; Fuels'!$E252,'Emission factors'!$J$3:$J$201,0),MATCH($L$6,'Emission factors'!$K$2:$V$2,0)))</f>
        <v/>
      </c>
      <c r="M252" s="313" t="str" cm="1">
        <f t="array" ref="M252">IF(OR(E252="",I252="",BuildingsHeatFuelsTable[[#This Row],[Units]]=""),"",INDEX('Emission factors'!$K$3:$V$201,MATCH('Buildings - Heat &amp; Fuels'!$E252&amp;F252,'Emission factors'!$J$3:$J$201&amp;'Emission factors'!$K$3:$K$201,0),MATCH('Buildings - Heat &amp; Fuels'!$M$6,'Emission factors'!$K$2:$V$2,0)))</f>
        <v/>
      </c>
      <c r="N252" s="156" t="str">
        <f>IF(OR(K252="",M252=""),"",SUM(BuildingsHeatFuelsTable[[#This Row],[Direct]:[Indirect WTT]]))</f>
        <v/>
      </c>
      <c r="O252" s="71"/>
      <c r="P252" s="190"/>
      <c r="Q252" s="157" t="str" cm="1">
        <f t="array" ref="Q252">IF(OR($E252="",$I252=""),"",(INDEX('Emission factors'!$K$3:$V$201,MATCH('Buildings - Heat &amp; Fuels'!$E252&amp;$F252,'Emission factors'!$J$3:$J$201&amp;'Emission factors'!$K$3:$K$201,0),MATCH('Buildings - Heat &amp; Fuels'!Q$6,'Emission factors'!$K$2:$V$2,0)))*$K252)</f>
        <v/>
      </c>
      <c r="R252" s="157" t="str" cm="1">
        <f t="array" ref="R252">IF(OR($E252="",$I252=""),"",(INDEX('Emission factors'!$K$3:$V$201,MATCH('Buildings - Heat &amp; Fuels'!$E252&amp;$F252,'Emission factors'!$J$3:$J$201&amp;'Emission factors'!$K$3:$K$201,0),MATCH('Buildings - Heat &amp; Fuels'!R$6,'Emission factors'!$K$2:$V$2,0)))*$K252)</f>
        <v/>
      </c>
      <c r="S252" s="157" t="str" cm="1">
        <f t="array" ref="S252">IF(OR($E252="",$I252=""),"",(INDEX('Emission factors'!$K$3:$V$201,MATCH('Buildings - Heat &amp; Fuels'!$E252&amp;$F252,'Emission factors'!$J$3:$J$201&amp;'Emission factors'!$K$3:$K$201,0),MATCH('Buildings - Heat &amp; Fuels'!S$6,'Emission factors'!$K$2:$V$2,0)))*$K252)</f>
        <v/>
      </c>
      <c r="T252" s="157" t="str" cm="1">
        <f t="array" ref="T252">IF(OR($E252="",$I252=""),"",(INDEX('Emission factors'!$K$3:$V$201,MATCH('Buildings - Heat &amp; Fuels'!$E252&amp;$F252,'Emission factors'!$J$3:$J$201&amp;'Emission factors'!$K$3:$K$201,0),MATCH('Buildings - Heat &amp; Fuels'!T$6,'Emission factors'!$K$2:$V$2,0)))*$K252)</f>
        <v/>
      </c>
      <c r="U252" s="157" t="str" cm="1">
        <f t="array" ref="U252">IF(OR($E252="",$I252=""),"",(INDEX('Emission factors'!$K$3:$V$201,MATCH('Buildings - Heat &amp; Fuels'!$E252&amp;$F252,'Emission factors'!$J$3:$J$201&amp;'Emission factors'!$K$3:$K$201,0),MATCH('Buildings - Heat &amp; Fuels'!U$6,'Emission factors'!$K$2:$V$2,0)))*$K252)</f>
        <v/>
      </c>
      <c r="V252" s="158" t="str">
        <f>IF(OR($N252="",BuildingsHeatFuelsTable[[#This Row],[RSD]]=""),"",BuildingsHeatFuelsTable[[#This Row],[Total emissions (kgCO2e)]]*(1+BuildingsHeatFuelsTable[[#This Row],[RSD]]))</f>
        <v/>
      </c>
      <c r="W252" s="159" t="str">
        <f>IF(OR($N252="",BuildingsHeatFuelsTable[[#This Row],[RSD]]=""),"",BuildingsHeatFuelsTable[[#This Row],[Total emissions (kgCO2e)]]*(1-BuildingsHeatFuelsTable[[#This Row],[RSD]]))</f>
        <v/>
      </c>
      <c r="X252" s="169" t="str" cm="1">
        <f t="array" ref="X252">IF(OR($E252="",$I252=""),"",(INDEX('Emission factors'!$K$3:$V$201,MATCH('Buildings - Heat &amp; Fuels'!$E252&amp;$F252,'Emission factors'!$J$3:$J$201&amp;'Emission factors'!$K$3:$K$201,0),MATCH('Buildings - Heat &amp; Fuels'!X$6,'Emission factors'!$K$2:$V$2,0)))*$K252)</f>
        <v/>
      </c>
      <c r="Y252" s="30"/>
      <c r="Z252" s="1" cm="1">
        <f t="array" ref="Z252">IF(OR(ISERROR(B252:X252)),1,0)</f>
        <v>0</v>
      </c>
      <c r="AA252" s="1">
        <f t="shared" si="1"/>
        <v>0</v>
      </c>
    </row>
    <row r="253" spans="1:27" ht="15" outlineLevel="1" thickBot="1" x14ac:dyDescent="0.4">
      <c r="A253" s="319"/>
      <c r="B253" s="216"/>
      <c r="C253" s="215"/>
      <c r="D253" s="233" t="str">
        <f>IFERROR(INDEX(BuildingInformationTable[Site type],MATCH(BuildingsHeatFuelsTable[[#This Row],[Site name]],BuildingInformationTable[Site name],0)),"")</f>
        <v/>
      </c>
      <c r="E253" s="72"/>
      <c r="F253" s="72"/>
      <c r="G253" s="72"/>
      <c r="H253" s="98" t="str">
        <f>IF(G253="","",INDEX(Lists!$BA$4:$BC$31,MATCH(E253,Lists!$AZ$4:$AZ$31,0),MATCH(G253,Lists!$BA$3:$BC$3,0)))</f>
        <v/>
      </c>
      <c r="I253" s="70"/>
      <c r="J253" s="72"/>
      <c r="K253" s="75" t="str" cm="1">
        <f t="array" ref="K253">IF(OR($E253="",$D253="",$I253="",$J253=""),"",IF(J253=L253,I253,(INDEX('Emission factors'!$K$3:$V$201,MATCH(E253&amp;F253,'Emission factors'!$J$3:$J$201&amp;'Emission factors'!$K$3:$K$201,0),MATCH(K$6,'Emission factors'!$K$2:$V$2,0)))*I253))</f>
        <v/>
      </c>
      <c r="L253" s="312" t="str">
        <f>IF(OR($E253="",$D253="",$I253="",$J253=""),"",INDEX('Emission factors'!$K$3:$V$201,MATCH('Buildings - Heat &amp; Fuels'!$E253,'Emission factors'!$J$3:$J$201,0),MATCH($L$6,'Emission factors'!$K$2:$V$2,0)))</f>
        <v/>
      </c>
      <c r="M253" s="313" t="str" cm="1">
        <f t="array" ref="M253">IF(OR(E253="",I253="",BuildingsHeatFuelsTable[[#This Row],[Units]]=""),"",INDEX('Emission factors'!$K$3:$V$201,MATCH('Buildings - Heat &amp; Fuels'!$E253&amp;F253,'Emission factors'!$J$3:$J$201&amp;'Emission factors'!$K$3:$K$201,0),MATCH('Buildings - Heat &amp; Fuels'!$M$6,'Emission factors'!$K$2:$V$2,0)))</f>
        <v/>
      </c>
      <c r="N253" s="156" t="str">
        <f>IF(OR(K253="",M253=""),"",SUM(BuildingsHeatFuelsTable[[#This Row],[Direct]:[Indirect WTT]]))</f>
        <v/>
      </c>
      <c r="O253" s="71"/>
      <c r="P253" s="190"/>
      <c r="Q253" s="157" t="str" cm="1">
        <f t="array" ref="Q253">IF(OR($E253="",$I253=""),"",(INDEX('Emission factors'!$K$3:$V$201,MATCH('Buildings - Heat &amp; Fuels'!$E253&amp;$F253,'Emission factors'!$J$3:$J$201&amp;'Emission factors'!$K$3:$K$201,0),MATCH('Buildings - Heat &amp; Fuels'!Q$6,'Emission factors'!$K$2:$V$2,0)))*$K253)</f>
        <v/>
      </c>
      <c r="R253" s="157" t="str" cm="1">
        <f t="array" ref="R253">IF(OR($E253="",$I253=""),"",(INDEX('Emission factors'!$K$3:$V$201,MATCH('Buildings - Heat &amp; Fuels'!$E253&amp;$F253,'Emission factors'!$J$3:$J$201&amp;'Emission factors'!$K$3:$K$201,0),MATCH('Buildings - Heat &amp; Fuels'!R$6,'Emission factors'!$K$2:$V$2,0)))*$K253)</f>
        <v/>
      </c>
      <c r="S253" s="157" t="str" cm="1">
        <f t="array" ref="S253">IF(OR($E253="",$I253=""),"",(INDEX('Emission factors'!$K$3:$V$201,MATCH('Buildings - Heat &amp; Fuels'!$E253&amp;$F253,'Emission factors'!$J$3:$J$201&amp;'Emission factors'!$K$3:$K$201,0),MATCH('Buildings - Heat &amp; Fuels'!S$6,'Emission factors'!$K$2:$V$2,0)))*$K253)</f>
        <v/>
      </c>
      <c r="T253" s="157" t="str" cm="1">
        <f t="array" ref="T253">IF(OR($E253="",$I253=""),"",(INDEX('Emission factors'!$K$3:$V$201,MATCH('Buildings - Heat &amp; Fuels'!$E253&amp;$F253,'Emission factors'!$J$3:$J$201&amp;'Emission factors'!$K$3:$K$201,0),MATCH('Buildings - Heat &amp; Fuels'!T$6,'Emission factors'!$K$2:$V$2,0)))*$K253)</f>
        <v/>
      </c>
      <c r="U253" s="157" t="str" cm="1">
        <f t="array" ref="U253">IF(OR($E253="",$I253=""),"",(INDEX('Emission factors'!$K$3:$V$201,MATCH('Buildings - Heat &amp; Fuels'!$E253&amp;$F253,'Emission factors'!$J$3:$J$201&amp;'Emission factors'!$K$3:$K$201,0),MATCH('Buildings - Heat &amp; Fuels'!U$6,'Emission factors'!$K$2:$V$2,0)))*$K253)</f>
        <v/>
      </c>
      <c r="V253" s="158" t="str">
        <f>IF(OR($N253="",BuildingsHeatFuelsTable[[#This Row],[RSD]]=""),"",BuildingsHeatFuelsTable[[#This Row],[Total emissions (kgCO2e)]]*(1+BuildingsHeatFuelsTable[[#This Row],[RSD]]))</f>
        <v/>
      </c>
      <c r="W253" s="159" t="str">
        <f>IF(OR($N253="",BuildingsHeatFuelsTable[[#This Row],[RSD]]=""),"",BuildingsHeatFuelsTable[[#This Row],[Total emissions (kgCO2e)]]*(1-BuildingsHeatFuelsTable[[#This Row],[RSD]]))</f>
        <v/>
      </c>
      <c r="X253" s="169" t="str" cm="1">
        <f t="array" ref="X253">IF(OR($E253="",$I253=""),"",(INDEX('Emission factors'!$K$3:$V$201,MATCH('Buildings - Heat &amp; Fuels'!$E253&amp;$F253,'Emission factors'!$J$3:$J$201&amp;'Emission factors'!$K$3:$K$201,0),MATCH('Buildings - Heat &amp; Fuels'!X$6,'Emission factors'!$K$2:$V$2,0)))*$K253)</f>
        <v/>
      </c>
      <c r="Y253" s="30"/>
      <c r="Z253" s="1" cm="1">
        <f t="array" ref="Z253">IF(OR(ISERROR(B253:X253)),1,0)</f>
        <v>0</v>
      </c>
      <c r="AA253" s="1">
        <f t="shared" si="1"/>
        <v>0</v>
      </c>
    </row>
    <row r="254" spans="1:27" ht="15" outlineLevel="1" thickBot="1" x14ac:dyDescent="0.4">
      <c r="A254" s="319"/>
      <c r="B254" s="216"/>
      <c r="C254" s="215"/>
      <c r="D254" s="233" t="str">
        <f>IFERROR(INDEX(BuildingInformationTable[Site type],MATCH(BuildingsHeatFuelsTable[[#This Row],[Site name]],BuildingInformationTable[Site name],0)),"")</f>
        <v/>
      </c>
      <c r="E254" s="72"/>
      <c r="F254" s="72"/>
      <c r="G254" s="72"/>
      <c r="H254" s="98" t="str">
        <f>IF(G254="","",INDEX(Lists!$BA$4:$BC$31,MATCH(E254,Lists!$AZ$4:$AZ$31,0),MATCH(G254,Lists!$BA$3:$BC$3,0)))</f>
        <v/>
      </c>
      <c r="I254" s="70"/>
      <c r="J254" s="72"/>
      <c r="K254" s="75" t="str" cm="1">
        <f t="array" ref="K254">IF(OR($E254="",$D254="",$I254="",$J254=""),"",IF(J254=L254,I254,(INDEX('Emission factors'!$K$3:$V$201,MATCH(E254&amp;F254,'Emission factors'!$J$3:$J$201&amp;'Emission factors'!$K$3:$K$201,0),MATCH(K$6,'Emission factors'!$K$2:$V$2,0)))*I254))</f>
        <v/>
      </c>
      <c r="L254" s="312" t="str">
        <f>IF(OR($E254="",$D254="",$I254="",$J254=""),"",INDEX('Emission factors'!$K$3:$V$201,MATCH('Buildings - Heat &amp; Fuels'!$E254,'Emission factors'!$J$3:$J$201,0),MATCH($L$6,'Emission factors'!$K$2:$V$2,0)))</f>
        <v/>
      </c>
      <c r="M254" s="313" t="str" cm="1">
        <f t="array" ref="M254">IF(OR(E254="",I254="",BuildingsHeatFuelsTable[[#This Row],[Units]]=""),"",INDEX('Emission factors'!$K$3:$V$201,MATCH('Buildings - Heat &amp; Fuels'!$E254&amp;F254,'Emission factors'!$J$3:$J$201&amp;'Emission factors'!$K$3:$K$201,0),MATCH('Buildings - Heat &amp; Fuels'!$M$6,'Emission factors'!$K$2:$V$2,0)))</f>
        <v/>
      </c>
      <c r="N254" s="156" t="str">
        <f>IF(OR(K254="",M254=""),"",SUM(BuildingsHeatFuelsTable[[#This Row],[Direct]:[Indirect WTT]]))</f>
        <v/>
      </c>
      <c r="O254" s="71"/>
      <c r="P254" s="190"/>
      <c r="Q254" s="157" t="str" cm="1">
        <f t="array" ref="Q254">IF(OR($E254="",$I254=""),"",(INDEX('Emission factors'!$K$3:$V$201,MATCH('Buildings - Heat &amp; Fuels'!$E254&amp;$F254,'Emission factors'!$J$3:$J$201&amp;'Emission factors'!$K$3:$K$201,0),MATCH('Buildings - Heat &amp; Fuels'!Q$6,'Emission factors'!$K$2:$V$2,0)))*$K254)</f>
        <v/>
      </c>
      <c r="R254" s="157" t="str" cm="1">
        <f t="array" ref="R254">IF(OR($E254="",$I254=""),"",(INDEX('Emission factors'!$K$3:$V$201,MATCH('Buildings - Heat &amp; Fuels'!$E254&amp;$F254,'Emission factors'!$J$3:$J$201&amp;'Emission factors'!$K$3:$K$201,0),MATCH('Buildings - Heat &amp; Fuels'!R$6,'Emission factors'!$K$2:$V$2,0)))*$K254)</f>
        <v/>
      </c>
      <c r="S254" s="157" t="str" cm="1">
        <f t="array" ref="S254">IF(OR($E254="",$I254=""),"",(INDEX('Emission factors'!$K$3:$V$201,MATCH('Buildings - Heat &amp; Fuels'!$E254&amp;$F254,'Emission factors'!$J$3:$J$201&amp;'Emission factors'!$K$3:$K$201,0),MATCH('Buildings - Heat &amp; Fuels'!S$6,'Emission factors'!$K$2:$V$2,0)))*$K254)</f>
        <v/>
      </c>
      <c r="T254" s="157" t="str" cm="1">
        <f t="array" ref="T254">IF(OR($E254="",$I254=""),"",(INDEX('Emission factors'!$K$3:$V$201,MATCH('Buildings - Heat &amp; Fuels'!$E254&amp;$F254,'Emission factors'!$J$3:$J$201&amp;'Emission factors'!$K$3:$K$201,0),MATCH('Buildings - Heat &amp; Fuels'!T$6,'Emission factors'!$K$2:$V$2,0)))*$K254)</f>
        <v/>
      </c>
      <c r="U254" s="157" t="str" cm="1">
        <f t="array" ref="U254">IF(OR($E254="",$I254=""),"",(INDEX('Emission factors'!$K$3:$V$201,MATCH('Buildings - Heat &amp; Fuels'!$E254&amp;$F254,'Emission factors'!$J$3:$J$201&amp;'Emission factors'!$K$3:$K$201,0),MATCH('Buildings - Heat &amp; Fuels'!U$6,'Emission factors'!$K$2:$V$2,0)))*$K254)</f>
        <v/>
      </c>
      <c r="V254" s="158" t="str">
        <f>IF(OR($N254="",BuildingsHeatFuelsTable[[#This Row],[RSD]]=""),"",BuildingsHeatFuelsTable[[#This Row],[Total emissions (kgCO2e)]]*(1+BuildingsHeatFuelsTable[[#This Row],[RSD]]))</f>
        <v/>
      </c>
      <c r="W254" s="159" t="str">
        <f>IF(OR($N254="",BuildingsHeatFuelsTable[[#This Row],[RSD]]=""),"",BuildingsHeatFuelsTable[[#This Row],[Total emissions (kgCO2e)]]*(1-BuildingsHeatFuelsTable[[#This Row],[RSD]]))</f>
        <v/>
      </c>
      <c r="X254" s="169" t="str" cm="1">
        <f t="array" ref="X254">IF(OR($E254="",$I254=""),"",(INDEX('Emission factors'!$K$3:$V$201,MATCH('Buildings - Heat &amp; Fuels'!$E254&amp;$F254,'Emission factors'!$J$3:$J$201&amp;'Emission factors'!$K$3:$K$201,0),MATCH('Buildings - Heat &amp; Fuels'!X$6,'Emission factors'!$K$2:$V$2,0)))*$K254)</f>
        <v/>
      </c>
      <c r="Y254" s="30"/>
      <c r="Z254" s="1" cm="1">
        <f t="array" ref="Z254">IF(OR(ISERROR(B254:X254)),1,0)</f>
        <v>0</v>
      </c>
      <c r="AA254" s="1">
        <f t="shared" si="1"/>
        <v>0</v>
      </c>
    </row>
    <row r="255" spans="1:27" ht="15" outlineLevel="1" thickBot="1" x14ac:dyDescent="0.4">
      <c r="A255" s="319"/>
      <c r="B255" s="216"/>
      <c r="C255" s="215"/>
      <c r="D255" s="233" t="str">
        <f>IFERROR(INDEX(BuildingInformationTable[Site type],MATCH(BuildingsHeatFuelsTable[[#This Row],[Site name]],BuildingInformationTable[Site name],0)),"")</f>
        <v/>
      </c>
      <c r="E255" s="72"/>
      <c r="F255" s="72"/>
      <c r="G255" s="72"/>
      <c r="H255" s="98" t="str">
        <f>IF(G255="","",INDEX(Lists!$BA$4:$BC$31,MATCH(E255,Lists!$AZ$4:$AZ$31,0),MATCH(G255,Lists!$BA$3:$BC$3,0)))</f>
        <v/>
      </c>
      <c r="I255" s="70"/>
      <c r="J255" s="72"/>
      <c r="K255" s="75" t="str" cm="1">
        <f t="array" ref="K255">IF(OR($E255="",$D255="",$I255="",$J255=""),"",IF(J255=L255,I255,(INDEX('Emission factors'!$K$3:$V$201,MATCH(E255&amp;F255,'Emission factors'!$J$3:$J$201&amp;'Emission factors'!$K$3:$K$201,0),MATCH(K$6,'Emission factors'!$K$2:$V$2,0)))*I255))</f>
        <v/>
      </c>
      <c r="L255" s="312" t="str">
        <f>IF(OR($E255="",$D255="",$I255="",$J255=""),"",INDEX('Emission factors'!$K$3:$V$201,MATCH('Buildings - Heat &amp; Fuels'!$E255,'Emission factors'!$J$3:$J$201,0),MATCH($L$6,'Emission factors'!$K$2:$V$2,0)))</f>
        <v/>
      </c>
      <c r="M255" s="313" t="str" cm="1">
        <f t="array" ref="M255">IF(OR(E255="",I255="",BuildingsHeatFuelsTable[[#This Row],[Units]]=""),"",INDEX('Emission factors'!$K$3:$V$201,MATCH('Buildings - Heat &amp; Fuels'!$E255&amp;F255,'Emission factors'!$J$3:$J$201&amp;'Emission factors'!$K$3:$K$201,0),MATCH('Buildings - Heat &amp; Fuels'!$M$6,'Emission factors'!$K$2:$V$2,0)))</f>
        <v/>
      </c>
      <c r="N255" s="156" t="str">
        <f>IF(OR(K255="",M255=""),"",SUM(BuildingsHeatFuelsTable[[#This Row],[Direct]:[Indirect WTT]]))</f>
        <v/>
      </c>
      <c r="O255" s="71"/>
      <c r="P255" s="190"/>
      <c r="Q255" s="157" t="str" cm="1">
        <f t="array" ref="Q255">IF(OR($E255="",$I255=""),"",(INDEX('Emission factors'!$K$3:$V$201,MATCH('Buildings - Heat &amp; Fuels'!$E255&amp;$F255,'Emission factors'!$J$3:$J$201&amp;'Emission factors'!$K$3:$K$201,0),MATCH('Buildings - Heat &amp; Fuels'!Q$6,'Emission factors'!$K$2:$V$2,0)))*$K255)</f>
        <v/>
      </c>
      <c r="R255" s="157" t="str" cm="1">
        <f t="array" ref="R255">IF(OR($E255="",$I255=""),"",(INDEX('Emission factors'!$K$3:$V$201,MATCH('Buildings - Heat &amp; Fuels'!$E255&amp;$F255,'Emission factors'!$J$3:$J$201&amp;'Emission factors'!$K$3:$K$201,0),MATCH('Buildings - Heat &amp; Fuels'!R$6,'Emission factors'!$K$2:$V$2,0)))*$K255)</f>
        <v/>
      </c>
      <c r="S255" s="157" t="str" cm="1">
        <f t="array" ref="S255">IF(OR($E255="",$I255=""),"",(INDEX('Emission factors'!$K$3:$V$201,MATCH('Buildings - Heat &amp; Fuels'!$E255&amp;$F255,'Emission factors'!$J$3:$J$201&amp;'Emission factors'!$K$3:$K$201,0),MATCH('Buildings - Heat &amp; Fuels'!S$6,'Emission factors'!$K$2:$V$2,0)))*$K255)</f>
        <v/>
      </c>
      <c r="T255" s="157" t="str" cm="1">
        <f t="array" ref="T255">IF(OR($E255="",$I255=""),"",(INDEX('Emission factors'!$K$3:$V$201,MATCH('Buildings - Heat &amp; Fuels'!$E255&amp;$F255,'Emission factors'!$J$3:$J$201&amp;'Emission factors'!$K$3:$K$201,0),MATCH('Buildings - Heat &amp; Fuels'!T$6,'Emission factors'!$K$2:$V$2,0)))*$K255)</f>
        <v/>
      </c>
      <c r="U255" s="157" t="str" cm="1">
        <f t="array" ref="U255">IF(OR($E255="",$I255=""),"",(INDEX('Emission factors'!$K$3:$V$201,MATCH('Buildings - Heat &amp; Fuels'!$E255&amp;$F255,'Emission factors'!$J$3:$J$201&amp;'Emission factors'!$K$3:$K$201,0),MATCH('Buildings - Heat &amp; Fuels'!U$6,'Emission factors'!$K$2:$V$2,0)))*$K255)</f>
        <v/>
      </c>
      <c r="V255" s="158" t="str">
        <f>IF(OR($N255="",BuildingsHeatFuelsTable[[#This Row],[RSD]]=""),"",BuildingsHeatFuelsTable[[#This Row],[Total emissions (kgCO2e)]]*(1+BuildingsHeatFuelsTable[[#This Row],[RSD]]))</f>
        <v/>
      </c>
      <c r="W255" s="159" t="str">
        <f>IF(OR($N255="",BuildingsHeatFuelsTable[[#This Row],[RSD]]=""),"",BuildingsHeatFuelsTable[[#This Row],[Total emissions (kgCO2e)]]*(1-BuildingsHeatFuelsTable[[#This Row],[RSD]]))</f>
        <v/>
      </c>
      <c r="X255" s="169" t="str" cm="1">
        <f t="array" ref="X255">IF(OR($E255="",$I255=""),"",(INDEX('Emission factors'!$K$3:$V$201,MATCH('Buildings - Heat &amp; Fuels'!$E255&amp;$F255,'Emission factors'!$J$3:$J$201&amp;'Emission factors'!$K$3:$K$201,0),MATCH('Buildings - Heat &amp; Fuels'!X$6,'Emission factors'!$K$2:$V$2,0)))*$K255)</f>
        <v/>
      </c>
      <c r="Y255" s="30"/>
      <c r="Z255" s="1" cm="1">
        <f t="array" ref="Z255">IF(OR(ISERROR(B255:X255)),1,0)</f>
        <v>0</v>
      </c>
      <c r="AA255" s="1">
        <f t="shared" si="1"/>
        <v>0</v>
      </c>
    </row>
    <row r="256" spans="1:27" ht="15" outlineLevel="1" thickBot="1" x14ac:dyDescent="0.4">
      <c r="A256" s="319"/>
      <c r="B256" s="216"/>
      <c r="C256" s="215"/>
      <c r="D256" s="233" t="str">
        <f>IFERROR(INDEX(BuildingInformationTable[Site type],MATCH(BuildingsHeatFuelsTable[[#This Row],[Site name]],BuildingInformationTable[Site name],0)),"")</f>
        <v/>
      </c>
      <c r="E256" s="72"/>
      <c r="F256" s="72"/>
      <c r="G256" s="72"/>
      <c r="H256" s="98" t="str">
        <f>IF(G256="","",INDEX(Lists!$BA$4:$BC$31,MATCH(E256,Lists!$AZ$4:$AZ$31,0),MATCH(G256,Lists!$BA$3:$BC$3,0)))</f>
        <v/>
      </c>
      <c r="I256" s="70"/>
      <c r="J256" s="72"/>
      <c r="K256" s="75" t="str" cm="1">
        <f t="array" ref="K256">IF(OR($E256="",$D256="",$I256="",$J256=""),"",IF(J256=L256,I256,(INDEX('Emission factors'!$K$3:$V$201,MATCH(E256&amp;F256,'Emission factors'!$J$3:$J$201&amp;'Emission factors'!$K$3:$K$201,0),MATCH(K$6,'Emission factors'!$K$2:$V$2,0)))*I256))</f>
        <v/>
      </c>
      <c r="L256" s="312" t="str">
        <f>IF(OR($E256="",$D256="",$I256="",$J256=""),"",INDEX('Emission factors'!$K$3:$V$201,MATCH('Buildings - Heat &amp; Fuels'!$E256,'Emission factors'!$J$3:$J$201,0),MATCH($L$6,'Emission factors'!$K$2:$V$2,0)))</f>
        <v/>
      </c>
      <c r="M256" s="313" t="str" cm="1">
        <f t="array" ref="M256">IF(OR(E256="",I256="",BuildingsHeatFuelsTable[[#This Row],[Units]]=""),"",INDEX('Emission factors'!$K$3:$V$201,MATCH('Buildings - Heat &amp; Fuels'!$E256&amp;F256,'Emission factors'!$J$3:$J$201&amp;'Emission factors'!$K$3:$K$201,0),MATCH('Buildings - Heat &amp; Fuels'!$M$6,'Emission factors'!$K$2:$V$2,0)))</f>
        <v/>
      </c>
      <c r="N256" s="156" t="str">
        <f>IF(OR(K256="",M256=""),"",SUM(BuildingsHeatFuelsTable[[#This Row],[Direct]:[Indirect WTT]]))</f>
        <v/>
      </c>
      <c r="O256" s="71"/>
      <c r="P256" s="190"/>
      <c r="Q256" s="157" t="str" cm="1">
        <f t="array" ref="Q256">IF(OR($E256="",$I256=""),"",(INDEX('Emission factors'!$K$3:$V$201,MATCH('Buildings - Heat &amp; Fuels'!$E256&amp;$F256,'Emission factors'!$J$3:$J$201&amp;'Emission factors'!$K$3:$K$201,0),MATCH('Buildings - Heat &amp; Fuels'!Q$6,'Emission factors'!$K$2:$V$2,0)))*$K256)</f>
        <v/>
      </c>
      <c r="R256" s="157" t="str" cm="1">
        <f t="array" ref="R256">IF(OR($E256="",$I256=""),"",(INDEX('Emission factors'!$K$3:$V$201,MATCH('Buildings - Heat &amp; Fuels'!$E256&amp;$F256,'Emission factors'!$J$3:$J$201&amp;'Emission factors'!$K$3:$K$201,0),MATCH('Buildings - Heat &amp; Fuels'!R$6,'Emission factors'!$K$2:$V$2,0)))*$K256)</f>
        <v/>
      </c>
      <c r="S256" s="157" t="str" cm="1">
        <f t="array" ref="S256">IF(OR($E256="",$I256=""),"",(INDEX('Emission factors'!$K$3:$V$201,MATCH('Buildings - Heat &amp; Fuels'!$E256&amp;$F256,'Emission factors'!$J$3:$J$201&amp;'Emission factors'!$K$3:$K$201,0),MATCH('Buildings - Heat &amp; Fuels'!S$6,'Emission factors'!$K$2:$V$2,0)))*$K256)</f>
        <v/>
      </c>
      <c r="T256" s="157" t="str" cm="1">
        <f t="array" ref="T256">IF(OR($E256="",$I256=""),"",(INDEX('Emission factors'!$K$3:$V$201,MATCH('Buildings - Heat &amp; Fuels'!$E256&amp;$F256,'Emission factors'!$J$3:$J$201&amp;'Emission factors'!$K$3:$K$201,0),MATCH('Buildings - Heat &amp; Fuels'!T$6,'Emission factors'!$K$2:$V$2,0)))*$K256)</f>
        <v/>
      </c>
      <c r="U256" s="157" t="str" cm="1">
        <f t="array" ref="U256">IF(OR($E256="",$I256=""),"",(INDEX('Emission factors'!$K$3:$V$201,MATCH('Buildings - Heat &amp; Fuels'!$E256&amp;$F256,'Emission factors'!$J$3:$J$201&amp;'Emission factors'!$K$3:$K$201,0),MATCH('Buildings - Heat &amp; Fuels'!U$6,'Emission factors'!$K$2:$V$2,0)))*$K256)</f>
        <v/>
      </c>
      <c r="V256" s="158" t="str">
        <f>IF(OR($N256="",BuildingsHeatFuelsTable[[#This Row],[RSD]]=""),"",BuildingsHeatFuelsTable[[#This Row],[Total emissions (kgCO2e)]]*(1+BuildingsHeatFuelsTable[[#This Row],[RSD]]))</f>
        <v/>
      </c>
      <c r="W256" s="159" t="str">
        <f>IF(OR($N256="",BuildingsHeatFuelsTable[[#This Row],[RSD]]=""),"",BuildingsHeatFuelsTable[[#This Row],[Total emissions (kgCO2e)]]*(1-BuildingsHeatFuelsTable[[#This Row],[RSD]]))</f>
        <v/>
      </c>
      <c r="X256" s="169" t="str" cm="1">
        <f t="array" ref="X256">IF(OR($E256="",$I256=""),"",(INDEX('Emission factors'!$K$3:$V$201,MATCH('Buildings - Heat &amp; Fuels'!$E256&amp;$F256,'Emission factors'!$J$3:$J$201&amp;'Emission factors'!$K$3:$K$201,0),MATCH('Buildings - Heat &amp; Fuels'!X$6,'Emission factors'!$K$2:$V$2,0)))*$K256)</f>
        <v/>
      </c>
      <c r="Y256" s="30"/>
      <c r="Z256" s="1" cm="1">
        <f t="array" ref="Z256">IF(OR(ISERROR(B256:X256)),1,0)</f>
        <v>0</v>
      </c>
      <c r="AA256" s="1">
        <f t="shared" si="1"/>
        <v>0</v>
      </c>
    </row>
    <row r="257" spans="1:27" ht="15" outlineLevel="1" thickBot="1" x14ac:dyDescent="0.4">
      <c r="A257" s="319"/>
      <c r="B257" s="216"/>
      <c r="C257" s="215"/>
      <c r="D257" s="233" t="str">
        <f>IFERROR(INDEX(BuildingInformationTable[Site type],MATCH(BuildingsHeatFuelsTable[[#This Row],[Site name]],BuildingInformationTable[Site name],0)),"")</f>
        <v/>
      </c>
      <c r="E257" s="72"/>
      <c r="F257" s="72"/>
      <c r="G257" s="72"/>
      <c r="H257" s="98" t="str">
        <f>IF(G257="","",INDEX(Lists!$BA$4:$BC$31,MATCH(E257,Lists!$AZ$4:$AZ$31,0),MATCH(G257,Lists!$BA$3:$BC$3,0)))</f>
        <v/>
      </c>
      <c r="I257" s="70"/>
      <c r="J257" s="72"/>
      <c r="K257" s="75" t="str" cm="1">
        <f t="array" ref="K257">IF(OR($E257="",$D257="",$I257="",$J257=""),"",IF(J257=L257,I257,(INDEX('Emission factors'!$K$3:$V$201,MATCH(E257&amp;F257,'Emission factors'!$J$3:$J$201&amp;'Emission factors'!$K$3:$K$201,0),MATCH(K$6,'Emission factors'!$K$2:$V$2,0)))*I257))</f>
        <v/>
      </c>
      <c r="L257" s="312" t="str">
        <f>IF(OR($E257="",$D257="",$I257="",$J257=""),"",INDEX('Emission factors'!$K$3:$V$201,MATCH('Buildings - Heat &amp; Fuels'!$E257,'Emission factors'!$J$3:$J$201,0),MATCH($L$6,'Emission factors'!$K$2:$V$2,0)))</f>
        <v/>
      </c>
      <c r="M257" s="313" t="str" cm="1">
        <f t="array" ref="M257">IF(OR(E257="",I257="",BuildingsHeatFuelsTable[[#This Row],[Units]]=""),"",INDEX('Emission factors'!$K$3:$V$201,MATCH('Buildings - Heat &amp; Fuels'!$E257&amp;F257,'Emission factors'!$J$3:$J$201&amp;'Emission factors'!$K$3:$K$201,0),MATCH('Buildings - Heat &amp; Fuels'!$M$6,'Emission factors'!$K$2:$V$2,0)))</f>
        <v/>
      </c>
      <c r="N257" s="156" t="str">
        <f>IF(OR(K257="",M257=""),"",SUM(BuildingsHeatFuelsTable[[#This Row],[Direct]:[Indirect WTT]]))</f>
        <v/>
      </c>
      <c r="O257" s="71"/>
      <c r="P257" s="190"/>
      <c r="Q257" s="157" t="str" cm="1">
        <f t="array" ref="Q257">IF(OR($E257="",$I257=""),"",(INDEX('Emission factors'!$K$3:$V$201,MATCH('Buildings - Heat &amp; Fuels'!$E257&amp;$F257,'Emission factors'!$J$3:$J$201&amp;'Emission factors'!$K$3:$K$201,0),MATCH('Buildings - Heat &amp; Fuels'!Q$6,'Emission factors'!$K$2:$V$2,0)))*$K257)</f>
        <v/>
      </c>
      <c r="R257" s="157" t="str" cm="1">
        <f t="array" ref="R257">IF(OR($E257="",$I257=""),"",(INDEX('Emission factors'!$K$3:$V$201,MATCH('Buildings - Heat &amp; Fuels'!$E257&amp;$F257,'Emission factors'!$J$3:$J$201&amp;'Emission factors'!$K$3:$K$201,0),MATCH('Buildings - Heat &amp; Fuels'!R$6,'Emission factors'!$K$2:$V$2,0)))*$K257)</f>
        <v/>
      </c>
      <c r="S257" s="157" t="str" cm="1">
        <f t="array" ref="S257">IF(OR($E257="",$I257=""),"",(INDEX('Emission factors'!$K$3:$V$201,MATCH('Buildings - Heat &amp; Fuels'!$E257&amp;$F257,'Emission factors'!$J$3:$J$201&amp;'Emission factors'!$K$3:$K$201,0),MATCH('Buildings - Heat &amp; Fuels'!S$6,'Emission factors'!$K$2:$V$2,0)))*$K257)</f>
        <v/>
      </c>
      <c r="T257" s="157" t="str" cm="1">
        <f t="array" ref="T257">IF(OR($E257="",$I257=""),"",(INDEX('Emission factors'!$K$3:$V$201,MATCH('Buildings - Heat &amp; Fuels'!$E257&amp;$F257,'Emission factors'!$J$3:$J$201&amp;'Emission factors'!$K$3:$K$201,0),MATCH('Buildings - Heat &amp; Fuels'!T$6,'Emission factors'!$K$2:$V$2,0)))*$K257)</f>
        <v/>
      </c>
      <c r="U257" s="157" t="str" cm="1">
        <f t="array" ref="U257">IF(OR($E257="",$I257=""),"",(INDEX('Emission factors'!$K$3:$V$201,MATCH('Buildings - Heat &amp; Fuels'!$E257&amp;$F257,'Emission factors'!$J$3:$J$201&amp;'Emission factors'!$K$3:$K$201,0),MATCH('Buildings - Heat &amp; Fuels'!U$6,'Emission factors'!$K$2:$V$2,0)))*$K257)</f>
        <v/>
      </c>
      <c r="V257" s="158" t="str">
        <f>IF(OR($N257="",BuildingsHeatFuelsTable[[#This Row],[RSD]]=""),"",BuildingsHeatFuelsTable[[#This Row],[Total emissions (kgCO2e)]]*(1+BuildingsHeatFuelsTable[[#This Row],[RSD]]))</f>
        <v/>
      </c>
      <c r="W257" s="159" t="str">
        <f>IF(OR($N257="",BuildingsHeatFuelsTable[[#This Row],[RSD]]=""),"",BuildingsHeatFuelsTable[[#This Row],[Total emissions (kgCO2e)]]*(1-BuildingsHeatFuelsTable[[#This Row],[RSD]]))</f>
        <v/>
      </c>
      <c r="X257" s="169" t="str" cm="1">
        <f t="array" ref="X257">IF(OR($E257="",$I257=""),"",(INDEX('Emission factors'!$K$3:$V$201,MATCH('Buildings - Heat &amp; Fuels'!$E257&amp;$F257,'Emission factors'!$J$3:$J$201&amp;'Emission factors'!$K$3:$K$201,0),MATCH('Buildings - Heat &amp; Fuels'!X$6,'Emission factors'!$K$2:$V$2,0)))*$K257)</f>
        <v/>
      </c>
      <c r="Y257" s="30"/>
      <c r="Z257" s="1" cm="1">
        <f t="array" ref="Z257">IF(OR(ISERROR(B257:X257)),1,0)</f>
        <v>0</v>
      </c>
      <c r="AA257" s="1">
        <f t="shared" si="1"/>
        <v>0</v>
      </c>
    </row>
    <row r="258" spans="1:27" ht="15" outlineLevel="1" thickBot="1" x14ac:dyDescent="0.4">
      <c r="A258" s="319"/>
      <c r="B258" s="216"/>
      <c r="C258" s="215"/>
      <c r="D258" s="233" t="str">
        <f>IFERROR(INDEX(BuildingInformationTable[Site type],MATCH(BuildingsHeatFuelsTable[[#This Row],[Site name]],BuildingInformationTable[Site name],0)),"")</f>
        <v/>
      </c>
      <c r="E258" s="72"/>
      <c r="F258" s="72"/>
      <c r="G258" s="72"/>
      <c r="H258" s="98" t="str">
        <f>IF(G258="","",INDEX(Lists!$BA$4:$BC$31,MATCH(E258,Lists!$AZ$4:$AZ$31,0),MATCH(G258,Lists!$BA$3:$BC$3,0)))</f>
        <v/>
      </c>
      <c r="I258" s="70"/>
      <c r="J258" s="72"/>
      <c r="K258" s="75" t="str" cm="1">
        <f t="array" ref="K258">IF(OR($E258="",$D258="",$I258="",$J258=""),"",IF(J258=L258,I258,(INDEX('Emission factors'!$K$3:$V$201,MATCH(E258&amp;F258,'Emission factors'!$J$3:$J$201&amp;'Emission factors'!$K$3:$K$201,0),MATCH(K$6,'Emission factors'!$K$2:$V$2,0)))*I258))</f>
        <v/>
      </c>
      <c r="L258" s="312" t="str">
        <f>IF(OR($E258="",$D258="",$I258="",$J258=""),"",INDEX('Emission factors'!$K$3:$V$201,MATCH('Buildings - Heat &amp; Fuels'!$E258,'Emission factors'!$J$3:$J$201,0),MATCH($L$6,'Emission factors'!$K$2:$V$2,0)))</f>
        <v/>
      </c>
      <c r="M258" s="313" t="str" cm="1">
        <f t="array" ref="M258">IF(OR(E258="",I258="",BuildingsHeatFuelsTable[[#This Row],[Units]]=""),"",INDEX('Emission factors'!$K$3:$V$201,MATCH('Buildings - Heat &amp; Fuels'!$E258&amp;F258,'Emission factors'!$J$3:$J$201&amp;'Emission factors'!$K$3:$K$201,0),MATCH('Buildings - Heat &amp; Fuels'!$M$6,'Emission factors'!$K$2:$V$2,0)))</f>
        <v/>
      </c>
      <c r="N258" s="156" t="str">
        <f>IF(OR(K258="",M258=""),"",SUM(BuildingsHeatFuelsTable[[#This Row],[Direct]:[Indirect WTT]]))</f>
        <v/>
      </c>
      <c r="O258" s="71"/>
      <c r="P258" s="72"/>
      <c r="Q258" s="157" t="str" cm="1">
        <f t="array" ref="Q258">IF(OR($E258="",$I258=""),"",(INDEX('Emission factors'!$K$3:$V$201,MATCH('Buildings - Heat &amp; Fuels'!$E258&amp;$F258,'Emission factors'!$J$3:$J$201&amp;'Emission factors'!$K$3:$K$201,0),MATCH('Buildings - Heat &amp; Fuels'!Q$6,'Emission factors'!$K$2:$V$2,0)))*$K258)</f>
        <v/>
      </c>
      <c r="R258" s="157" t="str" cm="1">
        <f t="array" ref="R258">IF(OR($E258="",$I258=""),"",(INDEX('Emission factors'!$K$3:$V$201,MATCH('Buildings - Heat &amp; Fuels'!$E258&amp;$F258,'Emission factors'!$J$3:$J$201&amp;'Emission factors'!$K$3:$K$201,0),MATCH('Buildings - Heat &amp; Fuels'!R$6,'Emission factors'!$K$2:$V$2,0)))*$K258)</f>
        <v/>
      </c>
      <c r="S258" s="157" t="str" cm="1">
        <f t="array" ref="S258">IF(OR($E258="",$I258=""),"",(INDEX('Emission factors'!$K$3:$V$201,MATCH('Buildings - Heat &amp; Fuels'!$E258&amp;$F258,'Emission factors'!$J$3:$J$201&amp;'Emission factors'!$K$3:$K$201,0),MATCH('Buildings - Heat &amp; Fuels'!S$6,'Emission factors'!$K$2:$V$2,0)))*$K258)</f>
        <v/>
      </c>
      <c r="T258" s="157" t="str" cm="1">
        <f t="array" ref="T258">IF(OR($E258="",$I258=""),"",(INDEX('Emission factors'!$K$3:$V$201,MATCH('Buildings - Heat &amp; Fuels'!$E258&amp;$F258,'Emission factors'!$J$3:$J$201&amp;'Emission factors'!$K$3:$K$201,0),MATCH('Buildings - Heat &amp; Fuels'!T$6,'Emission factors'!$K$2:$V$2,0)))*$K258)</f>
        <v/>
      </c>
      <c r="U258" s="157" t="str" cm="1">
        <f t="array" ref="U258">IF(OR($E258="",$I258=""),"",(INDEX('Emission factors'!$K$3:$V$201,MATCH('Buildings - Heat &amp; Fuels'!$E258&amp;$F258,'Emission factors'!$J$3:$J$201&amp;'Emission factors'!$K$3:$K$201,0),MATCH('Buildings - Heat &amp; Fuels'!U$6,'Emission factors'!$K$2:$V$2,0)))*$K258)</f>
        <v/>
      </c>
      <c r="V258" s="158" t="str">
        <f>IF(OR($N258="",BuildingsHeatFuelsTable[[#This Row],[RSD]]=""),"",BuildingsHeatFuelsTable[[#This Row],[Total emissions (kgCO2e)]]*(1+BuildingsHeatFuelsTable[[#This Row],[RSD]]))</f>
        <v/>
      </c>
      <c r="W258" s="159" t="str">
        <f>IF(OR($N258="",BuildingsHeatFuelsTable[[#This Row],[RSD]]=""),"",BuildingsHeatFuelsTable[[#This Row],[Total emissions (kgCO2e)]]*(1-BuildingsHeatFuelsTable[[#This Row],[RSD]]))</f>
        <v/>
      </c>
      <c r="X258" s="169" t="str" cm="1">
        <f t="array" ref="X258">IF(OR($E258="",$I258=""),"",(INDEX('Emission factors'!$K$3:$V$201,MATCH('Buildings - Heat &amp; Fuels'!$E258&amp;$F258,'Emission factors'!$J$3:$J$201&amp;'Emission factors'!$K$3:$K$201,0),MATCH('Buildings - Heat &amp; Fuels'!X$6,'Emission factors'!$K$2:$V$2,0)))*$K258)</f>
        <v/>
      </c>
      <c r="Y258" s="30"/>
      <c r="Z258" s="1" cm="1">
        <f t="array" ref="Z258">IF(OR(ISERROR(B258:X258)),1,0)</f>
        <v>0</v>
      </c>
      <c r="AA258" s="1">
        <f t="shared" si="1"/>
        <v>0</v>
      </c>
    </row>
    <row r="259" spans="1:27" ht="15" outlineLevel="1" thickBot="1" x14ac:dyDescent="0.4">
      <c r="A259" s="319"/>
      <c r="B259" s="216"/>
      <c r="C259" s="215"/>
      <c r="D259" s="233" t="str">
        <f>IFERROR(INDEX(BuildingInformationTable[Site type],MATCH(BuildingsHeatFuelsTable[[#This Row],[Site name]],BuildingInformationTable[Site name],0)),"")</f>
        <v/>
      </c>
      <c r="E259" s="72"/>
      <c r="F259" s="72"/>
      <c r="G259" s="72"/>
      <c r="H259" s="98" t="str">
        <f>IF(G259="","",INDEX(Lists!$BA$4:$BC$31,MATCH(E259,Lists!$AZ$4:$AZ$31,0),MATCH(G259,Lists!$BA$3:$BC$3,0)))</f>
        <v/>
      </c>
      <c r="I259" s="70"/>
      <c r="J259" s="72"/>
      <c r="K259" s="75" t="str" cm="1">
        <f t="array" ref="K259">IF(OR($E259="",$D259="",$I259="",$J259=""),"",IF(J259=L259,I259,(INDEX('Emission factors'!$K$3:$V$201,MATCH(E259&amp;F259,'Emission factors'!$J$3:$J$201&amp;'Emission factors'!$K$3:$K$201,0),MATCH(K$6,'Emission factors'!$K$2:$V$2,0)))*I259))</f>
        <v/>
      </c>
      <c r="L259" s="312" t="str">
        <f>IF(OR($E259="",$D259="",$I259="",$J259=""),"",INDEX('Emission factors'!$K$3:$V$201,MATCH('Buildings - Heat &amp; Fuels'!$E259,'Emission factors'!$J$3:$J$201,0),MATCH($L$6,'Emission factors'!$K$2:$V$2,0)))</f>
        <v/>
      </c>
      <c r="M259" s="313" t="str" cm="1">
        <f t="array" ref="M259">IF(OR(E259="",I259="",BuildingsHeatFuelsTable[[#This Row],[Units]]=""),"",INDEX('Emission factors'!$K$3:$V$201,MATCH('Buildings - Heat &amp; Fuels'!$E259&amp;F259,'Emission factors'!$J$3:$J$201&amp;'Emission factors'!$K$3:$K$201,0),MATCH('Buildings - Heat &amp; Fuels'!$M$6,'Emission factors'!$K$2:$V$2,0)))</f>
        <v/>
      </c>
      <c r="N259" s="156" t="str">
        <f>IF(OR(K259="",M259=""),"",SUM(BuildingsHeatFuelsTable[[#This Row],[Direct]:[Indirect WTT]]))</f>
        <v/>
      </c>
      <c r="O259" s="71"/>
      <c r="P259" s="72"/>
      <c r="Q259" s="157" t="str" cm="1">
        <f t="array" ref="Q259">IF(OR($E259="",$I259=""),"",(INDEX('Emission factors'!$K$3:$V$201,MATCH('Buildings - Heat &amp; Fuels'!$E259&amp;$F259,'Emission factors'!$J$3:$J$201&amp;'Emission factors'!$K$3:$K$201,0),MATCH('Buildings - Heat &amp; Fuels'!Q$6,'Emission factors'!$K$2:$V$2,0)))*$K259)</f>
        <v/>
      </c>
      <c r="R259" s="157" t="str" cm="1">
        <f t="array" ref="R259">IF(OR($E259="",$I259=""),"",(INDEX('Emission factors'!$K$3:$V$201,MATCH('Buildings - Heat &amp; Fuels'!$E259&amp;$F259,'Emission factors'!$J$3:$J$201&amp;'Emission factors'!$K$3:$K$201,0),MATCH('Buildings - Heat &amp; Fuels'!R$6,'Emission factors'!$K$2:$V$2,0)))*$K259)</f>
        <v/>
      </c>
      <c r="S259" s="157" t="str" cm="1">
        <f t="array" ref="S259">IF(OR($E259="",$I259=""),"",(INDEX('Emission factors'!$K$3:$V$201,MATCH('Buildings - Heat &amp; Fuels'!$E259&amp;$F259,'Emission factors'!$J$3:$J$201&amp;'Emission factors'!$K$3:$K$201,0),MATCH('Buildings - Heat &amp; Fuels'!S$6,'Emission factors'!$K$2:$V$2,0)))*$K259)</f>
        <v/>
      </c>
      <c r="T259" s="157" t="str" cm="1">
        <f t="array" ref="T259">IF(OR($E259="",$I259=""),"",(INDEX('Emission factors'!$K$3:$V$201,MATCH('Buildings - Heat &amp; Fuels'!$E259&amp;$F259,'Emission factors'!$J$3:$J$201&amp;'Emission factors'!$K$3:$K$201,0),MATCH('Buildings - Heat &amp; Fuels'!T$6,'Emission factors'!$K$2:$V$2,0)))*$K259)</f>
        <v/>
      </c>
      <c r="U259" s="157" t="str" cm="1">
        <f t="array" ref="U259">IF(OR($E259="",$I259=""),"",(INDEX('Emission factors'!$K$3:$V$201,MATCH('Buildings - Heat &amp; Fuels'!$E259&amp;$F259,'Emission factors'!$J$3:$J$201&amp;'Emission factors'!$K$3:$K$201,0),MATCH('Buildings - Heat &amp; Fuels'!U$6,'Emission factors'!$K$2:$V$2,0)))*$K259)</f>
        <v/>
      </c>
      <c r="V259" s="158" t="str">
        <f>IF(OR($N259="",BuildingsHeatFuelsTable[[#This Row],[RSD]]=""),"",BuildingsHeatFuelsTable[[#This Row],[Total emissions (kgCO2e)]]*(1+BuildingsHeatFuelsTable[[#This Row],[RSD]]))</f>
        <v/>
      </c>
      <c r="W259" s="159" t="str">
        <f>IF(OR($N259="",BuildingsHeatFuelsTable[[#This Row],[RSD]]=""),"",BuildingsHeatFuelsTable[[#This Row],[Total emissions (kgCO2e)]]*(1-BuildingsHeatFuelsTable[[#This Row],[RSD]]))</f>
        <v/>
      </c>
      <c r="X259" s="169" t="str" cm="1">
        <f t="array" ref="X259">IF(OR($E259="",$I259=""),"",(INDEX('Emission factors'!$K$3:$V$201,MATCH('Buildings - Heat &amp; Fuels'!$E259&amp;$F259,'Emission factors'!$J$3:$J$201&amp;'Emission factors'!$K$3:$K$201,0),MATCH('Buildings - Heat &amp; Fuels'!X$6,'Emission factors'!$K$2:$V$2,0)))*$K259)</f>
        <v/>
      </c>
      <c r="Y259" s="30"/>
      <c r="Z259" s="1" cm="1">
        <f t="array" ref="Z259">IF(OR(ISERROR(B259:X259)),1,0)</f>
        <v>0</v>
      </c>
      <c r="AA259" s="1">
        <f t="shared" si="1"/>
        <v>0</v>
      </c>
    </row>
    <row r="260" spans="1:27" ht="15" outlineLevel="1" thickBot="1" x14ac:dyDescent="0.4">
      <c r="A260" s="319"/>
      <c r="B260" s="216"/>
      <c r="C260" s="215"/>
      <c r="D260" s="233" t="str">
        <f>IFERROR(INDEX(BuildingInformationTable[Site type],MATCH(BuildingsHeatFuelsTable[[#This Row],[Site name]],BuildingInformationTable[Site name],0)),"")</f>
        <v/>
      </c>
      <c r="E260" s="72"/>
      <c r="F260" s="72"/>
      <c r="G260" s="72"/>
      <c r="H260" s="98" t="str">
        <f>IF(G260="","",INDEX(Lists!$BA$4:$BC$31,MATCH(E260,Lists!$AZ$4:$AZ$31,0),MATCH(G260,Lists!$BA$3:$BC$3,0)))</f>
        <v/>
      </c>
      <c r="I260" s="70"/>
      <c r="J260" s="72"/>
      <c r="K260" s="75" t="str" cm="1">
        <f t="array" ref="K260">IF(OR($E260="",$D260="",$I260="",$J260=""),"",IF(J260=L260,I260,(INDEX('Emission factors'!$K$3:$V$201,MATCH(E260&amp;F260,'Emission factors'!$J$3:$J$201&amp;'Emission factors'!$K$3:$K$201,0),MATCH(K$6,'Emission factors'!$K$2:$V$2,0)))*I260))</f>
        <v/>
      </c>
      <c r="L260" s="312" t="str">
        <f>IF(OR($E260="",$D260="",$I260="",$J260=""),"",INDEX('Emission factors'!$K$3:$V$201,MATCH('Buildings - Heat &amp; Fuels'!$E260,'Emission factors'!$J$3:$J$201,0),MATCH($L$6,'Emission factors'!$K$2:$V$2,0)))</f>
        <v/>
      </c>
      <c r="M260" s="313" t="str" cm="1">
        <f t="array" ref="M260">IF(OR(E260="",I260="",BuildingsHeatFuelsTable[[#This Row],[Units]]=""),"",INDEX('Emission factors'!$K$3:$V$201,MATCH('Buildings - Heat &amp; Fuels'!$E260&amp;F260,'Emission factors'!$J$3:$J$201&amp;'Emission factors'!$K$3:$K$201,0),MATCH('Buildings - Heat &amp; Fuels'!$M$6,'Emission factors'!$K$2:$V$2,0)))</f>
        <v/>
      </c>
      <c r="N260" s="156" t="str">
        <f>IF(OR(K260="",M260=""),"",SUM(BuildingsHeatFuelsTable[[#This Row],[Direct]:[Indirect WTT]]))</f>
        <v/>
      </c>
      <c r="O260" s="71"/>
      <c r="P260" s="72"/>
      <c r="Q260" s="157" t="str" cm="1">
        <f t="array" ref="Q260">IF(OR($E260="",$I260=""),"",(INDEX('Emission factors'!$K$3:$V$201,MATCH('Buildings - Heat &amp; Fuels'!$E260&amp;$F260,'Emission factors'!$J$3:$J$201&amp;'Emission factors'!$K$3:$K$201,0),MATCH('Buildings - Heat &amp; Fuels'!Q$6,'Emission factors'!$K$2:$V$2,0)))*$K260)</f>
        <v/>
      </c>
      <c r="R260" s="157" t="str" cm="1">
        <f t="array" ref="R260">IF(OR($E260="",$I260=""),"",(INDEX('Emission factors'!$K$3:$V$201,MATCH('Buildings - Heat &amp; Fuels'!$E260&amp;$F260,'Emission factors'!$J$3:$J$201&amp;'Emission factors'!$K$3:$K$201,0),MATCH('Buildings - Heat &amp; Fuels'!R$6,'Emission factors'!$K$2:$V$2,0)))*$K260)</f>
        <v/>
      </c>
      <c r="S260" s="157" t="str" cm="1">
        <f t="array" ref="S260">IF(OR($E260="",$I260=""),"",(INDEX('Emission factors'!$K$3:$V$201,MATCH('Buildings - Heat &amp; Fuels'!$E260&amp;$F260,'Emission factors'!$J$3:$J$201&amp;'Emission factors'!$K$3:$K$201,0),MATCH('Buildings - Heat &amp; Fuels'!S$6,'Emission factors'!$K$2:$V$2,0)))*$K260)</f>
        <v/>
      </c>
      <c r="T260" s="157" t="str" cm="1">
        <f t="array" ref="T260">IF(OR($E260="",$I260=""),"",(INDEX('Emission factors'!$K$3:$V$201,MATCH('Buildings - Heat &amp; Fuels'!$E260&amp;$F260,'Emission factors'!$J$3:$J$201&amp;'Emission factors'!$K$3:$K$201,0),MATCH('Buildings - Heat &amp; Fuels'!T$6,'Emission factors'!$K$2:$V$2,0)))*$K260)</f>
        <v/>
      </c>
      <c r="U260" s="157" t="str" cm="1">
        <f t="array" ref="U260">IF(OR($E260="",$I260=""),"",(INDEX('Emission factors'!$K$3:$V$201,MATCH('Buildings - Heat &amp; Fuels'!$E260&amp;$F260,'Emission factors'!$J$3:$J$201&amp;'Emission factors'!$K$3:$K$201,0),MATCH('Buildings - Heat &amp; Fuels'!U$6,'Emission factors'!$K$2:$V$2,0)))*$K260)</f>
        <v/>
      </c>
      <c r="V260" s="158" t="str">
        <f>IF(OR($N260="",BuildingsHeatFuelsTable[[#This Row],[RSD]]=""),"",BuildingsHeatFuelsTable[[#This Row],[Total emissions (kgCO2e)]]*(1+BuildingsHeatFuelsTable[[#This Row],[RSD]]))</f>
        <v/>
      </c>
      <c r="W260" s="159" t="str">
        <f>IF(OR($N260="",BuildingsHeatFuelsTable[[#This Row],[RSD]]=""),"",BuildingsHeatFuelsTable[[#This Row],[Total emissions (kgCO2e)]]*(1-BuildingsHeatFuelsTable[[#This Row],[RSD]]))</f>
        <v/>
      </c>
      <c r="X260" s="169" t="str" cm="1">
        <f t="array" ref="X260">IF(OR($E260="",$I260=""),"",(INDEX('Emission factors'!$K$3:$V$201,MATCH('Buildings - Heat &amp; Fuels'!$E260&amp;$F260,'Emission factors'!$J$3:$J$201&amp;'Emission factors'!$K$3:$K$201,0),MATCH('Buildings - Heat &amp; Fuels'!X$6,'Emission factors'!$K$2:$V$2,0)))*$K260)</f>
        <v/>
      </c>
      <c r="Y260" s="30"/>
      <c r="Z260" s="1" cm="1">
        <f t="array" ref="Z260">IF(OR(ISERROR(B260:X260)),1,0)</f>
        <v>0</v>
      </c>
      <c r="AA260" s="1">
        <f t="shared" si="1"/>
        <v>0</v>
      </c>
    </row>
    <row r="261" spans="1:27" ht="15" outlineLevel="1" thickBot="1" x14ac:dyDescent="0.4">
      <c r="A261" s="319"/>
      <c r="B261" s="216"/>
      <c r="C261" s="215"/>
      <c r="D261" s="233" t="str">
        <f>IFERROR(INDEX(BuildingInformationTable[Site type],MATCH(BuildingsHeatFuelsTable[[#This Row],[Site name]],BuildingInformationTable[Site name],0)),"")</f>
        <v/>
      </c>
      <c r="E261" s="72"/>
      <c r="F261" s="72"/>
      <c r="G261" s="72"/>
      <c r="H261" s="98" t="str">
        <f>IF(G261="","",INDEX(Lists!$BA$4:$BC$31,MATCH(E261,Lists!$AZ$4:$AZ$31,0),MATCH(G261,Lists!$BA$3:$BC$3,0)))</f>
        <v/>
      </c>
      <c r="I261" s="70"/>
      <c r="J261" s="72"/>
      <c r="K261" s="75" t="str" cm="1">
        <f t="array" ref="K261">IF(OR($E261="",$D261="",$I261="",$J261=""),"",IF(J261=L261,I261,(INDEX('Emission factors'!$K$3:$V$201,MATCH(E261&amp;F261,'Emission factors'!$J$3:$J$201&amp;'Emission factors'!$K$3:$K$201,0),MATCH(K$6,'Emission factors'!$K$2:$V$2,0)))*I261))</f>
        <v/>
      </c>
      <c r="L261" s="312" t="str">
        <f>IF(OR($E261="",$D261="",$I261="",$J261=""),"",INDEX('Emission factors'!$K$3:$V$201,MATCH('Buildings - Heat &amp; Fuels'!$E261,'Emission factors'!$J$3:$J$201,0),MATCH($L$6,'Emission factors'!$K$2:$V$2,0)))</f>
        <v/>
      </c>
      <c r="M261" s="313" t="str" cm="1">
        <f t="array" ref="M261">IF(OR(E261="",I261="",BuildingsHeatFuelsTable[[#This Row],[Units]]=""),"",INDEX('Emission factors'!$K$3:$V$201,MATCH('Buildings - Heat &amp; Fuels'!$E261&amp;F261,'Emission factors'!$J$3:$J$201&amp;'Emission factors'!$K$3:$K$201,0),MATCH('Buildings - Heat &amp; Fuels'!$M$6,'Emission factors'!$K$2:$V$2,0)))</f>
        <v/>
      </c>
      <c r="N261" s="156" t="str">
        <f>IF(OR(K261="",M261=""),"",SUM(BuildingsHeatFuelsTable[[#This Row],[Direct]:[Indirect WTT]]))</f>
        <v/>
      </c>
      <c r="O261" s="71"/>
      <c r="P261" s="72"/>
      <c r="Q261" s="157" t="str" cm="1">
        <f t="array" ref="Q261">IF(OR($E261="",$I261=""),"",(INDEX('Emission factors'!$K$3:$V$201,MATCH('Buildings - Heat &amp; Fuels'!$E261&amp;$F261,'Emission factors'!$J$3:$J$201&amp;'Emission factors'!$K$3:$K$201,0),MATCH('Buildings - Heat &amp; Fuels'!Q$6,'Emission factors'!$K$2:$V$2,0)))*$K261)</f>
        <v/>
      </c>
      <c r="R261" s="157" t="str" cm="1">
        <f t="array" ref="R261">IF(OR($E261="",$I261=""),"",(INDEX('Emission factors'!$K$3:$V$201,MATCH('Buildings - Heat &amp; Fuels'!$E261&amp;$F261,'Emission factors'!$J$3:$J$201&amp;'Emission factors'!$K$3:$K$201,0),MATCH('Buildings - Heat &amp; Fuels'!R$6,'Emission factors'!$K$2:$V$2,0)))*$K261)</f>
        <v/>
      </c>
      <c r="S261" s="157" t="str" cm="1">
        <f t="array" ref="S261">IF(OR($E261="",$I261=""),"",(INDEX('Emission factors'!$K$3:$V$201,MATCH('Buildings - Heat &amp; Fuels'!$E261&amp;$F261,'Emission factors'!$J$3:$J$201&amp;'Emission factors'!$K$3:$K$201,0),MATCH('Buildings - Heat &amp; Fuels'!S$6,'Emission factors'!$K$2:$V$2,0)))*$K261)</f>
        <v/>
      </c>
      <c r="T261" s="157" t="str" cm="1">
        <f t="array" ref="T261">IF(OR($E261="",$I261=""),"",(INDEX('Emission factors'!$K$3:$V$201,MATCH('Buildings - Heat &amp; Fuels'!$E261&amp;$F261,'Emission factors'!$J$3:$J$201&amp;'Emission factors'!$K$3:$K$201,0),MATCH('Buildings - Heat &amp; Fuels'!T$6,'Emission factors'!$K$2:$V$2,0)))*$K261)</f>
        <v/>
      </c>
      <c r="U261" s="157" t="str" cm="1">
        <f t="array" ref="U261">IF(OR($E261="",$I261=""),"",(INDEX('Emission factors'!$K$3:$V$201,MATCH('Buildings - Heat &amp; Fuels'!$E261&amp;$F261,'Emission factors'!$J$3:$J$201&amp;'Emission factors'!$K$3:$K$201,0),MATCH('Buildings - Heat &amp; Fuels'!U$6,'Emission factors'!$K$2:$V$2,0)))*$K261)</f>
        <v/>
      </c>
      <c r="V261" s="158" t="str">
        <f>IF(OR($N261="",BuildingsHeatFuelsTable[[#This Row],[RSD]]=""),"",BuildingsHeatFuelsTable[[#This Row],[Total emissions (kgCO2e)]]*(1+BuildingsHeatFuelsTable[[#This Row],[RSD]]))</f>
        <v/>
      </c>
      <c r="W261" s="159" t="str">
        <f>IF(OR($N261="",BuildingsHeatFuelsTable[[#This Row],[RSD]]=""),"",BuildingsHeatFuelsTable[[#This Row],[Total emissions (kgCO2e)]]*(1-BuildingsHeatFuelsTable[[#This Row],[RSD]]))</f>
        <v/>
      </c>
      <c r="X261" s="169" t="str" cm="1">
        <f t="array" ref="X261">IF(OR($E261="",$I261=""),"",(INDEX('Emission factors'!$K$3:$V$201,MATCH('Buildings - Heat &amp; Fuels'!$E261&amp;$F261,'Emission factors'!$J$3:$J$201&amp;'Emission factors'!$K$3:$K$201,0),MATCH('Buildings - Heat &amp; Fuels'!X$6,'Emission factors'!$K$2:$V$2,0)))*$K261)</f>
        <v/>
      </c>
      <c r="Y261" s="30"/>
      <c r="Z261" s="1" cm="1">
        <f t="array" ref="Z261">IF(OR(ISERROR(B261:X261)),1,0)</f>
        <v>0</v>
      </c>
      <c r="AA261" s="1">
        <f t="shared" si="1"/>
        <v>0</v>
      </c>
    </row>
    <row r="262" spans="1:27" ht="15" outlineLevel="1" thickBot="1" x14ac:dyDescent="0.4">
      <c r="A262" s="319"/>
      <c r="B262" s="216"/>
      <c r="C262" s="215"/>
      <c r="D262" s="233" t="str">
        <f>IFERROR(INDEX(BuildingInformationTable[Site type],MATCH(BuildingsHeatFuelsTable[[#This Row],[Site name]],BuildingInformationTable[Site name],0)),"")</f>
        <v/>
      </c>
      <c r="E262" s="72"/>
      <c r="F262" s="72"/>
      <c r="G262" s="72"/>
      <c r="H262" s="98" t="str">
        <f>IF(G262="","",INDEX(Lists!$BA$4:$BC$31,MATCH(E262,Lists!$AZ$4:$AZ$31,0),MATCH(G262,Lists!$BA$3:$BC$3,0)))</f>
        <v/>
      </c>
      <c r="I262" s="70"/>
      <c r="J262" s="72"/>
      <c r="K262" s="75" t="str" cm="1">
        <f t="array" ref="K262">IF(OR($E262="",$D262="",$I262="",$J262=""),"",IF(J262=L262,I262,(INDEX('Emission factors'!$K$3:$V$201,MATCH(E262&amp;F262,'Emission factors'!$J$3:$J$201&amp;'Emission factors'!$K$3:$K$201,0),MATCH(K$6,'Emission factors'!$K$2:$V$2,0)))*I262))</f>
        <v/>
      </c>
      <c r="L262" s="312" t="str">
        <f>IF(OR($E262="",$D262="",$I262="",$J262=""),"",INDEX('Emission factors'!$K$3:$V$201,MATCH('Buildings - Heat &amp; Fuels'!$E262,'Emission factors'!$J$3:$J$201,0),MATCH($L$6,'Emission factors'!$K$2:$V$2,0)))</f>
        <v/>
      </c>
      <c r="M262" s="313" t="str" cm="1">
        <f t="array" ref="M262">IF(OR(E262="",I262="",BuildingsHeatFuelsTable[[#This Row],[Units]]=""),"",INDEX('Emission factors'!$K$3:$V$201,MATCH('Buildings - Heat &amp; Fuels'!$E262&amp;F262,'Emission factors'!$J$3:$J$201&amp;'Emission factors'!$K$3:$K$201,0),MATCH('Buildings - Heat &amp; Fuels'!$M$6,'Emission factors'!$K$2:$V$2,0)))</f>
        <v/>
      </c>
      <c r="N262" s="156" t="str">
        <f>IF(OR(K262="",M262=""),"",SUM(BuildingsHeatFuelsTable[[#This Row],[Direct]:[Indirect WTT]]))</f>
        <v/>
      </c>
      <c r="O262" s="71"/>
      <c r="P262" s="72"/>
      <c r="Q262" s="157" t="str" cm="1">
        <f t="array" ref="Q262">IF(OR($E262="",$I262=""),"",(INDEX('Emission factors'!$K$3:$V$201,MATCH('Buildings - Heat &amp; Fuels'!$E262&amp;$F262,'Emission factors'!$J$3:$J$201&amp;'Emission factors'!$K$3:$K$201,0),MATCH('Buildings - Heat &amp; Fuels'!Q$6,'Emission factors'!$K$2:$V$2,0)))*$K262)</f>
        <v/>
      </c>
      <c r="R262" s="157" t="str" cm="1">
        <f t="array" ref="R262">IF(OR($E262="",$I262=""),"",(INDEX('Emission factors'!$K$3:$V$201,MATCH('Buildings - Heat &amp; Fuels'!$E262&amp;$F262,'Emission factors'!$J$3:$J$201&amp;'Emission factors'!$K$3:$K$201,0),MATCH('Buildings - Heat &amp; Fuels'!R$6,'Emission factors'!$K$2:$V$2,0)))*$K262)</f>
        <v/>
      </c>
      <c r="S262" s="157" t="str" cm="1">
        <f t="array" ref="S262">IF(OR($E262="",$I262=""),"",(INDEX('Emission factors'!$K$3:$V$201,MATCH('Buildings - Heat &amp; Fuels'!$E262&amp;$F262,'Emission factors'!$J$3:$J$201&amp;'Emission factors'!$K$3:$K$201,0),MATCH('Buildings - Heat &amp; Fuels'!S$6,'Emission factors'!$K$2:$V$2,0)))*$K262)</f>
        <v/>
      </c>
      <c r="T262" s="157" t="str" cm="1">
        <f t="array" ref="T262">IF(OR($E262="",$I262=""),"",(INDEX('Emission factors'!$K$3:$V$201,MATCH('Buildings - Heat &amp; Fuels'!$E262&amp;$F262,'Emission factors'!$J$3:$J$201&amp;'Emission factors'!$K$3:$K$201,0),MATCH('Buildings - Heat &amp; Fuels'!T$6,'Emission factors'!$K$2:$V$2,0)))*$K262)</f>
        <v/>
      </c>
      <c r="U262" s="157" t="str" cm="1">
        <f t="array" ref="U262">IF(OR($E262="",$I262=""),"",(INDEX('Emission factors'!$K$3:$V$201,MATCH('Buildings - Heat &amp; Fuels'!$E262&amp;$F262,'Emission factors'!$J$3:$J$201&amp;'Emission factors'!$K$3:$K$201,0),MATCH('Buildings - Heat &amp; Fuels'!U$6,'Emission factors'!$K$2:$V$2,0)))*$K262)</f>
        <v/>
      </c>
      <c r="V262" s="158" t="str">
        <f>IF(OR($N262="",BuildingsHeatFuelsTable[[#This Row],[RSD]]=""),"",BuildingsHeatFuelsTable[[#This Row],[Total emissions (kgCO2e)]]*(1+BuildingsHeatFuelsTable[[#This Row],[RSD]]))</f>
        <v/>
      </c>
      <c r="W262" s="159" t="str">
        <f>IF(OR($N262="",BuildingsHeatFuelsTable[[#This Row],[RSD]]=""),"",BuildingsHeatFuelsTable[[#This Row],[Total emissions (kgCO2e)]]*(1-BuildingsHeatFuelsTable[[#This Row],[RSD]]))</f>
        <v/>
      </c>
      <c r="X262" s="169" t="str" cm="1">
        <f t="array" ref="X262">IF(OR($E262="",$I262=""),"",(INDEX('Emission factors'!$K$3:$V$201,MATCH('Buildings - Heat &amp; Fuels'!$E262&amp;$F262,'Emission factors'!$J$3:$J$201&amp;'Emission factors'!$K$3:$K$201,0),MATCH('Buildings - Heat &amp; Fuels'!X$6,'Emission factors'!$K$2:$V$2,0)))*$K262)</f>
        <v/>
      </c>
      <c r="Y262" s="30"/>
      <c r="Z262" s="1" cm="1">
        <f t="array" ref="Z262">IF(OR(ISERROR(B262:X262)),1,0)</f>
        <v>0</v>
      </c>
      <c r="AA262" s="1">
        <f t="shared" si="1"/>
        <v>0</v>
      </c>
    </row>
    <row r="263" spans="1:27" ht="15" outlineLevel="1" thickBot="1" x14ac:dyDescent="0.4">
      <c r="A263" s="319"/>
      <c r="B263" s="216"/>
      <c r="C263" s="215"/>
      <c r="D263" s="233" t="str">
        <f>IFERROR(INDEX(BuildingInformationTable[Site type],MATCH(BuildingsHeatFuelsTable[[#This Row],[Site name]],BuildingInformationTable[Site name],0)),"")</f>
        <v/>
      </c>
      <c r="E263" s="72"/>
      <c r="F263" s="72"/>
      <c r="G263" s="72"/>
      <c r="H263" s="98" t="str">
        <f>IF(G263="","",INDEX(Lists!$BA$4:$BC$31,MATCH(E263,Lists!$AZ$4:$AZ$31,0),MATCH(G263,Lists!$BA$3:$BC$3,0)))</f>
        <v/>
      </c>
      <c r="I263" s="70"/>
      <c r="J263" s="72"/>
      <c r="K263" s="75" t="str" cm="1">
        <f t="array" ref="K263">IF(OR($E263="",$D263="",$I263="",$J263=""),"",IF(J263=L263,I263,(INDEX('Emission factors'!$K$3:$V$201,MATCH(E263&amp;F263,'Emission factors'!$J$3:$J$201&amp;'Emission factors'!$K$3:$K$201,0),MATCH(K$6,'Emission factors'!$K$2:$V$2,0)))*I263))</f>
        <v/>
      </c>
      <c r="L263" s="312" t="str">
        <f>IF(OR($E263="",$D263="",$I263="",$J263=""),"",INDEX('Emission factors'!$K$3:$V$201,MATCH('Buildings - Heat &amp; Fuels'!$E263,'Emission factors'!$J$3:$J$201,0),MATCH($L$6,'Emission factors'!$K$2:$V$2,0)))</f>
        <v/>
      </c>
      <c r="M263" s="313" t="str" cm="1">
        <f t="array" ref="M263">IF(OR(E263="",I263="",BuildingsHeatFuelsTable[[#This Row],[Units]]=""),"",INDEX('Emission factors'!$K$3:$V$201,MATCH('Buildings - Heat &amp; Fuels'!$E263&amp;F263,'Emission factors'!$J$3:$J$201&amp;'Emission factors'!$K$3:$K$201,0),MATCH('Buildings - Heat &amp; Fuels'!$M$6,'Emission factors'!$K$2:$V$2,0)))</f>
        <v/>
      </c>
      <c r="N263" s="156" t="str">
        <f>IF(OR(K263="",M263=""),"",SUM(BuildingsHeatFuelsTable[[#This Row],[Direct]:[Indirect WTT]]))</f>
        <v/>
      </c>
      <c r="O263" s="71"/>
      <c r="P263" s="72"/>
      <c r="Q263" s="157" t="str" cm="1">
        <f t="array" ref="Q263">IF(OR($E263="",$I263=""),"",(INDEX('Emission factors'!$K$3:$V$201,MATCH('Buildings - Heat &amp; Fuels'!$E263&amp;$F263,'Emission factors'!$J$3:$J$201&amp;'Emission factors'!$K$3:$K$201,0),MATCH('Buildings - Heat &amp; Fuels'!Q$6,'Emission factors'!$K$2:$V$2,0)))*$K263)</f>
        <v/>
      </c>
      <c r="R263" s="157" t="str" cm="1">
        <f t="array" ref="R263">IF(OR($E263="",$I263=""),"",(INDEX('Emission factors'!$K$3:$V$201,MATCH('Buildings - Heat &amp; Fuels'!$E263&amp;$F263,'Emission factors'!$J$3:$J$201&amp;'Emission factors'!$K$3:$K$201,0),MATCH('Buildings - Heat &amp; Fuels'!R$6,'Emission factors'!$K$2:$V$2,0)))*$K263)</f>
        <v/>
      </c>
      <c r="S263" s="157" t="str" cm="1">
        <f t="array" ref="S263">IF(OR($E263="",$I263=""),"",(INDEX('Emission factors'!$K$3:$V$201,MATCH('Buildings - Heat &amp; Fuels'!$E263&amp;$F263,'Emission factors'!$J$3:$J$201&amp;'Emission factors'!$K$3:$K$201,0),MATCH('Buildings - Heat &amp; Fuels'!S$6,'Emission factors'!$K$2:$V$2,0)))*$K263)</f>
        <v/>
      </c>
      <c r="T263" s="157" t="str" cm="1">
        <f t="array" ref="T263">IF(OR($E263="",$I263=""),"",(INDEX('Emission factors'!$K$3:$V$201,MATCH('Buildings - Heat &amp; Fuels'!$E263&amp;$F263,'Emission factors'!$J$3:$J$201&amp;'Emission factors'!$K$3:$K$201,0),MATCH('Buildings - Heat &amp; Fuels'!T$6,'Emission factors'!$K$2:$V$2,0)))*$K263)</f>
        <v/>
      </c>
      <c r="U263" s="157" t="str" cm="1">
        <f t="array" ref="U263">IF(OR($E263="",$I263=""),"",(INDEX('Emission factors'!$K$3:$V$201,MATCH('Buildings - Heat &amp; Fuels'!$E263&amp;$F263,'Emission factors'!$J$3:$J$201&amp;'Emission factors'!$K$3:$K$201,0),MATCH('Buildings - Heat &amp; Fuels'!U$6,'Emission factors'!$K$2:$V$2,0)))*$K263)</f>
        <v/>
      </c>
      <c r="V263" s="158" t="str">
        <f>IF(OR($N263="",BuildingsHeatFuelsTable[[#This Row],[RSD]]=""),"",BuildingsHeatFuelsTable[[#This Row],[Total emissions (kgCO2e)]]*(1+BuildingsHeatFuelsTable[[#This Row],[RSD]]))</f>
        <v/>
      </c>
      <c r="W263" s="159" t="str">
        <f>IF(OR($N263="",BuildingsHeatFuelsTable[[#This Row],[RSD]]=""),"",BuildingsHeatFuelsTable[[#This Row],[Total emissions (kgCO2e)]]*(1-BuildingsHeatFuelsTable[[#This Row],[RSD]]))</f>
        <v/>
      </c>
      <c r="X263" s="169" t="str" cm="1">
        <f t="array" ref="X263">IF(OR($E263="",$I263=""),"",(INDEX('Emission factors'!$K$3:$V$201,MATCH('Buildings - Heat &amp; Fuels'!$E263&amp;$F263,'Emission factors'!$J$3:$J$201&amp;'Emission factors'!$K$3:$K$201,0),MATCH('Buildings - Heat &amp; Fuels'!X$6,'Emission factors'!$K$2:$V$2,0)))*$K263)</f>
        <v/>
      </c>
      <c r="Y263" s="30"/>
      <c r="Z263" s="1" cm="1">
        <f t="array" ref="Z263">IF(OR(ISERROR(B263:X263)),1,0)</f>
        <v>0</v>
      </c>
      <c r="AA263" s="1">
        <f t="shared" si="1"/>
        <v>0</v>
      </c>
    </row>
    <row r="264" spans="1:27" ht="15" outlineLevel="1" thickBot="1" x14ac:dyDescent="0.4">
      <c r="A264" s="319"/>
      <c r="B264" s="216"/>
      <c r="C264" s="215"/>
      <c r="D264" s="233" t="str">
        <f>IFERROR(INDEX(BuildingInformationTable[Site type],MATCH(BuildingsHeatFuelsTable[[#This Row],[Site name]],BuildingInformationTable[Site name],0)),"")</f>
        <v/>
      </c>
      <c r="E264" s="72"/>
      <c r="F264" s="72"/>
      <c r="G264" s="72"/>
      <c r="H264" s="98" t="str">
        <f>IF(G264="","",INDEX(Lists!$BA$4:$BC$31,MATCH(E264,Lists!$AZ$4:$AZ$31,0),MATCH(G264,Lists!$BA$3:$BC$3,0)))</f>
        <v/>
      </c>
      <c r="I264" s="70"/>
      <c r="J264" s="72"/>
      <c r="K264" s="75" t="str" cm="1">
        <f t="array" ref="K264">IF(OR($E264="",$D264="",$I264="",$J264=""),"",IF(J264=L264,I264,(INDEX('Emission factors'!$K$3:$V$201,MATCH(E264&amp;F264,'Emission factors'!$J$3:$J$201&amp;'Emission factors'!$K$3:$K$201,0),MATCH(K$6,'Emission factors'!$K$2:$V$2,0)))*I264))</f>
        <v/>
      </c>
      <c r="L264" s="312" t="str">
        <f>IF(OR($E264="",$D264="",$I264="",$J264=""),"",INDEX('Emission factors'!$K$3:$V$201,MATCH('Buildings - Heat &amp; Fuels'!$E264,'Emission factors'!$J$3:$J$201,0),MATCH($L$6,'Emission factors'!$K$2:$V$2,0)))</f>
        <v/>
      </c>
      <c r="M264" s="313" t="str" cm="1">
        <f t="array" ref="M264">IF(OR(E264="",I264="",BuildingsHeatFuelsTable[[#This Row],[Units]]=""),"",INDEX('Emission factors'!$K$3:$V$201,MATCH('Buildings - Heat &amp; Fuels'!$E264&amp;F264,'Emission factors'!$J$3:$J$201&amp;'Emission factors'!$K$3:$K$201,0),MATCH('Buildings - Heat &amp; Fuels'!$M$6,'Emission factors'!$K$2:$V$2,0)))</f>
        <v/>
      </c>
      <c r="N264" s="156" t="str">
        <f>IF(OR(K264="",M264=""),"",SUM(BuildingsHeatFuelsTable[[#This Row],[Direct]:[Indirect WTT]]))</f>
        <v/>
      </c>
      <c r="O264" s="71"/>
      <c r="P264" s="72"/>
      <c r="Q264" s="157" t="str" cm="1">
        <f t="array" ref="Q264">IF(OR($E264="",$I264=""),"",(INDEX('Emission factors'!$K$3:$V$201,MATCH('Buildings - Heat &amp; Fuels'!$E264&amp;$F264,'Emission factors'!$J$3:$J$201&amp;'Emission factors'!$K$3:$K$201,0),MATCH('Buildings - Heat &amp; Fuels'!Q$6,'Emission factors'!$K$2:$V$2,0)))*$K264)</f>
        <v/>
      </c>
      <c r="R264" s="157" t="str" cm="1">
        <f t="array" ref="R264">IF(OR($E264="",$I264=""),"",(INDEX('Emission factors'!$K$3:$V$201,MATCH('Buildings - Heat &amp; Fuels'!$E264&amp;$F264,'Emission factors'!$J$3:$J$201&amp;'Emission factors'!$K$3:$K$201,0),MATCH('Buildings - Heat &amp; Fuels'!R$6,'Emission factors'!$K$2:$V$2,0)))*$K264)</f>
        <v/>
      </c>
      <c r="S264" s="157" t="str" cm="1">
        <f t="array" ref="S264">IF(OR($E264="",$I264=""),"",(INDEX('Emission factors'!$K$3:$V$201,MATCH('Buildings - Heat &amp; Fuels'!$E264&amp;$F264,'Emission factors'!$J$3:$J$201&amp;'Emission factors'!$K$3:$K$201,0),MATCH('Buildings - Heat &amp; Fuels'!S$6,'Emission factors'!$K$2:$V$2,0)))*$K264)</f>
        <v/>
      </c>
      <c r="T264" s="157" t="str" cm="1">
        <f t="array" ref="T264">IF(OR($E264="",$I264=""),"",(INDEX('Emission factors'!$K$3:$V$201,MATCH('Buildings - Heat &amp; Fuels'!$E264&amp;$F264,'Emission factors'!$J$3:$J$201&amp;'Emission factors'!$K$3:$K$201,0),MATCH('Buildings - Heat &amp; Fuels'!T$6,'Emission factors'!$K$2:$V$2,0)))*$K264)</f>
        <v/>
      </c>
      <c r="U264" s="157" t="str" cm="1">
        <f t="array" ref="U264">IF(OR($E264="",$I264=""),"",(INDEX('Emission factors'!$K$3:$V$201,MATCH('Buildings - Heat &amp; Fuels'!$E264&amp;$F264,'Emission factors'!$J$3:$J$201&amp;'Emission factors'!$K$3:$K$201,0),MATCH('Buildings - Heat &amp; Fuels'!U$6,'Emission factors'!$K$2:$V$2,0)))*$K264)</f>
        <v/>
      </c>
      <c r="V264" s="158" t="str">
        <f>IF(OR($N264="",BuildingsHeatFuelsTable[[#This Row],[RSD]]=""),"",BuildingsHeatFuelsTable[[#This Row],[Total emissions (kgCO2e)]]*(1+BuildingsHeatFuelsTable[[#This Row],[RSD]]))</f>
        <v/>
      </c>
      <c r="W264" s="159" t="str">
        <f>IF(OR($N264="",BuildingsHeatFuelsTable[[#This Row],[RSD]]=""),"",BuildingsHeatFuelsTable[[#This Row],[Total emissions (kgCO2e)]]*(1-BuildingsHeatFuelsTable[[#This Row],[RSD]]))</f>
        <v/>
      </c>
      <c r="X264" s="169" t="str" cm="1">
        <f t="array" ref="X264">IF(OR($E264="",$I264=""),"",(INDEX('Emission factors'!$K$3:$V$201,MATCH('Buildings - Heat &amp; Fuels'!$E264&amp;$F264,'Emission factors'!$J$3:$J$201&amp;'Emission factors'!$K$3:$K$201,0),MATCH('Buildings - Heat &amp; Fuels'!X$6,'Emission factors'!$K$2:$V$2,0)))*$K264)</f>
        <v/>
      </c>
      <c r="Y264" s="30"/>
      <c r="Z264" s="1" cm="1">
        <f t="array" ref="Z264">IF(OR(ISERROR(B264:X264)),1,0)</f>
        <v>0</v>
      </c>
      <c r="AA264" s="1">
        <f t="shared" si="1"/>
        <v>0</v>
      </c>
    </row>
    <row r="265" spans="1:27" ht="15" outlineLevel="1" thickBot="1" x14ac:dyDescent="0.4">
      <c r="A265" s="319"/>
      <c r="B265" s="216"/>
      <c r="C265" s="215"/>
      <c r="D265" s="233" t="str">
        <f>IFERROR(INDEX(BuildingInformationTable[Site type],MATCH(BuildingsHeatFuelsTable[[#This Row],[Site name]],BuildingInformationTable[Site name],0)),"")</f>
        <v/>
      </c>
      <c r="E265" s="72"/>
      <c r="F265" s="72"/>
      <c r="G265" s="72"/>
      <c r="H265" s="98" t="str">
        <f>IF(G265="","",INDEX(Lists!$BA$4:$BC$31,MATCH(E265,Lists!$AZ$4:$AZ$31,0),MATCH(G265,Lists!$BA$3:$BC$3,0)))</f>
        <v/>
      </c>
      <c r="I265" s="70"/>
      <c r="J265" s="72"/>
      <c r="K265" s="75" t="str" cm="1">
        <f t="array" ref="K265">IF(OR($E265="",$D265="",$I265="",$J265=""),"",IF(J265=L265,I265,(INDEX('Emission factors'!$K$3:$V$201,MATCH(E265&amp;F265,'Emission factors'!$J$3:$J$201&amp;'Emission factors'!$K$3:$K$201,0),MATCH(K$6,'Emission factors'!$K$2:$V$2,0)))*I265))</f>
        <v/>
      </c>
      <c r="L265" s="312" t="str">
        <f>IF(OR($E265="",$D265="",$I265="",$J265=""),"",INDEX('Emission factors'!$K$3:$V$201,MATCH('Buildings - Heat &amp; Fuels'!$E265,'Emission factors'!$J$3:$J$201,0),MATCH($L$6,'Emission factors'!$K$2:$V$2,0)))</f>
        <v/>
      </c>
      <c r="M265" s="313" t="str" cm="1">
        <f t="array" ref="M265">IF(OR(E265="",I265="",BuildingsHeatFuelsTable[[#This Row],[Units]]=""),"",INDEX('Emission factors'!$K$3:$V$201,MATCH('Buildings - Heat &amp; Fuels'!$E265&amp;F265,'Emission factors'!$J$3:$J$201&amp;'Emission factors'!$K$3:$K$201,0),MATCH('Buildings - Heat &amp; Fuels'!$M$6,'Emission factors'!$K$2:$V$2,0)))</f>
        <v/>
      </c>
      <c r="N265" s="156" t="str">
        <f>IF(OR(K265="",M265=""),"",SUM(BuildingsHeatFuelsTable[[#This Row],[Direct]:[Indirect WTT]]))</f>
        <v/>
      </c>
      <c r="O265" s="71"/>
      <c r="P265" s="72"/>
      <c r="Q265" s="157" t="str" cm="1">
        <f t="array" ref="Q265">IF(OR($E265="",$I265=""),"",(INDEX('Emission factors'!$K$3:$V$201,MATCH('Buildings - Heat &amp; Fuels'!$E265&amp;$F265,'Emission factors'!$J$3:$J$201&amp;'Emission factors'!$K$3:$K$201,0),MATCH('Buildings - Heat &amp; Fuels'!Q$6,'Emission factors'!$K$2:$V$2,0)))*$K265)</f>
        <v/>
      </c>
      <c r="R265" s="157" t="str" cm="1">
        <f t="array" ref="R265">IF(OR($E265="",$I265=""),"",(INDEX('Emission factors'!$K$3:$V$201,MATCH('Buildings - Heat &amp; Fuels'!$E265&amp;$F265,'Emission factors'!$J$3:$J$201&amp;'Emission factors'!$K$3:$K$201,0),MATCH('Buildings - Heat &amp; Fuels'!R$6,'Emission factors'!$K$2:$V$2,0)))*$K265)</f>
        <v/>
      </c>
      <c r="S265" s="157" t="str" cm="1">
        <f t="array" ref="S265">IF(OR($E265="",$I265=""),"",(INDEX('Emission factors'!$K$3:$V$201,MATCH('Buildings - Heat &amp; Fuels'!$E265&amp;$F265,'Emission factors'!$J$3:$J$201&amp;'Emission factors'!$K$3:$K$201,0),MATCH('Buildings - Heat &amp; Fuels'!S$6,'Emission factors'!$K$2:$V$2,0)))*$K265)</f>
        <v/>
      </c>
      <c r="T265" s="157" t="str" cm="1">
        <f t="array" ref="T265">IF(OR($E265="",$I265=""),"",(INDEX('Emission factors'!$K$3:$V$201,MATCH('Buildings - Heat &amp; Fuels'!$E265&amp;$F265,'Emission factors'!$J$3:$J$201&amp;'Emission factors'!$K$3:$K$201,0),MATCH('Buildings - Heat &amp; Fuels'!T$6,'Emission factors'!$K$2:$V$2,0)))*$K265)</f>
        <v/>
      </c>
      <c r="U265" s="157" t="str" cm="1">
        <f t="array" ref="U265">IF(OR($E265="",$I265=""),"",(INDEX('Emission factors'!$K$3:$V$201,MATCH('Buildings - Heat &amp; Fuels'!$E265&amp;$F265,'Emission factors'!$J$3:$J$201&amp;'Emission factors'!$K$3:$K$201,0),MATCH('Buildings - Heat &amp; Fuels'!U$6,'Emission factors'!$K$2:$V$2,0)))*$K265)</f>
        <v/>
      </c>
      <c r="V265" s="158" t="str">
        <f>IF(OR($N265="",BuildingsHeatFuelsTable[[#This Row],[RSD]]=""),"",BuildingsHeatFuelsTable[[#This Row],[Total emissions (kgCO2e)]]*(1+BuildingsHeatFuelsTable[[#This Row],[RSD]]))</f>
        <v/>
      </c>
      <c r="W265" s="159" t="str">
        <f>IF(OR($N265="",BuildingsHeatFuelsTable[[#This Row],[RSD]]=""),"",BuildingsHeatFuelsTable[[#This Row],[Total emissions (kgCO2e)]]*(1-BuildingsHeatFuelsTable[[#This Row],[RSD]]))</f>
        <v/>
      </c>
      <c r="X265" s="169" t="str" cm="1">
        <f t="array" ref="X265">IF(OR($E265="",$I265=""),"",(INDEX('Emission factors'!$K$3:$V$201,MATCH('Buildings - Heat &amp; Fuels'!$E265&amp;$F265,'Emission factors'!$J$3:$J$201&amp;'Emission factors'!$K$3:$K$201,0),MATCH('Buildings - Heat &amp; Fuels'!X$6,'Emission factors'!$K$2:$V$2,0)))*$K265)</f>
        <v/>
      </c>
      <c r="Y265" s="30"/>
      <c r="Z265" s="1" cm="1">
        <f t="array" ref="Z265">IF(OR(ISERROR(B265:X265)),1,0)</f>
        <v>0</v>
      </c>
      <c r="AA265" s="1">
        <f t="shared" si="1"/>
        <v>0</v>
      </c>
    </row>
    <row r="266" spans="1:27" ht="15" outlineLevel="1" thickBot="1" x14ac:dyDescent="0.4">
      <c r="A266" s="319"/>
      <c r="B266" s="216"/>
      <c r="C266" s="215"/>
      <c r="D266" s="233" t="str">
        <f>IFERROR(INDEX(BuildingInformationTable[Site type],MATCH(BuildingsHeatFuelsTable[[#This Row],[Site name]],BuildingInformationTable[Site name],0)),"")</f>
        <v/>
      </c>
      <c r="E266" s="72"/>
      <c r="F266" s="72"/>
      <c r="G266" s="72"/>
      <c r="H266" s="98" t="str">
        <f>IF(G266="","",INDEX(Lists!$BA$4:$BC$31,MATCH(E266,Lists!$AZ$4:$AZ$31,0),MATCH(G266,Lists!$BA$3:$BC$3,0)))</f>
        <v/>
      </c>
      <c r="I266" s="70"/>
      <c r="J266" s="72"/>
      <c r="K266" s="75" t="str" cm="1">
        <f t="array" ref="K266">IF(OR($E266="",$D266="",$I266="",$J266=""),"",IF(J266=L266,I266,(INDEX('Emission factors'!$K$3:$V$201,MATCH(E266&amp;F266,'Emission factors'!$J$3:$J$201&amp;'Emission factors'!$K$3:$K$201,0),MATCH(K$6,'Emission factors'!$K$2:$V$2,0)))*I266))</f>
        <v/>
      </c>
      <c r="L266" s="312" t="str">
        <f>IF(OR($E266="",$D266="",$I266="",$J266=""),"",INDEX('Emission factors'!$K$3:$V$201,MATCH('Buildings - Heat &amp; Fuels'!$E266,'Emission factors'!$J$3:$J$201,0),MATCH($L$6,'Emission factors'!$K$2:$V$2,0)))</f>
        <v/>
      </c>
      <c r="M266" s="313" t="str" cm="1">
        <f t="array" ref="M266">IF(OR(E266="",I266="",BuildingsHeatFuelsTable[[#This Row],[Units]]=""),"",INDEX('Emission factors'!$K$3:$V$201,MATCH('Buildings - Heat &amp; Fuels'!$E266&amp;F266,'Emission factors'!$J$3:$J$201&amp;'Emission factors'!$K$3:$K$201,0),MATCH('Buildings - Heat &amp; Fuels'!$M$6,'Emission factors'!$K$2:$V$2,0)))</f>
        <v/>
      </c>
      <c r="N266" s="156" t="str">
        <f>IF(OR(K266="",M266=""),"",SUM(BuildingsHeatFuelsTable[[#This Row],[Direct]:[Indirect WTT]]))</f>
        <v/>
      </c>
      <c r="O266" s="71"/>
      <c r="P266" s="72"/>
      <c r="Q266" s="157" t="str" cm="1">
        <f t="array" ref="Q266">IF(OR($E266="",$I266=""),"",(INDEX('Emission factors'!$K$3:$V$201,MATCH('Buildings - Heat &amp; Fuels'!$E266&amp;$F266,'Emission factors'!$J$3:$J$201&amp;'Emission factors'!$K$3:$K$201,0),MATCH('Buildings - Heat &amp; Fuels'!Q$6,'Emission factors'!$K$2:$V$2,0)))*$K266)</f>
        <v/>
      </c>
      <c r="R266" s="157" t="str" cm="1">
        <f t="array" ref="R266">IF(OR($E266="",$I266=""),"",(INDEX('Emission factors'!$K$3:$V$201,MATCH('Buildings - Heat &amp; Fuels'!$E266&amp;$F266,'Emission factors'!$J$3:$J$201&amp;'Emission factors'!$K$3:$K$201,0),MATCH('Buildings - Heat &amp; Fuels'!R$6,'Emission factors'!$K$2:$V$2,0)))*$K266)</f>
        <v/>
      </c>
      <c r="S266" s="157" t="str" cm="1">
        <f t="array" ref="S266">IF(OR($E266="",$I266=""),"",(INDEX('Emission factors'!$K$3:$V$201,MATCH('Buildings - Heat &amp; Fuels'!$E266&amp;$F266,'Emission factors'!$J$3:$J$201&amp;'Emission factors'!$K$3:$K$201,0),MATCH('Buildings - Heat &amp; Fuels'!S$6,'Emission factors'!$K$2:$V$2,0)))*$K266)</f>
        <v/>
      </c>
      <c r="T266" s="157" t="str" cm="1">
        <f t="array" ref="T266">IF(OR($E266="",$I266=""),"",(INDEX('Emission factors'!$K$3:$V$201,MATCH('Buildings - Heat &amp; Fuels'!$E266&amp;$F266,'Emission factors'!$J$3:$J$201&amp;'Emission factors'!$K$3:$K$201,0),MATCH('Buildings - Heat &amp; Fuels'!T$6,'Emission factors'!$K$2:$V$2,0)))*$K266)</f>
        <v/>
      </c>
      <c r="U266" s="157" t="str" cm="1">
        <f t="array" ref="U266">IF(OR($E266="",$I266=""),"",(INDEX('Emission factors'!$K$3:$V$201,MATCH('Buildings - Heat &amp; Fuels'!$E266&amp;$F266,'Emission factors'!$J$3:$J$201&amp;'Emission factors'!$K$3:$K$201,0),MATCH('Buildings - Heat &amp; Fuels'!U$6,'Emission factors'!$K$2:$V$2,0)))*$K266)</f>
        <v/>
      </c>
      <c r="V266" s="158" t="str">
        <f>IF(OR($N266="",BuildingsHeatFuelsTable[[#This Row],[RSD]]=""),"",BuildingsHeatFuelsTable[[#This Row],[Total emissions (kgCO2e)]]*(1+BuildingsHeatFuelsTable[[#This Row],[RSD]]))</f>
        <v/>
      </c>
      <c r="W266" s="159" t="str">
        <f>IF(OR($N266="",BuildingsHeatFuelsTable[[#This Row],[RSD]]=""),"",BuildingsHeatFuelsTable[[#This Row],[Total emissions (kgCO2e)]]*(1-BuildingsHeatFuelsTable[[#This Row],[RSD]]))</f>
        <v/>
      </c>
      <c r="X266" s="169" t="str" cm="1">
        <f t="array" ref="X266">IF(OR($E266="",$I266=""),"",(INDEX('Emission factors'!$K$3:$V$201,MATCH('Buildings - Heat &amp; Fuels'!$E266&amp;$F266,'Emission factors'!$J$3:$J$201&amp;'Emission factors'!$K$3:$K$201,0),MATCH('Buildings - Heat &amp; Fuels'!X$6,'Emission factors'!$K$2:$V$2,0)))*$K266)</f>
        <v/>
      </c>
      <c r="Y266" s="30"/>
      <c r="Z266" s="1" cm="1">
        <f t="array" ref="Z266">IF(OR(ISERROR(B266:X266)),1,0)</f>
        <v>0</v>
      </c>
      <c r="AA266" s="1">
        <f t="shared" si="1"/>
        <v>0</v>
      </c>
    </row>
    <row r="267" spans="1:27" ht="15" outlineLevel="1" thickBot="1" x14ac:dyDescent="0.4">
      <c r="A267" s="319"/>
      <c r="B267" s="216"/>
      <c r="C267" s="215"/>
      <c r="D267" s="233" t="str">
        <f>IFERROR(INDEX(BuildingInformationTable[Site type],MATCH(BuildingsHeatFuelsTable[[#This Row],[Site name]],BuildingInformationTable[Site name],0)),"")</f>
        <v/>
      </c>
      <c r="E267" s="72"/>
      <c r="F267" s="72"/>
      <c r="G267" s="72"/>
      <c r="H267" s="98" t="str">
        <f>IF(G267="","",INDEX(Lists!$BA$4:$BC$31,MATCH(E267,Lists!$AZ$4:$AZ$31,0),MATCH(G267,Lists!$BA$3:$BC$3,0)))</f>
        <v/>
      </c>
      <c r="I267" s="70"/>
      <c r="J267" s="72"/>
      <c r="K267" s="75" t="str" cm="1">
        <f t="array" ref="K267">IF(OR($E267="",$D267="",$I267="",$J267=""),"",IF(J267=L267,I267,(INDEX('Emission factors'!$K$3:$V$201,MATCH(E267&amp;F267,'Emission factors'!$J$3:$J$201&amp;'Emission factors'!$K$3:$K$201,0),MATCH(K$6,'Emission factors'!$K$2:$V$2,0)))*I267))</f>
        <v/>
      </c>
      <c r="L267" s="312" t="str">
        <f>IF(OR($E267="",$D267="",$I267="",$J267=""),"",INDEX('Emission factors'!$K$3:$V$201,MATCH('Buildings - Heat &amp; Fuels'!$E267,'Emission factors'!$J$3:$J$201,0),MATCH($L$6,'Emission factors'!$K$2:$V$2,0)))</f>
        <v/>
      </c>
      <c r="M267" s="313" t="str" cm="1">
        <f t="array" ref="M267">IF(OR(E267="",I267="",BuildingsHeatFuelsTable[[#This Row],[Units]]=""),"",INDEX('Emission factors'!$K$3:$V$201,MATCH('Buildings - Heat &amp; Fuels'!$E267&amp;F267,'Emission factors'!$J$3:$J$201&amp;'Emission factors'!$K$3:$K$201,0),MATCH('Buildings - Heat &amp; Fuels'!$M$6,'Emission factors'!$K$2:$V$2,0)))</f>
        <v/>
      </c>
      <c r="N267" s="156" t="str">
        <f>IF(OR(K267="",M267=""),"",SUM(BuildingsHeatFuelsTable[[#This Row],[Direct]:[Indirect WTT]]))</f>
        <v/>
      </c>
      <c r="O267" s="71"/>
      <c r="P267" s="72"/>
      <c r="Q267" s="157" t="str" cm="1">
        <f t="array" ref="Q267">IF(OR($E267="",$I267=""),"",(INDEX('Emission factors'!$K$3:$V$201,MATCH('Buildings - Heat &amp; Fuels'!$E267&amp;$F267,'Emission factors'!$J$3:$J$201&amp;'Emission factors'!$K$3:$K$201,0),MATCH('Buildings - Heat &amp; Fuels'!Q$6,'Emission factors'!$K$2:$V$2,0)))*$K267)</f>
        <v/>
      </c>
      <c r="R267" s="157" t="str" cm="1">
        <f t="array" ref="R267">IF(OR($E267="",$I267=""),"",(INDEX('Emission factors'!$K$3:$V$201,MATCH('Buildings - Heat &amp; Fuels'!$E267&amp;$F267,'Emission factors'!$J$3:$J$201&amp;'Emission factors'!$K$3:$K$201,0),MATCH('Buildings - Heat &amp; Fuels'!R$6,'Emission factors'!$K$2:$V$2,0)))*$K267)</f>
        <v/>
      </c>
      <c r="S267" s="157" t="str" cm="1">
        <f t="array" ref="S267">IF(OR($E267="",$I267=""),"",(INDEX('Emission factors'!$K$3:$V$201,MATCH('Buildings - Heat &amp; Fuels'!$E267&amp;$F267,'Emission factors'!$J$3:$J$201&amp;'Emission factors'!$K$3:$K$201,0),MATCH('Buildings - Heat &amp; Fuels'!S$6,'Emission factors'!$K$2:$V$2,0)))*$K267)</f>
        <v/>
      </c>
      <c r="T267" s="157" t="str" cm="1">
        <f t="array" ref="T267">IF(OR($E267="",$I267=""),"",(INDEX('Emission factors'!$K$3:$V$201,MATCH('Buildings - Heat &amp; Fuels'!$E267&amp;$F267,'Emission factors'!$J$3:$J$201&amp;'Emission factors'!$K$3:$K$201,0),MATCH('Buildings - Heat &amp; Fuels'!T$6,'Emission factors'!$K$2:$V$2,0)))*$K267)</f>
        <v/>
      </c>
      <c r="U267" s="157" t="str" cm="1">
        <f t="array" ref="U267">IF(OR($E267="",$I267=""),"",(INDEX('Emission factors'!$K$3:$V$201,MATCH('Buildings - Heat &amp; Fuels'!$E267&amp;$F267,'Emission factors'!$J$3:$J$201&amp;'Emission factors'!$K$3:$K$201,0),MATCH('Buildings - Heat &amp; Fuels'!U$6,'Emission factors'!$K$2:$V$2,0)))*$K267)</f>
        <v/>
      </c>
      <c r="V267" s="158" t="str">
        <f>IF(OR($N267="",BuildingsHeatFuelsTable[[#This Row],[RSD]]=""),"",BuildingsHeatFuelsTable[[#This Row],[Total emissions (kgCO2e)]]*(1+BuildingsHeatFuelsTable[[#This Row],[RSD]]))</f>
        <v/>
      </c>
      <c r="W267" s="159" t="str">
        <f>IF(OR($N267="",BuildingsHeatFuelsTable[[#This Row],[RSD]]=""),"",BuildingsHeatFuelsTable[[#This Row],[Total emissions (kgCO2e)]]*(1-BuildingsHeatFuelsTable[[#This Row],[RSD]]))</f>
        <v/>
      </c>
      <c r="X267" s="169" t="str" cm="1">
        <f t="array" ref="X267">IF(OR($E267="",$I267=""),"",(INDEX('Emission factors'!$K$3:$V$201,MATCH('Buildings - Heat &amp; Fuels'!$E267&amp;$F267,'Emission factors'!$J$3:$J$201&amp;'Emission factors'!$K$3:$K$201,0),MATCH('Buildings - Heat &amp; Fuels'!X$6,'Emission factors'!$K$2:$V$2,0)))*$K267)</f>
        <v/>
      </c>
      <c r="Y267" s="30"/>
      <c r="Z267" s="1" cm="1">
        <f t="array" ref="Z267">IF(OR(ISERROR(B267:X267)),1,0)</f>
        <v>0</v>
      </c>
      <c r="AA267" s="1">
        <f t="shared" si="1"/>
        <v>0</v>
      </c>
    </row>
    <row r="268" spans="1:27" ht="15" outlineLevel="1" thickBot="1" x14ac:dyDescent="0.4">
      <c r="A268" s="319"/>
      <c r="B268" s="216"/>
      <c r="C268" s="215"/>
      <c r="D268" s="233" t="str">
        <f>IFERROR(INDEX(BuildingInformationTable[Site type],MATCH(BuildingsHeatFuelsTable[[#This Row],[Site name]],BuildingInformationTable[Site name],0)),"")</f>
        <v/>
      </c>
      <c r="E268" s="72"/>
      <c r="F268" s="72"/>
      <c r="G268" s="72"/>
      <c r="H268" s="98" t="str">
        <f>IF(G268="","",INDEX(Lists!$BA$4:$BC$31,MATCH(E268,Lists!$AZ$4:$AZ$31,0),MATCH(G268,Lists!$BA$3:$BC$3,0)))</f>
        <v/>
      </c>
      <c r="I268" s="70"/>
      <c r="J268" s="72"/>
      <c r="K268" s="75" t="str" cm="1">
        <f t="array" ref="K268">IF(OR($E268="",$D268="",$I268="",$J268=""),"",IF(J268=L268,I268,(INDEX('Emission factors'!$K$3:$V$201,MATCH(E268&amp;F268,'Emission factors'!$J$3:$J$201&amp;'Emission factors'!$K$3:$K$201,0),MATCH(K$6,'Emission factors'!$K$2:$V$2,0)))*I268))</f>
        <v/>
      </c>
      <c r="L268" s="312" t="str">
        <f>IF(OR($E268="",$D268="",$I268="",$J268=""),"",INDEX('Emission factors'!$K$3:$V$201,MATCH('Buildings - Heat &amp; Fuels'!$E268,'Emission factors'!$J$3:$J$201,0),MATCH($L$6,'Emission factors'!$K$2:$V$2,0)))</f>
        <v/>
      </c>
      <c r="M268" s="313" t="str" cm="1">
        <f t="array" ref="M268">IF(OR(E268="",I268="",BuildingsHeatFuelsTable[[#This Row],[Units]]=""),"",INDEX('Emission factors'!$K$3:$V$201,MATCH('Buildings - Heat &amp; Fuels'!$E268&amp;F268,'Emission factors'!$J$3:$J$201&amp;'Emission factors'!$K$3:$K$201,0),MATCH('Buildings - Heat &amp; Fuels'!$M$6,'Emission factors'!$K$2:$V$2,0)))</f>
        <v/>
      </c>
      <c r="N268" s="156" t="str">
        <f>IF(OR(K268="",M268=""),"",SUM(BuildingsHeatFuelsTable[[#This Row],[Direct]:[Indirect WTT]]))</f>
        <v/>
      </c>
      <c r="O268" s="71"/>
      <c r="P268" s="72"/>
      <c r="Q268" s="157" t="str" cm="1">
        <f t="array" ref="Q268">IF(OR($E268="",$I268=""),"",(INDEX('Emission factors'!$K$3:$V$201,MATCH('Buildings - Heat &amp; Fuels'!$E268&amp;$F268,'Emission factors'!$J$3:$J$201&amp;'Emission factors'!$K$3:$K$201,0),MATCH('Buildings - Heat &amp; Fuels'!Q$6,'Emission factors'!$K$2:$V$2,0)))*$K268)</f>
        <v/>
      </c>
      <c r="R268" s="157" t="str" cm="1">
        <f t="array" ref="R268">IF(OR($E268="",$I268=""),"",(INDEX('Emission factors'!$K$3:$V$201,MATCH('Buildings - Heat &amp; Fuels'!$E268&amp;$F268,'Emission factors'!$J$3:$J$201&amp;'Emission factors'!$K$3:$K$201,0),MATCH('Buildings - Heat &amp; Fuels'!R$6,'Emission factors'!$K$2:$V$2,0)))*$K268)</f>
        <v/>
      </c>
      <c r="S268" s="157" t="str" cm="1">
        <f t="array" ref="S268">IF(OR($E268="",$I268=""),"",(INDEX('Emission factors'!$K$3:$V$201,MATCH('Buildings - Heat &amp; Fuels'!$E268&amp;$F268,'Emission factors'!$J$3:$J$201&amp;'Emission factors'!$K$3:$K$201,0),MATCH('Buildings - Heat &amp; Fuels'!S$6,'Emission factors'!$K$2:$V$2,0)))*$K268)</f>
        <v/>
      </c>
      <c r="T268" s="157" t="str" cm="1">
        <f t="array" ref="T268">IF(OR($E268="",$I268=""),"",(INDEX('Emission factors'!$K$3:$V$201,MATCH('Buildings - Heat &amp; Fuels'!$E268&amp;$F268,'Emission factors'!$J$3:$J$201&amp;'Emission factors'!$K$3:$K$201,0),MATCH('Buildings - Heat &amp; Fuels'!T$6,'Emission factors'!$K$2:$V$2,0)))*$K268)</f>
        <v/>
      </c>
      <c r="U268" s="157" t="str" cm="1">
        <f t="array" ref="U268">IF(OR($E268="",$I268=""),"",(INDEX('Emission factors'!$K$3:$V$201,MATCH('Buildings - Heat &amp; Fuels'!$E268&amp;$F268,'Emission factors'!$J$3:$J$201&amp;'Emission factors'!$K$3:$K$201,0),MATCH('Buildings - Heat &amp; Fuels'!U$6,'Emission factors'!$K$2:$V$2,0)))*$K268)</f>
        <v/>
      </c>
      <c r="V268" s="158" t="str">
        <f>IF(OR($N268="",BuildingsHeatFuelsTable[[#This Row],[RSD]]=""),"",BuildingsHeatFuelsTable[[#This Row],[Total emissions (kgCO2e)]]*(1+BuildingsHeatFuelsTable[[#This Row],[RSD]]))</f>
        <v/>
      </c>
      <c r="W268" s="159" t="str">
        <f>IF(OR($N268="",BuildingsHeatFuelsTable[[#This Row],[RSD]]=""),"",BuildingsHeatFuelsTable[[#This Row],[Total emissions (kgCO2e)]]*(1-BuildingsHeatFuelsTable[[#This Row],[RSD]]))</f>
        <v/>
      </c>
      <c r="X268" s="169" t="str" cm="1">
        <f t="array" ref="X268">IF(OR($E268="",$I268=""),"",(INDEX('Emission factors'!$K$3:$V$201,MATCH('Buildings - Heat &amp; Fuels'!$E268&amp;$F268,'Emission factors'!$J$3:$J$201&amp;'Emission factors'!$K$3:$K$201,0),MATCH('Buildings - Heat &amp; Fuels'!X$6,'Emission factors'!$K$2:$V$2,0)))*$K268)</f>
        <v/>
      </c>
      <c r="Y268" s="30"/>
      <c r="Z268" s="1" cm="1">
        <f t="array" ref="Z268">IF(OR(ISERROR(B268:X268)),1,0)</f>
        <v>0</v>
      </c>
      <c r="AA268" s="1">
        <f t="shared" si="1"/>
        <v>0</v>
      </c>
    </row>
    <row r="269" spans="1:27" ht="15" outlineLevel="1" thickBot="1" x14ac:dyDescent="0.4">
      <c r="A269" s="319"/>
      <c r="B269" s="216"/>
      <c r="C269" s="215"/>
      <c r="D269" s="233" t="str">
        <f>IFERROR(INDEX(BuildingInformationTable[Site type],MATCH(BuildingsHeatFuelsTable[[#This Row],[Site name]],BuildingInformationTable[Site name],0)),"")</f>
        <v/>
      </c>
      <c r="E269" s="72"/>
      <c r="F269" s="72"/>
      <c r="G269" s="72"/>
      <c r="H269" s="98" t="str">
        <f>IF(G269="","",INDEX(Lists!$BA$4:$BC$31,MATCH(E269,Lists!$AZ$4:$AZ$31,0),MATCH(G269,Lists!$BA$3:$BC$3,0)))</f>
        <v/>
      </c>
      <c r="I269" s="70"/>
      <c r="J269" s="72"/>
      <c r="K269" s="75" t="str" cm="1">
        <f t="array" ref="K269">IF(OR($E269="",$D269="",$I269="",$J269=""),"",IF(J269=L269,I269,(INDEX('Emission factors'!$K$3:$V$201,MATCH(E269&amp;F269,'Emission factors'!$J$3:$J$201&amp;'Emission factors'!$K$3:$K$201,0),MATCH(K$6,'Emission factors'!$K$2:$V$2,0)))*I269))</f>
        <v/>
      </c>
      <c r="L269" s="312" t="str">
        <f>IF(OR($E269="",$D269="",$I269="",$J269=""),"",INDEX('Emission factors'!$K$3:$V$201,MATCH('Buildings - Heat &amp; Fuels'!$E269,'Emission factors'!$J$3:$J$201,0),MATCH($L$6,'Emission factors'!$K$2:$V$2,0)))</f>
        <v/>
      </c>
      <c r="M269" s="313" t="str" cm="1">
        <f t="array" ref="M269">IF(OR(E269="",I269="",BuildingsHeatFuelsTable[[#This Row],[Units]]=""),"",INDEX('Emission factors'!$K$3:$V$201,MATCH('Buildings - Heat &amp; Fuels'!$E269&amp;F269,'Emission factors'!$J$3:$J$201&amp;'Emission factors'!$K$3:$K$201,0),MATCH('Buildings - Heat &amp; Fuels'!$M$6,'Emission factors'!$K$2:$V$2,0)))</f>
        <v/>
      </c>
      <c r="N269" s="156" t="str">
        <f>IF(OR(K269="",M269=""),"",SUM(BuildingsHeatFuelsTable[[#This Row],[Direct]:[Indirect WTT]]))</f>
        <v/>
      </c>
      <c r="O269" s="71"/>
      <c r="P269" s="72"/>
      <c r="Q269" s="157" t="str" cm="1">
        <f t="array" ref="Q269">IF(OR($E269="",$I269=""),"",(INDEX('Emission factors'!$K$3:$V$201,MATCH('Buildings - Heat &amp; Fuels'!$E269&amp;$F269,'Emission factors'!$J$3:$J$201&amp;'Emission factors'!$K$3:$K$201,0),MATCH('Buildings - Heat &amp; Fuels'!Q$6,'Emission factors'!$K$2:$V$2,0)))*$K269)</f>
        <v/>
      </c>
      <c r="R269" s="157" t="str" cm="1">
        <f t="array" ref="R269">IF(OR($E269="",$I269=""),"",(INDEX('Emission factors'!$K$3:$V$201,MATCH('Buildings - Heat &amp; Fuels'!$E269&amp;$F269,'Emission factors'!$J$3:$J$201&amp;'Emission factors'!$K$3:$K$201,0),MATCH('Buildings - Heat &amp; Fuels'!R$6,'Emission factors'!$K$2:$V$2,0)))*$K269)</f>
        <v/>
      </c>
      <c r="S269" s="157" t="str" cm="1">
        <f t="array" ref="S269">IF(OR($E269="",$I269=""),"",(INDEX('Emission factors'!$K$3:$V$201,MATCH('Buildings - Heat &amp; Fuels'!$E269&amp;$F269,'Emission factors'!$J$3:$J$201&amp;'Emission factors'!$K$3:$K$201,0),MATCH('Buildings - Heat &amp; Fuels'!S$6,'Emission factors'!$K$2:$V$2,0)))*$K269)</f>
        <v/>
      </c>
      <c r="T269" s="157" t="str" cm="1">
        <f t="array" ref="T269">IF(OR($E269="",$I269=""),"",(INDEX('Emission factors'!$K$3:$V$201,MATCH('Buildings - Heat &amp; Fuels'!$E269&amp;$F269,'Emission factors'!$J$3:$J$201&amp;'Emission factors'!$K$3:$K$201,0),MATCH('Buildings - Heat &amp; Fuels'!T$6,'Emission factors'!$K$2:$V$2,0)))*$K269)</f>
        <v/>
      </c>
      <c r="U269" s="157" t="str" cm="1">
        <f t="array" ref="U269">IF(OR($E269="",$I269=""),"",(INDEX('Emission factors'!$K$3:$V$201,MATCH('Buildings - Heat &amp; Fuels'!$E269&amp;$F269,'Emission factors'!$J$3:$J$201&amp;'Emission factors'!$K$3:$K$201,0),MATCH('Buildings - Heat &amp; Fuels'!U$6,'Emission factors'!$K$2:$V$2,0)))*$K269)</f>
        <v/>
      </c>
      <c r="V269" s="158" t="str">
        <f>IF(OR($N269="",BuildingsHeatFuelsTable[[#This Row],[RSD]]=""),"",BuildingsHeatFuelsTable[[#This Row],[Total emissions (kgCO2e)]]*(1+BuildingsHeatFuelsTable[[#This Row],[RSD]]))</f>
        <v/>
      </c>
      <c r="W269" s="159" t="str">
        <f>IF(OR($N269="",BuildingsHeatFuelsTable[[#This Row],[RSD]]=""),"",BuildingsHeatFuelsTable[[#This Row],[Total emissions (kgCO2e)]]*(1-BuildingsHeatFuelsTable[[#This Row],[RSD]]))</f>
        <v/>
      </c>
      <c r="X269" s="169" t="str" cm="1">
        <f t="array" ref="X269">IF(OR($E269="",$I269=""),"",(INDEX('Emission factors'!$K$3:$V$201,MATCH('Buildings - Heat &amp; Fuels'!$E269&amp;$F269,'Emission factors'!$J$3:$J$201&amp;'Emission factors'!$K$3:$K$201,0),MATCH('Buildings - Heat &amp; Fuels'!X$6,'Emission factors'!$K$2:$V$2,0)))*$K269)</f>
        <v/>
      </c>
      <c r="Y269" s="30"/>
      <c r="Z269" s="1" cm="1">
        <f t="array" ref="Z269">IF(OR(ISERROR(B269:X269)),1,0)</f>
        <v>0</v>
      </c>
      <c r="AA269" s="1">
        <f t="shared" si="1"/>
        <v>0</v>
      </c>
    </row>
    <row r="270" spans="1:27" ht="15" outlineLevel="1" thickBot="1" x14ac:dyDescent="0.4">
      <c r="A270" s="319"/>
      <c r="B270" s="216"/>
      <c r="C270" s="215"/>
      <c r="D270" s="233" t="str">
        <f>IFERROR(INDEX(BuildingInformationTable[Site type],MATCH(BuildingsHeatFuelsTable[[#This Row],[Site name]],BuildingInformationTable[Site name],0)),"")</f>
        <v/>
      </c>
      <c r="E270" s="72"/>
      <c r="F270" s="72"/>
      <c r="G270" s="72"/>
      <c r="H270" s="98" t="str">
        <f>IF(G270="","",INDEX(Lists!$BA$4:$BC$31,MATCH(E270,Lists!$AZ$4:$AZ$31,0),MATCH(G270,Lists!$BA$3:$BC$3,0)))</f>
        <v/>
      </c>
      <c r="I270" s="70"/>
      <c r="J270" s="72"/>
      <c r="K270" s="75" t="str" cm="1">
        <f t="array" ref="K270">IF(OR($E270="",$D270="",$I270="",$J270=""),"",IF(J270=L270,I270,(INDEX('Emission factors'!$K$3:$V$201,MATCH(E270&amp;F270,'Emission factors'!$J$3:$J$201&amp;'Emission factors'!$K$3:$K$201,0),MATCH(K$6,'Emission factors'!$K$2:$V$2,0)))*I270))</f>
        <v/>
      </c>
      <c r="L270" s="312" t="str">
        <f>IF(OR($E270="",$D270="",$I270="",$J270=""),"",INDEX('Emission factors'!$K$3:$V$201,MATCH('Buildings - Heat &amp; Fuels'!$E270,'Emission factors'!$J$3:$J$201,0),MATCH($L$6,'Emission factors'!$K$2:$V$2,0)))</f>
        <v/>
      </c>
      <c r="M270" s="313" t="str" cm="1">
        <f t="array" ref="M270">IF(OR(E270="",I270="",BuildingsHeatFuelsTable[[#This Row],[Units]]=""),"",INDEX('Emission factors'!$K$3:$V$201,MATCH('Buildings - Heat &amp; Fuels'!$E270&amp;F270,'Emission factors'!$J$3:$J$201&amp;'Emission factors'!$K$3:$K$201,0),MATCH('Buildings - Heat &amp; Fuels'!$M$6,'Emission factors'!$K$2:$V$2,0)))</f>
        <v/>
      </c>
      <c r="N270" s="156" t="str">
        <f>IF(OR(K270="",M270=""),"",SUM(BuildingsHeatFuelsTable[[#This Row],[Direct]:[Indirect WTT]]))</f>
        <v/>
      </c>
      <c r="O270" s="71"/>
      <c r="P270" s="72"/>
      <c r="Q270" s="157" t="str" cm="1">
        <f t="array" ref="Q270">IF(OR($E270="",$I270=""),"",(INDEX('Emission factors'!$K$3:$V$201,MATCH('Buildings - Heat &amp; Fuels'!$E270&amp;$F270,'Emission factors'!$J$3:$J$201&amp;'Emission factors'!$K$3:$K$201,0),MATCH('Buildings - Heat &amp; Fuels'!Q$6,'Emission factors'!$K$2:$V$2,0)))*$K270)</f>
        <v/>
      </c>
      <c r="R270" s="157" t="str" cm="1">
        <f t="array" ref="R270">IF(OR($E270="",$I270=""),"",(INDEX('Emission factors'!$K$3:$V$201,MATCH('Buildings - Heat &amp; Fuels'!$E270&amp;$F270,'Emission factors'!$J$3:$J$201&amp;'Emission factors'!$K$3:$K$201,0),MATCH('Buildings - Heat &amp; Fuels'!R$6,'Emission factors'!$K$2:$V$2,0)))*$K270)</f>
        <v/>
      </c>
      <c r="S270" s="157" t="str" cm="1">
        <f t="array" ref="S270">IF(OR($E270="",$I270=""),"",(INDEX('Emission factors'!$K$3:$V$201,MATCH('Buildings - Heat &amp; Fuels'!$E270&amp;$F270,'Emission factors'!$J$3:$J$201&amp;'Emission factors'!$K$3:$K$201,0),MATCH('Buildings - Heat &amp; Fuels'!S$6,'Emission factors'!$K$2:$V$2,0)))*$K270)</f>
        <v/>
      </c>
      <c r="T270" s="157" t="str" cm="1">
        <f t="array" ref="T270">IF(OR($E270="",$I270=""),"",(INDEX('Emission factors'!$K$3:$V$201,MATCH('Buildings - Heat &amp; Fuels'!$E270&amp;$F270,'Emission factors'!$J$3:$J$201&amp;'Emission factors'!$K$3:$K$201,0),MATCH('Buildings - Heat &amp; Fuels'!T$6,'Emission factors'!$K$2:$V$2,0)))*$K270)</f>
        <v/>
      </c>
      <c r="U270" s="157" t="str" cm="1">
        <f t="array" ref="U270">IF(OR($E270="",$I270=""),"",(INDEX('Emission factors'!$K$3:$V$201,MATCH('Buildings - Heat &amp; Fuels'!$E270&amp;$F270,'Emission factors'!$J$3:$J$201&amp;'Emission factors'!$K$3:$K$201,0),MATCH('Buildings - Heat &amp; Fuels'!U$6,'Emission factors'!$K$2:$V$2,0)))*$K270)</f>
        <v/>
      </c>
      <c r="V270" s="158" t="str">
        <f>IF(OR($N270="",BuildingsHeatFuelsTable[[#This Row],[RSD]]=""),"",BuildingsHeatFuelsTable[[#This Row],[Total emissions (kgCO2e)]]*(1+BuildingsHeatFuelsTable[[#This Row],[RSD]]))</f>
        <v/>
      </c>
      <c r="W270" s="159" t="str">
        <f>IF(OR($N270="",BuildingsHeatFuelsTable[[#This Row],[RSD]]=""),"",BuildingsHeatFuelsTable[[#This Row],[Total emissions (kgCO2e)]]*(1-BuildingsHeatFuelsTable[[#This Row],[RSD]]))</f>
        <v/>
      </c>
      <c r="X270" s="169" t="str" cm="1">
        <f t="array" ref="X270">IF(OR($E270="",$I270=""),"",(INDEX('Emission factors'!$K$3:$V$201,MATCH('Buildings - Heat &amp; Fuels'!$E270&amp;$F270,'Emission factors'!$J$3:$J$201&amp;'Emission factors'!$K$3:$K$201,0),MATCH('Buildings - Heat &amp; Fuels'!X$6,'Emission factors'!$K$2:$V$2,0)))*$K270)</f>
        <v/>
      </c>
      <c r="Y270" s="30"/>
      <c r="Z270" s="1" cm="1">
        <f t="array" ref="Z270">IF(OR(ISERROR(B270:X270)),1,0)</f>
        <v>0</v>
      </c>
      <c r="AA270" s="1">
        <f t="shared" si="1"/>
        <v>0</v>
      </c>
    </row>
    <row r="271" spans="1:27" ht="15" outlineLevel="1" thickBot="1" x14ac:dyDescent="0.4">
      <c r="A271" s="319"/>
      <c r="B271" s="216"/>
      <c r="C271" s="215"/>
      <c r="D271" s="233" t="str">
        <f>IFERROR(INDEX(BuildingInformationTable[Site type],MATCH(BuildingsHeatFuelsTable[[#This Row],[Site name]],BuildingInformationTable[Site name],0)),"")</f>
        <v/>
      </c>
      <c r="E271" s="72"/>
      <c r="F271" s="72"/>
      <c r="G271" s="72"/>
      <c r="H271" s="98" t="str">
        <f>IF(G271="","",INDEX(Lists!$BA$4:$BC$31,MATCH(E271,Lists!$AZ$4:$AZ$31,0),MATCH(G271,Lists!$BA$3:$BC$3,0)))</f>
        <v/>
      </c>
      <c r="I271" s="70"/>
      <c r="J271" s="72"/>
      <c r="K271" s="75" t="str" cm="1">
        <f t="array" ref="K271">IF(OR($E271="",$D271="",$I271="",$J271=""),"",IF(J271=L271,I271,(INDEX('Emission factors'!$K$3:$V$201,MATCH(E271&amp;F271,'Emission factors'!$J$3:$J$201&amp;'Emission factors'!$K$3:$K$201,0),MATCH(K$6,'Emission factors'!$K$2:$V$2,0)))*I271))</f>
        <v/>
      </c>
      <c r="L271" s="312" t="str">
        <f>IF(OR($E271="",$D271="",$I271="",$J271=""),"",INDEX('Emission factors'!$K$3:$V$201,MATCH('Buildings - Heat &amp; Fuels'!$E271,'Emission factors'!$J$3:$J$201,0),MATCH($L$6,'Emission factors'!$K$2:$V$2,0)))</f>
        <v/>
      </c>
      <c r="M271" s="313" t="str" cm="1">
        <f t="array" ref="M271">IF(OR(E271="",I271="",BuildingsHeatFuelsTable[[#This Row],[Units]]=""),"",INDEX('Emission factors'!$K$3:$V$201,MATCH('Buildings - Heat &amp; Fuels'!$E271&amp;F271,'Emission factors'!$J$3:$J$201&amp;'Emission factors'!$K$3:$K$201,0),MATCH('Buildings - Heat &amp; Fuels'!$M$6,'Emission factors'!$K$2:$V$2,0)))</f>
        <v/>
      </c>
      <c r="N271" s="156" t="str">
        <f>IF(OR(K271="",M271=""),"",SUM(BuildingsHeatFuelsTable[[#This Row],[Direct]:[Indirect WTT]]))</f>
        <v/>
      </c>
      <c r="O271" s="71"/>
      <c r="P271" s="72"/>
      <c r="Q271" s="157" t="str" cm="1">
        <f t="array" ref="Q271">IF(OR($E271="",$I271=""),"",(INDEX('Emission factors'!$K$3:$V$201,MATCH('Buildings - Heat &amp; Fuels'!$E271&amp;$F271,'Emission factors'!$J$3:$J$201&amp;'Emission factors'!$K$3:$K$201,0),MATCH('Buildings - Heat &amp; Fuels'!Q$6,'Emission factors'!$K$2:$V$2,0)))*$K271)</f>
        <v/>
      </c>
      <c r="R271" s="157" t="str" cm="1">
        <f t="array" ref="R271">IF(OR($E271="",$I271=""),"",(INDEX('Emission factors'!$K$3:$V$201,MATCH('Buildings - Heat &amp; Fuels'!$E271&amp;$F271,'Emission factors'!$J$3:$J$201&amp;'Emission factors'!$K$3:$K$201,0),MATCH('Buildings - Heat &amp; Fuels'!R$6,'Emission factors'!$K$2:$V$2,0)))*$K271)</f>
        <v/>
      </c>
      <c r="S271" s="157" t="str" cm="1">
        <f t="array" ref="S271">IF(OR($E271="",$I271=""),"",(INDEX('Emission factors'!$K$3:$V$201,MATCH('Buildings - Heat &amp; Fuels'!$E271&amp;$F271,'Emission factors'!$J$3:$J$201&amp;'Emission factors'!$K$3:$K$201,0),MATCH('Buildings - Heat &amp; Fuels'!S$6,'Emission factors'!$K$2:$V$2,0)))*$K271)</f>
        <v/>
      </c>
      <c r="T271" s="157" t="str" cm="1">
        <f t="array" ref="T271">IF(OR($E271="",$I271=""),"",(INDEX('Emission factors'!$K$3:$V$201,MATCH('Buildings - Heat &amp; Fuels'!$E271&amp;$F271,'Emission factors'!$J$3:$J$201&amp;'Emission factors'!$K$3:$K$201,0),MATCH('Buildings - Heat &amp; Fuels'!T$6,'Emission factors'!$K$2:$V$2,0)))*$K271)</f>
        <v/>
      </c>
      <c r="U271" s="157" t="str" cm="1">
        <f t="array" ref="U271">IF(OR($E271="",$I271=""),"",(INDEX('Emission factors'!$K$3:$V$201,MATCH('Buildings - Heat &amp; Fuels'!$E271&amp;$F271,'Emission factors'!$J$3:$J$201&amp;'Emission factors'!$K$3:$K$201,0),MATCH('Buildings - Heat &amp; Fuels'!U$6,'Emission factors'!$K$2:$V$2,0)))*$K271)</f>
        <v/>
      </c>
      <c r="V271" s="158" t="str">
        <f>IF(OR($N271="",BuildingsHeatFuelsTable[[#This Row],[RSD]]=""),"",BuildingsHeatFuelsTable[[#This Row],[Total emissions (kgCO2e)]]*(1+BuildingsHeatFuelsTable[[#This Row],[RSD]]))</f>
        <v/>
      </c>
      <c r="W271" s="159" t="str">
        <f>IF(OR($N271="",BuildingsHeatFuelsTable[[#This Row],[RSD]]=""),"",BuildingsHeatFuelsTable[[#This Row],[Total emissions (kgCO2e)]]*(1-BuildingsHeatFuelsTable[[#This Row],[RSD]]))</f>
        <v/>
      </c>
      <c r="X271" s="169" t="str" cm="1">
        <f t="array" ref="X271">IF(OR($E271="",$I271=""),"",(INDEX('Emission factors'!$K$3:$V$201,MATCH('Buildings - Heat &amp; Fuels'!$E271&amp;$F271,'Emission factors'!$J$3:$J$201&amp;'Emission factors'!$K$3:$K$201,0),MATCH('Buildings - Heat &amp; Fuels'!X$6,'Emission factors'!$K$2:$V$2,0)))*$K271)</f>
        <v/>
      </c>
      <c r="Y271" s="30"/>
      <c r="Z271" s="1" cm="1">
        <f t="array" ref="Z271">IF(OR(ISERROR(B271:X271)),1,0)</f>
        <v>0</v>
      </c>
      <c r="AA271" s="1">
        <f t="shared" si="1"/>
        <v>0</v>
      </c>
    </row>
    <row r="272" spans="1:27" ht="15" outlineLevel="1" thickBot="1" x14ac:dyDescent="0.4">
      <c r="A272" s="319"/>
      <c r="B272" s="216"/>
      <c r="C272" s="215"/>
      <c r="D272" s="233" t="str">
        <f>IFERROR(INDEX(BuildingInformationTable[Site type],MATCH(BuildingsHeatFuelsTable[[#This Row],[Site name]],BuildingInformationTable[Site name],0)),"")</f>
        <v/>
      </c>
      <c r="E272" s="72"/>
      <c r="F272" s="72"/>
      <c r="G272" s="72"/>
      <c r="H272" s="98" t="str">
        <f>IF(G272="","",INDEX(Lists!$BA$4:$BC$31,MATCH(E272,Lists!$AZ$4:$AZ$31,0),MATCH(G272,Lists!$BA$3:$BC$3,0)))</f>
        <v/>
      </c>
      <c r="I272" s="70"/>
      <c r="J272" s="72"/>
      <c r="K272" s="75" t="str" cm="1">
        <f t="array" ref="K272">IF(OR($E272="",$D272="",$I272="",$J272=""),"",IF(J272=L272,I272,(INDEX('Emission factors'!$K$3:$V$201,MATCH(E272&amp;F272,'Emission factors'!$J$3:$J$201&amp;'Emission factors'!$K$3:$K$201,0),MATCH(K$6,'Emission factors'!$K$2:$V$2,0)))*I272))</f>
        <v/>
      </c>
      <c r="L272" s="312" t="str">
        <f>IF(OR($E272="",$D272="",$I272="",$J272=""),"",INDEX('Emission factors'!$K$3:$V$201,MATCH('Buildings - Heat &amp; Fuels'!$E272,'Emission factors'!$J$3:$J$201,0),MATCH($L$6,'Emission factors'!$K$2:$V$2,0)))</f>
        <v/>
      </c>
      <c r="M272" s="313" t="str" cm="1">
        <f t="array" ref="M272">IF(OR(E272="",I272="",BuildingsHeatFuelsTable[[#This Row],[Units]]=""),"",INDEX('Emission factors'!$K$3:$V$201,MATCH('Buildings - Heat &amp; Fuels'!$E272&amp;F272,'Emission factors'!$J$3:$J$201&amp;'Emission factors'!$K$3:$K$201,0),MATCH('Buildings - Heat &amp; Fuels'!$M$6,'Emission factors'!$K$2:$V$2,0)))</f>
        <v/>
      </c>
      <c r="N272" s="156" t="str">
        <f>IF(OR(K272="",M272=""),"",SUM(BuildingsHeatFuelsTable[[#This Row],[Direct]:[Indirect WTT]]))</f>
        <v/>
      </c>
      <c r="O272" s="71"/>
      <c r="P272" s="72"/>
      <c r="Q272" s="157" t="str" cm="1">
        <f t="array" ref="Q272">IF(OR($E272="",$I272=""),"",(INDEX('Emission factors'!$K$3:$V$201,MATCH('Buildings - Heat &amp; Fuels'!$E272&amp;$F272,'Emission factors'!$J$3:$J$201&amp;'Emission factors'!$K$3:$K$201,0),MATCH('Buildings - Heat &amp; Fuels'!Q$6,'Emission factors'!$K$2:$V$2,0)))*$K272)</f>
        <v/>
      </c>
      <c r="R272" s="157" t="str" cm="1">
        <f t="array" ref="R272">IF(OR($E272="",$I272=""),"",(INDEX('Emission factors'!$K$3:$V$201,MATCH('Buildings - Heat &amp; Fuels'!$E272&amp;$F272,'Emission factors'!$J$3:$J$201&amp;'Emission factors'!$K$3:$K$201,0),MATCH('Buildings - Heat &amp; Fuels'!R$6,'Emission factors'!$K$2:$V$2,0)))*$K272)</f>
        <v/>
      </c>
      <c r="S272" s="157" t="str" cm="1">
        <f t="array" ref="S272">IF(OR($E272="",$I272=""),"",(INDEX('Emission factors'!$K$3:$V$201,MATCH('Buildings - Heat &amp; Fuels'!$E272&amp;$F272,'Emission factors'!$J$3:$J$201&amp;'Emission factors'!$K$3:$K$201,0),MATCH('Buildings - Heat &amp; Fuels'!S$6,'Emission factors'!$K$2:$V$2,0)))*$K272)</f>
        <v/>
      </c>
      <c r="T272" s="157" t="str" cm="1">
        <f t="array" ref="T272">IF(OR($E272="",$I272=""),"",(INDEX('Emission factors'!$K$3:$V$201,MATCH('Buildings - Heat &amp; Fuels'!$E272&amp;$F272,'Emission factors'!$J$3:$J$201&amp;'Emission factors'!$K$3:$K$201,0),MATCH('Buildings - Heat &amp; Fuels'!T$6,'Emission factors'!$K$2:$V$2,0)))*$K272)</f>
        <v/>
      </c>
      <c r="U272" s="157" t="str" cm="1">
        <f t="array" ref="U272">IF(OR($E272="",$I272=""),"",(INDEX('Emission factors'!$K$3:$V$201,MATCH('Buildings - Heat &amp; Fuels'!$E272&amp;$F272,'Emission factors'!$J$3:$J$201&amp;'Emission factors'!$K$3:$K$201,0),MATCH('Buildings - Heat &amp; Fuels'!U$6,'Emission factors'!$K$2:$V$2,0)))*$K272)</f>
        <v/>
      </c>
      <c r="V272" s="158" t="str">
        <f>IF(OR($N272="",BuildingsHeatFuelsTable[[#This Row],[RSD]]=""),"",BuildingsHeatFuelsTable[[#This Row],[Total emissions (kgCO2e)]]*(1+BuildingsHeatFuelsTable[[#This Row],[RSD]]))</f>
        <v/>
      </c>
      <c r="W272" s="159" t="str">
        <f>IF(OR($N272="",BuildingsHeatFuelsTable[[#This Row],[RSD]]=""),"",BuildingsHeatFuelsTable[[#This Row],[Total emissions (kgCO2e)]]*(1-BuildingsHeatFuelsTable[[#This Row],[RSD]]))</f>
        <v/>
      </c>
      <c r="X272" s="169" t="str" cm="1">
        <f t="array" ref="X272">IF(OR($E272="",$I272=""),"",(INDEX('Emission factors'!$K$3:$V$201,MATCH('Buildings - Heat &amp; Fuels'!$E272&amp;$F272,'Emission factors'!$J$3:$J$201&amp;'Emission factors'!$K$3:$K$201,0),MATCH('Buildings - Heat &amp; Fuels'!X$6,'Emission factors'!$K$2:$V$2,0)))*$K272)</f>
        <v/>
      </c>
      <c r="Y272" s="30"/>
      <c r="Z272" s="1" cm="1">
        <f t="array" ref="Z272">IF(OR(ISERROR(B272:X272)),1,0)</f>
        <v>0</v>
      </c>
      <c r="AA272" s="1">
        <f t="shared" si="1"/>
        <v>0</v>
      </c>
    </row>
    <row r="273" spans="1:27" ht="15" outlineLevel="1" thickBot="1" x14ac:dyDescent="0.4">
      <c r="A273" s="319"/>
      <c r="B273" s="216"/>
      <c r="C273" s="215"/>
      <c r="D273" s="233" t="str">
        <f>IFERROR(INDEX(BuildingInformationTable[Site type],MATCH(BuildingsHeatFuelsTable[[#This Row],[Site name]],BuildingInformationTable[Site name],0)),"")</f>
        <v/>
      </c>
      <c r="E273" s="72"/>
      <c r="F273" s="72"/>
      <c r="G273" s="72"/>
      <c r="H273" s="98" t="str">
        <f>IF(G273="","",INDEX(Lists!$BA$4:$BC$31,MATCH(E273,Lists!$AZ$4:$AZ$31,0),MATCH(G273,Lists!$BA$3:$BC$3,0)))</f>
        <v/>
      </c>
      <c r="I273" s="70"/>
      <c r="J273" s="72"/>
      <c r="K273" s="75" t="str" cm="1">
        <f t="array" ref="K273">IF(OR($E273="",$D273="",$I273="",$J273=""),"",IF(J273=L273,I273,(INDEX('Emission factors'!$K$3:$V$201,MATCH(E273&amp;F273,'Emission factors'!$J$3:$J$201&amp;'Emission factors'!$K$3:$K$201,0),MATCH(K$6,'Emission factors'!$K$2:$V$2,0)))*I273))</f>
        <v/>
      </c>
      <c r="L273" s="312" t="str">
        <f>IF(OR($E273="",$D273="",$I273="",$J273=""),"",INDEX('Emission factors'!$K$3:$V$201,MATCH('Buildings - Heat &amp; Fuels'!$E273,'Emission factors'!$J$3:$J$201,0),MATCH($L$6,'Emission factors'!$K$2:$V$2,0)))</f>
        <v/>
      </c>
      <c r="M273" s="313" t="str" cm="1">
        <f t="array" ref="M273">IF(OR(E273="",I273="",BuildingsHeatFuelsTable[[#This Row],[Units]]=""),"",INDEX('Emission factors'!$K$3:$V$201,MATCH('Buildings - Heat &amp; Fuels'!$E273&amp;F273,'Emission factors'!$J$3:$J$201&amp;'Emission factors'!$K$3:$K$201,0),MATCH('Buildings - Heat &amp; Fuels'!$M$6,'Emission factors'!$K$2:$V$2,0)))</f>
        <v/>
      </c>
      <c r="N273" s="156" t="str">
        <f>IF(OR(K273="",M273=""),"",SUM(BuildingsHeatFuelsTable[[#This Row],[Direct]:[Indirect WTT]]))</f>
        <v/>
      </c>
      <c r="O273" s="71"/>
      <c r="P273" s="72"/>
      <c r="Q273" s="157" t="str" cm="1">
        <f t="array" ref="Q273">IF(OR($E273="",$I273=""),"",(INDEX('Emission factors'!$K$3:$V$201,MATCH('Buildings - Heat &amp; Fuels'!$E273&amp;$F273,'Emission factors'!$J$3:$J$201&amp;'Emission factors'!$K$3:$K$201,0),MATCH('Buildings - Heat &amp; Fuels'!Q$6,'Emission factors'!$K$2:$V$2,0)))*$K273)</f>
        <v/>
      </c>
      <c r="R273" s="157" t="str" cm="1">
        <f t="array" ref="R273">IF(OR($E273="",$I273=""),"",(INDEX('Emission factors'!$K$3:$V$201,MATCH('Buildings - Heat &amp; Fuels'!$E273&amp;$F273,'Emission factors'!$J$3:$J$201&amp;'Emission factors'!$K$3:$K$201,0),MATCH('Buildings - Heat &amp; Fuels'!R$6,'Emission factors'!$K$2:$V$2,0)))*$K273)</f>
        <v/>
      </c>
      <c r="S273" s="157" t="str" cm="1">
        <f t="array" ref="S273">IF(OR($E273="",$I273=""),"",(INDEX('Emission factors'!$K$3:$V$201,MATCH('Buildings - Heat &amp; Fuels'!$E273&amp;$F273,'Emission factors'!$J$3:$J$201&amp;'Emission factors'!$K$3:$K$201,0),MATCH('Buildings - Heat &amp; Fuels'!S$6,'Emission factors'!$K$2:$V$2,0)))*$K273)</f>
        <v/>
      </c>
      <c r="T273" s="157" t="str" cm="1">
        <f t="array" ref="T273">IF(OR($E273="",$I273=""),"",(INDEX('Emission factors'!$K$3:$V$201,MATCH('Buildings - Heat &amp; Fuels'!$E273&amp;$F273,'Emission factors'!$J$3:$J$201&amp;'Emission factors'!$K$3:$K$201,0),MATCH('Buildings - Heat &amp; Fuels'!T$6,'Emission factors'!$K$2:$V$2,0)))*$K273)</f>
        <v/>
      </c>
      <c r="U273" s="157" t="str" cm="1">
        <f t="array" ref="U273">IF(OR($E273="",$I273=""),"",(INDEX('Emission factors'!$K$3:$V$201,MATCH('Buildings - Heat &amp; Fuels'!$E273&amp;$F273,'Emission factors'!$J$3:$J$201&amp;'Emission factors'!$K$3:$K$201,0),MATCH('Buildings - Heat &amp; Fuels'!U$6,'Emission factors'!$K$2:$V$2,0)))*$K273)</f>
        <v/>
      </c>
      <c r="V273" s="158" t="str">
        <f>IF(OR($N273="",BuildingsHeatFuelsTable[[#This Row],[RSD]]=""),"",BuildingsHeatFuelsTable[[#This Row],[Total emissions (kgCO2e)]]*(1+BuildingsHeatFuelsTable[[#This Row],[RSD]]))</f>
        <v/>
      </c>
      <c r="W273" s="159" t="str">
        <f>IF(OR($N273="",BuildingsHeatFuelsTable[[#This Row],[RSD]]=""),"",BuildingsHeatFuelsTable[[#This Row],[Total emissions (kgCO2e)]]*(1-BuildingsHeatFuelsTable[[#This Row],[RSD]]))</f>
        <v/>
      </c>
      <c r="X273" s="169" t="str" cm="1">
        <f t="array" ref="X273">IF(OR($E273="",$I273=""),"",(INDEX('Emission factors'!$K$3:$V$201,MATCH('Buildings - Heat &amp; Fuels'!$E273&amp;$F273,'Emission factors'!$J$3:$J$201&amp;'Emission factors'!$K$3:$K$201,0),MATCH('Buildings - Heat &amp; Fuels'!X$6,'Emission factors'!$K$2:$V$2,0)))*$K273)</f>
        <v/>
      </c>
      <c r="Y273" s="30"/>
      <c r="Z273" s="1" cm="1">
        <f t="array" ref="Z273">IF(OR(ISERROR(B273:X273)),1,0)</f>
        <v>0</v>
      </c>
      <c r="AA273" s="1">
        <f t="shared" si="1"/>
        <v>0</v>
      </c>
    </row>
    <row r="274" spans="1:27" ht="15" outlineLevel="1" thickBot="1" x14ac:dyDescent="0.4">
      <c r="A274" s="319"/>
      <c r="B274" s="216"/>
      <c r="C274" s="215"/>
      <c r="D274" s="233" t="str">
        <f>IFERROR(INDEX(BuildingInformationTable[Site type],MATCH(BuildingsHeatFuelsTable[[#This Row],[Site name]],BuildingInformationTable[Site name],0)),"")</f>
        <v/>
      </c>
      <c r="E274" s="72"/>
      <c r="F274" s="72"/>
      <c r="G274" s="72"/>
      <c r="H274" s="98" t="str">
        <f>IF(G274="","",INDEX(Lists!$BA$4:$BC$31,MATCH(E274,Lists!$AZ$4:$AZ$31,0),MATCH(G274,Lists!$BA$3:$BC$3,0)))</f>
        <v/>
      </c>
      <c r="I274" s="70"/>
      <c r="J274" s="72"/>
      <c r="K274" s="75" t="str" cm="1">
        <f t="array" ref="K274">IF(OR($E274="",$D274="",$I274="",$J274=""),"",IF(J274=L274,I274,(INDEX('Emission factors'!$K$3:$V$201,MATCH(E274&amp;F274,'Emission factors'!$J$3:$J$201&amp;'Emission factors'!$K$3:$K$201,0),MATCH(K$6,'Emission factors'!$K$2:$V$2,0)))*I274))</f>
        <v/>
      </c>
      <c r="L274" s="312" t="str">
        <f>IF(OR($E274="",$D274="",$I274="",$J274=""),"",INDEX('Emission factors'!$K$3:$V$201,MATCH('Buildings - Heat &amp; Fuels'!$E274,'Emission factors'!$J$3:$J$201,0),MATCH($L$6,'Emission factors'!$K$2:$V$2,0)))</f>
        <v/>
      </c>
      <c r="M274" s="313" t="str" cm="1">
        <f t="array" ref="M274">IF(OR(E274="",I274="",BuildingsHeatFuelsTable[[#This Row],[Units]]=""),"",INDEX('Emission factors'!$K$3:$V$201,MATCH('Buildings - Heat &amp; Fuels'!$E274&amp;F274,'Emission factors'!$J$3:$J$201&amp;'Emission factors'!$K$3:$K$201,0),MATCH('Buildings - Heat &amp; Fuels'!$M$6,'Emission factors'!$K$2:$V$2,0)))</f>
        <v/>
      </c>
      <c r="N274" s="156" t="str">
        <f>IF(OR(K274="",M274=""),"",SUM(BuildingsHeatFuelsTable[[#This Row],[Direct]:[Indirect WTT]]))</f>
        <v/>
      </c>
      <c r="O274" s="71"/>
      <c r="P274" s="72"/>
      <c r="Q274" s="157" t="str" cm="1">
        <f t="array" ref="Q274">IF(OR($E274="",$I274=""),"",(INDEX('Emission factors'!$K$3:$V$201,MATCH('Buildings - Heat &amp; Fuels'!$E274&amp;$F274,'Emission factors'!$J$3:$J$201&amp;'Emission factors'!$K$3:$K$201,0),MATCH('Buildings - Heat &amp; Fuels'!Q$6,'Emission factors'!$K$2:$V$2,0)))*$K274)</f>
        <v/>
      </c>
      <c r="R274" s="157" t="str" cm="1">
        <f t="array" ref="R274">IF(OR($E274="",$I274=""),"",(INDEX('Emission factors'!$K$3:$V$201,MATCH('Buildings - Heat &amp; Fuels'!$E274&amp;$F274,'Emission factors'!$J$3:$J$201&amp;'Emission factors'!$K$3:$K$201,0),MATCH('Buildings - Heat &amp; Fuels'!R$6,'Emission factors'!$K$2:$V$2,0)))*$K274)</f>
        <v/>
      </c>
      <c r="S274" s="157" t="str" cm="1">
        <f t="array" ref="S274">IF(OR($E274="",$I274=""),"",(INDEX('Emission factors'!$K$3:$V$201,MATCH('Buildings - Heat &amp; Fuels'!$E274&amp;$F274,'Emission factors'!$J$3:$J$201&amp;'Emission factors'!$K$3:$K$201,0),MATCH('Buildings - Heat &amp; Fuels'!S$6,'Emission factors'!$K$2:$V$2,0)))*$K274)</f>
        <v/>
      </c>
      <c r="T274" s="157" t="str" cm="1">
        <f t="array" ref="T274">IF(OR($E274="",$I274=""),"",(INDEX('Emission factors'!$K$3:$V$201,MATCH('Buildings - Heat &amp; Fuels'!$E274&amp;$F274,'Emission factors'!$J$3:$J$201&amp;'Emission factors'!$K$3:$K$201,0),MATCH('Buildings - Heat &amp; Fuels'!T$6,'Emission factors'!$K$2:$V$2,0)))*$K274)</f>
        <v/>
      </c>
      <c r="U274" s="157" t="str" cm="1">
        <f t="array" ref="U274">IF(OR($E274="",$I274=""),"",(INDEX('Emission factors'!$K$3:$V$201,MATCH('Buildings - Heat &amp; Fuels'!$E274&amp;$F274,'Emission factors'!$J$3:$J$201&amp;'Emission factors'!$K$3:$K$201,0),MATCH('Buildings - Heat &amp; Fuels'!U$6,'Emission factors'!$K$2:$V$2,0)))*$K274)</f>
        <v/>
      </c>
      <c r="V274" s="158" t="str">
        <f>IF(OR($N274="",BuildingsHeatFuelsTable[[#This Row],[RSD]]=""),"",BuildingsHeatFuelsTable[[#This Row],[Total emissions (kgCO2e)]]*(1+BuildingsHeatFuelsTable[[#This Row],[RSD]]))</f>
        <v/>
      </c>
      <c r="W274" s="159" t="str">
        <f>IF(OR($N274="",BuildingsHeatFuelsTable[[#This Row],[RSD]]=""),"",BuildingsHeatFuelsTable[[#This Row],[Total emissions (kgCO2e)]]*(1-BuildingsHeatFuelsTable[[#This Row],[RSD]]))</f>
        <v/>
      </c>
      <c r="X274" s="169" t="str" cm="1">
        <f t="array" ref="X274">IF(OR($E274="",$I274=""),"",(INDEX('Emission factors'!$K$3:$V$201,MATCH('Buildings - Heat &amp; Fuels'!$E274&amp;$F274,'Emission factors'!$J$3:$J$201&amp;'Emission factors'!$K$3:$K$201,0),MATCH('Buildings - Heat &amp; Fuels'!X$6,'Emission factors'!$K$2:$V$2,0)))*$K274)</f>
        <v/>
      </c>
      <c r="Y274" s="30"/>
      <c r="Z274" s="1" cm="1">
        <f t="array" ref="Z274">IF(OR(ISERROR(B274:X274)),1,0)</f>
        <v>0</v>
      </c>
      <c r="AA274" s="1">
        <f t="shared" si="1"/>
        <v>0</v>
      </c>
    </row>
    <row r="275" spans="1:27" ht="15" outlineLevel="1" thickBot="1" x14ac:dyDescent="0.4">
      <c r="A275" s="319"/>
      <c r="B275" s="216"/>
      <c r="C275" s="215"/>
      <c r="D275" s="233" t="str">
        <f>IFERROR(INDEX(BuildingInformationTable[Site type],MATCH(BuildingsHeatFuelsTable[[#This Row],[Site name]],BuildingInformationTable[Site name],0)),"")</f>
        <v/>
      </c>
      <c r="E275" s="72"/>
      <c r="F275" s="72"/>
      <c r="G275" s="72"/>
      <c r="H275" s="98" t="str">
        <f>IF(G275="","",INDEX(Lists!$BA$4:$BC$31,MATCH(E275,Lists!$AZ$4:$AZ$31,0),MATCH(G275,Lists!$BA$3:$BC$3,0)))</f>
        <v/>
      </c>
      <c r="I275" s="70"/>
      <c r="J275" s="72"/>
      <c r="K275" s="75" t="str" cm="1">
        <f t="array" ref="K275">IF(OR($E275="",$D275="",$I275="",$J275=""),"",IF(J275=L275,I275,(INDEX('Emission factors'!$K$3:$V$201,MATCH(E275&amp;F275,'Emission factors'!$J$3:$J$201&amp;'Emission factors'!$K$3:$K$201,0),MATCH(K$6,'Emission factors'!$K$2:$V$2,0)))*I275))</f>
        <v/>
      </c>
      <c r="L275" s="312" t="str">
        <f>IF(OR($E275="",$D275="",$I275="",$J275=""),"",INDEX('Emission factors'!$K$3:$V$201,MATCH('Buildings - Heat &amp; Fuels'!$E275,'Emission factors'!$J$3:$J$201,0),MATCH($L$6,'Emission factors'!$K$2:$V$2,0)))</f>
        <v/>
      </c>
      <c r="M275" s="313" t="str" cm="1">
        <f t="array" ref="M275">IF(OR(E275="",I275="",BuildingsHeatFuelsTable[[#This Row],[Units]]=""),"",INDEX('Emission factors'!$K$3:$V$201,MATCH('Buildings - Heat &amp; Fuels'!$E275&amp;F275,'Emission factors'!$J$3:$J$201&amp;'Emission factors'!$K$3:$K$201,0),MATCH('Buildings - Heat &amp; Fuels'!$M$6,'Emission factors'!$K$2:$V$2,0)))</f>
        <v/>
      </c>
      <c r="N275" s="156" t="str">
        <f>IF(OR(K275="",M275=""),"",SUM(BuildingsHeatFuelsTable[[#This Row],[Direct]:[Indirect WTT]]))</f>
        <v/>
      </c>
      <c r="O275" s="71"/>
      <c r="P275" s="72"/>
      <c r="Q275" s="157" t="str" cm="1">
        <f t="array" ref="Q275">IF(OR($E275="",$I275=""),"",(INDEX('Emission factors'!$K$3:$V$201,MATCH('Buildings - Heat &amp; Fuels'!$E275&amp;$F275,'Emission factors'!$J$3:$J$201&amp;'Emission factors'!$K$3:$K$201,0),MATCH('Buildings - Heat &amp; Fuels'!Q$6,'Emission factors'!$K$2:$V$2,0)))*$K275)</f>
        <v/>
      </c>
      <c r="R275" s="157" t="str" cm="1">
        <f t="array" ref="R275">IF(OR($E275="",$I275=""),"",(INDEX('Emission factors'!$K$3:$V$201,MATCH('Buildings - Heat &amp; Fuels'!$E275&amp;$F275,'Emission factors'!$J$3:$J$201&amp;'Emission factors'!$K$3:$K$201,0),MATCH('Buildings - Heat &amp; Fuels'!R$6,'Emission factors'!$K$2:$V$2,0)))*$K275)</f>
        <v/>
      </c>
      <c r="S275" s="157" t="str" cm="1">
        <f t="array" ref="S275">IF(OR($E275="",$I275=""),"",(INDEX('Emission factors'!$K$3:$V$201,MATCH('Buildings - Heat &amp; Fuels'!$E275&amp;$F275,'Emission factors'!$J$3:$J$201&amp;'Emission factors'!$K$3:$K$201,0),MATCH('Buildings - Heat &amp; Fuels'!S$6,'Emission factors'!$K$2:$V$2,0)))*$K275)</f>
        <v/>
      </c>
      <c r="T275" s="157" t="str" cm="1">
        <f t="array" ref="T275">IF(OR($E275="",$I275=""),"",(INDEX('Emission factors'!$K$3:$V$201,MATCH('Buildings - Heat &amp; Fuels'!$E275&amp;$F275,'Emission factors'!$J$3:$J$201&amp;'Emission factors'!$K$3:$K$201,0),MATCH('Buildings - Heat &amp; Fuels'!T$6,'Emission factors'!$K$2:$V$2,0)))*$K275)</f>
        <v/>
      </c>
      <c r="U275" s="157" t="str" cm="1">
        <f t="array" ref="U275">IF(OR($E275="",$I275=""),"",(INDEX('Emission factors'!$K$3:$V$201,MATCH('Buildings - Heat &amp; Fuels'!$E275&amp;$F275,'Emission factors'!$J$3:$J$201&amp;'Emission factors'!$K$3:$K$201,0),MATCH('Buildings - Heat &amp; Fuels'!U$6,'Emission factors'!$K$2:$V$2,0)))*$K275)</f>
        <v/>
      </c>
      <c r="V275" s="158" t="str">
        <f>IF(OR($N275="",BuildingsHeatFuelsTable[[#This Row],[RSD]]=""),"",BuildingsHeatFuelsTable[[#This Row],[Total emissions (kgCO2e)]]*(1+BuildingsHeatFuelsTable[[#This Row],[RSD]]))</f>
        <v/>
      </c>
      <c r="W275" s="159" t="str">
        <f>IF(OR($N275="",BuildingsHeatFuelsTable[[#This Row],[RSD]]=""),"",BuildingsHeatFuelsTable[[#This Row],[Total emissions (kgCO2e)]]*(1-BuildingsHeatFuelsTable[[#This Row],[RSD]]))</f>
        <v/>
      </c>
      <c r="X275" s="169" t="str" cm="1">
        <f t="array" ref="X275">IF(OR($E275="",$I275=""),"",(INDEX('Emission factors'!$K$3:$V$201,MATCH('Buildings - Heat &amp; Fuels'!$E275&amp;$F275,'Emission factors'!$J$3:$J$201&amp;'Emission factors'!$K$3:$K$201,0),MATCH('Buildings - Heat &amp; Fuels'!X$6,'Emission factors'!$K$2:$V$2,0)))*$K275)</f>
        <v/>
      </c>
      <c r="Y275" s="30"/>
      <c r="Z275" s="1" cm="1">
        <f t="array" ref="Z275">IF(OR(ISERROR(B275:X275)),1,0)</f>
        <v>0</v>
      </c>
      <c r="AA275" s="1">
        <f t="shared" si="1"/>
        <v>0</v>
      </c>
    </row>
    <row r="276" spans="1:27" ht="15" outlineLevel="1" thickBot="1" x14ac:dyDescent="0.4">
      <c r="A276" s="319"/>
      <c r="B276" s="216"/>
      <c r="C276" s="215"/>
      <c r="D276" s="233" t="str">
        <f>IFERROR(INDEX(BuildingInformationTable[Site type],MATCH(BuildingsHeatFuelsTable[[#This Row],[Site name]],BuildingInformationTable[Site name],0)),"")</f>
        <v/>
      </c>
      <c r="E276" s="72"/>
      <c r="F276" s="72"/>
      <c r="G276" s="72"/>
      <c r="H276" s="98" t="str">
        <f>IF(G276="","",INDEX(Lists!$BA$4:$BC$31,MATCH(E276,Lists!$AZ$4:$AZ$31,0),MATCH(G276,Lists!$BA$3:$BC$3,0)))</f>
        <v/>
      </c>
      <c r="I276" s="70"/>
      <c r="J276" s="72"/>
      <c r="K276" s="75" t="str" cm="1">
        <f t="array" ref="K276">IF(OR($E276="",$D276="",$I276="",$J276=""),"",IF(J276=L276,I276,(INDEX('Emission factors'!$K$3:$V$201,MATCH(E276&amp;F276,'Emission factors'!$J$3:$J$201&amp;'Emission factors'!$K$3:$K$201,0),MATCH(K$6,'Emission factors'!$K$2:$V$2,0)))*I276))</f>
        <v/>
      </c>
      <c r="L276" s="312" t="str">
        <f>IF(OR($E276="",$D276="",$I276="",$J276=""),"",INDEX('Emission factors'!$K$3:$V$201,MATCH('Buildings - Heat &amp; Fuels'!$E276,'Emission factors'!$J$3:$J$201,0),MATCH($L$6,'Emission factors'!$K$2:$V$2,0)))</f>
        <v/>
      </c>
      <c r="M276" s="313" t="str" cm="1">
        <f t="array" ref="M276">IF(OR(E276="",I276="",BuildingsHeatFuelsTable[[#This Row],[Units]]=""),"",INDEX('Emission factors'!$K$3:$V$201,MATCH('Buildings - Heat &amp; Fuels'!$E276&amp;F276,'Emission factors'!$J$3:$J$201&amp;'Emission factors'!$K$3:$K$201,0),MATCH('Buildings - Heat &amp; Fuels'!$M$6,'Emission factors'!$K$2:$V$2,0)))</f>
        <v/>
      </c>
      <c r="N276" s="156" t="str">
        <f>IF(OR(K276="",M276=""),"",SUM(BuildingsHeatFuelsTable[[#This Row],[Direct]:[Indirect WTT]]))</f>
        <v/>
      </c>
      <c r="O276" s="71"/>
      <c r="P276" s="72"/>
      <c r="Q276" s="157" t="str" cm="1">
        <f t="array" ref="Q276">IF(OR($E276="",$I276=""),"",(INDEX('Emission factors'!$K$3:$V$201,MATCH('Buildings - Heat &amp; Fuels'!$E276&amp;$F276,'Emission factors'!$J$3:$J$201&amp;'Emission factors'!$K$3:$K$201,0),MATCH('Buildings - Heat &amp; Fuels'!Q$6,'Emission factors'!$K$2:$V$2,0)))*$K276)</f>
        <v/>
      </c>
      <c r="R276" s="157" t="str" cm="1">
        <f t="array" ref="R276">IF(OR($E276="",$I276=""),"",(INDEX('Emission factors'!$K$3:$V$201,MATCH('Buildings - Heat &amp; Fuels'!$E276&amp;$F276,'Emission factors'!$J$3:$J$201&amp;'Emission factors'!$K$3:$K$201,0),MATCH('Buildings - Heat &amp; Fuels'!R$6,'Emission factors'!$K$2:$V$2,0)))*$K276)</f>
        <v/>
      </c>
      <c r="S276" s="157" t="str" cm="1">
        <f t="array" ref="S276">IF(OR($E276="",$I276=""),"",(INDEX('Emission factors'!$K$3:$V$201,MATCH('Buildings - Heat &amp; Fuels'!$E276&amp;$F276,'Emission factors'!$J$3:$J$201&amp;'Emission factors'!$K$3:$K$201,0),MATCH('Buildings - Heat &amp; Fuels'!S$6,'Emission factors'!$K$2:$V$2,0)))*$K276)</f>
        <v/>
      </c>
      <c r="T276" s="157" t="str" cm="1">
        <f t="array" ref="T276">IF(OR($E276="",$I276=""),"",(INDEX('Emission factors'!$K$3:$V$201,MATCH('Buildings - Heat &amp; Fuels'!$E276&amp;$F276,'Emission factors'!$J$3:$J$201&amp;'Emission factors'!$K$3:$K$201,0),MATCH('Buildings - Heat &amp; Fuels'!T$6,'Emission factors'!$K$2:$V$2,0)))*$K276)</f>
        <v/>
      </c>
      <c r="U276" s="157" t="str" cm="1">
        <f t="array" ref="U276">IF(OR($E276="",$I276=""),"",(INDEX('Emission factors'!$K$3:$V$201,MATCH('Buildings - Heat &amp; Fuels'!$E276&amp;$F276,'Emission factors'!$J$3:$J$201&amp;'Emission factors'!$K$3:$K$201,0),MATCH('Buildings - Heat &amp; Fuels'!U$6,'Emission factors'!$K$2:$V$2,0)))*$K276)</f>
        <v/>
      </c>
      <c r="V276" s="158" t="str">
        <f>IF(OR($N276="",BuildingsHeatFuelsTable[[#This Row],[RSD]]=""),"",BuildingsHeatFuelsTable[[#This Row],[Total emissions (kgCO2e)]]*(1+BuildingsHeatFuelsTable[[#This Row],[RSD]]))</f>
        <v/>
      </c>
      <c r="W276" s="159" t="str">
        <f>IF(OR($N276="",BuildingsHeatFuelsTable[[#This Row],[RSD]]=""),"",BuildingsHeatFuelsTable[[#This Row],[Total emissions (kgCO2e)]]*(1-BuildingsHeatFuelsTable[[#This Row],[RSD]]))</f>
        <v/>
      </c>
      <c r="X276" s="169" t="str" cm="1">
        <f t="array" ref="X276">IF(OR($E276="",$I276=""),"",(INDEX('Emission factors'!$K$3:$V$201,MATCH('Buildings - Heat &amp; Fuels'!$E276&amp;$F276,'Emission factors'!$J$3:$J$201&amp;'Emission factors'!$K$3:$K$201,0),MATCH('Buildings - Heat &amp; Fuels'!X$6,'Emission factors'!$K$2:$V$2,0)))*$K276)</f>
        <v/>
      </c>
      <c r="Y276" s="30"/>
      <c r="Z276" s="1" cm="1">
        <f t="array" ref="Z276">IF(OR(ISERROR(B276:X276)),1,0)</f>
        <v>0</v>
      </c>
      <c r="AA276" s="1">
        <f t="shared" si="1"/>
        <v>0</v>
      </c>
    </row>
    <row r="277" spans="1:27" ht="15" outlineLevel="1" thickBot="1" x14ac:dyDescent="0.4">
      <c r="A277" s="319"/>
      <c r="B277" s="216"/>
      <c r="C277" s="215"/>
      <c r="D277" s="233" t="str">
        <f>IFERROR(INDEX(BuildingInformationTable[Site type],MATCH(BuildingsHeatFuelsTable[[#This Row],[Site name]],BuildingInformationTable[Site name],0)),"")</f>
        <v/>
      </c>
      <c r="E277" s="72"/>
      <c r="F277" s="72"/>
      <c r="G277" s="72"/>
      <c r="H277" s="98" t="str">
        <f>IF(G277="","",INDEX(Lists!$BA$4:$BC$31,MATCH(E277,Lists!$AZ$4:$AZ$31,0),MATCH(G277,Lists!$BA$3:$BC$3,0)))</f>
        <v/>
      </c>
      <c r="I277" s="70"/>
      <c r="J277" s="72"/>
      <c r="K277" s="75" t="str" cm="1">
        <f t="array" ref="K277">IF(OR($E277="",$D277="",$I277="",$J277=""),"",IF(J277=L277,I277,(INDEX('Emission factors'!$K$3:$V$201,MATCH(E277&amp;F277,'Emission factors'!$J$3:$J$201&amp;'Emission factors'!$K$3:$K$201,0),MATCH(K$6,'Emission factors'!$K$2:$V$2,0)))*I277))</f>
        <v/>
      </c>
      <c r="L277" s="312" t="str">
        <f>IF(OR($E277="",$D277="",$I277="",$J277=""),"",INDEX('Emission factors'!$K$3:$V$201,MATCH('Buildings - Heat &amp; Fuels'!$E277,'Emission factors'!$J$3:$J$201,0),MATCH($L$6,'Emission factors'!$K$2:$V$2,0)))</f>
        <v/>
      </c>
      <c r="M277" s="313" t="str" cm="1">
        <f t="array" ref="M277">IF(OR(E277="",I277="",BuildingsHeatFuelsTable[[#This Row],[Units]]=""),"",INDEX('Emission factors'!$K$3:$V$201,MATCH('Buildings - Heat &amp; Fuels'!$E277&amp;F277,'Emission factors'!$J$3:$J$201&amp;'Emission factors'!$K$3:$K$201,0),MATCH('Buildings - Heat &amp; Fuels'!$M$6,'Emission factors'!$K$2:$V$2,0)))</f>
        <v/>
      </c>
      <c r="N277" s="156" t="str">
        <f>IF(OR(K277="",M277=""),"",SUM(BuildingsHeatFuelsTable[[#This Row],[Direct]:[Indirect WTT]]))</f>
        <v/>
      </c>
      <c r="O277" s="71"/>
      <c r="P277" s="72"/>
      <c r="Q277" s="157" t="str" cm="1">
        <f t="array" ref="Q277">IF(OR($E277="",$I277=""),"",(INDEX('Emission factors'!$K$3:$V$201,MATCH('Buildings - Heat &amp; Fuels'!$E277&amp;$F277,'Emission factors'!$J$3:$J$201&amp;'Emission factors'!$K$3:$K$201,0),MATCH('Buildings - Heat &amp; Fuels'!Q$6,'Emission factors'!$K$2:$V$2,0)))*$K277)</f>
        <v/>
      </c>
      <c r="R277" s="157" t="str" cm="1">
        <f t="array" ref="R277">IF(OR($E277="",$I277=""),"",(INDEX('Emission factors'!$K$3:$V$201,MATCH('Buildings - Heat &amp; Fuels'!$E277&amp;$F277,'Emission factors'!$J$3:$J$201&amp;'Emission factors'!$K$3:$K$201,0),MATCH('Buildings - Heat &amp; Fuels'!R$6,'Emission factors'!$K$2:$V$2,0)))*$K277)</f>
        <v/>
      </c>
      <c r="S277" s="157" t="str" cm="1">
        <f t="array" ref="S277">IF(OR($E277="",$I277=""),"",(INDEX('Emission factors'!$K$3:$V$201,MATCH('Buildings - Heat &amp; Fuels'!$E277&amp;$F277,'Emission factors'!$J$3:$J$201&amp;'Emission factors'!$K$3:$K$201,0),MATCH('Buildings - Heat &amp; Fuels'!S$6,'Emission factors'!$K$2:$V$2,0)))*$K277)</f>
        <v/>
      </c>
      <c r="T277" s="157" t="str" cm="1">
        <f t="array" ref="T277">IF(OR($E277="",$I277=""),"",(INDEX('Emission factors'!$K$3:$V$201,MATCH('Buildings - Heat &amp; Fuels'!$E277&amp;$F277,'Emission factors'!$J$3:$J$201&amp;'Emission factors'!$K$3:$K$201,0),MATCH('Buildings - Heat &amp; Fuels'!T$6,'Emission factors'!$K$2:$V$2,0)))*$K277)</f>
        <v/>
      </c>
      <c r="U277" s="157" t="str" cm="1">
        <f t="array" ref="U277">IF(OR($E277="",$I277=""),"",(INDEX('Emission factors'!$K$3:$V$201,MATCH('Buildings - Heat &amp; Fuels'!$E277&amp;$F277,'Emission factors'!$J$3:$J$201&amp;'Emission factors'!$K$3:$K$201,0),MATCH('Buildings - Heat &amp; Fuels'!U$6,'Emission factors'!$K$2:$V$2,0)))*$K277)</f>
        <v/>
      </c>
      <c r="V277" s="158" t="str">
        <f>IF(OR($N277="",BuildingsHeatFuelsTable[[#This Row],[RSD]]=""),"",BuildingsHeatFuelsTable[[#This Row],[Total emissions (kgCO2e)]]*(1+BuildingsHeatFuelsTable[[#This Row],[RSD]]))</f>
        <v/>
      </c>
      <c r="W277" s="159" t="str">
        <f>IF(OR($N277="",BuildingsHeatFuelsTable[[#This Row],[RSD]]=""),"",BuildingsHeatFuelsTable[[#This Row],[Total emissions (kgCO2e)]]*(1-BuildingsHeatFuelsTable[[#This Row],[RSD]]))</f>
        <v/>
      </c>
      <c r="X277" s="169" t="str" cm="1">
        <f t="array" ref="X277">IF(OR($E277="",$I277=""),"",(INDEX('Emission factors'!$K$3:$V$201,MATCH('Buildings - Heat &amp; Fuels'!$E277&amp;$F277,'Emission factors'!$J$3:$J$201&amp;'Emission factors'!$K$3:$K$201,0),MATCH('Buildings - Heat &amp; Fuels'!X$6,'Emission factors'!$K$2:$V$2,0)))*$K277)</f>
        <v/>
      </c>
      <c r="Y277" s="30"/>
      <c r="Z277" s="1" cm="1">
        <f t="array" ref="Z277">IF(OR(ISERROR(B277:X277)),1,0)</f>
        <v>0</v>
      </c>
      <c r="AA277" s="1">
        <f t="shared" si="1"/>
        <v>0</v>
      </c>
    </row>
    <row r="278" spans="1:27" ht="15" outlineLevel="1" thickBot="1" x14ac:dyDescent="0.4">
      <c r="A278" s="319"/>
      <c r="B278" s="216"/>
      <c r="C278" s="215"/>
      <c r="D278" s="233" t="str">
        <f>IFERROR(INDEX(BuildingInformationTable[Site type],MATCH(BuildingsHeatFuelsTable[[#This Row],[Site name]],BuildingInformationTable[Site name],0)),"")</f>
        <v/>
      </c>
      <c r="E278" s="72"/>
      <c r="F278" s="72"/>
      <c r="G278" s="72"/>
      <c r="H278" s="98" t="str">
        <f>IF(G278="","",INDEX(Lists!$BA$4:$BC$31,MATCH(E278,Lists!$AZ$4:$AZ$31,0),MATCH(G278,Lists!$BA$3:$BC$3,0)))</f>
        <v/>
      </c>
      <c r="I278" s="70"/>
      <c r="J278" s="72"/>
      <c r="K278" s="75" t="str" cm="1">
        <f t="array" ref="K278">IF(OR($E278="",$D278="",$I278="",$J278=""),"",IF(J278=L278,I278,(INDEX('Emission factors'!$K$3:$V$201,MATCH(E278&amp;F278,'Emission factors'!$J$3:$J$201&amp;'Emission factors'!$K$3:$K$201,0),MATCH(K$6,'Emission factors'!$K$2:$V$2,0)))*I278))</f>
        <v/>
      </c>
      <c r="L278" s="312" t="str">
        <f>IF(OR($E278="",$D278="",$I278="",$J278=""),"",INDEX('Emission factors'!$K$3:$V$201,MATCH('Buildings - Heat &amp; Fuels'!$E278,'Emission factors'!$J$3:$J$201,0),MATCH($L$6,'Emission factors'!$K$2:$V$2,0)))</f>
        <v/>
      </c>
      <c r="M278" s="313" t="str" cm="1">
        <f t="array" ref="M278">IF(OR(E278="",I278="",BuildingsHeatFuelsTable[[#This Row],[Units]]=""),"",INDEX('Emission factors'!$K$3:$V$201,MATCH('Buildings - Heat &amp; Fuels'!$E278&amp;F278,'Emission factors'!$J$3:$J$201&amp;'Emission factors'!$K$3:$K$201,0),MATCH('Buildings - Heat &amp; Fuels'!$M$6,'Emission factors'!$K$2:$V$2,0)))</f>
        <v/>
      </c>
      <c r="N278" s="156" t="str">
        <f>IF(OR(K278="",M278=""),"",SUM(BuildingsHeatFuelsTable[[#This Row],[Direct]:[Indirect WTT]]))</f>
        <v/>
      </c>
      <c r="O278" s="71"/>
      <c r="P278" s="72"/>
      <c r="Q278" s="157" t="str" cm="1">
        <f t="array" ref="Q278">IF(OR($E278="",$I278=""),"",(INDEX('Emission factors'!$K$3:$V$201,MATCH('Buildings - Heat &amp; Fuels'!$E278&amp;$F278,'Emission factors'!$J$3:$J$201&amp;'Emission factors'!$K$3:$K$201,0),MATCH('Buildings - Heat &amp; Fuels'!Q$6,'Emission factors'!$K$2:$V$2,0)))*$K278)</f>
        <v/>
      </c>
      <c r="R278" s="157" t="str" cm="1">
        <f t="array" ref="R278">IF(OR($E278="",$I278=""),"",(INDEX('Emission factors'!$K$3:$V$201,MATCH('Buildings - Heat &amp; Fuels'!$E278&amp;$F278,'Emission factors'!$J$3:$J$201&amp;'Emission factors'!$K$3:$K$201,0),MATCH('Buildings - Heat &amp; Fuels'!R$6,'Emission factors'!$K$2:$V$2,0)))*$K278)</f>
        <v/>
      </c>
      <c r="S278" s="157" t="str" cm="1">
        <f t="array" ref="S278">IF(OR($E278="",$I278=""),"",(INDEX('Emission factors'!$K$3:$V$201,MATCH('Buildings - Heat &amp; Fuels'!$E278&amp;$F278,'Emission factors'!$J$3:$J$201&amp;'Emission factors'!$K$3:$K$201,0),MATCH('Buildings - Heat &amp; Fuels'!S$6,'Emission factors'!$K$2:$V$2,0)))*$K278)</f>
        <v/>
      </c>
      <c r="T278" s="157" t="str" cm="1">
        <f t="array" ref="T278">IF(OR($E278="",$I278=""),"",(INDEX('Emission factors'!$K$3:$V$201,MATCH('Buildings - Heat &amp; Fuels'!$E278&amp;$F278,'Emission factors'!$J$3:$J$201&amp;'Emission factors'!$K$3:$K$201,0),MATCH('Buildings - Heat &amp; Fuels'!T$6,'Emission factors'!$K$2:$V$2,0)))*$K278)</f>
        <v/>
      </c>
      <c r="U278" s="157" t="str" cm="1">
        <f t="array" ref="U278">IF(OR($E278="",$I278=""),"",(INDEX('Emission factors'!$K$3:$V$201,MATCH('Buildings - Heat &amp; Fuels'!$E278&amp;$F278,'Emission factors'!$J$3:$J$201&amp;'Emission factors'!$K$3:$K$201,0),MATCH('Buildings - Heat &amp; Fuels'!U$6,'Emission factors'!$K$2:$V$2,0)))*$K278)</f>
        <v/>
      </c>
      <c r="V278" s="158" t="str">
        <f>IF(OR($N278="",BuildingsHeatFuelsTable[[#This Row],[RSD]]=""),"",BuildingsHeatFuelsTable[[#This Row],[Total emissions (kgCO2e)]]*(1+BuildingsHeatFuelsTable[[#This Row],[RSD]]))</f>
        <v/>
      </c>
      <c r="W278" s="159" t="str">
        <f>IF(OR($N278="",BuildingsHeatFuelsTable[[#This Row],[RSD]]=""),"",BuildingsHeatFuelsTable[[#This Row],[Total emissions (kgCO2e)]]*(1-BuildingsHeatFuelsTable[[#This Row],[RSD]]))</f>
        <v/>
      </c>
      <c r="X278" s="169" t="str" cm="1">
        <f t="array" ref="X278">IF(OR($E278="",$I278=""),"",(INDEX('Emission factors'!$K$3:$V$201,MATCH('Buildings - Heat &amp; Fuels'!$E278&amp;$F278,'Emission factors'!$J$3:$J$201&amp;'Emission factors'!$K$3:$K$201,0),MATCH('Buildings - Heat &amp; Fuels'!X$6,'Emission factors'!$K$2:$V$2,0)))*$K278)</f>
        <v/>
      </c>
      <c r="Y278" s="30"/>
      <c r="Z278" s="1" cm="1">
        <f t="array" ref="Z278">IF(OR(ISERROR(B278:X278)),1,0)</f>
        <v>0</v>
      </c>
      <c r="AA278" s="1">
        <f t="shared" si="1"/>
        <v>0</v>
      </c>
    </row>
    <row r="279" spans="1:27" ht="15" outlineLevel="1" thickBot="1" x14ac:dyDescent="0.4">
      <c r="A279" s="319"/>
      <c r="B279" s="216"/>
      <c r="C279" s="215"/>
      <c r="D279" s="233" t="str">
        <f>IFERROR(INDEX(BuildingInformationTable[Site type],MATCH(BuildingsHeatFuelsTable[[#This Row],[Site name]],BuildingInformationTable[Site name],0)),"")</f>
        <v/>
      </c>
      <c r="E279" s="72"/>
      <c r="F279" s="72"/>
      <c r="G279" s="72"/>
      <c r="H279" s="98" t="str">
        <f>IF(G279="","",INDEX(Lists!$BA$4:$BC$31,MATCH(E279,Lists!$AZ$4:$AZ$31,0),MATCH(G279,Lists!$BA$3:$BC$3,0)))</f>
        <v/>
      </c>
      <c r="I279" s="70"/>
      <c r="J279" s="72"/>
      <c r="K279" s="75" t="str" cm="1">
        <f t="array" ref="K279">IF(OR($E279="",$D279="",$I279="",$J279=""),"",IF(J279=L279,I279,(INDEX('Emission factors'!$K$3:$V$201,MATCH(E279&amp;F279,'Emission factors'!$J$3:$J$201&amp;'Emission factors'!$K$3:$K$201,0),MATCH(K$6,'Emission factors'!$K$2:$V$2,0)))*I279))</f>
        <v/>
      </c>
      <c r="L279" s="312" t="str">
        <f>IF(OR($E279="",$D279="",$I279="",$J279=""),"",INDEX('Emission factors'!$K$3:$V$201,MATCH('Buildings - Heat &amp; Fuels'!$E279,'Emission factors'!$J$3:$J$201,0),MATCH($L$6,'Emission factors'!$K$2:$V$2,0)))</f>
        <v/>
      </c>
      <c r="M279" s="313" t="str" cm="1">
        <f t="array" ref="M279">IF(OR(E279="",I279="",BuildingsHeatFuelsTable[[#This Row],[Units]]=""),"",INDEX('Emission factors'!$K$3:$V$201,MATCH('Buildings - Heat &amp; Fuels'!$E279&amp;F279,'Emission factors'!$J$3:$J$201&amp;'Emission factors'!$K$3:$K$201,0),MATCH('Buildings - Heat &amp; Fuels'!$M$6,'Emission factors'!$K$2:$V$2,0)))</f>
        <v/>
      </c>
      <c r="N279" s="156" t="str">
        <f>IF(OR(K279="",M279=""),"",SUM(BuildingsHeatFuelsTable[[#This Row],[Direct]:[Indirect WTT]]))</f>
        <v/>
      </c>
      <c r="O279" s="71"/>
      <c r="P279" s="72"/>
      <c r="Q279" s="157" t="str" cm="1">
        <f t="array" ref="Q279">IF(OR($E279="",$I279=""),"",(INDEX('Emission factors'!$K$3:$V$201,MATCH('Buildings - Heat &amp; Fuels'!$E279&amp;$F279,'Emission factors'!$J$3:$J$201&amp;'Emission factors'!$K$3:$K$201,0),MATCH('Buildings - Heat &amp; Fuels'!Q$6,'Emission factors'!$K$2:$V$2,0)))*$K279)</f>
        <v/>
      </c>
      <c r="R279" s="157" t="str" cm="1">
        <f t="array" ref="R279">IF(OR($E279="",$I279=""),"",(INDEX('Emission factors'!$K$3:$V$201,MATCH('Buildings - Heat &amp; Fuels'!$E279&amp;$F279,'Emission factors'!$J$3:$J$201&amp;'Emission factors'!$K$3:$K$201,0),MATCH('Buildings - Heat &amp; Fuels'!R$6,'Emission factors'!$K$2:$V$2,0)))*$K279)</f>
        <v/>
      </c>
      <c r="S279" s="157" t="str" cm="1">
        <f t="array" ref="S279">IF(OR($E279="",$I279=""),"",(INDEX('Emission factors'!$K$3:$V$201,MATCH('Buildings - Heat &amp; Fuels'!$E279&amp;$F279,'Emission factors'!$J$3:$J$201&amp;'Emission factors'!$K$3:$K$201,0),MATCH('Buildings - Heat &amp; Fuels'!S$6,'Emission factors'!$K$2:$V$2,0)))*$K279)</f>
        <v/>
      </c>
      <c r="T279" s="157" t="str" cm="1">
        <f t="array" ref="T279">IF(OR($E279="",$I279=""),"",(INDEX('Emission factors'!$K$3:$V$201,MATCH('Buildings - Heat &amp; Fuels'!$E279&amp;$F279,'Emission factors'!$J$3:$J$201&amp;'Emission factors'!$K$3:$K$201,0),MATCH('Buildings - Heat &amp; Fuels'!T$6,'Emission factors'!$K$2:$V$2,0)))*$K279)</f>
        <v/>
      </c>
      <c r="U279" s="157" t="str" cm="1">
        <f t="array" ref="U279">IF(OR($E279="",$I279=""),"",(INDEX('Emission factors'!$K$3:$V$201,MATCH('Buildings - Heat &amp; Fuels'!$E279&amp;$F279,'Emission factors'!$J$3:$J$201&amp;'Emission factors'!$K$3:$K$201,0),MATCH('Buildings - Heat &amp; Fuels'!U$6,'Emission factors'!$K$2:$V$2,0)))*$K279)</f>
        <v/>
      </c>
      <c r="V279" s="158" t="str">
        <f>IF(OR($N279="",BuildingsHeatFuelsTable[[#This Row],[RSD]]=""),"",BuildingsHeatFuelsTable[[#This Row],[Total emissions (kgCO2e)]]*(1+BuildingsHeatFuelsTable[[#This Row],[RSD]]))</f>
        <v/>
      </c>
      <c r="W279" s="159" t="str">
        <f>IF(OR($N279="",BuildingsHeatFuelsTable[[#This Row],[RSD]]=""),"",BuildingsHeatFuelsTable[[#This Row],[Total emissions (kgCO2e)]]*(1-BuildingsHeatFuelsTable[[#This Row],[RSD]]))</f>
        <v/>
      </c>
      <c r="X279" s="169" t="str" cm="1">
        <f t="array" ref="X279">IF(OR($E279="",$I279=""),"",(INDEX('Emission factors'!$K$3:$V$201,MATCH('Buildings - Heat &amp; Fuels'!$E279&amp;$F279,'Emission factors'!$J$3:$J$201&amp;'Emission factors'!$K$3:$K$201,0),MATCH('Buildings - Heat &amp; Fuels'!X$6,'Emission factors'!$K$2:$V$2,0)))*$K279)</f>
        <v/>
      </c>
      <c r="Y279" s="30"/>
      <c r="Z279" s="1" cm="1">
        <f t="array" ref="Z279">IF(OR(ISERROR(B279:X279)),1,0)</f>
        <v>0</v>
      </c>
      <c r="AA279" s="1">
        <f t="shared" si="1"/>
        <v>0</v>
      </c>
    </row>
    <row r="280" spans="1:27" ht="15" outlineLevel="1" thickBot="1" x14ac:dyDescent="0.4">
      <c r="A280" s="319"/>
      <c r="B280" s="216"/>
      <c r="C280" s="215"/>
      <c r="D280" s="233" t="str">
        <f>IFERROR(INDEX(BuildingInformationTable[Site type],MATCH(BuildingsHeatFuelsTable[[#This Row],[Site name]],BuildingInformationTable[Site name],0)),"")</f>
        <v/>
      </c>
      <c r="E280" s="72"/>
      <c r="F280" s="72"/>
      <c r="G280" s="72"/>
      <c r="H280" s="98" t="str">
        <f>IF(G280="","",INDEX(Lists!$BA$4:$BC$31,MATCH(E280,Lists!$AZ$4:$AZ$31,0),MATCH(G280,Lists!$BA$3:$BC$3,0)))</f>
        <v/>
      </c>
      <c r="I280" s="70"/>
      <c r="J280" s="72"/>
      <c r="K280" s="75" t="str" cm="1">
        <f t="array" ref="K280">IF(OR($E280="",$D280="",$I280="",$J280=""),"",IF(J280=L280,I280,(INDEX('Emission factors'!$K$3:$V$201,MATCH(E280&amp;F280,'Emission factors'!$J$3:$J$201&amp;'Emission factors'!$K$3:$K$201,0),MATCH(K$6,'Emission factors'!$K$2:$V$2,0)))*I280))</f>
        <v/>
      </c>
      <c r="L280" s="312" t="str">
        <f>IF(OR($E280="",$D280="",$I280="",$J280=""),"",INDEX('Emission factors'!$K$3:$V$201,MATCH('Buildings - Heat &amp; Fuels'!$E280,'Emission factors'!$J$3:$J$201,0),MATCH($L$6,'Emission factors'!$K$2:$V$2,0)))</f>
        <v/>
      </c>
      <c r="M280" s="313" t="str" cm="1">
        <f t="array" ref="M280">IF(OR(E280="",I280="",BuildingsHeatFuelsTable[[#This Row],[Units]]=""),"",INDEX('Emission factors'!$K$3:$V$201,MATCH('Buildings - Heat &amp; Fuels'!$E280&amp;F280,'Emission factors'!$J$3:$J$201&amp;'Emission factors'!$K$3:$K$201,0),MATCH('Buildings - Heat &amp; Fuels'!$M$6,'Emission factors'!$K$2:$V$2,0)))</f>
        <v/>
      </c>
      <c r="N280" s="156" t="str">
        <f>IF(OR(K280="",M280=""),"",SUM(BuildingsHeatFuelsTable[[#This Row],[Direct]:[Indirect WTT]]))</f>
        <v/>
      </c>
      <c r="O280" s="71"/>
      <c r="P280" s="72"/>
      <c r="Q280" s="157" t="str" cm="1">
        <f t="array" ref="Q280">IF(OR($E280="",$I280=""),"",(INDEX('Emission factors'!$K$3:$V$201,MATCH('Buildings - Heat &amp; Fuels'!$E280&amp;$F280,'Emission factors'!$J$3:$J$201&amp;'Emission factors'!$K$3:$K$201,0),MATCH('Buildings - Heat &amp; Fuels'!Q$6,'Emission factors'!$K$2:$V$2,0)))*$K280)</f>
        <v/>
      </c>
      <c r="R280" s="157" t="str" cm="1">
        <f t="array" ref="R280">IF(OR($E280="",$I280=""),"",(INDEX('Emission factors'!$K$3:$V$201,MATCH('Buildings - Heat &amp; Fuels'!$E280&amp;$F280,'Emission factors'!$J$3:$J$201&amp;'Emission factors'!$K$3:$K$201,0),MATCH('Buildings - Heat &amp; Fuels'!R$6,'Emission factors'!$K$2:$V$2,0)))*$K280)</f>
        <v/>
      </c>
      <c r="S280" s="157" t="str" cm="1">
        <f t="array" ref="S280">IF(OR($E280="",$I280=""),"",(INDEX('Emission factors'!$K$3:$V$201,MATCH('Buildings - Heat &amp; Fuels'!$E280&amp;$F280,'Emission factors'!$J$3:$J$201&amp;'Emission factors'!$K$3:$K$201,0),MATCH('Buildings - Heat &amp; Fuels'!S$6,'Emission factors'!$K$2:$V$2,0)))*$K280)</f>
        <v/>
      </c>
      <c r="T280" s="157" t="str" cm="1">
        <f t="array" ref="T280">IF(OR($E280="",$I280=""),"",(INDEX('Emission factors'!$K$3:$V$201,MATCH('Buildings - Heat &amp; Fuels'!$E280&amp;$F280,'Emission factors'!$J$3:$J$201&amp;'Emission factors'!$K$3:$K$201,0),MATCH('Buildings - Heat &amp; Fuels'!T$6,'Emission factors'!$K$2:$V$2,0)))*$K280)</f>
        <v/>
      </c>
      <c r="U280" s="157" t="str" cm="1">
        <f t="array" ref="U280">IF(OR($E280="",$I280=""),"",(INDEX('Emission factors'!$K$3:$V$201,MATCH('Buildings - Heat &amp; Fuels'!$E280&amp;$F280,'Emission factors'!$J$3:$J$201&amp;'Emission factors'!$K$3:$K$201,0),MATCH('Buildings - Heat &amp; Fuels'!U$6,'Emission factors'!$K$2:$V$2,0)))*$K280)</f>
        <v/>
      </c>
      <c r="V280" s="158" t="str">
        <f>IF(OR($N280="",BuildingsHeatFuelsTable[[#This Row],[RSD]]=""),"",BuildingsHeatFuelsTable[[#This Row],[Total emissions (kgCO2e)]]*(1+BuildingsHeatFuelsTable[[#This Row],[RSD]]))</f>
        <v/>
      </c>
      <c r="W280" s="159" t="str">
        <f>IF(OR($N280="",BuildingsHeatFuelsTable[[#This Row],[RSD]]=""),"",BuildingsHeatFuelsTable[[#This Row],[Total emissions (kgCO2e)]]*(1-BuildingsHeatFuelsTable[[#This Row],[RSD]]))</f>
        <v/>
      </c>
      <c r="X280" s="169" t="str" cm="1">
        <f t="array" ref="X280">IF(OR($E280="",$I280=""),"",(INDEX('Emission factors'!$K$3:$V$201,MATCH('Buildings - Heat &amp; Fuels'!$E280&amp;$F280,'Emission factors'!$J$3:$J$201&amp;'Emission factors'!$K$3:$K$201,0),MATCH('Buildings - Heat &amp; Fuels'!X$6,'Emission factors'!$K$2:$V$2,0)))*$K280)</f>
        <v/>
      </c>
      <c r="Y280" s="30"/>
      <c r="Z280" s="1" cm="1">
        <f t="array" ref="Z280">IF(OR(ISERROR(B280:X280)),1,0)</f>
        <v>0</v>
      </c>
      <c r="AA280" s="1">
        <f t="shared" si="1"/>
        <v>0</v>
      </c>
    </row>
    <row r="281" spans="1:27" ht="15" outlineLevel="1" thickBot="1" x14ac:dyDescent="0.4">
      <c r="A281" s="319"/>
      <c r="B281" s="216"/>
      <c r="C281" s="215"/>
      <c r="D281" s="233" t="str">
        <f>IFERROR(INDEX(BuildingInformationTable[Site type],MATCH(BuildingsHeatFuelsTable[[#This Row],[Site name]],BuildingInformationTable[Site name],0)),"")</f>
        <v/>
      </c>
      <c r="E281" s="72"/>
      <c r="F281" s="72"/>
      <c r="G281" s="72"/>
      <c r="H281" s="98" t="str">
        <f>IF(G281="","",INDEX(Lists!$BA$4:$BC$31,MATCH(E281,Lists!$AZ$4:$AZ$31,0),MATCH(G281,Lists!$BA$3:$BC$3,0)))</f>
        <v/>
      </c>
      <c r="I281" s="70"/>
      <c r="J281" s="72"/>
      <c r="K281" s="75" t="str" cm="1">
        <f t="array" ref="K281">IF(OR($E281="",$D281="",$I281="",$J281=""),"",IF(J281=L281,I281,(INDEX('Emission factors'!$K$3:$V$201,MATCH(E281&amp;F281,'Emission factors'!$J$3:$J$201&amp;'Emission factors'!$K$3:$K$201,0),MATCH(K$6,'Emission factors'!$K$2:$V$2,0)))*I281))</f>
        <v/>
      </c>
      <c r="L281" s="312" t="str">
        <f>IF(OR($E281="",$D281="",$I281="",$J281=""),"",INDEX('Emission factors'!$K$3:$V$201,MATCH('Buildings - Heat &amp; Fuels'!$E281,'Emission factors'!$J$3:$J$201,0),MATCH($L$6,'Emission factors'!$K$2:$V$2,0)))</f>
        <v/>
      </c>
      <c r="M281" s="313" t="str" cm="1">
        <f t="array" ref="M281">IF(OR(E281="",I281="",BuildingsHeatFuelsTable[[#This Row],[Units]]=""),"",INDEX('Emission factors'!$K$3:$V$201,MATCH('Buildings - Heat &amp; Fuels'!$E281&amp;F281,'Emission factors'!$J$3:$J$201&amp;'Emission factors'!$K$3:$K$201,0),MATCH('Buildings - Heat &amp; Fuels'!$M$6,'Emission factors'!$K$2:$V$2,0)))</f>
        <v/>
      </c>
      <c r="N281" s="156" t="str">
        <f>IF(OR(K281="",M281=""),"",SUM(BuildingsHeatFuelsTable[[#This Row],[Direct]:[Indirect WTT]]))</f>
        <v/>
      </c>
      <c r="O281" s="71"/>
      <c r="P281" s="72"/>
      <c r="Q281" s="157" t="str" cm="1">
        <f t="array" ref="Q281">IF(OR($E281="",$I281=""),"",(INDEX('Emission factors'!$K$3:$V$201,MATCH('Buildings - Heat &amp; Fuels'!$E281&amp;$F281,'Emission factors'!$J$3:$J$201&amp;'Emission factors'!$K$3:$K$201,0),MATCH('Buildings - Heat &amp; Fuels'!Q$6,'Emission factors'!$K$2:$V$2,0)))*$K281)</f>
        <v/>
      </c>
      <c r="R281" s="157" t="str" cm="1">
        <f t="array" ref="R281">IF(OR($E281="",$I281=""),"",(INDEX('Emission factors'!$K$3:$V$201,MATCH('Buildings - Heat &amp; Fuels'!$E281&amp;$F281,'Emission factors'!$J$3:$J$201&amp;'Emission factors'!$K$3:$K$201,0),MATCH('Buildings - Heat &amp; Fuels'!R$6,'Emission factors'!$K$2:$V$2,0)))*$K281)</f>
        <v/>
      </c>
      <c r="S281" s="157" t="str" cm="1">
        <f t="array" ref="S281">IF(OR($E281="",$I281=""),"",(INDEX('Emission factors'!$K$3:$V$201,MATCH('Buildings - Heat &amp; Fuels'!$E281&amp;$F281,'Emission factors'!$J$3:$J$201&amp;'Emission factors'!$K$3:$K$201,0),MATCH('Buildings - Heat &amp; Fuels'!S$6,'Emission factors'!$K$2:$V$2,0)))*$K281)</f>
        <v/>
      </c>
      <c r="T281" s="157" t="str" cm="1">
        <f t="array" ref="T281">IF(OR($E281="",$I281=""),"",(INDEX('Emission factors'!$K$3:$V$201,MATCH('Buildings - Heat &amp; Fuels'!$E281&amp;$F281,'Emission factors'!$J$3:$J$201&amp;'Emission factors'!$K$3:$K$201,0),MATCH('Buildings - Heat &amp; Fuels'!T$6,'Emission factors'!$K$2:$V$2,0)))*$K281)</f>
        <v/>
      </c>
      <c r="U281" s="157" t="str" cm="1">
        <f t="array" ref="U281">IF(OR($E281="",$I281=""),"",(INDEX('Emission factors'!$K$3:$V$201,MATCH('Buildings - Heat &amp; Fuels'!$E281&amp;$F281,'Emission factors'!$J$3:$J$201&amp;'Emission factors'!$K$3:$K$201,0),MATCH('Buildings - Heat &amp; Fuels'!U$6,'Emission factors'!$K$2:$V$2,0)))*$K281)</f>
        <v/>
      </c>
      <c r="V281" s="158" t="str">
        <f>IF(OR($N281="",BuildingsHeatFuelsTable[[#This Row],[RSD]]=""),"",BuildingsHeatFuelsTable[[#This Row],[Total emissions (kgCO2e)]]*(1+BuildingsHeatFuelsTable[[#This Row],[RSD]]))</f>
        <v/>
      </c>
      <c r="W281" s="159" t="str">
        <f>IF(OR($N281="",BuildingsHeatFuelsTable[[#This Row],[RSD]]=""),"",BuildingsHeatFuelsTable[[#This Row],[Total emissions (kgCO2e)]]*(1-BuildingsHeatFuelsTable[[#This Row],[RSD]]))</f>
        <v/>
      </c>
      <c r="X281" s="169" t="str" cm="1">
        <f t="array" ref="X281">IF(OR($E281="",$I281=""),"",(INDEX('Emission factors'!$K$3:$V$201,MATCH('Buildings - Heat &amp; Fuels'!$E281&amp;$F281,'Emission factors'!$J$3:$J$201&amp;'Emission factors'!$K$3:$K$201,0),MATCH('Buildings - Heat &amp; Fuels'!X$6,'Emission factors'!$K$2:$V$2,0)))*$K281)</f>
        <v/>
      </c>
      <c r="Y281" s="30"/>
      <c r="Z281" s="1" cm="1">
        <f t="array" ref="Z281">IF(OR(ISERROR(B281:X281)),1,0)</f>
        <v>0</v>
      </c>
      <c r="AA281" s="1">
        <f t="shared" si="1"/>
        <v>0</v>
      </c>
    </row>
    <row r="282" spans="1:27" ht="15" outlineLevel="1" thickBot="1" x14ac:dyDescent="0.4">
      <c r="A282" s="319"/>
      <c r="B282" s="216"/>
      <c r="C282" s="215"/>
      <c r="D282" s="233" t="str">
        <f>IFERROR(INDEX(BuildingInformationTable[Site type],MATCH(BuildingsHeatFuelsTable[[#This Row],[Site name]],BuildingInformationTable[Site name],0)),"")</f>
        <v/>
      </c>
      <c r="E282" s="72"/>
      <c r="F282" s="72"/>
      <c r="G282" s="72"/>
      <c r="H282" s="98" t="str">
        <f>IF(G282="","",INDEX(Lists!$BA$4:$BC$31,MATCH(E282,Lists!$AZ$4:$AZ$31,0),MATCH(G282,Lists!$BA$3:$BC$3,0)))</f>
        <v/>
      </c>
      <c r="I282" s="70"/>
      <c r="J282" s="72"/>
      <c r="K282" s="75" t="str" cm="1">
        <f t="array" ref="K282">IF(OR($E282="",$D282="",$I282="",$J282=""),"",IF(J282=L282,I282,(INDEX('Emission factors'!$K$3:$V$201,MATCH(E282&amp;F282,'Emission factors'!$J$3:$J$201&amp;'Emission factors'!$K$3:$K$201,0),MATCH(K$6,'Emission factors'!$K$2:$V$2,0)))*I282))</f>
        <v/>
      </c>
      <c r="L282" s="312" t="str">
        <f>IF(OR($E282="",$D282="",$I282="",$J282=""),"",INDEX('Emission factors'!$K$3:$V$201,MATCH('Buildings - Heat &amp; Fuels'!$E282,'Emission factors'!$J$3:$J$201,0),MATCH($L$6,'Emission factors'!$K$2:$V$2,0)))</f>
        <v/>
      </c>
      <c r="M282" s="313" t="str" cm="1">
        <f t="array" ref="M282">IF(OR(E282="",I282="",BuildingsHeatFuelsTable[[#This Row],[Units]]=""),"",INDEX('Emission factors'!$K$3:$V$201,MATCH('Buildings - Heat &amp; Fuels'!$E282&amp;F282,'Emission factors'!$J$3:$J$201&amp;'Emission factors'!$K$3:$K$201,0),MATCH('Buildings - Heat &amp; Fuels'!$M$6,'Emission factors'!$K$2:$V$2,0)))</f>
        <v/>
      </c>
      <c r="N282" s="156" t="str">
        <f>IF(OR(K282="",M282=""),"",SUM(BuildingsHeatFuelsTable[[#This Row],[Direct]:[Indirect WTT]]))</f>
        <v/>
      </c>
      <c r="O282" s="71"/>
      <c r="P282" s="72"/>
      <c r="Q282" s="157" t="str" cm="1">
        <f t="array" ref="Q282">IF(OR($E282="",$I282=""),"",(INDEX('Emission factors'!$K$3:$V$201,MATCH('Buildings - Heat &amp; Fuels'!$E282&amp;$F282,'Emission factors'!$J$3:$J$201&amp;'Emission factors'!$K$3:$K$201,0),MATCH('Buildings - Heat &amp; Fuels'!Q$6,'Emission factors'!$K$2:$V$2,0)))*$K282)</f>
        <v/>
      </c>
      <c r="R282" s="157" t="str" cm="1">
        <f t="array" ref="R282">IF(OR($E282="",$I282=""),"",(INDEX('Emission factors'!$K$3:$V$201,MATCH('Buildings - Heat &amp; Fuels'!$E282&amp;$F282,'Emission factors'!$J$3:$J$201&amp;'Emission factors'!$K$3:$K$201,0),MATCH('Buildings - Heat &amp; Fuels'!R$6,'Emission factors'!$K$2:$V$2,0)))*$K282)</f>
        <v/>
      </c>
      <c r="S282" s="157" t="str" cm="1">
        <f t="array" ref="S282">IF(OR($E282="",$I282=""),"",(INDEX('Emission factors'!$K$3:$V$201,MATCH('Buildings - Heat &amp; Fuels'!$E282&amp;$F282,'Emission factors'!$J$3:$J$201&amp;'Emission factors'!$K$3:$K$201,0),MATCH('Buildings - Heat &amp; Fuels'!S$6,'Emission factors'!$K$2:$V$2,0)))*$K282)</f>
        <v/>
      </c>
      <c r="T282" s="157" t="str" cm="1">
        <f t="array" ref="T282">IF(OR($E282="",$I282=""),"",(INDEX('Emission factors'!$K$3:$V$201,MATCH('Buildings - Heat &amp; Fuels'!$E282&amp;$F282,'Emission factors'!$J$3:$J$201&amp;'Emission factors'!$K$3:$K$201,0),MATCH('Buildings - Heat &amp; Fuels'!T$6,'Emission factors'!$K$2:$V$2,0)))*$K282)</f>
        <v/>
      </c>
      <c r="U282" s="157" t="str" cm="1">
        <f t="array" ref="U282">IF(OR($E282="",$I282=""),"",(INDEX('Emission factors'!$K$3:$V$201,MATCH('Buildings - Heat &amp; Fuels'!$E282&amp;$F282,'Emission factors'!$J$3:$J$201&amp;'Emission factors'!$K$3:$K$201,0),MATCH('Buildings - Heat &amp; Fuels'!U$6,'Emission factors'!$K$2:$V$2,0)))*$K282)</f>
        <v/>
      </c>
      <c r="V282" s="158" t="str">
        <f>IF(OR($N282="",BuildingsHeatFuelsTable[[#This Row],[RSD]]=""),"",BuildingsHeatFuelsTable[[#This Row],[Total emissions (kgCO2e)]]*(1+BuildingsHeatFuelsTable[[#This Row],[RSD]]))</f>
        <v/>
      </c>
      <c r="W282" s="159" t="str">
        <f>IF(OR($N282="",BuildingsHeatFuelsTable[[#This Row],[RSD]]=""),"",BuildingsHeatFuelsTable[[#This Row],[Total emissions (kgCO2e)]]*(1-BuildingsHeatFuelsTable[[#This Row],[RSD]]))</f>
        <v/>
      </c>
      <c r="X282" s="169" t="str" cm="1">
        <f t="array" ref="X282">IF(OR($E282="",$I282=""),"",(INDEX('Emission factors'!$K$3:$V$201,MATCH('Buildings - Heat &amp; Fuels'!$E282&amp;$F282,'Emission factors'!$J$3:$J$201&amp;'Emission factors'!$K$3:$K$201,0),MATCH('Buildings - Heat &amp; Fuels'!X$6,'Emission factors'!$K$2:$V$2,0)))*$K282)</f>
        <v/>
      </c>
      <c r="Y282" s="30"/>
      <c r="Z282" s="1" cm="1">
        <f t="array" ref="Z282">IF(OR(ISERROR(B282:X282)),1,0)</f>
        <v>0</v>
      </c>
      <c r="AA282" s="1">
        <f t="shared" si="1"/>
        <v>0</v>
      </c>
    </row>
    <row r="283" spans="1:27" ht="15" outlineLevel="1" thickBot="1" x14ac:dyDescent="0.4">
      <c r="A283" s="319"/>
      <c r="B283" s="216"/>
      <c r="C283" s="215"/>
      <c r="D283" s="233" t="str">
        <f>IFERROR(INDEX(BuildingInformationTable[Site type],MATCH(BuildingsHeatFuelsTable[[#This Row],[Site name]],BuildingInformationTable[Site name],0)),"")</f>
        <v/>
      </c>
      <c r="E283" s="72"/>
      <c r="F283" s="72"/>
      <c r="G283" s="72"/>
      <c r="H283" s="98" t="str">
        <f>IF(G283="","",INDEX(Lists!$BA$4:$BC$31,MATCH(E283,Lists!$AZ$4:$AZ$31,0),MATCH(G283,Lists!$BA$3:$BC$3,0)))</f>
        <v/>
      </c>
      <c r="I283" s="70"/>
      <c r="J283" s="72"/>
      <c r="K283" s="75" t="str" cm="1">
        <f t="array" ref="K283">IF(OR($E283="",$D283="",$I283="",$J283=""),"",IF(J283=L283,I283,(INDEX('Emission factors'!$K$3:$V$201,MATCH(E283&amp;F283,'Emission factors'!$J$3:$J$201&amp;'Emission factors'!$K$3:$K$201,0),MATCH(K$6,'Emission factors'!$K$2:$V$2,0)))*I283))</f>
        <v/>
      </c>
      <c r="L283" s="312" t="str">
        <f>IF(OR($E283="",$D283="",$I283="",$J283=""),"",INDEX('Emission factors'!$K$3:$V$201,MATCH('Buildings - Heat &amp; Fuels'!$E283,'Emission factors'!$J$3:$J$201,0),MATCH($L$6,'Emission factors'!$K$2:$V$2,0)))</f>
        <v/>
      </c>
      <c r="M283" s="313" t="str" cm="1">
        <f t="array" ref="M283">IF(OR(E283="",I283="",BuildingsHeatFuelsTable[[#This Row],[Units]]=""),"",INDEX('Emission factors'!$K$3:$V$201,MATCH('Buildings - Heat &amp; Fuels'!$E283&amp;F283,'Emission factors'!$J$3:$J$201&amp;'Emission factors'!$K$3:$K$201,0),MATCH('Buildings - Heat &amp; Fuels'!$M$6,'Emission factors'!$K$2:$V$2,0)))</f>
        <v/>
      </c>
      <c r="N283" s="156" t="str">
        <f>IF(OR(K283="",M283=""),"",SUM(BuildingsHeatFuelsTable[[#This Row],[Direct]:[Indirect WTT]]))</f>
        <v/>
      </c>
      <c r="O283" s="71"/>
      <c r="P283" s="72"/>
      <c r="Q283" s="157" t="str" cm="1">
        <f t="array" ref="Q283">IF(OR($E283="",$I283=""),"",(INDEX('Emission factors'!$K$3:$V$201,MATCH('Buildings - Heat &amp; Fuels'!$E283&amp;$F283,'Emission factors'!$J$3:$J$201&amp;'Emission factors'!$K$3:$K$201,0),MATCH('Buildings - Heat &amp; Fuels'!Q$6,'Emission factors'!$K$2:$V$2,0)))*$K283)</f>
        <v/>
      </c>
      <c r="R283" s="157" t="str" cm="1">
        <f t="array" ref="R283">IF(OR($E283="",$I283=""),"",(INDEX('Emission factors'!$K$3:$V$201,MATCH('Buildings - Heat &amp; Fuels'!$E283&amp;$F283,'Emission factors'!$J$3:$J$201&amp;'Emission factors'!$K$3:$K$201,0),MATCH('Buildings - Heat &amp; Fuels'!R$6,'Emission factors'!$K$2:$V$2,0)))*$K283)</f>
        <v/>
      </c>
      <c r="S283" s="157" t="str" cm="1">
        <f t="array" ref="S283">IF(OR($E283="",$I283=""),"",(INDEX('Emission factors'!$K$3:$V$201,MATCH('Buildings - Heat &amp; Fuels'!$E283&amp;$F283,'Emission factors'!$J$3:$J$201&amp;'Emission factors'!$K$3:$K$201,0),MATCH('Buildings - Heat &amp; Fuels'!S$6,'Emission factors'!$K$2:$V$2,0)))*$K283)</f>
        <v/>
      </c>
      <c r="T283" s="157" t="str" cm="1">
        <f t="array" ref="T283">IF(OR($E283="",$I283=""),"",(INDEX('Emission factors'!$K$3:$V$201,MATCH('Buildings - Heat &amp; Fuels'!$E283&amp;$F283,'Emission factors'!$J$3:$J$201&amp;'Emission factors'!$K$3:$K$201,0),MATCH('Buildings - Heat &amp; Fuels'!T$6,'Emission factors'!$K$2:$V$2,0)))*$K283)</f>
        <v/>
      </c>
      <c r="U283" s="157" t="str" cm="1">
        <f t="array" ref="U283">IF(OR($E283="",$I283=""),"",(INDEX('Emission factors'!$K$3:$V$201,MATCH('Buildings - Heat &amp; Fuels'!$E283&amp;$F283,'Emission factors'!$J$3:$J$201&amp;'Emission factors'!$K$3:$K$201,0),MATCH('Buildings - Heat &amp; Fuels'!U$6,'Emission factors'!$K$2:$V$2,0)))*$K283)</f>
        <v/>
      </c>
      <c r="V283" s="158" t="str">
        <f>IF(OR($N283="",BuildingsHeatFuelsTable[[#This Row],[RSD]]=""),"",BuildingsHeatFuelsTable[[#This Row],[Total emissions (kgCO2e)]]*(1+BuildingsHeatFuelsTable[[#This Row],[RSD]]))</f>
        <v/>
      </c>
      <c r="W283" s="159" t="str">
        <f>IF(OR($N283="",BuildingsHeatFuelsTable[[#This Row],[RSD]]=""),"",BuildingsHeatFuelsTable[[#This Row],[Total emissions (kgCO2e)]]*(1-BuildingsHeatFuelsTable[[#This Row],[RSD]]))</f>
        <v/>
      </c>
      <c r="X283" s="169" t="str" cm="1">
        <f t="array" ref="X283">IF(OR($E283="",$I283=""),"",(INDEX('Emission factors'!$K$3:$V$201,MATCH('Buildings - Heat &amp; Fuels'!$E283&amp;$F283,'Emission factors'!$J$3:$J$201&amp;'Emission factors'!$K$3:$K$201,0),MATCH('Buildings - Heat &amp; Fuels'!X$6,'Emission factors'!$K$2:$V$2,0)))*$K283)</f>
        <v/>
      </c>
      <c r="Y283" s="30"/>
      <c r="Z283" s="1" cm="1">
        <f t="array" ref="Z283">IF(OR(ISERROR(B283:X283)),1,0)</f>
        <v>0</v>
      </c>
      <c r="AA283" s="1">
        <f t="shared" si="1"/>
        <v>0</v>
      </c>
    </row>
    <row r="284" spans="1:27" ht="15" outlineLevel="1" thickBot="1" x14ac:dyDescent="0.4">
      <c r="A284" s="319"/>
      <c r="B284" s="216"/>
      <c r="C284" s="215"/>
      <c r="D284" s="233" t="str">
        <f>IFERROR(INDEX(BuildingInformationTable[Site type],MATCH(BuildingsHeatFuelsTable[[#This Row],[Site name]],BuildingInformationTable[Site name],0)),"")</f>
        <v/>
      </c>
      <c r="E284" s="72"/>
      <c r="F284" s="72"/>
      <c r="G284" s="72"/>
      <c r="H284" s="98" t="str">
        <f>IF(G284="","",INDEX(Lists!$BA$4:$BC$31,MATCH(E284,Lists!$AZ$4:$AZ$31,0),MATCH(G284,Lists!$BA$3:$BC$3,0)))</f>
        <v/>
      </c>
      <c r="I284" s="70"/>
      <c r="J284" s="72"/>
      <c r="K284" s="75" t="str" cm="1">
        <f t="array" ref="K284">IF(OR($E284="",$D284="",$I284="",$J284=""),"",IF(J284=L284,I284,(INDEX('Emission factors'!$K$3:$V$201,MATCH(E284&amp;F284,'Emission factors'!$J$3:$J$201&amp;'Emission factors'!$K$3:$K$201,0),MATCH(K$6,'Emission factors'!$K$2:$V$2,0)))*I284))</f>
        <v/>
      </c>
      <c r="L284" s="312" t="str">
        <f>IF(OR($E284="",$D284="",$I284="",$J284=""),"",INDEX('Emission factors'!$K$3:$V$201,MATCH('Buildings - Heat &amp; Fuels'!$E284,'Emission factors'!$J$3:$J$201,0),MATCH($L$6,'Emission factors'!$K$2:$V$2,0)))</f>
        <v/>
      </c>
      <c r="M284" s="313" t="str" cm="1">
        <f t="array" ref="M284">IF(OR(E284="",I284="",BuildingsHeatFuelsTable[[#This Row],[Units]]=""),"",INDEX('Emission factors'!$K$3:$V$201,MATCH('Buildings - Heat &amp; Fuels'!$E284&amp;F284,'Emission factors'!$J$3:$J$201&amp;'Emission factors'!$K$3:$K$201,0),MATCH('Buildings - Heat &amp; Fuels'!$M$6,'Emission factors'!$K$2:$V$2,0)))</f>
        <v/>
      </c>
      <c r="N284" s="156" t="str">
        <f>IF(OR(K284="",M284=""),"",SUM(BuildingsHeatFuelsTable[[#This Row],[Direct]:[Indirect WTT]]))</f>
        <v/>
      </c>
      <c r="O284" s="71"/>
      <c r="P284" s="72"/>
      <c r="Q284" s="157" t="str" cm="1">
        <f t="array" ref="Q284">IF(OR($E284="",$I284=""),"",(INDEX('Emission factors'!$K$3:$V$201,MATCH('Buildings - Heat &amp; Fuels'!$E284&amp;$F284,'Emission factors'!$J$3:$J$201&amp;'Emission factors'!$K$3:$K$201,0),MATCH('Buildings - Heat &amp; Fuels'!Q$6,'Emission factors'!$K$2:$V$2,0)))*$K284)</f>
        <v/>
      </c>
      <c r="R284" s="157" t="str" cm="1">
        <f t="array" ref="R284">IF(OR($E284="",$I284=""),"",(INDEX('Emission factors'!$K$3:$V$201,MATCH('Buildings - Heat &amp; Fuels'!$E284&amp;$F284,'Emission factors'!$J$3:$J$201&amp;'Emission factors'!$K$3:$K$201,0),MATCH('Buildings - Heat &amp; Fuels'!R$6,'Emission factors'!$K$2:$V$2,0)))*$K284)</f>
        <v/>
      </c>
      <c r="S284" s="157" t="str" cm="1">
        <f t="array" ref="S284">IF(OR($E284="",$I284=""),"",(INDEX('Emission factors'!$K$3:$V$201,MATCH('Buildings - Heat &amp; Fuels'!$E284&amp;$F284,'Emission factors'!$J$3:$J$201&amp;'Emission factors'!$K$3:$K$201,0),MATCH('Buildings - Heat &amp; Fuels'!S$6,'Emission factors'!$K$2:$V$2,0)))*$K284)</f>
        <v/>
      </c>
      <c r="T284" s="157" t="str" cm="1">
        <f t="array" ref="T284">IF(OR($E284="",$I284=""),"",(INDEX('Emission factors'!$K$3:$V$201,MATCH('Buildings - Heat &amp; Fuels'!$E284&amp;$F284,'Emission factors'!$J$3:$J$201&amp;'Emission factors'!$K$3:$K$201,0),MATCH('Buildings - Heat &amp; Fuels'!T$6,'Emission factors'!$K$2:$V$2,0)))*$K284)</f>
        <v/>
      </c>
      <c r="U284" s="157" t="str" cm="1">
        <f t="array" ref="U284">IF(OR($E284="",$I284=""),"",(INDEX('Emission factors'!$K$3:$V$201,MATCH('Buildings - Heat &amp; Fuels'!$E284&amp;$F284,'Emission factors'!$J$3:$J$201&amp;'Emission factors'!$K$3:$K$201,0),MATCH('Buildings - Heat &amp; Fuels'!U$6,'Emission factors'!$K$2:$V$2,0)))*$K284)</f>
        <v/>
      </c>
      <c r="V284" s="158" t="str">
        <f>IF(OR($N284="",BuildingsHeatFuelsTable[[#This Row],[RSD]]=""),"",BuildingsHeatFuelsTable[[#This Row],[Total emissions (kgCO2e)]]*(1+BuildingsHeatFuelsTable[[#This Row],[RSD]]))</f>
        <v/>
      </c>
      <c r="W284" s="159" t="str">
        <f>IF(OR($N284="",BuildingsHeatFuelsTable[[#This Row],[RSD]]=""),"",BuildingsHeatFuelsTable[[#This Row],[Total emissions (kgCO2e)]]*(1-BuildingsHeatFuelsTable[[#This Row],[RSD]]))</f>
        <v/>
      </c>
      <c r="X284" s="169" t="str" cm="1">
        <f t="array" ref="X284">IF(OR($E284="",$I284=""),"",(INDEX('Emission factors'!$K$3:$V$201,MATCH('Buildings - Heat &amp; Fuels'!$E284&amp;$F284,'Emission factors'!$J$3:$J$201&amp;'Emission factors'!$K$3:$K$201,0),MATCH('Buildings - Heat &amp; Fuels'!X$6,'Emission factors'!$K$2:$V$2,0)))*$K284)</f>
        <v/>
      </c>
      <c r="Y284" s="30"/>
      <c r="Z284" s="1" cm="1">
        <f t="array" ref="Z284">IF(OR(ISERROR(B284:X284)),1,0)</f>
        <v>0</v>
      </c>
      <c r="AA284" s="1">
        <f t="shared" si="1"/>
        <v>0</v>
      </c>
    </row>
    <row r="285" spans="1:27" ht="15" outlineLevel="1" thickBot="1" x14ac:dyDescent="0.4">
      <c r="A285" s="319"/>
      <c r="B285" s="216"/>
      <c r="C285" s="216"/>
      <c r="D285" s="489" t="str">
        <f>IFERROR(INDEX(BuildingInformationTable[Site type],MATCH(BuildingsHeatFuelsTable[[#This Row],[Site name]],BuildingInformationTable[Site name],0)),"")</f>
        <v/>
      </c>
      <c r="E285" s="491"/>
      <c r="F285" s="491"/>
      <c r="G285" s="491"/>
      <c r="H285" s="492" t="str">
        <f>IF(G285="","",INDEX(Lists!$BA$4:$BC$31,MATCH(E285,Lists!$AZ$4:$AZ$31,0),MATCH(G285,Lists!$BA$3:$BC$3,0)))</f>
        <v/>
      </c>
      <c r="I285" s="267"/>
      <c r="J285" s="491"/>
      <c r="K285" s="493" t="str" cm="1">
        <f t="array" ref="K285">IF(OR($E285="",$D285="",$I285="",$J285=""),"",IF(J285=L285,I285,(INDEX('Emission factors'!$K$3:$V$201,MATCH(E285&amp;F285,'Emission factors'!$J$3:$J$201&amp;'Emission factors'!$K$3:$K$201,0),MATCH(K$6,'Emission factors'!$K$2:$V$2,0)))*I285))</f>
        <v/>
      </c>
      <c r="L285" s="494" t="str">
        <f>IF(OR($E285="",$D285="",$I285="",$J285=""),"",INDEX('Emission factors'!$K$3:$V$201,MATCH('Buildings - Heat &amp; Fuels'!$E285,'Emission factors'!$J$3:$J$201,0),MATCH($L$6,'Emission factors'!$K$2:$V$2,0)))</f>
        <v/>
      </c>
      <c r="M285" s="495" t="str" cm="1">
        <f t="array" ref="M285">IF(OR(E285="",I285="",BuildingsHeatFuelsTable[[#This Row],[Units]]=""),"",INDEX('Emission factors'!$K$3:$V$201,MATCH('Buildings - Heat &amp; Fuels'!$E285&amp;F285,'Emission factors'!$J$3:$J$201&amp;'Emission factors'!$K$3:$K$201,0),MATCH('Buildings - Heat &amp; Fuels'!$M$6,'Emission factors'!$K$2:$V$2,0)))</f>
        <v/>
      </c>
      <c r="N285" s="496" t="str">
        <f>IF(OR(K285="",M285=""),"",SUM(BuildingsHeatFuelsTable[[#This Row],[Direct]:[Indirect WTT]]))</f>
        <v/>
      </c>
      <c r="O285" s="268"/>
      <c r="P285" s="497"/>
      <c r="Q285" s="157" t="str" cm="1">
        <f t="array" ref="Q285">IF(OR($E285="",$I285=""),"",(INDEX('Emission factors'!$K$3:$V$201,MATCH('Buildings - Heat &amp; Fuels'!$E285&amp;$F285,'Emission factors'!$J$3:$J$201&amp;'Emission factors'!$K$3:$K$201,0),MATCH('Buildings - Heat &amp; Fuels'!Q$6,'Emission factors'!$K$2:$V$2,0)))*$K285)</f>
        <v/>
      </c>
      <c r="R285" s="157" t="str" cm="1">
        <f t="array" ref="R285">IF(OR($E285="",$I285=""),"",(INDEX('Emission factors'!$K$3:$V$201,MATCH('Buildings - Heat &amp; Fuels'!$E285&amp;$F285,'Emission factors'!$J$3:$J$201&amp;'Emission factors'!$K$3:$K$201,0),MATCH('Buildings - Heat &amp; Fuels'!R$6,'Emission factors'!$K$2:$V$2,0)))*$K285)</f>
        <v/>
      </c>
      <c r="S285" s="157" t="str" cm="1">
        <f t="array" ref="S285">IF(OR($E285="",$I285=""),"",(INDEX('Emission factors'!$K$3:$V$201,MATCH('Buildings - Heat &amp; Fuels'!$E285&amp;$F285,'Emission factors'!$J$3:$J$201&amp;'Emission factors'!$K$3:$K$201,0),MATCH('Buildings - Heat &amp; Fuels'!S$6,'Emission factors'!$K$2:$V$2,0)))*$K285)</f>
        <v/>
      </c>
      <c r="T285" s="157" t="str" cm="1">
        <f t="array" ref="T285">IF(OR($E285="",$I285=""),"",(INDEX('Emission factors'!$K$3:$V$201,MATCH('Buildings - Heat &amp; Fuels'!$E285&amp;$F285,'Emission factors'!$J$3:$J$201&amp;'Emission factors'!$K$3:$K$201,0),MATCH('Buildings - Heat &amp; Fuels'!T$6,'Emission factors'!$K$2:$V$2,0)))*$K285)</f>
        <v/>
      </c>
      <c r="U285" s="157" t="str" cm="1">
        <f t="array" ref="U285">IF(OR($E285="",$I285=""),"",(INDEX('Emission factors'!$K$3:$V$201,MATCH('Buildings - Heat &amp; Fuels'!$E285&amp;$F285,'Emission factors'!$J$3:$J$201&amp;'Emission factors'!$K$3:$K$201,0),MATCH('Buildings - Heat &amp; Fuels'!U$6,'Emission factors'!$K$2:$V$2,0)))*$K285)</f>
        <v/>
      </c>
      <c r="V285" s="158" t="str">
        <f>IF(OR($N285="",BuildingsHeatFuelsTable[[#This Row],[RSD]]=""),"",BuildingsHeatFuelsTable[[#This Row],[Total emissions (kgCO2e)]]*(1+BuildingsHeatFuelsTable[[#This Row],[RSD]]))</f>
        <v/>
      </c>
      <c r="W285" s="159" t="str">
        <f>IF(OR($N285="",BuildingsHeatFuelsTable[[#This Row],[RSD]]=""),"",BuildingsHeatFuelsTable[[#This Row],[Total emissions (kgCO2e)]]*(1-BuildingsHeatFuelsTable[[#This Row],[RSD]]))</f>
        <v/>
      </c>
      <c r="X285" s="169" t="str" cm="1">
        <f t="array" ref="X285">IF(OR($E285="",$I285=""),"",(INDEX('Emission factors'!$K$3:$V$201,MATCH('Buildings - Heat &amp; Fuels'!$E285&amp;$F285,'Emission factors'!$J$3:$J$201&amp;'Emission factors'!$K$3:$K$201,0),MATCH('Buildings - Heat &amp; Fuels'!X$6,'Emission factors'!$K$2:$V$2,0)))*$K285)</f>
        <v/>
      </c>
      <c r="Y285" s="30"/>
      <c r="Z285" s="1" cm="1">
        <f t="array" ref="Z285">IF(OR(ISERROR(B285:X285)),1,0)</f>
        <v>0</v>
      </c>
      <c r="AA285" s="1">
        <f t="shared" si="1"/>
        <v>0</v>
      </c>
    </row>
    <row r="286" spans="1:27" ht="15" outlineLevel="1" thickBot="1" x14ac:dyDescent="0.4">
      <c r="A286" s="319"/>
      <c r="B286" s="216"/>
      <c r="C286" s="216"/>
      <c r="D286" s="489" t="str">
        <f>IFERROR(INDEX(BuildingInformationTable[Site type],MATCH(BuildingsHeatFuelsTable[[#This Row],[Site name]],BuildingInformationTable[Site name],0)),"")</f>
        <v/>
      </c>
      <c r="E286" s="491"/>
      <c r="F286" s="491"/>
      <c r="G286" s="491"/>
      <c r="H286" s="492" t="str">
        <f>IF(G286="","",INDEX(Lists!$BA$4:$BC$31,MATCH(E286,Lists!$AZ$4:$AZ$31,0),MATCH(G286,Lists!$BA$3:$BC$3,0)))</f>
        <v/>
      </c>
      <c r="I286" s="267"/>
      <c r="J286" s="491"/>
      <c r="K286" s="493" t="str" cm="1">
        <f t="array" ref="K286">IF(OR($E286="",$D286="",$I286="",$J286=""),"",IF(J286=L286,I286,(INDEX('Emission factors'!$K$3:$V$201,MATCH(E286&amp;F286,'Emission factors'!$J$3:$J$201&amp;'Emission factors'!$K$3:$K$201,0),MATCH(K$6,'Emission factors'!$K$2:$V$2,0)))*I286))</f>
        <v/>
      </c>
      <c r="L286" s="494" t="str">
        <f>IF(OR($E286="",$D286="",$I286="",$J286=""),"",INDEX('Emission factors'!$K$3:$V$201,MATCH('Buildings - Heat &amp; Fuels'!$E286,'Emission factors'!$J$3:$J$201,0),MATCH($L$6,'Emission factors'!$K$2:$V$2,0)))</f>
        <v/>
      </c>
      <c r="M286" s="495" t="str" cm="1">
        <f t="array" ref="M286">IF(OR(E286="",I286="",BuildingsHeatFuelsTable[[#This Row],[Units]]=""),"",INDEX('Emission factors'!$K$3:$V$201,MATCH('Buildings - Heat &amp; Fuels'!$E286&amp;F286,'Emission factors'!$J$3:$J$201&amp;'Emission factors'!$K$3:$K$201,0),MATCH('Buildings - Heat &amp; Fuels'!$M$6,'Emission factors'!$K$2:$V$2,0)))</f>
        <v/>
      </c>
      <c r="N286" s="496" t="str">
        <f>IF(OR(K286="",M286=""),"",SUM(BuildingsHeatFuelsTable[[#This Row],[Direct]:[Indirect WTT]]))</f>
        <v/>
      </c>
      <c r="O286" s="268"/>
      <c r="P286" s="497"/>
      <c r="Q286" s="157" t="str" cm="1">
        <f t="array" ref="Q286">IF(OR($E286="",$I286=""),"",(INDEX('Emission factors'!$K$3:$V$201,MATCH('Buildings - Heat &amp; Fuels'!$E286&amp;$F286,'Emission factors'!$J$3:$J$201&amp;'Emission factors'!$K$3:$K$201,0),MATCH('Buildings - Heat &amp; Fuels'!Q$6,'Emission factors'!$K$2:$V$2,0)))*$K286)</f>
        <v/>
      </c>
      <c r="R286" s="157" t="str" cm="1">
        <f t="array" ref="R286">IF(OR($E286="",$I286=""),"",(INDEX('Emission factors'!$K$3:$V$201,MATCH('Buildings - Heat &amp; Fuels'!$E286&amp;$F286,'Emission factors'!$J$3:$J$201&amp;'Emission factors'!$K$3:$K$201,0),MATCH('Buildings - Heat &amp; Fuels'!R$6,'Emission factors'!$K$2:$V$2,0)))*$K286)</f>
        <v/>
      </c>
      <c r="S286" s="157" t="str" cm="1">
        <f t="array" ref="S286">IF(OR($E286="",$I286=""),"",(INDEX('Emission factors'!$K$3:$V$201,MATCH('Buildings - Heat &amp; Fuels'!$E286&amp;$F286,'Emission factors'!$J$3:$J$201&amp;'Emission factors'!$K$3:$K$201,0),MATCH('Buildings - Heat &amp; Fuels'!S$6,'Emission factors'!$K$2:$V$2,0)))*$K286)</f>
        <v/>
      </c>
      <c r="T286" s="157" t="str" cm="1">
        <f t="array" ref="T286">IF(OR($E286="",$I286=""),"",(INDEX('Emission factors'!$K$3:$V$201,MATCH('Buildings - Heat &amp; Fuels'!$E286&amp;$F286,'Emission factors'!$J$3:$J$201&amp;'Emission factors'!$K$3:$K$201,0),MATCH('Buildings - Heat &amp; Fuels'!T$6,'Emission factors'!$K$2:$V$2,0)))*$K286)</f>
        <v/>
      </c>
      <c r="U286" s="157" t="str" cm="1">
        <f t="array" ref="U286">IF(OR($E286="",$I286=""),"",(INDEX('Emission factors'!$K$3:$V$201,MATCH('Buildings - Heat &amp; Fuels'!$E286&amp;$F286,'Emission factors'!$J$3:$J$201&amp;'Emission factors'!$K$3:$K$201,0),MATCH('Buildings - Heat &amp; Fuels'!U$6,'Emission factors'!$K$2:$V$2,0)))*$K286)</f>
        <v/>
      </c>
      <c r="V286" s="158" t="str">
        <f>IF(OR($N286="",BuildingsHeatFuelsTable[[#This Row],[RSD]]=""),"",BuildingsHeatFuelsTable[[#This Row],[Total emissions (kgCO2e)]]*(1+BuildingsHeatFuelsTable[[#This Row],[RSD]]))</f>
        <v/>
      </c>
      <c r="W286" s="159" t="str">
        <f>IF(OR($N286="",BuildingsHeatFuelsTable[[#This Row],[RSD]]=""),"",BuildingsHeatFuelsTable[[#This Row],[Total emissions (kgCO2e)]]*(1-BuildingsHeatFuelsTable[[#This Row],[RSD]]))</f>
        <v/>
      </c>
      <c r="X286" s="169" t="str" cm="1">
        <f t="array" ref="X286">IF(OR($E286="",$I286=""),"",(INDEX('Emission factors'!$K$3:$V$201,MATCH('Buildings - Heat &amp; Fuels'!$E286&amp;$F286,'Emission factors'!$J$3:$J$201&amp;'Emission factors'!$K$3:$K$201,0),MATCH('Buildings - Heat &amp; Fuels'!X$6,'Emission factors'!$K$2:$V$2,0)))*$K286)</f>
        <v/>
      </c>
      <c r="Y286" s="30"/>
      <c r="Z286" s="1" cm="1">
        <f t="array" ref="Z286">IF(OR(ISERROR(B286:X286)),1,0)</f>
        <v>0</v>
      </c>
      <c r="AA286" s="1">
        <f t="shared" si="1"/>
        <v>0</v>
      </c>
    </row>
    <row r="287" spans="1:27" ht="15" outlineLevel="1" thickBot="1" x14ac:dyDescent="0.4">
      <c r="A287" s="319"/>
      <c r="B287" s="216"/>
      <c r="C287" s="216"/>
      <c r="D287" s="489" t="str">
        <f>IFERROR(INDEX(BuildingInformationTable[Site type],MATCH(BuildingsHeatFuelsTable[[#This Row],[Site name]],BuildingInformationTable[Site name],0)),"")</f>
        <v/>
      </c>
      <c r="E287" s="491"/>
      <c r="F287" s="491"/>
      <c r="G287" s="491"/>
      <c r="H287" s="492" t="str">
        <f>IF(G287="","",INDEX(Lists!$BA$4:$BC$31,MATCH(E287,Lists!$AZ$4:$AZ$31,0),MATCH(G287,Lists!$BA$3:$BC$3,0)))</f>
        <v/>
      </c>
      <c r="I287" s="267"/>
      <c r="J287" s="491"/>
      <c r="K287" s="493" t="str" cm="1">
        <f t="array" ref="K287">IF(OR($E287="",$D287="",$I287="",$J287=""),"",IF(J287=L287,I287,(INDEX('Emission factors'!$K$3:$V$201,MATCH(E287&amp;F287,'Emission factors'!$J$3:$J$201&amp;'Emission factors'!$K$3:$K$201,0),MATCH(K$6,'Emission factors'!$K$2:$V$2,0)))*I287))</f>
        <v/>
      </c>
      <c r="L287" s="494" t="str">
        <f>IF(OR($E287="",$D287="",$I287="",$J287=""),"",INDEX('Emission factors'!$K$3:$V$201,MATCH('Buildings - Heat &amp; Fuels'!$E287,'Emission factors'!$J$3:$J$201,0),MATCH($L$6,'Emission factors'!$K$2:$V$2,0)))</f>
        <v/>
      </c>
      <c r="M287" s="495" t="str" cm="1">
        <f t="array" ref="M287">IF(OR(E287="",I287="",BuildingsHeatFuelsTable[[#This Row],[Units]]=""),"",INDEX('Emission factors'!$K$3:$V$201,MATCH('Buildings - Heat &amp; Fuels'!$E287&amp;F287,'Emission factors'!$J$3:$J$201&amp;'Emission factors'!$K$3:$K$201,0),MATCH('Buildings - Heat &amp; Fuels'!$M$6,'Emission factors'!$K$2:$V$2,0)))</f>
        <v/>
      </c>
      <c r="N287" s="496" t="str">
        <f>IF(OR(K287="",M287=""),"",SUM(BuildingsHeatFuelsTable[[#This Row],[Direct]:[Indirect WTT]]))</f>
        <v/>
      </c>
      <c r="O287" s="268"/>
      <c r="P287" s="497"/>
      <c r="Q287" s="157" t="str" cm="1">
        <f t="array" ref="Q287">IF(OR($E287="",$I287=""),"",(INDEX('Emission factors'!$K$3:$V$201,MATCH('Buildings - Heat &amp; Fuels'!$E287&amp;$F287,'Emission factors'!$J$3:$J$201&amp;'Emission factors'!$K$3:$K$201,0),MATCH('Buildings - Heat &amp; Fuels'!Q$6,'Emission factors'!$K$2:$V$2,0)))*$K287)</f>
        <v/>
      </c>
      <c r="R287" s="157" t="str" cm="1">
        <f t="array" ref="R287">IF(OR($E287="",$I287=""),"",(INDEX('Emission factors'!$K$3:$V$201,MATCH('Buildings - Heat &amp; Fuels'!$E287&amp;$F287,'Emission factors'!$J$3:$J$201&amp;'Emission factors'!$K$3:$K$201,0),MATCH('Buildings - Heat &amp; Fuels'!R$6,'Emission factors'!$K$2:$V$2,0)))*$K287)</f>
        <v/>
      </c>
      <c r="S287" s="157" t="str" cm="1">
        <f t="array" ref="S287">IF(OR($E287="",$I287=""),"",(INDEX('Emission factors'!$K$3:$V$201,MATCH('Buildings - Heat &amp; Fuels'!$E287&amp;$F287,'Emission factors'!$J$3:$J$201&amp;'Emission factors'!$K$3:$K$201,0),MATCH('Buildings - Heat &amp; Fuels'!S$6,'Emission factors'!$K$2:$V$2,0)))*$K287)</f>
        <v/>
      </c>
      <c r="T287" s="157" t="str" cm="1">
        <f t="array" ref="T287">IF(OR($E287="",$I287=""),"",(INDEX('Emission factors'!$K$3:$V$201,MATCH('Buildings - Heat &amp; Fuels'!$E287&amp;$F287,'Emission factors'!$J$3:$J$201&amp;'Emission factors'!$K$3:$K$201,0),MATCH('Buildings - Heat &amp; Fuels'!T$6,'Emission factors'!$K$2:$V$2,0)))*$K287)</f>
        <v/>
      </c>
      <c r="U287" s="157" t="str" cm="1">
        <f t="array" ref="U287">IF(OR($E287="",$I287=""),"",(INDEX('Emission factors'!$K$3:$V$201,MATCH('Buildings - Heat &amp; Fuels'!$E287&amp;$F287,'Emission factors'!$J$3:$J$201&amp;'Emission factors'!$K$3:$K$201,0),MATCH('Buildings - Heat &amp; Fuels'!U$6,'Emission factors'!$K$2:$V$2,0)))*$K287)</f>
        <v/>
      </c>
      <c r="V287" s="158" t="str">
        <f>IF(OR($N287="",BuildingsHeatFuelsTable[[#This Row],[RSD]]=""),"",BuildingsHeatFuelsTable[[#This Row],[Total emissions (kgCO2e)]]*(1+BuildingsHeatFuelsTable[[#This Row],[RSD]]))</f>
        <v/>
      </c>
      <c r="W287" s="159" t="str">
        <f>IF(OR($N287="",BuildingsHeatFuelsTable[[#This Row],[RSD]]=""),"",BuildingsHeatFuelsTable[[#This Row],[Total emissions (kgCO2e)]]*(1-BuildingsHeatFuelsTable[[#This Row],[RSD]]))</f>
        <v/>
      </c>
      <c r="X287" s="169" t="str" cm="1">
        <f t="array" ref="X287">IF(OR($E287="",$I287=""),"",(INDEX('Emission factors'!$K$3:$V$201,MATCH('Buildings - Heat &amp; Fuels'!$E287&amp;$F287,'Emission factors'!$J$3:$J$201&amp;'Emission factors'!$K$3:$K$201,0),MATCH('Buildings - Heat &amp; Fuels'!X$6,'Emission factors'!$K$2:$V$2,0)))*$K287)</f>
        <v/>
      </c>
      <c r="Y287" s="30"/>
      <c r="Z287" s="1" cm="1">
        <f t="array" ref="Z287">IF(OR(ISERROR(B287:X287)),1,0)</f>
        <v>0</v>
      </c>
      <c r="AA287" s="1">
        <f t="shared" si="1"/>
        <v>0</v>
      </c>
    </row>
    <row r="288" spans="1:27" ht="15" outlineLevel="1" thickBot="1" x14ac:dyDescent="0.4">
      <c r="A288" s="319"/>
      <c r="B288" s="216"/>
      <c r="C288" s="216"/>
      <c r="D288" s="489" t="str">
        <f>IFERROR(INDEX(BuildingInformationTable[Site type],MATCH(BuildingsHeatFuelsTable[[#This Row],[Site name]],BuildingInformationTable[Site name],0)),"")</f>
        <v/>
      </c>
      <c r="E288" s="491"/>
      <c r="F288" s="491"/>
      <c r="G288" s="491"/>
      <c r="H288" s="492" t="str">
        <f>IF(G288="","",INDEX(Lists!$BA$4:$BC$31,MATCH(E288,Lists!$AZ$4:$AZ$31,0),MATCH(G288,Lists!$BA$3:$BC$3,0)))</f>
        <v/>
      </c>
      <c r="I288" s="267"/>
      <c r="J288" s="491"/>
      <c r="K288" s="493" t="str" cm="1">
        <f t="array" ref="K288">IF(OR($E288="",$D288="",$I288="",$J288=""),"",IF(J288=L288,I288,(INDEX('Emission factors'!$K$3:$V$201,MATCH(E288&amp;F288,'Emission factors'!$J$3:$J$201&amp;'Emission factors'!$K$3:$K$201,0),MATCH(K$6,'Emission factors'!$K$2:$V$2,0)))*I288))</f>
        <v/>
      </c>
      <c r="L288" s="494" t="str">
        <f>IF(OR($E288="",$D288="",$I288="",$J288=""),"",INDEX('Emission factors'!$K$3:$V$201,MATCH('Buildings - Heat &amp; Fuels'!$E288,'Emission factors'!$J$3:$J$201,0),MATCH($L$6,'Emission factors'!$K$2:$V$2,0)))</f>
        <v/>
      </c>
      <c r="M288" s="495" t="str" cm="1">
        <f t="array" ref="M288">IF(OR(E288="",I288="",BuildingsHeatFuelsTable[[#This Row],[Units]]=""),"",INDEX('Emission factors'!$K$3:$V$201,MATCH('Buildings - Heat &amp; Fuels'!$E288&amp;F288,'Emission factors'!$J$3:$J$201&amp;'Emission factors'!$K$3:$K$201,0),MATCH('Buildings - Heat &amp; Fuels'!$M$6,'Emission factors'!$K$2:$V$2,0)))</f>
        <v/>
      </c>
      <c r="N288" s="496" t="str">
        <f>IF(OR(K288="",M288=""),"",SUM(BuildingsHeatFuelsTable[[#This Row],[Direct]:[Indirect WTT]]))</f>
        <v/>
      </c>
      <c r="O288" s="268"/>
      <c r="P288" s="497"/>
      <c r="Q288" s="157" t="str" cm="1">
        <f t="array" ref="Q288">IF(OR($E288="",$I288=""),"",(INDEX('Emission factors'!$K$3:$V$201,MATCH('Buildings - Heat &amp; Fuels'!$E288&amp;$F288,'Emission factors'!$J$3:$J$201&amp;'Emission factors'!$K$3:$K$201,0),MATCH('Buildings - Heat &amp; Fuels'!Q$6,'Emission factors'!$K$2:$V$2,0)))*$K288)</f>
        <v/>
      </c>
      <c r="R288" s="157" t="str" cm="1">
        <f t="array" ref="R288">IF(OR($E288="",$I288=""),"",(INDEX('Emission factors'!$K$3:$V$201,MATCH('Buildings - Heat &amp; Fuels'!$E288&amp;$F288,'Emission factors'!$J$3:$J$201&amp;'Emission factors'!$K$3:$K$201,0),MATCH('Buildings - Heat &amp; Fuels'!R$6,'Emission factors'!$K$2:$V$2,0)))*$K288)</f>
        <v/>
      </c>
      <c r="S288" s="157" t="str" cm="1">
        <f t="array" ref="S288">IF(OR($E288="",$I288=""),"",(INDEX('Emission factors'!$K$3:$V$201,MATCH('Buildings - Heat &amp; Fuels'!$E288&amp;$F288,'Emission factors'!$J$3:$J$201&amp;'Emission factors'!$K$3:$K$201,0),MATCH('Buildings - Heat &amp; Fuels'!S$6,'Emission factors'!$K$2:$V$2,0)))*$K288)</f>
        <v/>
      </c>
      <c r="T288" s="157" t="str" cm="1">
        <f t="array" ref="T288">IF(OR($E288="",$I288=""),"",(INDEX('Emission factors'!$K$3:$V$201,MATCH('Buildings - Heat &amp; Fuels'!$E288&amp;$F288,'Emission factors'!$J$3:$J$201&amp;'Emission factors'!$K$3:$K$201,0),MATCH('Buildings - Heat &amp; Fuels'!T$6,'Emission factors'!$K$2:$V$2,0)))*$K288)</f>
        <v/>
      </c>
      <c r="U288" s="157" t="str" cm="1">
        <f t="array" ref="U288">IF(OR($E288="",$I288=""),"",(INDEX('Emission factors'!$K$3:$V$201,MATCH('Buildings - Heat &amp; Fuels'!$E288&amp;$F288,'Emission factors'!$J$3:$J$201&amp;'Emission factors'!$K$3:$K$201,0),MATCH('Buildings - Heat &amp; Fuels'!U$6,'Emission factors'!$K$2:$V$2,0)))*$K288)</f>
        <v/>
      </c>
      <c r="V288" s="158" t="str">
        <f>IF(OR($N288="",BuildingsHeatFuelsTable[[#This Row],[RSD]]=""),"",BuildingsHeatFuelsTable[[#This Row],[Total emissions (kgCO2e)]]*(1+BuildingsHeatFuelsTable[[#This Row],[RSD]]))</f>
        <v/>
      </c>
      <c r="W288" s="159" t="str">
        <f>IF(OR($N288="",BuildingsHeatFuelsTable[[#This Row],[RSD]]=""),"",BuildingsHeatFuelsTable[[#This Row],[Total emissions (kgCO2e)]]*(1-BuildingsHeatFuelsTable[[#This Row],[RSD]]))</f>
        <v/>
      </c>
      <c r="X288" s="169" t="str" cm="1">
        <f t="array" ref="X288">IF(OR($E288="",$I288=""),"",(INDEX('Emission factors'!$K$3:$V$201,MATCH('Buildings - Heat &amp; Fuels'!$E288&amp;$F288,'Emission factors'!$J$3:$J$201&amp;'Emission factors'!$K$3:$K$201,0),MATCH('Buildings - Heat &amp; Fuels'!X$6,'Emission factors'!$K$2:$V$2,0)))*$K288)</f>
        <v/>
      </c>
      <c r="Y288" s="30"/>
      <c r="Z288" s="1" cm="1">
        <f t="array" ref="Z288">IF(OR(ISERROR(B288:X288)),1,0)</f>
        <v>0</v>
      </c>
      <c r="AA288" s="1">
        <f t="shared" si="1"/>
        <v>0</v>
      </c>
    </row>
    <row r="289" spans="1:27" ht="15" outlineLevel="1" thickBot="1" x14ac:dyDescent="0.4">
      <c r="A289" s="319"/>
      <c r="B289" s="216"/>
      <c r="C289" s="216"/>
      <c r="D289" s="489" t="str">
        <f>IFERROR(INDEX(BuildingInformationTable[Site type],MATCH(BuildingsHeatFuelsTable[[#This Row],[Site name]],BuildingInformationTable[Site name],0)),"")</f>
        <v/>
      </c>
      <c r="E289" s="491"/>
      <c r="F289" s="491"/>
      <c r="G289" s="491"/>
      <c r="H289" s="492" t="str">
        <f>IF(G289="","",INDEX(Lists!$BA$4:$BC$31,MATCH(E289,Lists!$AZ$4:$AZ$31,0),MATCH(G289,Lists!$BA$3:$BC$3,0)))</f>
        <v/>
      </c>
      <c r="I289" s="267"/>
      <c r="J289" s="491"/>
      <c r="K289" s="493" t="str" cm="1">
        <f t="array" ref="K289">IF(OR($E289="",$D289="",$I289="",$J289=""),"",IF(J289=L289,I289,(INDEX('Emission factors'!$K$3:$V$201,MATCH(E289&amp;F289,'Emission factors'!$J$3:$J$201&amp;'Emission factors'!$K$3:$K$201,0),MATCH(K$6,'Emission factors'!$K$2:$V$2,0)))*I289))</f>
        <v/>
      </c>
      <c r="L289" s="494" t="str">
        <f>IF(OR($E289="",$D289="",$I289="",$J289=""),"",INDEX('Emission factors'!$K$3:$V$201,MATCH('Buildings - Heat &amp; Fuels'!$E289,'Emission factors'!$J$3:$J$201,0),MATCH($L$6,'Emission factors'!$K$2:$V$2,0)))</f>
        <v/>
      </c>
      <c r="M289" s="495" t="str" cm="1">
        <f t="array" ref="M289">IF(OR(E289="",I289="",BuildingsHeatFuelsTable[[#This Row],[Units]]=""),"",INDEX('Emission factors'!$K$3:$V$201,MATCH('Buildings - Heat &amp; Fuels'!$E289&amp;F289,'Emission factors'!$J$3:$J$201&amp;'Emission factors'!$K$3:$K$201,0),MATCH('Buildings - Heat &amp; Fuels'!$M$6,'Emission factors'!$K$2:$V$2,0)))</f>
        <v/>
      </c>
      <c r="N289" s="496" t="str">
        <f>IF(OR(K289="",M289=""),"",SUM(BuildingsHeatFuelsTable[[#This Row],[Direct]:[Indirect WTT]]))</f>
        <v/>
      </c>
      <c r="O289" s="268"/>
      <c r="P289" s="497"/>
      <c r="Q289" s="157" t="str" cm="1">
        <f t="array" ref="Q289">IF(OR($E289="",$I289=""),"",(INDEX('Emission factors'!$K$3:$V$201,MATCH('Buildings - Heat &amp; Fuels'!$E289&amp;$F289,'Emission factors'!$J$3:$J$201&amp;'Emission factors'!$K$3:$K$201,0),MATCH('Buildings - Heat &amp; Fuels'!Q$6,'Emission factors'!$K$2:$V$2,0)))*$K289)</f>
        <v/>
      </c>
      <c r="R289" s="157" t="str" cm="1">
        <f t="array" ref="R289">IF(OR($E289="",$I289=""),"",(INDEX('Emission factors'!$K$3:$V$201,MATCH('Buildings - Heat &amp; Fuels'!$E289&amp;$F289,'Emission factors'!$J$3:$J$201&amp;'Emission factors'!$K$3:$K$201,0),MATCH('Buildings - Heat &amp; Fuels'!R$6,'Emission factors'!$K$2:$V$2,0)))*$K289)</f>
        <v/>
      </c>
      <c r="S289" s="157" t="str" cm="1">
        <f t="array" ref="S289">IF(OR($E289="",$I289=""),"",(INDEX('Emission factors'!$K$3:$V$201,MATCH('Buildings - Heat &amp; Fuels'!$E289&amp;$F289,'Emission factors'!$J$3:$J$201&amp;'Emission factors'!$K$3:$K$201,0),MATCH('Buildings - Heat &amp; Fuels'!S$6,'Emission factors'!$K$2:$V$2,0)))*$K289)</f>
        <v/>
      </c>
      <c r="T289" s="157" t="str" cm="1">
        <f t="array" ref="T289">IF(OR($E289="",$I289=""),"",(INDEX('Emission factors'!$K$3:$V$201,MATCH('Buildings - Heat &amp; Fuels'!$E289&amp;$F289,'Emission factors'!$J$3:$J$201&amp;'Emission factors'!$K$3:$K$201,0),MATCH('Buildings - Heat &amp; Fuels'!T$6,'Emission factors'!$K$2:$V$2,0)))*$K289)</f>
        <v/>
      </c>
      <c r="U289" s="157" t="str" cm="1">
        <f t="array" ref="U289">IF(OR($E289="",$I289=""),"",(INDEX('Emission factors'!$K$3:$V$201,MATCH('Buildings - Heat &amp; Fuels'!$E289&amp;$F289,'Emission factors'!$J$3:$J$201&amp;'Emission factors'!$K$3:$K$201,0),MATCH('Buildings - Heat &amp; Fuels'!U$6,'Emission factors'!$K$2:$V$2,0)))*$K289)</f>
        <v/>
      </c>
      <c r="V289" s="158" t="str">
        <f>IF(OR($N289="",BuildingsHeatFuelsTable[[#This Row],[RSD]]=""),"",BuildingsHeatFuelsTable[[#This Row],[Total emissions (kgCO2e)]]*(1+BuildingsHeatFuelsTable[[#This Row],[RSD]]))</f>
        <v/>
      </c>
      <c r="W289" s="159" t="str">
        <f>IF(OR($N289="",BuildingsHeatFuelsTable[[#This Row],[RSD]]=""),"",BuildingsHeatFuelsTable[[#This Row],[Total emissions (kgCO2e)]]*(1-BuildingsHeatFuelsTable[[#This Row],[RSD]]))</f>
        <v/>
      </c>
      <c r="X289" s="169" t="str" cm="1">
        <f t="array" ref="X289">IF(OR($E289="",$I289=""),"",(INDEX('Emission factors'!$K$3:$V$201,MATCH('Buildings - Heat &amp; Fuels'!$E289&amp;$F289,'Emission factors'!$J$3:$J$201&amp;'Emission factors'!$K$3:$K$201,0),MATCH('Buildings - Heat &amp; Fuels'!X$6,'Emission factors'!$K$2:$V$2,0)))*$K289)</f>
        <v/>
      </c>
      <c r="Y289" s="30"/>
      <c r="Z289" s="1" cm="1">
        <f t="array" ref="Z289">IF(OR(ISERROR(B289:X289)),1,0)</f>
        <v>0</v>
      </c>
      <c r="AA289" s="1">
        <f t="shared" si="1"/>
        <v>0</v>
      </c>
    </row>
    <row r="290" spans="1:27" ht="15" outlineLevel="1" thickBot="1" x14ac:dyDescent="0.4">
      <c r="A290" s="319"/>
      <c r="B290" s="216"/>
      <c r="C290" s="216"/>
      <c r="D290" s="489" t="str">
        <f>IFERROR(INDEX(BuildingInformationTable[Site type],MATCH(BuildingsHeatFuelsTable[[#This Row],[Site name]],BuildingInformationTable[Site name],0)),"")</f>
        <v/>
      </c>
      <c r="E290" s="491"/>
      <c r="F290" s="491"/>
      <c r="G290" s="491"/>
      <c r="H290" s="492" t="str">
        <f>IF(G290="","",INDEX(Lists!$BA$4:$BC$31,MATCH(E290,Lists!$AZ$4:$AZ$31,0),MATCH(G290,Lists!$BA$3:$BC$3,0)))</f>
        <v/>
      </c>
      <c r="I290" s="267"/>
      <c r="J290" s="491"/>
      <c r="K290" s="493" t="str" cm="1">
        <f t="array" ref="K290">IF(OR($E290="",$D290="",$I290="",$J290=""),"",IF(J290=L290,I290,(INDEX('Emission factors'!$K$3:$V$201,MATCH(E290&amp;F290,'Emission factors'!$J$3:$J$201&amp;'Emission factors'!$K$3:$K$201,0),MATCH(K$6,'Emission factors'!$K$2:$V$2,0)))*I290))</f>
        <v/>
      </c>
      <c r="L290" s="494" t="str">
        <f>IF(OR($E290="",$D290="",$I290="",$J290=""),"",INDEX('Emission factors'!$K$3:$V$201,MATCH('Buildings - Heat &amp; Fuels'!$E290,'Emission factors'!$J$3:$J$201,0),MATCH($L$6,'Emission factors'!$K$2:$V$2,0)))</f>
        <v/>
      </c>
      <c r="M290" s="495" t="str" cm="1">
        <f t="array" ref="M290">IF(OR(E290="",I290="",BuildingsHeatFuelsTable[[#This Row],[Units]]=""),"",INDEX('Emission factors'!$K$3:$V$201,MATCH('Buildings - Heat &amp; Fuels'!$E290&amp;F290,'Emission factors'!$J$3:$J$201&amp;'Emission factors'!$K$3:$K$201,0),MATCH('Buildings - Heat &amp; Fuels'!$M$6,'Emission factors'!$K$2:$V$2,0)))</f>
        <v/>
      </c>
      <c r="N290" s="496" t="str">
        <f>IF(OR(K290="",M290=""),"",SUM(BuildingsHeatFuelsTable[[#This Row],[Direct]:[Indirect WTT]]))</f>
        <v/>
      </c>
      <c r="O290" s="268"/>
      <c r="P290" s="497"/>
      <c r="Q290" s="157" t="str" cm="1">
        <f t="array" ref="Q290">IF(OR($E290="",$I290=""),"",(INDEX('Emission factors'!$K$3:$V$201,MATCH('Buildings - Heat &amp; Fuels'!$E290&amp;$F290,'Emission factors'!$J$3:$J$201&amp;'Emission factors'!$K$3:$K$201,0),MATCH('Buildings - Heat &amp; Fuels'!Q$6,'Emission factors'!$K$2:$V$2,0)))*$K290)</f>
        <v/>
      </c>
      <c r="R290" s="157" t="str" cm="1">
        <f t="array" ref="R290">IF(OR($E290="",$I290=""),"",(INDEX('Emission factors'!$K$3:$V$201,MATCH('Buildings - Heat &amp; Fuels'!$E290&amp;$F290,'Emission factors'!$J$3:$J$201&amp;'Emission factors'!$K$3:$K$201,0),MATCH('Buildings - Heat &amp; Fuels'!R$6,'Emission factors'!$K$2:$V$2,0)))*$K290)</f>
        <v/>
      </c>
      <c r="S290" s="157" t="str" cm="1">
        <f t="array" ref="S290">IF(OR($E290="",$I290=""),"",(INDEX('Emission factors'!$K$3:$V$201,MATCH('Buildings - Heat &amp; Fuels'!$E290&amp;$F290,'Emission factors'!$J$3:$J$201&amp;'Emission factors'!$K$3:$K$201,0),MATCH('Buildings - Heat &amp; Fuels'!S$6,'Emission factors'!$K$2:$V$2,0)))*$K290)</f>
        <v/>
      </c>
      <c r="T290" s="157" t="str" cm="1">
        <f t="array" ref="T290">IF(OR($E290="",$I290=""),"",(INDEX('Emission factors'!$K$3:$V$201,MATCH('Buildings - Heat &amp; Fuels'!$E290&amp;$F290,'Emission factors'!$J$3:$J$201&amp;'Emission factors'!$K$3:$K$201,0),MATCH('Buildings - Heat &amp; Fuels'!T$6,'Emission factors'!$K$2:$V$2,0)))*$K290)</f>
        <v/>
      </c>
      <c r="U290" s="157" t="str" cm="1">
        <f t="array" ref="U290">IF(OR($E290="",$I290=""),"",(INDEX('Emission factors'!$K$3:$V$201,MATCH('Buildings - Heat &amp; Fuels'!$E290&amp;$F290,'Emission factors'!$J$3:$J$201&amp;'Emission factors'!$K$3:$K$201,0),MATCH('Buildings - Heat &amp; Fuels'!U$6,'Emission factors'!$K$2:$V$2,0)))*$K290)</f>
        <v/>
      </c>
      <c r="V290" s="158" t="str">
        <f>IF(OR($N290="",BuildingsHeatFuelsTable[[#This Row],[RSD]]=""),"",BuildingsHeatFuelsTable[[#This Row],[Total emissions (kgCO2e)]]*(1+BuildingsHeatFuelsTable[[#This Row],[RSD]]))</f>
        <v/>
      </c>
      <c r="W290" s="159" t="str">
        <f>IF(OR($N290="",BuildingsHeatFuelsTable[[#This Row],[RSD]]=""),"",BuildingsHeatFuelsTable[[#This Row],[Total emissions (kgCO2e)]]*(1-BuildingsHeatFuelsTable[[#This Row],[RSD]]))</f>
        <v/>
      </c>
      <c r="X290" s="169" t="str" cm="1">
        <f t="array" ref="X290">IF(OR($E290="",$I290=""),"",(INDEX('Emission factors'!$K$3:$V$201,MATCH('Buildings - Heat &amp; Fuels'!$E290&amp;$F290,'Emission factors'!$J$3:$J$201&amp;'Emission factors'!$K$3:$K$201,0),MATCH('Buildings - Heat &amp; Fuels'!X$6,'Emission factors'!$K$2:$V$2,0)))*$K290)</f>
        <v/>
      </c>
      <c r="Y290" s="30"/>
      <c r="Z290" s="1" cm="1">
        <f t="array" ref="Z290">IF(OR(ISERROR(B290:X290)),1,0)</f>
        <v>0</v>
      </c>
      <c r="AA290" s="1">
        <f t="shared" si="1"/>
        <v>0</v>
      </c>
    </row>
    <row r="291" spans="1:27" ht="15" outlineLevel="1" thickBot="1" x14ac:dyDescent="0.4">
      <c r="A291" s="319"/>
      <c r="B291" s="216"/>
      <c r="C291" s="215"/>
      <c r="D291" s="233" t="str">
        <f>IFERROR(INDEX(BuildingInformationTable[Site type],MATCH(BuildingsHeatFuelsTable[[#This Row],[Site name]],BuildingInformationTable[Site name],0)),"")</f>
        <v/>
      </c>
      <c r="E291" s="72"/>
      <c r="F291" s="72"/>
      <c r="G291" s="72"/>
      <c r="H291" s="98" t="str">
        <f>IF(G291="","",INDEX(Lists!$BA$4:$BC$31,MATCH(E291,Lists!$AZ$4:$AZ$31,0),MATCH(G291,Lists!$BA$3:$BC$3,0)))</f>
        <v/>
      </c>
      <c r="I291" s="70"/>
      <c r="J291" s="72"/>
      <c r="K291" s="75" t="str" cm="1">
        <f t="array" ref="K291">IF(OR($E291="",$D291="",$I291="",$J291=""),"",IF(J291=L291,I291,(INDEX('Emission factors'!$K$3:$V$201,MATCH(E291&amp;F291,'Emission factors'!$J$3:$J$201&amp;'Emission factors'!$K$3:$K$201,0),MATCH(K$6,'Emission factors'!$K$2:$V$2,0)))*I291))</f>
        <v/>
      </c>
      <c r="L291" s="312" t="str">
        <f>IF(OR($E291="",$D291="",$I291="",$J291=""),"",INDEX('Emission factors'!$K$3:$V$201,MATCH('Buildings - Heat &amp; Fuels'!$E291,'Emission factors'!$J$3:$J$201,0),MATCH($L$6,'Emission factors'!$K$2:$V$2,0)))</f>
        <v/>
      </c>
      <c r="M291" s="313" t="str" cm="1">
        <f t="array" ref="M291">IF(OR(E291="",I291="",BuildingsHeatFuelsTable[[#This Row],[Units]]=""),"",INDEX('Emission factors'!$K$3:$V$201,MATCH('Buildings - Heat &amp; Fuels'!$E291&amp;F291,'Emission factors'!$J$3:$J$201&amp;'Emission factors'!$K$3:$K$201,0),MATCH('Buildings - Heat &amp; Fuels'!$M$6,'Emission factors'!$K$2:$V$2,0)))</f>
        <v/>
      </c>
      <c r="N291" s="156" t="str">
        <f>IF(OR(K291="",M291=""),"",SUM(BuildingsHeatFuelsTable[[#This Row],[Direct]:[Indirect WTT]]))</f>
        <v/>
      </c>
      <c r="O291" s="71"/>
      <c r="P291" s="72"/>
      <c r="Q291" s="157" t="str" cm="1">
        <f t="array" ref="Q291">IF(OR($E291="",$I291=""),"",(INDEX('Emission factors'!$K$3:$V$201,MATCH('Buildings - Heat &amp; Fuels'!$E291&amp;$F291,'Emission factors'!$J$3:$J$201&amp;'Emission factors'!$K$3:$K$201,0),MATCH('Buildings - Heat &amp; Fuels'!Q$6,'Emission factors'!$K$2:$V$2,0)))*$K291)</f>
        <v/>
      </c>
      <c r="R291" s="157" t="str" cm="1">
        <f t="array" ref="R291">IF(OR($E291="",$I291=""),"",(INDEX('Emission factors'!$K$3:$V$201,MATCH('Buildings - Heat &amp; Fuels'!$E291&amp;$F291,'Emission factors'!$J$3:$J$201&amp;'Emission factors'!$K$3:$K$201,0),MATCH('Buildings - Heat &amp; Fuels'!R$6,'Emission factors'!$K$2:$V$2,0)))*$K291)</f>
        <v/>
      </c>
      <c r="S291" s="157" t="str" cm="1">
        <f t="array" ref="S291">IF(OR($E291="",$I291=""),"",(INDEX('Emission factors'!$K$3:$V$201,MATCH('Buildings - Heat &amp; Fuels'!$E291&amp;$F291,'Emission factors'!$J$3:$J$201&amp;'Emission factors'!$K$3:$K$201,0),MATCH('Buildings - Heat &amp; Fuels'!S$6,'Emission factors'!$K$2:$V$2,0)))*$K291)</f>
        <v/>
      </c>
      <c r="T291" s="157" t="str" cm="1">
        <f t="array" ref="T291">IF(OR($E291="",$I291=""),"",(INDEX('Emission factors'!$K$3:$V$201,MATCH('Buildings - Heat &amp; Fuels'!$E291&amp;$F291,'Emission factors'!$J$3:$J$201&amp;'Emission factors'!$K$3:$K$201,0),MATCH('Buildings - Heat &amp; Fuels'!T$6,'Emission factors'!$K$2:$V$2,0)))*$K291)</f>
        <v/>
      </c>
      <c r="U291" s="157" t="str" cm="1">
        <f t="array" ref="U291">IF(OR($E291="",$I291=""),"",(INDEX('Emission factors'!$K$3:$V$201,MATCH('Buildings - Heat &amp; Fuels'!$E291&amp;$F291,'Emission factors'!$J$3:$J$201&amp;'Emission factors'!$K$3:$K$201,0),MATCH('Buildings - Heat &amp; Fuels'!U$6,'Emission factors'!$K$2:$V$2,0)))*$K291)</f>
        <v/>
      </c>
      <c r="V291" s="158" t="str">
        <f>IF(OR($N291="",BuildingsHeatFuelsTable[[#This Row],[RSD]]=""),"",BuildingsHeatFuelsTable[[#This Row],[Total emissions (kgCO2e)]]*(1+BuildingsHeatFuelsTable[[#This Row],[RSD]]))</f>
        <v/>
      </c>
      <c r="W291" s="159" t="str">
        <f>IF(OR($N291="",BuildingsHeatFuelsTable[[#This Row],[RSD]]=""),"",BuildingsHeatFuelsTable[[#This Row],[Total emissions (kgCO2e)]]*(1-BuildingsHeatFuelsTable[[#This Row],[RSD]]))</f>
        <v/>
      </c>
      <c r="X291" s="169" t="str" cm="1">
        <f t="array" ref="X291">IF(OR($E291="",$I291=""),"",(INDEX('Emission factors'!$K$3:$V$201,MATCH('Buildings - Heat &amp; Fuels'!$E291&amp;$F291,'Emission factors'!$J$3:$J$201&amp;'Emission factors'!$K$3:$K$201,0),MATCH('Buildings - Heat &amp; Fuels'!X$6,'Emission factors'!$K$2:$V$2,0)))*$K291)</f>
        <v/>
      </c>
      <c r="Y291" s="30"/>
      <c r="Z291" s="1" cm="1">
        <f t="array" ref="Z291">IF(OR(ISERROR(B291:X291)),1,0)</f>
        <v>0</v>
      </c>
      <c r="AA291" s="1">
        <f t="shared" si="1"/>
        <v>0</v>
      </c>
    </row>
    <row r="292" spans="1:27" ht="15" outlineLevel="1" thickBot="1" x14ac:dyDescent="0.4">
      <c r="A292" s="319"/>
      <c r="B292" s="216"/>
      <c r="C292" s="215"/>
      <c r="D292" s="233" t="str">
        <f>IFERROR(INDEX(BuildingInformationTable[Site type],MATCH(BuildingsHeatFuelsTable[[#This Row],[Site name]],BuildingInformationTable[Site name],0)),"")</f>
        <v/>
      </c>
      <c r="E292" s="72"/>
      <c r="F292" s="72"/>
      <c r="G292" s="72"/>
      <c r="H292" s="98" t="str">
        <f>IF(G292="","",INDEX(Lists!$BA$4:$BC$31,MATCH(E292,Lists!$AZ$4:$AZ$31,0),MATCH(G292,Lists!$BA$3:$BC$3,0)))</f>
        <v/>
      </c>
      <c r="I292" s="70"/>
      <c r="J292" s="72"/>
      <c r="K292" s="75" t="str" cm="1">
        <f t="array" ref="K292">IF(OR($E292="",$D292="",$I292="",$J292=""),"",IF(J292=L292,I292,(INDEX('Emission factors'!$K$3:$V$201,MATCH(E292&amp;F292,'Emission factors'!$J$3:$J$201&amp;'Emission factors'!$K$3:$K$201,0),MATCH(K$6,'Emission factors'!$K$2:$V$2,0)))*I292))</f>
        <v/>
      </c>
      <c r="L292" s="312" t="str">
        <f>IF(OR($E292="",$D292="",$I292="",$J292=""),"",INDEX('Emission factors'!$K$3:$V$201,MATCH('Buildings - Heat &amp; Fuels'!$E292,'Emission factors'!$J$3:$J$201,0),MATCH($L$6,'Emission factors'!$K$2:$V$2,0)))</f>
        <v/>
      </c>
      <c r="M292" s="313" t="str" cm="1">
        <f t="array" ref="M292">IF(OR(E292="",I292="",BuildingsHeatFuelsTable[[#This Row],[Units]]=""),"",INDEX('Emission factors'!$K$3:$V$201,MATCH('Buildings - Heat &amp; Fuels'!$E292&amp;F292,'Emission factors'!$J$3:$J$201&amp;'Emission factors'!$K$3:$K$201,0),MATCH('Buildings - Heat &amp; Fuels'!$M$6,'Emission factors'!$K$2:$V$2,0)))</f>
        <v/>
      </c>
      <c r="N292" s="156" t="str">
        <f>IF(OR(K292="",M292=""),"",SUM(BuildingsHeatFuelsTable[[#This Row],[Direct]:[Indirect WTT]]))</f>
        <v/>
      </c>
      <c r="O292" s="71"/>
      <c r="P292" s="72"/>
      <c r="Q292" s="157" t="str" cm="1">
        <f t="array" ref="Q292">IF(OR($E292="",$I292=""),"",(INDEX('Emission factors'!$K$3:$V$201,MATCH('Buildings - Heat &amp; Fuels'!$E292&amp;$F292,'Emission factors'!$J$3:$J$201&amp;'Emission factors'!$K$3:$K$201,0),MATCH('Buildings - Heat &amp; Fuels'!Q$6,'Emission factors'!$K$2:$V$2,0)))*$K292)</f>
        <v/>
      </c>
      <c r="R292" s="157" t="str" cm="1">
        <f t="array" ref="R292">IF(OR($E292="",$I292=""),"",(INDEX('Emission factors'!$K$3:$V$201,MATCH('Buildings - Heat &amp; Fuels'!$E292&amp;$F292,'Emission factors'!$J$3:$J$201&amp;'Emission factors'!$K$3:$K$201,0),MATCH('Buildings - Heat &amp; Fuels'!R$6,'Emission factors'!$K$2:$V$2,0)))*$K292)</f>
        <v/>
      </c>
      <c r="S292" s="157" t="str" cm="1">
        <f t="array" ref="S292">IF(OR($E292="",$I292=""),"",(INDEX('Emission factors'!$K$3:$V$201,MATCH('Buildings - Heat &amp; Fuels'!$E292&amp;$F292,'Emission factors'!$J$3:$J$201&amp;'Emission factors'!$K$3:$K$201,0),MATCH('Buildings - Heat &amp; Fuels'!S$6,'Emission factors'!$K$2:$V$2,0)))*$K292)</f>
        <v/>
      </c>
      <c r="T292" s="157" t="str" cm="1">
        <f t="array" ref="T292">IF(OR($E292="",$I292=""),"",(INDEX('Emission factors'!$K$3:$V$201,MATCH('Buildings - Heat &amp; Fuels'!$E292&amp;$F292,'Emission factors'!$J$3:$J$201&amp;'Emission factors'!$K$3:$K$201,0),MATCH('Buildings - Heat &amp; Fuels'!T$6,'Emission factors'!$K$2:$V$2,0)))*$K292)</f>
        <v/>
      </c>
      <c r="U292" s="157" t="str" cm="1">
        <f t="array" ref="U292">IF(OR($E292="",$I292=""),"",(INDEX('Emission factors'!$K$3:$V$201,MATCH('Buildings - Heat &amp; Fuels'!$E292&amp;$F292,'Emission factors'!$J$3:$J$201&amp;'Emission factors'!$K$3:$K$201,0),MATCH('Buildings - Heat &amp; Fuels'!U$6,'Emission factors'!$K$2:$V$2,0)))*$K292)</f>
        <v/>
      </c>
      <c r="V292" s="158" t="str">
        <f>IF(OR($N292="",BuildingsHeatFuelsTable[[#This Row],[RSD]]=""),"",BuildingsHeatFuelsTable[[#This Row],[Total emissions (kgCO2e)]]*(1+BuildingsHeatFuelsTable[[#This Row],[RSD]]))</f>
        <v/>
      </c>
      <c r="W292" s="159" t="str">
        <f>IF(OR($N292="",BuildingsHeatFuelsTable[[#This Row],[RSD]]=""),"",BuildingsHeatFuelsTable[[#This Row],[Total emissions (kgCO2e)]]*(1-BuildingsHeatFuelsTable[[#This Row],[RSD]]))</f>
        <v/>
      </c>
      <c r="X292" s="169" t="str" cm="1">
        <f t="array" ref="X292">IF(OR($E292="",$I292=""),"",(INDEX('Emission factors'!$K$3:$V$201,MATCH('Buildings - Heat &amp; Fuels'!$E292&amp;$F292,'Emission factors'!$J$3:$J$201&amp;'Emission factors'!$K$3:$K$201,0),MATCH('Buildings - Heat &amp; Fuels'!X$6,'Emission factors'!$K$2:$V$2,0)))*$K292)</f>
        <v/>
      </c>
      <c r="Y292" s="30"/>
      <c r="Z292" s="1" cm="1">
        <f t="array" ref="Z292">IF(OR(ISERROR(B292:X292)),1,0)</f>
        <v>0</v>
      </c>
      <c r="AA292" s="1">
        <f t="shared" si="1"/>
        <v>0</v>
      </c>
    </row>
    <row r="293" spans="1:27" ht="15" outlineLevel="1" thickBot="1" x14ac:dyDescent="0.4">
      <c r="A293" s="319"/>
      <c r="B293" s="216"/>
      <c r="C293" s="216"/>
      <c r="D293" s="489" t="str">
        <f>IFERROR(INDEX(BuildingInformationTable[Site type],MATCH(BuildingsHeatFuelsTable[[#This Row],[Site name]],BuildingInformationTable[Site name],0)),"")</f>
        <v/>
      </c>
      <c r="E293" s="491"/>
      <c r="F293" s="491"/>
      <c r="G293" s="491"/>
      <c r="H293" s="492" t="str">
        <f>IF(G293="","",INDEX(Lists!$BA$4:$BC$31,MATCH(E293,Lists!$AZ$4:$AZ$31,0),MATCH(G293,Lists!$BA$3:$BC$3,0)))</f>
        <v/>
      </c>
      <c r="I293" s="267"/>
      <c r="J293" s="491"/>
      <c r="K293" s="493" t="str" cm="1">
        <f t="array" ref="K293">IF(OR($E293="",$D293="",$I293="",$J293=""),"",IF(J293=L293,I293,(INDEX('Emission factors'!$K$3:$V$201,MATCH(E293&amp;F293,'Emission factors'!$J$3:$J$201&amp;'Emission factors'!$K$3:$K$201,0),MATCH(K$6,'Emission factors'!$K$2:$V$2,0)))*I293))</f>
        <v/>
      </c>
      <c r="L293" s="494" t="str">
        <f>IF(OR($E293="",$D293="",$I293="",$J293=""),"",INDEX('Emission factors'!$K$3:$V$201,MATCH('Buildings - Heat &amp; Fuels'!$E293,'Emission factors'!$J$3:$J$201,0),MATCH($L$6,'Emission factors'!$K$2:$V$2,0)))</f>
        <v/>
      </c>
      <c r="M293" s="495" t="str" cm="1">
        <f t="array" ref="M293">IF(OR(E293="",I293="",BuildingsHeatFuelsTable[[#This Row],[Units]]=""),"",INDEX('Emission factors'!$K$3:$V$201,MATCH('Buildings - Heat &amp; Fuels'!$E293&amp;F293,'Emission factors'!$J$3:$J$201&amp;'Emission factors'!$K$3:$K$201,0),MATCH('Buildings - Heat &amp; Fuels'!$M$6,'Emission factors'!$K$2:$V$2,0)))</f>
        <v/>
      </c>
      <c r="N293" s="496" t="str">
        <f>IF(OR(K293="",M293=""),"",SUM(BuildingsHeatFuelsTable[[#This Row],[Direct]:[Indirect WTT]]))</f>
        <v/>
      </c>
      <c r="O293" s="268"/>
      <c r="P293" s="497"/>
      <c r="Q293" s="157" t="str" cm="1">
        <f t="array" ref="Q293">IF(OR($E293="",$I293=""),"",(INDEX('Emission factors'!$K$3:$V$201,MATCH('Buildings - Heat &amp; Fuels'!$E293&amp;$F293,'Emission factors'!$J$3:$J$201&amp;'Emission factors'!$K$3:$K$201,0),MATCH('Buildings - Heat &amp; Fuels'!Q$6,'Emission factors'!$K$2:$V$2,0)))*$K293)</f>
        <v/>
      </c>
      <c r="R293" s="157" t="str" cm="1">
        <f t="array" ref="R293">IF(OR($E293="",$I293=""),"",(INDEX('Emission factors'!$K$3:$V$201,MATCH('Buildings - Heat &amp; Fuels'!$E293&amp;$F293,'Emission factors'!$J$3:$J$201&amp;'Emission factors'!$K$3:$K$201,0),MATCH('Buildings - Heat &amp; Fuels'!R$6,'Emission factors'!$K$2:$V$2,0)))*$K293)</f>
        <v/>
      </c>
      <c r="S293" s="157" t="str" cm="1">
        <f t="array" ref="S293">IF(OR($E293="",$I293=""),"",(INDEX('Emission factors'!$K$3:$V$201,MATCH('Buildings - Heat &amp; Fuels'!$E293&amp;$F293,'Emission factors'!$J$3:$J$201&amp;'Emission factors'!$K$3:$K$201,0),MATCH('Buildings - Heat &amp; Fuels'!S$6,'Emission factors'!$K$2:$V$2,0)))*$K293)</f>
        <v/>
      </c>
      <c r="T293" s="157" t="str" cm="1">
        <f t="array" ref="T293">IF(OR($E293="",$I293=""),"",(INDEX('Emission factors'!$K$3:$V$201,MATCH('Buildings - Heat &amp; Fuels'!$E293&amp;$F293,'Emission factors'!$J$3:$J$201&amp;'Emission factors'!$K$3:$K$201,0),MATCH('Buildings - Heat &amp; Fuels'!T$6,'Emission factors'!$K$2:$V$2,0)))*$K293)</f>
        <v/>
      </c>
      <c r="U293" s="157" t="str" cm="1">
        <f t="array" ref="U293">IF(OR($E293="",$I293=""),"",(INDEX('Emission factors'!$K$3:$V$201,MATCH('Buildings - Heat &amp; Fuels'!$E293&amp;$F293,'Emission factors'!$J$3:$J$201&amp;'Emission factors'!$K$3:$K$201,0),MATCH('Buildings - Heat &amp; Fuels'!U$6,'Emission factors'!$K$2:$V$2,0)))*$K293)</f>
        <v/>
      </c>
      <c r="V293" s="158" t="str">
        <f>IF(OR($N293="",BuildingsHeatFuelsTable[[#This Row],[RSD]]=""),"",BuildingsHeatFuelsTable[[#This Row],[Total emissions (kgCO2e)]]*(1+BuildingsHeatFuelsTable[[#This Row],[RSD]]))</f>
        <v/>
      </c>
      <c r="W293" s="159" t="str">
        <f>IF(OR($N293="",BuildingsHeatFuelsTable[[#This Row],[RSD]]=""),"",BuildingsHeatFuelsTable[[#This Row],[Total emissions (kgCO2e)]]*(1-BuildingsHeatFuelsTable[[#This Row],[RSD]]))</f>
        <v/>
      </c>
      <c r="X293" s="169" t="str" cm="1">
        <f t="array" ref="X293">IF(OR($E293="",$I293=""),"",(INDEX('Emission factors'!$K$3:$V$201,MATCH('Buildings - Heat &amp; Fuels'!$E293&amp;$F293,'Emission factors'!$J$3:$J$201&amp;'Emission factors'!$K$3:$K$201,0),MATCH('Buildings - Heat &amp; Fuels'!X$6,'Emission factors'!$K$2:$V$2,0)))*$K293)</f>
        <v/>
      </c>
      <c r="Y293" s="30"/>
      <c r="Z293" s="1" cm="1">
        <f t="array" ref="Z293">IF(OR(ISERROR(B293:X293)),1,0)</f>
        <v>0</v>
      </c>
      <c r="AA293" s="1">
        <f t="shared" si="1"/>
        <v>0</v>
      </c>
    </row>
    <row r="294" spans="1:27" ht="15" outlineLevel="1" thickBot="1" x14ac:dyDescent="0.4">
      <c r="A294" s="319"/>
      <c r="B294" s="216"/>
      <c r="C294" s="216"/>
      <c r="D294" s="489" t="str">
        <f>IFERROR(INDEX(BuildingInformationTable[Site type],MATCH(BuildingsHeatFuelsTable[[#This Row],[Site name]],BuildingInformationTable[Site name],0)),"")</f>
        <v/>
      </c>
      <c r="E294" s="491"/>
      <c r="F294" s="491"/>
      <c r="G294" s="491"/>
      <c r="H294" s="492" t="str">
        <f>IF(G294="","",INDEX(Lists!$BA$4:$BC$31,MATCH(E294,Lists!$AZ$4:$AZ$31,0),MATCH(G294,Lists!$BA$3:$BC$3,0)))</f>
        <v/>
      </c>
      <c r="I294" s="267"/>
      <c r="J294" s="491"/>
      <c r="K294" s="493" t="str" cm="1">
        <f t="array" ref="K294">IF(OR($E294="",$D294="",$I294="",$J294=""),"",IF(J294=L294,I294,(INDEX('Emission factors'!$K$3:$V$201,MATCH(E294&amp;F294,'Emission factors'!$J$3:$J$201&amp;'Emission factors'!$K$3:$K$201,0),MATCH(K$6,'Emission factors'!$K$2:$V$2,0)))*I294))</f>
        <v/>
      </c>
      <c r="L294" s="494" t="str">
        <f>IF(OR($E294="",$D294="",$I294="",$J294=""),"",INDEX('Emission factors'!$K$3:$V$201,MATCH('Buildings - Heat &amp; Fuels'!$E294,'Emission factors'!$J$3:$J$201,0),MATCH($L$6,'Emission factors'!$K$2:$V$2,0)))</f>
        <v/>
      </c>
      <c r="M294" s="495" t="str" cm="1">
        <f t="array" ref="M294">IF(OR(E294="",I294="",BuildingsHeatFuelsTable[[#This Row],[Units]]=""),"",INDEX('Emission factors'!$K$3:$V$201,MATCH('Buildings - Heat &amp; Fuels'!$E294&amp;F294,'Emission factors'!$J$3:$J$201&amp;'Emission factors'!$K$3:$K$201,0),MATCH('Buildings - Heat &amp; Fuels'!$M$6,'Emission factors'!$K$2:$V$2,0)))</f>
        <v/>
      </c>
      <c r="N294" s="496" t="str">
        <f>IF(OR(K294="",M294=""),"",SUM(BuildingsHeatFuelsTable[[#This Row],[Direct]:[Indirect WTT]]))</f>
        <v/>
      </c>
      <c r="O294" s="268"/>
      <c r="P294" s="497"/>
      <c r="Q294" s="157" t="str" cm="1">
        <f t="array" ref="Q294">IF(OR($E294="",$I294=""),"",(INDEX('Emission factors'!$K$3:$V$201,MATCH('Buildings - Heat &amp; Fuels'!$E294&amp;$F294,'Emission factors'!$J$3:$J$201&amp;'Emission factors'!$K$3:$K$201,0),MATCH('Buildings - Heat &amp; Fuels'!Q$6,'Emission factors'!$K$2:$V$2,0)))*$K294)</f>
        <v/>
      </c>
      <c r="R294" s="157" t="str" cm="1">
        <f t="array" ref="R294">IF(OR($E294="",$I294=""),"",(INDEX('Emission factors'!$K$3:$V$201,MATCH('Buildings - Heat &amp; Fuels'!$E294&amp;$F294,'Emission factors'!$J$3:$J$201&amp;'Emission factors'!$K$3:$K$201,0),MATCH('Buildings - Heat &amp; Fuels'!R$6,'Emission factors'!$K$2:$V$2,0)))*$K294)</f>
        <v/>
      </c>
      <c r="S294" s="157" t="str" cm="1">
        <f t="array" ref="S294">IF(OR($E294="",$I294=""),"",(INDEX('Emission factors'!$K$3:$V$201,MATCH('Buildings - Heat &amp; Fuels'!$E294&amp;$F294,'Emission factors'!$J$3:$J$201&amp;'Emission factors'!$K$3:$K$201,0),MATCH('Buildings - Heat &amp; Fuels'!S$6,'Emission factors'!$K$2:$V$2,0)))*$K294)</f>
        <v/>
      </c>
      <c r="T294" s="157" t="str" cm="1">
        <f t="array" ref="T294">IF(OR($E294="",$I294=""),"",(INDEX('Emission factors'!$K$3:$V$201,MATCH('Buildings - Heat &amp; Fuels'!$E294&amp;$F294,'Emission factors'!$J$3:$J$201&amp;'Emission factors'!$K$3:$K$201,0),MATCH('Buildings - Heat &amp; Fuels'!T$6,'Emission factors'!$K$2:$V$2,0)))*$K294)</f>
        <v/>
      </c>
      <c r="U294" s="157" t="str" cm="1">
        <f t="array" ref="U294">IF(OR($E294="",$I294=""),"",(INDEX('Emission factors'!$K$3:$V$201,MATCH('Buildings - Heat &amp; Fuels'!$E294&amp;$F294,'Emission factors'!$J$3:$J$201&amp;'Emission factors'!$K$3:$K$201,0),MATCH('Buildings - Heat &amp; Fuels'!U$6,'Emission factors'!$K$2:$V$2,0)))*$K294)</f>
        <v/>
      </c>
      <c r="V294" s="158" t="str">
        <f>IF(OR($N294="",BuildingsHeatFuelsTable[[#This Row],[RSD]]=""),"",BuildingsHeatFuelsTable[[#This Row],[Total emissions (kgCO2e)]]*(1+BuildingsHeatFuelsTable[[#This Row],[RSD]]))</f>
        <v/>
      </c>
      <c r="W294" s="159" t="str">
        <f>IF(OR($N294="",BuildingsHeatFuelsTable[[#This Row],[RSD]]=""),"",BuildingsHeatFuelsTable[[#This Row],[Total emissions (kgCO2e)]]*(1-BuildingsHeatFuelsTable[[#This Row],[RSD]]))</f>
        <v/>
      </c>
      <c r="X294" s="169" t="str" cm="1">
        <f t="array" ref="X294">IF(OR($E294="",$I294=""),"",(INDEX('Emission factors'!$K$3:$V$201,MATCH('Buildings - Heat &amp; Fuels'!$E294&amp;$F294,'Emission factors'!$J$3:$J$201&amp;'Emission factors'!$K$3:$K$201,0),MATCH('Buildings - Heat &amp; Fuels'!X$6,'Emission factors'!$K$2:$V$2,0)))*$K294)</f>
        <v/>
      </c>
      <c r="Y294" s="30"/>
      <c r="Z294" s="1" cm="1">
        <f t="array" ref="Z294">IF(OR(ISERROR(B294:X294)),1,0)</f>
        <v>0</v>
      </c>
      <c r="AA294" s="1">
        <f t="shared" si="1"/>
        <v>0</v>
      </c>
    </row>
    <row r="295" spans="1:27" ht="15" outlineLevel="1" thickBot="1" x14ac:dyDescent="0.4">
      <c r="A295" s="319"/>
      <c r="B295" s="216"/>
      <c r="C295" s="216"/>
      <c r="D295" s="489" t="str">
        <f>IFERROR(INDEX(BuildingInformationTable[Site type],MATCH(BuildingsHeatFuelsTable[[#This Row],[Site name]],BuildingInformationTable[Site name],0)),"")</f>
        <v/>
      </c>
      <c r="E295" s="491"/>
      <c r="F295" s="491"/>
      <c r="G295" s="491"/>
      <c r="H295" s="492" t="str">
        <f>IF(G295="","",INDEX(Lists!$BA$4:$BC$31,MATCH(E295,Lists!$AZ$4:$AZ$31,0),MATCH(G295,Lists!$BA$3:$BC$3,0)))</f>
        <v/>
      </c>
      <c r="I295" s="267"/>
      <c r="J295" s="491"/>
      <c r="K295" s="493" t="str" cm="1">
        <f t="array" ref="K295">IF(OR($E295="",$D295="",$I295="",$J295=""),"",IF(J295=L295,I295,(INDEX('Emission factors'!$K$3:$V$201,MATCH(E295&amp;F295,'Emission factors'!$J$3:$J$201&amp;'Emission factors'!$K$3:$K$201,0),MATCH(K$6,'Emission factors'!$K$2:$V$2,0)))*I295))</f>
        <v/>
      </c>
      <c r="L295" s="494" t="str">
        <f>IF(OR($E295="",$D295="",$I295="",$J295=""),"",INDEX('Emission factors'!$K$3:$V$201,MATCH('Buildings - Heat &amp; Fuels'!$E295,'Emission factors'!$J$3:$J$201,0),MATCH($L$6,'Emission factors'!$K$2:$V$2,0)))</f>
        <v/>
      </c>
      <c r="M295" s="495" t="str" cm="1">
        <f t="array" ref="M295">IF(OR(E295="",I295="",BuildingsHeatFuelsTable[[#This Row],[Units]]=""),"",INDEX('Emission factors'!$K$3:$V$201,MATCH('Buildings - Heat &amp; Fuels'!$E295&amp;F295,'Emission factors'!$J$3:$J$201&amp;'Emission factors'!$K$3:$K$201,0),MATCH('Buildings - Heat &amp; Fuels'!$M$6,'Emission factors'!$K$2:$V$2,0)))</f>
        <v/>
      </c>
      <c r="N295" s="496" t="str">
        <f>IF(OR(K295="",M295=""),"",SUM(BuildingsHeatFuelsTable[[#This Row],[Direct]:[Indirect WTT]]))</f>
        <v/>
      </c>
      <c r="O295" s="268"/>
      <c r="P295" s="497"/>
      <c r="Q295" s="157" t="str" cm="1">
        <f t="array" ref="Q295">IF(OR($E295="",$I295=""),"",(INDEX('Emission factors'!$K$3:$V$201,MATCH('Buildings - Heat &amp; Fuels'!$E295&amp;$F295,'Emission factors'!$J$3:$J$201&amp;'Emission factors'!$K$3:$K$201,0),MATCH('Buildings - Heat &amp; Fuels'!Q$6,'Emission factors'!$K$2:$V$2,0)))*$K295)</f>
        <v/>
      </c>
      <c r="R295" s="157" t="str" cm="1">
        <f t="array" ref="R295">IF(OR($E295="",$I295=""),"",(INDEX('Emission factors'!$K$3:$V$201,MATCH('Buildings - Heat &amp; Fuels'!$E295&amp;$F295,'Emission factors'!$J$3:$J$201&amp;'Emission factors'!$K$3:$K$201,0),MATCH('Buildings - Heat &amp; Fuels'!R$6,'Emission factors'!$K$2:$V$2,0)))*$K295)</f>
        <v/>
      </c>
      <c r="S295" s="157" t="str" cm="1">
        <f t="array" ref="S295">IF(OR($E295="",$I295=""),"",(INDEX('Emission factors'!$K$3:$V$201,MATCH('Buildings - Heat &amp; Fuels'!$E295&amp;$F295,'Emission factors'!$J$3:$J$201&amp;'Emission factors'!$K$3:$K$201,0),MATCH('Buildings - Heat &amp; Fuels'!S$6,'Emission factors'!$K$2:$V$2,0)))*$K295)</f>
        <v/>
      </c>
      <c r="T295" s="157" t="str" cm="1">
        <f t="array" ref="T295">IF(OR($E295="",$I295=""),"",(INDEX('Emission factors'!$K$3:$V$201,MATCH('Buildings - Heat &amp; Fuels'!$E295&amp;$F295,'Emission factors'!$J$3:$J$201&amp;'Emission factors'!$K$3:$K$201,0),MATCH('Buildings - Heat &amp; Fuels'!T$6,'Emission factors'!$K$2:$V$2,0)))*$K295)</f>
        <v/>
      </c>
      <c r="U295" s="157" t="str" cm="1">
        <f t="array" ref="U295">IF(OR($E295="",$I295=""),"",(INDEX('Emission factors'!$K$3:$V$201,MATCH('Buildings - Heat &amp; Fuels'!$E295&amp;$F295,'Emission factors'!$J$3:$J$201&amp;'Emission factors'!$K$3:$K$201,0),MATCH('Buildings - Heat &amp; Fuels'!U$6,'Emission factors'!$K$2:$V$2,0)))*$K295)</f>
        <v/>
      </c>
      <c r="V295" s="158" t="str">
        <f>IF(OR($N295="",BuildingsHeatFuelsTable[[#This Row],[RSD]]=""),"",BuildingsHeatFuelsTable[[#This Row],[Total emissions (kgCO2e)]]*(1+BuildingsHeatFuelsTable[[#This Row],[RSD]]))</f>
        <v/>
      </c>
      <c r="W295" s="159" t="str">
        <f>IF(OR($N295="",BuildingsHeatFuelsTable[[#This Row],[RSD]]=""),"",BuildingsHeatFuelsTable[[#This Row],[Total emissions (kgCO2e)]]*(1-BuildingsHeatFuelsTable[[#This Row],[RSD]]))</f>
        <v/>
      </c>
      <c r="X295" s="169" t="str" cm="1">
        <f t="array" ref="X295">IF(OR($E295="",$I295=""),"",(INDEX('Emission factors'!$K$3:$V$201,MATCH('Buildings - Heat &amp; Fuels'!$E295&amp;$F295,'Emission factors'!$J$3:$J$201&amp;'Emission factors'!$K$3:$K$201,0),MATCH('Buildings - Heat &amp; Fuels'!X$6,'Emission factors'!$K$2:$V$2,0)))*$K295)</f>
        <v/>
      </c>
      <c r="Y295" s="30"/>
      <c r="Z295" s="1" cm="1">
        <f t="array" ref="Z295">IF(OR(ISERROR(B295:X295)),1,0)</f>
        <v>0</v>
      </c>
      <c r="AA295" s="1">
        <f t="shared" si="1"/>
        <v>0</v>
      </c>
    </row>
    <row r="296" spans="1:27" ht="15" outlineLevel="1" thickBot="1" x14ac:dyDescent="0.4">
      <c r="A296" s="319"/>
      <c r="B296" s="216"/>
      <c r="C296" s="215"/>
      <c r="D296" s="233" t="str">
        <f>IFERROR(INDEX(BuildingInformationTable[Site type],MATCH(BuildingsHeatFuelsTable[[#This Row],[Site name]],BuildingInformationTable[Site name],0)),"")</f>
        <v/>
      </c>
      <c r="E296" s="72"/>
      <c r="F296" s="72"/>
      <c r="G296" s="72"/>
      <c r="H296" s="98" t="str">
        <f>IF(G296="","",INDEX(Lists!$BA$4:$BC$31,MATCH(E296,Lists!$AZ$4:$AZ$31,0),MATCH(G296,Lists!$BA$3:$BC$3,0)))</f>
        <v/>
      </c>
      <c r="I296" s="70"/>
      <c r="J296" s="72"/>
      <c r="K296" s="75" t="str" cm="1">
        <f t="array" ref="K296">IF(OR($E296="",$D296="",$I296="",$J296=""),"",IF(J296=L296,I296,(INDEX('Emission factors'!$K$3:$V$201,MATCH(E296&amp;F296,'Emission factors'!$J$3:$J$201&amp;'Emission factors'!$K$3:$K$201,0),MATCH(K$6,'Emission factors'!$K$2:$V$2,0)))*I296))</f>
        <v/>
      </c>
      <c r="L296" s="312" t="str">
        <f>IF(OR($E296="",$D296="",$I296="",$J296=""),"",INDEX('Emission factors'!$K$3:$V$201,MATCH('Buildings - Heat &amp; Fuels'!$E296,'Emission factors'!$J$3:$J$201,0),MATCH($L$6,'Emission factors'!$K$2:$V$2,0)))</f>
        <v/>
      </c>
      <c r="M296" s="313" t="str" cm="1">
        <f t="array" ref="M296">IF(OR(E296="",I296="",BuildingsHeatFuelsTable[[#This Row],[Units]]=""),"",INDEX('Emission factors'!$K$3:$V$201,MATCH('Buildings - Heat &amp; Fuels'!$E296&amp;F296,'Emission factors'!$J$3:$J$201&amp;'Emission factors'!$K$3:$K$201,0),MATCH('Buildings - Heat &amp; Fuels'!$M$6,'Emission factors'!$K$2:$V$2,0)))</f>
        <v/>
      </c>
      <c r="N296" s="156" t="str">
        <f>IF(OR(K296="",M296=""),"",SUM(BuildingsHeatFuelsTable[[#This Row],[Direct]:[Indirect WTT]]))</f>
        <v/>
      </c>
      <c r="O296" s="71"/>
      <c r="P296" s="72"/>
      <c r="Q296" s="157" t="str" cm="1">
        <f t="array" ref="Q296">IF(OR($E296="",$I296=""),"",(INDEX('Emission factors'!$K$3:$V$201,MATCH('Buildings - Heat &amp; Fuels'!$E296&amp;$F296,'Emission factors'!$J$3:$J$201&amp;'Emission factors'!$K$3:$K$201,0),MATCH('Buildings - Heat &amp; Fuels'!Q$6,'Emission factors'!$K$2:$V$2,0)))*$K296)</f>
        <v/>
      </c>
      <c r="R296" s="157" t="str" cm="1">
        <f t="array" ref="R296">IF(OR($E296="",$I296=""),"",(INDEX('Emission factors'!$K$3:$V$201,MATCH('Buildings - Heat &amp; Fuels'!$E296&amp;$F296,'Emission factors'!$J$3:$J$201&amp;'Emission factors'!$K$3:$K$201,0),MATCH('Buildings - Heat &amp; Fuels'!R$6,'Emission factors'!$K$2:$V$2,0)))*$K296)</f>
        <v/>
      </c>
      <c r="S296" s="157" t="str" cm="1">
        <f t="array" ref="S296">IF(OR($E296="",$I296=""),"",(INDEX('Emission factors'!$K$3:$V$201,MATCH('Buildings - Heat &amp; Fuels'!$E296&amp;$F296,'Emission factors'!$J$3:$J$201&amp;'Emission factors'!$K$3:$K$201,0),MATCH('Buildings - Heat &amp; Fuels'!S$6,'Emission factors'!$K$2:$V$2,0)))*$K296)</f>
        <v/>
      </c>
      <c r="T296" s="157" t="str" cm="1">
        <f t="array" ref="T296">IF(OR($E296="",$I296=""),"",(INDEX('Emission factors'!$K$3:$V$201,MATCH('Buildings - Heat &amp; Fuels'!$E296&amp;$F296,'Emission factors'!$J$3:$J$201&amp;'Emission factors'!$K$3:$K$201,0),MATCH('Buildings - Heat &amp; Fuels'!T$6,'Emission factors'!$K$2:$V$2,0)))*$K296)</f>
        <v/>
      </c>
      <c r="U296" s="157" t="str" cm="1">
        <f t="array" ref="U296">IF(OR($E296="",$I296=""),"",(INDEX('Emission factors'!$K$3:$V$201,MATCH('Buildings - Heat &amp; Fuels'!$E296&amp;$F296,'Emission factors'!$J$3:$J$201&amp;'Emission factors'!$K$3:$K$201,0),MATCH('Buildings - Heat &amp; Fuels'!U$6,'Emission factors'!$K$2:$V$2,0)))*$K296)</f>
        <v/>
      </c>
      <c r="V296" s="158" t="str">
        <f>IF(OR($N296="",BuildingsHeatFuelsTable[[#This Row],[RSD]]=""),"",BuildingsHeatFuelsTable[[#This Row],[Total emissions (kgCO2e)]]*(1+BuildingsHeatFuelsTable[[#This Row],[RSD]]))</f>
        <v/>
      </c>
      <c r="W296" s="159" t="str">
        <f>IF(OR($N296="",BuildingsHeatFuelsTable[[#This Row],[RSD]]=""),"",BuildingsHeatFuelsTable[[#This Row],[Total emissions (kgCO2e)]]*(1-BuildingsHeatFuelsTable[[#This Row],[RSD]]))</f>
        <v/>
      </c>
      <c r="X296" s="169" t="str" cm="1">
        <f t="array" ref="X296">IF(OR($E296="",$I296=""),"",(INDEX('Emission factors'!$K$3:$V$201,MATCH('Buildings - Heat &amp; Fuels'!$E296&amp;$F296,'Emission factors'!$J$3:$J$201&amp;'Emission factors'!$K$3:$K$201,0),MATCH('Buildings - Heat &amp; Fuels'!X$6,'Emission factors'!$K$2:$V$2,0)))*$K296)</f>
        <v/>
      </c>
      <c r="Y296" s="30"/>
      <c r="Z296" s="1" cm="1">
        <f t="array" ref="Z296">IF(OR(ISERROR(B296:X296)),1,0)</f>
        <v>0</v>
      </c>
      <c r="AA296" s="1">
        <f t="shared" si="1"/>
        <v>0</v>
      </c>
    </row>
    <row r="297" spans="1:27" ht="13.4" customHeight="1" outlineLevel="1" thickBot="1" x14ac:dyDescent="0.4">
      <c r="A297" s="319"/>
      <c r="B297" s="216"/>
      <c r="C297" s="215"/>
      <c r="D297" s="233" t="str">
        <f>IFERROR(INDEX(BuildingInformationTable[Site type],MATCH(BuildingsHeatFuelsTable[[#This Row],[Site name]],BuildingInformationTable[Site name],0)),"")</f>
        <v/>
      </c>
      <c r="E297" s="72"/>
      <c r="F297" s="72"/>
      <c r="G297" s="72"/>
      <c r="H297" s="98" t="str">
        <f>IF(G297="","",INDEX(Lists!$BA$4:$BC$31,MATCH(E297,Lists!$AZ$4:$AZ$31,0),MATCH(G297,Lists!$BA$3:$BC$3,0)))</f>
        <v/>
      </c>
      <c r="I297" s="70"/>
      <c r="J297" s="72"/>
      <c r="K297" s="75" t="str" cm="1">
        <f t="array" ref="K297">IF(OR($E297="",$D297="",$I297="",$J297=""),"",IF(J297=L297,I297,(INDEX('Emission factors'!$K$3:$V$201,MATCH(E297&amp;F297,'Emission factors'!$J$3:$J$201&amp;'Emission factors'!$K$3:$K$201,0),MATCH(K$6,'Emission factors'!$K$2:$V$2,0)))*I297))</f>
        <v/>
      </c>
      <c r="L297" s="312" t="str">
        <f>IF(OR($E297="",$D297="",$I297="",$J297=""),"",INDEX('Emission factors'!$K$3:$V$201,MATCH('Buildings - Heat &amp; Fuels'!$E297,'Emission factors'!$J$3:$J$201,0),MATCH($L$6,'Emission factors'!$K$2:$V$2,0)))</f>
        <v/>
      </c>
      <c r="M297" s="313" t="str" cm="1">
        <f t="array" ref="M297">IF(OR(E297="",I297="",BuildingsHeatFuelsTable[[#This Row],[Units]]=""),"",INDEX('Emission factors'!$K$3:$V$201,MATCH('Buildings - Heat &amp; Fuels'!$E297&amp;F297,'Emission factors'!$J$3:$J$201&amp;'Emission factors'!$K$3:$K$201,0),MATCH('Buildings - Heat &amp; Fuels'!$M$6,'Emission factors'!$K$2:$V$2,0)))</f>
        <v/>
      </c>
      <c r="N297" s="156" t="str">
        <f>IF(OR(K297="",M297=""),"",SUM(BuildingsHeatFuelsTable[[#This Row],[Direct]:[Indirect WTT]]))</f>
        <v/>
      </c>
      <c r="O297" s="71"/>
      <c r="P297" s="72"/>
      <c r="Q297" s="157" t="str" cm="1">
        <f t="array" ref="Q297">IF(OR($E297="",$I297=""),"",(INDEX('Emission factors'!$K$3:$V$201,MATCH('Buildings - Heat &amp; Fuels'!$E297&amp;$F297,'Emission factors'!$J$3:$J$201&amp;'Emission factors'!$K$3:$K$201,0),MATCH('Buildings - Heat &amp; Fuels'!Q$6,'Emission factors'!$K$2:$V$2,0)))*$K297)</f>
        <v/>
      </c>
      <c r="R297" s="157" t="str" cm="1">
        <f t="array" ref="R297">IF(OR($E297="",$I297=""),"",(INDEX('Emission factors'!$K$3:$V$201,MATCH('Buildings - Heat &amp; Fuels'!$E297&amp;$F297,'Emission factors'!$J$3:$J$201&amp;'Emission factors'!$K$3:$K$201,0),MATCH('Buildings - Heat &amp; Fuels'!R$6,'Emission factors'!$K$2:$V$2,0)))*$K297)</f>
        <v/>
      </c>
      <c r="S297" s="157" t="str" cm="1">
        <f t="array" ref="S297">IF(OR($E297="",$I297=""),"",(INDEX('Emission factors'!$K$3:$V$201,MATCH('Buildings - Heat &amp; Fuels'!$E297&amp;$F297,'Emission factors'!$J$3:$J$201&amp;'Emission factors'!$K$3:$K$201,0),MATCH('Buildings - Heat &amp; Fuels'!S$6,'Emission factors'!$K$2:$V$2,0)))*$K297)</f>
        <v/>
      </c>
      <c r="T297" s="157" t="str" cm="1">
        <f t="array" ref="T297">IF(OR($E297="",$I297=""),"",(INDEX('Emission factors'!$K$3:$V$201,MATCH('Buildings - Heat &amp; Fuels'!$E297&amp;$F297,'Emission factors'!$J$3:$J$201&amp;'Emission factors'!$K$3:$K$201,0),MATCH('Buildings - Heat &amp; Fuels'!T$6,'Emission factors'!$K$2:$V$2,0)))*$K297)</f>
        <v/>
      </c>
      <c r="U297" s="157" t="str" cm="1">
        <f t="array" ref="U297">IF(OR($E297="",$I297=""),"",(INDEX('Emission factors'!$K$3:$V$201,MATCH('Buildings - Heat &amp; Fuels'!$E297&amp;$F297,'Emission factors'!$J$3:$J$201&amp;'Emission factors'!$K$3:$K$201,0),MATCH('Buildings - Heat &amp; Fuels'!U$6,'Emission factors'!$K$2:$V$2,0)))*$K297)</f>
        <v/>
      </c>
      <c r="V297" s="158" t="str">
        <f>IF(OR($N297="",BuildingsHeatFuelsTable[[#This Row],[RSD]]=""),"",BuildingsHeatFuelsTable[[#This Row],[Total emissions (kgCO2e)]]*(1+BuildingsHeatFuelsTable[[#This Row],[RSD]]))</f>
        <v/>
      </c>
      <c r="W297" s="159" t="str">
        <f>IF(OR($N297="",BuildingsHeatFuelsTable[[#This Row],[RSD]]=""),"",BuildingsHeatFuelsTable[[#This Row],[Total emissions (kgCO2e)]]*(1-BuildingsHeatFuelsTable[[#This Row],[RSD]]))</f>
        <v/>
      </c>
      <c r="X297" s="169" t="str" cm="1">
        <f t="array" ref="X297">IF(OR($E297="",$I297=""),"",(INDEX('Emission factors'!$K$3:$V$201,MATCH('Buildings - Heat &amp; Fuels'!$E297&amp;$F297,'Emission factors'!$J$3:$J$201&amp;'Emission factors'!$K$3:$K$201,0),MATCH('Buildings - Heat &amp; Fuels'!X$6,'Emission factors'!$K$2:$V$2,0)))*$K297)</f>
        <v/>
      </c>
      <c r="Y297" s="30"/>
      <c r="Z297" s="1" cm="1">
        <f t="array" ref="Z297">IF(OR(ISERROR(B297:X297)),1,0)</f>
        <v>0</v>
      </c>
      <c r="AA297" s="1">
        <f t="shared" si="1"/>
        <v>0</v>
      </c>
    </row>
    <row r="298" spans="1:27" ht="15" outlineLevel="1" thickBot="1" x14ac:dyDescent="0.4">
      <c r="B298" s="216"/>
      <c r="C298" s="215"/>
      <c r="D298" s="233" t="str">
        <f>IFERROR(INDEX(BuildingInformationTable[Site type],MATCH(BuildingsHeatFuelsTable[[#This Row],[Site name]],BuildingInformationTable[Site name],0)),"")</f>
        <v/>
      </c>
      <c r="E298" s="72"/>
      <c r="F298" s="72"/>
      <c r="G298" s="72"/>
      <c r="H298" s="98" t="str">
        <f>IF(G298="","",INDEX(Lists!$BA$4:$BC$31,MATCH(E298,Lists!$AZ$4:$AZ$31,0),MATCH(G298,Lists!$BA$3:$BC$3,0)))</f>
        <v/>
      </c>
      <c r="I298" s="70"/>
      <c r="J298" s="72"/>
      <c r="K298" s="75" t="str" cm="1">
        <f t="array" ref="K298">IF(OR($E298="",$D298="",$I298="",$J298=""),"",IF(J298=L298,I298,(INDEX('Emission factors'!$K$3:$V$201,MATCH(E298&amp;F298,'Emission factors'!$J$3:$J$201&amp;'Emission factors'!$K$3:$K$201,0),MATCH(K$6,'Emission factors'!$K$2:$V$2,0)))*I298))</f>
        <v/>
      </c>
      <c r="L298" s="312" t="str">
        <f>IF(OR($E298="",$D298="",$I298="",$J298=""),"",INDEX('Emission factors'!$K$3:$V$201,MATCH('Buildings - Heat &amp; Fuels'!$E298,'Emission factors'!$J$3:$J$201,0),MATCH($L$6,'Emission factors'!$K$2:$V$2,0)))</f>
        <v/>
      </c>
      <c r="M298" s="313" t="str" cm="1">
        <f t="array" ref="M298">IF(OR(E298="",I298="",BuildingsHeatFuelsTable[[#This Row],[Units]]=""),"",INDEX('Emission factors'!$K$3:$V$201,MATCH('Buildings - Heat &amp; Fuels'!$E298&amp;F298,'Emission factors'!$J$3:$J$201&amp;'Emission factors'!$K$3:$K$201,0),MATCH('Buildings - Heat &amp; Fuels'!$M$6,'Emission factors'!$K$2:$V$2,0)))</f>
        <v/>
      </c>
      <c r="N298" s="156" t="str">
        <f>IF(OR(K298="",M298=""),"",SUM(BuildingsHeatFuelsTable[[#This Row],[Direct]:[Indirect WTT]]))</f>
        <v/>
      </c>
      <c r="O298" s="71"/>
      <c r="P298" s="72"/>
      <c r="Q298" s="157" t="str" cm="1">
        <f t="array" ref="Q298">IF(OR($E298="",$I298=""),"",(INDEX('Emission factors'!$K$3:$V$201,MATCH('Buildings - Heat &amp; Fuels'!$E298&amp;$F298,'Emission factors'!$J$3:$J$201&amp;'Emission factors'!$K$3:$K$201,0),MATCH('Buildings - Heat &amp; Fuels'!Q$6,'Emission factors'!$K$2:$V$2,0)))*$K298)</f>
        <v/>
      </c>
      <c r="R298" s="157" t="str" cm="1">
        <f t="array" ref="R298">IF(OR($E298="",$I298=""),"",(INDEX('Emission factors'!$K$3:$V$201,MATCH('Buildings - Heat &amp; Fuels'!$E298&amp;$F298,'Emission factors'!$J$3:$J$201&amp;'Emission factors'!$K$3:$K$201,0),MATCH('Buildings - Heat &amp; Fuels'!R$6,'Emission factors'!$K$2:$V$2,0)))*$K298)</f>
        <v/>
      </c>
      <c r="S298" s="157" t="str" cm="1">
        <f t="array" ref="S298">IF(OR($E298="",$I298=""),"",(INDEX('Emission factors'!$K$3:$V$201,MATCH('Buildings - Heat &amp; Fuels'!$E298&amp;$F298,'Emission factors'!$J$3:$J$201&amp;'Emission factors'!$K$3:$K$201,0),MATCH('Buildings - Heat &amp; Fuels'!S$6,'Emission factors'!$K$2:$V$2,0)))*$K298)</f>
        <v/>
      </c>
      <c r="T298" s="157" t="str" cm="1">
        <f t="array" ref="T298">IF(OR($E298="",$I298=""),"",(INDEX('Emission factors'!$K$3:$V$201,MATCH('Buildings - Heat &amp; Fuels'!$E298&amp;$F298,'Emission factors'!$J$3:$J$201&amp;'Emission factors'!$K$3:$K$201,0),MATCH('Buildings - Heat &amp; Fuels'!T$6,'Emission factors'!$K$2:$V$2,0)))*$K298)</f>
        <v/>
      </c>
      <c r="U298" s="157" t="str" cm="1">
        <f t="array" ref="U298">IF(OR($E298="",$I298=""),"",(INDEX('Emission factors'!$K$3:$V$201,MATCH('Buildings - Heat &amp; Fuels'!$E298&amp;$F298,'Emission factors'!$J$3:$J$201&amp;'Emission factors'!$K$3:$K$201,0),MATCH('Buildings - Heat &amp; Fuels'!U$6,'Emission factors'!$K$2:$V$2,0)))*$K298)</f>
        <v/>
      </c>
      <c r="V298" s="158" t="str">
        <f>IF(OR($N298="",BuildingsHeatFuelsTable[[#This Row],[RSD]]=""),"",BuildingsHeatFuelsTable[[#This Row],[Total emissions (kgCO2e)]]*(1+BuildingsHeatFuelsTable[[#This Row],[RSD]]))</f>
        <v/>
      </c>
      <c r="W298" s="159" t="str">
        <f>IF(OR($N298="",BuildingsHeatFuelsTable[[#This Row],[RSD]]=""),"",BuildingsHeatFuelsTable[[#This Row],[Total emissions (kgCO2e)]]*(1-BuildingsHeatFuelsTable[[#This Row],[RSD]]))</f>
        <v/>
      </c>
      <c r="X298" s="169" t="str" cm="1">
        <f t="array" ref="X298">IF(OR($E298="",$I298=""),"",(INDEX('Emission factors'!$K$3:$V$201,MATCH('Buildings - Heat &amp; Fuels'!$E298&amp;$F298,'Emission factors'!$J$3:$J$201&amp;'Emission factors'!$K$3:$K$201,0),MATCH('Buildings - Heat &amp; Fuels'!X$6,'Emission factors'!$K$2:$V$2,0)))*$K298)</f>
        <v/>
      </c>
      <c r="Y298" s="30"/>
      <c r="Z298" s="1" cm="1">
        <f t="array" ref="Z298">IF(OR(ISERROR(B298:X298)),1,0)</f>
        <v>0</v>
      </c>
      <c r="AA298" s="1">
        <f t="shared" si="1"/>
        <v>0</v>
      </c>
    </row>
    <row r="299" spans="1:27" ht="15" outlineLevel="1" thickBot="1" x14ac:dyDescent="0.4">
      <c r="B299" s="216"/>
      <c r="C299" s="215"/>
      <c r="D299" s="233" t="str">
        <f>IFERROR(INDEX(BuildingInformationTable[Site type],MATCH(BuildingsHeatFuelsTable[[#This Row],[Site name]],BuildingInformationTable[Site name],0)),"")</f>
        <v/>
      </c>
      <c r="E299" s="241"/>
      <c r="F299" s="241"/>
      <c r="G299" s="241"/>
      <c r="H299" s="98" t="str">
        <f>IF(G299="","",INDEX(Lists!$BA$4:$BC$31,MATCH(E299,Lists!$AZ$4:$AZ$31,0),MATCH(G299,Lists!$BA$3:$BC$3,0)))</f>
        <v/>
      </c>
      <c r="I299" s="70"/>
      <c r="J299" s="241"/>
      <c r="K299" s="243" t="str" cm="1">
        <f t="array" ref="K299">IF(OR($E299="",$D299="",$I299="",$J299=""),"",IF(J299=L299,I299,(INDEX('Emission factors'!$K$3:$V$201,MATCH(E299&amp;F299,'Emission factors'!$J$3:$J$201&amp;'Emission factors'!$K$3:$K$201,0),MATCH(K$6,'Emission factors'!$K$2:$V$2,0)))*I299))</f>
        <v/>
      </c>
      <c r="L299" s="314" t="str">
        <f>IF(OR($E299="",$D299="",$I299="",$J299=""),"",INDEX('Emission factors'!$K$3:$V$201,MATCH('Buildings - Heat &amp; Fuels'!$E299,'Emission factors'!$J$3:$J$201,0),MATCH($L$6,'Emission factors'!$K$2:$V$2,0)))</f>
        <v/>
      </c>
      <c r="M299" s="315" t="str" cm="1">
        <f t="array" ref="M299">IF(OR(E299="",I299="",BuildingsHeatFuelsTable[[#This Row],[Units]]=""),"",INDEX('Emission factors'!$K$3:$V$201,MATCH('Buildings - Heat &amp; Fuels'!$E299&amp;F299,'Emission factors'!$J$3:$J$201&amp;'Emission factors'!$K$3:$K$201,0),MATCH('Buildings - Heat &amp; Fuels'!$M$6,'Emission factors'!$K$2:$V$2,0)))</f>
        <v/>
      </c>
      <c r="N299" s="244" t="str">
        <f>IF(OR(K299="",M299=""),"",SUM(BuildingsHeatFuelsTable[[#This Row],[Direct]:[Indirect WTT]]))</f>
        <v/>
      </c>
      <c r="O299" s="71"/>
      <c r="P299" s="245"/>
      <c r="Q299" s="157" t="str" cm="1">
        <f t="array" ref="Q299">IF(OR($E299="",$I299=""),"",(INDEX('Emission factors'!$K$3:$V$201,MATCH('Buildings - Heat &amp; Fuels'!$E299&amp;$F299,'Emission factors'!$J$3:$J$201&amp;'Emission factors'!$K$3:$K$201,0),MATCH('Buildings - Heat &amp; Fuels'!Q$6,'Emission factors'!$K$2:$V$2,0)))*$K299)</f>
        <v/>
      </c>
      <c r="R299" s="157" t="str" cm="1">
        <f t="array" ref="R299">IF(OR($E299="",$I299=""),"",(INDEX('Emission factors'!$K$3:$V$201,MATCH('Buildings - Heat &amp; Fuels'!$E299&amp;$F299,'Emission factors'!$J$3:$J$201&amp;'Emission factors'!$K$3:$K$201,0),MATCH('Buildings - Heat &amp; Fuels'!R$6,'Emission factors'!$K$2:$V$2,0)))*$K299)</f>
        <v/>
      </c>
      <c r="S299" s="157" t="str" cm="1">
        <f t="array" ref="S299">IF(OR($E299="",$I299=""),"",(INDEX('Emission factors'!$K$3:$V$201,MATCH('Buildings - Heat &amp; Fuels'!$E299&amp;$F299,'Emission factors'!$J$3:$J$201&amp;'Emission factors'!$K$3:$K$201,0),MATCH('Buildings - Heat &amp; Fuels'!S$6,'Emission factors'!$K$2:$V$2,0)))*$K299)</f>
        <v/>
      </c>
      <c r="T299" s="157" t="str" cm="1">
        <f t="array" ref="T299">IF(OR($E299="",$I299=""),"",(INDEX('Emission factors'!$K$3:$V$201,MATCH('Buildings - Heat &amp; Fuels'!$E299&amp;$F299,'Emission factors'!$J$3:$J$201&amp;'Emission factors'!$K$3:$K$201,0),MATCH('Buildings - Heat &amp; Fuels'!T$6,'Emission factors'!$K$2:$V$2,0)))*$K299)</f>
        <v/>
      </c>
      <c r="U299" s="157" t="str" cm="1">
        <f t="array" ref="U299">IF(OR($E299="",$I299=""),"",(INDEX('Emission factors'!$K$3:$V$201,MATCH('Buildings - Heat &amp; Fuels'!$E299&amp;$F299,'Emission factors'!$J$3:$J$201&amp;'Emission factors'!$K$3:$K$201,0),MATCH('Buildings - Heat &amp; Fuels'!U$6,'Emission factors'!$K$2:$V$2,0)))*$K299)</f>
        <v/>
      </c>
      <c r="V299" s="158" t="str">
        <f>IF(OR($N299="",BuildingsHeatFuelsTable[[#This Row],[RSD]]=""),"",BuildingsHeatFuelsTable[[#This Row],[Total emissions (kgCO2e)]]*(1+BuildingsHeatFuelsTable[[#This Row],[RSD]]))</f>
        <v/>
      </c>
      <c r="W299" s="159" t="str">
        <f>IF(OR($N299="",BuildingsHeatFuelsTable[[#This Row],[RSD]]=""),"",BuildingsHeatFuelsTable[[#This Row],[Total emissions (kgCO2e)]]*(1-BuildingsHeatFuelsTable[[#This Row],[RSD]]))</f>
        <v/>
      </c>
      <c r="X299" s="169" t="str" cm="1">
        <f t="array" ref="X299">IF(OR($E299="",$I299=""),"",(INDEX('Emission factors'!$K$3:$V$201,MATCH('Buildings - Heat &amp; Fuels'!$E299&amp;$F299,'Emission factors'!$J$3:$J$201&amp;'Emission factors'!$K$3:$K$201,0),MATCH('Buildings - Heat &amp; Fuels'!X$6,'Emission factors'!$K$2:$V$2,0)))*$K299)</f>
        <v/>
      </c>
      <c r="Y299" s="30"/>
      <c r="Z299" s="1" cm="1">
        <f t="array" ref="Z299">IF(OR(ISERROR(B299:X299)),1,0)</f>
        <v>0</v>
      </c>
      <c r="AA299" s="1">
        <f t="shared" si="1"/>
        <v>0</v>
      </c>
    </row>
    <row r="300" spans="1:27" ht="15" outlineLevel="1" thickBot="1" x14ac:dyDescent="0.4">
      <c r="B300" s="217"/>
      <c r="C300" s="215"/>
      <c r="D300" s="233" t="str">
        <f>IFERROR(INDEX(BuildingInformationTable[Site type],MATCH(BuildingsHeatFuelsTable[[#This Row],[Site name]],BuildingInformationTable[Site name],0)),"")</f>
        <v/>
      </c>
      <c r="E300" s="72"/>
      <c r="F300" s="72"/>
      <c r="G300" s="72"/>
      <c r="H300" s="98" t="str">
        <f>IF(G300="","",INDEX(Lists!$BA$4:$BC$31,MATCH(E300,Lists!$AZ$4:$AZ$31,0),MATCH(G300,Lists!$BA$3:$BC$3,0)))</f>
        <v/>
      </c>
      <c r="I300" s="70"/>
      <c r="J300" s="72"/>
      <c r="K300" s="75" t="str" cm="1">
        <f t="array" ref="K300">IF(OR($E300="",$D300="",$I300="",$J300=""),"",IF(J300=L300,I300,(INDEX('Emission factors'!$K$3:$V$201,MATCH(E300&amp;F300,'Emission factors'!$J$3:$J$201&amp;'Emission factors'!$K$3:$K$201,0),MATCH(K$6,'Emission factors'!$K$2:$V$2,0)))*I300))</f>
        <v/>
      </c>
      <c r="L300" s="312" t="str">
        <f>IF(OR($E300="",$D300="",$I300="",$J300=""),"",INDEX('Emission factors'!$K$3:$V$201,MATCH('Buildings - Heat &amp; Fuels'!$E300,'Emission factors'!$J$3:$J$201,0),MATCH($L$6,'Emission factors'!$K$2:$V$2,0)))</f>
        <v/>
      </c>
      <c r="M300" s="313" t="str" cm="1">
        <f t="array" ref="M300">IF(OR(E300="",I300="",BuildingsHeatFuelsTable[[#This Row],[Units]]=""),"",INDEX('Emission factors'!$K$3:$V$201,MATCH('Buildings - Heat &amp; Fuels'!$E300&amp;F300,'Emission factors'!$J$3:$J$201&amp;'Emission factors'!$K$3:$K$201,0),MATCH('Buildings - Heat &amp; Fuels'!$M$6,'Emission factors'!$K$2:$V$2,0)))</f>
        <v/>
      </c>
      <c r="N300" s="156" t="str">
        <f>IF(OR(K300="",M300=""),"",SUM(BuildingsHeatFuelsTable[[#This Row],[Direct]:[Indirect WTT]]))</f>
        <v/>
      </c>
      <c r="O300" s="73"/>
      <c r="P300" s="74"/>
      <c r="Q300" s="157" t="str" cm="1">
        <f t="array" ref="Q300">IF(OR($E300="",$I300=""),"",(INDEX('Emission factors'!$K$3:$V$201,MATCH('Buildings - Heat &amp; Fuels'!$E300&amp;$F300,'Emission factors'!$J$3:$J$201&amp;'Emission factors'!$K$3:$K$201,0),MATCH('Buildings - Heat &amp; Fuels'!Q$6,'Emission factors'!$K$2:$V$2,0)))*$K300)</f>
        <v/>
      </c>
      <c r="R300" s="157" t="str" cm="1">
        <f t="array" ref="R300">IF(OR($E300="",$I300=""),"",(INDEX('Emission factors'!$K$3:$V$201,MATCH('Buildings - Heat &amp; Fuels'!$E300&amp;$F300,'Emission factors'!$J$3:$J$201&amp;'Emission factors'!$K$3:$K$201,0),MATCH('Buildings - Heat &amp; Fuels'!R$6,'Emission factors'!$K$2:$V$2,0)))*$K300)</f>
        <v/>
      </c>
      <c r="S300" s="157" t="str" cm="1">
        <f t="array" ref="S300">IF(OR($E300="",$I300=""),"",(INDEX('Emission factors'!$K$3:$V$201,MATCH('Buildings - Heat &amp; Fuels'!$E300&amp;$F300,'Emission factors'!$J$3:$J$201&amp;'Emission factors'!$K$3:$K$201,0),MATCH('Buildings - Heat &amp; Fuels'!S$6,'Emission factors'!$K$2:$V$2,0)))*$K300)</f>
        <v/>
      </c>
      <c r="T300" s="157" t="str" cm="1">
        <f t="array" ref="T300">IF(OR($E300="",$I300=""),"",(INDEX('Emission factors'!$K$3:$V$201,MATCH('Buildings - Heat &amp; Fuels'!$E300&amp;$F300,'Emission factors'!$J$3:$J$201&amp;'Emission factors'!$K$3:$K$201,0),MATCH('Buildings - Heat &amp; Fuels'!T$6,'Emission factors'!$K$2:$V$2,0)))*$K300)</f>
        <v/>
      </c>
      <c r="U300" s="157" t="str" cm="1">
        <f t="array" ref="U300">IF(OR($E300="",$I300=""),"",(INDEX('Emission factors'!$K$3:$V$201,MATCH('Buildings - Heat &amp; Fuels'!$E300&amp;$F300,'Emission factors'!$J$3:$J$201&amp;'Emission factors'!$K$3:$K$201,0),MATCH('Buildings - Heat &amp; Fuels'!U$6,'Emission factors'!$K$2:$V$2,0)))*$K300)</f>
        <v/>
      </c>
      <c r="V300" s="158" t="str">
        <f>IF(OR($N300="",BuildingsHeatFuelsTable[[#This Row],[RSD]]=""),"",BuildingsHeatFuelsTable[[#This Row],[Total emissions (kgCO2e)]]*(1+BuildingsHeatFuelsTable[[#This Row],[RSD]]))</f>
        <v/>
      </c>
      <c r="W300" s="159" t="str">
        <f>IF(OR($N300="",BuildingsHeatFuelsTable[[#This Row],[RSD]]=""),"",BuildingsHeatFuelsTable[[#This Row],[Total emissions (kgCO2e)]]*(1-BuildingsHeatFuelsTable[[#This Row],[RSD]]))</f>
        <v/>
      </c>
      <c r="X300" s="169" t="str" cm="1">
        <f t="array" ref="X300">IF(OR($E300="",$I300=""),"",(INDEX('Emission factors'!$K$3:$V$201,MATCH('Buildings - Heat &amp; Fuels'!$E300&amp;$F300,'Emission factors'!$J$3:$J$201&amp;'Emission factors'!$K$3:$K$201,0),MATCH('Buildings - Heat &amp; Fuels'!X$6,'Emission factors'!$K$2:$V$2,0)))*$K300)</f>
        <v/>
      </c>
      <c r="Y300" s="30"/>
      <c r="Z300" s="1" cm="1">
        <f t="array" ref="Z300">IF(OR(ISERROR(B300:X300)),1,0)</f>
        <v>0</v>
      </c>
      <c r="AA300" s="1">
        <f t="shared" si="1"/>
        <v>0</v>
      </c>
    </row>
    <row r="301" spans="1:27" outlineLevel="1" x14ac:dyDescent="0.35">
      <c r="B301" s="316"/>
      <c r="C301" s="316"/>
      <c r="D301" s="316"/>
      <c r="E301" s="316"/>
      <c r="F301" s="316"/>
      <c r="G301" s="316"/>
      <c r="H301" s="316"/>
      <c r="I301" s="316"/>
      <c r="J301" s="316"/>
      <c r="K301" s="316"/>
      <c r="L301" s="316"/>
      <c r="M301" s="316"/>
      <c r="N301" s="316"/>
      <c r="O301" s="316"/>
      <c r="P301" s="316"/>
      <c r="Q301" s="316"/>
      <c r="R301" s="316"/>
      <c r="S301" s="316"/>
      <c r="T301" s="316"/>
      <c r="U301" s="316"/>
      <c r="V301" s="316"/>
      <c r="W301" s="316"/>
      <c r="X301" s="30"/>
    </row>
    <row r="302" spans="1:27" x14ac:dyDescent="0.35">
      <c r="A302" s="320" t="s">
        <v>194</v>
      </c>
      <c r="B302" s="28"/>
      <c r="C302" s="28"/>
      <c r="D302" s="28"/>
      <c r="E302" s="19"/>
      <c r="F302" s="19"/>
      <c r="G302" s="19"/>
      <c r="H302" s="19"/>
      <c r="I302" s="19"/>
      <c r="J302" s="19"/>
      <c r="K302" s="19"/>
      <c r="L302" s="19"/>
      <c r="M302" s="19"/>
      <c r="N302" s="19"/>
      <c r="O302" s="19"/>
      <c r="P302" s="19"/>
      <c r="Q302" s="19"/>
      <c r="R302" s="19"/>
      <c r="S302" s="19"/>
      <c r="T302" s="19"/>
      <c r="U302" s="19"/>
      <c r="V302" s="19"/>
    </row>
    <row r="303" spans="1:27" ht="19" thickBot="1" x14ac:dyDescent="0.5">
      <c r="B303" s="99" t="s">
        <v>201</v>
      </c>
      <c r="C303" s="11"/>
      <c r="I303" s="317" t="str">
        <f>IF($AA$304=0,"No data entered",IF($Z$304=0,"No errors in this table","There are errors in this table see highlighted row(s)"))</f>
        <v>No data entered</v>
      </c>
      <c r="O303" s="318" t="s">
        <v>174</v>
      </c>
      <c r="T303" s="26"/>
      <c r="U303" s="321"/>
      <c r="V303" s="30"/>
      <c r="W303" s="18"/>
      <c r="X303" s="147"/>
    </row>
    <row r="304" spans="1:27" ht="31.5" outlineLevel="1" thickBot="1" x14ac:dyDescent="0.4">
      <c r="B304" s="263" t="s">
        <v>162</v>
      </c>
      <c r="C304" s="264" t="s">
        <v>202</v>
      </c>
      <c r="D304" s="263" t="s">
        <v>203</v>
      </c>
      <c r="E304" s="263" t="s">
        <v>19</v>
      </c>
      <c r="F304" s="263" t="s">
        <v>180</v>
      </c>
      <c r="G304" s="263" t="s">
        <v>181</v>
      </c>
      <c r="H304" s="263" t="s">
        <v>182</v>
      </c>
      <c r="I304" s="263" t="s">
        <v>183</v>
      </c>
      <c r="J304" s="263" t="s">
        <v>184</v>
      </c>
      <c r="K304" s="263" t="s">
        <v>185</v>
      </c>
      <c r="L304" s="263" t="s">
        <v>186</v>
      </c>
      <c r="M304" s="263" t="s">
        <v>187</v>
      </c>
      <c r="N304" s="263" t="s">
        <v>188</v>
      </c>
      <c r="O304" s="263" t="s">
        <v>189</v>
      </c>
      <c r="P304" s="8" t="s">
        <v>92</v>
      </c>
      <c r="Q304" s="8" t="s">
        <v>190</v>
      </c>
      <c r="R304" s="8" t="s">
        <v>191</v>
      </c>
      <c r="S304" s="8" t="s">
        <v>192</v>
      </c>
      <c r="T304" s="8" t="s">
        <v>193</v>
      </c>
      <c r="U304" s="8" t="s">
        <v>100</v>
      </c>
      <c r="V304" s="322" t="s">
        <v>101</v>
      </c>
      <c r="W304" s="8" t="s">
        <v>96</v>
      </c>
      <c r="Z304" s="323">
        <f t="shared" ref="Z304:Z315" si="2">SUM(Z305:Z310)</f>
        <v>0</v>
      </c>
      <c r="AA304" s="9">
        <f>SUM(AA305:AA321)</f>
        <v>0</v>
      </c>
    </row>
    <row r="305" spans="2:27" ht="15" outlineLevel="1" thickBot="1" x14ac:dyDescent="0.4">
      <c r="B305" s="222"/>
      <c r="C305" s="324" t="s">
        <v>204</v>
      </c>
      <c r="D305" s="72"/>
      <c r="E305" s="42"/>
      <c r="F305" s="72"/>
      <c r="G305" s="77"/>
      <c r="H305" s="177"/>
      <c r="I305" s="72"/>
      <c r="J305" s="75" t="str" cm="1">
        <f t="array" ref="J305">IF(OR($D305="",$C305="",$H305="",$I305=""),"",IF(I305=K305,H305,(INDEX('Emission factors'!$K$3:$V$381,MATCH(C305&amp;D305,'Emission factors'!$J$3:$J$381&amp;'Emission factors'!$K$3:$K$381,0),MATCH(OthergasesTable[[#Headers],[Converted data]],'Emission factors'!$K$2:$V$2,0)))*H305))</f>
        <v/>
      </c>
      <c r="K305" s="312" t="str">
        <f>IF(C305="","",INDEX('Emission factors'!$J$3:$V$381,MATCH('Buildings - Heat &amp; Fuels'!$C305,'Emission factors'!$J$3:$J$381,0),MATCH(OthergasesTable[[#Headers],[Standard units]],'Emission factors'!$J$2:$V$2,0)))</f>
        <v>kg</v>
      </c>
      <c r="L305" s="75" t="str" cm="1">
        <f t="array" ref="L305">IF(OR(D305="",H305=""),"",INDEX('Emission factors'!$K$3:$V$381,MATCH('Buildings - Heat &amp; Fuels'!$C305&amp;$D305,'Emission factors'!$J$3:$J$381&amp;'Emission factors'!$K$3:$K$381,0),MATCH(OthergasesTable[[#Headers],[Total EF (kgCO2e/unit)]],'Emission factors'!$K$2:$V$2,0)))</f>
        <v/>
      </c>
      <c r="M305" s="156" t="str">
        <f>IF(OR(J305="",L305=""),"",SUM(OthergasesTable[[#This Row],[Direct]:[Indirect WTT]]))</f>
        <v/>
      </c>
      <c r="N305" s="71"/>
      <c r="O305" s="72"/>
      <c r="P305" s="157" t="str" cm="1">
        <f t="array" ref="P305">IF(OR($C305="",$H305=""),"",(INDEX('Emission factors'!$K$3:$V$381,MATCH('Buildings - Heat &amp; Fuels'!$C305&amp;$D305,'Emission factors'!$J$3:$J$381&amp;'Emission factors'!$K$3:$K$381,0),MATCH(OthergasesTable[[#Headers],[Direct]],'Emission factors'!$K$2:$V$2,0)))*$J305)</f>
        <v/>
      </c>
      <c r="Q305" s="157" t="str" cm="1">
        <f t="array" ref="Q305">IF(OR($C305="",$H305=""),"",(INDEX('Emission factors'!$K$3:$V$381,MATCH('Buildings - Heat &amp; Fuels'!$C305&amp;$D305,'Emission factors'!$J$3:$J$381&amp;'Emission factors'!$K$3:$K$381,0),MATCH(OthergasesTable[[#Headers],[Indirect generation]],'Emission factors'!$K$2:$V$2,0)))*$J305)</f>
        <v/>
      </c>
      <c r="R305" s="157" t="str" cm="1">
        <f t="array" ref="R305">IF(OR($C305="",$H305=""),"",(INDEX('Emission factors'!$K$3:$V$381,MATCH('Buildings - Heat &amp; Fuels'!$C305&amp;$D305,'Emission factors'!$J$3:$J$381&amp;'Emission factors'!$K$3:$K$381,0),MATCH(OthergasesTable[[#Headers],[Indirect service]],'Emission factors'!$K$2:$V$2,0)))*$J305)</f>
        <v/>
      </c>
      <c r="S305" s="157" t="str" cm="1">
        <f t="array" ref="S305">IF(OR($C305="",$H305=""),"",(INDEX('Emission factors'!$K$3:$V$381,MATCH('Buildings - Heat &amp; Fuels'!$C305&amp;$D305,'Emission factors'!$J$3:$J$381&amp;'Emission factors'!$K$3:$K$381,0),MATCH(OthergasesTable[[#Headers],[Indirect T&amp;D]],'Emission factors'!$K$2:$V$2,0)))*$J305)</f>
        <v/>
      </c>
      <c r="T305" s="157" t="str" cm="1">
        <f t="array" ref="T305">IF(OR($C305="",$H305=""),"",(INDEX('Emission factors'!$K$3:$V$381,MATCH('Buildings - Heat &amp; Fuels'!$C305&amp;$D305,'Emission factors'!$J$3:$J$381&amp;'Emission factors'!$K$3:$K$381,0),MATCH(OthergasesTable[[#Headers],[Indirect WTT]],'Emission factors'!$K$2:$V$2,0)))*$J305)</f>
        <v/>
      </c>
      <c r="U305" s="158" t="str">
        <f>IF(OR($M305="",$G305=""),"",$M305*(1+$G305))</f>
        <v/>
      </c>
      <c r="V305" s="163" t="str">
        <f t="shared" ref="V305:V321" si="3">IF(OR($M305="",$G305=""),"",$M305*(1-$G305))</f>
        <v/>
      </c>
      <c r="W305" s="157" t="str" cm="1">
        <f t="array" ref="W305">IF(OR($C305="",$H305=""),"",(INDEX('Emission factors'!$K$3:$V$381,MATCH('Buildings - Heat &amp; Fuels'!$C305&amp;$D305,'Emission factors'!$J$3:$J$381&amp;'Emission factors'!$K$3:$K$381,0),MATCH(OthergasesTable[[#Headers],[Outside of scopes]],'Emission factors'!$K$2:$V$2,0)))*$J305)</f>
        <v/>
      </c>
      <c r="Z305" s="32">
        <f t="shared" si="2"/>
        <v>0</v>
      </c>
      <c r="AA305" s="1">
        <f t="shared" ref="AA305:AA321" si="4">IF(AND(D305="",H305="",I305=""),0,1)</f>
        <v>0</v>
      </c>
    </row>
    <row r="306" spans="2:27" ht="15" outlineLevel="1" thickBot="1" x14ac:dyDescent="0.4">
      <c r="B306" s="223"/>
      <c r="C306" s="324" t="s">
        <v>204</v>
      </c>
      <c r="D306" s="72"/>
      <c r="E306" s="42"/>
      <c r="F306" s="72"/>
      <c r="G306" s="77" t="str">
        <f>IF(F306="","",INDEX(Lists!$BA$4:$BC$39,MATCH($C306,Lists!$AZ$4:$AZ$39,0),MATCH(F306,Lists!$BA$3:$BC$3,0)))</f>
        <v/>
      </c>
      <c r="H306" s="177"/>
      <c r="I306" s="72"/>
      <c r="J306" s="75" t="str" cm="1">
        <f t="array" ref="J306">IF(OR($D306="",$C306="",$H306="",$I306=""),"",IF(I306=K306,H306,(INDEX('Emission factors'!$K$3:$V$381,MATCH(C306&amp;D306,'Emission factors'!$J$3:$J$381&amp;'Emission factors'!$K$3:$K$381,0),MATCH(OthergasesTable[[#Headers],[Converted data]],'Emission factors'!$K$2:$V$2,0)))*H306))</f>
        <v/>
      </c>
      <c r="K306" s="312" t="str">
        <f>IF(C306="","",INDEX('Emission factors'!$J$3:$V$381,MATCH('Buildings - Heat &amp; Fuels'!$C306,'Emission factors'!$J$3:$J$381,0),MATCH(OthergasesTable[[#Headers],[Standard units]],'Emission factors'!$J$2:$V$2,0)))</f>
        <v>kg</v>
      </c>
      <c r="L306" s="75" t="str" cm="1">
        <f t="array" ref="L306">IF(OR(D306="",H306=""),"",INDEX('Emission factors'!$K$3:$V$381,MATCH('Buildings - Heat &amp; Fuels'!$C306&amp;$D306,'Emission factors'!$J$3:$J$381&amp;'Emission factors'!$K$3:$K$381,0),MATCH(OthergasesTable[[#Headers],[Total EF (kgCO2e/unit)]],'Emission factors'!$K$2:$V$2,0)))</f>
        <v/>
      </c>
      <c r="M306" s="156" t="str">
        <f>IF(OR(J306="",L306=""),"",SUM(OthergasesTable[[#This Row],[Direct]:[Indirect WTT]]))</f>
        <v/>
      </c>
      <c r="N306" s="71"/>
      <c r="O306" s="72"/>
      <c r="P306" s="157" t="str" cm="1">
        <f t="array" ref="P306">IF(OR($C306="",$H306=""),"",(INDEX('Emission factors'!$K$3:$V$381,MATCH('Buildings - Heat &amp; Fuels'!$C306&amp;$D306,'Emission factors'!$J$3:$J$381&amp;'Emission factors'!$K$3:$K$381,0),MATCH(OthergasesTable[[#Headers],[Direct]],'Emission factors'!$K$2:$V$2,0)))*$J306)</f>
        <v/>
      </c>
      <c r="Q306" s="157" t="str" cm="1">
        <f t="array" ref="Q306">IF(OR($C306="",$H306=""),"",(INDEX('Emission factors'!$K$3:$V$381,MATCH('Buildings - Grid Electricity'!#REF!&amp;$D306,'Emission factors'!$J$3:$J$381&amp;'Emission factors'!$K$3:$K$381,0),MATCH(OthergasesTable[[#Headers],[Indirect generation]],'Emission factors'!$K$2:$V$2,0)))*$J306)</f>
        <v/>
      </c>
      <c r="R306" s="157" t="str" cm="1">
        <f t="array" ref="R306">IF(OR($C306="",$H306=""),"",(INDEX('Emission factors'!$K$3:$V$381,MATCH('Buildings - Grid Electricity'!#REF!&amp;$D306,'Emission factors'!$J$3:$J$381&amp;'Emission factors'!$K$3:$K$381,0),MATCH(OthergasesTable[[#Headers],[Indirect service]],'Emission factors'!$K$2:$V$2,0)))*$J306)</f>
        <v/>
      </c>
      <c r="S306" s="157" t="str" cm="1">
        <f t="array" ref="S306">IF(OR($C306="",$H306=""),"",(INDEX('Emission factors'!$K$3:$V$381,MATCH('Buildings - Grid Electricity'!#REF!&amp;$D306,'Emission factors'!$J$3:$J$381&amp;'Emission factors'!$K$3:$K$381,0),MATCH(OthergasesTable[[#Headers],[Indirect T&amp;D]],'Emission factors'!$K$2:$V$2,0)))*$J306)</f>
        <v/>
      </c>
      <c r="T306" s="157" t="str" cm="1">
        <f t="array" ref="T306">IF(OR($C306="",$H306=""),"",(INDEX('Emission factors'!$K$3:$V$381,MATCH('Buildings - Grid Electricity'!#REF!&amp;$D306,'Emission factors'!$J$3:$J$381&amp;'Emission factors'!$K$3:$K$381,0),MATCH(OthergasesTable[[#Headers],[Indirect WTT]],'Emission factors'!$K$2:$V$2,0)))*$J306)</f>
        <v/>
      </c>
      <c r="U306" s="158" t="str">
        <f t="shared" ref="U306:U321" si="5">IF(OR($M306="",$G306=""),"",$M306*(1+$G306))</f>
        <v/>
      </c>
      <c r="V306" s="163" t="str">
        <f t="shared" si="3"/>
        <v/>
      </c>
      <c r="W306" s="157" t="str" cm="1">
        <f t="array" ref="W306">IF(OR($C306="",$H306=""),"",(INDEX('Emission factors'!$K$3:$V$381,MATCH('Buildings - Grid Electricity'!#REF!&amp;$D306,'Emission factors'!$J$3:$J$381&amp;'Emission factors'!$K$3:$K$381,0),MATCH(OthergasesTable[[#Headers],[Outside of scopes]],'Emission factors'!$K$2:$V$2,0)))*$J306)</f>
        <v/>
      </c>
      <c r="Z306" s="32">
        <f t="shared" si="2"/>
        <v>0</v>
      </c>
      <c r="AA306" s="1">
        <f t="shared" si="4"/>
        <v>0</v>
      </c>
    </row>
    <row r="307" spans="2:27" ht="15" outlineLevel="1" thickBot="1" x14ac:dyDescent="0.4">
      <c r="B307" s="223"/>
      <c r="C307" s="324" t="s">
        <v>204</v>
      </c>
      <c r="D307" s="72"/>
      <c r="E307" s="42"/>
      <c r="F307" s="72"/>
      <c r="G307" s="77" t="str">
        <f>IF(F307="","",INDEX(Lists!$BA$4:$BC$39,MATCH($C307,Lists!$AZ$4:$AZ$39,0),MATCH(F307,Lists!$BA$3:$BC$3,0)))</f>
        <v/>
      </c>
      <c r="H307" s="177"/>
      <c r="I307" s="72"/>
      <c r="J307" s="75" t="str" cm="1">
        <f t="array" ref="J307">IF(OR($D307="",$C307="",$H307="",$I307=""),"",IF(I307=K307,H307,(INDEX('Emission factors'!$K$3:$V$381,MATCH(C307&amp;D307,'Emission factors'!$J$3:$J$381&amp;'Emission factors'!$K$3:$K$381,0),MATCH(OthergasesTable[[#Headers],[Converted data]],'Emission factors'!$K$2:$V$2,0)))*H307))</f>
        <v/>
      </c>
      <c r="K307" s="312" t="str">
        <f>IF(C307="","",INDEX('Emission factors'!$J$3:$V$381,MATCH('Buildings - Heat &amp; Fuels'!$C307,'Emission factors'!$J$3:$J$381,0),MATCH(OthergasesTable[[#Headers],[Standard units]],'Emission factors'!$J$2:$V$2,0)))</f>
        <v>kg</v>
      </c>
      <c r="L307" s="75" t="str" cm="1">
        <f t="array" ref="L307">IF(OR(D307="",H307=""),"",INDEX('Emission factors'!$K$3:$V$381,MATCH('Buildings - Heat &amp; Fuels'!$C307&amp;$D307,'Emission factors'!$J$3:$J$381&amp;'Emission factors'!$K$3:$K$381,0),MATCH(OthergasesTable[[#Headers],[Total EF (kgCO2e/unit)]],'Emission factors'!$K$2:$V$2,0)))</f>
        <v/>
      </c>
      <c r="M307" s="156" t="str">
        <f>IF(OR(J307="",L307=""),"",SUM(OthergasesTable[[#This Row],[Direct]:[Indirect WTT]]))</f>
        <v/>
      </c>
      <c r="N307" s="71"/>
      <c r="O307" s="72"/>
      <c r="P307" s="157" t="str" cm="1">
        <f t="array" ref="P307">IF(OR($C307="",$H307=""),"",(INDEX('Emission factors'!$K$3:$V$381,MATCH('Buildings - Heat &amp; Fuels'!$C307&amp;$D307,'Emission factors'!$J$3:$J$381&amp;'Emission factors'!$K$3:$K$381,0),MATCH(OthergasesTable[[#Headers],[Direct]],'Emission factors'!$K$2:$V$2,0)))*$J307)</f>
        <v/>
      </c>
      <c r="Q307" s="157" t="str" cm="1">
        <f t="array" ref="Q307">IF(OR($C307="",$H307=""),"",(INDEX('Emission factors'!$K$3:$V$381,MATCH('Buildings - Grid Electricity'!#REF!&amp;$D307,'Emission factors'!$J$3:$J$381&amp;'Emission factors'!$K$3:$K$381,0),MATCH(OthergasesTable[[#Headers],[Indirect generation]],'Emission factors'!$K$2:$V$2,0)))*$J307)</f>
        <v/>
      </c>
      <c r="R307" s="157" t="str" cm="1">
        <f t="array" ref="R307">IF(OR($C307="",$H307=""),"",(INDEX('Emission factors'!$K$3:$V$381,MATCH('Buildings - Grid Electricity'!#REF!&amp;$D307,'Emission factors'!$J$3:$J$381&amp;'Emission factors'!$K$3:$K$381,0),MATCH(OthergasesTable[[#Headers],[Indirect service]],'Emission factors'!$K$2:$V$2,0)))*$J307)</f>
        <v/>
      </c>
      <c r="S307" s="157" t="str" cm="1">
        <f t="array" ref="S307">IF(OR($C307="",$H307=""),"",(INDEX('Emission factors'!$K$3:$V$381,MATCH('Buildings - Grid Electricity'!#REF!&amp;$D307,'Emission factors'!$J$3:$J$381&amp;'Emission factors'!$K$3:$K$381,0),MATCH(OthergasesTable[[#Headers],[Indirect T&amp;D]],'Emission factors'!$K$2:$V$2,0)))*$J307)</f>
        <v/>
      </c>
      <c r="T307" s="157" t="str" cm="1">
        <f t="array" ref="T307">IF(OR($C307="",$H307=""),"",(INDEX('Emission factors'!$K$3:$V$381,MATCH('Buildings - Grid Electricity'!#REF!&amp;$D307,'Emission factors'!$J$3:$J$381&amp;'Emission factors'!$K$3:$K$381,0),MATCH(OthergasesTable[[#Headers],[Indirect WTT]],'Emission factors'!$K$2:$V$2,0)))*$J307)</f>
        <v/>
      </c>
      <c r="U307" s="158" t="str">
        <f t="shared" si="5"/>
        <v/>
      </c>
      <c r="V307" s="163" t="str">
        <f t="shared" si="3"/>
        <v/>
      </c>
      <c r="W307" s="157" t="str" cm="1">
        <f t="array" ref="W307">IF(OR($C307="",$H307=""),"",(INDEX('Emission factors'!$K$3:$V$381,MATCH('Buildings - Grid Electricity'!#REF!&amp;$D307,'Emission factors'!$J$3:$J$381&amp;'Emission factors'!$K$3:$K$381,0),MATCH(OthergasesTable[[#Headers],[Outside of scopes]],'Emission factors'!$K$2:$V$2,0)))*$J307)</f>
        <v/>
      </c>
      <c r="Z307" s="32">
        <f t="shared" si="2"/>
        <v>0</v>
      </c>
      <c r="AA307" s="1">
        <f t="shared" si="4"/>
        <v>0</v>
      </c>
    </row>
    <row r="308" spans="2:27" ht="15" outlineLevel="1" thickBot="1" x14ac:dyDescent="0.4">
      <c r="B308" s="223"/>
      <c r="C308" s="324" t="s">
        <v>204</v>
      </c>
      <c r="D308" s="72"/>
      <c r="E308" s="42"/>
      <c r="F308" s="72"/>
      <c r="G308" s="77" t="str">
        <f>IF(F308="","",INDEX(Lists!$BA$4:$BC$39,MATCH($C308,Lists!$AZ$4:$AZ$39,0),MATCH(F308,Lists!$BA$3:$BC$3,0)))</f>
        <v/>
      </c>
      <c r="H308" s="177"/>
      <c r="I308" s="72"/>
      <c r="J308" s="75" t="str" cm="1">
        <f t="array" ref="J308">IF(OR($D308="",$C308="",$H308="",$I308=""),"",IF(I308=K308,H308,(INDEX('Emission factors'!$K$3:$V$381,MATCH(C308&amp;D308,'Emission factors'!$J$3:$J$381&amp;'Emission factors'!$K$3:$K$381,0),MATCH(OthergasesTable[[#Headers],[Converted data]],'Emission factors'!$K$2:$V$2,0)))*H308))</f>
        <v/>
      </c>
      <c r="K308" s="312" t="str">
        <f>IF(C308="","",INDEX('Emission factors'!$J$3:$V$381,MATCH('Buildings - Heat &amp; Fuels'!$C308,'Emission factors'!$J$3:$J$381,0),MATCH(OthergasesTable[[#Headers],[Standard units]],'Emission factors'!$J$2:$V$2,0)))</f>
        <v>kg</v>
      </c>
      <c r="L308" s="75" t="str" cm="1">
        <f t="array" ref="L308">IF(OR(D308="",H308=""),"",INDEX('Emission factors'!$K$3:$V$381,MATCH('Buildings - Heat &amp; Fuels'!$C308&amp;$D308,'Emission factors'!$J$3:$J$381&amp;'Emission factors'!$K$3:$K$381,0),MATCH(OthergasesTable[[#Headers],[Total EF (kgCO2e/unit)]],'Emission factors'!$K$2:$V$2,0)))</f>
        <v/>
      </c>
      <c r="M308" s="156" t="str">
        <f>IF(OR(J308="",L308=""),"",SUM(OthergasesTable[[#This Row],[Direct]:[Indirect WTT]]))</f>
        <v/>
      </c>
      <c r="N308" s="71"/>
      <c r="O308" s="72"/>
      <c r="P308" s="157" t="str" cm="1">
        <f t="array" ref="P308">IF(OR($C308="",$H308=""),"",(INDEX('Emission factors'!$K$3:$V$381,MATCH('Buildings - Heat &amp; Fuels'!$C308&amp;$D308,'Emission factors'!$J$3:$J$381&amp;'Emission factors'!$K$3:$K$381,0),MATCH(OthergasesTable[[#Headers],[Direct]],'Emission factors'!$K$2:$V$2,0)))*$J308)</f>
        <v/>
      </c>
      <c r="Q308" s="157" t="str" cm="1">
        <f t="array" ref="Q308">IF(OR($C308="",$H308=""),"",(INDEX('Emission factors'!$K$3:$V$381,MATCH('Buildings - Grid Electricity'!#REF!&amp;$D308,'Emission factors'!$J$3:$J$381&amp;'Emission factors'!$K$3:$K$381,0),MATCH(OthergasesTable[[#Headers],[Indirect generation]],'Emission factors'!$K$2:$V$2,0)))*$J308)</f>
        <v/>
      </c>
      <c r="R308" s="157" t="str" cm="1">
        <f t="array" ref="R308">IF(OR($C308="",$H308=""),"",(INDEX('Emission factors'!$K$3:$V$381,MATCH('Buildings - Grid Electricity'!#REF!&amp;$D308,'Emission factors'!$J$3:$J$381&amp;'Emission factors'!$K$3:$K$381,0),MATCH(OthergasesTable[[#Headers],[Indirect service]],'Emission factors'!$K$2:$V$2,0)))*$J308)</f>
        <v/>
      </c>
      <c r="S308" s="157" t="str" cm="1">
        <f t="array" ref="S308">IF(OR($C308="",$H308=""),"",(INDEX('Emission factors'!$K$3:$V$381,MATCH('Buildings - Grid Electricity'!#REF!&amp;$D308,'Emission factors'!$J$3:$J$381&amp;'Emission factors'!$K$3:$K$381,0),MATCH(OthergasesTable[[#Headers],[Indirect T&amp;D]],'Emission factors'!$K$2:$V$2,0)))*$J308)</f>
        <v/>
      </c>
      <c r="T308" s="157" t="str" cm="1">
        <f t="array" ref="T308">IF(OR($C308="",$H308=""),"",(INDEX('Emission factors'!$K$3:$V$381,MATCH('Buildings - Grid Electricity'!#REF!&amp;$D308,'Emission factors'!$J$3:$J$381&amp;'Emission factors'!$K$3:$K$381,0),MATCH(OthergasesTable[[#Headers],[Indirect WTT]],'Emission factors'!$K$2:$V$2,0)))*$J308)</f>
        <v/>
      </c>
      <c r="U308" s="158" t="str">
        <f t="shared" si="5"/>
        <v/>
      </c>
      <c r="V308" s="163" t="str">
        <f t="shared" si="3"/>
        <v/>
      </c>
      <c r="W308" s="157" t="str" cm="1">
        <f t="array" ref="W308">IF(OR($C308="",$H308=""),"",(INDEX('Emission factors'!$K$3:$V$381,MATCH('Buildings - Grid Electricity'!#REF!&amp;$D308,'Emission factors'!$J$3:$J$381&amp;'Emission factors'!$K$3:$K$381,0),MATCH(OthergasesTable[[#Headers],[Outside of scopes]],'Emission factors'!$K$2:$V$2,0)))*$J308)</f>
        <v/>
      </c>
      <c r="Z308" s="32">
        <f t="shared" si="2"/>
        <v>0</v>
      </c>
      <c r="AA308" s="1">
        <f t="shared" si="4"/>
        <v>0</v>
      </c>
    </row>
    <row r="309" spans="2:27" ht="15" outlineLevel="1" thickBot="1" x14ac:dyDescent="0.4">
      <c r="B309" s="223"/>
      <c r="C309" s="324" t="s">
        <v>204</v>
      </c>
      <c r="D309" s="72"/>
      <c r="E309" s="42"/>
      <c r="F309" s="72"/>
      <c r="G309" s="77" t="str">
        <f>IF(F309="","",INDEX(Lists!$BA$4:$BC$39,MATCH($C309,Lists!$AZ$4:$AZ$39,0),MATCH(F309,Lists!$BA$3:$BC$3,0)))</f>
        <v/>
      </c>
      <c r="H309" s="177"/>
      <c r="I309" s="72"/>
      <c r="J309" s="75" t="str" cm="1">
        <f t="array" ref="J309">IF(OR($D309="",$C309="",$H309="",$I309=""),"",IF(I309=K309,H309,(INDEX('Emission factors'!$K$3:$V$381,MATCH(C309&amp;D309,'Emission factors'!$J$3:$J$381&amp;'Emission factors'!$K$3:$K$381,0),MATCH(OthergasesTable[[#Headers],[Converted data]],'Emission factors'!$K$2:$V$2,0)))*H309))</f>
        <v/>
      </c>
      <c r="K309" s="312" t="str">
        <f>IF(C309="","",INDEX('Emission factors'!$J$3:$V$381,MATCH('Buildings - Heat &amp; Fuels'!$C309,'Emission factors'!$J$3:$J$381,0),MATCH(OthergasesTable[[#Headers],[Standard units]],'Emission factors'!$J$2:$V$2,0)))</f>
        <v>kg</v>
      </c>
      <c r="L309" s="75" t="str" cm="1">
        <f t="array" ref="L309">IF(OR(D309="",H309=""),"",INDEX('Emission factors'!$K$3:$V$381,MATCH('Buildings - Heat &amp; Fuels'!$C309&amp;$D309,'Emission factors'!$J$3:$J$381&amp;'Emission factors'!$K$3:$K$381,0),MATCH(OthergasesTable[[#Headers],[Total EF (kgCO2e/unit)]],'Emission factors'!$K$2:$V$2,0)))</f>
        <v/>
      </c>
      <c r="M309" s="156" t="str">
        <f>IF(OR(J309="",L309=""),"",SUM(OthergasesTable[[#This Row],[Direct]:[Indirect WTT]]))</f>
        <v/>
      </c>
      <c r="N309" s="71"/>
      <c r="O309" s="72"/>
      <c r="P309" s="157" t="str" cm="1">
        <f t="array" ref="P309">IF(OR($C309="",$H309=""),"",(INDEX('Emission factors'!$K$3:$V$381,MATCH('Buildings - Heat &amp; Fuels'!$C309&amp;$D309,'Emission factors'!$J$3:$J$381&amp;'Emission factors'!$K$3:$K$381,0),MATCH(OthergasesTable[[#Headers],[Direct]],'Emission factors'!$K$2:$V$2,0)))*$J309)</f>
        <v/>
      </c>
      <c r="Q309" s="157" t="str" cm="1">
        <f t="array" ref="Q309">IF(OR($C309="",$H309=""),"",(INDEX('Emission factors'!$K$3:$V$381,MATCH('Buildings - Grid Electricity'!#REF!&amp;$D309,'Emission factors'!$J$3:$J$381&amp;'Emission factors'!$K$3:$K$381,0),MATCH(OthergasesTable[[#Headers],[Indirect generation]],'Emission factors'!$K$2:$V$2,0)))*$J309)</f>
        <v/>
      </c>
      <c r="R309" s="157" t="str" cm="1">
        <f t="array" ref="R309">IF(OR($C309="",$H309=""),"",(INDEX('Emission factors'!$K$3:$V$381,MATCH('Buildings - Grid Electricity'!#REF!&amp;$D309,'Emission factors'!$J$3:$J$381&amp;'Emission factors'!$K$3:$K$381,0),MATCH(OthergasesTable[[#Headers],[Indirect service]],'Emission factors'!$K$2:$V$2,0)))*$J309)</f>
        <v/>
      </c>
      <c r="S309" s="157" t="str" cm="1">
        <f t="array" ref="S309">IF(OR($C309="",$H309=""),"",(INDEX('Emission factors'!$K$3:$V$381,MATCH('Buildings - Grid Electricity'!#REF!&amp;$D309,'Emission factors'!$J$3:$J$381&amp;'Emission factors'!$K$3:$K$381,0),MATCH(OthergasesTable[[#Headers],[Indirect T&amp;D]],'Emission factors'!$K$2:$V$2,0)))*$J309)</f>
        <v/>
      </c>
      <c r="T309" s="157" t="str" cm="1">
        <f t="array" ref="T309">IF(OR($C309="",$H309=""),"",(INDEX('Emission factors'!$K$3:$V$381,MATCH('Buildings - Grid Electricity'!#REF!&amp;$D309,'Emission factors'!$J$3:$J$381&amp;'Emission factors'!$K$3:$K$381,0),MATCH(OthergasesTable[[#Headers],[Indirect WTT]],'Emission factors'!$K$2:$V$2,0)))*$J309)</f>
        <v/>
      </c>
      <c r="U309" s="158" t="str">
        <f t="shared" si="5"/>
        <v/>
      </c>
      <c r="V309" s="163" t="str">
        <f t="shared" si="3"/>
        <v/>
      </c>
      <c r="W309" s="157" t="str" cm="1">
        <f t="array" ref="W309">IF(OR($C309="",$H309=""),"",(INDEX('Emission factors'!$K$3:$V$381,MATCH('Buildings - Grid Electricity'!#REF!&amp;$D309,'Emission factors'!$J$3:$J$381&amp;'Emission factors'!$K$3:$K$381,0),MATCH(OthergasesTable[[#Headers],[Outside of scopes]],'Emission factors'!$K$2:$V$2,0)))*$J309)</f>
        <v/>
      </c>
      <c r="Z309" s="32">
        <f t="shared" si="2"/>
        <v>0</v>
      </c>
      <c r="AA309" s="1">
        <f t="shared" si="4"/>
        <v>0</v>
      </c>
    </row>
    <row r="310" spans="2:27" ht="15" outlineLevel="1" thickBot="1" x14ac:dyDescent="0.4">
      <c r="B310" s="223"/>
      <c r="C310" s="324" t="s">
        <v>204</v>
      </c>
      <c r="D310" s="72"/>
      <c r="E310" s="42"/>
      <c r="F310" s="72"/>
      <c r="G310" s="77" t="str">
        <f>IF(F310="","",INDEX(Lists!$BA$4:$BC$39,MATCH($C310,Lists!$AZ$4:$AZ$39,0),MATCH(F310,Lists!$BA$3:$BC$3,0)))</f>
        <v/>
      </c>
      <c r="H310" s="177"/>
      <c r="I310" s="72"/>
      <c r="J310" s="75" t="str" cm="1">
        <f t="array" ref="J310">IF(OR($D310="",$C310="",$H310="",$I310=""),"",IF(I310=K310,H310,(INDEX('Emission factors'!$K$3:$V$381,MATCH(C310&amp;D310,'Emission factors'!$J$3:$J$381&amp;'Emission factors'!$K$3:$K$381,0),MATCH(OthergasesTable[[#Headers],[Converted data]],'Emission factors'!$K$2:$V$2,0)))*H310))</f>
        <v/>
      </c>
      <c r="K310" s="312" t="str">
        <f>IF(C310="","",INDEX('Emission factors'!$J$3:$V$381,MATCH('Buildings - Heat &amp; Fuels'!$C310,'Emission factors'!$J$3:$J$381,0),MATCH(OthergasesTable[[#Headers],[Standard units]],'Emission factors'!$J$2:$V$2,0)))</f>
        <v>kg</v>
      </c>
      <c r="L310" s="75" t="str" cm="1">
        <f t="array" ref="L310">IF(OR(D310="",H310=""),"",INDEX('Emission factors'!$K$3:$V$381,MATCH('Buildings - Heat &amp; Fuels'!$C310&amp;$D310,'Emission factors'!$J$3:$J$381&amp;'Emission factors'!$K$3:$K$381,0),MATCH(OthergasesTable[[#Headers],[Total EF (kgCO2e/unit)]],'Emission factors'!$K$2:$V$2,0)))</f>
        <v/>
      </c>
      <c r="M310" s="156" t="str">
        <f>IF(OR(J310="",L310=""),"",SUM(OthergasesTable[[#This Row],[Direct]:[Indirect WTT]]))</f>
        <v/>
      </c>
      <c r="N310" s="71"/>
      <c r="O310" s="72"/>
      <c r="P310" s="157" t="str" cm="1">
        <f t="array" ref="P310">IF(OR($C310="",$H310=""),"",(INDEX('Emission factors'!$K$3:$V$381,MATCH('Buildings - Heat &amp; Fuels'!$C310&amp;$D310,'Emission factors'!$J$3:$J$381&amp;'Emission factors'!$K$3:$K$381,0),MATCH(OthergasesTable[[#Headers],[Direct]],'Emission factors'!$K$2:$V$2,0)))*$J310)</f>
        <v/>
      </c>
      <c r="Q310" s="157" t="str" cm="1">
        <f t="array" ref="Q310">IF(OR($C310="",$H310=""),"",(INDEX('Emission factors'!$K$3:$V$381,MATCH('Buildings - Grid Electricity'!#REF!&amp;$D310,'Emission factors'!$J$3:$J$381&amp;'Emission factors'!$K$3:$K$381,0),MATCH(OthergasesTable[[#Headers],[Indirect generation]],'Emission factors'!$K$2:$V$2,0)))*$J310)</f>
        <v/>
      </c>
      <c r="R310" s="157" t="str" cm="1">
        <f t="array" ref="R310">IF(OR($C310="",$H310=""),"",(INDEX('Emission factors'!$K$3:$V$381,MATCH('Buildings - Grid Electricity'!#REF!&amp;$D310,'Emission factors'!$J$3:$J$381&amp;'Emission factors'!$K$3:$K$381,0),MATCH(OthergasesTable[[#Headers],[Indirect service]],'Emission factors'!$K$2:$V$2,0)))*$J310)</f>
        <v/>
      </c>
      <c r="S310" s="157" t="str" cm="1">
        <f t="array" ref="S310">IF(OR($C310="",$H310=""),"",(INDEX('Emission factors'!$K$3:$V$381,MATCH('Buildings - Grid Electricity'!#REF!&amp;$D310,'Emission factors'!$J$3:$J$381&amp;'Emission factors'!$K$3:$K$381,0),MATCH(OthergasesTable[[#Headers],[Indirect T&amp;D]],'Emission factors'!$K$2:$V$2,0)))*$J310)</f>
        <v/>
      </c>
      <c r="T310" s="157" t="str" cm="1">
        <f t="array" ref="T310">IF(OR($C310="",$H310=""),"",(INDEX('Emission factors'!$K$3:$V$381,MATCH('Buildings - Grid Electricity'!#REF!&amp;$D310,'Emission factors'!$J$3:$J$381&amp;'Emission factors'!$K$3:$K$381,0),MATCH(OthergasesTable[[#Headers],[Indirect WTT]],'Emission factors'!$K$2:$V$2,0)))*$J310)</f>
        <v/>
      </c>
      <c r="U310" s="158" t="str">
        <f t="shared" si="5"/>
        <v/>
      </c>
      <c r="V310" s="163" t="str">
        <f t="shared" si="3"/>
        <v/>
      </c>
      <c r="W310" s="157" t="str" cm="1">
        <f t="array" ref="W310">IF(OR($C310="",$H310=""),"",(INDEX('Emission factors'!$K$3:$V$381,MATCH('Buildings - Grid Electricity'!#REF!&amp;$D310,'Emission factors'!$J$3:$J$381&amp;'Emission factors'!$K$3:$K$381,0),MATCH(OthergasesTable[[#Headers],[Outside of scopes]],'Emission factors'!$K$2:$V$2,0)))*$J310)</f>
        <v/>
      </c>
      <c r="Z310" s="32">
        <f t="shared" si="2"/>
        <v>0</v>
      </c>
      <c r="AA310" s="1">
        <f t="shared" si="4"/>
        <v>0</v>
      </c>
    </row>
    <row r="311" spans="2:27" ht="15" outlineLevel="1" thickBot="1" x14ac:dyDescent="0.4">
      <c r="B311" s="223"/>
      <c r="C311" s="324" t="s">
        <v>204</v>
      </c>
      <c r="D311" s="72"/>
      <c r="E311" s="42"/>
      <c r="F311" s="72"/>
      <c r="G311" s="77" t="str">
        <f>IF(F311="","",INDEX(Lists!$BA$4:$BC$39,MATCH($C311,Lists!$AZ$4:$AZ$39,0),MATCH(F311,Lists!$BA$3:$BC$3,0)))</f>
        <v/>
      </c>
      <c r="H311" s="177"/>
      <c r="I311" s="72"/>
      <c r="J311" s="75" t="str" cm="1">
        <f t="array" ref="J311">IF(OR($D311="",$C311="",$H311="",$I311=""),"",IF(I311=K311,H311,(INDEX('Emission factors'!$K$3:$V$381,MATCH(C311&amp;D311,'Emission factors'!$J$3:$J$381&amp;'Emission factors'!$K$3:$K$381,0),MATCH(OthergasesTable[[#Headers],[Converted data]],'Emission factors'!$K$2:$V$2,0)))*H311))</f>
        <v/>
      </c>
      <c r="K311" s="312" t="str">
        <f>IF(C311="","",INDEX('Emission factors'!$J$3:$V$381,MATCH('Buildings - Heat &amp; Fuels'!$C311,'Emission factors'!$J$3:$J$381,0),MATCH(OthergasesTable[[#Headers],[Standard units]],'Emission factors'!$J$2:$V$2,0)))</f>
        <v>kg</v>
      </c>
      <c r="L311" s="75" t="str" cm="1">
        <f t="array" ref="L311">IF(OR(D311="",H311=""),"",INDEX('Emission factors'!$K$3:$V$381,MATCH('Buildings - Heat &amp; Fuels'!$C311&amp;$D311,'Emission factors'!$J$3:$J$381&amp;'Emission factors'!$K$3:$K$381,0),MATCH(OthergasesTable[[#Headers],[Total EF (kgCO2e/unit)]],'Emission factors'!$K$2:$V$2,0)))</f>
        <v/>
      </c>
      <c r="M311" s="156" t="str">
        <f>IF(OR(J311="",L311=""),"",SUM(OthergasesTable[[#This Row],[Direct]:[Indirect WTT]]))</f>
        <v/>
      </c>
      <c r="N311" s="71"/>
      <c r="O311" s="72"/>
      <c r="P311" s="157" t="str" cm="1">
        <f t="array" ref="P311">IF(OR($C311="",$H311=""),"",(INDEX('Emission factors'!$K$3:$V$381,MATCH('Buildings - Heat &amp; Fuels'!$C311&amp;$D311,'Emission factors'!$J$3:$J$381&amp;'Emission factors'!$K$3:$K$381,0),MATCH(OthergasesTable[[#Headers],[Direct]],'Emission factors'!$K$2:$V$2,0)))*$J311)</f>
        <v/>
      </c>
      <c r="Q311" s="157" t="str" cm="1">
        <f t="array" ref="Q311">IF(OR($C311="",$H311=""),"",(INDEX('Emission factors'!$K$3:$V$381,MATCH('Buildings - Grid Electricity'!#REF!&amp;$D311,'Emission factors'!$J$3:$J$381&amp;'Emission factors'!$K$3:$K$381,0),MATCH(OthergasesTable[[#Headers],[Indirect generation]],'Emission factors'!$K$2:$V$2,0)))*$J311)</f>
        <v/>
      </c>
      <c r="R311" s="157" t="str" cm="1">
        <f t="array" ref="R311">IF(OR($C311="",$H311=""),"",(INDEX('Emission factors'!$K$3:$V$381,MATCH('Buildings - Grid Electricity'!#REF!&amp;$D311,'Emission factors'!$J$3:$J$381&amp;'Emission factors'!$K$3:$K$381,0),MATCH(OthergasesTable[[#Headers],[Indirect service]],'Emission factors'!$K$2:$V$2,0)))*$J311)</f>
        <v/>
      </c>
      <c r="S311" s="157" t="str" cm="1">
        <f t="array" ref="S311">IF(OR($C311="",$H311=""),"",(INDEX('Emission factors'!$K$3:$V$381,MATCH('Buildings - Grid Electricity'!#REF!&amp;$D311,'Emission factors'!$J$3:$J$381&amp;'Emission factors'!$K$3:$K$381,0),MATCH(OthergasesTable[[#Headers],[Indirect T&amp;D]],'Emission factors'!$K$2:$V$2,0)))*$J311)</f>
        <v/>
      </c>
      <c r="T311" s="157" t="str" cm="1">
        <f t="array" ref="T311">IF(OR($C311="",$H311=""),"",(INDEX('Emission factors'!$K$3:$V$381,MATCH('Buildings - Grid Electricity'!#REF!&amp;$D311,'Emission factors'!$J$3:$J$381&amp;'Emission factors'!$K$3:$K$381,0),MATCH(OthergasesTable[[#Headers],[Indirect WTT]],'Emission factors'!$K$2:$V$2,0)))*$J311)</f>
        <v/>
      </c>
      <c r="U311" s="158" t="str">
        <f t="shared" si="5"/>
        <v/>
      </c>
      <c r="V311" s="163" t="str">
        <f t="shared" si="3"/>
        <v/>
      </c>
      <c r="W311" s="157" t="str" cm="1">
        <f t="array" ref="W311">IF(OR($C311="",$H311=""),"",(INDEX('Emission factors'!$K$3:$V$381,MATCH('Buildings - Grid Electricity'!#REF!&amp;$D311,'Emission factors'!$J$3:$J$381&amp;'Emission factors'!$K$3:$K$381,0),MATCH(OthergasesTable[[#Headers],[Outside of scopes]],'Emission factors'!$K$2:$V$2,0)))*$J311)</f>
        <v/>
      </c>
      <c r="Z311" s="32">
        <f t="shared" si="2"/>
        <v>0</v>
      </c>
      <c r="AA311" s="1">
        <f t="shared" si="4"/>
        <v>0</v>
      </c>
    </row>
    <row r="312" spans="2:27" ht="15" outlineLevel="1" thickBot="1" x14ac:dyDescent="0.4">
      <c r="B312" s="223"/>
      <c r="C312" s="324" t="s">
        <v>204</v>
      </c>
      <c r="D312" s="72"/>
      <c r="E312" s="42"/>
      <c r="F312" s="72"/>
      <c r="G312" s="77" t="str">
        <f>IF(F312="","",INDEX(Lists!$BA$4:$BC$39,MATCH($C312,Lists!$AZ$4:$AZ$39,0),MATCH(F312,Lists!$BA$3:$BC$3,0)))</f>
        <v/>
      </c>
      <c r="H312" s="177"/>
      <c r="I312" s="72"/>
      <c r="J312" s="75" t="str" cm="1">
        <f t="array" ref="J312">IF(OR($D312="",$C312="",$H312="",$I312=""),"",IF(I312=K312,H312,(INDEX('Emission factors'!$K$3:$V$381,MATCH(C312&amp;D312,'Emission factors'!$J$3:$J$381&amp;'Emission factors'!$K$3:$K$381,0),MATCH(OthergasesTable[[#Headers],[Converted data]],'Emission factors'!$K$2:$V$2,0)))*H312))</f>
        <v/>
      </c>
      <c r="K312" s="312" t="str">
        <f>IF(C312="","",INDEX('Emission factors'!$J$3:$V$381,MATCH('Buildings - Heat &amp; Fuels'!$C312,'Emission factors'!$J$3:$J$381,0),MATCH(OthergasesTable[[#Headers],[Standard units]],'Emission factors'!$J$2:$V$2,0)))</f>
        <v>kg</v>
      </c>
      <c r="L312" s="75" t="str" cm="1">
        <f t="array" ref="L312">IF(OR(D312="",H312=""),"",INDEX('Emission factors'!$K$3:$V$381,MATCH('Buildings - Heat &amp; Fuels'!$C312&amp;$D312,'Emission factors'!$J$3:$J$381&amp;'Emission factors'!$K$3:$K$381,0),MATCH(OthergasesTable[[#Headers],[Total EF (kgCO2e/unit)]],'Emission factors'!$K$2:$V$2,0)))</f>
        <v/>
      </c>
      <c r="M312" s="156" t="str">
        <f>IF(OR(J312="",L312=""),"",SUM(OthergasesTable[[#This Row],[Direct]:[Indirect WTT]]))</f>
        <v/>
      </c>
      <c r="N312" s="71"/>
      <c r="O312" s="72"/>
      <c r="P312" s="157" t="str" cm="1">
        <f t="array" ref="P312">IF(OR($C312="",$H312=""),"",(INDEX('Emission factors'!$K$3:$V$381,MATCH('Buildings - Heat &amp; Fuels'!$C312&amp;$D312,'Emission factors'!$J$3:$J$381&amp;'Emission factors'!$K$3:$K$381,0),MATCH(OthergasesTable[[#Headers],[Direct]],'Emission factors'!$K$2:$V$2,0)))*$J312)</f>
        <v/>
      </c>
      <c r="Q312" s="157" t="str" cm="1">
        <f t="array" ref="Q312">IF(OR($C312="",$H312=""),"",(INDEX('Emission factors'!$K$3:$V$381,MATCH('Buildings - Grid Electricity'!#REF!&amp;$D312,'Emission factors'!$J$3:$J$381&amp;'Emission factors'!$K$3:$K$381,0),MATCH(OthergasesTable[[#Headers],[Indirect generation]],'Emission factors'!$K$2:$V$2,0)))*$J312)</f>
        <v/>
      </c>
      <c r="R312" s="157" t="str" cm="1">
        <f t="array" ref="R312">IF(OR($C312="",$H312=""),"",(INDEX('Emission factors'!$K$3:$V$381,MATCH('Buildings - Grid Electricity'!#REF!&amp;$D312,'Emission factors'!$J$3:$J$381&amp;'Emission factors'!$K$3:$K$381,0),MATCH(OthergasesTable[[#Headers],[Indirect service]],'Emission factors'!$K$2:$V$2,0)))*$J312)</f>
        <v/>
      </c>
      <c r="S312" s="157" t="str" cm="1">
        <f t="array" ref="S312">IF(OR($C312="",$H312=""),"",(INDEX('Emission factors'!$K$3:$V$381,MATCH('Buildings - Grid Electricity'!#REF!&amp;$D312,'Emission factors'!$J$3:$J$381&amp;'Emission factors'!$K$3:$K$381,0),MATCH(OthergasesTable[[#Headers],[Indirect T&amp;D]],'Emission factors'!$K$2:$V$2,0)))*$J312)</f>
        <v/>
      </c>
      <c r="T312" s="157" t="str" cm="1">
        <f t="array" ref="T312">IF(OR($C312="",$H312=""),"",(INDEX('Emission factors'!$K$3:$V$381,MATCH('Buildings - Grid Electricity'!#REF!&amp;$D312,'Emission factors'!$J$3:$J$381&amp;'Emission factors'!$K$3:$K$381,0),MATCH(OthergasesTable[[#Headers],[Indirect WTT]],'Emission factors'!$K$2:$V$2,0)))*$J312)</f>
        <v/>
      </c>
      <c r="U312" s="158" t="str">
        <f t="shared" si="5"/>
        <v/>
      </c>
      <c r="V312" s="163" t="str">
        <f t="shared" si="3"/>
        <v/>
      </c>
      <c r="W312" s="157" t="str" cm="1">
        <f t="array" ref="W312">IF(OR($C312="",$H312=""),"",(INDEX('Emission factors'!$K$3:$V$381,MATCH('Buildings - Grid Electricity'!#REF!&amp;$D312,'Emission factors'!$J$3:$J$381&amp;'Emission factors'!$K$3:$K$381,0),MATCH(OthergasesTable[[#Headers],[Outside of scopes]],'Emission factors'!$K$2:$V$2,0)))*$J312)</f>
        <v/>
      </c>
      <c r="Z312" s="32">
        <f t="shared" si="2"/>
        <v>0</v>
      </c>
      <c r="AA312" s="1">
        <f t="shared" si="4"/>
        <v>0</v>
      </c>
    </row>
    <row r="313" spans="2:27" ht="15" outlineLevel="1" thickBot="1" x14ac:dyDescent="0.4">
      <c r="B313" s="223"/>
      <c r="C313" s="324" t="s">
        <v>204</v>
      </c>
      <c r="D313" s="72"/>
      <c r="E313" s="42"/>
      <c r="F313" s="72"/>
      <c r="G313" s="77" t="str">
        <f>IF(F313="","",INDEX(Lists!$BA$4:$BC$39,MATCH($C313,Lists!$AZ$4:$AZ$39,0),MATCH(F313,Lists!$BA$3:$BC$3,0)))</f>
        <v/>
      </c>
      <c r="H313" s="177"/>
      <c r="I313" s="72"/>
      <c r="J313" s="75" t="str" cm="1">
        <f t="array" ref="J313">IF(OR($D313="",$C313="",$H313="",$I313=""),"",IF(I313=K313,H313,(INDEX('Emission factors'!$K$3:$V$381,MATCH(C313&amp;D313,'Emission factors'!$J$3:$J$381&amp;'Emission factors'!$K$3:$K$381,0),MATCH(OthergasesTable[[#Headers],[Converted data]],'Emission factors'!$K$2:$V$2,0)))*H313))</f>
        <v/>
      </c>
      <c r="K313" s="312" t="str">
        <f>IF(C313="","",INDEX('Emission factors'!$J$3:$V$381,MATCH('Buildings - Heat &amp; Fuels'!$C313,'Emission factors'!$J$3:$J$381,0),MATCH(OthergasesTable[[#Headers],[Standard units]],'Emission factors'!$J$2:$V$2,0)))</f>
        <v>kg</v>
      </c>
      <c r="L313" s="75" t="str" cm="1">
        <f t="array" ref="L313">IF(OR(D313="",H313=""),"",INDEX('Emission factors'!$K$3:$V$381,MATCH('Buildings - Heat &amp; Fuels'!$C313&amp;$D313,'Emission factors'!$J$3:$J$381&amp;'Emission factors'!$K$3:$K$381,0),MATCH(OthergasesTable[[#Headers],[Total EF (kgCO2e/unit)]],'Emission factors'!$K$2:$V$2,0)))</f>
        <v/>
      </c>
      <c r="M313" s="156" t="str">
        <f>IF(OR(J313="",L313=""),"",SUM(OthergasesTable[[#This Row],[Direct]:[Indirect WTT]]))</f>
        <v/>
      </c>
      <c r="N313" s="71"/>
      <c r="O313" s="72"/>
      <c r="P313" s="157" t="str" cm="1">
        <f t="array" ref="P313">IF(OR($C313="",$H313=""),"",(INDEX('Emission factors'!$K$3:$V$381,MATCH('Buildings - Heat &amp; Fuels'!$C313&amp;$D313,'Emission factors'!$J$3:$J$381&amp;'Emission factors'!$K$3:$K$381,0),MATCH(OthergasesTable[[#Headers],[Direct]],'Emission factors'!$K$2:$V$2,0)))*$J313)</f>
        <v/>
      </c>
      <c r="Q313" s="157" t="str" cm="1">
        <f t="array" ref="Q313">IF(OR($C313="",$H313=""),"",(INDEX('Emission factors'!$K$3:$V$381,MATCH('Buildings - Grid Electricity'!#REF!&amp;$D313,'Emission factors'!$J$3:$J$381&amp;'Emission factors'!$K$3:$K$381,0),MATCH(OthergasesTable[[#Headers],[Indirect generation]],'Emission factors'!$K$2:$V$2,0)))*$J313)</f>
        <v/>
      </c>
      <c r="R313" s="157" t="str" cm="1">
        <f t="array" ref="R313">IF(OR($C313="",$H313=""),"",(INDEX('Emission factors'!$K$3:$V$381,MATCH('Buildings - Grid Electricity'!#REF!&amp;$D313,'Emission factors'!$J$3:$J$381&amp;'Emission factors'!$K$3:$K$381,0),MATCH(OthergasesTable[[#Headers],[Indirect service]],'Emission factors'!$K$2:$V$2,0)))*$J313)</f>
        <v/>
      </c>
      <c r="S313" s="157" t="str" cm="1">
        <f t="array" ref="S313">IF(OR($C313="",$H313=""),"",(INDEX('Emission factors'!$K$3:$V$381,MATCH('Buildings - Grid Electricity'!#REF!&amp;$D313,'Emission factors'!$J$3:$J$381&amp;'Emission factors'!$K$3:$K$381,0),MATCH(OthergasesTable[[#Headers],[Indirect T&amp;D]],'Emission factors'!$K$2:$V$2,0)))*$J313)</f>
        <v/>
      </c>
      <c r="T313" s="157" t="str" cm="1">
        <f t="array" ref="T313">IF(OR($C313="",$H313=""),"",(INDEX('Emission factors'!$K$3:$V$381,MATCH('Buildings - Grid Electricity'!#REF!&amp;$D313,'Emission factors'!$J$3:$J$381&amp;'Emission factors'!$K$3:$K$381,0),MATCH(OthergasesTable[[#Headers],[Indirect WTT]],'Emission factors'!$K$2:$V$2,0)))*$J313)</f>
        <v/>
      </c>
      <c r="U313" s="158" t="str">
        <f t="shared" si="5"/>
        <v/>
      </c>
      <c r="V313" s="163" t="str">
        <f t="shared" si="3"/>
        <v/>
      </c>
      <c r="W313" s="157" t="str" cm="1">
        <f t="array" ref="W313">IF(OR($C313="",$H313=""),"",(INDEX('Emission factors'!$K$3:$V$381,MATCH('Buildings - Grid Electricity'!#REF!&amp;$D313,'Emission factors'!$J$3:$J$381&amp;'Emission factors'!$K$3:$K$381,0),MATCH(OthergasesTable[[#Headers],[Outside of scopes]],'Emission factors'!$K$2:$V$2,0)))*$J313)</f>
        <v/>
      </c>
      <c r="Z313" s="32">
        <f t="shared" si="2"/>
        <v>0</v>
      </c>
      <c r="AA313" s="1">
        <f t="shared" si="4"/>
        <v>0</v>
      </c>
    </row>
    <row r="314" spans="2:27" ht="15" outlineLevel="1" thickBot="1" x14ac:dyDescent="0.4">
      <c r="B314" s="223"/>
      <c r="C314" s="324" t="s">
        <v>204</v>
      </c>
      <c r="D314" s="72"/>
      <c r="E314" s="42"/>
      <c r="F314" s="72"/>
      <c r="G314" s="77" t="str">
        <f>IF(F314="","",INDEX(Lists!$BA$4:$BC$39,MATCH($C314,Lists!$AZ$4:$AZ$39,0),MATCH(F314,Lists!$BA$3:$BC$3,0)))</f>
        <v/>
      </c>
      <c r="H314" s="177"/>
      <c r="I314" s="72"/>
      <c r="J314" s="75" t="str" cm="1">
        <f t="array" ref="J314">IF(OR($D314="",$C314="",$H314="",$I314=""),"",IF(I314=K314,H314,(INDEX('Emission factors'!$K$3:$V$381,MATCH(C314&amp;D314,'Emission factors'!$J$3:$J$381&amp;'Emission factors'!$K$3:$K$381,0),MATCH(OthergasesTable[[#Headers],[Converted data]],'Emission factors'!$K$2:$V$2,0)))*H314))</f>
        <v/>
      </c>
      <c r="K314" s="312" t="str">
        <f>IF(C314="","",INDEX('Emission factors'!$J$3:$V$381,MATCH('Buildings - Heat &amp; Fuels'!$C314,'Emission factors'!$J$3:$J$381,0),MATCH(OthergasesTable[[#Headers],[Standard units]],'Emission factors'!$J$2:$V$2,0)))</f>
        <v>kg</v>
      </c>
      <c r="L314" s="75" t="str" cm="1">
        <f t="array" ref="L314">IF(OR(D314="",H314=""),"",INDEX('Emission factors'!$K$3:$V$381,MATCH('Buildings - Heat &amp; Fuels'!$C314&amp;$D314,'Emission factors'!$J$3:$J$381&amp;'Emission factors'!$K$3:$K$381,0),MATCH(OthergasesTable[[#Headers],[Total EF (kgCO2e/unit)]],'Emission factors'!$K$2:$V$2,0)))</f>
        <v/>
      </c>
      <c r="M314" s="156" t="str">
        <f>IF(OR(J314="",L314=""),"",SUM(OthergasesTable[[#This Row],[Direct]:[Indirect WTT]]))</f>
        <v/>
      </c>
      <c r="N314" s="71"/>
      <c r="O314" s="72"/>
      <c r="P314" s="157" t="str" cm="1">
        <f t="array" ref="P314">IF(OR($C314="",$H314=""),"",(INDEX('Emission factors'!$K$3:$V$381,MATCH('Buildings - Heat &amp; Fuels'!$C314&amp;$D314,'Emission factors'!$J$3:$J$381&amp;'Emission factors'!$K$3:$K$381,0),MATCH(OthergasesTable[[#Headers],[Direct]],'Emission factors'!$K$2:$V$2,0)))*$J314)</f>
        <v/>
      </c>
      <c r="Q314" s="157" t="str" cm="1">
        <f t="array" ref="Q314">IF(OR($C314="",$H314=""),"",(INDEX('Emission factors'!$K$3:$V$381,MATCH('Buildings - Grid Electricity'!#REF!&amp;$D314,'Emission factors'!$J$3:$J$381&amp;'Emission factors'!$K$3:$K$381,0),MATCH(OthergasesTable[[#Headers],[Indirect generation]],'Emission factors'!$K$2:$V$2,0)))*$J314)</f>
        <v/>
      </c>
      <c r="R314" s="157" t="str" cm="1">
        <f t="array" ref="R314">IF(OR($C314="",$H314=""),"",(INDEX('Emission factors'!$K$3:$V$381,MATCH('Buildings - Grid Electricity'!#REF!&amp;$D314,'Emission factors'!$J$3:$J$381&amp;'Emission factors'!$K$3:$K$381,0),MATCH(OthergasesTable[[#Headers],[Indirect service]],'Emission factors'!$K$2:$V$2,0)))*$J314)</f>
        <v/>
      </c>
      <c r="S314" s="157" t="str" cm="1">
        <f t="array" ref="S314">IF(OR($C314="",$H314=""),"",(INDEX('Emission factors'!$K$3:$V$381,MATCH('Buildings - Grid Electricity'!#REF!&amp;$D314,'Emission factors'!$J$3:$J$381&amp;'Emission factors'!$K$3:$K$381,0),MATCH(OthergasesTable[[#Headers],[Indirect T&amp;D]],'Emission factors'!$K$2:$V$2,0)))*$J314)</f>
        <v/>
      </c>
      <c r="T314" s="157" t="str" cm="1">
        <f t="array" ref="T314">IF(OR($C314="",$H314=""),"",(INDEX('Emission factors'!$K$3:$V$381,MATCH('Buildings - Grid Electricity'!#REF!&amp;$D314,'Emission factors'!$J$3:$J$381&amp;'Emission factors'!$K$3:$K$381,0),MATCH(OthergasesTable[[#Headers],[Indirect WTT]],'Emission factors'!$K$2:$V$2,0)))*$J314)</f>
        <v/>
      </c>
      <c r="U314" s="158" t="str">
        <f t="shared" si="5"/>
        <v/>
      </c>
      <c r="V314" s="163" t="str">
        <f t="shared" si="3"/>
        <v/>
      </c>
      <c r="W314" s="157" t="str" cm="1">
        <f t="array" ref="W314">IF(OR($C314="",$H314=""),"",(INDEX('Emission factors'!$K$3:$V$381,MATCH('Buildings - Grid Electricity'!#REF!&amp;$D314,'Emission factors'!$J$3:$J$381&amp;'Emission factors'!$K$3:$K$381,0),MATCH(OthergasesTable[[#Headers],[Outside of scopes]],'Emission factors'!$K$2:$V$2,0)))*$J314)</f>
        <v/>
      </c>
      <c r="Z314" s="32">
        <f t="shared" si="2"/>
        <v>0</v>
      </c>
      <c r="AA314" s="1">
        <f t="shared" si="4"/>
        <v>0</v>
      </c>
    </row>
    <row r="315" spans="2:27" ht="15" outlineLevel="1" thickBot="1" x14ac:dyDescent="0.4">
      <c r="B315" s="223"/>
      <c r="C315" s="324" t="s">
        <v>204</v>
      </c>
      <c r="D315" s="72"/>
      <c r="E315" s="42"/>
      <c r="F315" s="72"/>
      <c r="G315" s="77" t="str">
        <f>IF(F315="","",INDEX(Lists!$BA$4:$BC$39,MATCH($C315,Lists!$AZ$4:$AZ$39,0),MATCH(F315,Lists!$BA$3:$BC$3,0)))</f>
        <v/>
      </c>
      <c r="H315" s="177"/>
      <c r="I315" s="72"/>
      <c r="J315" s="75" t="str" cm="1">
        <f t="array" ref="J315">IF(OR($D315="",$C315="",$H315="",$I315=""),"",IF(I315=K315,H315,(INDEX('Emission factors'!$K$3:$V$381,MATCH(C315&amp;D315,'Emission factors'!$J$3:$J$381&amp;'Emission factors'!$K$3:$K$381,0),MATCH(OthergasesTable[[#Headers],[Converted data]],'Emission factors'!$K$2:$V$2,0)))*H315))</f>
        <v/>
      </c>
      <c r="K315" s="312" t="str">
        <f>IF(C315="","",INDEX('Emission factors'!$J$3:$V$381,MATCH('Buildings - Heat &amp; Fuels'!$C315,'Emission factors'!$J$3:$J$381,0),MATCH(OthergasesTable[[#Headers],[Standard units]],'Emission factors'!$J$2:$V$2,0)))</f>
        <v>kg</v>
      </c>
      <c r="L315" s="75" t="str" cm="1">
        <f t="array" ref="L315">IF(OR(D315="",H315=""),"",INDEX('Emission factors'!$K$3:$V$381,MATCH('Buildings - Heat &amp; Fuels'!$C315&amp;$D315,'Emission factors'!$J$3:$J$381&amp;'Emission factors'!$K$3:$K$381,0),MATCH(OthergasesTable[[#Headers],[Total EF (kgCO2e/unit)]],'Emission factors'!$K$2:$V$2,0)))</f>
        <v/>
      </c>
      <c r="M315" s="156" t="str">
        <f>IF(OR(J315="",L315=""),"",SUM(OthergasesTable[[#This Row],[Direct]:[Indirect WTT]]))</f>
        <v/>
      </c>
      <c r="N315" s="71"/>
      <c r="O315" s="72"/>
      <c r="P315" s="157" t="str" cm="1">
        <f t="array" ref="P315">IF(OR($C315="",$H315=""),"",(INDEX('Emission factors'!$K$3:$V$381,MATCH('Buildings - Heat &amp; Fuels'!$C315&amp;$D315,'Emission factors'!$J$3:$J$381&amp;'Emission factors'!$K$3:$K$381,0),MATCH(OthergasesTable[[#Headers],[Direct]],'Emission factors'!$K$2:$V$2,0)))*$J315)</f>
        <v/>
      </c>
      <c r="Q315" s="157" t="str" cm="1">
        <f t="array" ref="Q315">IF(OR($C315="",$H315=""),"",(INDEX('Emission factors'!$K$3:$V$381,MATCH('Buildings - Grid Electricity'!#REF!&amp;$D315,'Emission factors'!$J$3:$J$381&amp;'Emission factors'!$K$3:$K$381,0),MATCH(OthergasesTable[[#Headers],[Indirect generation]],'Emission factors'!$K$2:$V$2,0)))*$J315)</f>
        <v/>
      </c>
      <c r="R315" s="157" t="str" cm="1">
        <f t="array" ref="R315">IF(OR($C315="",$H315=""),"",(INDEX('Emission factors'!$K$3:$V$381,MATCH('Buildings - Grid Electricity'!#REF!&amp;$D315,'Emission factors'!$J$3:$J$381&amp;'Emission factors'!$K$3:$K$381,0),MATCH(OthergasesTable[[#Headers],[Indirect service]],'Emission factors'!$K$2:$V$2,0)))*$J315)</f>
        <v/>
      </c>
      <c r="S315" s="157" t="str" cm="1">
        <f t="array" ref="S315">IF(OR($C315="",$H315=""),"",(INDEX('Emission factors'!$K$3:$V$381,MATCH('Buildings - Grid Electricity'!#REF!&amp;$D315,'Emission factors'!$J$3:$J$381&amp;'Emission factors'!$K$3:$K$381,0),MATCH(OthergasesTable[[#Headers],[Indirect T&amp;D]],'Emission factors'!$K$2:$V$2,0)))*$J315)</f>
        <v/>
      </c>
      <c r="T315" s="157" t="str" cm="1">
        <f t="array" ref="T315">IF(OR($C315="",$H315=""),"",(INDEX('Emission factors'!$K$3:$V$381,MATCH('Buildings - Grid Electricity'!#REF!&amp;$D315,'Emission factors'!$J$3:$J$381&amp;'Emission factors'!$K$3:$K$381,0),MATCH(OthergasesTable[[#Headers],[Indirect WTT]],'Emission factors'!$K$2:$V$2,0)))*$J315)</f>
        <v/>
      </c>
      <c r="U315" s="158" t="str">
        <f t="shared" si="5"/>
        <v/>
      </c>
      <c r="V315" s="163" t="str">
        <f t="shared" si="3"/>
        <v/>
      </c>
      <c r="W315" s="157" t="str" cm="1">
        <f t="array" ref="W315">IF(OR($C315="",$H315=""),"",(INDEX('Emission factors'!$K$3:$V$381,MATCH('Buildings - Grid Electricity'!#REF!&amp;$D315,'Emission factors'!$J$3:$J$381&amp;'Emission factors'!$K$3:$K$381,0),MATCH(OthergasesTable[[#Headers],[Outside of scopes]],'Emission factors'!$K$2:$V$2,0)))*$J315)</f>
        <v/>
      </c>
      <c r="Z315" s="32">
        <f t="shared" si="2"/>
        <v>0</v>
      </c>
      <c r="AA315" s="1">
        <f t="shared" si="4"/>
        <v>0</v>
      </c>
    </row>
    <row r="316" spans="2:27" ht="15" outlineLevel="1" thickBot="1" x14ac:dyDescent="0.4">
      <c r="B316" s="223"/>
      <c r="C316" s="324" t="s">
        <v>204</v>
      </c>
      <c r="D316" s="72"/>
      <c r="E316" s="42"/>
      <c r="F316" s="72"/>
      <c r="G316" s="77" t="str">
        <f>IF(F316="","",INDEX(Lists!$BA$4:$BC$39,MATCH($C316,Lists!$AZ$4:$AZ$39,0),MATCH(F316,Lists!$BA$3:$BC$3,0)))</f>
        <v/>
      </c>
      <c r="H316" s="177"/>
      <c r="I316" s="72"/>
      <c r="J316" s="75" t="str" cm="1">
        <f t="array" ref="J316">IF(OR($D316="",$C316="",$H316="",$I316=""),"",IF(I316=K316,H316,(INDEX('Emission factors'!$K$3:$V$381,MATCH(C316&amp;D316,'Emission factors'!$J$3:$J$381&amp;'Emission factors'!$K$3:$K$381,0),MATCH(OthergasesTable[[#Headers],[Converted data]],'Emission factors'!$K$2:$V$2,0)))*H316))</f>
        <v/>
      </c>
      <c r="K316" s="312" t="str">
        <f>IF(C316="","",INDEX('Emission factors'!$J$3:$V$381,MATCH('Buildings - Heat &amp; Fuels'!$C316,'Emission factors'!$J$3:$J$381,0),MATCH(OthergasesTable[[#Headers],[Standard units]],'Emission factors'!$J$2:$V$2,0)))</f>
        <v>kg</v>
      </c>
      <c r="L316" s="75" t="str" cm="1">
        <f t="array" ref="L316">IF(OR(D316="",H316=""),"",INDEX('Emission factors'!$K$3:$V$381,MATCH('Buildings - Heat &amp; Fuels'!$C316&amp;$D316,'Emission factors'!$J$3:$J$381&amp;'Emission factors'!$K$3:$K$381,0),MATCH(OthergasesTable[[#Headers],[Total EF (kgCO2e/unit)]],'Emission factors'!$K$2:$V$2,0)))</f>
        <v/>
      </c>
      <c r="M316" s="156" t="str">
        <f>IF(OR(J316="",L316=""),"",SUM(OthergasesTable[[#This Row],[Direct]:[Indirect WTT]]))</f>
        <v/>
      </c>
      <c r="N316" s="71"/>
      <c r="O316" s="72"/>
      <c r="P316" s="157" t="str" cm="1">
        <f t="array" ref="P316">IF(OR($C316="",$H316=""),"",(INDEX('Emission factors'!$K$3:$V$381,MATCH('Buildings - Heat &amp; Fuels'!$C316&amp;$D316,'Emission factors'!$J$3:$J$381&amp;'Emission factors'!$K$3:$K$381,0),MATCH(OthergasesTable[[#Headers],[Direct]],'Emission factors'!$K$2:$V$2,0)))*$J316)</f>
        <v/>
      </c>
      <c r="Q316" s="157" t="str" cm="1">
        <f t="array" ref="Q316">IF(OR($C316="",$H316=""),"",(INDEX('Emission factors'!$K$3:$V$381,MATCH('Buildings - Grid Electricity'!#REF!&amp;$D316,'Emission factors'!$J$3:$J$381&amp;'Emission factors'!$K$3:$K$381,0),MATCH(OthergasesTable[[#Headers],[Indirect generation]],'Emission factors'!$K$2:$V$2,0)))*$J316)</f>
        <v/>
      </c>
      <c r="R316" s="157" t="str" cm="1">
        <f t="array" ref="R316">IF(OR($C316="",$H316=""),"",(INDEX('Emission factors'!$K$3:$V$381,MATCH('Buildings - Grid Electricity'!#REF!&amp;$D316,'Emission factors'!$J$3:$J$381&amp;'Emission factors'!$K$3:$K$381,0),MATCH(OthergasesTable[[#Headers],[Indirect service]],'Emission factors'!$K$2:$V$2,0)))*$J316)</f>
        <v/>
      </c>
      <c r="S316" s="157" t="str" cm="1">
        <f t="array" ref="S316">IF(OR($C316="",$H316=""),"",(INDEX('Emission factors'!$K$3:$V$381,MATCH('Buildings - Grid Electricity'!#REF!&amp;$D316,'Emission factors'!$J$3:$J$381&amp;'Emission factors'!$K$3:$K$381,0),MATCH(OthergasesTable[[#Headers],[Indirect T&amp;D]],'Emission factors'!$K$2:$V$2,0)))*$J316)</f>
        <v/>
      </c>
      <c r="T316" s="157" t="str" cm="1">
        <f t="array" ref="T316">IF(OR($C316="",$H316=""),"",(INDEX('Emission factors'!$K$3:$V$381,MATCH('Buildings - Grid Electricity'!#REF!&amp;$D316,'Emission factors'!$J$3:$J$381&amp;'Emission factors'!$K$3:$K$381,0),MATCH(OthergasesTable[[#Headers],[Indirect WTT]],'Emission factors'!$K$2:$V$2,0)))*$J316)</f>
        <v/>
      </c>
      <c r="U316" s="158" t="str">
        <f t="shared" si="5"/>
        <v/>
      </c>
      <c r="V316" s="163" t="str">
        <f t="shared" si="3"/>
        <v/>
      </c>
      <c r="W316" s="157" t="str" cm="1">
        <f t="array" ref="W316">IF(OR($C316="",$H316=""),"",(INDEX('Emission factors'!$K$3:$V$381,MATCH('Buildings - Grid Electricity'!#REF!&amp;$D316,'Emission factors'!$J$3:$J$381&amp;'Emission factors'!$K$3:$K$381,0),MATCH(OthergasesTable[[#Headers],[Outside of scopes]],'Emission factors'!$K$2:$V$2,0)))*$J316)</f>
        <v/>
      </c>
      <c r="Z316" s="32">
        <f t="shared" ref="Z316:Z321" si="6">SUM(Y317:Y322)</f>
        <v>0</v>
      </c>
      <c r="AA316" s="1">
        <f t="shared" si="4"/>
        <v>0</v>
      </c>
    </row>
    <row r="317" spans="2:27" ht="15" outlineLevel="1" thickBot="1" x14ac:dyDescent="0.4">
      <c r="B317" s="223"/>
      <c r="C317" s="324" t="s">
        <v>204</v>
      </c>
      <c r="D317" s="72"/>
      <c r="E317" s="42"/>
      <c r="F317" s="72"/>
      <c r="G317" s="77" t="str">
        <f>IF(F317="","",INDEX(Lists!$BA$4:$BC$39,MATCH($C317,Lists!$AZ$4:$AZ$39,0),MATCH(F317,Lists!$BA$3:$BC$3,0)))</f>
        <v/>
      </c>
      <c r="H317" s="177"/>
      <c r="I317" s="72"/>
      <c r="J317" s="75" t="str" cm="1">
        <f t="array" ref="J317">IF(OR($D317="",$C317="",$H317="",$I317=""),"",IF(I317=K317,H317,(INDEX('Emission factors'!$K$3:$V$381,MATCH(C317&amp;D317,'Emission factors'!$J$3:$J$381&amp;'Emission factors'!$K$3:$K$381,0),MATCH(OthergasesTable[[#Headers],[Converted data]],'Emission factors'!$K$2:$V$2,0)))*H317))</f>
        <v/>
      </c>
      <c r="K317" s="312" t="str">
        <f>IF(C317="","",INDEX('Emission factors'!$J$3:$V$381,MATCH('Buildings - Heat &amp; Fuels'!$C317,'Emission factors'!$J$3:$J$381,0),MATCH(OthergasesTable[[#Headers],[Standard units]],'Emission factors'!$J$2:$V$2,0)))</f>
        <v>kg</v>
      </c>
      <c r="L317" s="75" t="str" cm="1">
        <f t="array" ref="L317">IF(OR(D317="",H317=""),"",INDEX('Emission factors'!$K$3:$V$381,MATCH('Buildings - Heat &amp; Fuels'!$C317&amp;$D317,'Emission factors'!$J$3:$J$381&amp;'Emission factors'!$K$3:$K$381,0),MATCH(OthergasesTable[[#Headers],[Total EF (kgCO2e/unit)]],'Emission factors'!$K$2:$V$2,0)))</f>
        <v/>
      </c>
      <c r="M317" s="156" t="str">
        <f>IF(OR(J317="",L317=""),"",SUM(OthergasesTable[[#This Row],[Direct]:[Indirect WTT]]))</f>
        <v/>
      </c>
      <c r="N317" s="71"/>
      <c r="O317" s="72"/>
      <c r="P317" s="157" t="str" cm="1">
        <f t="array" ref="P317">IF(OR($C317="",$H317=""),"",(INDEX('Emission factors'!$K$3:$V$381,MATCH('Buildings - Heat &amp; Fuels'!$C317&amp;$D317,'Emission factors'!$J$3:$J$381&amp;'Emission factors'!$K$3:$K$381,0),MATCH(OthergasesTable[[#Headers],[Direct]],'Emission factors'!$K$2:$V$2,0)))*$J317)</f>
        <v/>
      </c>
      <c r="Q317" s="157" t="str" cm="1">
        <f t="array" ref="Q317">IF(OR($C317="",$H317=""),"",(INDEX('Emission factors'!$K$3:$V$381,MATCH('Buildings - Grid Electricity'!#REF!&amp;$D317,'Emission factors'!$J$3:$J$381&amp;'Emission factors'!$K$3:$K$381,0),MATCH(OthergasesTable[[#Headers],[Indirect generation]],'Emission factors'!$K$2:$V$2,0)))*$J317)</f>
        <v/>
      </c>
      <c r="R317" s="157" t="str" cm="1">
        <f t="array" ref="R317">IF(OR($C317="",$H317=""),"",(INDEX('Emission factors'!$K$3:$V$381,MATCH('Buildings - Grid Electricity'!#REF!&amp;$D317,'Emission factors'!$J$3:$J$381&amp;'Emission factors'!$K$3:$K$381,0),MATCH(OthergasesTable[[#Headers],[Indirect service]],'Emission factors'!$K$2:$V$2,0)))*$J317)</f>
        <v/>
      </c>
      <c r="S317" s="157" t="str" cm="1">
        <f t="array" ref="S317">IF(OR($C317="",$H317=""),"",(INDEX('Emission factors'!$K$3:$V$381,MATCH('Buildings - Grid Electricity'!#REF!&amp;$D317,'Emission factors'!$J$3:$J$381&amp;'Emission factors'!$K$3:$K$381,0),MATCH(OthergasesTable[[#Headers],[Indirect T&amp;D]],'Emission factors'!$K$2:$V$2,0)))*$J317)</f>
        <v/>
      </c>
      <c r="T317" s="157" t="str" cm="1">
        <f t="array" ref="T317">IF(OR($C317="",$H317=""),"",(INDEX('Emission factors'!$K$3:$V$381,MATCH('Buildings - Grid Electricity'!#REF!&amp;$D317,'Emission factors'!$J$3:$J$381&amp;'Emission factors'!$K$3:$K$381,0),MATCH(OthergasesTable[[#Headers],[Indirect WTT]],'Emission factors'!$K$2:$V$2,0)))*$J317)</f>
        <v/>
      </c>
      <c r="U317" s="158" t="str">
        <f t="shared" si="5"/>
        <v/>
      </c>
      <c r="V317" s="163" t="str">
        <f t="shared" si="3"/>
        <v/>
      </c>
      <c r="W317" s="157" t="str" cm="1">
        <f t="array" ref="W317">IF(OR($C317="",$H317=""),"",(INDEX('Emission factors'!$K$3:$V$381,MATCH('Buildings - Grid Electricity'!#REF!&amp;$D317,'Emission factors'!$J$3:$J$381&amp;'Emission factors'!$K$3:$K$381,0),MATCH(OthergasesTable[[#Headers],[Outside of scopes]],'Emission factors'!$K$2:$V$2,0)))*$J317)</f>
        <v/>
      </c>
      <c r="Z317" s="32">
        <f t="shared" si="6"/>
        <v>0</v>
      </c>
      <c r="AA317" s="1">
        <f t="shared" si="4"/>
        <v>0</v>
      </c>
    </row>
    <row r="318" spans="2:27" ht="15" outlineLevel="1" thickBot="1" x14ac:dyDescent="0.4">
      <c r="B318" s="223"/>
      <c r="C318" s="324" t="s">
        <v>204</v>
      </c>
      <c r="D318" s="72"/>
      <c r="E318" s="42"/>
      <c r="F318" s="72"/>
      <c r="G318" s="77" t="str">
        <f>IF(F318="","",INDEX(Lists!$BA$4:$BC$39,MATCH($C318,Lists!$AZ$4:$AZ$39,0),MATCH(F318,Lists!$BA$3:$BC$3,0)))</f>
        <v/>
      </c>
      <c r="H318" s="177"/>
      <c r="I318" s="72"/>
      <c r="J318" s="75" t="str" cm="1">
        <f t="array" ref="J318">IF(OR($D318="",$C318="",$H318="",$I318=""),"",IF(I318=K318,H318,(INDEX('Emission factors'!$K$3:$V$381,MATCH(C318&amp;D318,'Emission factors'!$J$3:$J$381&amp;'Emission factors'!$K$3:$K$381,0),MATCH(OthergasesTable[[#Headers],[Converted data]],'Emission factors'!$K$2:$V$2,0)))*H318))</f>
        <v/>
      </c>
      <c r="K318" s="312" t="str">
        <f>IF(C318="","",INDEX('Emission factors'!$J$3:$V$381,MATCH('Buildings - Heat &amp; Fuels'!$C318,'Emission factors'!$J$3:$J$381,0),MATCH(OthergasesTable[[#Headers],[Standard units]],'Emission factors'!$J$2:$V$2,0)))</f>
        <v>kg</v>
      </c>
      <c r="L318" s="75" t="str" cm="1">
        <f t="array" ref="L318">IF(OR(D318="",H318=""),"",INDEX('Emission factors'!$K$3:$V$381,MATCH('Buildings - Heat &amp; Fuels'!$C318&amp;$D318,'Emission factors'!$J$3:$J$381&amp;'Emission factors'!$K$3:$K$381,0),MATCH(OthergasesTable[[#Headers],[Total EF (kgCO2e/unit)]],'Emission factors'!$K$2:$V$2,0)))</f>
        <v/>
      </c>
      <c r="M318" s="156" t="str">
        <f>IF(OR(J318="",L318=""),"",SUM(OthergasesTable[[#This Row],[Direct]:[Indirect WTT]]))</f>
        <v/>
      </c>
      <c r="N318" s="71"/>
      <c r="O318" s="72"/>
      <c r="P318" s="157" t="str" cm="1">
        <f t="array" ref="P318">IF(OR($C318="",$H318=""),"",(INDEX('Emission factors'!$K$3:$V$381,MATCH('Buildings - Heat &amp; Fuels'!$C318&amp;$D318,'Emission factors'!$J$3:$J$381&amp;'Emission factors'!$K$3:$K$381,0),MATCH(OthergasesTable[[#Headers],[Direct]],'Emission factors'!$K$2:$V$2,0)))*$J318)</f>
        <v/>
      </c>
      <c r="Q318" s="157" t="str" cm="1">
        <f t="array" ref="Q318">IF(OR($C318="",$H318=""),"",(INDEX('Emission factors'!$K$3:$V$381,MATCH('Buildings - Grid Electricity'!#REF!&amp;$D318,'Emission factors'!$J$3:$J$381&amp;'Emission factors'!$K$3:$K$381,0),MATCH(OthergasesTable[[#Headers],[Indirect generation]],'Emission factors'!$K$2:$V$2,0)))*$J318)</f>
        <v/>
      </c>
      <c r="R318" s="157" t="str" cm="1">
        <f t="array" ref="R318">IF(OR($C318="",$H318=""),"",(INDEX('Emission factors'!$K$3:$V$381,MATCH('Buildings - Grid Electricity'!#REF!&amp;$D318,'Emission factors'!$J$3:$J$381&amp;'Emission factors'!$K$3:$K$381,0),MATCH(OthergasesTable[[#Headers],[Indirect service]],'Emission factors'!$K$2:$V$2,0)))*$J318)</f>
        <v/>
      </c>
      <c r="S318" s="157" t="str" cm="1">
        <f t="array" ref="S318">IF(OR($C318="",$H318=""),"",(INDEX('Emission factors'!$K$3:$V$381,MATCH('Buildings - Grid Electricity'!#REF!&amp;$D318,'Emission factors'!$J$3:$J$381&amp;'Emission factors'!$K$3:$K$381,0),MATCH(OthergasesTable[[#Headers],[Indirect T&amp;D]],'Emission factors'!$K$2:$V$2,0)))*$J318)</f>
        <v/>
      </c>
      <c r="T318" s="157" t="str" cm="1">
        <f t="array" ref="T318">IF(OR($C318="",$H318=""),"",(INDEX('Emission factors'!$K$3:$V$381,MATCH('Buildings - Grid Electricity'!#REF!&amp;$D318,'Emission factors'!$J$3:$J$381&amp;'Emission factors'!$K$3:$K$381,0),MATCH(OthergasesTable[[#Headers],[Indirect WTT]],'Emission factors'!$K$2:$V$2,0)))*$J318)</f>
        <v/>
      </c>
      <c r="U318" s="158" t="str">
        <f t="shared" si="5"/>
        <v/>
      </c>
      <c r="V318" s="163" t="str">
        <f t="shared" si="3"/>
        <v/>
      </c>
      <c r="W318" s="157" t="str" cm="1">
        <f t="array" ref="W318">IF(OR($C318="",$H318=""),"",(INDEX('Emission factors'!$K$3:$V$381,MATCH('Buildings - Grid Electricity'!#REF!&amp;$D318,'Emission factors'!$J$3:$J$381&amp;'Emission factors'!$K$3:$K$381,0),MATCH(OthergasesTable[[#Headers],[Outside of scopes]],'Emission factors'!$K$2:$V$2,0)))*$J318)</f>
        <v/>
      </c>
      <c r="Z318" s="32">
        <f t="shared" si="6"/>
        <v>0</v>
      </c>
      <c r="AA318" s="1">
        <f t="shared" si="4"/>
        <v>0</v>
      </c>
    </row>
    <row r="319" spans="2:27" ht="15" outlineLevel="1" thickBot="1" x14ac:dyDescent="0.4">
      <c r="B319" s="223"/>
      <c r="C319" s="324" t="s">
        <v>204</v>
      </c>
      <c r="D319" s="72"/>
      <c r="E319" s="42"/>
      <c r="F319" s="72"/>
      <c r="G319" s="77" t="str">
        <f>IF(F319="","",INDEX(Lists!$BA$4:$BC$39,MATCH($C319,Lists!$AZ$4:$AZ$39,0),MATCH(F319,Lists!$BA$3:$BC$3,0)))</f>
        <v/>
      </c>
      <c r="H319" s="177"/>
      <c r="I319" s="72"/>
      <c r="J319" s="75" t="str" cm="1">
        <f t="array" ref="J319">IF(OR($D319="",$C319="",$H319="",$I319=""),"",IF(I319=K319,H319,(INDEX('Emission factors'!$K$3:$V$381,MATCH(C319&amp;D319,'Emission factors'!$J$3:$J$381&amp;'Emission factors'!$K$3:$K$381,0),MATCH(OthergasesTable[[#Headers],[Converted data]],'Emission factors'!$K$2:$V$2,0)))*H319))</f>
        <v/>
      </c>
      <c r="K319" s="312" t="str">
        <f>IF(C319="","",INDEX('Emission factors'!$J$3:$V$381,MATCH('Buildings - Heat &amp; Fuels'!$C319,'Emission factors'!$J$3:$J$381,0),MATCH(OthergasesTable[[#Headers],[Standard units]],'Emission factors'!$J$2:$V$2,0)))</f>
        <v>kg</v>
      </c>
      <c r="L319" s="75" t="str" cm="1">
        <f t="array" ref="L319">IF(OR(D319="",H319=""),"",INDEX('Emission factors'!$K$3:$V$381,MATCH('Buildings - Heat &amp; Fuels'!$C319&amp;$D319,'Emission factors'!$J$3:$J$381&amp;'Emission factors'!$K$3:$K$381,0),MATCH(OthergasesTable[[#Headers],[Total EF (kgCO2e/unit)]],'Emission factors'!$K$2:$V$2,0)))</f>
        <v/>
      </c>
      <c r="M319" s="156" t="str">
        <f>IF(OR(J319="",L319=""),"",SUM(OthergasesTable[[#This Row],[Direct]:[Indirect WTT]]))</f>
        <v/>
      </c>
      <c r="N319" s="71"/>
      <c r="O319" s="72"/>
      <c r="P319" s="157" t="str" cm="1">
        <f t="array" ref="P319">IF(OR($C319="",$H319=""),"",(INDEX('Emission factors'!$K$3:$V$381,MATCH('Buildings - Heat &amp; Fuels'!$C319&amp;$D319,'Emission factors'!$J$3:$J$381&amp;'Emission factors'!$K$3:$K$381,0),MATCH(OthergasesTable[[#Headers],[Direct]],'Emission factors'!$K$2:$V$2,0)))*$J319)</f>
        <v/>
      </c>
      <c r="Q319" s="157" t="str" cm="1">
        <f t="array" ref="Q319">IF(OR($C319="",$H319=""),"",(INDEX('Emission factors'!$K$3:$V$381,MATCH('Buildings - Grid Electricity'!#REF!&amp;$D319,'Emission factors'!$J$3:$J$381&amp;'Emission factors'!$K$3:$K$381,0),MATCH(OthergasesTable[[#Headers],[Indirect generation]],'Emission factors'!$K$2:$V$2,0)))*$J319)</f>
        <v/>
      </c>
      <c r="R319" s="157" t="str" cm="1">
        <f t="array" ref="R319">IF(OR($C319="",$H319=""),"",(INDEX('Emission factors'!$K$3:$V$381,MATCH('Buildings - Grid Electricity'!#REF!&amp;$D319,'Emission factors'!$J$3:$J$381&amp;'Emission factors'!$K$3:$K$381,0),MATCH(OthergasesTable[[#Headers],[Indirect service]],'Emission factors'!$K$2:$V$2,0)))*$J319)</f>
        <v/>
      </c>
      <c r="S319" s="157" t="str" cm="1">
        <f t="array" ref="S319">IF(OR($C319="",$H319=""),"",(INDEX('Emission factors'!$K$3:$V$381,MATCH('Buildings - Grid Electricity'!#REF!&amp;$D319,'Emission factors'!$J$3:$J$381&amp;'Emission factors'!$K$3:$K$381,0),MATCH(OthergasesTable[[#Headers],[Indirect T&amp;D]],'Emission factors'!$K$2:$V$2,0)))*$J319)</f>
        <v/>
      </c>
      <c r="T319" s="157" t="str" cm="1">
        <f t="array" ref="T319">IF(OR($C319="",$H319=""),"",(INDEX('Emission factors'!$K$3:$V$381,MATCH('Buildings - Grid Electricity'!#REF!&amp;$D319,'Emission factors'!$J$3:$J$381&amp;'Emission factors'!$K$3:$K$381,0),MATCH(OthergasesTable[[#Headers],[Indirect WTT]],'Emission factors'!$K$2:$V$2,0)))*$J319)</f>
        <v/>
      </c>
      <c r="U319" s="158" t="str">
        <f t="shared" si="5"/>
        <v/>
      </c>
      <c r="V319" s="163" t="str">
        <f t="shared" si="3"/>
        <v/>
      </c>
      <c r="W319" s="157" t="str" cm="1">
        <f t="array" ref="W319">IF(OR($C319="",$H319=""),"",(INDEX('Emission factors'!$K$3:$V$381,MATCH('Buildings - Grid Electricity'!#REF!&amp;$D319,'Emission factors'!$J$3:$J$381&amp;'Emission factors'!$K$3:$K$381,0),MATCH(OthergasesTable[[#Headers],[Outside of scopes]],'Emission factors'!$K$2:$V$2,0)))*$J319)</f>
        <v/>
      </c>
      <c r="Z319" s="32">
        <f t="shared" si="6"/>
        <v>0</v>
      </c>
      <c r="AA319" s="1">
        <f t="shared" si="4"/>
        <v>0</v>
      </c>
    </row>
    <row r="320" spans="2:27" ht="15" outlineLevel="1" thickBot="1" x14ac:dyDescent="0.4">
      <c r="B320" s="223"/>
      <c r="C320" s="324" t="s">
        <v>204</v>
      </c>
      <c r="D320" s="72"/>
      <c r="E320" s="42"/>
      <c r="F320" s="72"/>
      <c r="G320" s="77" t="str">
        <f>IF(F320="","",INDEX(Lists!$BA$4:$BC$39,MATCH($C320,Lists!$AZ$4:$AZ$39,0),MATCH(F320,Lists!$BA$3:$BC$3,0)))</f>
        <v/>
      </c>
      <c r="H320" s="177"/>
      <c r="I320" s="72"/>
      <c r="J320" s="75" t="str" cm="1">
        <f t="array" ref="J320">IF(OR($D320="",$C320="",$H320="",$I320=""),"",IF(I320=K320,H320,(INDEX('Emission factors'!$K$3:$V$381,MATCH(C320&amp;D320,'Emission factors'!$J$3:$J$381&amp;'Emission factors'!$K$3:$K$381,0),MATCH(OthergasesTable[[#Headers],[Converted data]],'Emission factors'!$K$2:$V$2,0)))*H320))</f>
        <v/>
      </c>
      <c r="K320" s="312" t="str">
        <f>IF(C320="","",INDEX('Emission factors'!$J$3:$V$381,MATCH('Buildings - Heat &amp; Fuels'!$C320,'Emission factors'!$J$3:$J$381,0),MATCH(OthergasesTable[[#Headers],[Standard units]],'Emission factors'!$J$2:$V$2,0)))</f>
        <v>kg</v>
      </c>
      <c r="L320" s="75" t="str" cm="1">
        <f t="array" ref="L320">IF(OR(D320="",H320=""),"",INDEX('Emission factors'!$K$3:$V$381,MATCH('Buildings - Heat &amp; Fuels'!$C320&amp;$D320,'Emission factors'!$J$3:$J$381&amp;'Emission factors'!$K$3:$K$381,0),MATCH(OthergasesTable[[#Headers],[Total EF (kgCO2e/unit)]],'Emission factors'!$K$2:$V$2,0)))</f>
        <v/>
      </c>
      <c r="M320" s="156" t="str">
        <f>IF(OR(J320="",L320=""),"",SUM(OthergasesTable[[#This Row],[Direct]:[Indirect WTT]]))</f>
        <v/>
      </c>
      <c r="N320" s="71"/>
      <c r="O320" s="72"/>
      <c r="P320" s="157" t="str" cm="1">
        <f t="array" ref="P320">IF(OR($C320="",$H320=""),"",(INDEX('Emission factors'!$K$3:$V$381,MATCH('Buildings - Heat &amp; Fuels'!$C320&amp;$D320,'Emission factors'!$J$3:$J$381&amp;'Emission factors'!$K$3:$K$381,0),MATCH(OthergasesTable[[#Headers],[Direct]],'Emission factors'!$K$2:$V$2,0)))*$J320)</f>
        <v/>
      </c>
      <c r="Q320" s="157" t="str" cm="1">
        <f t="array" ref="Q320">IF(OR($C320="",$H320=""),"",(INDEX('Emission factors'!$K$3:$V$381,MATCH('Buildings - Grid Electricity'!#REF!&amp;$D320,'Emission factors'!$J$3:$J$381&amp;'Emission factors'!$K$3:$K$381,0),MATCH(OthergasesTable[[#Headers],[Indirect generation]],'Emission factors'!$K$2:$V$2,0)))*$J320)</f>
        <v/>
      </c>
      <c r="R320" s="157" t="str" cm="1">
        <f t="array" ref="R320">IF(OR($C320="",$H320=""),"",(INDEX('Emission factors'!$K$3:$V$381,MATCH('Buildings - Grid Electricity'!#REF!&amp;$D320,'Emission factors'!$J$3:$J$381&amp;'Emission factors'!$K$3:$K$381,0),MATCH(OthergasesTable[[#Headers],[Indirect service]],'Emission factors'!$K$2:$V$2,0)))*$J320)</f>
        <v/>
      </c>
      <c r="S320" s="157" t="str" cm="1">
        <f t="array" ref="S320">IF(OR($C320="",$H320=""),"",(INDEX('Emission factors'!$K$3:$V$381,MATCH('Buildings - Grid Electricity'!#REF!&amp;$D320,'Emission factors'!$J$3:$J$381&amp;'Emission factors'!$K$3:$K$381,0),MATCH(OthergasesTable[[#Headers],[Indirect T&amp;D]],'Emission factors'!$K$2:$V$2,0)))*$J320)</f>
        <v/>
      </c>
      <c r="T320" s="157" t="str" cm="1">
        <f t="array" ref="T320">IF(OR($C320="",$H320=""),"",(INDEX('Emission factors'!$K$3:$V$381,MATCH('Buildings - Grid Electricity'!#REF!&amp;$D320,'Emission factors'!$J$3:$J$381&amp;'Emission factors'!$K$3:$K$381,0),MATCH(OthergasesTable[[#Headers],[Indirect WTT]],'Emission factors'!$K$2:$V$2,0)))*$J320)</f>
        <v/>
      </c>
      <c r="U320" s="158" t="str">
        <f t="shared" si="5"/>
        <v/>
      </c>
      <c r="V320" s="163" t="str">
        <f t="shared" si="3"/>
        <v/>
      </c>
      <c r="W320" s="157" t="str" cm="1">
        <f t="array" ref="W320">IF(OR($C320="",$H320=""),"",(INDEX('Emission factors'!$K$3:$V$381,MATCH('Buildings - Grid Electricity'!#REF!&amp;$D320,'Emission factors'!$J$3:$J$381&amp;'Emission factors'!$K$3:$K$381,0),MATCH(OthergasesTable[[#Headers],[Outside of scopes]],'Emission factors'!$K$2:$V$2,0)))*$J320)</f>
        <v/>
      </c>
      <c r="Z320" s="32">
        <f t="shared" si="6"/>
        <v>0</v>
      </c>
      <c r="AA320" s="1">
        <f t="shared" si="4"/>
        <v>0</v>
      </c>
    </row>
    <row r="321" spans="1:27" ht="15" outlineLevel="1" thickBot="1" x14ac:dyDescent="0.4">
      <c r="B321" s="224"/>
      <c r="C321" s="324" t="s">
        <v>204</v>
      </c>
      <c r="D321" s="72"/>
      <c r="E321" s="42"/>
      <c r="F321" s="72"/>
      <c r="G321" s="77" t="str">
        <f>IF(F321="","",INDEX(Lists!$BA$4:$BC$39,MATCH($C321,Lists!$AZ$4:$AZ$39,0),MATCH(F321,Lists!$BA$3:$BC$3,0)))</f>
        <v/>
      </c>
      <c r="H321" s="177"/>
      <c r="I321" s="72"/>
      <c r="J321" s="75" t="str" cm="1">
        <f t="array" ref="J321">IF(OR($D321="",$C321="",$H321="",$I321=""),"",IF(I321=K321,H321,(INDEX('Emission factors'!$K$3:$V$381,MATCH(C321&amp;D321,'Emission factors'!$J$3:$J$381&amp;'Emission factors'!$K$3:$K$381,0),MATCH(OthergasesTable[[#Headers],[Converted data]],'Emission factors'!$K$2:$V$2,0)))*H321))</f>
        <v/>
      </c>
      <c r="K321" s="312" t="str">
        <f>IF(C321="","",INDEX('Emission factors'!$J$3:$V$381,MATCH('Buildings - Heat &amp; Fuels'!$C321,'Emission factors'!$J$3:$J$381,0),MATCH(OthergasesTable[[#Headers],[Standard units]],'Emission factors'!$J$2:$V$2,0)))</f>
        <v>kg</v>
      </c>
      <c r="L321" s="75" t="str" cm="1">
        <f t="array" ref="L321">IF(OR(D321="",H321=""),"",INDEX('Emission factors'!$K$3:$V$381,MATCH('Buildings - Heat &amp; Fuels'!$C321&amp;$D321,'Emission factors'!$J$3:$J$381&amp;'Emission factors'!$K$3:$K$381,0),MATCH(OthergasesTable[[#Headers],[Total EF (kgCO2e/unit)]],'Emission factors'!$K$2:$V$2,0)))</f>
        <v/>
      </c>
      <c r="M321" s="156" t="str">
        <f>IF(OR(J321="",L321=""),"",SUM(OthergasesTable[[#This Row],[Direct]:[Indirect WTT]]))</f>
        <v/>
      </c>
      <c r="N321" s="71"/>
      <c r="O321" s="72"/>
      <c r="P321" s="157" t="str" cm="1">
        <f t="array" ref="P321">IF(OR($C321="",$H321=""),"",(INDEX('Emission factors'!$K$3:$V$381,MATCH('Buildings - Heat &amp; Fuels'!$C321&amp;$D321,'Emission factors'!$J$3:$J$381&amp;'Emission factors'!$K$3:$K$381,0),MATCH(OthergasesTable[[#Headers],[Direct]],'Emission factors'!$K$2:$V$2,0)))*$J321)</f>
        <v/>
      </c>
      <c r="Q321" s="157" t="str" cm="1">
        <f t="array" ref="Q321">IF(OR($C321="",$H321=""),"",(INDEX('Emission factors'!$K$3:$V$381,MATCH('Buildings - Grid Electricity'!#REF!&amp;$D321,'Emission factors'!$J$3:$J$381&amp;'Emission factors'!$K$3:$K$381,0),MATCH(OthergasesTable[[#Headers],[Indirect generation]],'Emission factors'!$K$2:$V$2,0)))*$J321)</f>
        <v/>
      </c>
      <c r="R321" s="157" t="str" cm="1">
        <f t="array" ref="R321">IF(OR($C321="",$H321=""),"",(INDEX('Emission factors'!$K$3:$V$381,MATCH('Buildings - Grid Electricity'!#REF!&amp;$D321,'Emission factors'!$J$3:$J$381&amp;'Emission factors'!$K$3:$K$381,0),MATCH(OthergasesTable[[#Headers],[Indirect service]],'Emission factors'!$K$2:$V$2,0)))*$J321)</f>
        <v/>
      </c>
      <c r="S321" s="157" t="str" cm="1">
        <f t="array" ref="S321">IF(OR($C321="",$H321=""),"",(INDEX('Emission factors'!$K$3:$V$381,MATCH('Buildings - Grid Electricity'!#REF!&amp;$D321,'Emission factors'!$J$3:$J$381&amp;'Emission factors'!$K$3:$K$381,0),MATCH(OthergasesTable[[#Headers],[Indirect T&amp;D]],'Emission factors'!$K$2:$V$2,0)))*$J321)</f>
        <v/>
      </c>
      <c r="T321" s="157" t="str" cm="1">
        <f t="array" ref="T321">IF(OR($C321="",$H321=""),"",(INDEX('Emission factors'!$K$3:$V$381,MATCH('Buildings - Grid Electricity'!#REF!&amp;$D321,'Emission factors'!$J$3:$J$381&amp;'Emission factors'!$K$3:$K$381,0),MATCH(OthergasesTable[[#Headers],[Indirect WTT]],'Emission factors'!$K$2:$V$2,0)))*$J321)</f>
        <v/>
      </c>
      <c r="U321" s="158" t="str">
        <f t="shared" si="5"/>
        <v/>
      </c>
      <c r="V321" s="163" t="str">
        <f t="shared" si="3"/>
        <v/>
      </c>
      <c r="W321" s="157" t="str" cm="1">
        <f t="array" ref="W321">IF(OR($C321="",$H321=""),"",(INDEX('Emission factors'!$K$3:$V$381,MATCH('Buildings - Grid Electricity'!#REF!&amp;$D321,'Emission factors'!$J$3:$J$381&amp;'Emission factors'!$K$3:$K$381,0),MATCH(OthergasesTable[[#Headers],[Outside of scopes]],'Emission factors'!$K$2:$V$2,0)))*$J321)</f>
        <v/>
      </c>
      <c r="Z321" s="32">
        <f t="shared" si="6"/>
        <v>0</v>
      </c>
      <c r="AA321" s="1">
        <f t="shared" si="4"/>
        <v>0</v>
      </c>
    </row>
    <row r="322" spans="1:27" x14ac:dyDescent="0.35">
      <c r="A322" s="320" t="s">
        <v>194</v>
      </c>
      <c r="U322" s="321"/>
      <c r="V322" s="30"/>
    </row>
    <row r="323" spans="1:27" x14ac:dyDescent="0.35">
      <c r="U323" s="321"/>
      <c r="V323" s="30"/>
    </row>
    <row r="325" spans="1:27" ht="32.75" customHeight="1" x14ac:dyDescent="0.35"/>
    <row r="332" spans="1:27" ht="14.75" customHeight="1" x14ac:dyDescent="0.35"/>
    <row r="333" spans="1:27" ht="15" customHeight="1" x14ac:dyDescent="0.35"/>
    <row r="334" spans="1:27" ht="15" customHeight="1" x14ac:dyDescent="0.35"/>
    <row r="342" spans="2:22" x14ac:dyDescent="0.35">
      <c r="B342" s="19"/>
      <c r="C342" s="19"/>
      <c r="D342" s="19"/>
      <c r="E342" s="19"/>
      <c r="F342" s="19"/>
      <c r="G342" s="19"/>
      <c r="H342" s="19"/>
      <c r="I342" s="19"/>
      <c r="J342" s="19"/>
      <c r="K342" s="19"/>
      <c r="L342" s="19"/>
      <c r="M342" s="19"/>
      <c r="N342" s="19"/>
      <c r="O342" s="19"/>
      <c r="P342" s="19"/>
      <c r="Q342" s="19"/>
      <c r="R342" s="19"/>
      <c r="S342" s="19"/>
      <c r="T342" s="19"/>
      <c r="U342" s="19"/>
      <c r="V342" s="19"/>
    </row>
  </sheetData>
  <sheetProtection algorithmName="SHA-512" hashValue="5xA7oL8S6RdFB3Dd6fFOS97PUzxCxjx8Bl8xoc7snSzqe1xymG2yy+LilKwnC740c+iiyrqIhJAByX1J8wI+OQ==" saltValue="5naCz/x6msWLIdcZMD23QQ==" spinCount="100000" sheet="1" formatRows="0"/>
  <mergeCells count="7">
    <mergeCell ref="B4:M4"/>
    <mergeCell ref="O1:P1"/>
    <mergeCell ref="Q1:R1"/>
    <mergeCell ref="B2:M2"/>
    <mergeCell ref="O2:P2"/>
    <mergeCell ref="Q2:R2"/>
    <mergeCell ref="B3:M3"/>
  </mergeCells>
  <conditionalFormatting sqref="B7:X300 B305:W321">
    <cfRule type="expression" dxfId="63" priority="52">
      <formula>IF($Z7=1,1,0)</formula>
    </cfRule>
  </conditionalFormatting>
  <conditionalFormatting sqref="I303">
    <cfRule type="containsText" dxfId="62" priority="1" operator="containsText" text="There are errors">
      <formula>NOT(ISERROR(SEARCH("There are errors",I303)))</formula>
    </cfRule>
    <cfRule type="containsText" dxfId="61" priority="2" operator="containsText" text="No errors in this table">
      <formula>NOT(ISERROR(SEARCH("No errors in this table",I303)))</formula>
    </cfRule>
  </conditionalFormatting>
  <conditionalFormatting sqref="J5">
    <cfRule type="containsText" dxfId="60" priority="5" operator="containsText" text="There are errors">
      <formula>NOT(ISERROR(SEARCH("There are errors",J5)))</formula>
    </cfRule>
    <cfRule type="containsText" dxfId="59" priority="6" operator="containsText" text="No errors in this table">
      <formula>NOT(ISERROR(SEARCH("No errors in this table",J5)))</formula>
    </cfRule>
  </conditionalFormatting>
  <dataValidations count="17">
    <dataValidation allowBlank="1" showInputMessage="1" showErrorMessage="1" promptTitle="Info" prompt="Please select the relevant unit from the dropdown for the data entered." sqref="J6" xr:uid="{DC8438AD-1E22-4027-A221-8DD4483674E9}"/>
    <dataValidation allowBlank="1" showInputMessage="1" showErrorMessage="1" promptTitle="Info" prompt="The tier reflects the relevance of the data, see guidance - table 7 for more details." sqref="G6" xr:uid="{5113924F-A073-4C92-B150-F51449F75A5A}"/>
    <dataValidation allowBlank="1" showInputMessage="1" showErrorMessage="1" promptTitle="Info" prompt="This is the uncertainty in the data and is calculated automatically. See guidance - section 4 for more details" sqref="H6" xr:uid="{51E3138E-C888-49E9-9956-16159645F0CC}"/>
    <dataValidation allowBlank="1" showInputMessage="1" showErrorMessage="1" promptTitle="Info" prompt="Please add further details about the fuel/emissions source from the dropdown. See guidance - section 7.2 for further information." sqref="F6" xr:uid="{433A4E9B-A252-43DA-9457-71AB08958525}"/>
    <dataValidation allowBlank="1" showInputMessage="1" showErrorMessage="1" promptTitle="Info" prompt="Please select the emissions or fuel source from the dropdown. Further details can be found in the guidance - section 7.2" sqref="E6" xr:uid="{3EA46FE3-4B9A-4EFC-8CDB-EAD8BA588BF2}"/>
    <dataValidation allowBlank="1" showInputMessage="1" showErrorMessage="1" promptTitle="Info" prompt="Please enter ownership struture, this determines where emissions are allocated with regards to scope. See guidance - table 6 for details" sqref="D6" xr:uid="{7B15F5D8-E538-4476-8F58-E7E34E53FCE4}"/>
    <dataValidation allowBlank="1" showInputMessage="1" showErrorMessage="1" promptTitle="Info" prompt="Please add the building name here." sqref="B6" xr:uid="{9727BA24-B4F4-4244-BCA2-9C8ED0D7DB87}"/>
    <dataValidation type="list" allowBlank="1" showInputMessage="1" showErrorMessage="1" sqref="I305:I321" xr:uid="{FDAC5E50-5270-4DF8-A265-BFE21564417E}">
      <formula1>INDIRECT(CONCATENATE(SUBSTITUTE($C305," ","")&amp;$I$304))</formula1>
    </dataValidation>
    <dataValidation type="list" allowBlank="1" showInputMessage="1" showErrorMessage="1" sqref="D305:D321" xr:uid="{04524238-12B3-4BF5-BBB5-CD852971C1E9}">
      <formula1>INDIRECT(SUBSTITUTE($C305," ",""))</formula1>
    </dataValidation>
    <dataValidation type="list" allowBlank="1" showInputMessage="1" showErrorMessage="1" sqref="F305:F321" xr:uid="{EB9334C3-8A18-4140-96A7-81FB8113B943}">
      <formula1>Methodologytier3</formula1>
    </dataValidation>
    <dataValidation type="list" allowBlank="1" showInputMessage="1" showErrorMessage="1" sqref="E7:E300" xr:uid="{2CBDFFC0-7866-47A2-A829-18D013F8CB06}">
      <formula1>INDIRECT(SUBSTITUTE(LEFT($D7,9)," ",""))</formula1>
    </dataValidation>
    <dataValidation type="list" allowBlank="1" showInputMessage="1" showErrorMessage="1" sqref="J7:J300" xr:uid="{DF2F714D-4CED-426B-9ABF-7CBF466D3281}">
      <formula1>INDIRECT(CONCATENATE(SUBSTITUTE($E7," ","")&amp;$J$6))</formula1>
    </dataValidation>
    <dataValidation type="list" allowBlank="1" showInputMessage="1" showErrorMessage="1" sqref="F7:F300" xr:uid="{E2D747F6-F923-4591-B50E-F9C95744D11A}">
      <formula1>INDIRECT(CONCATENATE(SUBSTITUTE($E7," ","")&amp;SUBSTITUTE($F$6," ","")))</formula1>
    </dataValidation>
    <dataValidation type="decimal" operator="greaterThan" allowBlank="1" showInputMessage="1" showErrorMessage="1" errorTitle="Numeric data" error="Please enter a number greater than zero" sqref="H305:H321 I7:I300" xr:uid="{ADA33304-873D-42D1-B0C4-054632E4043C}">
      <formula1>0</formula1>
    </dataValidation>
    <dataValidation type="list" allowBlank="1" showInputMessage="1" showErrorMessage="1" sqref="O305:O321 P7:P300" xr:uid="{46DED959-D47E-4AC9-8224-772B463B4E40}">
      <formula1>Ease</formula1>
    </dataValidation>
    <dataValidation type="list" allowBlank="1" showInputMessage="1" showErrorMessage="1" sqref="G7:G300" xr:uid="{98E1754A-E623-48E0-9688-9BCCF245165D}">
      <formula1>Methodologyall</formula1>
    </dataValidation>
    <dataValidation allowBlank="1" showInputMessage="1" showErrorMessage="1" promptTitle="Info" prompt="Please add the meter number here." sqref="C6" xr:uid="{D9AEB05D-97BC-4485-B668-E1BE939A9BED}"/>
  </dataValidations>
  <pageMargins left="0.7" right="0.7" top="0.75" bottom="0.75" header="0.3" footer="0.3"/>
  <pageSetup paperSize="9" orientation="portrait" r:id="rId1"/>
  <tableParts count="2">
    <tablePart r:id="rId2"/>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ED762C48-379C-459C-9EE5-99D645C841C6}">
          <x14:formula1>
            <xm:f>'Site Information'!$B$7:$B$1000</xm:f>
          </x14:formula1>
          <xm:sqref>B305:B321 B7:B300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EC620-0F1C-4BEB-BB20-AB85D1C5AC83}">
  <sheetPr>
    <tabColor rgb="FF27CCF9"/>
  </sheetPr>
  <dimension ref="A1:AG139"/>
  <sheetViews>
    <sheetView topLeftCell="G1" zoomScale="80" zoomScaleNormal="80" workbookViewId="0">
      <selection activeCell="Z1" sqref="Z1:AA1048576"/>
    </sheetView>
  </sheetViews>
  <sheetFormatPr defaultColWidth="8.54296875" defaultRowHeight="14.5" outlineLevelRow="1" x14ac:dyDescent="0.35"/>
  <cols>
    <col min="1" max="1" width="3.6328125" style="316" customWidth="1"/>
    <col min="2" max="2" width="27.6328125" style="1" customWidth="1"/>
    <col min="3" max="3" width="19.36328125" style="1" customWidth="1"/>
    <col min="4" max="4" width="20.36328125" style="1" customWidth="1"/>
    <col min="5" max="5" width="16.6328125" style="1" customWidth="1"/>
    <col min="6" max="6" width="13.36328125" style="1" customWidth="1"/>
    <col min="7" max="7" width="14.6328125" style="1" customWidth="1"/>
    <col min="8" max="8" width="11.453125" style="1" customWidth="1"/>
    <col min="9" max="9" width="22.6328125" style="1" customWidth="1"/>
    <col min="10" max="10" width="19" style="1" customWidth="1"/>
    <col min="11" max="11" width="19.453125" style="1" customWidth="1"/>
    <col min="12" max="12" width="18.6328125" style="1" customWidth="1"/>
    <col min="13" max="13" width="20.54296875" style="1" customWidth="1"/>
    <col min="14" max="14" width="22.453125" style="1" customWidth="1"/>
    <col min="15" max="15" width="12.36328125" style="1" customWidth="1"/>
    <col min="16" max="16" width="13.36328125" style="1" customWidth="1"/>
    <col min="17" max="17" width="12.36328125" style="1" customWidth="1"/>
    <col min="18" max="18" width="10.6328125" style="1" customWidth="1"/>
    <col min="19" max="19" width="11.54296875" style="1" customWidth="1"/>
    <col min="20" max="20" width="10.54296875" style="1" customWidth="1"/>
    <col min="21" max="23" width="12.6328125" style="1" bestFit="1" customWidth="1"/>
    <col min="24" max="24" width="8.54296875" style="1"/>
    <col min="25" max="25" width="9.36328125" style="1" customWidth="1"/>
    <col min="26" max="26" width="9.6328125" style="1" hidden="1" customWidth="1"/>
    <col min="27" max="27" width="8.54296875" style="1" hidden="1" customWidth="1"/>
    <col min="28" max="28" width="14.453125" style="1" bestFit="1" customWidth="1"/>
    <col min="29" max="16384" width="8.54296875" style="1"/>
  </cols>
  <sheetData>
    <row r="1" spans="1:33" ht="15" thickBot="1" x14ac:dyDescent="0.4">
      <c r="D1" s="11"/>
      <c r="N1" s="304" t="s">
        <v>155</v>
      </c>
      <c r="O1" s="554" t="s">
        <v>9</v>
      </c>
      <c r="P1" s="555"/>
      <c r="Q1" s="556" t="s">
        <v>13</v>
      </c>
      <c r="R1" s="557"/>
      <c r="S1" s="30"/>
    </row>
    <row r="2" spans="1:33" ht="19" thickBot="1" x14ac:dyDescent="0.4">
      <c r="B2" s="562" t="s">
        <v>208</v>
      </c>
      <c r="C2" s="563"/>
      <c r="D2" s="563"/>
      <c r="E2" s="563"/>
      <c r="F2" s="563"/>
      <c r="G2" s="563"/>
      <c r="H2" s="563"/>
      <c r="I2" s="563"/>
      <c r="J2" s="563"/>
      <c r="K2" s="563"/>
      <c r="L2" s="563"/>
      <c r="M2" s="564"/>
      <c r="N2" s="18"/>
      <c r="O2" s="558" t="s">
        <v>11</v>
      </c>
      <c r="P2" s="559"/>
      <c r="Q2" s="560" t="s">
        <v>15</v>
      </c>
      <c r="R2" s="561"/>
      <c r="S2" s="30"/>
    </row>
    <row r="3" spans="1:33" ht="47" customHeight="1" thickBot="1" x14ac:dyDescent="0.4">
      <c r="B3" s="565" t="s">
        <v>209</v>
      </c>
      <c r="C3" s="566"/>
      <c r="D3" s="566"/>
      <c r="E3" s="566"/>
      <c r="F3" s="566"/>
      <c r="G3" s="566"/>
      <c r="H3" s="566"/>
      <c r="I3" s="566"/>
      <c r="J3" s="566"/>
      <c r="K3" s="566"/>
      <c r="L3" s="566"/>
      <c r="M3" s="567"/>
      <c r="O3" s="19"/>
      <c r="P3" s="19"/>
      <c r="Q3" s="19"/>
      <c r="R3" s="19"/>
    </row>
    <row r="4" spans="1:33" ht="140.75" customHeight="1" x14ac:dyDescent="0.35">
      <c r="B4" s="565" t="s">
        <v>173</v>
      </c>
      <c r="C4" s="566"/>
      <c r="D4" s="566"/>
      <c r="E4" s="566"/>
      <c r="F4" s="566"/>
      <c r="G4" s="566"/>
      <c r="H4" s="566"/>
      <c r="I4" s="566"/>
      <c r="J4" s="566"/>
      <c r="K4" s="566"/>
      <c r="L4" s="566"/>
      <c r="M4" s="566"/>
      <c r="O4" s="11"/>
    </row>
    <row r="5" spans="1:33" ht="19" thickBot="1" x14ac:dyDescent="0.5">
      <c r="B5" s="20" t="s">
        <v>208</v>
      </c>
      <c r="C5" s="29"/>
      <c r="D5" s="7"/>
      <c r="E5" s="7"/>
      <c r="F5" s="7"/>
      <c r="G5" s="7"/>
      <c r="H5" s="7"/>
      <c r="J5" s="317" t="str">
        <f>IF($AA$6=0,"No data entered",IF($Z$6=0,"No errors in this table","There are errors in this table see highlighted row(s)"))</f>
        <v>No data entered</v>
      </c>
      <c r="K5" s="7"/>
      <c r="L5"/>
      <c r="M5" s="7"/>
      <c r="N5" s="7"/>
      <c r="O5" s="318" t="s">
        <v>174</v>
      </c>
      <c r="T5" s="26"/>
      <c r="V5" s="7"/>
      <c r="Z5" s="9" t="s">
        <v>175</v>
      </c>
      <c r="AA5" s="9" t="s">
        <v>161</v>
      </c>
    </row>
    <row r="6" spans="1:33" ht="35.25" customHeight="1" outlineLevel="1" thickBot="1" x14ac:dyDescent="0.4">
      <c r="A6" s="319"/>
      <c r="B6" s="263" t="s">
        <v>162</v>
      </c>
      <c r="C6" s="264" t="s">
        <v>210</v>
      </c>
      <c r="D6" s="264" t="s">
        <v>177</v>
      </c>
      <c r="E6" s="263" t="s">
        <v>178</v>
      </c>
      <c r="F6" s="263" t="s">
        <v>179</v>
      </c>
      <c r="G6" s="263" t="s">
        <v>180</v>
      </c>
      <c r="H6" s="263" t="s">
        <v>181</v>
      </c>
      <c r="I6" s="263" t="s">
        <v>182</v>
      </c>
      <c r="J6" s="263" t="s">
        <v>183</v>
      </c>
      <c r="K6" s="263" t="s">
        <v>184</v>
      </c>
      <c r="L6" s="263" t="s">
        <v>185</v>
      </c>
      <c r="M6" s="263" t="s">
        <v>186</v>
      </c>
      <c r="N6" s="263" t="s">
        <v>187</v>
      </c>
      <c r="O6" s="263" t="s">
        <v>188</v>
      </c>
      <c r="P6" s="263" t="s">
        <v>189</v>
      </c>
      <c r="Q6" s="8" t="s">
        <v>92</v>
      </c>
      <c r="R6" s="8" t="s">
        <v>190</v>
      </c>
      <c r="S6" s="8" t="s">
        <v>191</v>
      </c>
      <c r="T6" s="8" t="s">
        <v>192</v>
      </c>
      <c r="U6" s="8" t="s">
        <v>193</v>
      </c>
      <c r="V6" s="8" t="s">
        <v>100</v>
      </c>
      <c r="W6" s="261" t="s">
        <v>101</v>
      </c>
      <c r="X6" s="266" t="s">
        <v>96</v>
      </c>
      <c r="Y6" s="30"/>
      <c r="Z6" s="9">
        <f>SUM(Z7:Z118)</f>
        <v>0</v>
      </c>
      <c r="AA6" s="9">
        <f>SUM(AA7:AA118)</f>
        <v>0</v>
      </c>
      <c r="AC6"/>
      <c r="AD6"/>
      <c r="AE6"/>
      <c r="AF6"/>
      <c r="AG6"/>
    </row>
    <row r="7" spans="1:33" ht="15" outlineLevel="1" thickBot="1" x14ac:dyDescent="0.4">
      <c r="B7" s="215"/>
      <c r="C7" s="215"/>
      <c r="D7" s="233" t="str">
        <f>IFERROR(INDEX(BuildingInformationTable[Site type],MATCH(BuildingsWaterTable[[#This Row],[Site name]],BuildingInformationTable[Site name],0)),"")</f>
        <v/>
      </c>
      <c r="E7" s="312" t="str">
        <f t="shared" ref="E7:E38" si="0">IF(B7="", "", "Water")</f>
        <v/>
      </c>
      <c r="F7" s="72"/>
      <c r="G7" s="72"/>
      <c r="H7" s="98" t="str">
        <f>IF(G7="","",INDEX(Lists!$BA$4:$BC$31,MATCH(E7,Lists!$AZ$4:$AZ$31,0),MATCH(G7,Lists!$BA$3:$BC$3,0)))</f>
        <v/>
      </c>
      <c r="I7" s="70"/>
      <c r="J7" s="72"/>
      <c r="K7" s="75" t="str" cm="1">
        <f t="array" ref="K7">IF(OR($E7="",$D7="",$I7="",$J7=""),"",IF(J7=L7,I7,(INDEX('Emission factors'!$K$3:$V$201,MATCH(E7&amp;F7,'Emission factors'!$J$3:$J$201&amp;'Emission factors'!$K$3:$K$201,0),MATCH(K$6,'Emission factors'!$K$2:$V$2,0)))*I7))</f>
        <v/>
      </c>
      <c r="L7" s="312" t="str">
        <f>IF(OR($E7="",$D7="",$I7="",$J7=""),"",INDEX('Emission factors'!$K$3:$V$201,MATCH('Buildings - Water'!$E7,'Emission factors'!$J$3:$J$201,0),MATCH($L$6,'Emission factors'!$K$2:$V$2,0)))</f>
        <v/>
      </c>
      <c r="M7" s="313" t="str" cm="1">
        <f t="array" ref="M7">IF(OR(E7="",I7="",BuildingsWaterTable[[#This Row],[Units]]=""),"",INDEX('Emission factors'!$K$3:$V$201,MATCH('Buildings - Water'!$E7&amp;F7,'Emission factors'!$J$3:$J$201&amp;'Emission factors'!$K$3:$K$201,0),MATCH('Buildings - Water'!$M$6,'Emission factors'!$K$2:$V$2,0)))</f>
        <v/>
      </c>
      <c r="N7" s="156" t="str">
        <f>IF(OR(K7="",M7=""),"",SUM(BuildingsWaterTable[[#This Row],[Direct]:[Indirect WTT]]))</f>
        <v/>
      </c>
      <c r="O7" s="71"/>
      <c r="P7" s="72"/>
      <c r="Q7" s="157" t="str" cm="1">
        <f t="array" ref="Q7">IF(OR($E7="",$I7=""),"",(INDEX('Emission factors'!$K$3:$V$201,MATCH('Buildings - Water'!$E7&amp;$F7,'Emission factors'!$J$3:$J$201&amp;'Emission factors'!$K$3:$K$201,0),MATCH('Buildings - Water'!Q$6,'Emission factors'!$K$2:$V$2,0)))*$K7)</f>
        <v/>
      </c>
      <c r="R7" s="157" t="str" cm="1">
        <f t="array" ref="R7">IF(OR($E7="",$I7=""),"",(INDEX('Emission factors'!$K$3:$V$201,MATCH('Buildings - Water'!$E7&amp;$F7,'Emission factors'!$J$3:$J$201&amp;'Emission factors'!$K$3:$K$201,0),MATCH('Buildings - Water'!R$6,'Emission factors'!$K$2:$V$2,0)))*$K7)</f>
        <v/>
      </c>
      <c r="S7" s="157" t="str" cm="1">
        <f t="array" ref="S7">IF(OR($E7="",$I7=""),"",(INDEX('Emission factors'!$K$3:$V$201,MATCH('Buildings - Water'!$E7&amp;$F7,'Emission factors'!$J$3:$J$201&amp;'Emission factors'!$K$3:$K$201,0),MATCH('Buildings - Water'!S$6,'Emission factors'!$K$2:$V$2,0)))*$K7)</f>
        <v/>
      </c>
      <c r="T7" s="157" t="str" cm="1">
        <f t="array" ref="T7">IF(OR($E7="",$I7=""),"",(INDEX('Emission factors'!$K$3:$V$201,MATCH('Buildings - Water'!$E7&amp;$F7,'Emission factors'!$J$3:$J$201&amp;'Emission factors'!$K$3:$K$201,0),MATCH('Buildings - Water'!T$6,'Emission factors'!$K$2:$V$2,0)))*$K7)</f>
        <v/>
      </c>
      <c r="U7" s="157" t="str" cm="1">
        <f t="array" ref="U7">IF(OR($E7="",$I7=""),"",(INDEX('Emission factors'!$K$3:$V$201,MATCH('Buildings - Water'!$E7&amp;$F7,'Emission factors'!$J$3:$J$201&amp;'Emission factors'!$K$3:$K$201,0),MATCH('Buildings - Water'!U$6,'Emission factors'!$K$2:$V$2,0)))*$K7)</f>
        <v/>
      </c>
      <c r="V7" s="158" t="str">
        <f>IF(OR($N7="",BuildingsWaterTable[[#This Row],[RSD]]=""),"",BuildingsWaterTable[[#This Row],[Total emissions (kgCO2e)]]*(1+BuildingsWaterTable[[#This Row],[RSD]]))</f>
        <v/>
      </c>
      <c r="W7" s="159" t="str">
        <f>IF(OR($N7="",BuildingsWaterTable[[#This Row],[RSD]]=""),"",BuildingsWaterTable[[#This Row],[Total emissions (kgCO2e)]]*(1-BuildingsWaterTable[[#This Row],[RSD]]))</f>
        <v/>
      </c>
      <c r="X7" s="169" t="str" cm="1">
        <f t="array" ref="X7">IF(OR($E7="",$I7=""),"",(INDEX('Emission factors'!$K$3:$V$201,MATCH('Buildings - Water'!$E7&amp;$F7,'Emission factors'!$J$3:$J$201&amp;'Emission factors'!$K$3:$K$201,0),MATCH('Buildings - Water'!X$6,'Emission factors'!$K$2:$V$2,0)))*$K7)</f>
        <v/>
      </c>
      <c r="Y7" s="30"/>
      <c r="Z7" s="1" cm="1">
        <f t="array" ref="Z7">IF(OR(ISERROR(B7:X7)),1,0)</f>
        <v>0</v>
      </c>
      <c r="AA7" s="1">
        <f>IF(AND(E7="",I7="",J7=""),0,1)</f>
        <v>0</v>
      </c>
    </row>
    <row r="8" spans="1:33" ht="15" outlineLevel="1" thickBot="1" x14ac:dyDescent="0.4">
      <c r="A8" s="319"/>
      <c r="B8" s="215"/>
      <c r="C8" s="215"/>
      <c r="D8" s="233" t="str">
        <f>IFERROR(INDEX(BuildingInformationTable[Site type],MATCH(BuildingsWaterTable[[#This Row],[Site name]],BuildingInformationTable[Site name],0)),"")</f>
        <v/>
      </c>
      <c r="E8" s="312" t="str">
        <f t="shared" si="0"/>
        <v/>
      </c>
      <c r="F8" s="72"/>
      <c r="G8" s="72"/>
      <c r="H8" s="98" t="str">
        <f>IF(G8="","",INDEX(Lists!$BA$4:$BC$31,MATCH(E8,Lists!$AZ$4:$AZ$31,0),MATCH(G8,Lists!$BA$3:$BC$3,0)))</f>
        <v/>
      </c>
      <c r="I8" s="70"/>
      <c r="J8" s="72"/>
      <c r="K8" s="75" t="str" cm="1">
        <f t="array" ref="K8">IF(OR($E8="",$D8="",$I8="",$J8=""),"",IF(J8=L8,I8,(INDEX('Emission factors'!$K$3:$V$201,MATCH(E8&amp;F8,'Emission factors'!$J$3:$J$201&amp;'Emission factors'!$K$3:$K$201,0),MATCH(K$6,'Emission factors'!$K$2:$V$2,0)))*I8))</f>
        <v/>
      </c>
      <c r="L8" s="312" t="str">
        <f>IF(OR($E8="",$D8="",$I8="",$J8=""),"",INDEX('Emission factors'!$K$3:$V$201,MATCH('Buildings - Water'!$E8,'Emission factors'!$J$3:$J$201,0),MATCH($L$6,'Emission factors'!$K$2:$V$2,0)))</f>
        <v/>
      </c>
      <c r="M8" s="313" t="str" cm="1">
        <f t="array" ref="M8">IF(OR(E8="",I8="",BuildingsWaterTable[[#This Row],[Units]]=""),"",INDEX('Emission factors'!$K$3:$V$201,MATCH('Buildings - Water'!$E8&amp;F8,'Emission factors'!$J$3:$J$201&amp;'Emission factors'!$K$3:$K$201,0),MATCH('Buildings - Water'!$M$6,'Emission factors'!$K$2:$V$2,0)))</f>
        <v/>
      </c>
      <c r="N8" s="156" t="str">
        <f>IF(OR(K8="",M8=""),"",SUM(BuildingsWaterTable[[#This Row],[Direct]:[Indirect WTT]]))</f>
        <v/>
      </c>
      <c r="O8" s="71"/>
      <c r="P8" s="72"/>
      <c r="Q8" s="157" t="str" cm="1">
        <f t="array" ref="Q8">IF(OR($E8="",$I8=""),"",(INDEX('Emission factors'!$K$3:$V$201,MATCH('Buildings - Water'!$E8&amp;$F8,'Emission factors'!$J$3:$J$201&amp;'Emission factors'!$K$3:$K$201,0),MATCH('Buildings - Water'!Q$6,'Emission factors'!$K$2:$V$2,0)))*$K8)</f>
        <v/>
      </c>
      <c r="R8" s="157" t="str" cm="1">
        <f t="array" ref="R8">IF(OR($E8="",$I8=""),"",(INDEX('Emission factors'!$K$3:$V$201,MATCH('Buildings - Water'!$E8&amp;$F8,'Emission factors'!$J$3:$J$201&amp;'Emission factors'!$K$3:$K$201,0),MATCH('Buildings - Water'!R$6,'Emission factors'!$K$2:$V$2,0)))*$K8)</f>
        <v/>
      </c>
      <c r="S8" s="157" t="str" cm="1">
        <f t="array" ref="S8">IF(OR($E8="",$I8=""),"",(INDEX('Emission factors'!$K$3:$V$201,MATCH('Buildings - Water'!$E8&amp;$F8,'Emission factors'!$J$3:$J$201&amp;'Emission factors'!$K$3:$K$201,0),MATCH('Buildings - Water'!S$6,'Emission factors'!$K$2:$V$2,0)))*$K8)</f>
        <v/>
      </c>
      <c r="T8" s="157" t="str" cm="1">
        <f t="array" ref="T8">IF(OR($E8="",$I8=""),"",(INDEX('Emission factors'!$K$3:$V$201,MATCH('Buildings - Water'!$E8&amp;$F8,'Emission factors'!$J$3:$J$201&amp;'Emission factors'!$K$3:$K$201,0),MATCH('Buildings - Water'!T$6,'Emission factors'!$K$2:$V$2,0)))*$K8)</f>
        <v/>
      </c>
      <c r="U8" s="157" t="str" cm="1">
        <f t="array" ref="U8">IF(OR($E8="",$I8=""),"",(INDEX('Emission factors'!$K$3:$V$201,MATCH('Buildings - Water'!$E8&amp;$F8,'Emission factors'!$J$3:$J$201&amp;'Emission factors'!$K$3:$K$201,0),MATCH('Buildings - Water'!U$6,'Emission factors'!$K$2:$V$2,0)))*$K8)</f>
        <v/>
      </c>
      <c r="V8" s="158" t="str">
        <f>IF(OR($N8="",BuildingsWaterTable[[#This Row],[RSD]]=""),"",BuildingsWaterTable[[#This Row],[Total emissions (kgCO2e)]]*(1+BuildingsWaterTable[[#This Row],[RSD]]))</f>
        <v/>
      </c>
      <c r="W8" s="159" t="str">
        <f>IF(OR($N8="",BuildingsWaterTable[[#This Row],[RSD]]=""),"",BuildingsWaterTable[[#This Row],[Total emissions (kgCO2e)]]*(1-BuildingsWaterTable[[#This Row],[RSD]]))</f>
        <v/>
      </c>
      <c r="X8" s="169" t="str" cm="1">
        <f t="array" ref="X8">IF(OR($E8="",$I8=""),"",(INDEX('Emission factors'!$K$3:$V$201,MATCH('Buildings - Water'!$E8&amp;$F8,'Emission factors'!$J$3:$J$201&amp;'Emission factors'!$K$3:$K$201,0),MATCH('Buildings - Water'!X$6,'Emission factors'!$K$2:$V$2,0)))*$K8)</f>
        <v/>
      </c>
      <c r="Y8" s="30"/>
      <c r="Z8" s="1" cm="1">
        <f t="array" ref="Z8">IF(OR(ISERROR(B8:X8)),1,0)</f>
        <v>0</v>
      </c>
      <c r="AA8" s="1">
        <f t="shared" ref="AA8:AA71" si="1">IF(AND(E8="",I8="",J8=""),0,1)</f>
        <v>0</v>
      </c>
    </row>
    <row r="9" spans="1:33" ht="15" outlineLevel="1" thickBot="1" x14ac:dyDescent="0.4">
      <c r="A9" s="319"/>
      <c r="B9" s="215"/>
      <c r="C9" s="215"/>
      <c r="D9" s="233" t="str">
        <f>IFERROR(INDEX(BuildingInformationTable[Site type],MATCH(BuildingsWaterTable[[#This Row],[Site name]],BuildingInformationTable[Site name],0)),"")</f>
        <v/>
      </c>
      <c r="E9" s="312" t="str">
        <f t="shared" si="0"/>
        <v/>
      </c>
      <c r="F9" s="72"/>
      <c r="G9" s="72"/>
      <c r="H9" s="98" t="str">
        <f>IF(G9="","",INDEX(Lists!$BA$4:$BC$31,MATCH(E9,Lists!$AZ$4:$AZ$31,0),MATCH(G9,Lists!$BA$3:$BC$3,0)))</f>
        <v/>
      </c>
      <c r="I9" s="70"/>
      <c r="J9" s="72"/>
      <c r="K9" s="75" t="str" cm="1">
        <f t="array" ref="K9">IF(OR($E9="",$D9="",$I9="",$J9=""),"",IF(J9=L9,I9,(INDEX('Emission factors'!$K$3:$V$201,MATCH(E9&amp;F9,'Emission factors'!$J$3:$J$201&amp;'Emission factors'!$K$3:$K$201,0),MATCH(K$6,'Emission factors'!$K$2:$V$2,0)))*I9))</f>
        <v/>
      </c>
      <c r="L9" s="312" t="str">
        <f>IF(OR($E9="",$D9="",$I9="",$J9=""),"",INDEX('Emission factors'!$K$3:$V$201,MATCH('Buildings - Water'!$E9,'Emission factors'!$J$3:$J$201,0),MATCH($L$6,'Emission factors'!$K$2:$V$2,0)))</f>
        <v/>
      </c>
      <c r="M9" s="313" t="str" cm="1">
        <f t="array" ref="M9">IF(OR(E9="",I9="",BuildingsWaterTable[[#This Row],[Units]]=""),"",INDEX('Emission factors'!$K$3:$V$201,MATCH('Buildings - Water'!$E9&amp;F9,'Emission factors'!$J$3:$J$201&amp;'Emission factors'!$K$3:$K$201,0),MATCH('Buildings - Water'!$M$6,'Emission factors'!$K$2:$V$2,0)))</f>
        <v/>
      </c>
      <c r="N9" s="156" t="str">
        <f>IF(OR(K9="",M9=""),"",SUM(BuildingsWaterTable[[#This Row],[Direct]:[Indirect WTT]]))</f>
        <v/>
      </c>
      <c r="O9" s="71"/>
      <c r="P9" s="72"/>
      <c r="Q9" s="157" t="str" cm="1">
        <f t="array" ref="Q9">IF(OR($E9="",$I9=""),"",(INDEX('Emission factors'!$K$3:$V$201,MATCH('Buildings - Water'!$E9&amp;$F9,'Emission factors'!$J$3:$J$201&amp;'Emission factors'!$K$3:$K$201,0),MATCH('Buildings - Water'!Q$6,'Emission factors'!$K$2:$V$2,0)))*$K9)</f>
        <v/>
      </c>
      <c r="R9" s="157" t="str" cm="1">
        <f t="array" ref="R9">IF(OR($E9="",$I9=""),"",(INDEX('Emission factors'!$K$3:$V$201,MATCH('Buildings - Water'!$E9&amp;$F9,'Emission factors'!$J$3:$J$201&amp;'Emission factors'!$K$3:$K$201,0),MATCH('Buildings - Water'!R$6,'Emission factors'!$K$2:$V$2,0)))*$K9)</f>
        <v/>
      </c>
      <c r="S9" s="157" t="str" cm="1">
        <f t="array" ref="S9">IF(OR($E9="",$I9=""),"",(INDEX('Emission factors'!$K$3:$V$201,MATCH('Buildings - Water'!$E9&amp;$F9,'Emission factors'!$J$3:$J$201&amp;'Emission factors'!$K$3:$K$201,0),MATCH('Buildings - Water'!S$6,'Emission factors'!$K$2:$V$2,0)))*$K9)</f>
        <v/>
      </c>
      <c r="T9" s="157" t="str" cm="1">
        <f t="array" ref="T9">IF(OR($E9="",$I9=""),"",(INDEX('Emission factors'!$K$3:$V$201,MATCH('Buildings - Water'!$E9&amp;$F9,'Emission factors'!$J$3:$J$201&amp;'Emission factors'!$K$3:$K$201,0),MATCH('Buildings - Water'!T$6,'Emission factors'!$K$2:$V$2,0)))*$K9)</f>
        <v/>
      </c>
      <c r="U9" s="157" t="str" cm="1">
        <f t="array" ref="U9">IF(OR($E9="",$I9=""),"",(INDEX('Emission factors'!$K$3:$V$201,MATCH('Buildings - Water'!$E9&amp;$F9,'Emission factors'!$J$3:$J$201&amp;'Emission factors'!$K$3:$K$201,0),MATCH('Buildings - Water'!U$6,'Emission factors'!$K$2:$V$2,0)))*$K9)</f>
        <v/>
      </c>
      <c r="V9" s="158" t="str">
        <f>IF(OR($N9="",BuildingsWaterTable[[#This Row],[RSD]]=""),"",BuildingsWaterTable[[#This Row],[Total emissions (kgCO2e)]]*(1+BuildingsWaterTable[[#This Row],[RSD]]))</f>
        <v/>
      </c>
      <c r="W9" s="159" t="str">
        <f>IF(OR($N9="",BuildingsWaterTable[[#This Row],[RSD]]=""),"",BuildingsWaterTable[[#This Row],[Total emissions (kgCO2e)]]*(1-BuildingsWaterTable[[#This Row],[RSD]]))</f>
        <v/>
      </c>
      <c r="X9" s="169" t="str" cm="1">
        <f t="array" ref="X9">IF(OR($E9="",$I9=""),"",(INDEX('Emission factors'!$K$3:$V$201,MATCH('Buildings - Water'!$E9&amp;$F9,'Emission factors'!$J$3:$J$201&amp;'Emission factors'!$K$3:$K$201,0),MATCH('Buildings - Water'!X$6,'Emission factors'!$K$2:$V$2,0)))*$K9)</f>
        <v/>
      </c>
      <c r="Y9" s="30"/>
      <c r="Z9" s="1" cm="1">
        <f t="array" ref="Z9">IF(OR(ISERROR(B9:X9)),1,0)</f>
        <v>0</v>
      </c>
      <c r="AA9" s="1">
        <f t="shared" si="1"/>
        <v>0</v>
      </c>
    </row>
    <row r="10" spans="1:33" ht="15" outlineLevel="1" thickBot="1" x14ac:dyDescent="0.4">
      <c r="A10" s="319"/>
      <c r="B10" s="215"/>
      <c r="C10" s="215"/>
      <c r="D10" s="233" t="str">
        <f>IFERROR(INDEX(BuildingInformationTable[Site type],MATCH(BuildingsWaterTable[[#This Row],[Site name]],BuildingInformationTable[Site name],0)),"")</f>
        <v/>
      </c>
      <c r="E10" s="312" t="str">
        <f t="shared" si="0"/>
        <v/>
      </c>
      <c r="F10" s="72"/>
      <c r="G10" s="72"/>
      <c r="H10" s="98" t="str">
        <f>IF(G10="","",INDEX(Lists!$BA$4:$BC$31,MATCH(E10,Lists!$AZ$4:$AZ$31,0),MATCH(G10,Lists!$BA$3:$BC$3,0)))</f>
        <v/>
      </c>
      <c r="I10" s="70"/>
      <c r="J10" s="72"/>
      <c r="K10" s="75" t="str" cm="1">
        <f t="array" ref="K10">IF(OR($E10="",$D10="",$I10="",$J10=""),"",IF(J10=L10,I10,(INDEX('Emission factors'!$K$3:$V$201,MATCH(E10&amp;F10,'Emission factors'!$J$3:$J$201&amp;'Emission factors'!$K$3:$K$201,0),MATCH(K$6,'Emission factors'!$K$2:$V$2,0)))*I10))</f>
        <v/>
      </c>
      <c r="L10" s="312" t="str">
        <f>IF(OR($E10="",$D10="",$I10="",$J10=""),"",INDEX('Emission factors'!$K$3:$V$201,MATCH('Buildings - Water'!$E10,'Emission factors'!$J$3:$J$201,0),MATCH($L$6,'Emission factors'!$K$2:$V$2,0)))</f>
        <v/>
      </c>
      <c r="M10" s="313" t="str" cm="1">
        <f t="array" ref="M10">IF(OR(E10="",I10="",BuildingsWaterTable[[#This Row],[Units]]=""),"",INDEX('Emission factors'!$K$3:$V$201,MATCH('Buildings - Water'!$E10&amp;F10,'Emission factors'!$J$3:$J$201&amp;'Emission factors'!$K$3:$K$201,0),MATCH('Buildings - Water'!$M$6,'Emission factors'!$K$2:$V$2,0)))</f>
        <v/>
      </c>
      <c r="N10" s="156" t="str">
        <f>IF(OR(K10="",M10=""),"",SUM(BuildingsWaterTable[[#This Row],[Direct]:[Indirect WTT]]))</f>
        <v/>
      </c>
      <c r="O10" s="71"/>
      <c r="P10" s="72"/>
      <c r="Q10" s="157" t="str" cm="1">
        <f t="array" ref="Q10">IF(OR($E10="",$I10=""),"",(INDEX('Emission factors'!$K$3:$V$201,MATCH('Buildings - Water'!$E10&amp;$F10,'Emission factors'!$J$3:$J$201&amp;'Emission factors'!$K$3:$K$201,0),MATCH('Buildings - Water'!Q$6,'Emission factors'!$K$2:$V$2,0)))*$K10)</f>
        <v/>
      </c>
      <c r="R10" s="157" t="str" cm="1">
        <f t="array" ref="R10">IF(OR($E10="",$I10=""),"",(INDEX('Emission factors'!$K$3:$V$201,MATCH('Buildings - Water'!$E10&amp;$F10,'Emission factors'!$J$3:$J$201&amp;'Emission factors'!$K$3:$K$201,0),MATCH('Buildings - Water'!R$6,'Emission factors'!$K$2:$V$2,0)))*$K10)</f>
        <v/>
      </c>
      <c r="S10" s="157" t="str" cm="1">
        <f t="array" ref="S10">IF(OR($E10="",$I10=""),"",(INDEX('Emission factors'!$K$3:$V$201,MATCH('Buildings - Water'!$E10&amp;$F10,'Emission factors'!$J$3:$J$201&amp;'Emission factors'!$K$3:$K$201,0),MATCH('Buildings - Water'!S$6,'Emission factors'!$K$2:$V$2,0)))*$K10)</f>
        <v/>
      </c>
      <c r="T10" s="157" t="str" cm="1">
        <f t="array" ref="T10">IF(OR($E10="",$I10=""),"",(INDEX('Emission factors'!$K$3:$V$201,MATCH('Buildings - Water'!$E10&amp;$F10,'Emission factors'!$J$3:$J$201&amp;'Emission factors'!$K$3:$K$201,0),MATCH('Buildings - Water'!T$6,'Emission factors'!$K$2:$V$2,0)))*$K10)</f>
        <v/>
      </c>
      <c r="U10" s="157" t="str" cm="1">
        <f t="array" ref="U10">IF(OR($E10="",$I10=""),"",(INDEX('Emission factors'!$K$3:$V$201,MATCH('Buildings - Water'!$E10&amp;$F10,'Emission factors'!$J$3:$J$201&amp;'Emission factors'!$K$3:$K$201,0),MATCH('Buildings - Water'!U$6,'Emission factors'!$K$2:$V$2,0)))*$K10)</f>
        <v/>
      </c>
      <c r="V10" s="158" t="str">
        <f>IF(OR($N10="",BuildingsWaterTable[[#This Row],[RSD]]=""),"",BuildingsWaterTable[[#This Row],[Total emissions (kgCO2e)]]*(1+BuildingsWaterTable[[#This Row],[RSD]]))</f>
        <v/>
      </c>
      <c r="W10" s="159" t="str">
        <f>IF(OR($N10="",BuildingsWaterTable[[#This Row],[RSD]]=""),"",BuildingsWaterTable[[#This Row],[Total emissions (kgCO2e)]]*(1-BuildingsWaterTable[[#This Row],[RSD]]))</f>
        <v/>
      </c>
      <c r="X10" s="169" t="str" cm="1">
        <f t="array" ref="X10">IF(OR($E10="",$I10=""),"",(INDEX('Emission factors'!$K$3:$V$201,MATCH('Buildings - Water'!$E10&amp;$F10,'Emission factors'!$J$3:$J$201&amp;'Emission factors'!$K$3:$K$201,0),MATCH('Buildings - Water'!X$6,'Emission factors'!$K$2:$V$2,0)))*$K10)</f>
        <v/>
      </c>
      <c r="Y10" s="30"/>
      <c r="Z10" s="1" cm="1">
        <f t="array" ref="Z10">IF(OR(ISERROR(B10:X10)),1,0)</f>
        <v>0</v>
      </c>
      <c r="AA10" s="1">
        <f t="shared" si="1"/>
        <v>0</v>
      </c>
    </row>
    <row r="11" spans="1:33" ht="15" outlineLevel="1" thickBot="1" x14ac:dyDescent="0.4">
      <c r="A11" s="319"/>
      <c r="B11" s="215"/>
      <c r="C11" s="215"/>
      <c r="D11" s="233" t="str">
        <f>IFERROR(INDEX(BuildingInformationTable[Site type],MATCH(BuildingsWaterTable[[#This Row],[Site name]],BuildingInformationTable[Site name],0)),"")</f>
        <v/>
      </c>
      <c r="E11" s="312" t="str">
        <f t="shared" si="0"/>
        <v/>
      </c>
      <c r="F11" s="72"/>
      <c r="G11" s="72"/>
      <c r="H11" s="98" t="str">
        <f>IF(G11="","",INDEX(Lists!$BA$4:$BC$31,MATCH(E11,Lists!$AZ$4:$AZ$31,0),MATCH(G11,Lists!$BA$3:$BC$3,0)))</f>
        <v/>
      </c>
      <c r="I11" s="70"/>
      <c r="J11" s="72"/>
      <c r="K11" s="75" t="str" cm="1">
        <f t="array" ref="K11">IF(OR($E11="",$D11="",$I11="",$J11=""),"",IF(J11=L11,I11,(INDEX('Emission factors'!$K$3:$V$201,MATCH(E11&amp;F11,'Emission factors'!$J$3:$J$201&amp;'Emission factors'!$K$3:$K$201,0),MATCH(K$6,'Emission factors'!$K$2:$V$2,0)))*I11))</f>
        <v/>
      </c>
      <c r="L11" s="312" t="str">
        <f>IF(OR($E11="",$D11="",$I11="",$J11=""),"",INDEX('Emission factors'!$K$3:$V$201,MATCH('Buildings - Water'!$E11,'Emission factors'!$J$3:$J$201,0),MATCH($L$6,'Emission factors'!$K$2:$V$2,0)))</f>
        <v/>
      </c>
      <c r="M11" s="313" t="str" cm="1">
        <f t="array" ref="M11">IF(OR(E11="",I11="",BuildingsWaterTable[[#This Row],[Units]]=""),"",INDEX('Emission factors'!$K$3:$V$201,MATCH('Buildings - Water'!$E11&amp;F11,'Emission factors'!$J$3:$J$201&amp;'Emission factors'!$K$3:$K$201,0),MATCH('Buildings - Water'!$M$6,'Emission factors'!$K$2:$V$2,0)))</f>
        <v/>
      </c>
      <c r="N11" s="156" t="str">
        <f>IF(OR(K11="",M11=""),"",SUM(BuildingsWaterTable[[#This Row],[Direct]:[Indirect WTT]]))</f>
        <v/>
      </c>
      <c r="O11" s="71"/>
      <c r="P11" s="72"/>
      <c r="Q11" s="157" t="str" cm="1">
        <f t="array" ref="Q11">IF(OR($E11="",$I11=""),"",(INDEX('Emission factors'!$K$3:$V$201,MATCH('Buildings - Water'!$E11&amp;$F11,'Emission factors'!$J$3:$J$201&amp;'Emission factors'!$K$3:$K$201,0),MATCH('Buildings - Water'!Q$6,'Emission factors'!$K$2:$V$2,0)))*$K11)</f>
        <v/>
      </c>
      <c r="R11" s="157" t="str" cm="1">
        <f t="array" ref="R11">IF(OR($E11="",$I11=""),"",(INDEX('Emission factors'!$K$3:$V$201,MATCH('Buildings - Water'!$E11&amp;$F11,'Emission factors'!$J$3:$J$201&amp;'Emission factors'!$K$3:$K$201,0),MATCH('Buildings - Water'!R$6,'Emission factors'!$K$2:$V$2,0)))*$K11)</f>
        <v/>
      </c>
      <c r="S11" s="157" t="str" cm="1">
        <f t="array" ref="S11">IF(OR($E11="",$I11=""),"",(INDEX('Emission factors'!$K$3:$V$201,MATCH('Buildings - Water'!$E11&amp;$F11,'Emission factors'!$J$3:$J$201&amp;'Emission factors'!$K$3:$K$201,0),MATCH('Buildings - Water'!S$6,'Emission factors'!$K$2:$V$2,0)))*$K11)</f>
        <v/>
      </c>
      <c r="T11" s="157" t="str" cm="1">
        <f t="array" ref="T11">IF(OR($E11="",$I11=""),"",(INDEX('Emission factors'!$K$3:$V$201,MATCH('Buildings - Water'!$E11&amp;$F11,'Emission factors'!$J$3:$J$201&amp;'Emission factors'!$K$3:$K$201,0),MATCH('Buildings - Water'!T$6,'Emission factors'!$K$2:$V$2,0)))*$K11)</f>
        <v/>
      </c>
      <c r="U11" s="157" t="str" cm="1">
        <f t="array" ref="U11">IF(OR($E11="",$I11=""),"",(INDEX('Emission factors'!$K$3:$V$201,MATCH('Buildings - Water'!$E11&amp;$F11,'Emission factors'!$J$3:$J$201&amp;'Emission factors'!$K$3:$K$201,0),MATCH('Buildings - Water'!U$6,'Emission factors'!$K$2:$V$2,0)))*$K11)</f>
        <v/>
      </c>
      <c r="V11" s="158" t="str">
        <f>IF(OR($N11="",BuildingsWaterTable[[#This Row],[RSD]]=""),"",BuildingsWaterTable[[#This Row],[Total emissions (kgCO2e)]]*(1+BuildingsWaterTable[[#This Row],[RSD]]))</f>
        <v/>
      </c>
      <c r="W11" s="159" t="str">
        <f>IF(OR($N11="",BuildingsWaterTable[[#This Row],[RSD]]=""),"",BuildingsWaterTable[[#This Row],[Total emissions (kgCO2e)]]*(1-BuildingsWaterTable[[#This Row],[RSD]]))</f>
        <v/>
      </c>
      <c r="X11" s="169" t="str" cm="1">
        <f t="array" ref="X11">IF(OR($E11="",$I11=""),"",(INDEX('Emission factors'!$K$3:$V$201,MATCH('Buildings - Water'!$E11&amp;$F11,'Emission factors'!$J$3:$J$201&amp;'Emission factors'!$K$3:$K$201,0),MATCH('Buildings - Water'!X$6,'Emission factors'!$K$2:$V$2,0)))*$K11)</f>
        <v/>
      </c>
      <c r="Y11" s="30"/>
      <c r="Z11" s="1" cm="1">
        <f t="array" ref="Z11">IF(OR(ISERROR(B11:X11)),1,0)</f>
        <v>0</v>
      </c>
      <c r="AA11" s="1">
        <f t="shared" si="1"/>
        <v>0</v>
      </c>
    </row>
    <row r="12" spans="1:33" ht="15" outlineLevel="1" thickBot="1" x14ac:dyDescent="0.4">
      <c r="A12" s="319"/>
      <c r="B12" s="215"/>
      <c r="C12" s="215"/>
      <c r="D12" s="233" t="str">
        <f>IFERROR(INDEX(BuildingInformationTable[Site type],MATCH(BuildingsWaterTable[[#This Row],[Site name]],BuildingInformationTable[Site name],0)),"")</f>
        <v/>
      </c>
      <c r="E12" s="312" t="str">
        <f t="shared" si="0"/>
        <v/>
      </c>
      <c r="F12" s="72"/>
      <c r="G12" s="72"/>
      <c r="H12" s="98" t="str">
        <f>IF(G12="","",INDEX(Lists!$BA$4:$BC$31,MATCH(E12,Lists!$AZ$4:$AZ$31,0),MATCH(G12,Lists!$BA$3:$BC$3,0)))</f>
        <v/>
      </c>
      <c r="I12" s="70"/>
      <c r="J12" s="72"/>
      <c r="K12" s="75" t="str" cm="1">
        <f t="array" ref="K12">IF(OR($E12="",$D12="",$I12="",$J12=""),"",IF(J12=L12,I12,(INDEX('Emission factors'!$K$3:$V$201,MATCH(E12&amp;F12,'Emission factors'!$J$3:$J$201&amp;'Emission factors'!$K$3:$K$201,0),MATCH(K$6,'Emission factors'!$K$2:$V$2,0)))*I12))</f>
        <v/>
      </c>
      <c r="L12" s="312" t="str">
        <f>IF(OR($E12="",$D12="",$I12="",$J12=""),"",INDEX('Emission factors'!$K$3:$V$201,MATCH('Buildings - Water'!$E12,'Emission factors'!$J$3:$J$201,0),MATCH($L$6,'Emission factors'!$K$2:$V$2,0)))</f>
        <v/>
      </c>
      <c r="M12" s="313" t="str" cm="1">
        <f t="array" ref="M12">IF(OR(E12="",I12="",BuildingsWaterTable[[#This Row],[Units]]=""),"",INDEX('Emission factors'!$K$3:$V$201,MATCH('Buildings - Water'!$E12&amp;F12,'Emission factors'!$J$3:$J$201&amp;'Emission factors'!$K$3:$K$201,0),MATCH('Buildings - Water'!$M$6,'Emission factors'!$K$2:$V$2,0)))</f>
        <v/>
      </c>
      <c r="N12" s="156" t="str">
        <f>IF(OR(K12="",M12=""),"",SUM(BuildingsWaterTable[[#This Row],[Direct]:[Indirect WTT]]))</f>
        <v/>
      </c>
      <c r="O12" s="71"/>
      <c r="P12" s="72"/>
      <c r="Q12" s="157" t="str" cm="1">
        <f t="array" ref="Q12">IF(OR($E12="",$I12=""),"",(INDEX('Emission factors'!$K$3:$V$201,MATCH('Buildings - Water'!$E12&amp;$F12,'Emission factors'!$J$3:$J$201&amp;'Emission factors'!$K$3:$K$201,0),MATCH('Buildings - Water'!Q$6,'Emission factors'!$K$2:$V$2,0)))*$K12)</f>
        <v/>
      </c>
      <c r="R12" s="157" t="str" cm="1">
        <f t="array" ref="R12">IF(OR($E12="",$I12=""),"",(INDEX('Emission factors'!$K$3:$V$201,MATCH('Buildings - Water'!$E12&amp;$F12,'Emission factors'!$J$3:$J$201&amp;'Emission factors'!$K$3:$K$201,0),MATCH('Buildings - Water'!R$6,'Emission factors'!$K$2:$V$2,0)))*$K12)</f>
        <v/>
      </c>
      <c r="S12" s="157" t="str" cm="1">
        <f t="array" ref="S12">IF(OR($E12="",$I12=""),"",(INDEX('Emission factors'!$K$3:$V$201,MATCH('Buildings - Water'!$E12&amp;$F12,'Emission factors'!$J$3:$J$201&amp;'Emission factors'!$K$3:$K$201,0),MATCH('Buildings - Water'!S$6,'Emission factors'!$K$2:$V$2,0)))*$K12)</f>
        <v/>
      </c>
      <c r="T12" s="157" t="str" cm="1">
        <f t="array" ref="T12">IF(OR($E12="",$I12=""),"",(INDEX('Emission factors'!$K$3:$V$201,MATCH('Buildings - Water'!$E12&amp;$F12,'Emission factors'!$J$3:$J$201&amp;'Emission factors'!$K$3:$K$201,0),MATCH('Buildings - Water'!T$6,'Emission factors'!$K$2:$V$2,0)))*$K12)</f>
        <v/>
      </c>
      <c r="U12" s="157" t="str" cm="1">
        <f t="array" ref="U12">IF(OR($E12="",$I12=""),"",(INDEX('Emission factors'!$K$3:$V$201,MATCH('Buildings - Water'!$E12&amp;$F12,'Emission factors'!$J$3:$J$201&amp;'Emission factors'!$K$3:$K$201,0),MATCH('Buildings - Water'!U$6,'Emission factors'!$K$2:$V$2,0)))*$K12)</f>
        <v/>
      </c>
      <c r="V12" s="158" t="str">
        <f>IF(OR($N12="",BuildingsWaterTable[[#This Row],[RSD]]=""),"",BuildingsWaterTable[[#This Row],[Total emissions (kgCO2e)]]*(1+BuildingsWaterTable[[#This Row],[RSD]]))</f>
        <v/>
      </c>
      <c r="W12" s="159" t="str">
        <f>IF(OR($N12="",BuildingsWaterTable[[#This Row],[RSD]]=""),"",BuildingsWaterTable[[#This Row],[Total emissions (kgCO2e)]]*(1-BuildingsWaterTable[[#This Row],[RSD]]))</f>
        <v/>
      </c>
      <c r="X12" s="169" t="str" cm="1">
        <f t="array" ref="X12">IF(OR($E12="",$I12=""),"",(INDEX('Emission factors'!$K$3:$V$201,MATCH('Buildings - Water'!$E12&amp;$F12,'Emission factors'!$J$3:$J$201&amp;'Emission factors'!$K$3:$K$201,0),MATCH('Buildings - Water'!X$6,'Emission factors'!$K$2:$V$2,0)))*$K12)</f>
        <v/>
      </c>
      <c r="Y12" s="30"/>
      <c r="Z12" s="1" cm="1">
        <f t="array" ref="Z12">IF(OR(ISERROR(B12:X12)),1,0)</f>
        <v>0</v>
      </c>
      <c r="AA12" s="1">
        <f t="shared" si="1"/>
        <v>0</v>
      </c>
    </row>
    <row r="13" spans="1:33" ht="15" outlineLevel="1" thickBot="1" x14ac:dyDescent="0.4">
      <c r="A13" s="319"/>
      <c r="B13" s="215"/>
      <c r="C13" s="215"/>
      <c r="D13" s="233" t="str">
        <f>IFERROR(INDEX(BuildingInformationTable[Site type],MATCH(BuildingsWaterTable[[#This Row],[Site name]],BuildingInformationTable[Site name],0)),"")</f>
        <v/>
      </c>
      <c r="E13" s="312" t="str">
        <f t="shared" si="0"/>
        <v/>
      </c>
      <c r="F13" s="72"/>
      <c r="G13" s="72"/>
      <c r="H13" s="98" t="str">
        <f>IF(G13="","",INDEX(Lists!$BA$4:$BC$31,MATCH(E13,Lists!$AZ$4:$AZ$31,0),MATCH(G13,Lists!$BA$3:$BC$3,0)))</f>
        <v/>
      </c>
      <c r="I13" s="70"/>
      <c r="J13" s="72"/>
      <c r="K13" s="75" t="str" cm="1">
        <f t="array" ref="K13">IF(OR($E13="",$D13="",$I13="",$J13=""),"",IF(J13=L13,I13,(INDEX('Emission factors'!$K$3:$V$201,MATCH(E13&amp;F13,'Emission factors'!$J$3:$J$201&amp;'Emission factors'!$K$3:$K$201,0),MATCH(K$6,'Emission factors'!$K$2:$V$2,0)))*I13))</f>
        <v/>
      </c>
      <c r="L13" s="312" t="str">
        <f>IF(OR($E13="",$D13="",$I13="",$J13=""),"",INDEX('Emission factors'!$K$3:$V$201,MATCH('Buildings - Water'!$E13,'Emission factors'!$J$3:$J$201,0),MATCH($L$6,'Emission factors'!$K$2:$V$2,0)))</f>
        <v/>
      </c>
      <c r="M13" s="313" t="str" cm="1">
        <f t="array" ref="M13">IF(OR(E13="",I13="",BuildingsWaterTable[[#This Row],[Units]]=""),"",INDEX('Emission factors'!$K$3:$V$201,MATCH('Buildings - Water'!$E13&amp;F13,'Emission factors'!$J$3:$J$201&amp;'Emission factors'!$K$3:$K$201,0),MATCH('Buildings - Water'!$M$6,'Emission factors'!$K$2:$V$2,0)))</f>
        <v/>
      </c>
      <c r="N13" s="156" t="str">
        <f>IF(OR(K13="",M13=""),"",SUM(BuildingsWaterTable[[#This Row],[Direct]:[Indirect WTT]]))</f>
        <v/>
      </c>
      <c r="O13" s="71"/>
      <c r="P13" s="72"/>
      <c r="Q13" s="157" t="str" cm="1">
        <f t="array" ref="Q13">IF(OR($E13="",$I13=""),"",(INDEX('Emission factors'!$K$3:$V$201,MATCH('Buildings - Water'!$E13&amp;$F13,'Emission factors'!$J$3:$J$201&amp;'Emission factors'!$K$3:$K$201,0),MATCH('Buildings - Water'!Q$6,'Emission factors'!$K$2:$V$2,0)))*$K13)</f>
        <v/>
      </c>
      <c r="R13" s="157" t="str" cm="1">
        <f t="array" ref="R13">IF(OR($E13="",$I13=""),"",(INDEX('Emission factors'!$K$3:$V$201,MATCH('Buildings - Water'!$E13&amp;$F13,'Emission factors'!$J$3:$J$201&amp;'Emission factors'!$K$3:$K$201,0),MATCH('Buildings - Water'!R$6,'Emission factors'!$K$2:$V$2,0)))*$K13)</f>
        <v/>
      </c>
      <c r="S13" s="157" t="str" cm="1">
        <f t="array" ref="S13">IF(OR($E13="",$I13=""),"",(INDEX('Emission factors'!$K$3:$V$201,MATCH('Buildings - Water'!$E13&amp;$F13,'Emission factors'!$J$3:$J$201&amp;'Emission factors'!$K$3:$K$201,0),MATCH('Buildings - Water'!S$6,'Emission factors'!$K$2:$V$2,0)))*$K13)</f>
        <v/>
      </c>
      <c r="T13" s="157" t="str" cm="1">
        <f t="array" ref="T13">IF(OR($E13="",$I13=""),"",(INDEX('Emission factors'!$K$3:$V$201,MATCH('Buildings - Water'!$E13&amp;$F13,'Emission factors'!$J$3:$J$201&amp;'Emission factors'!$K$3:$K$201,0),MATCH('Buildings - Water'!T$6,'Emission factors'!$K$2:$V$2,0)))*$K13)</f>
        <v/>
      </c>
      <c r="U13" s="157" t="str" cm="1">
        <f t="array" ref="U13">IF(OR($E13="",$I13=""),"",(INDEX('Emission factors'!$K$3:$V$201,MATCH('Buildings - Water'!$E13&amp;$F13,'Emission factors'!$J$3:$J$201&amp;'Emission factors'!$K$3:$K$201,0),MATCH('Buildings - Water'!U$6,'Emission factors'!$K$2:$V$2,0)))*$K13)</f>
        <v/>
      </c>
      <c r="V13" s="158" t="str">
        <f>IF(OR($N13="",BuildingsWaterTable[[#This Row],[RSD]]=""),"",BuildingsWaterTable[[#This Row],[Total emissions (kgCO2e)]]*(1+BuildingsWaterTable[[#This Row],[RSD]]))</f>
        <v/>
      </c>
      <c r="W13" s="159" t="str">
        <f>IF(OR($N13="",BuildingsWaterTable[[#This Row],[RSD]]=""),"",BuildingsWaterTable[[#This Row],[Total emissions (kgCO2e)]]*(1-BuildingsWaterTable[[#This Row],[RSD]]))</f>
        <v/>
      </c>
      <c r="X13" s="169" t="str" cm="1">
        <f t="array" ref="X13">IF(OR($E13="",$I13=""),"",(INDEX('Emission factors'!$K$3:$V$201,MATCH('Buildings - Water'!$E13&amp;$F13,'Emission factors'!$J$3:$J$201&amp;'Emission factors'!$K$3:$K$201,0),MATCH('Buildings - Water'!X$6,'Emission factors'!$K$2:$V$2,0)))*$K13)</f>
        <v/>
      </c>
      <c r="Y13" s="30"/>
      <c r="Z13" s="1" cm="1">
        <f t="array" ref="Z13">IF(OR(ISERROR(B13:X13)),1,0)</f>
        <v>0</v>
      </c>
      <c r="AA13" s="1">
        <f t="shared" si="1"/>
        <v>0</v>
      </c>
    </row>
    <row r="14" spans="1:33" ht="15" outlineLevel="1" thickBot="1" x14ac:dyDescent="0.4">
      <c r="A14" s="319"/>
      <c r="B14" s="215"/>
      <c r="C14" s="215"/>
      <c r="D14" s="233" t="str">
        <f>IFERROR(INDEX(BuildingInformationTable[Site type],MATCH(BuildingsWaterTable[[#This Row],[Site name]],BuildingInformationTable[Site name],0)),"")</f>
        <v/>
      </c>
      <c r="E14" s="312" t="str">
        <f t="shared" si="0"/>
        <v/>
      </c>
      <c r="F14" s="72"/>
      <c r="G14" s="72"/>
      <c r="H14" s="98" t="str">
        <f>IF(G14="","",INDEX(Lists!$BA$4:$BC$31,MATCH(E14,Lists!$AZ$4:$AZ$31,0),MATCH(G14,Lists!$BA$3:$BC$3,0)))</f>
        <v/>
      </c>
      <c r="I14" s="70"/>
      <c r="J14" s="72"/>
      <c r="K14" s="75" t="str" cm="1">
        <f t="array" ref="K14">IF(OR($E14="",$D14="",$I14="",$J14=""),"",IF(J14=L14,I14,(INDEX('Emission factors'!$K$3:$V$201,MATCH(E14&amp;F14,'Emission factors'!$J$3:$J$201&amp;'Emission factors'!$K$3:$K$201,0),MATCH(K$6,'Emission factors'!$K$2:$V$2,0)))*I14))</f>
        <v/>
      </c>
      <c r="L14" s="312" t="str">
        <f>IF(OR($E14="",$D14="",$I14="",$J14=""),"",INDEX('Emission factors'!$K$3:$V$201,MATCH('Buildings - Water'!$E14,'Emission factors'!$J$3:$J$201,0),MATCH($L$6,'Emission factors'!$K$2:$V$2,0)))</f>
        <v/>
      </c>
      <c r="M14" s="313" t="str" cm="1">
        <f t="array" ref="M14">IF(OR(E14="",I14="",BuildingsWaterTable[[#This Row],[Units]]=""),"",INDEX('Emission factors'!$K$3:$V$201,MATCH('Buildings - Water'!$E14&amp;F14,'Emission factors'!$J$3:$J$201&amp;'Emission factors'!$K$3:$K$201,0),MATCH('Buildings - Water'!$M$6,'Emission factors'!$K$2:$V$2,0)))</f>
        <v/>
      </c>
      <c r="N14" s="156" t="str">
        <f>IF(OR(K14="",M14=""),"",SUM(BuildingsWaterTable[[#This Row],[Direct]:[Indirect WTT]]))</f>
        <v/>
      </c>
      <c r="O14" s="71"/>
      <c r="P14" s="72"/>
      <c r="Q14" s="157" t="str" cm="1">
        <f t="array" ref="Q14">IF(OR($E14="",$I14=""),"",(INDEX('Emission factors'!$K$3:$V$201,MATCH('Buildings - Water'!$E14&amp;$F14,'Emission factors'!$J$3:$J$201&amp;'Emission factors'!$K$3:$K$201,0),MATCH('Buildings - Water'!Q$6,'Emission factors'!$K$2:$V$2,0)))*$K14)</f>
        <v/>
      </c>
      <c r="R14" s="157" t="str" cm="1">
        <f t="array" ref="R14">IF(OR($E14="",$I14=""),"",(INDEX('Emission factors'!$K$3:$V$201,MATCH('Buildings - Water'!$E14&amp;$F14,'Emission factors'!$J$3:$J$201&amp;'Emission factors'!$K$3:$K$201,0),MATCH('Buildings - Water'!R$6,'Emission factors'!$K$2:$V$2,0)))*$K14)</f>
        <v/>
      </c>
      <c r="S14" s="157" t="str" cm="1">
        <f t="array" ref="S14">IF(OR($E14="",$I14=""),"",(INDEX('Emission factors'!$K$3:$V$201,MATCH('Buildings - Water'!$E14&amp;$F14,'Emission factors'!$J$3:$J$201&amp;'Emission factors'!$K$3:$K$201,0),MATCH('Buildings - Water'!S$6,'Emission factors'!$K$2:$V$2,0)))*$K14)</f>
        <v/>
      </c>
      <c r="T14" s="157" t="str" cm="1">
        <f t="array" ref="T14">IF(OR($E14="",$I14=""),"",(INDEX('Emission factors'!$K$3:$V$201,MATCH('Buildings - Water'!$E14&amp;$F14,'Emission factors'!$J$3:$J$201&amp;'Emission factors'!$K$3:$K$201,0),MATCH('Buildings - Water'!T$6,'Emission factors'!$K$2:$V$2,0)))*$K14)</f>
        <v/>
      </c>
      <c r="U14" s="157" t="str" cm="1">
        <f t="array" ref="U14">IF(OR($E14="",$I14=""),"",(INDEX('Emission factors'!$K$3:$V$201,MATCH('Buildings - Water'!$E14&amp;$F14,'Emission factors'!$J$3:$J$201&amp;'Emission factors'!$K$3:$K$201,0),MATCH('Buildings - Water'!U$6,'Emission factors'!$K$2:$V$2,0)))*$K14)</f>
        <v/>
      </c>
      <c r="V14" s="158" t="str">
        <f>IF(OR($N14="",BuildingsWaterTable[[#This Row],[RSD]]=""),"",BuildingsWaterTable[[#This Row],[Total emissions (kgCO2e)]]*(1+BuildingsWaterTable[[#This Row],[RSD]]))</f>
        <v/>
      </c>
      <c r="W14" s="159" t="str">
        <f>IF(OR($N14="",BuildingsWaterTable[[#This Row],[RSD]]=""),"",BuildingsWaterTable[[#This Row],[Total emissions (kgCO2e)]]*(1-BuildingsWaterTable[[#This Row],[RSD]]))</f>
        <v/>
      </c>
      <c r="X14" s="169" t="str" cm="1">
        <f t="array" ref="X14">IF(OR($E14="",$I14=""),"",(INDEX('Emission factors'!$K$3:$V$201,MATCH('Buildings - Water'!$E14&amp;$F14,'Emission factors'!$J$3:$J$201&amp;'Emission factors'!$K$3:$K$201,0),MATCH('Buildings - Water'!X$6,'Emission factors'!$K$2:$V$2,0)))*$K14)</f>
        <v/>
      </c>
      <c r="Y14" s="30"/>
      <c r="Z14" s="1" cm="1">
        <f t="array" ref="Z14">IF(OR(ISERROR(B14:X14)),1,0)</f>
        <v>0</v>
      </c>
      <c r="AA14" s="1">
        <f t="shared" si="1"/>
        <v>0</v>
      </c>
    </row>
    <row r="15" spans="1:33" ht="15" outlineLevel="1" thickBot="1" x14ac:dyDescent="0.4">
      <c r="A15" s="319"/>
      <c r="B15" s="216"/>
      <c r="C15" s="216"/>
      <c r="D15" s="233" t="str">
        <f>IFERROR(INDEX(BuildingInformationTable[Site type],MATCH(BuildingsWaterTable[[#This Row],[Site name]],BuildingInformationTable[Site name],0)),"")</f>
        <v/>
      </c>
      <c r="E15" s="312" t="str">
        <f t="shared" si="0"/>
        <v/>
      </c>
      <c r="F15" s="72"/>
      <c r="G15" s="72"/>
      <c r="H15" s="98" t="str">
        <f>IF(G15="","",INDEX(Lists!$BA$4:$BC$31,MATCH(E15,Lists!$AZ$4:$AZ$31,0),MATCH(G15,Lists!$BA$3:$BC$3,0)))</f>
        <v/>
      </c>
      <c r="I15" s="70"/>
      <c r="J15" s="72"/>
      <c r="K15" s="75" t="str" cm="1">
        <f t="array" ref="K15">IF(OR($E15="",$D15="",$I15="",$J15=""),"",IF(J15=L15,I15,(INDEX('Emission factors'!$K$3:$V$201,MATCH(E15&amp;F15,'Emission factors'!$J$3:$J$201&amp;'Emission factors'!$K$3:$K$201,0),MATCH(K$6,'Emission factors'!$K$2:$V$2,0)))*I15))</f>
        <v/>
      </c>
      <c r="L15" s="312" t="str">
        <f>IF(OR($E15="",$D15="",$I15="",$J15=""),"",INDEX('Emission factors'!$K$3:$V$201,MATCH('Buildings - Water'!$E15,'Emission factors'!$J$3:$J$201,0),MATCH($L$6,'Emission factors'!$K$2:$V$2,0)))</f>
        <v/>
      </c>
      <c r="M15" s="313" t="str" cm="1">
        <f t="array" ref="M15">IF(OR(E15="",I15="",BuildingsWaterTable[[#This Row],[Units]]=""),"",INDEX('Emission factors'!$K$3:$V$201,MATCH('Buildings - Water'!$E15&amp;F15,'Emission factors'!$J$3:$J$201&amp;'Emission factors'!$K$3:$K$201,0),MATCH('Buildings - Water'!$M$6,'Emission factors'!$K$2:$V$2,0)))</f>
        <v/>
      </c>
      <c r="N15" s="156" t="str">
        <f>IF(OR(K15="",M15=""),"",SUM(BuildingsWaterTable[[#This Row],[Direct]:[Indirect WTT]]))</f>
        <v/>
      </c>
      <c r="O15" s="71"/>
      <c r="P15" s="72"/>
      <c r="Q15" s="157" t="str" cm="1">
        <f t="array" ref="Q15">IF(OR($E15="",$I15=""),"",(INDEX('Emission factors'!$K$3:$V$201,MATCH('Buildings - Water'!$E15&amp;$F15,'Emission factors'!$J$3:$J$201&amp;'Emission factors'!$K$3:$K$201,0),MATCH('Buildings - Water'!Q$6,'Emission factors'!$K$2:$V$2,0)))*$K15)</f>
        <v/>
      </c>
      <c r="R15" s="157" t="str" cm="1">
        <f t="array" ref="R15">IF(OR($E15="",$I15=""),"",(INDEX('Emission factors'!$K$3:$V$201,MATCH('Buildings - Water'!$E15&amp;$F15,'Emission factors'!$J$3:$J$201&amp;'Emission factors'!$K$3:$K$201,0),MATCH('Buildings - Water'!R$6,'Emission factors'!$K$2:$V$2,0)))*$K15)</f>
        <v/>
      </c>
      <c r="S15" s="157" t="str" cm="1">
        <f t="array" ref="S15">IF(OR($E15="",$I15=""),"",(INDEX('Emission factors'!$K$3:$V$201,MATCH('Buildings - Water'!$E15&amp;$F15,'Emission factors'!$J$3:$J$201&amp;'Emission factors'!$K$3:$K$201,0),MATCH('Buildings - Water'!S$6,'Emission factors'!$K$2:$V$2,0)))*$K15)</f>
        <v/>
      </c>
      <c r="T15" s="157" t="str" cm="1">
        <f t="array" ref="T15">IF(OR($E15="",$I15=""),"",(INDEX('Emission factors'!$K$3:$V$201,MATCH('Buildings - Water'!$E15&amp;$F15,'Emission factors'!$J$3:$J$201&amp;'Emission factors'!$K$3:$K$201,0),MATCH('Buildings - Water'!T$6,'Emission factors'!$K$2:$V$2,0)))*$K15)</f>
        <v/>
      </c>
      <c r="U15" s="157" t="str" cm="1">
        <f t="array" ref="U15">IF(OR($E15="",$I15=""),"",(INDEX('Emission factors'!$K$3:$V$201,MATCH('Buildings - Water'!$E15&amp;$F15,'Emission factors'!$J$3:$J$201&amp;'Emission factors'!$K$3:$K$201,0),MATCH('Buildings - Water'!U$6,'Emission factors'!$K$2:$V$2,0)))*$K15)</f>
        <v/>
      </c>
      <c r="V15" s="158" t="str">
        <f>IF(OR($N15="",BuildingsWaterTable[[#This Row],[RSD]]=""),"",BuildingsWaterTable[[#This Row],[Total emissions (kgCO2e)]]*(1+BuildingsWaterTable[[#This Row],[RSD]]))</f>
        <v/>
      </c>
      <c r="W15" s="159" t="str">
        <f>IF(OR($N15="",BuildingsWaterTable[[#This Row],[RSD]]=""),"",BuildingsWaterTable[[#This Row],[Total emissions (kgCO2e)]]*(1-BuildingsWaterTable[[#This Row],[RSD]]))</f>
        <v/>
      </c>
      <c r="X15" s="169" t="str" cm="1">
        <f t="array" ref="X15">IF(OR($E15="",$I15=""),"",(INDEX('Emission factors'!$K$3:$V$201,MATCH('Buildings - Water'!$E15&amp;$F15,'Emission factors'!$J$3:$J$201&amp;'Emission factors'!$K$3:$K$201,0),MATCH('Buildings - Water'!X$6,'Emission factors'!$K$2:$V$2,0)))*$K15)</f>
        <v/>
      </c>
      <c r="Y15" s="30"/>
      <c r="Z15" s="1" cm="1">
        <f t="array" ref="Z15">IF(OR(ISERROR(B15:X15)),1,0)</f>
        <v>0</v>
      </c>
      <c r="AA15" s="1">
        <f t="shared" si="1"/>
        <v>0</v>
      </c>
    </row>
    <row r="16" spans="1:33" ht="15" outlineLevel="1" thickBot="1" x14ac:dyDescent="0.4">
      <c r="A16" s="319"/>
      <c r="B16" s="216"/>
      <c r="C16" s="216"/>
      <c r="D16" s="233" t="str">
        <f>IFERROR(INDEX(BuildingInformationTable[Site type],MATCH(BuildingsWaterTable[[#This Row],[Site name]],BuildingInformationTable[Site name],0)),"")</f>
        <v/>
      </c>
      <c r="E16" s="312" t="str">
        <f t="shared" si="0"/>
        <v/>
      </c>
      <c r="F16" s="72"/>
      <c r="G16" s="72"/>
      <c r="H16" s="98" t="str">
        <f>IF(G16="","",INDEX(Lists!$BA$4:$BC$31,MATCH(E16,Lists!$AZ$4:$AZ$31,0),MATCH(G16,Lists!$BA$3:$BC$3,0)))</f>
        <v/>
      </c>
      <c r="I16" s="70"/>
      <c r="J16" s="72"/>
      <c r="K16" s="75" t="str" cm="1">
        <f t="array" ref="K16">IF(OR($E16="",$D16="",$I16="",$J16=""),"",IF(J16=L16,I16,(INDEX('Emission factors'!$K$3:$V$201,MATCH(E16&amp;F16,'Emission factors'!$J$3:$J$201&amp;'Emission factors'!$K$3:$K$201,0),MATCH(K$6,'Emission factors'!$K$2:$V$2,0)))*I16))</f>
        <v/>
      </c>
      <c r="L16" s="312" t="str">
        <f>IF(OR($E16="",$D16="",$I16="",$J16=""),"",INDEX('Emission factors'!$K$3:$V$201,MATCH('Buildings - Water'!$E16,'Emission factors'!$J$3:$J$201,0),MATCH($L$6,'Emission factors'!$K$2:$V$2,0)))</f>
        <v/>
      </c>
      <c r="M16" s="313" t="str" cm="1">
        <f t="array" ref="M16">IF(OR(E16="",I16="",BuildingsWaterTable[[#This Row],[Units]]=""),"",INDEX('Emission factors'!$K$3:$V$201,MATCH('Buildings - Water'!$E16&amp;F16,'Emission factors'!$J$3:$J$201&amp;'Emission factors'!$K$3:$K$201,0),MATCH('Buildings - Water'!$M$6,'Emission factors'!$K$2:$V$2,0)))</f>
        <v/>
      </c>
      <c r="N16" s="156" t="str">
        <f>IF(OR(K16="",M16=""),"",SUM(BuildingsWaterTable[[#This Row],[Direct]:[Indirect WTT]]))</f>
        <v/>
      </c>
      <c r="O16" s="71"/>
      <c r="P16" s="72"/>
      <c r="Q16" s="157" t="str" cm="1">
        <f t="array" ref="Q16">IF(OR($E16="",$I16=""),"",(INDEX('Emission factors'!$K$3:$V$201,MATCH('Buildings - Water'!$E16&amp;$F16,'Emission factors'!$J$3:$J$201&amp;'Emission factors'!$K$3:$K$201,0),MATCH('Buildings - Water'!Q$6,'Emission factors'!$K$2:$V$2,0)))*$K16)</f>
        <v/>
      </c>
      <c r="R16" s="157" t="str" cm="1">
        <f t="array" ref="R16">IF(OR($E16="",$I16=""),"",(INDEX('Emission factors'!$K$3:$V$201,MATCH('Buildings - Water'!$E16&amp;$F16,'Emission factors'!$J$3:$J$201&amp;'Emission factors'!$K$3:$K$201,0),MATCH('Buildings - Water'!R$6,'Emission factors'!$K$2:$V$2,0)))*$K16)</f>
        <v/>
      </c>
      <c r="S16" s="157" t="str" cm="1">
        <f t="array" ref="S16">IF(OR($E16="",$I16=""),"",(INDEX('Emission factors'!$K$3:$V$201,MATCH('Buildings - Water'!$E16&amp;$F16,'Emission factors'!$J$3:$J$201&amp;'Emission factors'!$K$3:$K$201,0),MATCH('Buildings - Water'!S$6,'Emission factors'!$K$2:$V$2,0)))*$K16)</f>
        <v/>
      </c>
      <c r="T16" s="157" t="str" cm="1">
        <f t="array" ref="T16">IF(OR($E16="",$I16=""),"",(INDEX('Emission factors'!$K$3:$V$201,MATCH('Buildings - Water'!$E16&amp;$F16,'Emission factors'!$J$3:$J$201&amp;'Emission factors'!$K$3:$K$201,0),MATCH('Buildings - Water'!T$6,'Emission factors'!$K$2:$V$2,0)))*$K16)</f>
        <v/>
      </c>
      <c r="U16" s="157" t="str" cm="1">
        <f t="array" ref="U16">IF(OR($E16="",$I16=""),"",(INDEX('Emission factors'!$K$3:$V$201,MATCH('Buildings - Water'!$E16&amp;$F16,'Emission factors'!$J$3:$J$201&amp;'Emission factors'!$K$3:$K$201,0),MATCH('Buildings - Water'!U$6,'Emission factors'!$K$2:$V$2,0)))*$K16)</f>
        <v/>
      </c>
      <c r="V16" s="158" t="str">
        <f>IF(OR($N16="",BuildingsWaterTable[[#This Row],[RSD]]=""),"",BuildingsWaterTable[[#This Row],[Total emissions (kgCO2e)]]*(1+BuildingsWaterTable[[#This Row],[RSD]]))</f>
        <v/>
      </c>
      <c r="W16" s="159" t="str">
        <f>IF(OR($N16="",BuildingsWaterTable[[#This Row],[RSD]]=""),"",BuildingsWaterTable[[#This Row],[Total emissions (kgCO2e)]]*(1-BuildingsWaterTable[[#This Row],[RSD]]))</f>
        <v/>
      </c>
      <c r="X16" s="169" t="str" cm="1">
        <f t="array" ref="X16">IF(OR($E16="",$I16=""),"",(INDEX('Emission factors'!$K$3:$V$201,MATCH('Buildings - Water'!$E16&amp;$F16,'Emission factors'!$J$3:$J$201&amp;'Emission factors'!$K$3:$K$201,0),MATCH('Buildings - Water'!X$6,'Emission factors'!$K$2:$V$2,0)))*$K16)</f>
        <v/>
      </c>
      <c r="Y16" s="30"/>
      <c r="Z16" s="1" cm="1">
        <f t="array" ref="Z16">IF(OR(ISERROR(B16:X16)),1,0)</f>
        <v>0</v>
      </c>
      <c r="AA16" s="1">
        <f t="shared" si="1"/>
        <v>0</v>
      </c>
    </row>
    <row r="17" spans="1:27" ht="15" outlineLevel="1" thickBot="1" x14ac:dyDescent="0.4">
      <c r="A17" s="319"/>
      <c r="B17" s="216"/>
      <c r="C17" s="216"/>
      <c r="D17" s="233" t="str">
        <f>IFERROR(INDEX(BuildingInformationTable[Site type],MATCH(BuildingsWaterTable[[#This Row],[Site name]],BuildingInformationTable[Site name],0)),"")</f>
        <v/>
      </c>
      <c r="E17" s="312" t="str">
        <f t="shared" si="0"/>
        <v/>
      </c>
      <c r="F17" s="72"/>
      <c r="G17" s="72"/>
      <c r="H17" s="98" t="str">
        <f>IF(G17="","",INDEX(Lists!$BA$4:$BC$31,MATCH(E17,Lists!$AZ$4:$AZ$31,0),MATCH(G17,Lists!$BA$3:$BC$3,0)))</f>
        <v/>
      </c>
      <c r="I17" s="70"/>
      <c r="J17" s="72"/>
      <c r="K17" s="75" t="str" cm="1">
        <f t="array" ref="K17">IF(OR($E17="",$D17="",$I17="",$J17=""),"",IF(J17=L17,I17,(INDEX('Emission factors'!$K$3:$V$201,MATCH(E17&amp;F17,'Emission factors'!$J$3:$J$201&amp;'Emission factors'!$K$3:$K$201,0),MATCH(K$6,'Emission factors'!$K$2:$V$2,0)))*I17))</f>
        <v/>
      </c>
      <c r="L17" s="312" t="str">
        <f>IF(OR($E17="",$D17="",$I17="",$J17=""),"",INDEX('Emission factors'!$K$3:$V$201,MATCH('Buildings - Water'!$E17,'Emission factors'!$J$3:$J$201,0),MATCH($L$6,'Emission factors'!$K$2:$V$2,0)))</f>
        <v/>
      </c>
      <c r="M17" s="313" t="str" cm="1">
        <f t="array" ref="M17">IF(OR(E17="",I17="",BuildingsWaterTable[[#This Row],[Units]]=""),"",INDEX('Emission factors'!$K$3:$V$201,MATCH('Buildings - Water'!$E17&amp;F17,'Emission factors'!$J$3:$J$201&amp;'Emission factors'!$K$3:$K$201,0),MATCH('Buildings - Water'!$M$6,'Emission factors'!$K$2:$V$2,0)))</f>
        <v/>
      </c>
      <c r="N17" s="156" t="str">
        <f>IF(OR(K17="",M17=""),"",SUM(BuildingsWaterTable[[#This Row],[Direct]:[Indirect WTT]]))</f>
        <v/>
      </c>
      <c r="O17" s="71"/>
      <c r="P17" s="72"/>
      <c r="Q17" s="157" t="str" cm="1">
        <f t="array" ref="Q17">IF(OR($E17="",$I17=""),"",(INDEX('Emission factors'!$K$3:$V$201,MATCH('Buildings - Water'!$E17&amp;$F17,'Emission factors'!$J$3:$J$201&amp;'Emission factors'!$K$3:$K$201,0),MATCH('Buildings - Water'!Q$6,'Emission factors'!$K$2:$V$2,0)))*$K17)</f>
        <v/>
      </c>
      <c r="R17" s="157" t="str" cm="1">
        <f t="array" ref="R17">IF(OR($E17="",$I17=""),"",(INDEX('Emission factors'!$K$3:$V$201,MATCH('Buildings - Water'!$E17&amp;$F17,'Emission factors'!$J$3:$J$201&amp;'Emission factors'!$K$3:$K$201,0),MATCH('Buildings - Water'!R$6,'Emission factors'!$K$2:$V$2,0)))*$K17)</f>
        <v/>
      </c>
      <c r="S17" s="157" t="str" cm="1">
        <f t="array" ref="S17">IF(OR($E17="",$I17=""),"",(INDEX('Emission factors'!$K$3:$V$201,MATCH('Buildings - Water'!$E17&amp;$F17,'Emission factors'!$J$3:$J$201&amp;'Emission factors'!$K$3:$K$201,0),MATCH('Buildings - Water'!S$6,'Emission factors'!$K$2:$V$2,0)))*$K17)</f>
        <v/>
      </c>
      <c r="T17" s="157" t="str" cm="1">
        <f t="array" ref="T17">IF(OR($E17="",$I17=""),"",(INDEX('Emission factors'!$K$3:$V$201,MATCH('Buildings - Water'!$E17&amp;$F17,'Emission factors'!$J$3:$J$201&amp;'Emission factors'!$K$3:$K$201,0),MATCH('Buildings - Water'!T$6,'Emission factors'!$K$2:$V$2,0)))*$K17)</f>
        <v/>
      </c>
      <c r="U17" s="157" t="str" cm="1">
        <f t="array" ref="U17">IF(OR($E17="",$I17=""),"",(INDEX('Emission factors'!$K$3:$V$201,MATCH('Buildings - Water'!$E17&amp;$F17,'Emission factors'!$J$3:$J$201&amp;'Emission factors'!$K$3:$K$201,0),MATCH('Buildings - Water'!U$6,'Emission factors'!$K$2:$V$2,0)))*$K17)</f>
        <v/>
      </c>
      <c r="V17" s="158" t="str">
        <f>IF(OR($N17="",BuildingsWaterTable[[#This Row],[RSD]]=""),"",BuildingsWaterTable[[#This Row],[Total emissions (kgCO2e)]]*(1+BuildingsWaterTable[[#This Row],[RSD]]))</f>
        <v/>
      </c>
      <c r="W17" s="159" t="str">
        <f>IF(OR($N17="",BuildingsWaterTable[[#This Row],[RSD]]=""),"",BuildingsWaterTable[[#This Row],[Total emissions (kgCO2e)]]*(1-BuildingsWaterTable[[#This Row],[RSD]]))</f>
        <v/>
      </c>
      <c r="X17" s="169" t="str" cm="1">
        <f t="array" ref="X17">IF(OR($E17="",$I17=""),"",(INDEX('Emission factors'!$K$3:$V$201,MATCH('Buildings - Water'!$E17&amp;$F17,'Emission factors'!$J$3:$J$201&amp;'Emission factors'!$K$3:$K$201,0),MATCH('Buildings - Water'!X$6,'Emission factors'!$K$2:$V$2,0)))*$K17)</f>
        <v/>
      </c>
      <c r="Y17" s="30"/>
      <c r="Z17" s="1" cm="1">
        <f t="array" ref="Z17">IF(OR(ISERROR(B17:X17)),1,0)</f>
        <v>0</v>
      </c>
      <c r="AA17" s="1">
        <f t="shared" si="1"/>
        <v>0</v>
      </c>
    </row>
    <row r="18" spans="1:27" ht="15" outlineLevel="1" thickBot="1" x14ac:dyDescent="0.4">
      <c r="A18" s="319"/>
      <c r="B18" s="216"/>
      <c r="C18" s="216"/>
      <c r="D18" s="233" t="str">
        <f>IFERROR(INDEX(BuildingInformationTable[Site type],MATCH(BuildingsWaterTable[[#This Row],[Site name]],BuildingInformationTable[Site name],0)),"")</f>
        <v/>
      </c>
      <c r="E18" s="312" t="str">
        <f t="shared" si="0"/>
        <v/>
      </c>
      <c r="F18" s="72"/>
      <c r="G18" s="72"/>
      <c r="H18" s="98" t="str">
        <f>IF(G18="","",INDEX(Lists!$BA$4:$BC$31,MATCH(E18,Lists!$AZ$4:$AZ$31,0),MATCH(G18,Lists!$BA$3:$BC$3,0)))</f>
        <v/>
      </c>
      <c r="I18" s="70"/>
      <c r="J18" s="72"/>
      <c r="K18" s="75" t="str" cm="1">
        <f t="array" ref="K18">IF(OR($E18="",$D18="",$I18="",$J18=""),"",IF(J18=L18,I18,(INDEX('Emission factors'!$K$3:$V$201,MATCH(E18&amp;F18,'Emission factors'!$J$3:$J$201&amp;'Emission factors'!$K$3:$K$201,0),MATCH(K$6,'Emission factors'!$K$2:$V$2,0)))*I18))</f>
        <v/>
      </c>
      <c r="L18" s="312" t="str">
        <f>IF(OR($E18="",$D18="",$I18="",$J18=""),"",INDEX('Emission factors'!$K$3:$V$201,MATCH('Buildings - Water'!$E18,'Emission factors'!$J$3:$J$201,0),MATCH($L$6,'Emission factors'!$K$2:$V$2,0)))</f>
        <v/>
      </c>
      <c r="M18" s="313" t="str" cm="1">
        <f t="array" ref="M18">IF(OR(E18="",I18="",BuildingsWaterTable[[#This Row],[Units]]=""),"",INDEX('Emission factors'!$K$3:$V$201,MATCH('Buildings - Water'!$E18&amp;F18,'Emission factors'!$J$3:$J$201&amp;'Emission factors'!$K$3:$K$201,0),MATCH('Buildings - Water'!$M$6,'Emission factors'!$K$2:$V$2,0)))</f>
        <v/>
      </c>
      <c r="N18" s="156" t="str">
        <f>IF(OR(K18="",M18=""),"",SUM(BuildingsWaterTable[[#This Row],[Direct]:[Indirect WTT]]))</f>
        <v/>
      </c>
      <c r="O18" s="71"/>
      <c r="P18" s="72"/>
      <c r="Q18" s="157" t="str" cm="1">
        <f t="array" ref="Q18">IF(OR($E18="",$I18=""),"",(INDEX('Emission factors'!$K$3:$V$201,MATCH('Buildings - Water'!$E18&amp;$F18,'Emission factors'!$J$3:$J$201&amp;'Emission factors'!$K$3:$K$201,0),MATCH('Buildings - Water'!Q$6,'Emission factors'!$K$2:$V$2,0)))*$K18)</f>
        <v/>
      </c>
      <c r="R18" s="157" t="str" cm="1">
        <f t="array" ref="R18">IF(OR($E18="",$I18=""),"",(INDEX('Emission factors'!$K$3:$V$201,MATCH('Buildings - Water'!$E18&amp;$F18,'Emission factors'!$J$3:$J$201&amp;'Emission factors'!$K$3:$K$201,0),MATCH('Buildings - Water'!R$6,'Emission factors'!$K$2:$V$2,0)))*$K18)</f>
        <v/>
      </c>
      <c r="S18" s="157" t="str" cm="1">
        <f t="array" ref="S18">IF(OR($E18="",$I18=""),"",(INDEX('Emission factors'!$K$3:$V$201,MATCH('Buildings - Water'!$E18&amp;$F18,'Emission factors'!$J$3:$J$201&amp;'Emission factors'!$K$3:$K$201,0),MATCH('Buildings - Water'!S$6,'Emission factors'!$K$2:$V$2,0)))*$K18)</f>
        <v/>
      </c>
      <c r="T18" s="157" t="str" cm="1">
        <f t="array" ref="T18">IF(OR($E18="",$I18=""),"",(INDEX('Emission factors'!$K$3:$V$201,MATCH('Buildings - Water'!$E18&amp;$F18,'Emission factors'!$J$3:$J$201&amp;'Emission factors'!$K$3:$K$201,0),MATCH('Buildings - Water'!T$6,'Emission factors'!$K$2:$V$2,0)))*$K18)</f>
        <v/>
      </c>
      <c r="U18" s="157" t="str" cm="1">
        <f t="array" ref="U18">IF(OR($E18="",$I18=""),"",(INDEX('Emission factors'!$K$3:$V$201,MATCH('Buildings - Water'!$E18&amp;$F18,'Emission factors'!$J$3:$J$201&amp;'Emission factors'!$K$3:$K$201,0),MATCH('Buildings - Water'!U$6,'Emission factors'!$K$2:$V$2,0)))*$K18)</f>
        <v/>
      </c>
      <c r="V18" s="158" t="str">
        <f>IF(OR($N18="",BuildingsWaterTable[[#This Row],[RSD]]=""),"",BuildingsWaterTable[[#This Row],[Total emissions (kgCO2e)]]*(1+BuildingsWaterTable[[#This Row],[RSD]]))</f>
        <v/>
      </c>
      <c r="W18" s="159" t="str">
        <f>IF(OR($N18="",BuildingsWaterTable[[#This Row],[RSD]]=""),"",BuildingsWaterTable[[#This Row],[Total emissions (kgCO2e)]]*(1-BuildingsWaterTable[[#This Row],[RSD]]))</f>
        <v/>
      </c>
      <c r="X18" s="169" t="str" cm="1">
        <f t="array" ref="X18">IF(OR($E18="",$I18=""),"",(INDEX('Emission factors'!$K$3:$V$201,MATCH('Buildings - Water'!$E18&amp;$F18,'Emission factors'!$J$3:$J$201&amp;'Emission factors'!$K$3:$K$201,0),MATCH('Buildings - Water'!X$6,'Emission factors'!$K$2:$V$2,0)))*$K18)</f>
        <v/>
      </c>
      <c r="Y18" s="30"/>
      <c r="Z18" s="1" cm="1">
        <f t="array" ref="Z18">IF(OR(ISERROR(B18:X18)),1,0)</f>
        <v>0</v>
      </c>
      <c r="AA18" s="1">
        <f t="shared" si="1"/>
        <v>0</v>
      </c>
    </row>
    <row r="19" spans="1:27" ht="15" outlineLevel="1" thickBot="1" x14ac:dyDescent="0.4">
      <c r="A19" s="319"/>
      <c r="B19" s="216"/>
      <c r="C19" s="216"/>
      <c r="D19" s="233" t="str">
        <f>IFERROR(INDEX(BuildingInformationTable[Site type],MATCH(BuildingsWaterTable[[#This Row],[Site name]],BuildingInformationTable[Site name],0)),"")</f>
        <v/>
      </c>
      <c r="E19" s="312" t="str">
        <f t="shared" si="0"/>
        <v/>
      </c>
      <c r="F19" s="72"/>
      <c r="G19" s="72"/>
      <c r="H19" s="98" t="str">
        <f>IF(G19="","",INDEX(Lists!$BA$4:$BC$31,MATCH(E19,Lists!$AZ$4:$AZ$31,0),MATCH(G19,Lists!$BA$3:$BC$3,0)))</f>
        <v/>
      </c>
      <c r="I19" s="70"/>
      <c r="J19" s="72"/>
      <c r="K19" s="75" t="str" cm="1">
        <f t="array" ref="K19">IF(OR($E19="",$D19="",$I19="",$J19=""),"",IF(J19=L19,I19,(INDEX('Emission factors'!$K$3:$V$201,MATCH(E19&amp;F19,'Emission factors'!$J$3:$J$201&amp;'Emission factors'!$K$3:$K$201,0),MATCH(K$6,'Emission factors'!$K$2:$V$2,0)))*I19))</f>
        <v/>
      </c>
      <c r="L19" s="312" t="str">
        <f>IF(OR($E19="",$D19="",$I19="",$J19=""),"",INDEX('Emission factors'!$K$3:$V$201,MATCH('Buildings - Water'!$E19,'Emission factors'!$J$3:$J$201,0),MATCH($L$6,'Emission factors'!$K$2:$V$2,0)))</f>
        <v/>
      </c>
      <c r="M19" s="313" t="str" cm="1">
        <f t="array" ref="M19">IF(OR(E19="",I19="",BuildingsWaterTable[[#This Row],[Units]]=""),"",INDEX('Emission factors'!$K$3:$V$201,MATCH('Buildings - Water'!$E19&amp;F19,'Emission factors'!$J$3:$J$201&amp;'Emission factors'!$K$3:$K$201,0),MATCH('Buildings - Water'!$M$6,'Emission factors'!$K$2:$V$2,0)))</f>
        <v/>
      </c>
      <c r="N19" s="156" t="str">
        <f>IF(OR(K19="",M19=""),"",SUM(BuildingsWaterTable[[#This Row],[Direct]:[Indirect WTT]]))</f>
        <v/>
      </c>
      <c r="O19" s="71"/>
      <c r="P19" s="72"/>
      <c r="Q19" s="157" t="str" cm="1">
        <f t="array" ref="Q19">IF(OR($E19="",$I19=""),"",(INDEX('Emission factors'!$K$3:$V$201,MATCH('Buildings - Water'!$E19&amp;$F19,'Emission factors'!$J$3:$J$201&amp;'Emission factors'!$K$3:$K$201,0),MATCH('Buildings - Water'!Q$6,'Emission factors'!$K$2:$V$2,0)))*$K19)</f>
        <v/>
      </c>
      <c r="R19" s="157" t="str" cm="1">
        <f t="array" ref="R19">IF(OR($E19="",$I19=""),"",(INDEX('Emission factors'!$K$3:$V$201,MATCH('Buildings - Water'!$E19&amp;$F19,'Emission factors'!$J$3:$J$201&amp;'Emission factors'!$K$3:$K$201,0),MATCH('Buildings - Water'!R$6,'Emission factors'!$K$2:$V$2,0)))*$K19)</f>
        <v/>
      </c>
      <c r="S19" s="157" t="str" cm="1">
        <f t="array" ref="S19">IF(OR($E19="",$I19=""),"",(INDEX('Emission factors'!$K$3:$V$201,MATCH('Buildings - Water'!$E19&amp;$F19,'Emission factors'!$J$3:$J$201&amp;'Emission factors'!$K$3:$K$201,0),MATCH('Buildings - Water'!S$6,'Emission factors'!$K$2:$V$2,0)))*$K19)</f>
        <v/>
      </c>
      <c r="T19" s="157" t="str" cm="1">
        <f t="array" ref="T19">IF(OR($E19="",$I19=""),"",(INDEX('Emission factors'!$K$3:$V$201,MATCH('Buildings - Water'!$E19&amp;$F19,'Emission factors'!$J$3:$J$201&amp;'Emission factors'!$K$3:$K$201,0),MATCH('Buildings - Water'!T$6,'Emission factors'!$K$2:$V$2,0)))*$K19)</f>
        <v/>
      </c>
      <c r="U19" s="157" t="str" cm="1">
        <f t="array" ref="U19">IF(OR($E19="",$I19=""),"",(INDEX('Emission factors'!$K$3:$V$201,MATCH('Buildings - Water'!$E19&amp;$F19,'Emission factors'!$J$3:$J$201&amp;'Emission factors'!$K$3:$K$201,0),MATCH('Buildings - Water'!U$6,'Emission factors'!$K$2:$V$2,0)))*$K19)</f>
        <v/>
      </c>
      <c r="V19" s="158" t="str">
        <f>IF(OR($N19="",BuildingsWaterTable[[#This Row],[RSD]]=""),"",BuildingsWaterTable[[#This Row],[Total emissions (kgCO2e)]]*(1+BuildingsWaterTable[[#This Row],[RSD]]))</f>
        <v/>
      </c>
      <c r="W19" s="159" t="str">
        <f>IF(OR($N19="",BuildingsWaterTable[[#This Row],[RSD]]=""),"",BuildingsWaterTable[[#This Row],[Total emissions (kgCO2e)]]*(1-BuildingsWaterTable[[#This Row],[RSD]]))</f>
        <v/>
      </c>
      <c r="X19" s="169" t="str" cm="1">
        <f t="array" ref="X19">IF(OR($E19="",$I19=""),"",(INDEX('Emission factors'!$K$3:$V$201,MATCH('Buildings - Water'!$E19&amp;$F19,'Emission factors'!$J$3:$J$201&amp;'Emission factors'!$K$3:$K$201,0),MATCH('Buildings - Water'!X$6,'Emission factors'!$K$2:$V$2,0)))*$K19)</f>
        <v/>
      </c>
      <c r="Y19" s="30"/>
      <c r="Z19" s="1" cm="1">
        <f t="array" ref="Z19">IF(OR(ISERROR(B19:X19)),1,0)</f>
        <v>0</v>
      </c>
      <c r="AA19" s="1">
        <f t="shared" si="1"/>
        <v>0</v>
      </c>
    </row>
    <row r="20" spans="1:27" ht="15" outlineLevel="1" thickBot="1" x14ac:dyDescent="0.4">
      <c r="A20" s="319"/>
      <c r="B20" s="216"/>
      <c r="C20" s="216"/>
      <c r="D20" s="233" t="str">
        <f>IFERROR(INDEX(BuildingInformationTable[Site type],MATCH(BuildingsWaterTable[[#This Row],[Site name]],BuildingInformationTable[Site name],0)),"")</f>
        <v/>
      </c>
      <c r="E20" s="312" t="str">
        <f t="shared" si="0"/>
        <v/>
      </c>
      <c r="F20" s="72"/>
      <c r="G20" s="72"/>
      <c r="H20" s="98" t="str">
        <f>IF(G20="","",INDEX(Lists!$BA$4:$BC$31,MATCH(E20,Lists!$AZ$4:$AZ$31,0),MATCH(G20,Lists!$BA$3:$BC$3,0)))</f>
        <v/>
      </c>
      <c r="I20" s="70"/>
      <c r="J20" s="72"/>
      <c r="K20" s="75" t="str" cm="1">
        <f t="array" ref="K20">IF(OR($E20="",$D20="",$I20="",$J20=""),"",IF(J20=L20,I20,(INDEX('Emission factors'!$K$3:$V$201,MATCH(E20&amp;F20,'Emission factors'!$J$3:$J$201&amp;'Emission factors'!$K$3:$K$201,0),MATCH(K$6,'Emission factors'!$K$2:$V$2,0)))*I20))</f>
        <v/>
      </c>
      <c r="L20" s="312" t="str">
        <f>IF(OR($E20="",$D20="",$I20="",$J20=""),"",INDEX('Emission factors'!$K$3:$V$201,MATCH('Buildings - Water'!$E20,'Emission factors'!$J$3:$J$201,0),MATCH($L$6,'Emission factors'!$K$2:$V$2,0)))</f>
        <v/>
      </c>
      <c r="M20" s="313" t="str" cm="1">
        <f t="array" ref="M20">IF(OR(E20="",I20="",BuildingsWaterTable[[#This Row],[Units]]=""),"",INDEX('Emission factors'!$K$3:$V$201,MATCH('Buildings - Water'!$E20&amp;F20,'Emission factors'!$J$3:$J$201&amp;'Emission factors'!$K$3:$K$201,0),MATCH('Buildings - Water'!$M$6,'Emission factors'!$K$2:$V$2,0)))</f>
        <v/>
      </c>
      <c r="N20" s="156" t="str">
        <f>IF(OR(K20="",M20=""),"",SUM(BuildingsWaterTable[[#This Row],[Direct]:[Indirect WTT]]))</f>
        <v/>
      </c>
      <c r="O20" s="71"/>
      <c r="P20" s="72"/>
      <c r="Q20" s="157" t="str" cm="1">
        <f t="array" ref="Q20">IF(OR($E20="",$I20=""),"",(INDEX('Emission factors'!$K$3:$V$201,MATCH('Buildings - Water'!$E20&amp;$F20,'Emission factors'!$J$3:$J$201&amp;'Emission factors'!$K$3:$K$201,0),MATCH('Buildings - Water'!Q$6,'Emission factors'!$K$2:$V$2,0)))*$K20)</f>
        <v/>
      </c>
      <c r="R20" s="157" t="str" cm="1">
        <f t="array" ref="R20">IF(OR($E20="",$I20=""),"",(INDEX('Emission factors'!$K$3:$V$201,MATCH('Buildings - Water'!$E20&amp;$F20,'Emission factors'!$J$3:$J$201&amp;'Emission factors'!$K$3:$K$201,0),MATCH('Buildings - Water'!R$6,'Emission factors'!$K$2:$V$2,0)))*$K20)</f>
        <v/>
      </c>
      <c r="S20" s="157" t="str" cm="1">
        <f t="array" ref="S20">IF(OR($E20="",$I20=""),"",(INDEX('Emission factors'!$K$3:$V$201,MATCH('Buildings - Water'!$E20&amp;$F20,'Emission factors'!$J$3:$J$201&amp;'Emission factors'!$K$3:$K$201,0),MATCH('Buildings - Water'!S$6,'Emission factors'!$K$2:$V$2,0)))*$K20)</f>
        <v/>
      </c>
      <c r="T20" s="157" t="str" cm="1">
        <f t="array" ref="T20">IF(OR($E20="",$I20=""),"",(INDEX('Emission factors'!$K$3:$V$201,MATCH('Buildings - Water'!$E20&amp;$F20,'Emission factors'!$J$3:$J$201&amp;'Emission factors'!$K$3:$K$201,0),MATCH('Buildings - Water'!T$6,'Emission factors'!$K$2:$V$2,0)))*$K20)</f>
        <v/>
      </c>
      <c r="U20" s="157" t="str" cm="1">
        <f t="array" ref="U20">IF(OR($E20="",$I20=""),"",(INDEX('Emission factors'!$K$3:$V$201,MATCH('Buildings - Water'!$E20&amp;$F20,'Emission factors'!$J$3:$J$201&amp;'Emission factors'!$K$3:$K$201,0),MATCH('Buildings - Water'!U$6,'Emission factors'!$K$2:$V$2,0)))*$K20)</f>
        <v/>
      </c>
      <c r="V20" s="158" t="str">
        <f>IF(OR($N20="",BuildingsWaterTable[[#This Row],[RSD]]=""),"",BuildingsWaterTable[[#This Row],[Total emissions (kgCO2e)]]*(1+BuildingsWaterTable[[#This Row],[RSD]]))</f>
        <v/>
      </c>
      <c r="W20" s="159" t="str">
        <f>IF(OR($N20="",BuildingsWaterTable[[#This Row],[RSD]]=""),"",BuildingsWaterTable[[#This Row],[Total emissions (kgCO2e)]]*(1-BuildingsWaterTable[[#This Row],[RSD]]))</f>
        <v/>
      </c>
      <c r="X20" s="169" t="str" cm="1">
        <f t="array" ref="X20">IF(OR($E20="",$I20=""),"",(INDEX('Emission factors'!$K$3:$V$201,MATCH('Buildings - Water'!$E20&amp;$F20,'Emission factors'!$J$3:$J$201&amp;'Emission factors'!$K$3:$K$201,0),MATCH('Buildings - Water'!X$6,'Emission factors'!$K$2:$V$2,0)))*$K20)</f>
        <v/>
      </c>
      <c r="Y20" s="30"/>
      <c r="Z20" s="1" cm="1">
        <f t="array" ref="Z20">IF(OR(ISERROR(B20:X20)),1,0)</f>
        <v>0</v>
      </c>
      <c r="AA20" s="1">
        <f t="shared" si="1"/>
        <v>0</v>
      </c>
    </row>
    <row r="21" spans="1:27" ht="15" outlineLevel="1" thickBot="1" x14ac:dyDescent="0.4">
      <c r="A21" s="319"/>
      <c r="B21" s="216"/>
      <c r="C21" s="216"/>
      <c r="D21" s="233" t="str">
        <f>IFERROR(INDEX(BuildingInformationTable[Site type],MATCH(BuildingsWaterTable[[#This Row],[Site name]],BuildingInformationTable[Site name],0)),"")</f>
        <v/>
      </c>
      <c r="E21" s="312" t="str">
        <f t="shared" si="0"/>
        <v/>
      </c>
      <c r="F21" s="72"/>
      <c r="G21" s="72"/>
      <c r="H21" s="98" t="str">
        <f>IF(G21="","",INDEX(Lists!$BA$4:$BC$31,MATCH(E21,Lists!$AZ$4:$AZ$31,0),MATCH(G21,Lists!$BA$3:$BC$3,0)))</f>
        <v/>
      </c>
      <c r="I21" s="70"/>
      <c r="J21" s="72"/>
      <c r="K21" s="75" t="str" cm="1">
        <f t="array" ref="K21">IF(OR($E21="",$D21="",$I21="",$J21=""),"",IF(J21=L21,I21,(INDEX('Emission factors'!$K$3:$V$201,MATCH(E21&amp;F21,'Emission factors'!$J$3:$J$201&amp;'Emission factors'!$K$3:$K$201,0),MATCH(K$6,'Emission factors'!$K$2:$V$2,0)))*I21))</f>
        <v/>
      </c>
      <c r="L21" s="312" t="str">
        <f>IF(OR($E21="",$D21="",$I21="",$J21=""),"",INDEX('Emission factors'!$K$3:$V$201,MATCH('Buildings - Water'!$E21,'Emission factors'!$J$3:$J$201,0),MATCH($L$6,'Emission factors'!$K$2:$V$2,0)))</f>
        <v/>
      </c>
      <c r="M21" s="313" t="str" cm="1">
        <f t="array" ref="M21">IF(OR(E21="",I21="",BuildingsWaterTable[[#This Row],[Units]]=""),"",INDEX('Emission factors'!$K$3:$V$201,MATCH('Buildings - Water'!$E21&amp;F21,'Emission factors'!$J$3:$J$201&amp;'Emission factors'!$K$3:$K$201,0),MATCH('Buildings - Water'!$M$6,'Emission factors'!$K$2:$V$2,0)))</f>
        <v/>
      </c>
      <c r="N21" s="156" t="str">
        <f>IF(OR(K21="",M21=""),"",SUM(BuildingsWaterTable[[#This Row],[Direct]:[Indirect WTT]]))</f>
        <v/>
      </c>
      <c r="O21" s="71"/>
      <c r="P21" s="72"/>
      <c r="Q21" s="157" t="str" cm="1">
        <f t="array" ref="Q21">IF(OR($E21="",$I21=""),"",(INDEX('Emission factors'!$K$3:$V$201,MATCH('Buildings - Water'!$E21&amp;$F21,'Emission factors'!$J$3:$J$201&amp;'Emission factors'!$K$3:$K$201,0),MATCH('Buildings - Water'!Q$6,'Emission factors'!$K$2:$V$2,0)))*$K21)</f>
        <v/>
      </c>
      <c r="R21" s="157" t="str" cm="1">
        <f t="array" ref="R21">IF(OR($E21="",$I21=""),"",(INDEX('Emission factors'!$K$3:$V$201,MATCH('Buildings - Water'!$E21&amp;$F21,'Emission factors'!$J$3:$J$201&amp;'Emission factors'!$K$3:$K$201,0),MATCH('Buildings - Water'!R$6,'Emission factors'!$K$2:$V$2,0)))*$K21)</f>
        <v/>
      </c>
      <c r="S21" s="157" t="str" cm="1">
        <f t="array" ref="S21">IF(OR($E21="",$I21=""),"",(INDEX('Emission factors'!$K$3:$V$201,MATCH('Buildings - Water'!$E21&amp;$F21,'Emission factors'!$J$3:$J$201&amp;'Emission factors'!$K$3:$K$201,0),MATCH('Buildings - Water'!S$6,'Emission factors'!$K$2:$V$2,0)))*$K21)</f>
        <v/>
      </c>
      <c r="T21" s="157" t="str" cm="1">
        <f t="array" ref="T21">IF(OR($E21="",$I21=""),"",(INDEX('Emission factors'!$K$3:$V$201,MATCH('Buildings - Water'!$E21&amp;$F21,'Emission factors'!$J$3:$J$201&amp;'Emission factors'!$K$3:$K$201,0),MATCH('Buildings - Water'!T$6,'Emission factors'!$K$2:$V$2,0)))*$K21)</f>
        <v/>
      </c>
      <c r="U21" s="157" t="str" cm="1">
        <f t="array" ref="U21">IF(OR($E21="",$I21=""),"",(INDEX('Emission factors'!$K$3:$V$201,MATCH('Buildings - Water'!$E21&amp;$F21,'Emission factors'!$J$3:$J$201&amp;'Emission factors'!$K$3:$K$201,0),MATCH('Buildings - Water'!U$6,'Emission factors'!$K$2:$V$2,0)))*$K21)</f>
        <v/>
      </c>
      <c r="V21" s="158" t="str">
        <f>IF(OR($N21="",BuildingsWaterTable[[#This Row],[RSD]]=""),"",BuildingsWaterTable[[#This Row],[Total emissions (kgCO2e)]]*(1+BuildingsWaterTable[[#This Row],[RSD]]))</f>
        <v/>
      </c>
      <c r="W21" s="159" t="str">
        <f>IF(OR($N21="",BuildingsWaterTable[[#This Row],[RSD]]=""),"",BuildingsWaterTable[[#This Row],[Total emissions (kgCO2e)]]*(1-BuildingsWaterTable[[#This Row],[RSD]]))</f>
        <v/>
      </c>
      <c r="X21" s="169" t="str" cm="1">
        <f t="array" ref="X21">IF(OR($E21="",$I21=""),"",(INDEX('Emission factors'!$K$3:$V$201,MATCH('Buildings - Water'!$E21&amp;$F21,'Emission factors'!$J$3:$J$201&amp;'Emission factors'!$K$3:$K$201,0),MATCH('Buildings - Water'!X$6,'Emission factors'!$K$2:$V$2,0)))*$K21)</f>
        <v/>
      </c>
      <c r="Y21" s="30"/>
      <c r="Z21" s="1" cm="1">
        <f t="array" ref="Z21">IF(OR(ISERROR(B21:X21)),1,0)</f>
        <v>0</v>
      </c>
      <c r="AA21" s="1">
        <f t="shared" si="1"/>
        <v>0</v>
      </c>
    </row>
    <row r="22" spans="1:27" ht="15" outlineLevel="1" thickBot="1" x14ac:dyDescent="0.4">
      <c r="A22" s="319"/>
      <c r="B22" s="216"/>
      <c r="C22" s="216"/>
      <c r="D22" s="233" t="str">
        <f>IFERROR(INDEX(BuildingInformationTable[Site type],MATCH(BuildingsWaterTable[[#This Row],[Site name]],BuildingInformationTable[Site name],0)),"")</f>
        <v/>
      </c>
      <c r="E22" s="312" t="str">
        <f t="shared" si="0"/>
        <v/>
      </c>
      <c r="F22" s="72"/>
      <c r="G22" s="72"/>
      <c r="H22" s="98" t="str">
        <f>IF(G22="","",INDEX(Lists!$BA$4:$BC$31,MATCH(E22,Lists!$AZ$4:$AZ$31,0),MATCH(G22,Lists!$BA$3:$BC$3,0)))</f>
        <v/>
      </c>
      <c r="I22" s="70"/>
      <c r="J22" s="72"/>
      <c r="K22" s="75" t="str" cm="1">
        <f t="array" ref="K22">IF(OR($E22="",$D22="",$I22="",$J22=""),"",IF(J22=L22,I22,(INDEX('Emission factors'!$K$3:$V$201,MATCH(E22&amp;F22,'Emission factors'!$J$3:$J$201&amp;'Emission factors'!$K$3:$K$201,0),MATCH(K$6,'Emission factors'!$K$2:$V$2,0)))*I22))</f>
        <v/>
      </c>
      <c r="L22" s="312" t="str">
        <f>IF(OR($E22="",$D22="",$I22="",$J22=""),"",INDEX('Emission factors'!$K$3:$V$201,MATCH('Buildings - Water'!$E22,'Emission factors'!$J$3:$J$201,0),MATCH($L$6,'Emission factors'!$K$2:$V$2,0)))</f>
        <v/>
      </c>
      <c r="M22" s="313" t="str" cm="1">
        <f t="array" ref="M22">IF(OR(E22="",I22="",BuildingsWaterTable[[#This Row],[Units]]=""),"",INDEX('Emission factors'!$K$3:$V$201,MATCH('Buildings - Water'!$E22&amp;F22,'Emission factors'!$J$3:$J$201&amp;'Emission factors'!$K$3:$K$201,0),MATCH('Buildings - Water'!$M$6,'Emission factors'!$K$2:$V$2,0)))</f>
        <v/>
      </c>
      <c r="N22" s="156" t="str">
        <f>IF(OR(K22="",M22=""),"",SUM(BuildingsWaterTable[[#This Row],[Direct]:[Indirect WTT]]))</f>
        <v/>
      </c>
      <c r="O22" s="71"/>
      <c r="P22" s="72"/>
      <c r="Q22" s="157" t="str" cm="1">
        <f t="array" ref="Q22">IF(OR($E22="",$I22=""),"",(INDEX('Emission factors'!$K$3:$V$201,MATCH('Buildings - Water'!$E22&amp;$F22,'Emission factors'!$J$3:$J$201&amp;'Emission factors'!$K$3:$K$201,0),MATCH('Buildings - Water'!Q$6,'Emission factors'!$K$2:$V$2,0)))*$K22)</f>
        <v/>
      </c>
      <c r="R22" s="157" t="str" cm="1">
        <f t="array" ref="R22">IF(OR($E22="",$I22=""),"",(INDEX('Emission factors'!$K$3:$V$201,MATCH('Buildings - Water'!$E22&amp;$F22,'Emission factors'!$J$3:$J$201&amp;'Emission factors'!$K$3:$K$201,0),MATCH('Buildings - Water'!R$6,'Emission factors'!$K$2:$V$2,0)))*$K22)</f>
        <v/>
      </c>
      <c r="S22" s="157" t="str" cm="1">
        <f t="array" ref="S22">IF(OR($E22="",$I22=""),"",(INDEX('Emission factors'!$K$3:$V$201,MATCH('Buildings - Water'!$E22&amp;$F22,'Emission factors'!$J$3:$J$201&amp;'Emission factors'!$K$3:$K$201,0),MATCH('Buildings - Water'!S$6,'Emission factors'!$K$2:$V$2,0)))*$K22)</f>
        <v/>
      </c>
      <c r="T22" s="157" t="str" cm="1">
        <f t="array" ref="T22">IF(OR($E22="",$I22=""),"",(INDEX('Emission factors'!$K$3:$V$201,MATCH('Buildings - Water'!$E22&amp;$F22,'Emission factors'!$J$3:$J$201&amp;'Emission factors'!$K$3:$K$201,0),MATCH('Buildings - Water'!T$6,'Emission factors'!$K$2:$V$2,0)))*$K22)</f>
        <v/>
      </c>
      <c r="U22" s="157" t="str" cm="1">
        <f t="array" ref="U22">IF(OR($E22="",$I22=""),"",(INDEX('Emission factors'!$K$3:$V$201,MATCH('Buildings - Water'!$E22&amp;$F22,'Emission factors'!$J$3:$J$201&amp;'Emission factors'!$K$3:$K$201,0),MATCH('Buildings - Water'!U$6,'Emission factors'!$K$2:$V$2,0)))*$K22)</f>
        <v/>
      </c>
      <c r="V22" s="158" t="str">
        <f>IF(OR($N22="",BuildingsWaterTable[[#This Row],[RSD]]=""),"",BuildingsWaterTable[[#This Row],[Total emissions (kgCO2e)]]*(1+BuildingsWaterTable[[#This Row],[RSD]]))</f>
        <v/>
      </c>
      <c r="W22" s="159" t="str">
        <f>IF(OR($N22="",BuildingsWaterTable[[#This Row],[RSD]]=""),"",BuildingsWaterTable[[#This Row],[Total emissions (kgCO2e)]]*(1-BuildingsWaterTable[[#This Row],[RSD]]))</f>
        <v/>
      </c>
      <c r="X22" s="169" t="str" cm="1">
        <f t="array" ref="X22">IF(OR($E22="",$I22=""),"",(INDEX('Emission factors'!$K$3:$V$201,MATCH('Buildings - Water'!$E22&amp;$F22,'Emission factors'!$J$3:$J$201&amp;'Emission factors'!$K$3:$K$201,0),MATCH('Buildings - Water'!X$6,'Emission factors'!$K$2:$V$2,0)))*$K22)</f>
        <v/>
      </c>
      <c r="Y22" s="30"/>
      <c r="Z22" s="1" cm="1">
        <f t="array" ref="Z22">IF(OR(ISERROR(B22:X22)),1,0)</f>
        <v>0</v>
      </c>
      <c r="AA22" s="1">
        <f t="shared" si="1"/>
        <v>0</v>
      </c>
    </row>
    <row r="23" spans="1:27" ht="15" outlineLevel="1" thickBot="1" x14ac:dyDescent="0.4">
      <c r="A23" s="319"/>
      <c r="B23" s="216"/>
      <c r="C23" s="216"/>
      <c r="D23" s="233" t="str">
        <f>IFERROR(INDEX(BuildingInformationTable[Site type],MATCH(BuildingsWaterTable[[#This Row],[Site name]],BuildingInformationTable[Site name],0)),"")</f>
        <v/>
      </c>
      <c r="E23" s="312" t="str">
        <f t="shared" si="0"/>
        <v/>
      </c>
      <c r="F23" s="72"/>
      <c r="G23" s="72"/>
      <c r="H23" s="98" t="str">
        <f>IF(G23="","",INDEX(Lists!$BA$4:$BC$31,MATCH(E23,Lists!$AZ$4:$AZ$31,0),MATCH(G23,Lists!$BA$3:$BC$3,0)))</f>
        <v/>
      </c>
      <c r="I23" s="70"/>
      <c r="J23" s="72"/>
      <c r="K23" s="75" t="str" cm="1">
        <f t="array" ref="K23">IF(OR($E23="",$D23="",$I23="",$J23=""),"",IF(J23=L23,I23,(INDEX('Emission factors'!$K$3:$V$201,MATCH(E23&amp;F23,'Emission factors'!$J$3:$J$201&amp;'Emission factors'!$K$3:$K$201,0),MATCH(K$6,'Emission factors'!$K$2:$V$2,0)))*I23))</f>
        <v/>
      </c>
      <c r="L23" s="312" t="str">
        <f>IF(OR($E23="",$D23="",$I23="",$J23=""),"",INDEX('Emission factors'!$K$3:$V$201,MATCH('Buildings - Water'!$E23,'Emission factors'!$J$3:$J$201,0),MATCH($L$6,'Emission factors'!$K$2:$V$2,0)))</f>
        <v/>
      </c>
      <c r="M23" s="313" t="str" cm="1">
        <f t="array" ref="M23">IF(OR(E23="",I23="",BuildingsWaterTable[[#This Row],[Units]]=""),"",INDEX('Emission factors'!$K$3:$V$201,MATCH('Buildings - Water'!$E23&amp;F23,'Emission factors'!$J$3:$J$201&amp;'Emission factors'!$K$3:$K$201,0),MATCH('Buildings - Water'!$M$6,'Emission factors'!$K$2:$V$2,0)))</f>
        <v/>
      </c>
      <c r="N23" s="156" t="str">
        <f>IF(OR(K23="",M23=""),"",SUM(BuildingsWaterTable[[#This Row],[Direct]:[Indirect WTT]]))</f>
        <v/>
      </c>
      <c r="O23" s="71"/>
      <c r="P23" s="72"/>
      <c r="Q23" s="157" t="str" cm="1">
        <f t="array" ref="Q23">IF(OR($E23="",$I23=""),"",(INDEX('Emission factors'!$K$3:$V$201,MATCH('Buildings - Water'!$E23&amp;$F23,'Emission factors'!$J$3:$J$201&amp;'Emission factors'!$K$3:$K$201,0),MATCH('Buildings - Water'!Q$6,'Emission factors'!$K$2:$V$2,0)))*$K23)</f>
        <v/>
      </c>
      <c r="R23" s="157" t="str" cm="1">
        <f t="array" ref="R23">IF(OR($E23="",$I23=""),"",(INDEX('Emission factors'!$K$3:$V$201,MATCH('Buildings - Water'!$E23&amp;$F23,'Emission factors'!$J$3:$J$201&amp;'Emission factors'!$K$3:$K$201,0),MATCH('Buildings - Water'!R$6,'Emission factors'!$K$2:$V$2,0)))*$K23)</f>
        <v/>
      </c>
      <c r="S23" s="157" t="str" cm="1">
        <f t="array" ref="S23">IF(OR($E23="",$I23=""),"",(INDEX('Emission factors'!$K$3:$V$201,MATCH('Buildings - Water'!$E23&amp;$F23,'Emission factors'!$J$3:$J$201&amp;'Emission factors'!$K$3:$K$201,0),MATCH('Buildings - Water'!S$6,'Emission factors'!$K$2:$V$2,0)))*$K23)</f>
        <v/>
      </c>
      <c r="T23" s="157" t="str" cm="1">
        <f t="array" ref="T23">IF(OR($E23="",$I23=""),"",(INDEX('Emission factors'!$K$3:$V$201,MATCH('Buildings - Water'!$E23&amp;$F23,'Emission factors'!$J$3:$J$201&amp;'Emission factors'!$K$3:$K$201,0),MATCH('Buildings - Water'!T$6,'Emission factors'!$K$2:$V$2,0)))*$K23)</f>
        <v/>
      </c>
      <c r="U23" s="157" t="str" cm="1">
        <f t="array" ref="U23">IF(OR($E23="",$I23=""),"",(INDEX('Emission factors'!$K$3:$V$201,MATCH('Buildings - Water'!$E23&amp;$F23,'Emission factors'!$J$3:$J$201&amp;'Emission factors'!$K$3:$K$201,0),MATCH('Buildings - Water'!U$6,'Emission factors'!$K$2:$V$2,0)))*$K23)</f>
        <v/>
      </c>
      <c r="V23" s="158" t="str">
        <f>IF(OR($N23="",BuildingsWaterTable[[#This Row],[RSD]]=""),"",BuildingsWaterTable[[#This Row],[Total emissions (kgCO2e)]]*(1+BuildingsWaterTable[[#This Row],[RSD]]))</f>
        <v/>
      </c>
      <c r="W23" s="159" t="str">
        <f>IF(OR($N23="",BuildingsWaterTable[[#This Row],[RSD]]=""),"",BuildingsWaterTable[[#This Row],[Total emissions (kgCO2e)]]*(1-BuildingsWaterTable[[#This Row],[RSD]]))</f>
        <v/>
      </c>
      <c r="X23" s="169" t="str" cm="1">
        <f t="array" ref="X23">IF(OR($E23="",$I23=""),"",(INDEX('Emission factors'!$K$3:$V$201,MATCH('Buildings - Water'!$E23&amp;$F23,'Emission factors'!$J$3:$J$201&amp;'Emission factors'!$K$3:$K$201,0),MATCH('Buildings - Water'!X$6,'Emission factors'!$K$2:$V$2,0)))*$K23)</f>
        <v/>
      </c>
      <c r="Y23" s="30"/>
      <c r="Z23" s="1" cm="1">
        <f t="array" ref="Z23">IF(OR(ISERROR(B23:X23)),1,0)</f>
        <v>0</v>
      </c>
      <c r="AA23" s="1">
        <f t="shared" si="1"/>
        <v>0</v>
      </c>
    </row>
    <row r="24" spans="1:27" ht="15" outlineLevel="1" thickBot="1" x14ac:dyDescent="0.4">
      <c r="A24" s="319"/>
      <c r="B24" s="216"/>
      <c r="C24" s="216"/>
      <c r="D24" s="233" t="str">
        <f>IFERROR(INDEX(BuildingInformationTable[Site type],MATCH(BuildingsWaterTable[[#This Row],[Site name]],BuildingInformationTable[Site name],0)),"")</f>
        <v/>
      </c>
      <c r="E24" s="312" t="str">
        <f t="shared" si="0"/>
        <v/>
      </c>
      <c r="F24" s="72"/>
      <c r="G24" s="72"/>
      <c r="H24" s="98" t="str">
        <f>IF(G24="","",INDEX(Lists!$BA$4:$BC$31,MATCH(E24,Lists!$AZ$4:$AZ$31,0),MATCH(G24,Lists!$BA$3:$BC$3,0)))</f>
        <v/>
      </c>
      <c r="I24" s="70"/>
      <c r="J24" s="72"/>
      <c r="K24" s="75" t="str" cm="1">
        <f t="array" ref="K24">IF(OR($E24="",$D24="",$I24="",$J24=""),"",IF(J24=L24,I24,(INDEX('Emission factors'!$K$3:$V$201,MATCH(E24&amp;F24,'Emission factors'!$J$3:$J$201&amp;'Emission factors'!$K$3:$K$201,0),MATCH(K$6,'Emission factors'!$K$2:$V$2,0)))*I24))</f>
        <v/>
      </c>
      <c r="L24" s="312" t="str">
        <f>IF(OR($E24="",$D24="",$I24="",$J24=""),"",INDEX('Emission factors'!$K$3:$V$201,MATCH('Buildings - Water'!$E24,'Emission factors'!$J$3:$J$201,0),MATCH($L$6,'Emission factors'!$K$2:$V$2,0)))</f>
        <v/>
      </c>
      <c r="M24" s="313" t="str" cm="1">
        <f t="array" ref="M24">IF(OR(E24="",I24="",BuildingsWaterTable[[#This Row],[Units]]=""),"",INDEX('Emission factors'!$K$3:$V$201,MATCH('Buildings - Water'!$E24&amp;F24,'Emission factors'!$J$3:$J$201&amp;'Emission factors'!$K$3:$K$201,0),MATCH('Buildings - Water'!$M$6,'Emission factors'!$K$2:$V$2,0)))</f>
        <v/>
      </c>
      <c r="N24" s="156" t="str">
        <f>IF(OR(K24="",M24=""),"",SUM(BuildingsWaterTable[[#This Row],[Direct]:[Indirect WTT]]))</f>
        <v/>
      </c>
      <c r="O24" s="71"/>
      <c r="P24" s="72"/>
      <c r="Q24" s="157" t="str" cm="1">
        <f t="array" ref="Q24">IF(OR($E24="",$I24=""),"",(INDEX('Emission factors'!$K$3:$V$201,MATCH('Buildings - Water'!$E24&amp;$F24,'Emission factors'!$J$3:$J$201&amp;'Emission factors'!$K$3:$K$201,0),MATCH('Buildings - Water'!Q$6,'Emission factors'!$K$2:$V$2,0)))*$K24)</f>
        <v/>
      </c>
      <c r="R24" s="157" t="str" cm="1">
        <f t="array" ref="R24">IF(OR($E24="",$I24=""),"",(INDEX('Emission factors'!$K$3:$V$201,MATCH('Buildings - Water'!$E24&amp;$F24,'Emission factors'!$J$3:$J$201&amp;'Emission factors'!$K$3:$K$201,0),MATCH('Buildings - Water'!R$6,'Emission factors'!$K$2:$V$2,0)))*$K24)</f>
        <v/>
      </c>
      <c r="S24" s="157" t="str" cm="1">
        <f t="array" ref="S24">IF(OR($E24="",$I24=""),"",(INDEX('Emission factors'!$K$3:$V$201,MATCH('Buildings - Water'!$E24&amp;$F24,'Emission factors'!$J$3:$J$201&amp;'Emission factors'!$K$3:$K$201,0),MATCH('Buildings - Water'!S$6,'Emission factors'!$K$2:$V$2,0)))*$K24)</f>
        <v/>
      </c>
      <c r="T24" s="157" t="str" cm="1">
        <f t="array" ref="T24">IF(OR($E24="",$I24=""),"",(INDEX('Emission factors'!$K$3:$V$201,MATCH('Buildings - Water'!$E24&amp;$F24,'Emission factors'!$J$3:$J$201&amp;'Emission factors'!$K$3:$K$201,0),MATCH('Buildings - Water'!T$6,'Emission factors'!$K$2:$V$2,0)))*$K24)</f>
        <v/>
      </c>
      <c r="U24" s="157" t="str" cm="1">
        <f t="array" ref="U24">IF(OR($E24="",$I24=""),"",(INDEX('Emission factors'!$K$3:$V$201,MATCH('Buildings - Water'!$E24&amp;$F24,'Emission factors'!$J$3:$J$201&amp;'Emission factors'!$K$3:$K$201,0),MATCH('Buildings - Water'!U$6,'Emission factors'!$K$2:$V$2,0)))*$K24)</f>
        <v/>
      </c>
      <c r="V24" s="158" t="str">
        <f>IF(OR($N24="",BuildingsWaterTable[[#This Row],[RSD]]=""),"",BuildingsWaterTable[[#This Row],[Total emissions (kgCO2e)]]*(1+BuildingsWaterTable[[#This Row],[RSD]]))</f>
        <v/>
      </c>
      <c r="W24" s="159" t="str">
        <f>IF(OR($N24="",BuildingsWaterTable[[#This Row],[RSD]]=""),"",BuildingsWaterTable[[#This Row],[Total emissions (kgCO2e)]]*(1-BuildingsWaterTable[[#This Row],[RSD]]))</f>
        <v/>
      </c>
      <c r="X24" s="169" t="str" cm="1">
        <f t="array" ref="X24">IF(OR($E24="",$I24=""),"",(INDEX('Emission factors'!$K$3:$V$201,MATCH('Buildings - Water'!$E24&amp;$F24,'Emission factors'!$J$3:$J$201&amp;'Emission factors'!$K$3:$K$201,0),MATCH('Buildings - Water'!X$6,'Emission factors'!$K$2:$V$2,0)))*$K24)</f>
        <v/>
      </c>
      <c r="Y24" s="30"/>
      <c r="Z24" s="1" cm="1">
        <f t="array" ref="Z24">IF(OR(ISERROR(B24:X24)),1,0)</f>
        <v>0</v>
      </c>
      <c r="AA24" s="1">
        <f t="shared" si="1"/>
        <v>0</v>
      </c>
    </row>
    <row r="25" spans="1:27" ht="15" outlineLevel="1" thickBot="1" x14ac:dyDescent="0.4">
      <c r="A25" s="319"/>
      <c r="B25" s="216"/>
      <c r="C25" s="216"/>
      <c r="D25" s="233" t="str">
        <f>IFERROR(INDEX(BuildingInformationTable[Site type],MATCH(BuildingsWaterTable[[#This Row],[Site name]],BuildingInformationTable[Site name],0)),"")</f>
        <v/>
      </c>
      <c r="E25" s="312" t="str">
        <f t="shared" si="0"/>
        <v/>
      </c>
      <c r="F25" s="72"/>
      <c r="G25" s="72"/>
      <c r="H25" s="98" t="str">
        <f>IF(G25="","",INDEX(Lists!$BA$4:$BC$31,MATCH(E25,Lists!$AZ$4:$AZ$31,0),MATCH(G25,Lists!$BA$3:$BC$3,0)))</f>
        <v/>
      </c>
      <c r="I25" s="70"/>
      <c r="J25" s="72"/>
      <c r="K25" s="75" t="str" cm="1">
        <f t="array" ref="K25">IF(OR($E25="",$D25="",$I25="",$J25=""),"",IF(J25=L25,I25,(INDEX('Emission factors'!$K$3:$V$201,MATCH(E25&amp;F25,'Emission factors'!$J$3:$J$201&amp;'Emission factors'!$K$3:$K$201,0),MATCH(K$6,'Emission factors'!$K$2:$V$2,0)))*I25))</f>
        <v/>
      </c>
      <c r="L25" s="312" t="str">
        <f>IF(OR($E25="",$D25="",$I25="",$J25=""),"",INDEX('Emission factors'!$K$3:$V$201,MATCH('Buildings - Water'!$E25,'Emission factors'!$J$3:$J$201,0),MATCH($L$6,'Emission factors'!$K$2:$V$2,0)))</f>
        <v/>
      </c>
      <c r="M25" s="313" t="str" cm="1">
        <f t="array" ref="M25">IF(OR(E25="",I25="",BuildingsWaterTable[[#This Row],[Units]]=""),"",INDEX('Emission factors'!$K$3:$V$201,MATCH('Buildings - Water'!$E25&amp;F25,'Emission factors'!$J$3:$J$201&amp;'Emission factors'!$K$3:$K$201,0),MATCH('Buildings - Water'!$M$6,'Emission factors'!$K$2:$V$2,0)))</f>
        <v/>
      </c>
      <c r="N25" s="156" t="str">
        <f>IF(OR(K25="",M25=""),"",SUM(BuildingsWaterTable[[#This Row],[Direct]:[Indirect WTT]]))</f>
        <v/>
      </c>
      <c r="O25" s="71"/>
      <c r="P25" s="72"/>
      <c r="Q25" s="157" t="str" cm="1">
        <f t="array" ref="Q25">IF(OR($E25="",$I25=""),"",(INDEX('Emission factors'!$K$3:$V$201,MATCH('Buildings - Water'!$E25&amp;$F25,'Emission factors'!$J$3:$J$201&amp;'Emission factors'!$K$3:$K$201,0),MATCH('Buildings - Water'!Q$6,'Emission factors'!$K$2:$V$2,0)))*$K25)</f>
        <v/>
      </c>
      <c r="R25" s="157" t="str" cm="1">
        <f t="array" ref="R25">IF(OR($E25="",$I25=""),"",(INDEX('Emission factors'!$K$3:$V$201,MATCH('Buildings - Water'!$E25&amp;$F25,'Emission factors'!$J$3:$J$201&amp;'Emission factors'!$K$3:$K$201,0),MATCH('Buildings - Water'!R$6,'Emission factors'!$K$2:$V$2,0)))*$K25)</f>
        <v/>
      </c>
      <c r="S25" s="157" t="str" cm="1">
        <f t="array" ref="S25">IF(OR($E25="",$I25=""),"",(INDEX('Emission factors'!$K$3:$V$201,MATCH('Buildings - Water'!$E25&amp;$F25,'Emission factors'!$J$3:$J$201&amp;'Emission factors'!$K$3:$K$201,0),MATCH('Buildings - Water'!S$6,'Emission factors'!$K$2:$V$2,0)))*$K25)</f>
        <v/>
      </c>
      <c r="T25" s="157" t="str" cm="1">
        <f t="array" ref="T25">IF(OR($E25="",$I25=""),"",(INDEX('Emission factors'!$K$3:$V$201,MATCH('Buildings - Water'!$E25&amp;$F25,'Emission factors'!$J$3:$J$201&amp;'Emission factors'!$K$3:$K$201,0),MATCH('Buildings - Water'!T$6,'Emission factors'!$K$2:$V$2,0)))*$K25)</f>
        <v/>
      </c>
      <c r="U25" s="157" t="str" cm="1">
        <f t="array" ref="U25">IF(OR($E25="",$I25=""),"",(INDEX('Emission factors'!$K$3:$V$201,MATCH('Buildings - Water'!$E25&amp;$F25,'Emission factors'!$J$3:$J$201&amp;'Emission factors'!$K$3:$K$201,0),MATCH('Buildings - Water'!U$6,'Emission factors'!$K$2:$V$2,0)))*$K25)</f>
        <v/>
      </c>
      <c r="V25" s="158" t="str">
        <f>IF(OR($N25="",BuildingsWaterTable[[#This Row],[RSD]]=""),"",BuildingsWaterTable[[#This Row],[Total emissions (kgCO2e)]]*(1+BuildingsWaterTable[[#This Row],[RSD]]))</f>
        <v/>
      </c>
      <c r="W25" s="159" t="str">
        <f>IF(OR($N25="",BuildingsWaterTable[[#This Row],[RSD]]=""),"",BuildingsWaterTable[[#This Row],[Total emissions (kgCO2e)]]*(1-BuildingsWaterTable[[#This Row],[RSD]]))</f>
        <v/>
      </c>
      <c r="X25" s="169" t="str" cm="1">
        <f t="array" ref="X25">IF(OR($E25="",$I25=""),"",(INDEX('Emission factors'!$K$3:$V$201,MATCH('Buildings - Water'!$E25&amp;$F25,'Emission factors'!$J$3:$J$201&amp;'Emission factors'!$K$3:$K$201,0),MATCH('Buildings - Water'!X$6,'Emission factors'!$K$2:$V$2,0)))*$K25)</f>
        <v/>
      </c>
      <c r="Y25" s="30"/>
      <c r="Z25" s="1" cm="1">
        <f t="array" ref="Z25">IF(OR(ISERROR(B25:X25)),1,0)</f>
        <v>0</v>
      </c>
      <c r="AA25" s="1">
        <f t="shared" si="1"/>
        <v>0</v>
      </c>
    </row>
    <row r="26" spans="1:27" ht="15" outlineLevel="1" thickBot="1" x14ac:dyDescent="0.4">
      <c r="A26" s="319"/>
      <c r="B26" s="216"/>
      <c r="C26" s="216"/>
      <c r="D26" s="233" t="str">
        <f>IFERROR(INDEX(BuildingInformationTable[Site type],MATCH(BuildingsWaterTable[[#This Row],[Site name]],BuildingInformationTable[Site name],0)),"")</f>
        <v/>
      </c>
      <c r="E26" s="312" t="str">
        <f t="shared" si="0"/>
        <v/>
      </c>
      <c r="F26" s="72"/>
      <c r="G26" s="72"/>
      <c r="H26" s="98" t="str">
        <f>IF(G26="","",INDEX(Lists!$BA$4:$BC$31,MATCH(E26,Lists!$AZ$4:$AZ$31,0),MATCH(G26,Lists!$BA$3:$BC$3,0)))</f>
        <v/>
      </c>
      <c r="I26" s="70"/>
      <c r="J26" s="72"/>
      <c r="K26" s="75" t="str" cm="1">
        <f t="array" ref="K26">IF(OR($E26="",$D26="",$I26="",$J26=""),"",IF(J26=L26,I26,(INDEX('Emission factors'!$K$3:$V$201,MATCH(E26&amp;F26,'Emission factors'!$J$3:$J$201&amp;'Emission factors'!$K$3:$K$201,0),MATCH(K$6,'Emission factors'!$K$2:$V$2,0)))*I26))</f>
        <v/>
      </c>
      <c r="L26" s="312" t="str">
        <f>IF(OR($E26="",$D26="",$I26="",$J26=""),"",INDEX('Emission factors'!$K$3:$V$201,MATCH('Buildings - Water'!$E26,'Emission factors'!$J$3:$J$201,0),MATCH($L$6,'Emission factors'!$K$2:$V$2,0)))</f>
        <v/>
      </c>
      <c r="M26" s="313" t="str" cm="1">
        <f t="array" ref="M26">IF(OR(E26="",I26="",BuildingsWaterTable[[#This Row],[Units]]=""),"",INDEX('Emission factors'!$K$3:$V$201,MATCH('Buildings - Water'!$E26&amp;F26,'Emission factors'!$J$3:$J$201&amp;'Emission factors'!$K$3:$K$201,0),MATCH('Buildings - Water'!$M$6,'Emission factors'!$K$2:$V$2,0)))</f>
        <v/>
      </c>
      <c r="N26" s="156" t="str">
        <f>IF(OR(K26="",M26=""),"",SUM(BuildingsWaterTable[[#This Row],[Direct]:[Indirect WTT]]))</f>
        <v/>
      </c>
      <c r="O26" s="71"/>
      <c r="P26" s="72"/>
      <c r="Q26" s="157" t="str" cm="1">
        <f t="array" ref="Q26">IF(OR($E26="",$I26=""),"",(INDEX('Emission factors'!$K$3:$V$201,MATCH('Buildings - Water'!$E26&amp;$F26,'Emission factors'!$J$3:$J$201&amp;'Emission factors'!$K$3:$K$201,0),MATCH('Buildings - Water'!Q$6,'Emission factors'!$K$2:$V$2,0)))*$K26)</f>
        <v/>
      </c>
      <c r="R26" s="157" t="str" cm="1">
        <f t="array" ref="R26">IF(OR($E26="",$I26=""),"",(INDEX('Emission factors'!$K$3:$V$201,MATCH('Buildings - Water'!$E26&amp;$F26,'Emission factors'!$J$3:$J$201&amp;'Emission factors'!$K$3:$K$201,0),MATCH('Buildings - Water'!R$6,'Emission factors'!$K$2:$V$2,0)))*$K26)</f>
        <v/>
      </c>
      <c r="S26" s="157" t="str" cm="1">
        <f t="array" ref="S26">IF(OR($E26="",$I26=""),"",(INDEX('Emission factors'!$K$3:$V$201,MATCH('Buildings - Water'!$E26&amp;$F26,'Emission factors'!$J$3:$J$201&amp;'Emission factors'!$K$3:$K$201,0),MATCH('Buildings - Water'!S$6,'Emission factors'!$K$2:$V$2,0)))*$K26)</f>
        <v/>
      </c>
      <c r="T26" s="157" t="str" cm="1">
        <f t="array" ref="T26">IF(OR($E26="",$I26=""),"",(INDEX('Emission factors'!$K$3:$V$201,MATCH('Buildings - Water'!$E26&amp;$F26,'Emission factors'!$J$3:$J$201&amp;'Emission factors'!$K$3:$K$201,0),MATCH('Buildings - Water'!T$6,'Emission factors'!$K$2:$V$2,0)))*$K26)</f>
        <v/>
      </c>
      <c r="U26" s="157" t="str" cm="1">
        <f t="array" ref="U26">IF(OR($E26="",$I26=""),"",(INDEX('Emission factors'!$K$3:$V$201,MATCH('Buildings - Water'!$E26&amp;$F26,'Emission factors'!$J$3:$J$201&amp;'Emission factors'!$K$3:$K$201,0),MATCH('Buildings - Water'!U$6,'Emission factors'!$K$2:$V$2,0)))*$K26)</f>
        <v/>
      </c>
      <c r="V26" s="158" t="str">
        <f>IF(OR($N26="",BuildingsWaterTable[[#This Row],[RSD]]=""),"",BuildingsWaterTable[[#This Row],[Total emissions (kgCO2e)]]*(1+BuildingsWaterTable[[#This Row],[RSD]]))</f>
        <v/>
      </c>
      <c r="W26" s="159" t="str">
        <f>IF(OR($N26="",BuildingsWaterTable[[#This Row],[RSD]]=""),"",BuildingsWaterTable[[#This Row],[Total emissions (kgCO2e)]]*(1-BuildingsWaterTable[[#This Row],[RSD]]))</f>
        <v/>
      </c>
      <c r="X26" s="169" t="str" cm="1">
        <f t="array" ref="X26">IF(OR($E26="",$I26=""),"",(INDEX('Emission factors'!$K$3:$V$201,MATCH('Buildings - Water'!$E26&amp;$F26,'Emission factors'!$J$3:$J$201&amp;'Emission factors'!$K$3:$K$201,0),MATCH('Buildings - Water'!X$6,'Emission factors'!$K$2:$V$2,0)))*$K26)</f>
        <v/>
      </c>
      <c r="Y26" s="30"/>
      <c r="Z26" s="1" cm="1">
        <f t="array" ref="Z26">IF(OR(ISERROR(B26:X26)),1,0)</f>
        <v>0</v>
      </c>
      <c r="AA26" s="1">
        <f t="shared" si="1"/>
        <v>0</v>
      </c>
    </row>
    <row r="27" spans="1:27" ht="15" outlineLevel="1" thickBot="1" x14ac:dyDescent="0.4">
      <c r="A27" s="319"/>
      <c r="B27" s="216"/>
      <c r="C27" s="216"/>
      <c r="D27" s="233" t="str">
        <f>IFERROR(INDEX(BuildingInformationTable[Site type],MATCH(BuildingsWaterTable[[#This Row],[Site name]],BuildingInformationTable[Site name],0)),"")</f>
        <v/>
      </c>
      <c r="E27" s="312" t="str">
        <f t="shared" si="0"/>
        <v/>
      </c>
      <c r="F27" s="72"/>
      <c r="G27" s="72"/>
      <c r="H27" s="98" t="str">
        <f>IF(G27="","",INDEX(Lists!$BA$4:$BC$31,MATCH(E27,Lists!$AZ$4:$AZ$31,0),MATCH(G27,Lists!$BA$3:$BC$3,0)))</f>
        <v/>
      </c>
      <c r="I27" s="70"/>
      <c r="J27" s="72"/>
      <c r="K27" s="75" t="str" cm="1">
        <f t="array" ref="K27">IF(OR($E27="",$D27="",$I27="",$J27=""),"",IF(J27=L27,I27,(INDEX('Emission factors'!$K$3:$V$201,MATCH(E27&amp;F27,'Emission factors'!$J$3:$J$201&amp;'Emission factors'!$K$3:$K$201,0),MATCH(K$6,'Emission factors'!$K$2:$V$2,0)))*I27))</f>
        <v/>
      </c>
      <c r="L27" s="312" t="str">
        <f>IF(OR($E27="",$D27="",$I27="",$J27=""),"",INDEX('Emission factors'!$K$3:$V$201,MATCH('Buildings - Water'!$E27,'Emission factors'!$J$3:$J$201,0),MATCH($L$6,'Emission factors'!$K$2:$V$2,0)))</f>
        <v/>
      </c>
      <c r="M27" s="313" t="str" cm="1">
        <f t="array" ref="M27">IF(OR(E27="",I27="",BuildingsWaterTable[[#This Row],[Units]]=""),"",INDEX('Emission factors'!$K$3:$V$201,MATCH('Buildings - Water'!$E27&amp;F27,'Emission factors'!$J$3:$J$201&amp;'Emission factors'!$K$3:$K$201,0),MATCH('Buildings - Water'!$M$6,'Emission factors'!$K$2:$V$2,0)))</f>
        <v/>
      </c>
      <c r="N27" s="156" t="str">
        <f>IF(OR(K27="",M27=""),"",SUM(BuildingsWaterTable[[#This Row],[Direct]:[Indirect WTT]]))</f>
        <v/>
      </c>
      <c r="O27" s="71"/>
      <c r="P27" s="72"/>
      <c r="Q27" s="157" t="str" cm="1">
        <f t="array" ref="Q27">IF(OR($E27="",$I27=""),"",(INDEX('Emission factors'!$K$3:$V$201,MATCH('Buildings - Water'!$E27&amp;$F27,'Emission factors'!$J$3:$J$201&amp;'Emission factors'!$K$3:$K$201,0),MATCH('Buildings - Water'!Q$6,'Emission factors'!$K$2:$V$2,0)))*$K27)</f>
        <v/>
      </c>
      <c r="R27" s="157" t="str" cm="1">
        <f t="array" ref="R27">IF(OR($E27="",$I27=""),"",(INDEX('Emission factors'!$K$3:$V$201,MATCH('Buildings - Water'!$E27&amp;$F27,'Emission factors'!$J$3:$J$201&amp;'Emission factors'!$K$3:$K$201,0),MATCH('Buildings - Water'!R$6,'Emission factors'!$K$2:$V$2,0)))*$K27)</f>
        <v/>
      </c>
      <c r="S27" s="157" t="str" cm="1">
        <f t="array" ref="S27">IF(OR($E27="",$I27=""),"",(INDEX('Emission factors'!$K$3:$V$201,MATCH('Buildings - Water'!$E27&amp;$F27,'Emission factors'!$J$3:$J$201&amp;'Emission factors'!$K$3:$K$201,0),MATCH('Buildings - Water'!S$6,'Emission factors'!$K$2:$V$2,0)))*$K27)</f>
        <v/>
      </c>
      <c r="T27" s="157" t="str" cm="1">
        <f t="array" ref="T27">IF(OR($E27="",$I27=""),"",(INDEX('Emission factors'!$K$3:$V$201,MATCH('Buildings - Water'!$E27&amp;$F27,'Emission factors'!$J$3:$J$201&amp;'Emission factors'!$K$3:$K$201,0),MATCH('Buildings - Water'!T$6,'Emission factors'!$K$2:$V$2,0)))*$K27)</f>
        <v/>
      </c>
      <c r="U27" s="157" t="str" cm="1">
        <f t="array" ref="U27">IF(OR($E27="",$I27=""),"",(INDEX('Emission factors'!$K$3:$V$201,MATCH('Buildings - Water'!$E27&amp;$F27,'Emission factors'!$J$3:$J$201&amp;'Emission factors'!$K$3:$K$201,0),MATCH('Buildings - Water'!U$6,'Emission factors'!$K$2:$V$2,0)))*$K27)</f>
        <v/>
      </c>
      <c r="V27" s="158" t="str">
        <f>IF(OR($N27="",BuildingsWaterTable[[#This Row],[RSD]]=""),"",BuildingsWaterTable[[#This Row],[Total emissions (kgCO2e)]]*(1+BuildingsWaterTable[[#This Row],[RSD]]))</f>
        <v/>
      </c>
      <c r="W27" s="159" t="str">
        <f>IF(OR($N27="",BuildingsWaterTable[[#This Row],[RSD]]=""),"",BuildingsWaterTable[[#This Row],[Total emissions (kgCO2e)]]*(1-BuildingsWaterTable[[#This Row],[RSD]]))</f>
        <v/>
      </c>
      <c r="X27" s="169" t="str" cm="1">
        <f t="array" ref="X27">IF(OR($E27="",$I27=""),"",(INDEX('Emission factors'!$K$3:$V$201,MATCH('Buildings - Water'!$E27&amp;$F27,'Emission factors'!$J$3:$J$201&amp;'Emission factors'!$K$3:$K$201,0),MATCH('Buildings - Water'!X$6,'Emission factors'!$K$2:$V$2,0)))*$K27)</f>
        <v/>
      </c>
      <c r="Y27" s="30"/>
      <c r="Z27" s="1" cm="1">
        <f t="array" ref="Z27">IF(OR(ISERROR(B27:X27)),1,0)</f>
        <v>0</v>
      </c>
      <c r="AA27" s="1">
        <f t="shared" si="1"/>
        <v>0</v>
      </c>
    </row>
    <row r="28" spans="1:27" ht="15" outlineLevel="1" thickBot="1" x14ac:dyDescent="0.4">
      <c r="A28" s="319"/>
      <c r="B28" s="216"/>
      <c r="C28" s="216"/>
      <c r="D28" s="233" t="str">
        <f>IFERROR(INDEX(BuildingInformationTable[Site type],MATCH(BuildingsWaterTable[[#This Row],[Site name]],BuildingInformationTable[Site name],0)),"")</f>
        <v/>
      </c>
      <c r="E28" s="312" t="str">
        <f t="shared" si="0"/>
        <v/>
      </c>
      <c r="F28" s="72"/>
      <c r="G28" s="72"/>
      <c r="H28" s="98" t="str">
        <f>IF(G28="","",INDEX(Lists!$BA$4:$BC$31,MATCH(E28,Lists!$AZ$4:$AZ$31,0),MATCH(G28,Lists!$BA$3:$BC$3,0)))</f>
        <v/>
      </c>
      <c r="I28" s="70"/>
      <c r="J28" s="72"/>
      <c r="K28" s="75" t="str" cm="1">
        <f t="array" ref="K28">IF(OR($E28="",$D28="",$I28="",$J28=""),"",IF(J28=L28,I28,(INDEX('Emission factors'!$K$3:$V$201,MATCH(E28&amp;F28,'Emission factors'!$J$3:$J$201&amp;'Emission factors'!$K$3:$K$201,0),MATCH(K$6,'Emission factors'!$K$2:$V$2,0)))*I28))</f>
        <v/>
      </c>
      <c r="L28" s="312" t="str">
        <f>IF(OR($E28="",$D28="",$I28="",$J28=""),"",INDEX('Emission factors'!$K$3:$V$201,MATCH('Buildings - Water'!$E28,'Emission factors'!$J$3:$J$201,0),MATCH($L$6,'Emission factors'!$K$2:$V$2,0)))</f>
        <v/>
      </c>
      <c r="M28" s="313" t="str" cm="1">
        <f t="array" ref="M28">IF(OR(E28="",I28="",BuildingsWaterTable[[#This Row],[Units]]=""),"",INDEX('Emission factors'!$K$3:$V$201,MATCH('Buildings - Water'!$E28&amp;F28,'Emission factors'!$J$3:$J$201&amp;'Emission factors'!$K$3:$K$201,0),MATCH('Buildings - Water'!$M$6,'Emission factors'!$K$2:$V$2,0)))</f>
        <v/>
      </c>
      <c r="N28" s="156" t="str">
        <f>IF(OR(K28="",M28=""),"",SUM(BuildingsWaterTable[[#This Row],[Direct]:[Indirect WTT]]))</f>
        <v/>
      </c>
      <c r="O28" s="71"/>
      <c r="P28" s="72"/>
      <c r="Q28" s="157" t="str" cm="1">
        <f t="array" ref="Q28">IF(OR($E28="",$I28=""),"",(INDEX('Emission factors'!$K$3:$V$201,MATCH('Buildings - Water'!$E28&amp;$F28,'Emission factors'!$J$3:$J$201&amp;'Emission factors'!$K$3:$K$201,0),MATCH('Buildings - Water'!Q$6,'Emission factors'!$K$2:$V$2,0)))*$K28)</f>
        <v/>
      </c>
      <c r="R28" s="157" t="str" cm="1">
        <f t="array" ref="R28">IF(OR($E28="",$I28=""),"",(INDEX('Emission factors'!$K$3:$V$201,MATCH('Buildings - Water'!$E28&amp;$F28,'Emission factors'!$J$3:$J$201&amp;'Emission factors'!$K$3:$K$201,0),MATCH('Buildings - Water'!R$6,'Emission factors'!$K$2:$V$2,0)))*$K28)</f>
        <v/>
      </c>
      <c r="S28" s="157" t="str" cm="1">
        <f t="array" ref="S28">IF(OR($E28="",$I28=""),"",(INDEX('Emission factors'!$K$3:$V$201,MATCH('Buildings - Water'!$E28&amp;$F28,'Emission factors'!$J$3:$J$201&amp;'Emission factors'!$K$3:$K$201,0),MATCH('Buildings - Water'!S$6,'Emission factors'!$K$2:$V$2,0)))*$K28)</f>
        <v/>
      </c>
      <c r="T28" s="157" t="str" cm="1">
        <f t="array" ref="T28">IF(OR($E28="",$I28=""),"",(INDEX('Emission factors'!$K$3:$V$201,MATCH('Buildings - Water'!$E28&amp;$F28,'Emission factors'!$J$3:$J$201&amp;'Emission factors'!$K$3:$K$201,0),MATCH('Buildings - Water'!T$6,'Emission factors'!$K$2:$V$2,0)))*$K28)</f>
        <v/>
      </c>
      <c r="U28" s="157" t="str" cm="1">
        <f t="array" ref="U28">IF(OR($E28="",$I28=""),"",(INDEX('Emission factors'!$K$3:$V$201,MATCH('Buildings - Water'!$E28&amp;$F28,'Emission factors'!$J$3:$J$201&amp;'Emission factors'!$K$3:$K$201,0),MATCH('Buildings - Water'!U$6,'Emission factors'!$K$2:$V$2,0)))*$K28)</f>
        <v/>
      </c>
      <c r="V28" s="158" t="str">
        <f>IF(OR($N28="",BuildingsWaterTable[[#This Row],[RSD]]=""),"",BuildingsWaterTable[[#This Row],[Total emissions (kgCO2e)]]*(1+BuildingsWaterTable[[#This Row],[RSD]]))</f>
        <v/>
      </c>
      <c r="W28" s="159" t="str">
        <f>IF(OR($N28="",BuildingsWaterTable[[#This Row],[RSD]]=""),"",BuildingsWaterTable[[#This Row],[Total emissions (kgCO2e)]]*(1-BuildingsWaterTable[[#This Row],[RSD]]))</f>
        <v/>
      </c>
      <c r="X28" s="169" t="str" cm="1">
        <f t="array" ref="X28">IF(OR($E28="",$I28=""),"",(INDEX('Emission factors'!$K$3:$V$201,MATCH('Buildings - Water'!$E28&amp;$F28,'Emission factors'!$J$3:$J$201&amp;'Emission factors'!$K$3:$K$201,0),MATCH('Buildings - Water'!X$6,'Emission factors'!$K$2:$V$2,0)))*$K28)</f>
        <v/>
      </c>
      <c r="Y28" s="30"/>
      <c r="Z28" s="1" cm="1">
        <f t="array" ref="Z28">IF(OR(ISERROR(B28:X28)),1,0)</f>
        <v>0</v>
      </c>
      <c r="AA28" s="1">
        <f t="shared" si="1"/>
        <v>0</v>
      </c>
    </row>
    <row r="29" spans="1:27" ht="15" outlineLevel="1" thickBot="1" x14ac:dyDescent="0.4">
      <c r="A29" s="319"/>
      <c r="B29" s="216"/>
      <c r="C29" s="216"/>
      <c r="D29" s="233" t="str">
        <f>IFERROR(INDEX(BuildingInformationTable[Site type],MATCH(BuildingsWaterTable[[#This Row],[Site name]],BuildingInformationTable[Site name],0)),"")</f>
        <v/>
      </c>
      <c r="E29" s="312" t="str">
        <f t="shared" si="0"/>
        <v/>
      </c>
      <c r="F29" s="72"/>
      <c r="G29" s="72"/>
      <c r="H29" s="98" t="str">
        <f>IF(G29="","",INDEX(Lists!$BA$4:$BC$31,MATCH(E29,Lists!$AZ$4:$AZ$31,0),MATCH(G29,Lists!$BA$3:$BC$3,0)))</f>
        <v/>
      </c>
      <c r="I29" s="70"/>
      <c r="J29" s="72"/>
      <c r="K29" s="75" t="str" cm="1">
        <f t="array" ref="K29">IF(OR($E29="",$D29="",$I29="",$J29=""),"",IF(J29=L29,I29,(INDEX('Emission factors'!$K$3:$V$201,MATCH(E29&amp;F29,'Emission factors'!$J$3:$J$201&amp;'Emission factors'!$K$3:$K$201,0),MATCH(K$6,'Emission factors'!$K$2:$V$2,0)))*I29))</f>
        <v/>
      </c>
      <c r="L29" s="312" t="str">
        <f>IF(OR($E29="",$D29="",$I29="",$J29=""),"",INDEX('Emission factors'!$K$3:$V$201,MATCH('Buildings - Water'!$E29,'Emission factors'!$J$3:$J$201,0),MATCH($L$6,'Emission factors'!$K$2:$V$2,0)))</f>
        <v/>
      </c>
      <c r="M29" s="313" t="str" cm="1">
        <f t="array" ref="M29">IF(OR(E29="",I29="",BuildingsWaterTable[[#This Row],[Units]]=""),"",INDEX('Emission factors'!$K$3:$V$201,MATCH('Buildings - Water'!$E29&amp;F29,'Emission factors'!$J$3:$J$201&amp;'Emission factors'!$K$3:$K$201,0),MATCH('Buildings - Water'!$M$6,'Emission factors'!$K$2:$V$2,0)))</f>
        <v/>
      </c>
      <c r="N29" s="156" t="str">
        <f>IF(OR(K29="",M29=""),"",SUM(BuildingsWaterTable[[#This Row],[Direct]:[Indirect WTT]]))</f>
        <v/>
      </c>
      <c r="O29" s="71"/>
      <c r="P29" s="72"/>
      <c r="Q29" s="157" t="str" cm="1">
        <f t="array" ref="Q29">IF(OR($E29="",$I29=""),"",(INDEX('Emission factors'!$K$3:$V$201,MATCH('Buildings - Water'!$E29&amp;$F29,'Emission factors'!$J$3:$J$201&amp;'Emission factors'!$K$3:$K$201,0),MATCH('Buildings - Water'!Q$6,'Emission factors'!$K$2:$V$2,0)))*$K29)</f>
        <v/>
      </c>
      <c r="R29" s="157" t="str" cm="1">
        <f t="array" ref="R29">IF(OR($E29="",$I29=""),"",(INDEX('Emission factors'!$K$3:$V$201,MATCH('Buildings - Water'!$E29&amp;$F29,'Emission factors'!$J$3:$J$201&amp;'Emission factors'!$K$3:$K$201,0),MATCH('Buildings - Water'!R$6,'Emission factors'!$K$2:$V$2,0)))*$K29)</f>
        <v/>
      </c>
      <c r="S29" s="157" t="str" cm="1">
        <f t="array" ref="S29">IF(OR($E29="",$I29=""),"",(INDEX('Emission factors'!$K$3:$V$201,MATCH('Buildings - Water'!$E29&amp;$F29,'Emission factors'!$J$3:$J$201&amp;'Emission factors'!$K$3:$K$201,0),MATCH('Buildings - Water'!S$6,'Emission factors'!$K$2:$V$2,0)))*$K29)</f>
        <v/>
      </c>
      <c r="T29" s="157" t="str" cm="1">
        <f t="array" ref="T29">IF(OR($E29="",$I29=""),"",(INDEX('Emission factors'!$K$3:$V$201,MATCH('Buildings - Water'!$E29&amp;$F29,'Emission factors'!$J$3:$J$201&amp;'Emission factors'!$K$3:$K$201,0),MATCH('Buildings - Water'!T$6,'Emission factors'!$K$2:$V$2,0)))*$K29)</f>
        <v/>
      </c>
      <c r="U29" s="157" t="str" cm="1">
        <f t="array" ref="U29">IF(OR($E29="",$I29=""),"",(INDEX('Emission factors'!$K$3:$V$201,MATCH('Buildings - Water'!$E29&amp;$F29,'Emission factors'!$J$3:$J$201&amp;'Emission factors'!$K$3:$K$201,0),MATCH('Buildings - Water'!U$6,'Emission factors'!$K$2:$V$2,0)))*$K29)</f>
        <v/>
      </c>
      <c r="V29" s="158" t="str">
        <f>IF(OR($N29="",BuildingsWaterTable[[#This Row],[RSD]]=""),"",BuildingsWaterTable[[#This Row],[Total emissions (kgCO2e)]]*(1+BuildingsWaterTable[[#This Row],[RSD]]))</f>
        <v/>
      </c>
      <c r="W29" s="159" t="str">
        <f>IF(OR($N29="",BuildingsWaterTable[[#This Row],[RSD]]=""),"",BuildingsWaterTable[[#This Row],[Total emissions (kgCO2e)]]*(1-BuildingsWaterTable[[#This Row],[RSD]]))</f>
        <v/>
      </c>
      <c r="X29" s="169" t="str" cm="1">
        <f t="array" ref="X29">IF(OR($E29="",$I29=""),"",(INDEX('Emission factors'!$K$3:$V$201,MATCH('Buildings - Water'!$E29&amp;$F29,'Emission factors'!$J$3:$J$201&amp;'Emission factors'!$K$3:$K$201,0),MATCH('Buildings - Water'!X$6,'Emission factors'!$K$2:$V$2,0)))*$K29)</f>
        <v/>
      </c>
      <c r="Y29" s="30"/>
      <c r="Z29" s="1" cm="1">
        <f t="array" ref="Z29">IF(OR(ISERROR(B29:X29)),1,0)</f>
        <v>0</v>
      </c>
      <c r="AA29" s="1">
        <f t="shared" si="1"/>
        <v>0</v>
      </c>
    </row>
    <row r="30" spans="1:27" ht="15" outlineLevel="1" thickBot="1" x14ac:dyDescent="0.4">
      <c r="A30" s="319"/>
      <c r="B30" s="216"/>
      <c r="C30" s="216"/>
      <c r="D30" s="233" t="str">
        <f>IFERROR(INDEX(BuildingInformationTable[Site type],MATCH(BuildingsWaterTable[[#This Row],[Site name]],BuildingInformationTable[Site name],0)),"")</f>
        <v/>
      </c>
      <c r="E30" s="312" t="str">
        <f t="shared" si="0"/>
        <v/>
      </c>
      <c r="F30" s="72"/>
      <c r="G30" s="72"/>
      <c r="H30" s="98" t="str">
        <f>IF(G30="","",INDEX(Lists!$BA$4:$BC$31,MATCH(E30,Lists!$AZ$4:$AZ$31,0),MATCH(G30,Lists!$BA$3:$BC$3,0)))</f>
        <v/>
      </c>
      <c r="I30" s="70"/>
      <c r="J30" s="72"/>
      <c r="K30" s="75" t="str" cm="1">
        <f t="array" ref="K30">IF(OR($E30="",$D30="",$I30="",$J30=""),"",IF(J30=L30,I30,(INDEX('Emission factors'!$K$3:$V$201,MATCH(E30&amp;F30,'Emission factors'!$J$3:$J$201&amp;'Emission factors'!$K$3:$K$201,0),MATCH(K$6,'Emission factors'!$K$2:$V$2,0)))*I30))</f>
        <v/>
      </c>
      <c r="L30" s="312" t="str">
        <f>IF(OR($E30="",$D30="",$I30="",$J30=""),"",INDEX('Emission factors'!$K$3:$V$201,MATCH('Buildings - Water'!$E30,'Emission factors'!$J$3:$J$201,0),MATCH($L$6,'Emission factors'!$K$2:$V$2,0)))</f>
        <v/>
      </c>
      <c r="M30" s="313" t="str" cm="1">
        <f t="array" ref="M30">IF(OR(E30="",I30="",BuildingsWaterTable[[#This Row],[Units]]=""),"",INDEX('Emission factors'!$K$3:$V$201,MATCH('Buildings - Water'!$E30&amp;F30,'Emission factors'!$J$3:$J$201&amp;'Emission factors'!$K$3:$K$201,0),MATCH('Buildings - Water'!$M$6,'Emission factors'!$K$2:$V$2,0)))</f>
        <v/>
      </c>
      <c r="N30" s="156" t="str">
        <f>IF(OR(K30="",M30=""),"",SUM(BuildingsWaterTable[[#This Row],[Direct]:[Indirect WTT]]))</f>
        <v/>
      </c>
      <c r="O30" s="71"/>
      <c r="P30" s="72"/>
      <c r="Q30" s="157" t="str" cm="1">
        <f t="array" ref="Q30">IF(OR($E30="",$I30=""),"",(INDEX('Emission factors'!$K$3:$V$201,MATCH('Buildings - Water'!$E30&amp;$F30,'Emission factors'!$J$3:$J$201&amp;'Emission factors'!$K$3:$K$201,0),MATCH('Buildings - Water'!Q$6,'Emission factors'!$K$2:$V$2,0)))*$K30)</f>
        <v/>
      </c>
      <c r="R30" s="157" t="str" cm="1">
        <f t="array" ref="R30">IF(OR($E30="",$I30=""),"",(INDEX('Emission factors'!$K$3:$V$201,MATCH('Buildings - Water'!$E30&amp;$F30,'Emission factors'!$J$3:$J$201&amp;'Emission factors'!$K$3:$K$201,0),MATCH('Buildings - Water'!R$6,'Emission factors'!$K$2:$V$2,0)))*$K30)</f>
        <v/>
      </c>
      <c r="S30" s="157" t="str" cm="1">
        <f t="array" ref="S30">IF(OR($E30="",$I30=""),"",(INDEX('Emission factors'!$K$3:$V$201,MATCH('Buildings - Water'!$E30&amp;$F30,'Emission factors'!$J$3:$J$201&amp;'Emission factors'!$K$3:$K$201,0),MATCH('Buildings - Water'!S$6,'Emission factors'!$K$2:$V$2,0)))*$K30)</f>
        <v/>
      </c>
      <c r="T30" s="157" t="str" cm="1">
        <f t="array" ref="T30">IF(OR($E30="",$I30=""),"",(INDEX('Emission factors'!$K$3:$V$201,MATCH('Buildings - Water'!$E30&amp;$F30,'Emission factors'!$J$3:$J$201&amp;'Emission factors'!$K$3:$K$201,0),MATCH('Buildings - Water'!T$6,'Emission factors'!$K$2:$V$2,0)))*$K30)</f>
        <v/>
      </c>
      <c r="U30" s="157" t="str" cm="1">
        <f t="array" ref="U30">IF(OR($E30="",$I30=""),"",(INDEX('Emission factors'!$K$3:$V$201,MATCH('Buildings - Water'!$E30&amp;$F30,'Emission factors'!$J$3:$J$201&amp;'Emission factors'!$K$3:$K$201,0),MATCH('Buildings - Water'!U$6,'Emission factors'!$K$2:$V$2,0)))*$K30)</f>
        <v/>
      </c>
      <c r="V30" s="158" t="str">
        <f>IF(OR($N30="",BuildingsWaterTable[[#This Row],[RSD]]=""),"",BuildingsWaterTable[[#This Row],[Total emissions (kgCO2e)]]*(1+BuildingsWaterTable[[#This Row],[RSD]]))</f>
        <v/>
      </c>
      <c r="W30" s="159" t="str">
        <f>IF(OR($N30="",BuildingsWaterTable[[#This Row],[RSD]]=""),"",BuildingsWaterTable[[#This Row],[Total emissions (kgCO2e)]]*(1-BuildingsWaterTable[[#This Row],[RSD]]))</f>
        <v/>
      </c>
      <c r="X30" s="169" t="str" cm="1">
        <f t="array" ref="X30">IF(OR($E30="",$I30=""),"",(INDEX('Emission factors'!$K$3:$V$201,MATCH('Buildings - Water'!$E30&amp;$F30,'Emission factors'!$J$3:$J$201&amp;'Emission factors'!$K$3:$K$201,0),MATCH('Buildings - Water'!X$6,'Emission factors'!$K$2:$V$2,0)))*$K30)</f>
        <v/>
      </c>
      <c r="Y30" s="30"/>
      <c r="Z30" s="1" cm="1">
        <f t="array" ref="Z30">IF(OR(ISERROR(B30:X30)),1,0)</f>
        <v>0</v>
      </c>
      <c r="AA30" s="1">
        <f t="shared" si="1"/>
        <v>0</v>
      </c>
    </row>
    <row r="31" spans="1:27" ht="15" outlineLevel="1" thickBot="1" x14ac:dyDescent="0.4">
      <c r="A31" s="319"/>
      <c r="B31" s="216"/>
      <c r="C31" s="216"/>
      <c r="D31" s="233" t="str">
        <f>IFERROR(INDEX(BuildingInformationTable[Site type],MATCH(BuildingsWaterTable[[#This Row],[Site name]],BuildingInformationTable[Site name],0)),"")</f>
        <v/>
      </c>
      <c r="E31" s="312" t="str">
        <f t="shared" si="0"/>
        <v/>
      </c>
      <c r="F31" s="72"/>
      <c r="G31" s="72"/>
      <c r="H31" s="98" t="str">
        <f>IF(G31="","",INDEX(Lists!$BA$4:$BC$31,MATCH(E31,Lists!$AZ$4:$AZ$31,0),MATCH(G31,Lists!$BA$3:$BC$3,0)))</f>
        <v/>
      </c>
      <c r="I31" s="70"/>
      <c r="J31" s="72"/>
      <c r="K31" s="75" t="str" cm="1">
        <f t="array" ref="K31">IF(OR($E31="",$D31="",$I31="",$J31=""),"",IF(J31=L31,I31,(INDEX('Emission factors'!$K$3:$V$201,MATCH(E31&amp;F31,'Emission factors'!$J$3:$J$201&amp;'Emission factors'!$K$3:$K$201,0),MATCH(K$6,'Emission factors'!$K$2:$V$2,0)))*I31))</f>
        <v/>
      </c>
      <c r="L31" s="312" t="str">
        <f>IF(OR($E31="",$D31="",$I31="",$J31=""),"",INDEX('Emission factors'!$K$3:$V$201,MATCH('Buildings - Water'!$E31,'Emission factors'!$J$3:$J$201,0),MATCH($L$6,'Emission factors'!$K$2:$V$2,0)))</f>
        <v/>
      </c>
      <c r="M31" s="313" t="str" cm="1">
        <f t="array" ref="M31">IF(OR(E31="",I31="",BuildingsWaterTable[[#This Row],[Units]]=""),"",INDEX('Emission factors'!$K$3:$V$201,MATCH('Buildings - Water'!$E31&amp;F31,'Emission factors'!$J$3:$J$201&amp;'Emission factors'!$K$3:$K$201,0),MATCH('Buildings - Water'!$M$6,'Emission factors'!$K$2:$V$2,0)))</f>
        <v/>
      </c>
      <c r="N31" s="156" t="str">
        <f>IF(OR(K31="",M31=""),"",SUM(BuildingsWaterTable[[#This Row],[Direct]:[Indirect WTT]]))</f>
        <v/>
      </c>
      <c r="O31" s="71"/>
      <c r="P31" s="72"/>
      <c r="Q31" s="157" t="str" cm="1">
        <f t="array" ref="Q31">IF(OR($E31="",$I31=""),"",(INDEX('Emission factors'!$K$3:$V$201,MATCH('Buildings - Water'!$E31&amp;$F31,'Emission factors'!$J$3:$J$201&amp;'Emission factors'!$K$3:$K$201,0),MATCH('Buildings - Water'!Q$6,'Emission factors'!$K$2:$V$2,0)))*$K31)</f>
        <v/>
      </c>
      <c r="R31" s="157" t="str" cm="1">
        <f t="array" ref="R31">IF(OR($E31="",$I31=""),"",(INDEX('Emission factors'!$K$3:$V$201,MATCH('Buildings - Water'!$E31&amp;$F31,'Emission factors'!$J$3:$J$201&amp;'Emission factors'!$K$3:$K$201,0),MATCH('Buildings - Water'!R$6,'Emission factors'!$K$2:$V$2,0)))*$K31)</f>
        <v/>
      </c>
      <c r="S31" s="157" t="str" cm="1">
        <f t="array" ref="S31">IF(OR($E31="",$I31=""),"",(INDEX('Emission factors'!$K$3:$V$201,MATCH('Buildings - Water'!$E31&amp;$F31,'Emission factors'!$J$3:$J$201&amp;'Emission factors'!$K$3:$K$201,0),MATCH('Buildings - Water'!S$6,'Emission factors'!$K$2:$V$2,0)))*$K31)</f>
        <v/>
      </c>
      <c r="T31" s="157" t="str" cm="1">
        <f t="array" ref="T31">IF(OR($E31="",$I31=""),"",(INDEX('Emission factors'!$K$3:$V$201,MATCH('Buildings - Water'!$E31&amp;$F31,'Emission factors'!$J$3:$J$201&amp;'Emission factors'!$K$3:$K$201,0),MATCH('Buildings - Water'!T$6,'Emission factors'!$K$2:$V$2,0)))*$K31)</f>
        <v/>
      </c>
      <c r="U31" s="157" t="str" cm="1">
        <f t="array" ref="U31">IF(OR($E31="",$I31=""),"",(INDEX('Emission factors'!$K$3:$V$201,MATCH('Buildings - Water'!$E31&amp;$F31,'Emission factors'!$J$3:$J$201&amp;'Emission factors'!$K$3:$K$201,0),MATCH('Buildings - Water'!U$6,'Emission factors'!$K$2:$V$2,0)))*$K31)</f>
        <v/>
      </c>
      <c r="V31" s="158" t="str">
        <f>IF(OR($N31="",BuildingsWaterTable[[#This Row],[RSD]]=""),"",BuildingsWaterTable[[#This Row],[Total emissions (kgCO2e)]]*(1+BuildingsWaterTable[[#This Row],[RSD]]))</f>
        <v/>
      </c>
      <c r="W31" s="159" t="str">
        <f>IF(OR($N31="",BuildingsWaterTable[[#This Row],[RSD]]=""),"",BuildingsWaterTable[[#This Row],[Total emissions (kgCO2e)]]*(1-BuildingsWaterTable[[#This Row],[RSD]]))</f>
        <v/>
      </c>
      <c r="X31" s="169" t="str" cm="1">
        <f t="array" ref="X31">IF(OR($E31="",$I31=""),"",(INDEX('Emission factors'!$K$3:$V$201,MATCH('Buildings - Water'!$E31&amp;$F31,'Emission factors'!$J$3:$J$201&amp;'Emission factors'!$K$3:$K$201,0),MATCH('Buildings - Water'!X$6,'Emission factors'!$K$2:$V$2,0)))*$K31)</f>
        <v/>
      </c>
      <c r="Y31" s="30"/>
      <c r="Z31" s="1" cm="1">
        <f t="array" ref="Z31">IF(OR(ISERROR(B31:X31)),1,0)</f>
        <v>0</v>
      </c>
      <c r="AA31" s="1">
        <f t="shared" si="1"/>
        <v>0</v>
      </c>
    </row>
    <row r="32" spans="1:27" ht="15" outlineLevel="1" thickBot="1" x14ac:dyDescent="0.4">
      <c r="A32" s="319"/>
      <c r="B32" s="216"/>
      <c r="C32" s="216"/>
      <c r="D32" s="233" t="str">
        <f>IFERROR(INDEX(BuildingInformationTable[Site type],MATCH(BuildingsWaterTable[[#This Row],[Site name]],BuildingInformationTable[Site name],0)),"")</f>
        <v/>
      </c>
      <c r="E32" s="312" t="str">
        <f t="shared" si="0"/>
        <v/>
      </c>
      <c r="F32" s="72"/>
      <c r="G32" s="72"/>
      <c r="H32" s="98" t="str">
        <f>IF(G32="","",INDEX(Lists!$BA$4:$BC$31,MATCH(E32,Lists!$AZ$4:$AZ$31,0),MATCH(G32,Lists!$BA$3:$BC$3,0)))</f>
        <v/>
      </c>
      <c r="I32" s="70"/>
      <c r="J32" s="72"/>
      <c r="K32" s="75" t="str" cm="1">
        <f t="array" ref="K32">IF(OR($E32="",$D32="",$I32="",$J32=""),"",IF(J32=L32,I32,(INDEX('Emission factors'!$K$3:$V$201,MATCH(E32&amp;F32,'Emission factors'!$J$3:$J$201&amp;'Emission factors'!$K$3:$K$201,0),MATCH(K$6,'Emission factors'!$K$2:$V$2,0)))*I32))</f>
        <v/>
      </c>
      <c r="L32" s="312" t="str">
        <f>IF(OR($E32="",$D32="",$I32="",$J32=""),"",INDEX('Emission factors'!$K$3:$V$201,MATCH('Buildings - Water'!$E32,'Emission factors'!$J$3:$J$201,0),MATCH($L$6,'Emission factors'!$K$2:$V$2,0)))</f>
        <v/>
      </c>
      <c r="M32" s="313" t="str" cm="1">
        <f t="array" ref="M32">IF(OR(E32="",I32="",BuildingsWaterTable[[#This Row],[Units]]=""),"",INDEX('Emission factors'!$K$3:$V$201,MATCH('Buildings - Water'!$E32&amp;F32,'Emission factors'!$J$3:$J$201&amp;'Emission factors'!$K$3:$K$201,0),MATCH('Buildings - Water'!$M$6,'Emission factors'!$K$2:$V$2,0)))</f>
        <v/>
      </c>
      <c r="N32" s="156" t="str">
        <f>IF(OR(K32="",M32=""),"",SUM(BuildingsWaterTable[[#This Row],[Direct]:[Indirect WTT]]))</f>
        <v/>
      </c>
      <c r="O32" s="71"/>
      <c r="P32" s="72"/>
      <c r="Q32" s="157" t="str" cm="1">
        <f t="array" ref="Q32">IF(OR($E32="",$I32=""),"",(INDEX('Emission factors'!$K$3:$V$201,MATCH('Buildings - Water'!$E32&amp;$F32,'Emission factors'!$J$3:$J$201&amp;'Emission factors'!$K$3:$K$201,0),MATCH('Buildings - Water'!Q$6,'Emission factors'!$K$2:$V$2,0)))*$K32)</f>
        <v/>
      </c>
      <c r="R32" s="157" t="str" cm="1">
        <f t="array" ref="R32">IF(OR($E32="",$I32=""),"",(INDEX('Emission factors'!$K$3:$V$201,MATCH('Buildings - Water'!$E32&amp;$F32,'Emission factors'!$J$3:$J$201&amp;'Emission factors'!$K$3:$K$201,0),MATCH('Buildings - Water'!R$6,'Emission factors'!$K$2:$V$2,0)))*$K32)</f>
        <v/>
      </c>
      <c r="S32" s="157" t="str" cm="1">
        <f t="array" ref="S32">IF(OR($E32="",$I32=""),"",(INDEX('Emission factors'!$K$3:$V$201,MATCH('Buildings - Water'!$E32&amp;$F32,'Emission factors'!$J$3:$J$201&amp;'Emission factors'!$K$3:$K$201,0),MATCH('Buildings - Water'!S$6,'Emission factors'!$K$2:$V$2,0)))*$K32)</f>
        <v/>
      </c>
      <c r="T32" s="157" t="str" cm="1">
        <f t="array" ref="T32">IF(OR($E32="",$I32=""),"",(INDEX('Emission factors'!$K$3:$V$201,MATCH('Buildings - Water'!$E32&amp;$F32,'Emission factors'!$J$3:$J$201&amp;'Emission factors'!$K$3:$K$201,0),MATCH('Buildings - Water'!T$6,'Emission factors'!$K$2:$V$2,0)))*$K32)</f>
        <v/>
      </c>
      <c r="U32" s="157" t="str" cm="1">
        <f t="array" ref="U32">IF(OR($E32="",$I32=""),"",(INDEX('Emission factors'!$K$3:$V$201,MATCH('Buildings - Water'!$E32&amp;$F32,'Emission factors'!$J$3:$J$201&amp;'Emission factors'!$K$3:$K$201,0),MATCH('Buildings - Water'!U$6,'Emission factors'!$K$2:$V$2,0)))*$K32)</f>
        <v/>
      </c>
      <c r="V32" s="158" t="str">
        <f>IF(OR($N32="",BuildingsWaterTable[[#This Row],[RSD]]=""),"",BuildingsWaterTable[[#This Row],[Total emissions (kgCO2e)]]*(1+BuildingsWaterTable[[#This Row],[RSD]]))</f>
        <v/>
      </c>
      <c r="W32" s="159" t="str">
        <f>IF(OR($N32="",BuildingsWaterTable[[#This Row],[RSD]]=""),"",BuildingsWaterTable[[#This Row],[Total emissions (kgCO2e)]]*(1-BuildingsWaterTable[[#This Row],[RSD]]))</f>
        <v/>
      </c>
      <c r="X32" s="169" t="str" cm="1">
        <f t="array" ref="X32">IF(OR($E32="",$I32=""),"",(INDEX('Emission factors'!$K$3:$V$201,MATCH('Buildings - Water'!$E32&amp;$F32,'Emission factors'!$J$3:$J$201&amp;'Emission factors'!$K$3:$K$201,0),MATCH('Buildings - Water'!X$6,'Emission factors'!$K$2:$V$2,0)))*$K32)</f>
        <v/>
      </c>
      <c r="Y32" s="30"/>
      <c r="Z32" s="1" cm="1">
        <f t="array" ref="Z32">IF(OR(ISERROR(B32:X32)),1,0)</f>
        <v>0</v>
      </c>
      <c r="AA32" s="1">
        <f t="shared" si="1"/>
        <v>0</v>
      </c>
    </row>
    <row r="33" spans="1:27" ht="15" outlineLevel="1" thickBot="1" x14ac:dyDescent="0.4">
      <c r="A33" s="319"/>
      <c r="B33" s="216"/>
      <c r="C33" s="216"/>
      <c r="D33" s="233" t="str">
        <f>IFERROR(INDEX(BuildingInformationTable[Site type],MATCH(BuildingsWaterTable[[#This Row],[Site name]],BuildingInformationTable[Site name],0)),"")</f>
        <v/>
      </c>
      <c r="E33" s="312" t="str">
        <f t="shared" si="0"/>
        <v/>
      </c>
      <c r="F33" s="72"/>
      <c r="G33" s="72"/>
      <c r="H33" s="98" t="str">
        <f>IF(G33="","",INDEX(Lists!$BA$4:$BC$31,MATCH(E33,Lists!$AZ$4:$AZ$31,0),MATCH(G33,Lists!$BA$3:$BC$3,0)))</f>
        <v/>
      </c>
      <c r="I33" s="70"/>
      <c r="J33" s="72"/>
      <c r="K33" s="75" t="str" cm="1">
        <f t="array" ref="K33">IF(OR($E33="",$D33="",$I33="",$J33=""),"",IF(J33=L33,I33,(INDEX('Emission factors'!$K$3:$V$201,MATCH(E33&amp;F33,'Emission factors'!$J$3:$J$201&amp;'Emission factors'!$K$3:$K$201,0),MATCH(K$6,'Emission factors'!$K$2:$V$2,0)))*I33))</f>
        <v/>
      </c>
      <c r="L33" s="312" t="str">
        <f>IF(OR($E33="",$D33="",$I33="",$J33=""),"",INDEX('Emission factors'!$K$3:$V$201,MATCH('Buildings - Water'!$E33,'Emission factors'!$J$3:$J$201,0),MATCH($L$6,'Emission factors'!$K$2:$V$2,0)))</f>
        <v/>
      </c>
      <c r="M33" s="313" t="str" cm="1">
        <f t="array" ref="M33">IF(OR(E33="",I33="",BuildingsWaterTable[[#This Row],[Units]]=""),"",INDEX('Emission factors'!$K$3:$V$201,MATCH('Buildings - Water'!$E33&amp;F33,'Emission factors'!$J$3:$J$201&amp;'Emission factors'!$K$3:$K$201,0),MATCH('Buildings - Water'!$M$6,'Emission factors'!$K$2:$V$2,0)))</f>
        <v/>
      </c>
      <c r="N33" s="156" t="str">
        <f>IF(OR(K33="",M33=""),"",SUM(BuildingsWaterTable[[#This Row],[Direct]:[Indirect WTT]]))</f>
        <v/>
      </c>
      <c r="O33" s="71"/>
      <c r="P33" s="72"/>
      <c r="Q33" s="157" t="str" cm="1">
        <f t="array" ref="Q33">IF(OR($E33="",$I33=""),"",(INDEX('Emission factors'!$K$3:$V$201,MATCH('Buildings - Water'!$E33&amp;$F33,'Emission factors'!$J$3:$J$201&amp;'Emission factors'!$K$3:$K$201,0),MATCH('Buildings - Water'!Q$6,'Emission factors'!$K$2:$V$2,0)))*$K33)</f>
        <v/>
      </c>
      <c r="R33" s="157" t="str" cm="1">
        <f t="array" ref="R33">IF(OR($E33="",$I33=""),"",(INDEX('Emission factors'!$K$3:$V$201,MATCH('Buildings - Water'!$E33&amp;$F33,'Emission factors'!$J$3:$J$201&amp;'Emission factors'!$K$3:$K$201,0),MATCH('Buildings - Water'!R$6,'Emission factors'!$K$2:$V$2,0)))*$K33)</f>
        <v/>
      </c>
      <c r="S33" s="157" t="str" cm="1">
        <f t="array" ref="S33">IF(OR($E33="",$I33=""),"",(INDEX('Emission factors'!$K$3:$V$201,MATCH('Buildings - Water'!$E33&amp;$F33,'Emission factors'!$J$3:$J$201&amp;'Emission factors'!$K$3:$K$201,0),MATCH('Buildings - Water'!S$6,'Emission factors'!$K$2:$V$2,0)))*$K33)</f>
        <v/>
      </c>
      <c r="T33" s="157" t="str" cm="1">
        <f t="array" ref="T33">IF(OR($E33="",$I33=""),"",(INDEX('Emission factors'!$K$3:$V$201,MATCH('Buildings - Water'!$E33&amp;$F33,'Emission factors'!$J$3:$J$201&amp;'Emission factors'!$K$3:$K$201,0),MATCH('Buildings - Water'!T$6,'Emission factors'!$K$2:$V$2,0)))*$K33)</f>
        <v/>
      </c>
      <c r="U33" s="157" t="str" cm="1">
        <f t="array" ref="U33">IF(OR($E33="",$I33=""),"",(INDEX('Emission factors'!$K$3:$V$201,MATCH('Buildings - Water'!$E33&amp;$F33,'Emission factors'!$J$3:$J$201&amp;'Emission factors'!$K$3:$K$201,0),MATCH('Buildings - Water'!U$6,'Emission factors'!$K$2:$V$2,0)))*$K33)</f>
        <v/>
      </c>
      <c r="V33" s="158" t="str">
        <f>IF(OR($N33="",BuildingsWaterTable[[#This Row],[RSD]]=""),"",BuildingsWaterTable[[#This Row],[Total emissions (kgCO2e)]]*(1+BuildingsWaterTable[[#This Row],[RSD]]))</f>
        <v/>
      </c>
      <c r="W33" s="159" t="str">
        <f>IF(OR($N33="",BuildingsWaterTable[[#This Row],[RSD]]=""),"",BuildingsWaterTable[[#This Row],[Total emissions (kgCO2e)]]*(1-BuildingsWaterTable[[#This Row],[RSD]]))</f>
        <v/>
      </c>
      <c r="X33" s="169" t="str" cm="1">
        <f t="array" ref="X33">IF(OR($E33="",$I33=""),"",(INDEX('Emission factors'!$K$3:$V$201,MATCH('Buildings - Water'!$E33&amp;$F33,'Emission factors'!$J$3:$J$201&amp;'Emission factors'!$K$3:$K$201,0),MATCH('Buildings - Water'!X$6,'Emission factors'!$K$2:$V$2,0)))*$K33)</f>
        <v/>
      </c>
      <c r="Y33" s="30"/>
      <c r="Z33" s="1" cm="1">
        <f t="array" ref="Z33">IF(OR(ISERROR(B33:X33)),1,0)</f>
        <v>0</v>
      </c>
      <c r="AA33" s="1">
        <f t="shared" si="1"/>
        <v>0</v>
      </c>
    </row>
    <row r="34" spans="1:27" ht="15" outlineLevel="1" thickBot="1" x14ac:dyDescent="0.4">
      <c r="A34" s="319"/>
      <c r="B34" s="216"/>
      <c r="C34" s="216"/>
      <c r="D34" s="233" t="str">
        <f>IFERROR(INDEX(BuildingInformationTable[Site type],MATCH(BuildingsWaterTable[[#This Row],[Site name]],BuildingInformationTable[Site name],0)),"")</f>
        <v/>
      </c>
      <c r="E34" s="312" t="str">
        <f t="shared" si="0"/>
        <v/>
      </c>
      <c r="F34" s="72"/>
      <c r="G34" s="72"/>
      <c r="H34" s="98" t="str">
        <f>IF(G34="","",INDEX(Lists!$BA$4:$BC$31,MATCH(E34,Lists!$AZ$4:$AZ$31,0),MATCH(G34,Lists!$BA$3:$BC$3,0)))</f>
        <v/>
      </c>
      <c r="I34" s="70"/>
      <c r="J34" s="72"/>
      <c r="K34" s="75" t="str" cm="1">
        <f t="array" ref="K34">IF(OR($E34="",$D34="",$I34="",$J34=""),"",IF(J34=L34,I34,(INDEX('Emission factors'!$K$3:$V$201,MATCH(E34&amp;F34,'Emission factors'!$J$3:$J$201&amp;'Emission factors'!$K$3:$K$201,0),MATCH(K$6,'Emission factors'!$K$2:$V$2,0)))*I34))</f>
        <v/>
      </c>
      <c r="L34" s="312" t="str">
        <f>IF(OR($E34="",$D34="",$I34="",$J34=""),"",INDEX('Emission factors'!$K$3:$V$201,MATCH('Buildings - Water'!$E34,'Emission factors'!$J$3:$J$201,0),MATCH($L$6,'Emission factors'!$K$2:$V$2,0)))</f>
        <v/>
      </c>
      <c r="M34" s="313" t="str" cm="1">
        <f t="array" ref="M34">IF(OR(E34="",I34="",BuildingsWaterTable[[#This Row],[Units]]=""),"",INDEX('Emission factors'!$K$3:$V$201,MATCH('Buildings - Water'!$E34&amp;F34,'Emission factors'!$J$3:$J$201&amp;'Emission factors'!$K$3:$K$201,0),MATCH('Buildings - Water'!$M$6,'Emission factors'!$K$2:$V$2,0)))</f>
        <v/>
      </c>
      <c r="N34" s="156" t="str">
        <f>IF(OR(K34="",M34=""),"",SUM(BuildingsWaterTable[[#This Row],[Direct]:[Indirect WTT]]))</f>
        <v/>
      </c>
      <c r="O34" s="71"/>
      <c r="P34" s="72"/>
      <c r="Q34" s="157" t="str" cm="1">
        <f t="array" ref="Q34">IF(OR($E34="",$I34=""),"",(INDEX('Emission factors'!$K$3:$V$201,MATCH('Buildings - Water'!$E34&amp;$F34,'Emission factors'!$J$3:$J$201&amp;'Emission factors'!$K$3:$K$201,0),MATCH('Buildings - Water'!Q$6,'Emission factors'!$K$2:$V$2,0)))*$K34)</f>
        <v/>
      </c>
      <c r="R34" s="157" t="str" cm="1">
        <f t="array" ref="R34">IF(OR($E34="",$I34=""),"",(INDEX('Emission factors'!$K$3:$V$201,MATCH('Buildings - Water'!$E34&amp;$F34,'Emission factors'!$J$3:$J$201&amp;'Emission factors'!$K$3:$K$201,0),MATCH('Buildings - Water'!R$6,'Emission factors'!$K$2:$V$2,0)))*$K34)</f>
        <v/>
      </c>
      <c r="S34" s="157" t="str" cm="1">
        <f t="array" ref="S34">IF(OR($E34="",$I34=""),"",(INDEX('Emission factors'!$K$3:$V$201,MATCH('Buildings - Water'!$E34&amp;$F34,'Emission factors'!$J$3:$J$201&amp;'Emission factors'!$K$3:$K$201,0),MATCH('Buildings - Water'!S$6,'Emission factors'!$K$2:$V$2,0)))*$K34)</f>
        <v/>
      </c>
      <c r="T34" s="157" t="str" cm="1">
        <f t="array" ref="T34">IF(OR($E34="",$I34=""),"",(INDEX('Emission factors'!$K$3:$V$201,MATCH('Buildings - Water'!$E34&amp;$F34,'Emission factors'!$J$3:$J$201&amp;'Emission factors'!$K$3:$K$201,0),MATCH('Buildings - Water'!T$6,'Emission factors'!$K$2:$V$2,0)))*$K34)</f>
        <v/>
      </c>
      <c r="U34" s="157" t="str" cm="1">
        <f t="array" ref="U34">IF(OR($E34="",$I34=""),"",(INDEX('Emission factors'!$K$3:$V$201,MATCH('Buildings - Water'!$E34&amp;$F34,'Emission factors'!$J$3:$J$201&amp;'Emission factors'!$K$3:$K$201,0),MATCH('Buildings - Water'!U$6,'Emission factors'!$K$2:$V$2,0)))*$K34)</f>
        <v/>
      </c>
      <c r="V34" s="158" t="str">
        <f>IF(OR($N34="",BuildingsWaterTable[[#This Row],[RSD]]=""),"",BuildingsWaterTable[[#This Row],[Total emissions (kgCO2e)]]*(1+BuildingsWaterTable[[#This Row],[RSD]]))</f>
        <v/>
      </c>
      <c r="W34" s="159" t="str">
        <f>IF(OR($N34="",BuildingsWaterTable[[#This Row],[RSD]]=""),"",BuildingsWaterTable[[#This Row],[Total emissions (kgCO2e)]]*(1-BuildingsWaterTable[[#This Row],[RSD]]))</f>
        <v/>
      </c>
      <c r="X34" s="169" t="str" cm="1">
        <f t="array" ref="X34">IF(OR($E34="",$I34=""),"",(INDEX('Emission factors'!$K$3:$V$201,MATCH('Buildings - Water'!$E34&amp;$F34,'Emission factors'!$J$3:$J$201&amp;'Emission factors'!$K$3:$K$201,0),MATCH('Buildings - Water'!X$6,'Emission factors'!$K$2:$V$2,0)))*$K34)</f>
        <v/>
      </c>
      <c r="Y34" s="30"/>
      <c r="Z34" s="1" cm="1">
        <f t="array" ref="Z34">IF(OR(ISERROR(B34:X34)),1,0)</f>
        <v>0</v>
      </c>
      <c r="AA34" s="1">
        <f t="shared" si="1"/>
        <v>0</v>
      </c>
    </row>
    <row r="35" spans="1:27" ht="15" outlineLevel="1" thickBot="1" x14ac:dyDescent="0.4">
      <c r="A35" s="319"/>
      <c r="B35" s="216"/>
      <c r="C35" s="216"/>
      <c r="D35" s="233" t="str">
        <f>IFERROR(INDEX(BuildingInformationTable[Site type],MATCH(BuildingsWaterTable[[#This Row],[Site name]],BuildingInformationTable[Site name],0)),"")</f>
        <v/>
      </c>
      <c r="E35" s="312" t="str">
        <f t="shared" si="0"/>
        <v/>
      </c>
      <c r="F35" s="72"/>
      <c r="G35" s="72"/>
      <c r="H35" s="98" t="str">
        <f>IF(G35="","",INDEX(Lists!$BA$4:$BC$31,MATCH(E35,Lists!$AZ$4:$AZ$31,0),MATCH(G35,Lists!$BA$3:$BC$3,0)))</f>
        <v/>
      </c>
      <c r="I35" s="70"/>
      <c r="J35" s="72"/>
      <c r="K35" s="75" t="str" cm="1">
        <f t="array" ref="K35">IF(OR($E35="",$D35="",$I35="",$J35=""),"",IF(J35=L35,I35,(INDEX('Emission factors'!$K$3:$V$201,MATCH(E35&amp;F35,'Emission factors'!$J$3:$J$201&amp;'Emission factors'!$K$3:$K$201,0),MATCH(K$6,'Emission factors'!$K$2:$V$2,0)))*I35))</f>
        <v/>
      </c>
      <c r="L35" s="312" t="str">
        <f>IF(OR($E35="",$D35="",$I35="",$J35=""),"",INDEX('Emission factors'!$K$3:$V$201,MATCH('Buildings - Water'!$E35,'Emission factors'!$J$3:$J$201,0),MATCH($L$6,'Emission factors'!$K$2:$V$2,0)))</f>
        <v/>
      </c>
      <c r="M35" s="313" t="str" cm="1">
        <f t="array" ref="M35">IF(OR(E35="",I35="",BuildingsWaterTable[[#This Row],[Units]]=""),"",INDEX('Emission factors'!$K$3:$V$201,MATCH('Buildings - Water'!$E35&amp;F35,'Emission factors'!$J$3:$J$201&amp;'Emission factors'!$K$3:$K$201,0),MATCH('Buildings - Water'!$M$6,'Emission factors'!$K$2:$V$2,0)))</f>
        <v/>
      </c>
      <c r="N35" s="156" t="str">
        <f>IF(OR(K35="",M35=""),"",SUM(BuildingsWaterTable[[#This Row],[Direct]:[Indirect WTT]]))</f>
        <v/>
      </c>
      <c r="O35" s="71"/>
      <c r="P35" s="72"/>
      <c r="Q35" s="157" t="str" cm="1">
        <f t="array" ref="Q35">IF(OR($E35="",$I35=""),"",(INDEX('Emission factors'!$K$3:$V$201,MATCH('Buildings - Water'!$E35&amp;$F35,'Emission factors'!$J$3:$J$201&amp;'Emission factors'!$K$3:$K$201,0),MATCH('Buildings - Water'!Q$6,'Emission factors'!$K$2:$V$2,0)))*$K35)</f>
        <v/>
      </c>
      <c r="R35" s="157" t="str" cm="1">
        <f t="array" ref="R35">IF(OR($E35="",$I35=""),"",(INDEX('Emission factors'!$K$3:$V$201,MATCH('Buildings - Water'!$E35&amp;$F35,'Emission factors'!$J$3:$J$201&amp;'Emission factors'!$K$3:$K$201,0),MATCH('Buildings - Water'!R$6,'Emission factors'!$K$2:$V$2,0)))*$K35)</f>
        <v/>
      </c>
      <c r="S35" s="157" t="str" cm="1">
        <f t="array" ref="S35">IF(OR($E35="",$I35=""),"",(INDEX('Emission factors'!$K$3:$V$201,MATCH('Buildings - Water'!$E35&amp;$F35,'Emission factors'!$J$3:$J$201&amp;'Emission factors'!$K$3:$K$201,0),MATCH('Buildings - Water'!S$6,'Emission factors'!$K$2:$V$2,0)))*$K35)</f>
        <v/>
      </c>
      <c r="T35" s="157" t="str" cm="1">
        <f t="array" ref="T35">IF(OR($E35="",$I35=""),"",(INDEX('Emission factors'!$K$3:$V$201,MATCH('Buildings - Water'!$E35&amp;$F35,'Emission factors'!$J$3:$J$201&amp;'Emission factors'!$K$3:$K$201,0),MATCH('Buildings - Water'!T$6,'Emission factors'!$K$2:$V$2,0)))*$K35)</f>
        <v/>
      </c>
      <c r="U35" s="157" t="str" cm="1">
        <f t="array" ref="U35">IF(OR($E35="",$I35=""),"",(INDEX('Emission factors'!$K$3:$V$201,MATCH('Buildings - Water'!$E35&amp;$F35,'Emission factors'!$J$3:$J$201&amp;'Emission factors'!$K$3:$K$201,0),MATCH('Buildings - Water'!U$6,'Emission factors'!$K$2:$V$2,0)))*$K35)</f>
        <v/>
      </c>
      <c r="V35" s="158" t="str">
        <f>IF(OR($N35="",BuildingsWaterTable[[#This Row],[RSD]]=""),"",BuildingsWaterTable[[#This Row],[Total emissions (kgCO2e)]]*(1+BuildingsWaterTable[[#This Row],[RSD]]))</f>
        <v/>
      </c>
      <c r="W35" s="159" t="str">
        <f>IF(OR($N35="",BuildingsWaterTable[[#This Row],[RSD]]=""),"",BuildingsWaterTable[[#This Row],[Total emissions (kgCO2e)]]*(1-BuildingsWaterTable[[#This Row],[RSD]]))</f>
        <v/>
      </c>
      <c r="X35" s="169" t="str" cm="1">
        <f t="array" ref="X35">IF(OR($E35="",$I35=""),"",(INDEX('Emission factors'!$K$3:$V$201,MATCH('Buildings - Water'!$E35&amp;$F35,'Emission factors'!$J$3:$J$201&amp;'Emission factors'!$K$3:$K$201,0),MATCH('Buildings - Water'!X$6,'Emission factors'!$K$2:$V$2,0)))*$K35)</f>
        <v/>
      </c>
      <c r="Y35" s="30"/>
      <c r="Z35" s="1" cm="1">
        <f t="array" ref="Z35">IF(OR(ISERROR(B35:X35)),1,0)</f>
        <v>0</v>
      </c>
      <c r="AA35" s="1">
        <f t="shared" si="1"/>
        <v>0</v>
      </c>
    </row>
    <row r="36" spans="1:27" ht="15" outlineLevel="1" thickBot="1" x14ac:dyDescent="0.4">
      <c r="A36" s="319"/>
      <c r="B36" s="216"/>
      <c r="C36" s="216"/>
      <c r="D36" s="233" t="str">
        <f>IFERROR(INDEX(BuildingInformationTable[Site type],MATCH(BuildingsWaterTable[[#This Row],[Site name]],BuildingInformationTable[Site name],0)),"")</f>
        <v/>
      </c>
      <c r="E36" s="312" t="str">
        <f t="shared" si="0"/>
        <v/>
      </c>
      <c r="F36" s="72"/>
      <c r="G36" s="72"/>
      <c r="H36" s="98" t="str">
        <f>IF(G36="","",INDEX(Lists!$BA$4:$BC$31,MATCH(E36,Lists!$AZ$4:$AZ$31,0),MATCH(G36,Lists!$BA$3:$BC$3,0)))</f>
        <v/>
      </c>
      <c r="I36" s="70"/>
      <c r="J36" s="72"/>
      <c r="K36" s="75" t="str" cm="1">
        <f t="array" ref="K36">IF(OR($E36="",$D36="",$I36="",$J36=""),"",IF(J36=L36,I36,(INDEX('Emission factors'!$K$3:$V$201,MATCH(E36&amp;F36,'Emission factors'!$J$3:$J$201&amp;'Emission factors'!$K$3:$K$201,0),MATCH(K$6,'Emission factors'!$K$2:$V$2,0)))*I36))</f>
        <v/>
      </c>
      <c r="L36" s="312" t="str">
        <f>IF(OR($E36="",$D36="",$I36="",$J36=""),"",INDEX('Emission factors'!$K$3:$V$201,MATCH('Buildings - Water'!$E36,'Emission factors'!$J$3:$J$201,0),MATCH($L$6,'Emission factors'!$K$2:$V$2,0)))</f>
        <v/>
      </c>
      <c r="M36" s="313" t="str" cm="1">
        <f t="array" ref="M36">IF(OR(E36="",I36="",BuildingsWaterTable[[#This Row],[Units]]=""),"",INDEX('Emission factors'!$K$3:$V$201,MATCH('Buildings - Water'!$E36&amp;F36,'Emission factors'!$J$3:$J$201&amp;'Emission factors'!$K$3:$K$201,0),MATCH('Buildings - Water'!$M$6,'Emission factors'!$K$2:$V$2,0)))</f>
        <v/>
      </c>
      <c r="N36" s="156" t="str">
        <f>IF(OR(K36="",M36=""),"",SUM(BuildingsWaterTable[[#This Row],[Direct]:[Indirect WTT]]))</f>
        <v/>
      </c>
      <c r="O36" s="71"/>
      <c r="P36" s="72"/>
      <c r="Q36" s="157" t="str" cm="1">
        <f t="array" ref="Q36">IF(OR($E36="",$I36=""),"",(INDEX('Emission factors'!$K$3:$V$201,MATCH('Buildings - Water'!$E36&amp;$F36,'Emission factors'!$J$3:$J$201&amp;'Emission factors'!$K$3:$K$201,0),MATCH('Buildings - Water'!Q$6,'Emission factors'!$K$2:$V$2,0)))*$K36)</f>
        <v/>
      </c>
      <c r="R36" s="157" t="str" cm="1">
        <f t="array" ref="R36">IF(OR($E36="",$I36=""),"",(INDEX('Emission factors'!$K$3:$V$201,MATCH('Buildings - Water'!$E36&amp;$F36,'Emission factors'!$J$3:$J$201&amp;'Emission factors'!$K$3:$K$201,0),MATCH('Buildings - Water'!R$6,'Emission factors'!$K$2:$V$2,0)))*$K36)</f>
        <v/>
      </c>
      <c r="S36" s="157" t="str" cm="1">
        <f t="array" ref="S36">IF(OR($E36="",$I36=""),"",(INDEX('Emission factors'!$K$3:$V$201,MATCH('Buildings - Water'!$E36&amp;$F36,'Emission factors'!$J$3:$J$201&amp;'Emission factors'!$K$3:$K$201,0),MATCH('Buildings - Water'!S$6,'Emission factors'!$K$2:$V$2,0)))*$K36)</f>
        <v/>
      </c>
      <c r="T36" s="157" t="str" cm="1">
        <f t="array" ref="T36">IF(OR($E36="",$I36=""),"",(INDEX('Emission factors'!$K$3:$V$201,MATCH('Buildings - Water'!$E36&amp;$F36,'Emission factors'!$J$3:$J$201&amp;'Emission factors'!$K$3:$K$201,0),MATCH('Buildings - Water'!T$6,'Emission factors'!$K$2:$V$2,0)))*$K36)</f>
        <v/>
      </c>
      <c r="U36" s="157" t="str" cm="1">
        <f t="array" ref="U36">IF(OR($E36="",$I36=""),"",(INDEX('Emission factors'!$K$3:$V$201,MATCH('Buildings - Water'!$E36&amp;$F36,'Emission factors'!$J$3:$J$201&amp;'Emission factors'!$K$3:$K$201,0),MATCH('Buildings - Water'!U$6,'Emission factors'!$K$2:$V$2,0)))*$K36)</f>
        <v/>
      </c>
      <c r="V36" s="158" t="str">
        <f>IF(OR($N36="",BuildingsWaterTable[[#This Row],[RSD]]=""),"",BuildingsWaterTable[[#This Row],[Total emissions (kgCO2e)]]*(1+BuildingsWaterTable[[#This Row],[RSD]]))</f>
        <v/>
      </c>
      <c r="W36" s="159" t="str">
        <f>IF(OR($N36="",BuildingsWaterTable[[#This Row],[RSD]]=""),"",BuildingsWaterTable[[#This Row],[Total emissions (kgCO2e)]]*(1-BuildingsWaterTable[[#This Row],[RSD]]))</f>
        <v/>
      </c>
      <c r="X36" s="169" t="str" cm="1">
        <f t="array" ref="X36">IF(OR($E36="",$I36=""),"",(INDEX('Emission factors'!$K$3:$V$201,MATCH('Buildings - Water'!$E36&amp;$F36,'Emission factors'!$J$3:$J$201&amp;'Emission factors'!$K$3:$K$201,0),MATCH('Buildings - Water'!X$6,'Emission factors'!$K$2:$V$2,0)))*$K36)</f>
        <v/>
      </c>
      <c r="Y36" s="30"/>
      <c r="Z36" s="1" cm="1">
        <f t="array" ref="Z36">IF(OR(ISERROR(B36:X36)),1,0)</f>
        <v>0</v>
      </c>
      <c r="AA36" s="1">
        <f t="shared" si="1"/>
        <v>0</v>
      </c>
    </row>
    <row r="37" spans="1:27" ht="15" outlineLevel="1" thickBot="1" x14ac:dyDescent="0.4">
      <c r="A37" s="319"/>
      <c r="B37" s="216"/>
      <c r="C37" s="216"/>
      <c r="D37" s="233" t="str">
        <f>IFERROR(INDEX(BuildingInformationTable[Site type],MATCH(BuildingsWaterTable[[#This Row],[Site name]],BuildingInformationTable[Site name],0)),"")</f>
        <v/>
      </c>
      <c r="E37" s="312" t="str">
        <f t="shared" si="0"/>
        <v/>
      </c>
      <c r="F37" s="72"/>
      <c r="G37" s="72"/>
      <c r="H37" s="98" t="str">
        <f>IF(G37="","",INDEX(Lists!$BA$4:$BC$31,MATCH(E37,Lists!$AZ$4:$AZ$31,0),MATCH(G37,Lists!$BA$3:$BC$3,0)))</f>
        <v/>
      </c>
      <c r="I37" s="70"/>
      <c r="J37" s="72"/>
      <c r="K37" s="75" t="str" cm="1">
        <f t="array" ref="K37">IF(OR($E37="",$D37="",$I37="",$J37=""),"",IF(J37=L37,I37,(INDEX('Emission factors'!$K$3:$V$201,MATCH(E37&amp;F37,'Emission factors'!$J$3:$J$201&amp;'Emission factors'!$K$3:$K$201,0),MATCH(K$6,'Emission factors'!$K$2:$V$2,0)))*I37))</f>
        <v/>
      </c>
      <c r="L37" s="312" t="str">
        <f>IF(OR($E37="",$D37="",$I37="",$J37=""),"",INDEX('Emission factors'!$K$3:$V$201,MATCH('Buildings - Water'!$E37,'Emission factors'!$J$3:$J$201,0),MATCH($L$6,'Emission factors'!$K$2:$V$2,0)))</f>
        <v/>
      </c>
      <c r="M37" s="313" t="str" cm="1">
        <f t="array" ref="M37">IF(OR(E37="",I37="",BuildingsWaterTable[[#This Row],[Units]]=""),"",INDEX('Emission factors'!$K$3:$V$201,MATCH('Buildings - Water'!$E37&amp;F37,'Emission factors'!$J$3:$J$201&amp;'Emission factors'!$K$3:$K$201,0),MATCH('Buildings - Water'!$M$6,'Emission factors'!$K$2:$V$2,0)))</f>
        <v/>
      </c>
      <c r="N37" s="156" t="str">
        <f>IF(OR(K37="",M37=""),"",SUM(BuildingsWaterTable[[#This Row],[Direct]:[Indirect WTT]]))</f>
        <v/>
      </c>
      <c r="O37" s="71"/>
      <c r="P37" s="72"/>
      <c r="Q37" s="157" t="str" cm="1">
        <f t="array" ref="Q37">IF(OR($E37="",$I37=""),"",(INDEX('Emission factors'!$K$3:$V$201,MATCH('Buildings - Water'!$E37&amp;$F37,'Emission factors'!$J$3:$J$201&amp;'Emission factors'!$K$3:$K$201,0),MATCH('Buildings - Water'!Q$6,'Emission factors'!$K$2:$V$2,0)))*$K37)</f>
        <v/>
      </c>
      <c r="R37" s="157" t="str" cm="1">
        <f t="array" ref="R37">IF(OR($E37="",$I37=""),"",(INDEX('Emission factors'!$K$3:$V$201,MATCH('Buildings - Water'!$E37&amp;$F37,'Emission factors'!$J$3:$J$201&amp;'Emission factors'!$K$3:$K$201,0),MATCH('Buildings - Water'!R$6,'Emission factors'!$K$2:$V$2,0)))*$K37)</f>
        <v/>
      </c>
      <c r="S37" s="157" t="str" cm="1">
        <f t="array" ref="S37">IF(OR($E37="",$I37=""),"",(INDEX('Emission factors'!$K$3:$V$201,MATCH('Buildings - Water'!$E37&amp;$F37,'Emission factors'!$J$3:$J$201&amp;'Emission factors'!$K$3:$K$201,0),MATCH('Buildings - Water'!S$6,'Emission factors'!$K$2:$V$2,0)))*$K37)</f>
        <v/>
      </c>
      <c r="T37" s="157" t="str" cm="1">
        <f t="array" ref="T37">IF(OR($E37="",$I37=""),"",(INDEX('Emission factors'!$K$3:$V$201,MATCH('Buildings - Water'!$E37&amp;$F37,'Emission factors'!$J$3:$J$201&amp;'Emission factors'!$K$3:$K$201,0),MATCH('Buildings - Water'!T$6,'Emission factors'!$K$2:$V$2,0)))*$K37)</f>
        <v/>
      </c>
      <c r="U37" s="157" t="str" cm="1">
        <f t="array" ref="U37">IF(OR($E37="",$I37=""),"",(INDEX('Emission factors'!$K$3:$V$201,MATCH('Buildings - Water'!$E37&amp;$F37,'Emission factors'!$J$3:$J$201&amp;'Emission factors'!$K$3:$K$201,0),MATCH('Buildings - Water'!U$6,'Emission factors'!$K$2:$V$2,0)))*$K37)</f>
        <v/>
      </c>
      <c r="V37" s="158" t="str">
        <f>IF(OR($N37="",BuildingsWaterTable[[#This Row],[RSD]]=""),"",BuildingsWaterTable[[#This Row],[Total emissions (kgCO2e)]]*(1+BuildingsWaterTable[[#This Row],[RSD]]))</f>
        <v/>
      </c>
      <c r="W37" s="159" t="str">
        <f>IF(OR($N37="",BuildingsWaterTable[[#This Row],[RSD]]=""),"",BuildingsWaterTable[[#This Row],[Total emissions (kgCO2e)]]*(1-BuildingsWaterTable[[#This Row],[RSD]]))</f>
        <v/>
      </c>
      <c r="X37" s="169" t="str" cm="1">
        <f t="array" ref="X37">IF(OR($E37="",$I37=""),"",(INDEX('Emission factors'!$K$3:$V$201,MATCH('Buildings - Water'!$E37&amp;$F37,'Emission factors'!$J$3:$J$201&amp;'Emission factors'!$K$3:$K$201,0),MATCH('Buildings - Water'!X$6,'Emission factors'!$K$2:$V$2,0)))*$K37)</f>
        <v/>
      </c>
      <c r="Y37" s="30"/>
      <c r="Z37" s="1" cm="1">
        <f t="array" ref="Z37">IF(OR(ISERROR(B37:X37)),1,0)</f>
        <v>0</v>
      </c>
      <c r="AA37" s="1">
        <f t="shared" si="1"/>
        <v>0</v>
      </c>
    </row>
    <row r="38" spans="1:27" ht="15" outlineLevel="1" thickBot="1" x14ac:dyDescent="0.4">
      <c r="A38" s="319"/>
      <c r="B38" s="216"/>
      <c r="C38" s="216"/>
      <c r="D38" s="233" t="str">
        <f>IFERROR(INDEX(BuildingInformationTable[Site type],MATCH(BuildingsWaterTable[[#This Row],[Site name]],BuildingInformationTable[Site name],0)),"")</f>
        <v/>
      </c>
      <c r="E38" s="312" t="str">
        <f t="shared" si="0"/>
        <v/>
      </c>
      <c r="F38" s="72"/>
      <c r="G38" s="72"/>
      <c r="H38" s="98" t="str">
        <f>IF(G38="","",INDEX(Lists!$BA$4:$BC$31,MATCH(E38,Lists!$AZ$4:$AZ$31,0),MATCH(G38,Lists!$BA$3:$BC$3,0)))</f>
        <v/>
      </c>
      <c r="I38" s="70"/>
      <c r="J38" s="72"/>
      <c r="K38" s="75" t="str" cm="1">
        <f t="array" ref="K38">IF(OR($E38="",$D38="",$I38="",$J38=""),"",IF(J38=L38,I38,(INDEX('Emission factors'!$K$3:$V$201,MATCH(E38&amp;F38,'Emission factors'!$J$3:$J$201&amp;'Emission factors'!$K$3:$K$201,0),MATCH(K$6,'Emission factors'!$K$2:$V$2,0)))*I38))</f>
        <v/>
      </c>
      <c r="L38" s="312" t="str">
        <f>IF(OR($E38="",$D38="",$I38="",$J38=""),"",INDEX('Emission factors'!$K$3:$V$201,MATCH('Buildings - Water'!$E38,'Emission factors'!$J$3:$J$201,0),MATCH($L$6,'Emission factors'!$K$2:$V$2,0)))</f>
        <v/>
      </c>
      <c r="M38" s="313" t="str" cm="1">
        <f t="array" ref="M38">IF(OR(E38="",I38="",BuildingsWaterTable[[#This Row],[Units]]=""),"",INDEX('Emission factors'!$K$3:$V$201,MATCH('Buildings - Water'!$E38&amp;F38,'Emission factors'!$J$3:$J$201&amp;'Emission factors'!$K$3:$K$201,0),MATCH('Buildings - Water'!$M$6,'Emission factors'!$K$2:$V$2,0)))</f>
        <v/>
      </c>
      <c r="N38" s="156" t="str">
        <f>IF(OR(K38="",M38=""),"",SUM(BuildingsWaterTable[[#This Row],[Direct]:[Indirect WTT]]))</f>
        <v/>
      </c>
      <c r="O38" s="71"/>
      <c r="P38" s="72"/>
      <c r="Q38" s="157" t="str" cm="1">
        <f t="array" ref="Q38">IF(OR($E38="",$I38=""),"",(INDEX('Emission factors'!$K$3:$V$201,MATCH('Buildings - Water'!$E38&amp;$F38,'Emission factors'!$J$3:$J$201&amp;'Emission factors'!$K$3:$K$201,0),MATCH('Buildings - Water'!Q$6,'Emission factors'!$K$2:$V$2,0)))*$K38)</f>
        <v/>
      </c>
      <c r="R38" s="157" t="str" cm="1">
        <f t="array" ref="R38">IF(OR($E38="",$I38=""),"",(INDEX('Emission factors'!$K$3:$V$201,MATCH('Buildings - Water'!$E38&amp;$F38,'Emission factors'!$J$3:$J$201&amp;'Emission factors'!$K$3:$K$201,0),MATCH('Buildings - Water'!R$6,'Emission factors'!$K$2:$V$2,0)))*$K38)</f>
        <v/>
      </c>
      <c r="S38" s="157" t="str" cm="1">
        <f t="array" ref="S38">IF(OR($E38="",$I38=""),"",(INDEX('Emission factors'!$K$3:$V$201,MATCH('Buildings - Water'!$E38&amp;$F38,'Emission factors'!$J$3:$J$201&amp;'Emission factors'!$K$3:$K$201,0),MATCH('Buildings - Water'!S$6,'Emission factors'!$K$2:$V$2,0)))*$K38)</f>
        <v/>
      </c>
      <c r="T38" s="157" t="str" cm="1">
        <f t="array" ref="T38">IF(OR($E38="",$I38=""),"",(INDEX('Emission factors'!$K$3:$V$201,MATCH('Buildings - Water'!$E38&amp;$F38,'Emission factors'!$J$3:$J$201&amp;'Emission factors'!$K$3:$K$201,0),MATCH('Buildings - Water'!T$6,'Emission factors'!$K$2:$V$2,0)))*$K38)</f>
        <v/>
      </c>
      <c r="U38" s="157" t="str" cm="1">
        <f t="array" ref="U38">IF(OR($E38="",$I38=""),"",(INDEX('Emission factors'!$K$3:$V$201,MATCH('Buildings - Water'!$E38&amp;$F38,'Emission factors'!$J$3:$J$201&amp;'Emission factors'!$K$3:$K$201,0),MATCH('Buildings - Water'!U$6,'Emission factors'!$K$2:$V$2,0)))*$K38)</f>
        <v/>
      </c>
      <c r="V38" s="158" t="str">
        <f>IF(OR($N38="",BuildingsWaterTable[[#This Row],[RSD]]=""),"",BuildingsWaterTable[[#This Row],[Total emissions (kgCO2e)]]*(1+BuildingsWaterTable[[#This Row],[RSD]]))</f>
        <v/>
      </c>
      <c r="W38" s="159" t="str">
        <f>IF(OR($N38="",BuildingsWaterTable[[#This Row],[RSD]]=""),"",BuildingsWaterTable[[#This Row],[Total emissions (kgCO2e)]]*(1-BuildingsWaterTable[[#This Row],[RSD]]))</f>
        <v/>
      </c>
      <c r="X38" s="169" t="str" cm="1">
        <f t="array" ref="X38">IF(OR($E38="",$I38=""),"",(INDEX('Emission factors'!$K$3:$V$201,MATCH('Buildings - Water'!$E38&amp;$F38,'Emission factors'!$J$3:$J$201&amp;'Emission factors'!$K$3:$K$201,0),MATCH('Buildings - Water'!X$6,'Emission factors'!$K$2:$V$2,0)))*$K38)</f>
        <v/>
      </c>
      <c r="Y38" s="30"/>
      <c r="Z38" s="1" cm="1">
        <f t="array" ref="Z38">IF(OR(ISERROR(B38:X38)),1,0)</f>
        <v>0</v>
      </c>
      <c r="AA38" s="1">
        <f t="shared" si="1"/>
        <v>0</v>
      </c>
    </row>
    <row r="39" spans="1:27" ht="15" outlineLevel="1" thickBot="1" x14ac:dyDescent="0.4">
      <c r="A39" s="319"/>
      <c r="B39" s="216"/>
      <c r="C39" s="216"/>
      <c r="D39" s="233" t="str">
        <f>IFERROR(INDEX(BuildingInformationTable[Site type],MATCH(BuildingsWaterTable[[#This Row],[Site name]],BuildingInformationTable[Site name],0)),"")</f>
        <v/>
      </c>
      <c r="E39" s="312" t="str">
        <f t="shared" ref="E39:E70" si="2">IF(B39="", "", "Water")</f>
        <v/>
      </c>
      <c r="F39" s="72"/>
      <c r="G39" s="72"/>
      <c r="H39" s="98" t="str">
        <f>IF(G39="","",INDEX(Lists!$BA$4:$BC$31,MATCH(E39,Lists!$AZ$4:$AZ$31,0),MATCH(G39,Lists!$BA$3:$BC$3,0)))</f>
        <v/>
      </c>
      <c r="I39" s="70"/>
      <c r="J39" s="72"/>
      <c r="K39" s="75" t="str" cm="1">
        <f t="array" ref="K39">IF(OR($E39="",$D39="",$I39="",$J39=""),"",IF(J39=L39,I39,(INDEX('Emission factors'!$K$3:$V$201,MATCH(E39&amp;F39,'Emission factors'!$J$3:$J$201&amp;'Emission factors'!$K$3:$K$201,0),MATCH(K$6,'Emission factors'!$K$2:$V$2,0)))*I39))</f>
        <v/>
      </c>
      <c r="L39" s="312" t="str">
        <f>IF(OR($E39="",$D39="",$I39="",$J39=""),"",INDEX('Emission factors'!$K$3:$V$201,MATCH('Buildings - Water'!$E39,'Emission factors'!$J$3:$J$201,0),MATCH($L$6,'Emission factors'!$K$2:$V$2,0)))</f>
        <v/>
      </c>
      <c r="M39" s="313" t="str" cm="1">
        <f t="array" ref="M39">IF(OR(E39="",I39="",BuildingsWaterTable[[#This Row],[Units]]=""),"",INDEX('Emission factors'!$K$3:$V$201,MATCH('Buildings - Water'!$E39&amp;F39,'Emission factors'!$J$3:$J$201&amp;'Emission factors'!$K$3:$K$201,0),MATCH('Buildings - Water'!$M$6,'Emission factors'!$K$2:$V$2,0)))</f>
        <v/>
      </c>
      <c r="N39" s="156" t="str">
        <f>IF(OR(K39="",M39=""),"",SUM(BuildingsWaterTable[[#This Row],[Direct]:[Indirect WTT]]))</f>
        <v/>
      </c>
      <c r="O39" s="71"/>
      <c r="P39" s="72"/>
      <c r="Q39" s="157" t="str" cm="1">
        <f t="array" ref="Q39">IF(OR($E39="",$I39=""),"",(INDEX('Emission factors'!$K$3:$V$201,MATCH('Buildings - Water'!$E39&amp;$F39,'Emission factors'!$J$3:$J$201&amp;'Emission factors'!$K$3:$K$201,0),MATCH('Buildings - Water'!Q$6,'Emission factors'!$K$2:$V$2,0)))*$K39)</f>
        <v/>
      </c>
      <c r="R39" s="157" t="str" cm="1">
        <f t="array" ref="R39">IF(OR($E39="",$I39=""),"",(INDEX('Emission factors'!$K$3:$V$201,MATCH('Buildings - Water'!$E39&amp;$F39,'Emission factors'!$J$3:$J$201&amp;'Emission factors'!$K$3:$K$201,0),MATCH('Buildings - Water'!R$6,'Emission factors'!$K$2:$V$2,0)))*$K39)</f>
        <v/>
      </c>
      <c r="S39" s="157" t="str" cm="1">
        <f t="array" ref="S39">IF(OR($E39="",$I39=""),"",(INDEX('Emission factors'!$K$3:$V$201,MATCH('Buildings - Water'!$E39&amp;$F39,'Emission factors'!$J$3:$J$201&amp;'Emission factors'!$K$3:$K$201,0),MATCH('Buildings - Water'!S$6,'Emission factors'!$K$2:$V$2,0)))*$K39)</f>
        <v/>
      </c>
      <c r="T39" s="157" t="str" cm="1">
        <f t="array" ref="T39">IF(OR($E39="",$I39=""),"",(INDEX('Emission factors'!$K$3:$V$201,MATCH('Buildings - Water'!$E39&amp;$F39,'Emission factors'!$J$3:$J$201&amp;'Emission factors'!$K$3:$K$201,0),MATCH('Buildings - Water'!T$6,'Emission factors'!$K$2:$V$2,0)))*$K39)</f>
        <v/>
      </c>
      <c r="U39" s="157" t="str" cm="1">
        <f t="array" ref="U39">IF(OR($E39="",$I39=""),"",(INDEX('Emission factors'!$K$3:$V$201,MATCH('Buildings - Water'!$E39&amp;$F39,'Emission factors'!$J$3:$J$201&amp;'Emission factors'!$K$3:$K$201,0),MATCH('Buildings - Water'!U$6,'Emission factors'!$K$2:$V$2,0)))*$K39)</f>
        <v/>
      </c>
      <c r="V39" s="158" t="str">
        <f>IF(OR($N39="",BuildingsWaterTable[[#This Row],[RSD]]=""),"",BuildingsWaterTable[[#This Row],[Total emissions (kgCO2e)]]*(1+BuildingsWaterTable[[#This Row],[RSD]]))</f>
        <v/>
      </c>
      <c r="W39" s="159" t="str">
        <f>IF(OR($N39="",BuildingsWaterTable[[#This Row],[RSD]]=""),"",BuildingsWaterTable[[#This Row],[Total emissions (kgCO2e)]]*(1-BuildingsWaterTable[[#This Row],[RSD]]))</f>
        <v/>
      </c>
      <c r="X39" s="169" t="str" cm="1">
        <f t="array" ref="X39">IF(OR($E39="",$I39=""),"",(INDEX('Emission factors'!$K$3:$V$201,MATCH('Buildings - Water'!$E39&amp;$F39,'Emission factors'!$J$3:$J$201&amp;'Emission factors'!$K$3:$K$201,0),MATCH('Buildings - Water'!X$6,'Emission factors'!$K$2:$V$2,0)))*$K39)</f>
        <v/>
      </c>
      <c r="Y39" s="30"/>
      <c r="Z39" s="1" cm="1">
        <f t="array" ref="Z39">IF(OR(ISERROR(B39:X39)),1,0)</f>
        <v>0</v>
      </c>
      <c r="AA39" s="1">
        <f t="shared" si="1"/>
        <v>0</v>
      </c>
    </row>
    <row r="40" spans="1:27" ht="15" outlineLevel="1" thickBot="1" x14ac:dyDescent="0.4">
      <c r="A40" s="319"/>
      <c r="B40" s="216"/>
      <c r="C40" s="216"/>
      <c r="D40" s="233" t="str">
        <f>IFERROR(INDEX(BuildingInformationTable[Site type],MATCH(BuildingsWaterTable[[#This Row],[Site name]],BuildingInformationTable[Site name],0)),"")</f>
        <v/>
      </c>
      <c r="E40" s="312" t="str">
        <f t="shared" si="2"/>
        <v/>
      </c>
      <c r="F40" s="72"/>
      <c r="G40" s="72"/>
      <c r="H40" s="98" t="str">
        <f>IF(G40="","",INDEX(Lists!$BA$4:$BC$31,MATCH(E40,Lists!$AZ$4:$AZ$31,0),MATCH(G40,Lists!$BA$3:$BC$3,0)))</f>
        <v/>
      </c>
      <c r="I40" s="70"/>
      <c r="J40" s="72"/>
      <c r="K40" s="75" t="str" cm="1">
        <f t="array" ref="K40">IF(OR($E40="",$D40="",$I40="",$J40=""),"",IF(J40=L40,I40,(INDEX('Emission factors'!$K$3:$V$201,MATCH(E40&amp;F40,'Emission factors'!$J$3:$J$201&amp;'Emission factors'!$K$3:$K$201,0),MATCH(K$6,'Emission factors'!$K$2:$V$2,0)))*I40))</f>
        <v/>
      </c>
      <c r="L40" s="312" t="str">
        <f>IF(OR($E40="",$D40="",$I40="",$J40=""),"",INDEX('Emission factors'!$K$3:$V$201,MATCH('Buildings - Water'!$E40,'Emission factors'!$J$3:$J$201,0),MATCH($L$6,'Emission factors'!$K$2:$V$2,0)))</f>
        <v/>
      </c>
      <c r="M40" s="313" t="str" cm="1">
        <f t="array" ref="M40">IF(OR(E40="",I40="",BuildingsWaterTable[[#This Row],[Units]]=""),"",INDEX('Emission factors'!$K$3:$V$201,MATCH('Buildings - Water'!$E40&amp;F40,'Emission factors'!$J$3:$J$201&amp;'Emission factors'!$K$3:$K$201,0),MATCH('Buildings - Water'!$M$6,'Emission factors'!$K$2:$V$2,0)))</f>
        <v/>
      </c>
      <c r="N40" s="156" t="str">
        <f>IF(OR(K40="",M40=""),"",SUM(BuildingsWaterTable[[#This Row],[Direct]:[Indirect WTT]]))</f>
        <v/>
      </c>
      <c r="O40" s="71"/>
      <c r="P40" s="72"/>
      <c r="Q40" s="157" t="str" cm="1">
        <f t="array" ref="Q40">IF(OR($E40="",$I40=""),"",(INDEX('Emission factors'!$K$3:$V$201,MATCH('Buildings - Water'!$E40&amp;$F40,'Emission factors'!$J$3:$J$201&amp;'Emission factors'!$K$3:$K$201,0),MATCH('Buildings - Water'!Q$6,'Emission factors'!$K$2:$V$2,0)))*$K40)</f>
        <v/>
      </c>
      <c r="R40" s="157" t="str" cm="1">
        <f t="array" ref="R40">IF(OR($E40="",$I40=""),"",(INDEX('Emission factors'!$K$3:$V$201,MATCH('Buildings - Water'!$E40&amp;$F40,'Emission factors'!$J$3:$J$201&amp;'Emission factors'!$K$3:$K$201,0),MATCH('Buildings - Water'!R$6,'Emission factors'!$K$2:$V$2,0)))*$K40)</f>
        <v/>
      </c>
      <c r="S40" s="157" t="str" cm="1">
        <f t="array" ref="S40">IF(OR($E40="",$I40=""),"",(INDEX('Emission factors'!$K$3:$V$201,MATCH('Buildings - Water'!$E40&amp;$F40,'Emission factors'!$J$3:$J$201&amp;'Emission factors'!$K$3:$K$201,0),MATCH('Buildings - Water'!S$6,'Emission factors'!$K$2:$V$2,0)))*$K40)</f>
        <v/>
      </c>
      <c r="T40" s="157" t="str" cm="1">
        <f t="array" ref="T40">IF(OR($E40="",$I40=""),"",(INDEX('Emission factors'!$K$3:$V$201,MATCH('Buildings - Water'!$E40&amp;$F40,'Emission factors'!$J$3:$J$201&amp;'Emission factors'!$K$3:$K$201,0),MATCH('Buildings - Water'!T$6,'Emission factors'!$K$2:$V$2,0)))*$K40)</f>
        <v/>
      </c>
      <c r="U40" s="157" t="str" cm="1">
        <f t="array" ref="U40">IF(OR($E40="",$I40=""),"",(INDEX('Emission factors'!$K$3:$V$201,MATCH('Buildings - Water'!$E40&amp;$F40,'Emission factors'!$J$3:$J$201&amp;'Emission factors'!$K$3:$K$201,0),MATCH('Buildings - Water'!U$6,'Emission factors'!$K$2:$V$2,0)))*$K40)</f>
        <v/>
      </c>
      <c r="V40" s="158" t="str">
        <f>IF(OR($N40="",BuildingsWaterTable[[#This Row],[RSD]]=""),"",BuildingsWaterTable[[#This Row],[Total emissions (kgCO2e)]]*(1+BuildingsWaterTable[[#This Row],[RSD]]))</f>
        <v/>
      </c>
      <c r="W40" s="159" t="str">
        <f>IF(OR($N40="",BuildingsWaterTable[[#This Row],[RSD]]=""),"",BuildingsWaterTable[[#This Row],[Total emissions (kgCO2e)]]*(1-BuildingsWaterTable[[#This Row],[RSD]]))</f>
        <v/>
      </c>
      <c r="X40" s="169" t="str" cm="1">
        <f t="array" ref="X40">IF(OR($E40="",$I40=""),"",(INDEX('Emission factors'!$K$3:$V$201,MATCH('Buildings - Water'!$E40&amp;$F40,'Emission factors'!$J$3:$J$201&amp;'Emission factors'!$K$3:$K$201,0),MATCH('Buildings - Water'!X$6,'Emission factors'!$K$2:$V$2,0)))*$K40)</f>
        <v/>
      </c>
      <c r="Y40" s="30"/>
      <c r="Z40" s="1" cm="1">
        <f t="array" ref="Z40">IF(OR(ISERROR(B40:X40)),1,0)</f>
        <v>0</v>
      </c>
      <c r="AA40" s="1">
        <f t="shared" si="1"/>
        <v>0</v>
      </c>
    </row>
    <row r="41" spans="1:27" ht="15" outlineLevel="1" thickBot="1" x14ac:dyDescent="0.4">
      <c r="A41" s="319"/>
      <c r="B41" s="216"/>
      <c r="C41" s="216"/>
      <c r="D41" s="233" t="str">
        <f>IFERROR(INDEX(BuildingInformationTable[Site type],MATCH(BuildingsWaterTable[[#This Row],[Site name]],BuildingInformationTable[Site name],0)),"")</f>
        <v/>
      </c>
      <c r="E41" s="312" t="str">
        <f t="shared" si="2"/>
        <v/>
      </c>
      <c r="F41" s="72"/>
      <c r="G41" s="72"/>
      <c r="H41" s="98" t="str">
        <f>IF(G41="","",INDEX(Lists!$BA$4:$BC$31,MATCH(E41,Lists!$AZ$4:$AZ$31,0),MATCH(G41,Lists!$BA$3:$BC$3,0)))</f>
        <v/>
      </c>
      <c r="I41" s="70"/>
      <c r="J41" s="72"/>
      <c r="K41" s="75" t="str" cm="1">
        <f t="array" ref="K41">IF(OR($E41="",$D41="",$I41="",$J41=""),"",IF(J41=L41,I41,(INDEX('Emission factors'!$K$3:$V$201,MATCH(E41&amp;F41,'Emission factors'!$J$3:$J$201&amp;'Emission factors'!$K$3:$K$201,0),MATCH(K$6,'Emission factors'!$K$2:$V$2,0)))*I41))</f>
        <v/>
      </c>
      <c r="L41" s="312" t="str">
        <f>IF(OR($E41="",$D41="",$I41="",$J41=""),"",INDEX('Emission factors'!$K$3:$V$201,MATCH('Buildings - Water'!$E41,'Emission factors'!$J$3:$J$201,0),MATCH($L$6,'Emission factors'!$K$2:$V$2,0)))</f>
        <v/>
      </c>
      <c r="M41" s="313" t="str" cm="1">
        <f t="array" ref="M41">IF(OR(E41="",I41="",BuildingsWaterTable[[#This Row],[Units]]=""),"",INDEX('Emission factors'!$K$3:$V$201,MATCH('Buildings - Water'!$E41&amp;F41,'Emission factors'!$J$3:$J$201&amp;'Emission factors'!$K$3:$K$201,0),MATCH('Buildings - Water'!$M$6,'Emission factors'!$K$2:$V$2,0)))</f>
        <v/>
      </c>
      <c r="N41" s="156" t="str">
        <f>IF(OR(K41="",M41=""),"",SUM(BuildingsWaterTable[[#This Row],[Direct]:[Indirect WTT]]))</f>
        <v/>
      </c>
      <c r="O41" s="71"/>
      <c r="P41" s="72"/>
      <c r="Q41" s="157" t="str" cm="1">
        <f t="array" ref="Q41">IF(OR($E41="",$I41=""),"",(INDEX('Emission factors'!$K$3:$V$201,MATCH('Buildings - Water'!$E41&amp;$F41,'Emission factors'!$J$3:$J$201&amp;'Emission factors'!$K$3:$K$201,0),MATCH('Buildings - Water'!Q$6,'Emission factors'!$K$2:$V$2,0)))*$K41)</f>
        <v/>
      </c>
      <c r="R41" s="157" t="str" cm="1">
        <f t="array" ref="R41">IF(OR($E41="",$I41=""),"",(INDEX('Emission factors'!$K$3:$V$201,MATCH('Buildings - Water'!$E41&amp;$F41,'Emission factors'!$J$3:$J$201&amp;'Emission factors'!$K$3:$K$201,0),MATCH('Buildings - Water'!R$6,'Emission factors'!$K$2:$V$2,0)))*$K41)</f>
        <v/>
      </c>
      <c r="S41" s="157" t="str" cm="1">
        <f t="array" ref="S41">IF(OR($E41="",$I41=""),"",(INDEX('Emission factors'!$K$3:$V$201,MATCH('Buildings - Water'!$E41&amp;$F41,'Emission factors'!$J$3:$J$201&amp;'Emission factors'!$K$3:$K$201,0),MATCH('Buildings - Water'!S$6,'Emission factors'!$K$2:$V$2,0)))*$K41)</f>
        <v/>
      </c>
      <c r="T41" s="157" t="str" cm="1">
        <f t="array" ref="T41">IF(OR($E41="",$I41=""),"",(INDEX('Emission factors'!$K$3:$V$201,MATCH('Buildings - Water'!$E41&amp;$F41,'Emission factors'!$J$3:$J$201&amp;'Emission factors'!$K$3:$K$201,0),MATCH('Buildings - Water'!T$6,'Emission factors'!$K$2:$V$2,0)))*$K41)</f>
        <v/>
      </c>
      <c r="U41" s="157" t="str" cm="1">
        <f t="array" ref="U41">IF(OR($E41="",$I41=""),"",(INDEX('Emission factors'!$K$3:$V$201,MATCH('Buildings - Water'!$E41&amp;$F41,'Emission factors'!$J$3:$J$201&amp;'Emission factors'!$K$3:$K$201,0),MATCH('Buildings - Water'!U$6,'Emission factors'!$K$2:$V$2,0)))*$K41)</f>
        <v/>
      </c>
      <c r="V41" s="158" t="str">
        <f>IF(OR($N41="",BuildingsWaterTable[[#This Row],[RSD]]=""),"",BuildingsWaterTable[[#This Row],[Total emissions (kgCO2e)]]*(1+BuildingsWaterTable[[#This Row],[RSD]]))</f>
        <v/>
      </c>
      <c r="W41" s="159" t="str">
        <f>IF(OR($N41="",BuildingsWaterTable[[#This Row],[RSD]]=""),"",BuildingsWaterTable[[#This Row],[Total emissions (kgCO2e)]]*(1-BuildingsWaterTable[[#This Row],[RSD]]))</f>
        <v/>
      </c>
      <c r="X41" s="169" t="str" cm="1">
        <f t="array" ref="X41">IF(OR($E41="",$I41=""),"",(INDEX('Emission factors'!$K$3:$V$201,MATCH('Buildings - Water'!$E41&amp;$F41,'Emission factors'!$J$3:$J$201&amp;'Emission factors'!$K$3:$K$201,0),MATCH('Buildings - Water'!X$6,'Emission factors'!$K$2:$V$2,0)))*$K41)</f>
        <v/>
      </c>
      <c r="Y41" s="30"/>
      <c r="Z41" s="1" cm="1">
        <f t="array" ref="Z41">IF(OR(ISERROR(B41:X41)),1,0)</f>
        <v>0</v>
      </c>
      <c r="AA41" s="1">
        <f t="shared" si="1"/>
        <v>0</v>
      </c>
    </row>
    <row r="42" spans="1:27" ht="15" outlineLevel="1" thickBot="1" x14ac:dyDescent="0.4">
      <c r="A42" s="319"/>
      <c r="B42" s="216"/>
      <c r="C42" s="216"/>
      <c r="D42" s="233" t="str">
        <f>IFERROR(INDEX(BuildingInformationTable[Site type],MATCH(BuildingsWaterTable[[#This Row],[Site name]],BuildingInformationTable[Site name],0)),"")</f>
        <v/>
      </c>
      <c r="E42" s="312" t="str">
        <f t="shared" si="2"/>
        <v/>
      </c>
      <c r="F42" s="72"/>
      <c r="G42" s="72"/>
      <c r="H42" s="98" t="str">
        <f>IF(G42="","",INDEX(Lists!$BA$4:$BC$31,MATCH(E42,Lists!$AZ$4:$AZ$31,0),MATCH(G42,Lists!$BA$3:$BC$3,0)))</f>
        <v/>
      </c>
      <c r="I42" s="70"/>
      <c r="J42" s="72"/>
      <c r="K42" s="75" t="str" cm="1">
        <f t="array" ref="K42">IF(OR($E42="",$D42="",$I42="",$J42=""),"",IF(J42=L42,I42,(INDEX('Emission factors'!$K$3:$V$201,MATCH(E42&amp;F42,'Emission factors'!$J$3:$J$201&amp;'Emission factors'!$K$3:$K$201,0),MATCH(K$6,'Emission factors'!$K$2:$V$2,0)))*I42))</f>
        <v/>
      </c>
      <c r="L42" s="312" t="str">
        <f>IF(OR($E42="",$D42="",$I42="",$J42=""),"",INDEX('Emission factors'!$K$3:$V$201,MATCH('Buildings - Water'!$E42,'Emission factors'!$J$3:$J$201,0),MATCH($L$6,'Emission factors'!$K$2:$V$2,0)))</f>
        <v/>
      </c>
      <c r="M42" s="313" t="str" cm="1">
        <f t="array" ref="M42">IF(OR(E42="",I42="",BuildingsWaterTable[[#This Row],[Units]]=""),"",INDEX('Emission factors'!$K$3:$V$201,MATCH('Buildings - Water'!$E42&amp;F42,'Emission factors'!$J$3:$J$201&amp;'Emission factors'!$K$3:$K$201,0),MATCH('Buildings - Water'!$M$6,'Emission factors'!$K$2:$V$2,0)))</f>
        <v/>
      </c>
      <c r="N42" s="156" t="str">
        <f>IF(OR(K42="",M42=""),"",SUM(BuildingsWaterTable[[#This Row],[Direct]:[Indirect WTT]]))</f>
        <v/>
      </c>
      <c r="O42" s="71"/>
      <c r="P42" s="72"/>
      <c r="Q42" s="157" t="str" cm="1">
        <f t="array" ref="Q42">IF(OR($E42="",$I42=""),"",(INDEX('Emission factors'!$K$3:$V$201,MATCH('Buildings - Water'!$E42&amp;$F42,'Emission factors'!$J$3:$J$201&amp;'Emission factors'!$K$3:$K$201,0),MATCH('Buildings - Water'!Q$6,'Emission factors'!$K$2:$V$2,0)))*$K42)</f>
        <v/>
      </c>
      <c r="R42" s="157" t="str" cm="1">
        <f t="array" ref="R42">IF(OR($E42="",$I42=""),"",(INDEX('Emission factors'!$K$3:$V$201,MATCH('Buildings - Water'!$E42&amp;$F42,'Emission factors'!$J$3:$J$201&amp;'Emission factors'!$K$3:$K$201,0),MATCH('Buildings - Water'!R$6,'Emission factors'!$K$2:$V$2,0)))*$K42)</f>
        <v/>
      </c>
      <c r="S42" s="157" t="str" cm="1">
        <f t="array" ref="S42">IF(OR($E42="",$I42=""),"",(INDEX('Emission factors'!$K$3:$V$201,MATCH('Buildings - Water'!$E42&amp;$F42,'Emission factors'!$J$3:$J$201&amp;'Emission factors'!$K$3:$K$201,0),MATCH('Buildings - Water'!S$6,'Emission factors'!$K$2:$V$2,0)))*$K42)</f>
        <v/>
      </c>
      <c r="T42" s="157" t="str" cm="1">
        <f t="array" ref="T42">IF(OR($E42="",$I42=""),"",(INDEX('Emission factors'!$K$3:$V$201,MATCH('Buildings - Water'!$E42&amp;$F42,'Emission factors'!$J$3:$J$201&amp;'Emission factors'!$K$3:$K$201,0),MATCH('Buildings - Water'!T$6,'Emission factors'!$K$2:$V$2,0)))*$K42)</f>
        <v/>
      </c>
      <c r="U42" s="157" t="str" cm="1">
        <f t="array" ref="U42">IF(OR($E42="",$I42=""),"",(INDEX('Emission factors'!$K$3:$V$201,MATCH('Buildings - Water'!$E42&amp;$F42,'Emission factors'!$J$3:$J$201&amp;'Emission factors'!$K$3:$K$201,0),MATCH('Buildings - Water'!U$6,'Emission factors'!$K$2:$V$2,0)))*$K42)</f>
        <v/>
      </c>
      <c r="V42" s="158" t="str">
        <f>IF(OR($N42="",BuildingsWaterTable[[#This Row],[RSD]]=""),"",BuildingsWaterTable[[#This Row],[Total emissions (kgCO2e)]]*(1+BuildingsWaterTable[[#This Row],[RSD]]))</f>
        <v/>
      </c>
      <c r="W42" s="159" t="str">
        <f>IF(OR($N42="",BuildingsWaterTable[[#This Row],[RSD]]=""),"",BuildingsWaterTable[[#This Row],[Total emissions (kgCO2e)]]*(1-BuildingsWaterTable[[#This Row],[RSD]]))</f>
        <v/>
      </c>
      <c r="X42" s="169" t="str" cm="1">
        <f t="array" ref="X42">IF(OR($E42="",$I42=""),"",(INDEX('Emission factors'!$K$3:$V$201,MATCH('Buildings - Water'!$E42&amp;$F42,'Emission factors'!$J$3:$J$201&amp;'Emission factors'!$K$3:$K$201,0),MATCH('Buildings - Water'!X$6,'Emission factors'!$K$2:$V$2,0)))*$K42)</f>
        <v/>
      </c>
      <c r="Y42" s="30"/>
      <c r="Z42" s="1" cm="1">
        <f t="array" ref="Z42">IF(OR(ISERROR(B42:X42)),1,0)</f>
        <v>0</v>
      </c>
      <c r="AA42" s="1">
        <f t="shared" si="1"/>
        <v>0</v>
      </c>
    </row>
    <row r="43" spans="1:27" ht="15" outlineLevel="1" thickBot="1" x14ac:dyDescent="0.4">
      <c r="A43" s="319"/>
      <c r="B43" s="216"/>
      <c r="C43" s="216"/>
      <c r="D43" s="233" t="str">
        <f>IFERROR(INDEX(BuildingInformationTable[Site type],MATCH(BuildingsWaterTable[[#This Row],[Site name]],BuildingInformationTable[Site name],0)),"")</f>
        <v/>
      </c>
      <c r="E43" s="312" t="str">
        <f t="shared" si="2"/>
        <v/>
      </c>
      <c r="F43" s="72"/>
      <c r="G43" s="72"/>
      <c r="H43" s="98" t="str">
        <f>IF(G43="","",INDEX(Lists!$BA$4:$BC$31,MATCH(E43,Lists!$AZ$4:$AZ$31,0),MATCH(G43,Lists!$BA$3:$BC$3,0)))</f>
        <v/>
      </c>
      <c r="I43" s="70"/>
      <c r="J43" s="72"/>
      <c r="K43" s="75" t="str" cm="1">
        <f t="array" ref="K43">IF(OR($E43="",$D43="",$I43="",$J43=""),"",IF(J43=L43,I43,(INDEX('Emission factors'!$K$3:$V$201,MATCH(E43&amp;F43,'Emission factors'!$J$3:$J$201&amp;'Emission factors'!$K$3:$K$201,0),MATCH(K$6,'Emission factors'!$K$2:$V$2,0)))*I43))</f>
        <v/>
      </c>
      <c r="L43" s="312" t="str">
        <f>IF(OR($E43="",$D43="",$I43="",$J43=""),"",INDEX('Emission factors'!$K$3:$V$201,MATCH('Buildings - Water'!$E43,'Emission factors'!$J$3:$J$201,0),MATCH($L$6,'Emission factors'!$K$2:$V$2,0)))</f>
        <v/>
      </c>
      <c r="M43" s="313" t="str" cm="1">
        <f t="array" ref="M43">IF(OR(E43="",I43="",BuildingsWaterTable[[#This Row],[Units]]=""),"",INDEX('Emission factors'!$K$3:$V$201,MATCH('Buildings - Water'!$E43&amp;F43,'Emission factors'!$J$3:$J$201&amp;'Emission factors'!$K$3:$K$201,0),MATCH('Buildings - Water'!$M$6,'Emission factors'!$K$2:$V$2,0)))</f>
        <v/>
      </c>
      <c r="N43" s="156" t="str">
        <f>IF(OR(K43="",M43=""),"",SUM(BuildingsWaterTable[[#This Row],[Direct]:[Indirect WTT]]))</f>
        <v/>
      </c>
      <c r="O43" s="71"/>
      <c r="P43" s="72"/>
      <c r="Q43" s="157" t="str" cm="1">
        <f t="array" ref="Q43">IF(OR($E43="",$I43=""),"",(INDEX('Emission factors'!$K$3:$V$201,MATCH('Buildings - Water'!$E43&amp;$F43,'Emission factors'!$J$3:$J$201&amp;'Emission factors'!$K$3:$K$201,0),MATCH('Buildings - Water'!Q$6,'Emission factors'!$K$2:$V$2,0)))*$K43)</f>
        <v/>
      </c>
      <c r="R43" s="157" t="str" cm="1">
        <f t="array" ref="R43">IF(OR($E43="",$I43=""),"",(INDEX('Emission factors'!$K$3:$V$201,MATCH('Buildings - Water'!$E43&amp;$F43,'Emission factors'!$J$3:$J$201&amp;'Emission factors'!$K$3:$K$201,0),MATCH('Buildings - Water'!R$6,'Emission factors'!$K$2:$V$2,0)))*$K43)</f>
        <v/>
      </c>
      <c r="S43" s="157" t="str" cm="1">
        <f t="array" ref="S43">IF(OR($E43="",$I43=""),"",(INDEX('Emission factors'!$K$3:$V$201,MATCH('Buildings - Water'!$E43&amp;$F43,'Emission factors'!$J$3:$J$201&amp;'Emission factors'!$K$3:$K$201,0),MATCH('Buildings - Water'!S$6,'Emission factors'!$K$2:$V$2,0)))*$K43)</f>
        <v/>
      </c>
      <c r="T43" s="157" t="str" cm="1">
        <f t="array" ref="T43">IF(OR($E43="",$I43=""),"",(INDEX('Emission factors'!$K$3:$V$201,MATCH('Buildings - Water'!$E43&amp;$F43,'Emission factors'!$J$3:$J$201&amp;'Emission factors'!$K$3:$K$201,0),MATCH('Buildings - Water'!T$6,'Emission factors'!$K$2:$V$2,0)))*$K43)</f>
        <v/>
      </c>
      <c r="U43" s="157" t="str" cm="1">
        <f t="array" ref="U43">IF(OR($E43="",$I43=""),"",(INDEX('Emission factors'!$K$3:$V$201,MATCH('Buildings - Water'!$E43&amp;$F43,'Emission factors'!$J$3:$J$201&amp;'Emission factors'!$K$3:$K$201,0),MATCH('Buildings - Water'!U$6,'Emission factors'!$K$2:$V$2,0)))*$K43)</f>
        <v/>
      </c>
      <c r="V43" s="158" t="str">
        <f>IF(OR($N43="",BuildingsWaterTable[[#This Row],[RSD]]=""),"",BuildingsWaterTable[[#This Row],[Total emissions (kgCO2e)]]*(1+BuildingsWaterTable[[#This Row],[RSD]]))</f>
        <v/>
      </c>
      <c r="W43" s="159" t="str">
        <f>IF(OR($N43="",BuildingsWaterTable[[#This Row],[RSD]]=""),"",BuildingsWaterTable[[#This Row],[Total emissions (kgCO2e)]]*(1-BuildingsWaterTable[[#This Row],[RSD]]))</f>
        <v/>
      </c>
      <c r="X43" s="169" t="str" cm="1">
        <f t="array" ref="X43">IF(OR($E43="",$I43=""),"",(INDEX('Emission factors'!$K$3:$V$201,MATCH('Buildings - Water'!$E43&amp;$F43,'Emission factors'!$J$3:$J$201&amp;'Emission factors'!$K$3:$K$201,0),MATCH('Buildings - Water'!X$6,'Emission factors'!$K$2:$V$2,0)))*$K43)</f>
        <v/>
      </c>
      <c r="Y43" s="30"/>
      <c r="Z43" s="1" cm="1">
        <f t="array" ref="Z43">IF(OR(ISERROR(B43:X43)),1,0)</f>
        <v>0</v>
      </c>
      <c r="AA43" s="1">
        <f t="shared" si="1"/>
        <v>0</v>
      </c>
    </row>
    <row r="44" spans="1:27" ht="15" outlineLevel="1" thickBot="1" x14ac:dyDescent="0.4">
      <c r="A44" s="319"/>
      <c r="B44" s="216"/>
      <c r="C44" s="216"/>
      <c r="D44" s="233" t="str">
        <f>IFERROR(INDEX(BuildingInformationTable[Site type],MATCH(BuildingsWaterTable[[#This Row],[Site name]],BuildingInformationTable[Site name],0)),"")</f>
        <v/>
      </c>
      <c r="E44" s="312" t="str">
        <f t="shared" si="2"/>
        <v/>
      </c>
      <c r="F44" s="72"/>
      <c r="G44" s="72"/>
      <c r="H44" s="98" t="str">
        <f>IF(G44="","",INDEX(Lists!$BA$4:$BC$31,MATCH(E44,Lists!$AZ$4:$AZ$31,0),MATCH(G44,Lists!$BA$3:$BC$3,0)))</f>
        <v/>
      </c>
      <c r="I44" s="70"/>
      <c r="J44" s="72"/>
      <c r="K44" s="75" t="str" cm="1">
        <f t="array" ref="K44">IF(OR($E44="",$D44="",$I44="",$J44=""),"",IF(J44=L44,I44,(INDEX('Emission factors'!$K$3:$V$201,MATCH(E44&amp;F44,'Emission factors'!$J$3:$J$201&amp;'Emission factors'!$K$3:$K$201,0),MATCH(K$6,'Emission factors'!$K$2:$V$2,0)))*I44))</f>
        <v/>
      </c>
      <c r="L44" s="312" t="str">
        <f>IF(OR($E44="",$D44="",$I44="",$J44=""),"",INDEX('Emission factors'!$K$3:$V$201,MATCH('Buildings - Water'!$E44,'Emission factors'!$J$3:$J$201,0),MATCH($L$6,'Emission factors'!$K$2:$V$2,0)))</f>
        <v/>
      </c>
      <c r="M44" s="313" t="str" cm="1">
        <f t="array" ref="M44">IF(OR(E44="",I44="",BuildingsWaterTable[[#This Row],[Units]]=""),"",INDEX('Emission factors'!$K$3:$V$201,MATCH('Buildings - Water'!$E44&amp;F44,'Emission factors'!$J$3:$J$201&amp;'Emission factors'!$K$3:$K$201,0),MATCH('Buildings - Water'!$M$6,'Emission factors'!$K$2:$V$2,0)))</f>
        <v/>
      </c>
      <c r="N44" s="156" t="str">
        <f>IF(OR(K44="",M44=""),"",SUM(BuildingsWaterTable[[#This Row],[Direct]:[Indirect WTT]]))</f>
        <v/>
      </c>
      <c r="O44" s="71"/>
      <c r="P44" s="72"/>
      <c r="Q44" s="157" t="str" cm="1">
        <f t="array" ref="Q44">IF(OR($E44="",$I44=""),"",(INDEX('Emission factors'!$K$3:$V$201,MATCH('Buildings - Water'!$E44&amp;$F44,'Emission factors'!$J$3:$J$201&amp;'Emission factors'!$K$3:$K$201,0),MATCH('Buildings - Water'!Q$6,'Emission factors'!$K$2:$V$2,0)))*$K44)</f>
        <v/>
      </c>
      <c r="R44" s="157" t="str" cm="1">
        <f t="array" ref="R44">IF(OR($E44="",$I44=""),"",(INDEX('Emission factors'!$K$3:$V$201,MATCH('Buildings - Water'!$E44&amp;$F44,'Emission factors'!$J$3:$J$201&amp;'Emission factors'!$K$3:$K$201,0),MATCH('Buildings - Water'!R$6,'Emission factors'!$K$2:$V$2,0)))*$K44)</f>
        <v/>
      </c>
      <c r="S44" s="157" t="str" cm="1">
        <f t="array" ref="S44">IF(OR($E44="",$I44=""),"",(INDEX('Emission factors'!$K$3:$V$201,MATCH('Buildings - Water'!$E44&amp;$F44,'Emission factors'!$J$3:$J$201&amp;'Emission factors'!$K$3:$K$201,0),MATCH('Buildings - Water'!S$6,'Emission factors'!$K$2:$V$2,0)))*$K44)</f>
        <v/>
      </c>
      <c r="T44" s="157" t="str" cm="1">
        <f t="array" ref="T44">IF(OR($E44="",$I44=""),"",(INDEX('Emission factors'!$K$3:$V$201,MATCH('Buildings - Water'!$E44&amp;$F44,'Emission factors'!$J$3:$J$201&amp;'Emission factors'!$K$3:$K$201,0),MATCH('Buildings - Water'!T$6,'Emission factors'!$K$2:$V$2,0)))*$K44)</f>
        <v/>
      </c>
      <c r="U44" s="157" t="str" cm="1">
        <f t="array" ref="U44">IF(OR($E44="",$I44=""),"",(INDEX('Emission factors'!$K$3:$V$201,MATCH('Buildings - Water'!$E44&amp;$F44,'Emission factors'!$J$3:$J$201&amp;'Emission factors'!$K$3:$K$201,0),MATCH('Buildings - Water'!U$6,'Emission factors'!$K$2:$V$2,0)))*$K44)</f>
        <v/>
      </c>
      <c r="V44" s="158" t="str">
        <f>IF(OR($N44="",BuildingsWaterTable[[#This Row],[RSD]]=""),"",BuildingsWaterTable[[#This Row],[Total emissions (kgCO2e)]]*(1+BuildingsWaterTable[[#This Row],[RSD]]))</f>
        <v/>
      </c>
      <c r="W44" s="159" t="str">
        <f>IF(OR($N44="",BuildingsWaterTable[[#This Row],[RSD]]=""),"",BuildingsWaterTable[[#This Row],[Total emissions (kgCO2e)]]*(1-BuildingsWaterTable[[#This Row],[RSD]]))</f>
        <v/>
      </c>
      <c r="X44" s="169" t="str" cm="1">
        <f t="array" ref="X44">IF(OR($E44="",$I44=""),"",(INDEX('Emission factors'!$K$3:$V$201,MATCH('Buildings - Water'!$E44&amp;$F44,'Emission factors'!$J$3:$J$201&amp;'Emission factors'!$K$3:$K$201,0),MATCH('Buildings - Water'!X$6,'Emission factors'!$K$2:$V$2,0)))*$K44)</f>
        <v/>
      </c>
      <c r="Y44" s="30"/>
      <c r="Z44" s="1" cm="1">
        <f t="array" ref="Z44">IF(OR(ISERROR(B44:X44)),1,0)</f>
        <v>0</v>
      </c>
      <c r="AA44" s="1">
        <f t="shared" si="1"/>
        <v>0</v>
      </c>
    </row>
    <row r="45" spans="1:27" ht="15" outlineLevel="1" thickBot="1" x14ac:dyDescent="0.4">
      <c r="A45" s="319"/>
      <c r="B45" s="216"/>
      <c r="C45" s="216"/>
      <c r="D45" s="233" t="str">
        <f>IFERROR(INDEX(BuildingInformationTable[Site type],MATCH(BuildingsWaterTable[[#This Row],[Site name]],BuildingInformationTable[Site name],0)),"")</f>
        <v/>
      </c>
      <c r="E45" s="312" t="str">
        <f t="shared" si="2"/>
        <v/>
      </c>
      <c r="F45" s="72"/>
      <c r="G45" s="72"/>
      <c r="H45" s="98" t="str">
        <f>IF(G45="","",INDEX(Lists!$BA$4:$BC$31,MATCH(E45,Lists!$AZ$4:$AZ$31,0),MATCH(G45,Lists!$BA$3:$BC$3,0)))</f>
        <v/>
      </c>
      <c r="I45" s="70"/>
      <c r="J45" s="72"/>
      <c r="K45" s="75" t="str" cm="1">
        <f t="array" ref="K45">IF(OR($E45="",$D45="",$I45="",$J45=""),"",IF(J45=L45,I45,(INDEX('Emission factors'!$K$3:$V$201,MATCH(E45&amp;F45,'Emission factors'!$J$3:$J$201&amp;'Emission factors'!$K$3:$K$201,0),MATCH(K$6,'Emission factors'!$K$2:$V$2,0)))*I45))</f>
        <v/>
      </c>
      <c r="L45" s="312" t="str">
        <f>IF(OR($E45="",$D45="",$I45="",$J45=""),"",INDEX('Emission factors'!$K$3:$V$201,MATCH('Buildings - Water'!$E45,'Emission factors'!$J$3:$J$201,0),MATCH($L$6,'Emission factors'!$K$2:$V$2,0)))</f>
        <v/>
      </c>
      <c r="M45" s="313" t="str" cm="1">
        <f t="array" ref="M45">IF(OR(E45="",I45="",BuildingsWaterTable[[#This Row],[Units]]=""),"",INDEX('Emission factors'!$K$3:$V$201,MATCH('Buildings - Water'!$E45&amp;F45,'Emission factors'!$J$3:$J$201&amp;'Emission factors'!$K$3:$K$201,0),MATCH('Buildings - Water'!$M$6,'Emission factors'!$K$2:$V$2,0)))</f>
        <v/>
      </c>
      <c r="N45" s="156" t="str">
        <f>IF(OR(K45="",M45=""),"",SUM(BuildingsWaterTable[[#This Row],[Direct]:[Indirect WTT]]))</f>
        <v/>
      </c>
      <c r="O45" s="71"/>
      <c r="P45" s="72"/>
      <c r="Q45" s="157" t="str" cm="1">
        <f t="array" ref="Q45">IF(OR($E45="",$I45=""),"",(INDEX('Emission factors'!$K$3:$V$201,MATCH('Buildings - Water'!$E45&amp;$F45,'Emission factors'!$J$3:$J$201&amp;'Emission factors'!$K$3:$K$201,0),MATCH('Buildings - Water'!Q$6,'Emission factors'!$K$2:$V$2,0)))*$K45)</f>
        <v/>
      </c>
      <c r="R45" s="157" t="str" cm="1">
        <f t="array" ref="R45">IF(OR($E45="",$I45=""),"",(INDEX('Emission factors'!$K$3:$V$201,MATCH('Buildings - Water'!$E45&amp;$F45,'Emission factors'!$J$3:$J$201&amp;'Emission factors'!$K$3:$K$201,0),MATCH('Buildings - Water'!R$6,'Emission factors'!$K$2:$V$2,0)))*$K45)</f>
        <v/>
      </c>
      <c r="S45" s="157" t="str" cm="1">
        <f t="array" ref="S45">IF(OR($E45="",$I45=""),"",(INDEX('Emission factors'!$K$3:$V$201,MATCH('Buildings - Water'!$E45&amp;$F45,'Emission factors'!$J$3:$J$201&amp;'Emission factors'!$K$3:$K$201,0),MATCH('Buildings - Water'!S$6,'Emission factors'!$K$2:$V$2,0)))*$K45)</f>
        <v/>
      </c>
      <c r="T45" s="157" t="str" cm="1">
        <f t="array" ref="T45">IF(OR($E45="",$I45=""),"",(INDEX('Emission factors'!$K$3:$V$201,MATCH('Buildings - Water'!$E45&amp;$F45,'Emission factors'!$J$3:$J$201&amp;'Emission factors'!$K$3:$K$201,0),MATCH('Buildings - Water'!T$6,'Emission factors'!$K$2:$V$2,0)))*$K45)</f>
        <v/>
      </c>
      <c r="U45" s="157" t="str" cm="1">
        <f t="array" ref="U45">IF(OR($E45="",$I45=""),"",(INDEX('Emission factors'!$K$3:$V$201,MATCH('Buildings - Water'!$E45&amp;$F45,'Emission factors'!$J$3:$J$201&amp;'Emission factors'!$K$3:$K$201,0),MATCH('Buildings - Water'!U$6,'Emission factors'!$K$2:$V$2,0)))*$K45)</f>
        <v/>
      </c>
      <c r="V45" s="158" t="str">
        <f>IF(OR($N45="",BuildingsWaterTable[[#This Row],[RSD]]=""),"",BuildingsWaterTable[[#This Row],[Total emissions (kgCO2e)]]*(1+BuildingsWaterTable[[#This Row],[RSD]]))</f>
        <v/>
      </c>
      <c r="W45" s="159" t="str">
        <f>IF(OR($N45="",BuildingsWaterTable[[#This Row],[RSD]]=""),"",BuildingsWaterTable[[#This Row],[Total emissions (kgCO2e)]]*(1-BuildingsWaterTable[[#This Row],[RSD]]))</f>
        <v/>
      </c>
      <c r="X45" s="169" t="str" cm="1">
        <f t="array" ref="X45">IF(OR($E45="",$I45=""),"",(INDEX('Emission factors'!$K$3:$V$201,MATCH('Buildings - Water'!$E45&amp;$F45,'Emission factors'!$J$3:$J$201&amp;'Emission factors'!$K$3:$K$201,0),MATCH('Buildings - Water'!X$6,'Emission factors'!$K$2:$V$2,0)))*$K45)</f>
        <v/>
      </c>
      <c r="Y45" s="30"/>
      <c r="Z45" s="1" cm="1">
        <f t="array" ref="Z45">IF(OR(ISERROR(B45:X45)),1,0)</f>
        <v>0</v>
      </c>
      <c r="AA45" s="1">
        <f t="shared" si="1"/>
        <v>0</v>
      </c>
    </row>
    <row r="46" spans="1:27" ht="15" outlineLevel="1" thickBot="1" x14ac:dyDescent="0.4">
      <c r="A46" s="319"/>
      <c r="B46" s="216"/>
      <c r="C46" s="216"/>
      <c r="D46" s="233" t="str">
        <f>IFERROR(INDEX(BuildingInformationTable[Site type],MATCH(BuildingsWaterTable[[#This Row],[Site name]],BuildingInformationTable[Site name],0)),"")</f>
        <v/>
      </c>
      <c r="E46" s="312" t="str">
        <f t="shared" si="2"/>
        <v/>
      </c>
      <c r="F46" s="72"/>
      <c r="G46" s="72"/>
      <c r="H46" s="98" t="str">
        <f>IF(G46="","",INDEX(Lists!$BA$4:$BC$31,MATCH(E46,Lists!$AZ$4:$AZ$31,0),MATCH(G46,Lists!$BA$3:$BC$3,0)))</f>
        <v/>
      </c>
      <c r="I46" s="70"/>
      <c r="J46" s="72"/>
      <c r="K46" s="75" t="str" cm="1">
        <f t="array" ref="K46">IF(OR($E46="",$D46="",$I46="",$J46=""),"",IF(J46=L46,I46,(INDEX('Emission factors'!$K$3:$V$201,MATCH(E46&amp;F46,'Emission factors'!$J$3:$J$201&amp;'Emission factors'!$K$3:$K$201,0),MATCH(K$6,'Emission factors'!$K$2:$V$2,0)))*I46))</f>
        <v/>
      </c>
      <c r="L46" s="312" t="str">
        <f>IF(OR($E46="",$D46="",$I46="",$J46=""),"",INDEX('Emission factors'!$K$3:$V$201,MATCH('Buildings - Water'!$E46,'Emission factors'!$J$3:$J$201,0),MATCH($L$6,'Emission factors'!$K$2:$V$2,0)))</f>
        <v/>
      </c>
      <c r="M46" s="313" t="str" cm="1">
        <f t="array" ref="M46">IF(OR(E46="",I46="",BuildingsWaterTable[[#This Row],[Units]]=""),"",INDEX('Emission factors'!$K$3:$V$201,MATCH('Buildings - Water'!$E46&amp;F46,'Emission factors'!$J$3:$J$201&amp;'Emission factors'!$K$3:$K$201,0),MATCH('Buildings - Water'!$M$6,'Emission factors'!$K$2:$V$2,0)))</f>
        <v/>
      </c>
      <c r="N46" s="156" t="str">
        <f>IF(OR(K46="",M46=""),"",SUM(BuildingsWaterTable[[#This Row],[Direct]:[Indirect WTT]]))</f>
        <v/>
      </c>
      <c r="O46" s="71"/>
      <c r="P46" s="72"/>
      <c r="Q46" s="157" t="str" cm="1">
        <f t="array" ref="Q46">IF(OR($E46="",$I46=""),"",(INDEX('Emission factors'!$K$3:$V$201,MATCH('Buildings - Water'!$E46&amp;$F46,'Emission factors'!$J$3:$J$201&amp;'Emission factors'!$K$3:$K$201,0),MATCH('Buildings - Water'!Q$6,'Emission factors'!$K$2:$V$2,0)))*$K46)</f>
        <v/>
      </c>
      <c r="R46" s="157" t="str" cm="1">
        <f t="array" ref="R46">IF(OR($E46="",$I46=""),"",(INDEX('Emission factors'!$K$3:$V$201,MATCH('Buildings - Water'!$E46&amp;$F46,'Emission factors'!$J$3:$J$201&amp;'Emission factors'!$K$3:$K$201,0),MATCH('Buildings - Water'!R$6,'Emission factors'!$K$2:$V$2,0)))*$K46)</f>
        <v/>
      </c>
      <c r="S46" s="157" t="str" cm="1">
        <f t="array" ref="S46">IF(OR($E46="",$I46=""),"",(INDEX('Emission factors'!$K$3:$V$201,MATCH('Buildings - Water'!$E46&amp;$F46,'Emission factors'!$J$3:$J$201&amp;'Emission factors'!$K$3:$K$201,0),MATCH('Buildings - Water'!S$6,'Emission factors'!$K$2:$V$2,0)))*$K46)</f>
        <v/>
      </c>
      <c r="T46" s="157" t="str" cm="1">
        <f t="array" ref="T46">IF(OR($E46="",$I46=""),"",(INDEX('Emission factors'!$K$3:$V$201,MATCH('Buildings - Water'!$E46&amp;$F46,'Emission factors'!$J$3:$J$201&amp;'Emission factors'!$K$3:$K$201,0),MATCH('Buildings - Water'!T$6,'Emission factors'!$K$2:$V$2,0)))*$K46)</f>
        <v/>
      </c>
      <c r="U46" s="157" t="str" cm="1">
        <f t="array" ref="U46">IF(OR($E46="",$I46=""),"",(INDEX('Emission factors'!$K$3:$V$201,MATCH('Buildings - Water'!$E46&amp;$F46,'Emission factors'!$J$3:$J$201&amp;'Emission factors'!$K$3:$K$201,0),MATCH('Buildings - Water'!U$6,'Emission factors'!$K$2:$V$2,0)))*$K46)</f>
        <v/>
      </c>
      <c r="V46" s="158" t="str">
        <f>IF(OR($N46="",BuildingsWaterTable[[#This Row],[RSD]]=""),"",BuildingsWaterTable[[#This Row],[Total emissions (kgCO2e)]]*(1+BuildingsWaterTable[[#This Row],[RSD]]))</f>
        <v/>
      </c>
      <c r="W46" s="159" t="str">
        <f>IF(OR($N46="",BuildingsWaterTable[[#This Row],[RSD]]=""),"",BuildingsWaterTable[[#This Row],[Total emissions (kgCO2e)]]*(1-BuildingsWaterTable[[#This Row],[RSD]]))</f>
        <v/>
      </c>
      <c r="X46" s="169" t="str" cm="1">
        <f t="array" ref="X46">IF(OR($E46="",$I46=""),"",(INDEX('Emission factors'!$K$3:$V$201,MATCH('Buildings - Water'!$E46&amp;$F46,'Emission factors'!$J$3:$J$201&amp;'Emission factors'!$K$3:$K$201,0),MATCH('Buildings - Water'!X$6,'Emission factors'!$K$2:$V$2,0)))*$K46)</f>
        <v/>
      </c>
      <c r="Y46" s="30"/>
      <c r="Z46" s="1" cm="1">
        <f t="array" ref="Z46">IF(OR(ISERROR(B46:X46)),1,0)</f>
        <v>0</v>
      </c>
      <c r="AA46" s="1">
        <f t="shared" si="1"/>
        <v>0</v>
      </c>
    </row>
    <row r="47" spans="1:27" ht="15" outlineLevel="1" thickBot="1" x14ac:dyDescent="0.4">
      <c r="A47" s="319"/>
      <c r="B47" s="216"/>
      <c r="C47" s="216"/>
      <c r="D47" s="233" t="str">
        <f>IFERROR(INDEX(BuildingInformationTable[Site type],MATCH(BuildingsWaterTable[[#This Row],[Site name]],BuildingInformationTable[Site name],0)),"")</f>
        <v/>
      </c>
      <c r="E47" s="312" t="str">
        <f t="shared" si="2"/>
        <v/>
      </c>
      <c r="F47" s="72"/>
      <c r="G47" s="72"/>
      <c r="H47" s="98" t="str">
        <f>IF(G47="","",INDEX(Lists!$BA$4:$BC$31,MATCH(E47,Lists!$AZ$4:$AZ$31,0),MATCH(G47,Lists!$BA$3:$BC$3,0)))</f>
        <v/>
      </c>
      <c r="I47" s="70"/>
      <c r="J47" s="72"/>
      <c r="K47" s="75" t="str" cm="1">
        <f t="array" ref="K47">IF(OR($E47="",$D47="",$I47="",$J47=""),"",IF(J47=L47,I47,(INDEX('Emission factors'!$K$3:$V$201,MATCH(E47&amp;F47,'Emission factors'!$J$3:$J$201&amp;'Emission factors'!$K$3:$K$201,0),MATCH(K$6,'Emission factors'!$K$2:$V$2,0)))*I47))</f>
        <v/>
      </c>
      <c r="L47" s="312" t="str">
        <f>IF(OR($E47="",$D47="",$I47="",$J47=""),"",INDEX('Emission factors'!$K$3:$V$201,MATCH('Buildings - Water'!$E47,'Emission factors'!$J$3:$J$201,0),MATCH($L$6,'Emission factors'!$K$2:$V$2,0)))</f>
        <v/>
      </c>
      <c r="M47" s="313" t="str" cm="1">
        <f t="array" ref="M47">IF(OR(E47="",I47="",BuildingsWaterTable[[#This Row],[Units]]=""),"",INDEX('Emission factors'!$K$3:$V$201,MATCH('Buildings - Water'!$E47&amp;F47,'Emission factors'!$J$3:$J$201&amp;'Emission factors'!$K$3:$K$201,0),MATCH('Buildings - Water'!$M$6,'Emission factors'!$K$2:$V$2,0)))</f>
        <v/>
      </c>
      <c r="N47" s="156" t="str">
        <f>IF(OR(K47="",M47=""),"",SUM(BuildingsWaterTable[[#This Row],[Direct]:[Indirect WTT]]))</f>
        <v/>
      </c>
      <c r="O47" s="71"/>
      <c r="P47" s="72"/>
      <c r="Q47" s="157" t="str" cm="1">
        <f t="array" ref="Q47">IF(OR($E47="",$I47=""),"",(INDEX('Emission factors'!$K$3:$V$201,MATCH('Buildings - Water'!$E47&amp;$F47,'Emission factors'!$J$3:$J$201&amp;'Emission factors'!$K$3:$K$201,0),MATCH('Buildings - Water'!Q$6,'Emission factors'!$K$2:$V$2,0)))*$K47)</f>
        <v/>
      </c>
      <c r="R47" s="157" t="str" cm="1">
        <f t="array" ref="R47">IF(OR($E47="",$I47=""),"",(INDEX('Emission factors'!$K$3:$V$201,MATCH('Buildings - Water'!$E47&amp;$F47,'Emission factors'!$J$3:$J$201&amp;'Emission factors'!$K$3:$K$201,0),MATCH('Buildings - Water'!R$6,'Emission factors'!$K$2:$V$2,0)))*$K47)</f>
        <v/>
      </c>
      <c r="S47" s="157" t="str" cm="1">
        <f t="array" ref="S47">IF(OR($E47="",$I47=""),"",(INDEX('Emission factors'!$K$3:$V$201,MATCH('Buildings - Water'!$E47&amp;$F47,'Emission factors'!$J$3:$J$201&amp;'Emission factors'!$K$3:$K$201,0),MATCH('Buildings - Water'!S$6,'Emission factors'!$K$2:$V$2,0)))*$K47)</f>
        <v/>
      </c>
      <c r="T47" s="157" t="str" cm="1">
        <f t="array" ref="T47">IF(OR($E47="",$I47=""),"",(INDEX('Emission factors'!$K$3:$V$201,MATCH('Buildings - Water'!$E47&amp;$F47,'Emission factors'!$J$3:$J$201&amp;'Emission factors'!$K$3:$K$201,0),MATCH('Buildings - Water'!T$6,'Emission factors'!$K$2:$V$2,0)))*$K47)</f>
        <v/>
      </c>
      <c r="U47" s="157" t="str" cm="1">
        <f t="array" ref="U47">IF(OR($E47="",$I47=""),"",(INDEX('Emission factors'!$K$3:$V$201,MATCH('Buildings - Water'!$E47&amp;$F47,'Emission factors'!$J$3:$J$201&amp;'Emission factors'!$K$3:$K$201,0),MATCH('Buildings - Water'!U$6,'Emission factors'!$K$2:$V$2,0)))*$K47)</f>
        <v/>
      </c>
      <c r="V47" s="158" t="str">
        <f>IF(OR($N47="",BuildingsWaterTable[[#This Row],[RSD]]=""),"",BuildingsWaterTable[[#This Row],[Total emissions (kgCO2e)]]*(1+BuildingsWaterTable[[#This Row],[RSD]]))</f>
        <v/>
      </c>
      <c r="W47" s="159" t="str">
        <f>IF(OR($N47="",BuildingsWaterTable[[#This Row],[RSD]]=""),"",BuildingsWaterTable[[#This Row],[Total emissions (kgCO2e)]]*(1-BuildingsWaterTable[[#This Row],[RSD]]))</f>
        <v/>
      </c>
      <c r="X47" s="169" t="str" cm="1">
        <f t="array" ref="X47">IF(OR($E47="",$I47=""),"",(INDEX('Emission factors'!$K$3:$V$201,MATCH('Buildings - Water'!$E47&amp;$F47,'Emission factors'!$J$3:$J$201&amp;'Emission factors'!$K$3:$K$201,0),MATCH('Buildings - Water'!X$6,'Emission factors'!$K$2:$V$2,0)))*$K47)</f>
        <v/>
      </c>
      <c r="Y47" s="30"/>
      <c r="Z47" s="1" cm="1">
        <f t="array" ref="Z47">IF(OR(ISERROR(B47:X47)),1,0)</f>
        <v>0</v>
      </c>
      <c r="AA47" s="1">
        <f t="shared" si="1"/>
        <v>0</v>
      </c>
    </row>
    <row r="48" spans="1:27" ht="15" outlineLevel="1" thickBot="1" x14ac:dyDescent="0.4">
      <c r="A48" s="319"/>
      <c r="B48" s="216"/>
      <c r="C48" s="216"/>
      <c r="D48" s="233" t="str">
        <f>IFERROR(INDEX(BuildingInformationTable[Site type],MATCH(BuildingsWaterTable[[#This Row],[Site name]],BuildingInformationTable[Site name],0)),"")</f>
        <v/>
      </c>
      <c r="E48" s="312" t="str">
        <f t="shared" si="2"/>
        <v/>
      </c>
      <c r="F48" s="72"/>
      <c r="G48" s="72"/>
      <c r="H48" s="98" t="str">
        <f>IF(G48="","",INDEX(Lists!$BA$4:$BC$31,MATCH(E48,Lists!$AZ$4:$AZ$31,0),MATCH(G48,Lists!$BA$3:$BC$3,0)))</f>
        <v/>
      </c>
      <c r="I48" s="70"/>
      <c r="J48" s="72"/>
      <c r="K48" s="75" t="str" cm="1">
        <f t="array" ref="K48">IF(OR($E48="",$D48="",$I48="",$J48=""),"",IF(J48=L48,I48,(INDEX('Emission factors'!$K$3:$V$201,MATCH(E48&amp;F48,'Emission factors'!$J$3:$J$201&amp;'Emission factors'!$K$3:$K$201,0),MATCH(K$6,'Emission factors'!$K$2:$V$2,0)))*I48))</f>
        <v/>
      </c>
      <c r="L48" s="312" t="str">
        <f>IF(OR($E48="",$D48="",$I48="",$J48=""),"",INDEX('Emission factors'!$K$3:$V$201,MATCH('Buildings - Water'!$E48,'Emission factors'!$J$3:$J$201,0),MATCH($L$6,'Emission factors'!$K$2:$V$2,0)))</f>
        <v/>
      </c>
      <c r="M48" s="313" t="str" cm="1">
        <f t="array" ref="M48">IF(OR(E48="",I48="",BuildingsWaterTable[[#This Row],[Units]]=""),"",INDEX('Emission factors'!$K$3:$V$201,MATCH('Buildings - Water'!$E48&amp;F48,'Emission factors'!$J$3:$J$201&amp;'Emission factors'!$K$3:$K$201,0),MATCH('Buildings - Water'!$M$6,'Emission factors'!$K$2:$V$2,0)))</f>
        <v/>
      </c>
      <c r="N48" s="156" t="str">
        <f>IF(OR(K48="",M48=""),"",SUM(BuildingsWaterTable[[#This Row],[Direct]:[Indirect WTT]]))</f>
        <v/>
      </c>
      <c r="O48" s="71"/>
      <c r="P48" s="72"/>
      <c r="Q48" s="157" t="str" cm="1">
        <f t="array" ref="Q48">IF(OR($E48="",$I48=""),"",(INDEX('Emission factors'!$K$3:$V$201,MATCH('Buildings - Water'!$E48&amp;$F48,'Emission factors'!$J$3:$J$201&amp;'Emission factors'!$K$3:$K$201,0),MATCH('Buildings - Water'!Q$6,'Emission factors'!$K$2:$V$2,0)))*$K48)</f>
        <v/>
      </c>
      <c r="R48" s="157" t="str" cm="1">
        <f t="array" ref="R48">IF(OR($E48="",$I48=""),"",(INDEX('Emission factors'!$K$3:$V$201,MATCH('Buildings - Water'!$E48&amp;$F48,'Emission factors'!$J$3:$J$201&amp;'Emission factors'!$K$3:$K$201,0),MATCH('Buildings - Water'!R$6,'Emission factors'!$K$2:$V$2,0)))*$K48)</f>
        <v/>
      </c>
      <c r="S48" s="157" t="str" cm="1">
        <f t="array" ref="S48">IF(OR($E48="",$I48=""),"",(INDEX('Emission factors'!$K$3:$V$201,MATCH('Buildings - Water'!$E48&amp;$F48,'Emission factors'!$J$3:$J$201&amp;'Emission factors'!$K$3:$K$201,0),MATCH('Buildings - Water'!S$6,'Emission factors'!$K$2:$V$2,0)))*$K48)</f>
        <v/>
      </c>
      <c r="T48" s="157" t="str" cm="1">
        <f t="array" ref="T48">IF(OR($E48="",$I48=""),"",(INDEX('Emission factors'!$K$3:$V$201,MATCH('Buildings - Water'!$E48&amp;$F48,'Emission factors'!$J$3:$J$201&amp;'Emission factors'!$K$3:$K$201,0),MATCH('Buildings - Water'!T$6,'Emission factors'!$K$2:$V$2,0)))*$K48)</f>
        <v/>
      </c>
      <c r="U48" s="157" t="str" cm="1">
        <f t="array" ref="U48">IF(OR($E48="",$I48=""),"",(INDEX('Emission factors'!$K$3:$V$201,MATCH('Buildings - Water'!$E48&amp;$F48,'Emission factors'!$J$3:$J$201&amp;'Emission factors'!$K$3:$K$201,0),MATCH('Buildings - Water'!U$6,'Emission factors'!$K$2:$V$2,0)))*$K48)</f>
        <v/>
      </c>
      <c r="V48" s="158" t="str">
        <f>IF(OR($N48="",BuildingsWaterTable[[#This Row],[RSD]]=""),"",BuildingsWaterTable[[#This Row],[Total emissions (kgCO2e)]]*(1+BuildingsWaterTable[[#This Row],[RSD]]))</f>
        <v/>
      </c>
      <c r="W48" s="159" t="str">
        <f>IF(OR($N48="",BuildingsWaterTable[[#This Row],[RSD]]=""),"",BuildingsWaterTable[[#This Row],[Total emissions (kgCO2e)]]*(1-BuildingsWaterTable[[#This Row],[RSD]]))</f>
        <v/>
      </c>
      <c r="X48" s="169" t="str" cm="1">
        <f t="array" ref="X48">IF(OR($E48="",$I48=""),"",(INDEX('Emission factors'!$K$3:$V$201,MATCH('Buildings - Water'!$E48&amp;$F48,'Emission factors'!$J$3:$J$201&amp;'Emission factors'!$K$3:$K$201,0),MATCH('Buildings - Water'!X$6,'Emission factors'!$K$2:$V$2,0)))*$K48)</f>
        <v/>
      </c>
      <c r="Y48" s="30"/>
      <c r="Z48" s="1" cm="1">
        <f t="array" ref="Z48">IF(OR(ISERROR(B48:X48)),1,0)</f>
        <v>0</v>
      </c>
      <c r="AA48" s="1">
        <f t="shared" si="1"/>
        <v>0</v>
      </c>
    </row>
    <row r="49" spans="1:27" ht="15" outlineLevel="1" thickBot="1" x14ac:dyDescent="0.4">
      <c r="A49" s="319"/>
      <c r="B49" s="216"/>
      <c r="C49" s="216"/>
      <c r="D49" s="233" t="str">
        <f>IFERROR(INDEX(BuildingInformationTable[Site type],MATCH(BuildingsWaterTable[[#This Row],[Site name]],BuildingInformationTable[Site name],0)),"")</f>
        <v/>
      </c>
      <c r="E49" s="312" t="str">
        <f t="shared" si="2"/>
        <v/>
      </c>
      <c r="F49" s="72"/>
      <c r="G49" s="72"/>
      <c r="H49" s="98" t="str">
        <f>IF(G49="","",INDEX(Lists!$BA$4:$BC$31,MATCH(E49,Lists!$AZ$4:$AZ$31,0),MATCH(G49,Lists!$BA$3:$BC$3,0)))</f>
        <v/>
      </c>
      <c r="I49" s="70"/>
      <c r="J49" s="72"/>
      <c r="K49" s="75" t="str" cm="1">
        <f t="array" ref="K49">IF(OR($E49="",$D49="",$I49="",$J49=""),"",IF(J49=L49,I49,(INDEX('Emission factors'!$K$3:$V$201,MATCH(E49&amp;F49,'Emission factors'!$J$3:$J$201&amp;'Emission factors'!$K$3:$K$201,0),MATCH(K$6,'Emission factors'!$K$2:$V$2,0)))*I49))</f>
        <v/>
      </c>
      <c r="L49" s="312" t="str">
        <f>IF(OR($E49="",$D49="",$I49="",$J49=""),"",INDEX('Emission factors'!$K$3:$V$201,MATCH('Buildings - Water'!$E49,'Emission factors'!$J$3:$J$201,0),MATCH($L$6,'Emission factors'!$K$2:$V$2,0)))</f>
        <v/>
      </c>
      <c r="M49" s="313" t="str" cm="1">
        <f t="array" ref="M49">IF(OR(E49="",I49="",BuildingsWaterTable[[#This Row],[Units]]=""),"",INDEX('Emission factors'!$K$3:$V$201,MATCH('Buildings - Water'!$E49&amp;F49,'Emission factors'!$J$3:$J$201&amp;'Emission factors'!$K$3:$K$201,0),MATCH('Buildings - Water'!$M$6,'Emission factors'!$K$2:$V$2,0)))</f>
        <v/>
      </c>
      <c r="N49" s="156" t="str">
        <f>IF(OR(K49="",M49=""),"",SUM(BuildingsWaterTable[[#This Row],[Direct]:[Indirect WTT]]))</f>
        <v/>
      </c>
      <c r="O49" s="71"/>
      <c r="P49" s="72"/>
      <c r="Q49" s="157" t="str" cm="1">
        <f t="array" ref="Q49">IF(OR($E49="",$I49=""),"",(INDEX('Emission factors'!$K$3:$V$201,MATCH('Buildings - Water'!$E49&amp;$F49,'Emission factors'!$J$3:$J$201&amp;'Emission factors'!$K$3:$K$201,0),MATCH('Buildings - Water'!Q$6,'Emission factors'!$K$2:$V$2,0)))*$K49)</f>
        <v/>
      </c>
      <c r="R49" s="157" t="str" cm="1">
        <f t="array" ref="R49">IF(OR($E49="",$I49=""),"",(INDEX('Emission factors'!$K$3:$V$201,MATCH('Buildings - Water'!$E49&amp;$F49,'Emission factors'!$J$3:$J$201&amp;'Emission factors'!$K$3:$K$201,0),MATCH('Buildings - Water'!R$6,'Emission factors'!$K$2:$V$2,0)))*$K49)</f>
        <v/>
      </c>
      <c r="S49" s="157" t="str" cm="1">
        <f t="array" ref="S49">IF(OR($E49="",$I49=""),"",(INDEX('Emission factors'!$K$3:$V$201,MATCH('Buildings - Water'!$E49&amp;$F49,'Emission factors'!$J$3:$J$201&amp;'Emission factors'!$K$3:$K$201,0),MATCH('Buildings - Water'!S$6,'Emission factors'!$K$2:$V$2,0)))*$K49)</f>
        <v/>
      </c>
      <c r="T49" s="157" t="str" cm="1">
        <f t="array" ref="T49">IF(OR($E49="",$I49=""),"",(INDEX('Emission factors'!$K$3:$V$201,MATCH('Buildings - Water'!$E49&amp;$F49,'Emission factors'!$J$3:$J$201&amp;'Emission factors'!$K$3:$K$201,0),MATCH('Buildings - Water'!T$6,'Emission factors'!$K$2:$V$2,0)))*$K49)</f>
        <v/>
      </c>
      <c r="U49" s="157" t="str" cm="1">
        <f t="array" ref="U49">IF(OR($E49="",$I49=""),"",(INDEX('Emission factors'!$K$3:$V$201,MATCH('Buildings - Water'!$E49&amp;$F49,'Emission factors'!$J$3:$J$201&amp;'Emission factors'!$K$3:$K$201,0),MATCH('Buildings - Water'!U$6,'Emission factors'!$K$2:$V$2,0)))*$K49)</f>
        <v/>
      </c>
      <c r="V49" s="158" t="str">
        <f>IF(OR($N49="",BuildingsWaterTable[[#This Row],[RSD]]=""),"",BuildingsWaterTable[[#This Row],[Total emissions (kgCO2e)]]*(1+BuildingsWaterTable[[#This Row],[RSD]]))</f>
        <v/>
      </c>
      <c r="W49" s="159" t="str">
        <f>IF(OR($N49="",BuildingsWaterTable[[#This Row],[RSD]]=""),"",BuildingsWaterTable[[#This Row],[Total emissions (kgCO2e)]]*(1-BuildingsWaterTable[[#This Row],[RSD]]))</f>
        <v/>
      </c>
      <c r="X49" s="169" t="str" cm="1">
        <f t="array" ref="X49">IF(OR($E49="",$I49=""),"",(INDEX('Emission factors'!$K$3:$V$201,MATCH('Buildings - Water'!$E49&amp;$F49,'Emission factors'!$J$3:$J$201&amp;'Emission factors'!$K$3:$K$201,0),MATCH('Buildings - Water'!X$6,'Emission factors'!$K$2:$V$2,0)))*$K49)</f>
        <v/>
      </c>
      <c r="Y49" s="30"/>
      <c r="Z49" s="1" cm="1">
        <f t="array" ref="Z49">IF(OR(ISERROR(B49:X49)),1,0)</f>
        <v>0</v>
      </c>
      <c r="AA49" s="1">
        <f t="shared" si="1"/>
        <v>0</v>
      </c>
    </row>
    <row r="50" spans="1:27" ht="15" outlineLevel="1" thickBot="1" x14ac:dyDescent="0.4">
      <c r="A50" s="319"/>
      <c r="B50" s="216"/>
      <c r="C50" s="216"/>
      <c r="D50" s="233" t="str">
        <f>IFERROR(INDEX(BuildingInformationTable[Site type],MATCH(BuildingsWaterTable[[#This Row],[Site name]],BuildingInformationTable[Site name],0)),"")</f>
        <v/>
      </c>
      <c r="E50" s="312" t="str">
        <f t="shared" si="2"/>
        <v/>
      </c>
      <c r="F50" s="72"/>
      <c r="G50" s="72"/>
      <c r="H50" s="98" t="str">
        <f>IF(G50="","",INDEX(Lists!$BA$4:$BC$31,MATCH(E50,Lists!$AZ$4:$AZ$31,0),MATCH(G50,Lists!$BA$3:$BC$3,0)))</f>
        <v/>
      </c>
      <c r="I50" s="70"/>
      <c r="J50" s="72"/>
      <c r="K50" s="75" t="str" cm="1">
        <f t="array" ref="K50">IF(OR($E50="",$D50="",$I50="",$J50=""),"",IF(J50=L50,I50,(INDEX('Emission factors'!$K$3:$V$201,MATCH(E50&amp;F50,'Emission factors'!$J$3:$J$201&amp;'Emission factors'!$K$3:$K$201,0),MATCH(K$6,'Emission factors'!$K$2:$V$2,0)))*I50))</f>
        <v/>
      </c>
      <c r="L50" s="312" t="str">
        <f>IF(OR($E50="",$D50="",$I50="",$J50=""),"",INDEX('Emission factors'!$K$3:$V$201,MATCH('Buildings - Water'!$E50,'Emission factors'!$J$3:$J$201,0),MATCH($L$6,'Emission factors'!$K$2:$V$2,0)))</f>
        <v/>
      </c>
      <c r="M50" s="313" t="str" cm="1">
        <f t="array" ref="M50">IF(OR(E50="",I50="",BuildingsWaterTable[[#This Row],[Units]]=""),"",INDEX('Emission factors'!$K$3:$V$201,MATCH('Buildings - Water'!$E50&amp;F50,'Emission factors'!$J$3:$J$201&amp;'Emission factors'!$K$3:$K$201,0),MATCH('Buildings - Water'!$M$6,'Emission factors'!$K$2:$V$2,0)))</f>
        <v/>
      </c>
      <c r="N50" s="156" t="str">
        <f>IF(OR(K50="",M50=""),"",SUM(BuildingsWaterTable[[#This Row],[Direct]:[Indirect WTT]]))</f>
        <v/>
      </c>
      <c r="O50" s="71"/>
      <c r="P50" s="72"/>
      <c r="Q50" s="157" t="str" cm="1">
        <f t="array" ref="Q50">IF(OR($E50="",$I50=""),"",(INDEX('Emission factors'!$K$3:$V$201,MATCH('Buildings - Water'!$E50&amp;$F50,'Emission factors'!$J$3:$J$201&amp;'Emission factors'!$K$3:$K$201,0),MATCH('Buildings - Water'!Q$6,'Emission factors'!$K$2:$V$2,0)))*$K50)</f>
        <v/>
      </c>
      <c r="R50" s="157" t="str" cm="1">
        <f t="array" ref="R50">IF(OR($E50="",$I50=""),"",(INDEX('Emission factors'!$K$3:$V$201,MATCH('Buildings - Water'!$E50&amp;$F50,'Emission factors'!$J$3:$J$201&amp;'Emission factors'!$K$3:$K$201,0),MATCH('Buildings - Water'!R$6,'Emission factors'!$K$2:$V$2,0)))*$K50)</f>
        <v/>
      </c>
      <c r="S50" s="157" t="str" cm="1">
        <f t="array" ref="S50">IF(OR($E50="",$I50=""),"",(INDEX('Emission factors'!$K$3:$V$201,MATCH('Buildings - Water'!$E50&amp;$F50,'Emission factors'!$J$3:$J$201&amp;'Emission factors'!$K$3:$K$201,0),MATCH('Buildings - Water'!S$6,'Emission factors'!$K$2:$V$2,0)))*$K50)</f>
        <v/>
      </c>
      <c r="T50" s="157" t="str" cm="1">
        <f t="array" ref="T50">IF(OR($E50="",$I50=""),"",(INDEX('Emission factors'!$K$3:$V$201,MATCH('Buildings - Water'!$E50&amp;$F50,'Emission factors'!$J$3:$J$201&amp;'Emission factors'!$K$3:$K$201,0),MATCH('Buildings - Water'!T$6,'Emission factors'!$K$2:$V$2,0)))*$K50)</f>
        <v/>
      </c>
      <c r="U50" s="157" t="str" cm="1">
        <f t="array" ref="U50">IF(OR($E50="",$I50=""),"",(INDEX('Emission factors'!$K$3:$V$201,MATCH('Buildings - Water'!$E50&amp;$F50,'Emission factors'!$J$3:$J$201&amp;'Emission factors'!$K$3:$K$201,0),MATCH('Buildings - Water'!U$6,'Emission factors'!$K$2:$V$2,0)))*$K50)</f>
        <v/>
      </c>
      <c r="V50" s="158" t="str">
        <f>IF(OR($N50="",BuildingsWaterTable[[#This Row],[RSD]]=""),"",BuildingsWaterTable[[#This Row],[Total emissions (kgCO2e)]]*(1+BuildingsWaterTable[[#This Row],[RSD]]))</f>
        <v/>
      </c>
      <c r="W50" s="159" t="str">
        <f>IF(OR($N50="",BuildingsWaterTable[[#This Row],[RSD]]=""),"",BuildingsWaterTable[[#This Row],[Total emissions (kgCO2e)]]*(1-BuildingsWaterTable[[#This Row],[RSD]]))</f>
        <v/>
      </c>
      <c r="X50" s="169" t="str" cm="1">
        <f t="array" ref="X50">IF(OR($E50="",$I50=""),"",(INDEX('Emission factors'!$K$3:$V$201,MATCH('Buildings - Water'!$E50&amp;$F50,'Emission factors'!$J$3:$J$201&amp;'Emission factors'!$K$3:$K$201,0),MATCH('Buildings - Water'!X$6,'Emission factors'!$K$2:$V$2,0)))*$K50)</f>
        <v/>
      </c>
      <c r="Y50" s="30"/>
      <c r="Z50" s="1" cm="1">
        <f t="array" ref="Z50">IF(OR(ISERROR(B50:X50)),1,0)</f>
        <v>0</v>
      </c>
      <c r="AA50" s="1">
        <f t="shared" si="1"/>
        <v>0</v>
      </c>
    </row>
    <row r="51" spans="1:27" ht="15" outlineLevel="1" thickBot="1" x14ac:dyDescent="0.4">
      <c r="A51" s="319"/>
      <c r="B51" s="216"/>
      <c r="C51" s="216"/>
      <c r="D51" s="233" t="str">
        <f>IFERROR(INDEX(BuildingInformationTable[Site type],MATCH(BuildingsWaterTable[[#This Row],[Site name]],BuildingInformationTable[Site name],0)),"")</f>
        <v/>
      </c>
      <c r="E51" s="312" t="str">
        <f t="shared" si="2"/>
        <v/>
      </c>
      <c r="F51" s="72"/>
      <c r="G51" s="72"/>
      <c r="H51" s="98" t="str">
        <f>IF(G51="","",INDEX(Lists!$BA$4:$BC$31,MATCH(E51,Lists!$AZ$4:$AZ$31,0),MATCH(G51,Lists!$BA$3:$BC$3,0)))</f>
        <v/>
      </c>
      <c r="I51" s="70"/>
      <c r="J51" s="72"/>
      <c r="K51" s="75" t="str" cm="1">
        <f t="array" ref="K51">IF(OR($E51="",$D51="",$I51="",$J51=""),"",IF(J51=L51,I51,(INDEX('Emission factors'!$K$3:$V$201,MATCH(E51&amp;F51,'Emission factors'!$J$3:$J$201&amp;'Emission factors'!$K$3:$K$201,0),MATCH(K$6,'Emission factors'!$K$2:$V$2,0)))*I51))</f>
        <v/>
      </c>
      <c r="L51" s="312" t="str">
        <f>IF(OR($E51="",$D51="",$I51="",$J51=""),"",INDEX('Emission factors'!$K$3:$V$201,MATCH('Buildings - Water'!$E51,'Emission factors'!$J$3:$J$201,0),MATCH($L$6,'Emission factors'!$K$2:$V$2,0)))</f>
        <v/>
      </c>
      <c r="M51" s="313" t="str" cm="1">
        <f t="array" ref="M51">IF(OR(E51="",I51="",BuildingsWaterTable[[#This Row],[Units]]=""),"",INDEX('Emission factors'!$K$3:$V$201,MATCH('Buildings - Water'!$E51&amp;F51,'Emission factors'!$J$3:$J$201&amp;'Emission factors'!$K$3:$K$201,0),MATCH('Buildings - Water'!$M$6,'Emission factors'!$K$2:$V$2,0)))</f>
        <v/>
      </c>
      <c r="N51" s="156" t="str">
        <f>IF(OR(K51="",M51=""),"",SUM(BuildingsWaterTable[[#This Row],[Direct]:[Indirect WTT]]))</f>
        <v/>
      </c>
      <c r="O51" s="71"/>
      <c r="P51" s="72"/>
      <c r="Q51" s="157" t="str" cm="1">
        <f t="array" ref="Q51">IF(OR($E51="",$I51=""),"",(INDEX('Emission factors'!$K$3:$V$201,MATCH('Buildings - Water'!$E51&amp;$F51,'Emission factors'!$J$3:$J$201&amp;'Emission factors'!$K$3:$K$201,0),MATCH('Buildings - Water'!Q$6,'Emission factors'!$K$2:$V$2,0)))*$K51)</f>
        <v/>
      </c>
      <c r="R51" s="157" t="str" cm="1">
        <f t="array" ref="R51">IF(OR($E51="",$I51=""),"",(INDEX('Emission factors'!$K$3:$V$201,MATCH('Buildings - Water'!$E51&amp;$F51,'Emission factors'!$J$3:$J$201&amp;'Emission factors'!$K$3:$K$201,0),MATCH('Buildings - Water'!R$6,'Emission factors'!$K$2:$V$2,0)))*$K51)</f>
        <v/>
      </c>
      <c r="S51" s="157" t="str" cm="1">
        <f t="array" ref="S51">IF(OR($E51="",$I51=""),"",(INDEX('Emission factors'!$K$3:$V$201,MATCH('Buildings - Water'!$E51&amp;$F51,'Emission factors'!$J$3:$J$201&amp;'Emission factors'!$K$3:$K$201,0),MATCH('Buildings - Water'!S$6,'Emission factors'!$K$2:$V$2,0)))*$K51)</f>
        <v/>
      </c>
      <c r="T51" s="157" t="str" cm="1">
        <f t="array" ref="T51">IF(OR($E51="",$I51=""),"",(INDEX('Emission factors'!$K$3:$V$201,MATCH('Buildings - Water'!$E51&amp;$F51,'Emission factors'!$J$3:$J$201&amp;'Emission factors'!$K$3:$K$201,0),MATCH('Buildings - Water'!T$6,'Emission factors'!$K$2:$V$2,0)))*$K51)</f>
        <v/>
      </c>
      <c r="U51" s="157" t="str" cm="1">
        <f t="array" ref="U51">IF(OR($E51="",$I51=""),"",(INDEX('Emission factors'!$K$3:$V$201,MATCH('Buildings - Water'!$E51&amp;$F51,'Emission factors'!$J$3:$J$201&amp;'Emission factors'!$K$3:$K$201,0),MATCH('Buildings - Water'!U$6,'Emission factors'!$K$2:$V$2,0)))*$K51)</f>
        <v/>
      </c>
      <c r="V51" s="158" t="str">
        <f>IF(OR($N51="",BuildingsWaterTable[[#This Row],[RSD]]=""),"",BuildingsWaterTable[[#This Row],[Total emissions (kgCO2e)]]*(1+BuildingsWaterTable[[#This Row],[RSD]]))</f>
        <v/>
      </c>
      <c r="W51" s="159" t="str">
        <f>IF(OR($N51="",BuildingsWaterTable[[#This Row],[RSD]]=""),"",BuildingsWaterTable[[#This Row],[Total emissions (kgCO2e)]]*(1-BuildingsWaterTable[[#This Row],[RSD]]))</f>
        <v/>
      </c>
      <c r="X51" s="169" t="str" cm="1">
        <f t="array" ref="X51">IF(OR($E51="",$I51=""),"",(INDEX('Emission factors'!$K$3:$V$201,MATCH('Buildings - Water'!$E51&amp;$F51,'Emission factors'!$J$3:$J$201&amp;'Emission factors'!$K$3:$K$201,0),MATCH('Buildings - Water'!X$6,'Emission factors'!$K$2:$V$2,0)))*$K51)</f>
        <v/>
      </c>
      <c r="Y51" s="30"/>
      <c r="Z51" s="1" cm="1">
        <f t="array" ref="Z51">IF(OR(ISERROR(B51:X51)),1,0)</f>
        <v>0</v>
      </c>
      <c r="AA51" s="1">
        <f t="shared" si="1"/>
        <v>0</v>
      </c>
    </row>
    <row r="52" spans="1:27" ht="15" outlineLevel="1" thickBot="1" x14ac:dyDescent="0.4">
      <c r="A52" s="319"/>
      <c r="B52" s="216"/>
      <c r="C52" s="216"/>
      <c r="D52" s="233" t="str">
        <f>IFERROR(INDEX(BuildingInformationTable[Site type],MATCH(BuildingsWaterTable[[#This Row],[Site name]],BuildingInformationTable[Site name],0)),"")</f>
        <v/>
      </c>
      <c r="E52" s="312" t="str">
        <f t="shared" si="2"/>
        <v/>
      </c>
      <c r="F52" s="72"/>
      <c r="G52" s="72"/>
      <c r="H52" s="98" t="str">
        <f>IF(G52="","",INDEX(Lists!$BA$4:$BC$31,MATCH(E52,Lists!$AZ$4:$AZ$31,0),MATCH(G52,Lists!$BA$3:$BC$3,0)))</f>
        <v/>
      </c>
      <c r="I52" s="70"/>
      <c r="J52" s="72"/>
      <c r="K52" s="75" t="str" cm="1">
        <f t="array" ref="K52">IF(OR($E52="",$D52="",$I52="",$J52=""),"",IF(J52=L52,I52,(INDEX('Emission factors'!$K$3:$V$201,MATCH(E52&amp;F52,'Emission factors'!$J$3:$J$201&amp;'Emission factors'!$K$3:$K$201,0),MATCH(K$6,'Emission factors'!$K$2:$V$2,0)))*I52))</f>
        <v/>
      </c>
      <c r="L52" s="312" t="str">
        <f>IF(OR($E52="",$D52="",$I52="",$J52=""),"",INDEX('Emission factors'!$K$3:$V$201,MATCH('Buildings - Water'!$E52,'Emission factors'!$J$3:$J$201,0),MATCH($L$6,'Emission factors'!$K$2:$V$2,0)))</f>
        <v/>
      </c>
      <c r="M52" s="313" t="str" cm="1">
        <f t="array" ref="M52">IF(OR(E52="",I52="",BuildingsWaterTable[[#This Row],[Units]]=""),"",INDEX('Emission factors'!$K$3:$V$201,MATCH('Buildings - Water'!$E52&amp;F52,'Emission factors'!$J$3:$J$201&amp;'Emission factors'!$K$3:$K$201,0),MATCH('Buildings - Water'!$M$6,'Emission factors'!$K$2:$V$2,0)))</f>
        <v/>
      </c>
      <c r="N52" s="156" t="str">
        <f>IF(OR(K52="",M52=""),"",SUM(BuildingsWaterTable[[#This Row],[Direct]:[Indirect WTT]]))</f>
        <v/>
      </c>
      <c r="O52" s="71"/>
      <c r="P52" s="72"/>
      <c r="Q52" s="157" t="str" cm="1">
        <f t="array" ref="Q52">IF(OR($E52="",$I52=""),"",(INDEX('Emission factors'!$K$3:$V$201,MATCH('Buildings - Water'!$E52&amp;$F52,'Emission factors'!$J$3:$J$201&amp;'Emission factors'!$K$3:$K$201,0),MATCH('Buildings - Water'!Q$6,'Emission factors'!$K$2:$V$2,0)))*$K52)</f>
        <v/>
      </c>
      <c r="R52" s="157" t="str" cm="1">
        <f t="array" ref="R52">IF(OR($E52="",$I52=""),"",(INDEX('Emission factors'!$K$3:$V$201,MATCH('Buildings - Water'!$E52&amp;$F52,'Emission factors'!$J$3:$J$201&amp;'Emission factors'!$K$3:$K$201,0),MATCH('Buildings - Water'!R$6,'Emission factors'!$K$2:$V$2,0)))*$K52)</f>
        <v/>
      </c>
      <c r="S52" s="157" t="str" cm="1">
        <f t="array" ref="S52">IF(OR($E52="",$I52=""),"",(INDEX('Emission factors'!$K$3:$V$201,MATCH('Buildings - Water'!$E52&amp;$F52,'Emission factors'!$J$3:$J$201&amp;'Emission factors'!$K$3:$K$201,0),MATCH('Buildings - Water'!S$6,'Emission factors'!$K$2:$V$2,0)))*$K52)</f>
        <v/>
      </c>
      <c r="T52" s="157" t="str" cm="1">
        <f t="array" ref="T52">IF(OR($E52="",$I52=""),"",(INDEX('Emission factors'!$K$3:$V$201,MATCH('Buildings - Water'!$E52&amp;$F52,'Emission factors'!$J$3:$J$201&amp;'Emission factors'!$K$3:$K$201,0),MATCH('Buildings - Water'!T$6,'Emission factors'!$K$2:$V$2,0)))*$K52)</f>
        <v/>
      </c>
      <c r="U52" s="157" t="str" cm="1">
        <f t="array" ref="U52">IF(OR($E52="",$I52=""),"",(INDEX('Emission factors'!$K$3:$V$201,MATCH('Buildings - Water'!$E52&amp;$F52,'Emission factors'!$J$3:$J$201&amp;'Emission factors'!$K$3:$K$201,0),MATCH('Buildings - Water'!U$6,'Emission factors'!$K$2:$V$2,0)))*$K52)</f>
        <v/>
      </c>
      <c r="V52" s="158" t="str">
        <f>IF(OR($N52="",BuildingsWaterTable[[#This Row],[RSD]]=""),"",BuildingsWaterTable[[#This Row],[Total emissions (kgCO2e)]]*(1+BuildingsWaterTable[[#This Row],[RSD]]))</f>
        <v/>
      </c>
      <c r="W52" s="159" t="str">
        <f>IF(OR($N52="",BuildingsWaterTable[[#This Row],[RSD]]=""),"",BuildingsWaterTable[[#This Row],[Total emissions (kgCO2e)]]*(1-BuildingsWaterTable[[#This Row],[RSD]]))</f>
        <v/>
      </c>
      <c r="X52" s="169" t="str" cm="1">
        <f t="array" ref="X52">IF(OR($E52="",$I52=""),"",(INDEX('Emission factors'!$K$3:$V$201,MATCH('Buildings - Water'!$E52&amp;$F52,'Emission factors'!$J$3:$J$201&amp;'Emission factors'!$K$3:$K$201,0),MATCH('Buildings - Water'!X$6,'Emission factors'!$K$2:$V$2,0)))*$K52)</f>
        <v/>
      </c>
      <c r="Y52" s="30"/>
      <c r="Z52" s="1" cm="1">
        <f t="array" ref="Z52">IF(OR(ISERROR(B52:X52)),1,0)</f>
        <v>0</v>
      </c>
      <c r="AA52" s="1">
        <f t="shared" si="1"/>
        <v>0</v>
      </c>
    </row>
    <row r="53" spans="1:27" ht="15" outlineLevel="1" thickBot="1" x14ac:dyDescent="0.4">
      <c r="A53" s="319"/>
      <c r="B53" s="216"/>
      <c r="C53" s="216"/>
      <c r="D53" s="233" t="str">
        <f>IFERROR(INDEX(BuildingInformationTable[Site type],MATCH(BuildingsWaterTable[[#This Row],[Site name]],BuildingInformationTable[Site name],0)),"")</f>
        <v/>
      </c>
      <c r="E53" s="312" t="str">
        <f t="shared" si="2"/>
        <v/>
      </c>
      <c r="F53" s="72"/>
      <c r="G53" s="72"/>
      <c r="H53" s="98" t="str">
        <f>IF(G53="","",INDEX(Lists!$BA$4:$BC$31,MATCH(E53,Lists!$AZ$4:$AZ$31,0),MATCH(G53,Lists!$BA$3:$BC$3,0)))</f>
        <v/>
      </c>
      <c r="I53" s="70"/>
      <c r="J53" s="72"/>
      <c r="K53" s="75" t="str" cm="1">
        <f t="array" ref="K53">IF(OR($E53="",$D53="",$I53="",$J53=""),"",IF(J53=L53,I53,(INDEX('Emission factors'!$K$3:$V$201,MATCH(E53&amp;F53,'Emission factors'!$J$3:$J$201&amp;'Emission factors'!$K$3:$K$201,0),MATCH(K$6,'Emission factors'!$K$2:$V$2,0)))*I53))</f>
        <v/>
      </c>
      <c r="L53" s="312" t="str">
        <f>IF(OR($E53="",$D53="",$I53="",$J53=""),"",INDEX('Emission factors'!$K$3:$V$201,MATCH('Buildings - Water'!$E53,'Emission factors'!$J$3:$J$201,0),MATCH($L$6,'Emission factors'!$K$2:$V$2,0)))</f>
        <v/>
      </c>
      <c r="M53" s="313" t="str" cm="1">
        <f t="array" ref="M53">IF(OR(E53="",I53="",BuildingsWaterTable[[#This Row],[Units]]=""),"",INDEX('Emission factors'!$K$3:$V$201,MATCH('Buildings - Water'!$E53&amp;F53,'Emission factors'!$J$3:$J$201&amp;'Emission factors'!$K$3:$K$201,0),MATCH('Buildings - Water'!$M$6,'Emission factors'!$K$2:$V$2,0)))</f>
        <v/>
      </c>
      <c r="N53" s="156" t="str">
        <f>IF(OR(K53="",M53=""),"",SUM(BuildingsWaterTable[[#This Row],[Direct]:[Indirect WTT]]))</f>
        <v/>
      </c>
      <c r="O53" s="71"/>
      <c r="P53" s="72"/>
      <c r="Q53" s="157" t="str" cm="1">
        <f t="array" ref="Q53">IF(OR($E53="",$I53=""),"",(INDEX('Emission factors'!$K$3:$V$201,MATCH('Buildings - Water'!$E53&amp;$F53,'Emission factors'!$J$3:$J$201&amp;'Emission factors'!$K$3:$K$201,0),MATCH('Buildings - Water'!Q$6,'Emission factors'!$K$2:$V$2,0)))*$K53)</f>
        <v/>
      </c>
      <c r="R53" s="157" t="str" cm="1">
        <f t="array" ref="R53">IF(OR($E53="",$I53=""),"",(INDEX('Emission factors'!$K$3:$V$201,MATCH('Buildings - Water'!$E53&amp;$F53,'Emission factors'!$J$3:$J$201&amp;'Emission factors'!$K$3:$K$201,0),MATCH('Buildings - Water'!R$6,'Emission factors'!$K$2:$V$2,0)))*$K53)</f>
        <v/>
      </c>
      <c r="S53" s="157" t="str" cm="1">
        <f t="array" ref="S53">IF(OR($E53="",$I53=""),"",(INDEX('Emission factors'!$K$3:$V$201,MATCH('Buildings - Water'!$E53&amp;$F53,'Emission factors'!$J$3:$J$201&amp;'Emission factors'!$K$3:$K$201,0),MATCH('Buildings - Water'!S$6,'Emission factors'!$K$2:$V$2,0)))*$K53)</f>
        <v/>
      </c>
      <c r="T53" s="157" t="str" cm="1">
        <f t="array" ref="T53">IF(OR($E53="",$I53=""),"",(INDEX('Emission factors'!$K$3:$V$201,MATCH('Buildings - Water'!$E53&amp;$F53,'Emission factors'!$J$3:$J$201&amp;'Emission factors'!$K$3:$K$201,0),MATCH('Buildings - Water'!T$6,'Emission factors'!$K$2:$V$2,0)))*$K53)</f>
        <v/>
      </c>
      <c r="U53" s="157" t="str" cm="1">
        <f t="array" ref="U53">IF(OR($E53="",$I53=""),"",(INDEX('Emission factors'!$K$3:$V$201,MATCH('Buildings - Water'!$E53&amp;$F53,'Emission factors'!$J$3:$J$201&amp;'Emission factors'!$K$3:$K$201,0),MATCH('Buildings - Water'!U$6,'Emission factors'!$K$2:$V$2,0)))*$K53)</f>
        <v/>
      </c>
      <c r="V53" s="158" t="str">
        <f>IF(OR($N53="",BuildingsWaterTable[[#This Row],[RSD]]=""),"",BuildingsWaterTable[[#This Row],[Total emissions (kgCO2e)]]*(1+BuildingsWaterTable[[#This Row],[RSD]]))</f>
        <v/>
      </c>
      <c r="W53" s="159" t="str">
        <f>IF(OR($N53="",BuildingsWaterTable[[#This Row],[RSD]]=""),"",BuildingsWaterTable[[#This Row],[Total emissions (kgCO2e)]]*(1-BuildingsWaterTable[[#This Row],[RSD]]))</f>
        <v/>
      </c>
      <c r="X53" s="169" t="str" cm="1">
        <f t="array" ref="X53">IF(OR($E53="",$I53=""),"",(INDEX('Emission factors'!$K$3:$V$201,MATCH('Buildings - Water'!$E53&amp;$F53,'Emission factors'!$J$3:$J$201&amp;'Emission factors'!$K$3:$K$201,0),MATCH('Buildings - Water'!X$6,'Emission factors'!$K$2:$V$2,0)))*$K53)</f>
        <v/>
      </c>
      <c r="Y53" s="30"/>
      <c r="Z53" s="1" cm="1">
        <f t="array" ref="Z53">IF(OR(ISERROR(B53:X53)),1,0)</f>
        <v>0</v>
      </c>
      <c r="AA53" s="1">
        <f t="shared" si="1"/>
        <v>0</v>
      </c>
    </row>
    <row r="54" spans="1:27" ht="15" outlineLevel="1" thickBot="1" x14ac:dyDescent="0.4">
      <c r="A54" s="319"/>
      <c r="B54" s="216"/>
      <c r="C54" s="216"/>
      <c r="D54" s="233" t="str">
        <f>IFERROR(INDEX(BuildingInformationTable[Site type],MATCH(BuildingsWaterTable[[#This Row],[Site name]],BuildingInformationTable[Site name],0)),"")</f>
        <v/>
      </c>
      <c r="E54" s="312" t="str">
        <f t="shared" si="2"/>
        <v/>
      </c>
      <c r="F54" s="72"/>
      <c r="G54" s="72"/>
      <c r="H54" s="98" t="str">
        <f>IF(G54="","",INDEX(Lists!$BA$4:$BC$31,MATCH(E54,Lists!$AZ$4:$AZ$31,0),MATCH(G54,Lists!$BA$3:$BC$3,0)))</f>
        <v/>
      </c>
      <c r="I54" s="70"/>
      <c r="J54" s="72"/>
      <c r="K54" s="75" t="str" cm="1">
        <f t="array" ref="K54">IF(OR($E54="",$D54="",$I54="",$J54=""),"",IF(J54=L54,I54,(INDEX('Emission factors'!$K$3:$V$201,MATCH(E54&amp;F54,'Emission factors'!$J$3:$J$201&amp;'Emission factors'!$K$3:$K$201,0),MATCH(K$6,'Emission factors'!$K$2:$V$2,0)))*I54))</f>
        <v/>
      </c>
      <c r="L54" s="312" t="str">
        <f>IF(OR($E54="",$D54="",$I54="",$J54=""),"",INDEX('Emission factors'!$K$3:$V$201,MATCH('Buildings - Water'!$E54,'Emission factors'!$J$3:$J$201,0),MATCH($L$6,'Emission factors'!$K$2:$V$2,0)))</f>
        <v/>
      </c>
      <c r="M54" s="313" t="str" cm="1">
        <f t="array" ref="M54">IF(OR(E54="",I54="",BuildingsWaterTable[[#This Row],[Units]]=""),"",INDEX('Emission factors'!$K$3:$V$201,MATCH('Buildings - Water'!$E54&amp;F54,'Emission factors'!$J$3:$J$201&amp;'Emission factors'!$K$3:$K$201,0),MATCH('Buildings - Water'!$M$6,'Emission factors'!$K$2:$V$2,0)))</f>
        <v/>
      </c>
      <c r="N54" s="156" t="str">
        <f>IF(OR(K54="",M54=""),"",SUM(BuildingsWaterTable[[#This Row],[Direct]:[Indirect WTT]]))</f>
        <v/>
      </c>
      <c r="O54" s="71"/>
      <c r="P54" s="72"/>
      <c r="Q54" s="157" t="str" cm="1">
        <f t="array" ref="Q54">IF(OR($E54="",$I54=""),"",(INDEX('Emission factors'!$K$3:$V$201,MATCH('Buildings - Water'!$E54&amp;$F54,'Emission factors'!$J$3:$J$201&amp;'Emission factors'!$K$3:$K$201,0),MATCH('Buildings - Water'!Q$6,'Emission factors'!$K$2:$V$2,0)))*$K54)</f>
        <v/>
      </c>
      <c r="R54" s="157" t="str" cm="1">
        <f t="array" ref="R54">IF(OR($E54="",$I54=""),"",(INDEX('Emission factors'!$K$3:$V$201,MATCH('Buildings - Water'!$E54&amp;$F54,'Emission factors'!$J$3:$J$201&amp;'Emission factors'!$K$3:$K$201,0),MATCH('Buildings - Water'!R$6,'Emission factors'!$K$2:$V$2,0)))*$K54)</f>
        <v/>
      </c>
      <c r="S54" s="157" t="str" cm="1">
        <f t="array" ref="S54">IF(OR($E54="",$I54=""),"",(INDEX('Emission factors'!$K$3:$V$201,MATCH('Buildings - Water'!$E54&amp;$F54,'Emission factors'!$J$3:$J$201&amp;'Emission factors'!$K$3:$K$201,0),MATCH('Buildings - Water'!S$6,'Emission factors'!$K$2:$V$2,0)))*$K54)</f>
        <v/>
      </c>
      <c r="T54" s="157" t="str" cm="1">
        <f t="array" ref="T54">IF(OR($E54="",$I54=""),"",(INDEX('Emission factors'!$K$3:$V$201,MATCH('Buildings - Water'!$E54&amp;$F54,'Emission factors'!$J$3:$J$201&amp;'Emission factors'!$K$3:$K$201,0),MATCH('Buildings - Water'!T$6,'Emission factors'!$K$2:$V$2,0)))*$K54)</f>
        <v/>
      </c>
      <c r="U54" s="157" t="str" cm="1">
        <f t="array" ref="U54">IF(OR($E54="",$I54=""),"",(INDEX('Emission factors'!$K$3:$V$201,MATCH('Buildings - Water'!$E54&amp;$F54,'Emission factors'!$J$3:$J$201&amp;'Emission factors'!$K$3:$K$201,0),MATCH('Buildings - Water'!U$6,'Emission factors'!$K$2:$V$2,0)))*$K54)</f>
        <v/>
      </c>
      <c r="V54" s="158" t="str">
        <f>IF(OR($N54="",BuildingsWaterTable[[#This Row],[RSD]]=""),"",BuildingsWaterTable[[#This Row],[Total emissions (kgCO2e)]]*(1+BuildingsWaterTable[[#This Row],[RSD]]))</f>
        <v/>
      </c>
      <c r="W54" s="159" t="str">
        <f>IF(OR($N54="",BuildingsWaterTable[[#This Row],[RSD]]=""),"",BuildingsWaterTable[[#This Row],[Total emissions (kgCO2e)]]*(1-BuildingsWaterTable[[#This Row],[RSD]]))</f>
        <v/>
      </c>
      <c r="X54" s="169" t="str" cm="1">
        <f t="array" ref="X54">IF(OR($E54="",$I54=""),"",(INDEX('Emission factors'!$K$3:$V$201,MATCH('Buildings - Water'!$E54&amp;$F54,'Emission factors'!$J$3:$J$201&amp;'Emission factors'!$K$3:$K$201,0),MATCH('Buildings - Water'!X$6,'Emission factors'!$K$2:$V$2,0)))*$K54)</f>
        <v/>
      </c>
      <c r="Y54" s="30"/>
      <c r="Z54" s="1" cm="1">
        <f t="array" ref="Z54">IF(OR(ISERROR(B54:X54)),1,0)</f>
        <v>0</v>
      </c>
      <c r="AA54" s="1">
        <f t="shared" si="1"/>
        <v>0</v>
      </c>
    </row>
    <row r="55" spans="1:27" ht="15" outlineLevel="1" thickBot="1" x14ac:dyDescent="0.4">
      <c r="A55" s="319"/>
      <c r="B55" s="216"/>
      <c r="C55" s="216"/>
      <c r="D55" s="233" t="str">
        <f>IFERROR(INDEX(BuildingInformationTable[Site type],MATCH(BuildingsWaterTable[[#This Row],[Site name]],BuildingInformationTable[Site name],0)),"")</f>
        <v/>
      </c>
      <c r="E55" s="312" t="str">
        <f t="shared" si="2"/>
        <v/>
      </c>
      <c r="F55" s="72"/>
      <c r="G55" s="72"/>
      <c r="H55" s="98" t="str">
        <f>IF(G55="","",INDEX(Lists!$BA$4:$BC$31,MATCH(E55,Lists!$AZ$4:$AZ$31,0),MATCH(G55,Lists!$BA$3:$BC$3,0)))</f>
        <v/>
      </c>
      <c r="I55" s="70"/>
      <c r="J55" s="72"/>
      <c r="K55" s="75" t="str" cm="1">
        <f t="array" ref="K55">IF(OR($E55="",$D55="",$I55="",$J55=""),"",IF(J55=L55,I55,(INDEX('Emission factors'!$K$3:$V$201,MATCH(E55&amp;F55,'Emission factors'!$J$3:$J$201&amp;'Emission factors'!$K$3:$K$201,0),MATCH(K$6,'Emission factors'!$K$2:$V$2,0)))*I55))</f>
        <v/>
      </c>
      <c r="L55" s="312" t="str">
        <f>IF(OR($E55="",$D55="",$I55="",$J55=""),"",INDEX('Emission factors'!$K$3:$V$201,MATCH('Buildings - Water'!$E55,'Emission factors'!$J$3:$J$201,0),MATCH($L$6,'Emission factors'!$K$2:$V$2,0)))</f>
        <v/>
      </c>
      <c r="M55" s="313" t="str" cm="1">
        <f t="array" ref="M55">IF(OR(E55="",I55="",BuildingsWaterTable[[#This Row],[Units]]=""),"",INDEX('Emission factors'!$K$3:$V$201,MATCH('Buildings - Water'!$E55&amp;F55,'Emission factors'!$J$3:$J$201&amp;'Emission factors'!$K$3:$K$201,0),MATCH('Buildings - Water'!$M$6,'Emission factors'!$K$2:$V$2,0)))</f>
        <v/>
      </c>
      <c r="N55" s="156" t="str">
        <f>IF(OR(K55="",M55=""),"",SUM(BuildingsWaterTable[[#This Row],[Direct]:[Indirect WTT]]))</f>
        <v/>
      </c>
      <c r="O55" s="71"/>
      <c r="P55" s="72"/>
      <c r="Q55" s="157" t="str" cm="1">
        <f t="array" ref="Q55">IF(OR($E55="",$I55=""),"",(INDEX('Emission factors'!$K$3:$V$201,MATCH('Buildings - Water'!$E55&amp;$F55,'Emission factors'!$J$3:$J$201&amp;'Emission factors'!$K$3:$K$201,0),MATCH('Buildings - Water'!Q$6,'Emission factors'!$K$2:$V$2,0)))*$K55)</f>
        <v/>
      </c>
      <c r="R55" s="157" t="str" cm="1">
        <f t="array" ref="R55">IF(OR($E55="",$I55=""),"",(INDEX('Emission factors'!$K$3:$V$201,MATCH('Buildings - Water'!$E55&amp;$F55,'Emission factors'!$J$3:$J$201&amp;'Emission factors'!$K$3:$K$201,0),MATCH('Buildings - Water'!R$6,'Emission factors'!$K$2:$V$2,0)))*$K55)</f>
        <v/>
      </c>
      <c r="S55" s="157" t="str" cm="1">
        <f t="array" ref="S55">IF(OR($E55="",$I55=""),"",(INDEX('Emission factors'!$K$3:$V$201,MATCH('Buildings - Water'!$E55&amp;$F55,'Emission factors'!$J$3:$J$201&amp;'Emission factors'!$K$3:$K$201,0),MATCH('Buildings - Water'!S$6,'Emission factors'!$K$2:$V$2,0)))*$K55)</f>
        <v/>
      </c>
      <c r="T55" s="157" t="str" cm="1">
        <f t="array" ref="T55">IF(OR($E55="",$I55=""),"",(INDEX('Emission factors'!$K$3:$V$201,MATCH('Buildings - Water'!$E55&amp;$F55,'Emission factors'!$J$3:$J$201&amp;'Emission factors'!$K$3:$K$201,0),MATCH('Buildings - Water'!T$6,'Emission factors'!$K$2:$V$2,0)))*$K55)</f>
        <v/>
      </c>
      <c r="U55" s="157" t="str" cm="1">
        <f t="array" ref="U55">IF(OR($E55="",$I55=""),"",(INDEX('Emission factors'!$K$3:$V$201,MATCH('Buildings - Water'!$E55&amp;$F55,'Emission factors'!$J$3:$J$201&amp;'Emission factors'!$K$3:$K$201,0),MATCH('Buildings - Water'!U$6,'Emission factors'!$K$2:$V$2,0)))*$K55)</f>
        <v/>
      </c>
      <c r="V55" s="158" t="str">
        <f>IF(OR($N55="",BuildingsWaterTable[[#This Row],[RSD]]=""),"",BuildingsWaterTable[[#This Row],[Total emissions (kgCO2e)]]*(1+BuildingsWaterTable[[#This Row],[RSD]]))</f>
        <v/>
      </c>
      <c r="W55" s="159" t="str">
        <f>IF(OR($N55="",BuildingsWaterTable[[#This Row],[RSD]]=""),"",BuildingsWaterTable[[#This Row],[Total emissions (kgCO2e)]]*(1-BuildingsWaterTable[[#This Row],[RSD]]))</f>
        <v/>
      </c>
      <c r="X55" s="169" t="str" cm="1">
        <f t="array" ref="X55">IF(OR($E55="",$I55=""),"",(INDEX('Emission factors'!$K$3:$V$201,MATCH('Buildings - Water'!$E55&amp;$F55,'Emission factors'!$J$3:$J$201&amp;'Emission factors'!$K$3:$K$201,0),MATCH('Buildings - Water'!X$6,'Emission factors'!$K$2:$V$2,0)))*$K55)</f>
        <v/>
      </c>
      <c r="Y55" s="30"/>
      <c r="Z55" s="1" cm="1">
        <f t="array" ref="Z55">IF(OR(ISERROR(B55:X55)),1,0)</f>
        <v>0</v>
      </c>
      <c r="AA55" s="1">
        <f t="shared" si="1"/>
        <v>0</v>
      </c>
    </row>
    <row r="56" spans="1:27" ht="15" outlineLevel="1" thickBot="1" x14ac:dyDescent="0.4">
      <c r="A56" s="319"/>
      <c r="B56" s="216"/>
      <c r="C56" s="216"/>
      <c r="D56" s="233" t="str">
        <f>IFERROR(INDEX(BuildingInformationTable[Site type],MATCH(BuildingsWaterTable[[#This Row],[Site name]],BuildingInformationTable[Site name],0)),"")</f>
        <v/>
      </c>
      <c r="E56" s="312" t="str">
        <f t="shared" si="2"/>
        <v/>
      </c>
      <c r="F56" s="72"/>
      <c r="G56" s="72"/>
      <c r="H56" s="98" t="str">
        <f>IF(G56="","",INDEX(Lists!$BA$4:$BC$31,MATCH(E56,Lists!$AZ$4:$AZ$31,0),MATCH(G56,Lists!$BA$3:$BC$3,0)))</f>
        <v/>
      </c>
      <c r="I56" s="70"/>
      <c r="J56" s="72"/>
      <c r="K56" s="75" t="str" cm="1">
        <f t="array" ref="K56">IF(OR($E56="",$D56="",$I56="",$J56=""),"",IF(J56=L56,I56,(INDEX('Emission factors'!$K$3:$V$201,MATCH(E56&amp;F56,'Emission factors'!$J$3:$J$201&amp;'Emission factors'!$K$3:$K$201,0),MATCH(K$6,'Emission factors'!$K$2:$V$2,0)))*I56))</f>
        <v/>
      </c>
      <c r="L56" s="312" t="str">
        <f>IF(OR($E56="",$D56="",$I56="",$J56=""),"",INDEX('Emission factors'!$K$3:$V$201,MATCH('Buildings - Water'!$E56,'Emission factors'!$J$3:$J$201,0),MATCH($L$6,'Emission factors'!$K$2:$V$2,0)))</f>
        <v/>
      </c>
      <c r="M56" s="313" t="str" cm="1">
        <f t="array" ref="M56">IF(OR(E56="",I56="",BuildingsWaterTable[[#This Row],[Units]]=""),"",INDEX('Emission factors'!$K$3:$V$201,MATCH('Buildings - Water'!$E56&amp;F56,'Emission factors'!$J$3:$J$201&amp;'Emission factors'!$K$3:$K$201,0),MATCH('Buildings - Water'!$M$6,'Emission factors'!$K$2:$V$2,0)))</f>
        <v/>
      </c>
      <c r="N56" s="156" t="str">
        <f>IF(OR(K56="",M56=""),"",SUM(BuildingsWaterTable[[#This Row],[Direct]:[Indirect WTT]]))</f>
        <v/>
      </c>
      <c r="O56" s="71"/>
      <c r="P56" s="72"/>
      <c r="Q56" s="157" t="str" cm="1">
        <f t="array" ref="Q56">IF(OR($E56="",$I56=""),"",(INDEX('Emission factors'!$K$3:$V$201,MATCH('Buildings - Water'!$E56&amp;$F56,'Emission factors'!$J$3:$J$201&amp;'Emission factors'!$K$3:$K$201,0),MATCH('Buildings - Water'!Q$6,'Emission factors'!$K$2:$V$2,0)))*$K56)</f>
        <v/>
      </c>
      <c r="R56" s="157" t="str" cm="1">
        <f t="array" ref="R56">IF(OR($E56="",$I56=""),"",(INDEX('Emission factors'!$K$3:$V$201,MATCH('Buildings - Water'!$E56&amp;$F56,'Emission factors'!$J$3:$J$201&amp;'Emission factors'!$K$3:$K$201,0),MATCH('Buildings - Water'!R$6,'Emission factors'!$K$2:$V$2,0)))*$K56)</f>
        <v/>
      </c>
      <c r="S56" s="157" t="str" cm="1">
        <f t="array" ref="S56">IF(OR($E56="",$I56=""),"",(INDEX('Emission factors'!$K$3:$V$201,MATCH('Buildings - Water'!$E56&amp;$F56,'Emission factors'!$J$3:$J$201&amp;'Emission factors'!$K$3:$K$201,0),MATCH('Buildings - Water'!S$6,'Emission factors'!$K$2:$V$2,0)))*$K56)</f>
        <v/>
      </c>
      <c r="T56" s="157" t="str" cm="1">
        <f t="array" ref="T56">IF(OR($E56="",$I56=""),"",(INDEX('Emission factors'!$K$3:$V$201,MATCH('Buildings - Water'!$E56&amp;$F56,'Emission factors'!$J$3:$J$201&amp;'Emission factors'!$K$3:$K$201,0),MATCH('Buildings - Water'!T$6,'Emission factors'!$K$2:$V$2,0)))*$K56)</f>
        <v/>
      </c>
      <c r="U56" s="157" t="str" cm="1">
        <f t="array" ref="U56">IF(OR($E56="",$I56=""),"",(INDEX('Emission factors'!$K$3:$V$201,MATCH('Buildings - Water'!$E56&amp;$F56,'Emission factors'!$J$3:$J$201&amp;'Emission factors'!$K$3:$K$201,0),MATCH('Buildings - Water'!U$6,'Emission factors'!$K$2:$V$2,0)))*$K56)</f>
        <v/>
      </c>
      <c r="V56" s="158" t="str">
        <f>IF(OR($N56="",BuildingsWaterTable[[#This Row],[RSD]]=""),"",BuildingsWaterTable[[#This Row],[Total emissions (kgCO2e)]]*(1+BuildingsWaterTable[[#This Row],[RSD]]))</f>
        <v/>
      </c>
      <c r="W56" s="159" t="str">
        <f>IF(OR($N56="",BuildingsWaterTable[[#This Row],[RSD]]=""),"",BuildingsWaterTable[[#This Row],[Total emissions (kgCO2e)]]*(1-BuildingsWaterTable[[#This Row],[RSD]]))</f>
        <v/>
      </c>
      <c r="X56" s="169" t="str" cm="1">
        <f t="array" ref="X56">IF(OR($E56="",$I56=""),"",(INDEX('Emission factors'!$K$3:$V$201,MATCH('Buildings - Water'!$E56&amp;$F56,'Emission factors'!$J$3:$J$201&amp;'Emission factors'!$K$3:$K$201,0),MATCH('Buildings - Water'!X$6,'Emission factors'!$K$2:$V$2,0)))*$K56)</f>
        <v/>
      </c>
      <c r="Y56" s="30"/>
      <c r="Z56" s="1" cm="1">
        <f t="array" ref="Z56">IF(OR(ISERROR(B56:X56)),1,0)</f>
        <v>0</v>
      </c>
      <c r="AA56" s="1">
        <f t="shared" si="1"/>
        <v>0</v>
      </c>
    </row>
    <row r="57" spans="1:27" ht="15" outlineLevel="1" thickBot="1" x14ac:dyDescent="0.4">
      <c r="A57" s="319"/>
      <c r="B57" s="216"/>
      <c r="C57" s="216"/>
      <c r="D57" s="233" t="str">
        <f>IFERROR(INDEX(BuildingInformationTable[Site type],MATCH(BuildingsWaterTable[[#This Row],[Site name]],BuildingInformationTable[Site name],0)),"")</f>
        <v/>
      </c>
      <c r="E57" s="312" t="str">
        <f t="shared" si="2"/>
        <v/>
      </c>
      <c r="F57" s="72"/>
      <c r="G57" s="72"/>
      <c r="H57" s="98" t="str">
        <f>IF(G57="","",INDEX(Lists!$BA$4:$BC$31,MATCH(E57,Lists!$AZ$4:$AZ$31,0),MATCH(G57,Lists!$BA$3:$BC$3,0)))</f>
        <v/>
      </c>
      <c r="I57" s="70"/>
      <c r="J57" s="72"/>
      <c r="K57" s="75" t="str" cm="1">
        <f t="array" ref="K57">IF(OR($E57="",$D57="",$I57="",$J57=""),"",IF(J57=L57,I57,(INDEX('Emission factors'!$K$3:$V$201,MATCH(E57&amp;F57,'Emission factors'!$J$3:$J$201&amp;'Emission factors'!$K$3:$K$201,0),MATCH(K$6,'Emission factors'!$K$2:$V$2,0)))*I57))</f>
        <v/>
      </c>
      <c r="L57" s="312" t="str">
        <f>IF(OR($E57="",$D57="",$I57="",$J57=""),"",INDEX('Emission factors'!$K$3:$V$201,MATCH('Buildings - Water'!$E57,'Emission factors'!$J$3:$J$201,0),MATCH($L$6,'Emission factors'!$K$2:$V$2,0)))</f>
        <v/>
      </c>
      <c r="M57" s="313" t="str" cm="1">
        <f t="array" ref="M57">IF(OR(E57="",I57="",BuildingsWaterTable[[#This Row],[Units]]=""),"",INDEX('Emission factors'!$K$3:$V$201,MATCH('Buildings - Water'!$E57&amp;F57,'Emission factors'!$J$3:$J$201&amp;'Emission factors'!$K$3:$K$201,0),MATCH('Buildings - Water'!$M$6,'Emission factors'!$K$2:$V$2,0)))</f>
        <v/>
      </c>
      <c r="N57" s="156" t="str">
        <f>IF(OR(K57="",M57=""),"",SUM(BuildingsWaterTable[[#This Row],[Direct]:[Indirect WTT]]))</f>
        <v/>
      </c>
      <c r="O57" s="71"/>
      <c r="P57" s="72"/>
      <c r="Q57" s="157" t="str" cm="1">
        <f t="array" ref="Q57">IF(OR($E57="",$I57=""),"",(INDEX('Emission factors'!$K$3:$V$201,MATCH('Buildings - Water'!$E57&amp;$F57,'Emission factors'!$J$3:$J$201&amp;'Emission factors'!$K$3:$K$201,0),MATCH('Buildings - Water'!Q$6,'Emission factors'!$K$2:$V$2,0)))*$K57)</f>
        <v/>
      </c>
      <c r="R57" s="157" t="str" cm="1">
        <f t="array" ref="R57">IF(OR($E57="",$I57=""),"",(INDEX('Emission factors'!$K$3:$V$201,MATCH('Buildings - Water'!$E57&amp;$F57,'Emission factors'!$J$3:$J$201&amp;'Emission factors'!$K$3:$K$201,0),MATCH('Buildings - Water'!R$6,'Emission factors'!$K$2:$V$2,0)))*$K57)</f>
        <v/>
      </c>
      <c r="S57" s="157" t="str" cm="1">
        <f t="array" ref="S57">IF(OR($E57="",$I57=""),"",(INDEX('Emission factors'!$K$3:$V$201,MATCH('Buildings - Water'!$E57&amp;$F57,'Emission factors'!$J$3:$J$201&amp;'Emission factors'!$K$3:$K$201,0),MATCH('Buildings - Water'!S$6,'Emission factors'!$K$2:$V$2,0)))*$K57)</f>
        <v/>
      </c>
      <c r="T57" s="157" t="str" cm="1">
        <f t="array" ref="T57">IF(OR($E57="",$I57=""),"",(INDEX('Emission factors'!$K$3:$V$201,MATCH('Buildings - Water'!$E57&amp;$F57,'Emission factors'!$J$3:$J$201&amp;'Emission factors'!$K$3:$K$201,0),MATCH('Buildings - Water'!T$6,'Emission factors'!$K$2:$V$2,0)))*$K57)</f>
        <v/>
      </c>
      <c r="U57" s="157" t="str" cm="1">
        <f t="array" ref="U57">IF(OR($E57="",$I57=""),"",(INDEX('Emission factors'!$K$3:$V$201,MATCH('Buildings - Water'!$E57&amp;$F57,'Emission factors'!$J$3:$J$201&amp;'Emission factors'!$K$3:$K$201,0),MATCH('Buildings - Water'!U$6,'Emission factors'!$K$2:$V$2,0)))*$K57)</f>
        <v/>
      </c>
      <c r="V57" s="158" t="str">
        <f>IF(OR($N57="",BuildingsWaterTable[[#This Row],[RSD]]=""),"",BuildingsWaterTable[[#This Row],[Total emissions (kgCO2e)]]*(1+BuildingsWaterTable[[#This Row],[RSD]]))</f>
        <v/>
      </c>
      <c r="W57" s="159" t="str">
        <f>IF(OR($N57="",BuildingsWaterTable[[#This Row],[RSD]]=""),"",BuildingsWaterTable[[#This Row],[Total emissions (kgCO2e)]]*(1-BuildingsWaterTable[[#This Row],[RSD]]))</f>
        <v/>
      </c>
      <c r="X57" s="169" t="str" cm="1">
        <f t="array" ref="X57">IF(OR($E57="",$I57=""),"",(INDEX('Emission factors'!$K$3:$V$201,MATCH('Buildings - Water'!$E57&amp;$F57,'Emission factors'!$J$3:$J$201&amp;'Emission factors'!$K$3:$K$201,0),MATCH('Buildings - Water'!X$6,'Emission factors'!$K$2:$V$2,0)))*$K57)</f>
        <v/>
      </c>
      <c r="Y57" s="30"/>
      <c r="Z57" s="1" cm="1">
        <f t="array" ref="Z57">IF(OR(ISERROR(B57:X57)),1,0)</f>
        <v>0</v>
      </c>
      <c r="AA57" s="1">
        <f t="shared" si="1"/>
        <v>0</v>
      </c>
    </row>
    <row r="58" spans="1:27" ht="15" outlineLevel="1" thickBot="1" x14ac:dyDescent="0.4">
      <c r="A58" s="319"/>
      <c r="B58" s="216"/>
      <c r="C58" s="216"/>
      <c r="D58" s="233" t="str">
        <f>IFERROR(INDEX(BuildingInformationTable[Site type],MATCH(BuildingsWaterTable[[#This Row],[Site name]],BuildingInformationTable[Site name],0)),"")</f>
        <v/>
      </c>
      <c r="E58" s="312" t="str">
        <f t="shared" si="2"/>
        <v/>
      </c>
      <c r="F58" s="72"/>
      <c r="G58" s="72"/>
      <c r="H58" s="98" t="str">
        <f>IF(G58="","",INDEX(Lists!$BA$4:$BC$31,MATCH(E58,Lists!$AZ$4:$AZ$31,0),MATCH(G58,Lists!$BA$3:$BC$3,0)))</f>
        <v/>
      </c>
      <c r="I58" s="70"/>
      <c r="J58" s="72"/>
      <c r="K58" s="75" t="str" cm="1">
        <f t="array" ref="K58">IF(OR($E58="",$D58="",$I58="",$J58=""),"",IF(J58=L58,I58,(INDEX('Emission factors'!$K$3:$V$201,MATCH(E58&amp;F58,'Emission factors'!$J$3:$J$201&amp;'Emission factors'!$K$3:$K$201,0),MATCH(K$6,'Emission factors'!$K$2:$V$2,0)))*I58))</f>
        <v/>
      </c>
      <c r="L58" s="312" t="str">
        <f>IF(OR($E58="",$D58="",$I58="",$J58=""),"",INDEX('Emission factors'!$K$3:$V$201,MATCH('Buildings - Water'!$E58,'Emission factors'!$J$3:$J$201,0),MATCH($L$6,'Emission factors'!$K$2:$V$2,0)))</f>
        <v/>
      </c>
      <c r="M58" s="313" t="str" cm="1">
        <f t="array" ref="M58">IF(OR(E58="",I58="",BuildingsWaterTable[[#This Row],[Units]]=""),"",INDEX('Emission factors'!$K$3:$V$201,MATCH('Buildings - Water'!$E58&amp;F58,'Emission factors'!$J$3:$J$201&amp;'Emission factors'!$K$3:$K$201,0),MATCH('Buildings - Water'!$M$6,'Emission factors'!$K$2:$V$2,0)))</f>
        <v/>
      </c>
      <c r="N58" s="156" t="str">
        <f>IF(OR(K58="",M58=""),"",SUM(BuildingsWaterTable[[#This Row],[Direct]:[Indirect WTT]]))</f>
        <v/>
      </c>
      <c r="O58" s="71"/>
      <c r="P58" s="72"/>
      <c r="Q58" s="157" t="str" cm="1">
        <f t="array" ref="Q58">IF(OR($E58="",$I58=""),"",(INDEX('Emission factors'!$K$3:$V$201,MATCH('Buildings - Water'!$E58&amp;$F58,'Emission factors'!$J$3:$J$201&amp;'Emission factors'!$K$3:$K$201,0),MATCH('Buildings - Water'!Q$6,'Emission factors'!$K$2:$V$2,0)))*$K58)</f>
        <v/>
      </c>
      <c r="R58" s="157" t="str" cm="1">
        <f t="array" ref="R58">IF(OR($E58="",$I58=""),"",(INDEX('Emission factors'!$K$3:$V$201,MATCH('Buildings - Water'!$E58&amp;$F58,'Emission factors'!$J$3:$J$201&amp;'Emission factors'!$K$3:$K$201,0),MATCH('Buildings - Water'!R$6,'Emission factors'!$K$2:$V$2,0)))*$K58)</f>
        <v/>
      </c>
      <c r="S58" s="157" t="str" cm="1">
        <f t="array" ref="S58">IF(OR($E58="",$I58=""),"",(INDEX('Emission factors'!$K$3:$V$201,MATCH('Buildings - Water'!$E58&amp;$F58,'Emission factors'!$J$3:$J$201&amp;'Emission factors'!$K$3:$K$201,0),MATCH('Buildings - Water'!S$6,'Emission factors'!$K$2:$V$2,0)))*$K58)</f>
        <v/>
      </c>
      <c r="T58" s="157" t="str" cm="1">
        <f t="array" ref="T58">IF(OR($E58="",$I58=""),"",(INDEX('Emission factors'!$K$3:$V$201,MATCH('Buildings - Water'!$E58&amp;$F58,'Emission factors'!$J$3:$J$201&amp;'Emission factors'!$K$3:$K$201,0),MATCH('Buildings - Water'!T$6,'Emission factors'!$K$2:$V$2,0)))*$K58)</f>
        <v/>
      </c>
      <c r="U58" s="157" t="str" cm="1">
        <f t="array" ref="U58">IF(OR($E58="",$I58=""),"",(INDEX('Emission factors'!$K$3:$V$201,MATCH('Buildings - Water'!$E58&amp;$F58,'Emission factors'!$J$3:$J$201&amp;'Emission factors'!$K$3:$K$201,0),MATCH('Buildings - Water'!U$6,'Emission factors'!$K$2:$V$2,0)))*$K58)</f>
        <v/>
      </c>
      <c r="V58" s="158" t="str">
        <f>IF(OR($N58="",BuildingsWaterTable[[#This Row],[RSD]]=""),"",BuildingsWaterTable[[#This Row],[Total emissions (kgCO2e)]]*(1+BuildingsWaterTable[[#This Row],[RSD]]))</f>
        <v/>
      </c>
      <c r="W58" s="159" t="str">
        <f>IF(OR($N58="",BuildingsWaterTable[[#This Row],[RSD]]=""),"",BuildingsWaterTable[[#This Row],[Total emissions (kgCO2e)]]*(1-BuildingsWaterTable[[#This Row],[RSD]]))</f>
        <v/>
      </c>
      <c r="X58" s="169" t="str" cm="1">
        <f t="array" ref="X58">IF(OR($E58="",$I58=""),"",(INDEX('Emission factors'!$K$3:$V$201,MATCH('Buildings - Water'!$E58&amp;$F58,'Emission factors'!$J$3:$J$201&amp;'Emission factors'!$K$3:$K$201,0),MATCH('Buildings - Water'!X$6,'Emission factors'!$K$2:$V$2,0)))*$K58)</f>
        <v/>
      </c>
      <c r="Y58" s="30"/>
      <c r="Z58" s="1" cm="1">
        <f t="array" ref="Z58">IF(OR(ISERROR(B58:X58)),1,0)</f>
        <v>0</v>
      </c>
      <c r="AA58" s="1">
        <f t="shared" si="1"/>
        <v>0</v>
      </c>
    </row>
    <row r="59" spans="1:27" ht="15" outlineLevel="1" thickBot="1" x14ac:dyDescent="0.4">
      <c r="A59" s="319"/>
      <c r="B59" s="216"/>
      <c r="C59" s="216"/>
      <c r="D59" s="233" t="str">
        <f>IFERROR(INDEX(BuildingInformationTable[Site type],MATCH(BuildingsWaterTable[[#This Row],[Site name]],BuildingInformationTable[Site name],0)),"")</f>
        <v/>
      </c>
      <c r="E59" s="312" t="str">
        <f t="shared" si="2"/>
        <v/>
      </c>
      <c r="F59" s="72"/>
      <c r="G59" s="72"/>
      <c r="H59" s="98" t="str">
        <f>IF(G59="","",INDEX(Lists!$BA$4:$BC$31,MATCH(E59,Lists!$AZ$4:$AZ$31,0),MATCH(G59,Lists!$BA$3:$BC$3,0)))</f>
        <v/>
      </c>
      <c r="I59" s="70"/>
      <c r="J59" s="72"/>
      <c r="K59" s="75" t="str" cm="1">
        <f t="array" ref="K59">IF(OR($E59="",$D59="",$I59="",$J59=""),"",IF(J59=L59,I59,(INDEX('Emission factors'!$K$3:$V$201,MATCH(E59&amp;F59,'Emission factors'!$J$3:$J$201&amp;'Emission factors'!$K$3:$K$201,0),MATCH(K$6,'Emission factors'!$K$2:$V$2,0)))*I59))</f>
        <v/>
      </c>
      <c r="L59" s="312" t="str">
        <f>IF(OR($E59="",$D59="",$I59="",$J59=""),"",INDEX('Emission factors'!$K$3:$V$201,MATCH('Buildings - Water'!$E59,'Emission factors'!$J$3:$J$201,0),MATCH($L$6,'Emission factors'!$K$2:$V$2,0)))</f>
        <v/>
      </c>
      <c r="M59" s="313" t="str" cm="1">
        <f t="array" ref="M59">IF(OR(E59="",I59="",BuildingsWaterTable[[#This Row],[Units]]=""),"",INDEX('Emission factors'!$K$3:$V$201,MATCH('Buildings - Water'!$E59&amp;F59,'Emission factors'!$J$3:$J$201&amp;'Emission factors'!$K$3:$K$201,0),MATCH('Buildings - Water'!$M$6,'Emission factors'!$K$2:$V$2,0)))</f>
        <v/>
      </c>
      <c r="N59" s="156" t="str">
        <f>IF(OR(K59="",M59=""),"",SUM(BuildingsWaterTable[[#This Row],[Direct]:[Indirect WTT]]))</f>
        <v/>
      </c>
      <c r="O59" s="71"/>
      <c r="P59" s="190"/>
      <c r="Q59" s="157" t="str" cm="1">
        <f t="array" ref="Q59">IF(OR($E59="",$I59=""),"",(INDEX('Emission factors'!$K$3:$V$201,MATCH('Buildings - Water'!$E59&amp;$F59,'Emission factors'!$J$3:$J$201&amp;'Emission factors'!$K$3:$K$201,0),MATCH('Buildings - Water'!Q$6,'Emission factors'!$K$2:$V$2,0)))*$K59)</f>
        <v/>
      </c>
      <c r="R59" s="157" t="str" cm="1">
        <f t="array" ref="R59">IF(OR($E59="",$I59=""),"",(INDEX('Emission factors'!$K$3:$V$201,MATCH('Buildings - Water'!$E59&amp;$F59,'Emission factors'!$J$3:$J$201&amp;'Emission factors'!$K$3:$K$201,0),MATCH('Buildings - Water'!R$6,'Emission factors'!$K$2:$V$2,0)))*$K59)</f>
        <v/>
      </c>
      <c r="S59" s="157" t="str" cm="1">
        <f t="array" ref="S59">IF(OR($E59="",$I59=""),"",(INDEX('Emission factors'!$K$3:$V$201,MATCH('Buildings - Water'!$E59&amp;$F59,'Emission factors'!$J$3:$J$201&amp;'Emission factors'!$K$3:$K$201,0),MATCH('Buildings - Water'!S$6,'Emission factors'!$K$2:$V$2,0)))*$K59)</f>
        <v/>
      </c>
      <c r="T59" s="157" t="str" cm="1">
        <f t="array" ref="T59">IF(OR($E59="",$I59=""),"",(INDEX('Emission factors'!$K$3:$V$201,MATCH('Buildings - Water'!$E59&amp;$F59,'Emission factors'!$J$3:$J$201&amp;'Emission factors'!$K$3:$K$201,0),MATCH('Buildings - Water'!T$6,'Emission factors'!$K$2:$V$2,0)))*$K59)</f>
        <v/>
      </c>
      <c r="U59" s="157" t="str" cm="1">
        <f t="array" ref="U59">IF(OR($E59="",$I59=""),"",(INDEX('Emission factors'!$K$3:$V$201,MATCH('Buildings - Water'!$E59&amp;$F59,'Emission factors'!$J$3:$J$201&amp;'Emission factors'!$K$3:$K$201,0),MATCH('Buildings - Water'!U$6,'Emission factors'!$K$2:$V$2,0)))*$K59)</f>
        <v/>
      </c>
      <c r="V59" s="158" t="str">
        <f>IF(OR($N59="",BuildingsWaterTable[[#This Row],[RSD]]=""),"",BuildingsWaterTable[[#This Row],[Total emissions (kgCO2e)]]*(1+BuildingsWaterTable[[#This Row],[RSD]]))</f>
        <v/>
      </c>
      <c r="W59" s="159" t="str">
        <f>IF(OR($N59="",BuildingsWaterTable[[#This Row],[RSD]]=""),"",BuildingsWaterTable[[#This Row],[Total emissions (kgCO2e)]]*(1-BuildingsWaterTable[[#This Row],[RSD]]))</f>
        <v/>
      </c>
      <c r="X59" s="191" t="str" cm="1">
        <f t="array" ref="X59">IF(OR($E59="",$I59=""),"",(INDEX('Emission factors'!$K$3:$V$201,MATCH('Buildings - Water'!$E59&amp;$F59,'Emission factors'!$J$3:$J$201&amp;'Emission factors'!$K$3:$K$201,0),MATCH('Buildings - Water'!X$6,'Emission factors'!$K$2:$V$2,0)))*$K59)</f>
        <v/>
      </c>
      <c r="Y59" s="30"/>
      <c r="Z59" s="1" cm="1">
        <f t="array" ref="Z59">IF(OR(ISERROR(B59:X59)),1,0)</f>
        <v>0</v>
      </c>
      <c r="AA59" s="1">
        <f t="shared" si="1"/>
        <v>0</v>
      </c>
    </row>
    <row r="60" spans="1:27" ht="15" outlineLevel="1" thickBot="1" x14ac:dyDescent="0.4">
      <c r="A60" s="319"/>
      <c r="B60" s="216"/>
      <c r="C60" s="216"/>
      <c r="D60" s="233" t="str">
        <f>IFERROR(INDEX(BuildingInformationTable[Site type],MATCH(BuildingsWaterTable[[#This Row],[Site name]],BuildingInformationTable[Site name],0)),"")</f>
        <v/>
      </c>
      <c r="E60" s="312" t="str">
        <f t="shared" si="2"/>
        <v/>
      </c>
      <c r="F60" s="72"/>
      <c r="G60" s="72"/>
      <c r="H60" s="98" t="str">
        <f>IF(G60="","",INDEX(Lists!$BA$4:$BC$31,MATCH(E60,Lists!$AZ$4:$AZ$31,0),MATCH(G60,Lists!$BA$3:$BC$3,0)))</f>
        <v/>
      </c>
      <c r="I60" s="70"/>
      <c r="J60" s="72"/>
      <c r="K60" s="75" t="str" cm="1">
        <f t="array" ref="K60">IF(OR($E60="",$D60="",$I60="",$J60=""),"",IF(J60=L60,I60,(INDEX('Emission factors'!$K$3:$V$201,MATCH(E60&amp;F60,'Emission factors'!$J$3:$J$201&amp;'Emission factors'!$K$3:$K$201,0),MATCH(K$6,'Emission factors'!$K$2:$V$2,0)))*I60))</f>
        <v/>
      </c>
      <c r="L60" s="312" t="str">
        <f>IF(OR($E60="",$D60="",$I60="",$J60=""),"",INDEX('Emission factors'!$K$3:$V$201,MATCH('Buildings - Water'!$E60,'Emission factors'!$J$3:$J$201,0),MATCH($L$6,'Emission factors'!$K$2:$V$2,0)))</f>
        <v/>
      </c>
      <c r="M60" s="313" t="str" cm="1">
        <f t="array" ref="M60">IF(OR(E60="",I60="",BuildingsWaterTable[[#This Row],[Units]]=""),"",INDEX('Emission factors'!$K$3:$V$201,MATCH('Buildings - Water'!$E60&amp;F60,'Emission factors'!$J$3:$J$201&amp;'Emission factors'!$K$3:$K$201,0),MATCH('Buildings - Water'!$M$6,'Emission factors'!$K$2:$V$2,0)))</f>
        <v/>
      </c>
      <c r="N60" s="156" t="str">
        <f>IF(OR(K60="",M60=""),"",SUM(BuildingsWaterTable[[#This Row],[Direct]:[Indirect WTT]]))</f>
        <v/>
      </c>
      <c r="O60" s="71"/>
      <c r="P60" s="190"/>
      <c r="Q60" s="157" t="str" cm="1">
        <f t="array" ref="Q60">IF(OR($E60="",$I60=""),"",(INDEX('Emission factors'!$K$3:$V$201,MATCH('Buildings - Water'!$E60&amp;$F60,'Emission factors'!$J$3:$J$201&amp;'Emission factors'!$K$3:$K$201,0),MATCH('Buildings - Water'!Q$6,'Emission factors'!$K$2:$V$2,0)))*$K60)</f>
        <v/>
      </c>
      <c r="R60" s="157" t="str" cm="1">
        <f t="array" ref="R60">IF(OR($E60="",$I60=""),"",(INDEX('Emission factors'!$K$3:$V$201,MATCH('Buildings - Water'!$E60&amp;$F60,'Emission factors'!$J$3:$J$201&amp;'Emission factors'!$K$3:$K$201,0),MATCH('Buildings - Water'!R$6,'Emission factors'!$K$2:$V$2,0)))*$K60)</f>
        <v/>
      </c>
      <c r="S60" s="157" t="str" cm="1">
        <f t="array" ref="S60">IF(OR($E60="",$I60=""),"",(INDEX('Emission factors'!$K$3:$V$201,MATCH('Buildings - Water'!$E60&amp;$F60,'Emission factors'!$J$3:$J$201&amp;'Emission factors'!$K$3:$K$201,0),MATCH('Buildings - Water'!S$6,'Emission factors'!$K$2:$V$2,0)))*$K60)</f>
        <v/>
      </c>
      <c r="T60" s="157" t="str" cm="1">
        <f t="array" ref="T60">IF(OR($E60="",$I60=""),"",(INDEX('Emission factors'!$K$3:$V$201,MATCH('Buildings - Water'!$E60&amp;$F60,'Emission factors'!$J$3:$J$201&amp;'Emission factors'!$K$3:$K$201,0),MATCH('Buildings - Water'!T$6,'Emission factors'!$K$2:$V$2,0)))*$K60)</f>
        <v/>
      </c>
      <c r="U60" s="157" t="str" cm="1">
        <f t="array" ref="U60">IF(OR($E60="",$I60=""),"",(INDEX('Emission factors'!$K$3:$V$201,MATCH('Buildings - Water'!$E60&amp;$F60,'Emission factors'!$J$3:$J$201&amp;'Emission factors'!$K$3:$K$201,0),MATCH('Buildings - Water'!U$6,'Emission factors'!$K$2:$V$2,0)))*$K60)</f>
        <v/>
      </c>
      <c r="V60" s="158" t="str">
        <f>IF(OR($N60="",BuildingsWaterTable[[#This Row],[RSD]]=""),"",BuildingsWaterTable[[#This Row],[Total emissions (kgCO2e)]]*(1+BuildingsWaterTable[[#This Row],[RSD]]))</f>
        <v/>
      </c>
      <c r="W60" s="159" t="str">
        <f>IF(OR($N60="",BuildingsWaterTable[[#This Row],[RSD]]=""),"",BuildingsWaterTable[[#This Row],[Total emissions (kgCO2e)]]*(1-BuildingsWaterTable[[#This Row],[RSD]]))</f>
        <v/>
      </c>
      <c r="X60" s="191" t="str" cm="1">
        <f t="array" ref="X60">IF(OR($E60="",$I60=""),"",(INDEX('Emission factors'!$K$3:$V$201,MATCH('Buildings - Water'!$E60&amp;$F60,'Emission factors'!$J$3:$J$201&amp;'Emission factors'!$K$3:$K$201,0),MATCH('Buildings - Water'!X$6,'Emission factors'!$K$2:$V$2,0)))*$K60)</f>
        <v/>
      </c>
      <c r="Y60" s="30"/>
      <c r="Z60" s="1" cm="1">
        <f t="array" ref="Z60">IF(OR(ISERROR(B60:X60)),1,0)</f>
        <v>0</v>
      </c>
      <c r="AA60" s="1">
        <f t="shared" si="1"/>
        <v>0</v>
      </c>
    </row>
    <row r="61" spans="1:27" ht="15" outlineLevel="1" thickBot="1" x14ac:dyDescent="0.4">
      <c r="A61" s="319"/>
      <c r="B61" s="216"/>
      <c r="C61" s="216"/>
      <c r="D61" s="233" t="str">
        <f>IFERROR(INDEX(BuildingInformationTable[Site type],MATCH(BuildingsWaterTable[[#This Row],[Site name]],BuildingInformationTable[Site name],0)),"")</f>
        <v/>
      </c>
      <c r="E61" s="312" t="str">
        <f t="shared" si="2"/>
        <v/>
      </c>
      <c r="F61" s="72"/>
      <c r="G61" s="72"/>
      <c r="H61" s="98" t="str">
        <f>IF(G61="","",INDEX(Lists!$BA$4:$BC$31,MATCH(E61,Lists!$AZ$4:$AZ$31,0),MATCH(G61,Lists!$BA$3:$BC$3,0)))</f>
        <v/>
      </c>
      <c r="I61" s="70"/>
      <c r="J61" s="72"/>
      <c r="K61" s="75" t="str" cm="1">
        <f t="array" ref="K61">IF(OR($E61="",$D61="",$I61="",$J61=""),"",IF(J61=L61,I61,(INDEX('Emission factors'!$K$3:$V$201,MATCH(E61&amp;F61,'Emission factors'!$J$3:$J$201&amp;'Emission factors'!$K$3:$K$201,0),MATCH(K$6,'Emission factors'!$K$2:$V$2,0)))*I61))</f>
        <v/>
      </c>
      <c r="L61" s="312" t="str">
        <f>IF(OR($E61="",$D61="",$I61="",$J61=""),"",INDEX('Emission factors'!$K$3:$V$201,MATCH('Buildings - Water'!$E61,'Emission factors'!$J$3:$J$201,0),MATCH($L$6,'Emission factors'!$K$2:$V$2,0)))</f>
        <v/>
      </c>
      <c r="M61" s="313" t="str" cm="1">
        <f t="array" ref="M61">IF(OR(E61="",I61="",BuildingsWaterTable[[#This Row],[Units]]=""),"",INDEX('Emission factors'!$K$3:$V$201,MATCH('Buildings - Water'!$E61&amp;F61,'Emission factors'!$J$3:$J$201&amp;'Emission factors'!$K$3:$K$201,0),MATCH('Buildings - Water'!$M$6,'Emission factors'!$K$2:$V$2,0)))</f>
        <v/>
      </c>
      <c r="N61" s="156" t="str">
        <f>IF(OR(K61="",M61=""),"",SUM(BuildingsWaterTable[[#This Row],[Direct]:[Indirect WTT]]))</f>
        <v/>
      </c>
      <c r="O61" s="71"/>
      <c r="P61" s="190"/>
      <c r="Q61" s="157" t="str" cm="1">
        <f t="array" ref="Q61">IF(OR($E61="",$I61=""),"",(INDEX('Emission factors'!$K$3:$V$201,MATCH('Buildings - Water'!$E61&amp;$F61,'Emission factors'!$J$3:$J$201&amp;'Emission factors'!$K$3:$K$201,0),MATCH('Buildings - Water'!Q$6,'Emission factors'!$K$2:$V$2,0)))*$K61)</f>
        <v/>
      </c>
      <c r="R61" s="157" t="str" cm="1">
        <f t="array" ref="R61">IF(OR($E61="",$I61=""),"",(INDEX('Emission factors'!$K$3:$V$201,MATCH('Buildings - Water'!$E61&amp;$F61,'Emission factors'!$J$3:$J$201&amp;'Emission factors'!$K$3:$K$201,0),MATCH('Buildings - Water'!R$6,'Emission factors'!$K$2:$V$2,0)))*$K61)</f>
        <v/>
      </c>
      <c r="S61" s="157" t="str" cm="1">
        <f t="array" ref="S61">IF(OR($E61="",$I61=""),"",(INDEX('Emission factors'!$K$3:$V$201,MATCH('Buildings - Water'!$E61&amp;$F61,'Emission factors'!$J$3:$J$201&amp;'Emission factors'!$K$3:$K$201,0),MATCH('Buildings - Water'!S$6,'Emission factors'!$K$2:$V$2,0)))*$K61)</f>
        <v/>
      </c>
      <c r="T61" s="157" t="str" cm="1">
        <f t="array" ref="T61">IF(OR($E61="",$I61=""),"",(INDEX('Emission factors'!$K$3:$V$201,MATCH('Buildings - Water'!$E61&amp;$F61,'Emission factors'!$J$3:$J$201&amp;'Emission factors'!$K$3:$K$201,0),MATCH('Buildings - Water'!T$6,'Emission factors'!$K$2:$V$2,0)))*$K61)</f>
        <v/>
      </c>
      <c r="U61" s="157" t="str" cm="1">
        <f t="array" ref="U61">IF(OR($E61="",$I61=""),"",(INDEX('Emission factors'!$K$3:$V$201,MATCH('Buildings - Water'!$E61&amp;$F61,'Emission factors'!$J$3:$J$201&amp;'Emission factors'!$K$3:$K$201,0),MATCH('Buildings - Water'!U$6,'Emission factors'!$K$2:$V$2,0)))*$K61)</f>
        <v/>
      </c>
      <c r="V61" s="158" t="str">
        <f>IF(OR($N61="",BuildingsWaterTable[[#This Row],[RSD]]=""),"",BuildingsWaterTable[[#This Row],[Total emissions (kgCO2e)]]*(1+BuildingsWaterTable[[#This Row],[RSD]]))</f>
        <v/>
      </c>
      <c r="W61" s="159" t="str">
        <f>IF(OR($N61="",BuildingsWaterTable[[#This Row],[RSD]]=""),"",BuildingsWaterTable[[#This Row],[Total emissions (kgCO2e)]]*(1-BuildingsWaterTable[[#This Row],[RSD]]))</f>
        <v/>
      </c>
      <c r="X61" s="191" t="str" cm="1">
        <f t="array" ref="X61">IF(OR($E61="",$I61=""),"",(INDEX('Emission factors'!$K$3:$V$201,MATCH('Buildings - Water'!$E61&amp;$F61,'Emission factors'!$J$3:$J$201&amp;'Emission factors'!$K$3:$K$201,0),MATCH('Buildings - Water'!X$6,'Emission factors'!$K$2:$V$2,0)))*$K61)</f>
        <v/>
      </c>
      <c r="Y61" s="30"/>
      <c r="Z61" s="1" cm="1">
        <f t="array" ref="Z61">IF(OR(ISERROR(B61:X61)),1,0)</f>
        <v>0</v>
      </c>
      <c r="AA61" s="1">
        <f t="shared" si="1"/>
        <v>0</v>
      </c>
    </row>
    <row r="62" spans="1:27" ht="15" outlineLevel="1" thickBot="1" x14ac:dyDescent="0.4">
      <c r="A62" s="319"/>
      <c r="B62" s="216"/>
      <c r="C62" s="216"/>
      <c r="D62" s="233" t="str">
        <f>IFERROR(INDEX(BuildingInformationTable[Site type],MATCH(BuildingsWaterTable[[#This Row],[Site name]],BuildingInformationTable[Site name],0)),"")</f>
        <v/>
      </c>
      <c r="E62" s="312" t="str">
        <f t="shared" si="2"/>
        <v/>
      </c>
      <c r="F62" s="72"/>
      <c r="G62" s="72"/>
      <c r="H62" s="98" t="str">
        <f>IF(G62="","",INDEX(Lists!$BA$4:$BC$31,MATCH(E62,Lists!$AZ$4:$AZ$31,0),MATCH(G62,Lists!$BA$3:$BC$3,0)))</f>
        <v/>
      </c>
      <c r="I62" s="70"/>
      <c r="J62" s="72"/>
      <c r="K62" s="75" t="str" cm="1">
        <f t="array" ref="K62">IF(OR($E62="",$D62="",$I62="",$J62=""),"",IF(J62=L62,I62,(INDEX('Emission factors'!$K$3:$V$201,MATCH(E62&amp;F62,'Emission factors'!$J$3:$J$201&amp;'Emission factors'!$K$3:$K$201,0),MATCH(K$6,'Emission factors'!$K$2:$V$2,0)))*I62))</f>
        <v/>
      </c>
      <c r="L62" s="312" t="str">
        <f>IF(OR($E62="",$D62="",$I62="",$J62=""),"",INDEX('Emission factors'!$K$3:$V$201,MATCH('Buildings - Water'!$E62,'Emission factors'!$J$3:$J$201,0),MATCH($L$6,'Emission factors'!$K$2:$V$2,0)))</f>
        <v/>
      </c>
      <c r="M62" s="313" t="str" cm="1">
        <f t="array" ref="M62">IF(OR(E62="",I62="",BuildingsWaterTable[[#This Row],[Units]]=""),"",INDEX('Emission factors'!$K$3:$V$201,MATCH('Buildings - Water'!$E62&amp;F62,'Emission factors'!$J$3:$J$201&amp;'Emission factors'!$K$3:$K$201,0),MATCH('Buildings - Water'!$M$6,'Emission factors'!$K$2:$V$2,0)))</f>
        <v/>
      </c>
      <c r="N62" s="156" t="str">
        <f>IF(OR(K62="",M62=""),"",SUM(BuildingsWaterTable[[#This Row],[Direct]:[Indirect WTT]]))</f>
        <v/>
      </c>
      <c r="O62" s="71"/>
      <c r="P62" s="190"/>
      <c r="Q62" s="157" t="str" cm="1">
        <f t="array" ref="Q62">IF(OR($E62="",$I62=""),"",(INDEX('Emission factors'!$K$3:$V$201,MATCH('Buildings - Water'!$E62&amp;$F62,'Emission factors'!$J$3:$J$201&amp;'Emission factors'!$K$3:$K$201,0),MATCH('Buildings - Water'!Q$6,'Emission factors'!$K$2:$V$2,0)))*$K62)</f>
        <v/>
      </c>
      <c r="R62" s="157" t="str" cm="1">
        <f t="array" ref="R62">IF(OR($E62="",$I62=""),"",(INDEX('Emission factors'!$K$3:$V$201,MATCH('Buildings - Water'!$E62&amp;$F62,'Emission factors'!$J$3:$J$201&amp;'Emission factors'!$K$3:$K$201,0),MATCH('Buildings - Water'!R$6,'Emission factors'!$K$2:$V$2,0)))*$K62)</f>
        <v/>
      </c>
      <c r="S62" s="157" t="str" cm="1">
        <f t="array" ref="S62">IF(OR($E62="",$I62=""),"",(INDEX('Emission factors'!$K$3:$V$201,MATCH('Buildings - Water'!$E62&amp;$F62,'Emission factors'!$J$3:$J$201&amp;'Emission factors'!$K$3:$K$201,0),MATCH('Buildings - Water'!S$6,'Emission factors'!$K$2:$V$2,0)))*$K62)</f>
        <v/>
      </c>
      <c r="T62" s="157" t="str" cm="1">
        <f t="array" ref="T62">IF(OR($E62="",$I62=""),"",(INDEX('Emission factors'!$K$3:$V$201,MATCH('Buildings - Water'!$E62&amp;$F62,'Emission factors'!$J$3:$J$201&amp;'Emission factors'!$K$3:$K$201,0),MATCH('Buildings - Water'!T$6,'Emission factors'!$K$2:$V$2,0)))*$K62)</f>
        <v/>
      </c>
      <c r="U62" s="157" t="str" cm="1">
        <f t="array" ref="U62">IF(OR($E62="",$I62=""),"",(INDEX('Emission factors'!$K$3:$V$201,MATCH('Buildings - Water'!$E62&amp;$F62,'Emission factors'!$J$3:$J$201&amp;'Emission factors'!$K$3:$K$201,0),MATCH('Buildings - Water'!U$6,'Emission factors'!$K$2:$V$2,0)))*$K62)</f>
        <v/>
      </c>
      <c r="V62" s="158" t="str">
        <f>IF(OR($N62="",BuildingsWaterTable[[#This Row],[RSD]]=""),"",BuildingsWaterTable[[#This Row],[Total emissions (kgCO2e)]]*(1+BuildingsWaterTable[[#This Row],[RSD]]))</f>
        <v/>
      </c>
      <c r="W62" s="159" t="str">
        <f>IF(OR($N62="",BuildingsWaterTable[[#This Row],[RSD]]=""),"",BuildingsWaterTable[[#This Row],[Total emissions (kgCO2e)]]*(1-BuildingsWaterTable[[#This Row],[RSD]]))</f>
        <v/>
      </c>
      <c r="X62" s="191" t="str" cm="1">
        <f t="array" ref="X62">IF(OR($E62="",$I62=""),"",(INDEX('Emission factors'!$K$3:$V$201,MATCH('Buildings - Water'!$E62&amp;$F62,'Emission factors'!$J$3:$J$201&amp;'Emission factors'!$K$3:$K$201,0),MATCH('Buildings - Water'!X$6,'Emission factors'!$K$2:$V$2,0)))*$K62)</f>
        <v/>
      </c>
      <c r="Y62" s="30"/>
      <c r="Z62" s="1" cm="1">
        <f t="array" ref="Z62">IF(OR(ISERROR(B62:X62)),1,0)</f>
        <v>0</v>
      </c>
      <c r="AA62" s="1">
        <f t="shared" si="1"/>
        <v>0</v>
      </c>
    </row>
    <row r="63" spans="1:27" ht="15" outlineLevel="1" thickBot="1" x14ac:dyDescent="0.4">
      <c r="A63" s="319"/>
      <c r="B63" s="216"/>
      <c r="C63" s="216"/>
      <c r="D63" s="233" t="str">
        <f>IFERROR(INDEX(BuildingInformationTable[Site type],MATCH(BuildingsWaterTable[[#This Row],[Site name]],BuildingInformationTable[Site name],0)),"")</f>
        <v/>
      </c>
      <c r="E63" s="312" t="str">
        <f t="shared" si="2"/>
        <v/>
      </c>
      <c r="F63" s="72"/>
      <c r="G63" s="72"/>
      <c r="H63" s="98" t="str">
        <f>IF(G63="","",INDEX(Lists!$BA$4:$BC$31,MATCH(E63,Lists!$AZ$4:$AZ$31,0),MATCH(G63,Lists!$BA$3:$BC$3,0)))</f>
        <v/>
      </c>
      <c r="I63" s="70"/>
      <c r="J63" s="72"/>
      <c r="K63" s="75" t="str" cm="1">
        <f t="array" ref="K63">IF(OR($E63="",$D63="",$I63="",$J63=""),"",IF(J63=L63,I63,(INDEX('Emission factors'!$K$3:$V$201,MATCH(E63&amp;F63,'Emission factors'!$J$3:$J$201&amp;'Emission factors'!$K$3:$K$201,0),MATCH(K$6,'Emission factors'!$K$2:$V$2,0)))*I63))</f>
        <v/>
      </c>
      <c r="L63" s="312" t="str">
        <f>IF(OR($E63="",$D63="",$I63="",$J63=""),"",INDEX('Emission factors'!$K$3:$V$201,MATCH('Buildings - Water'!$E63,'Emission factors'!$J$3:$J$201,0),MATCH($L$6,'Emission factors'!$K$2:$V$2,0)))</f>
        <v/>
      </c>
      <c r="M63" s="313" t="str" cm="1">
        <f t="array" ref="M63">IF(OR(E63="",I63="",BuildingsWaterTable[[#This Row],[Units]]=""),"",INDEX('Emission factors'!$K$3:$V$201,MATCH('Buildings - Water'!$E63&amp;F63,'Emission factors'!$J$3:$J$201&amp;'Emission factors'!$K$3:$K$201,0),MATCH('Buildings - Water'!$M$6,'Emission factors'!$K$2:$V$2,0)))</f>
        <v/>
      </c>
      <c r="N63" s="156" t="str">
        <f>IF(OR(K63="",M63=""),"",SUM(BuildingsWaterTable[[#This Row],[Direct]:[Indirect WTT]]))</f>
        <v/>
      </c>
      <c r="O63" s="71"/>
      <c r="P63" s="190"/>
      <c r="Q63" s="157" t="str" cm="1">
        <f t="array" ref="Q63">IF(OR($E63="",$I63=""),"",(INDEX('Emission factors'!$K$3:$V$201,MATCH('Buildings - Water'!$E63&amp;$F63,'Emission factors'!$J$3:$J$201&amp;'Emission factors'!$K$3:$K$201,0),MATCH('Buildings - Water'!Q$6,'Emission factors'!$K$2:$V$2,0)))*$K63)</f>
        <v/>
      </c>
      <c r="R63" s="157" t="str" cm="1">
        <f t="array" ref="R63">IF(OR($E63="",$I63=""),"",(INDEX('Emission factors'!$K$3:$V$201,MATCH('Buildings - Water'!$E63&amp;$F63,'Emission factors'!$J$3:$J$201&amp;'Emission factors'!$K$3:$K$201,0),MATCH('Buildings - Water'!R$6,'Emission factors'!$K$2:$V$2,0)))*$K63)</f>
        <v/>
      </c>
      <c r="S63" s="157" t="str" cm="1">
        <f t="array" ref="S63">IF(OR($E63="",$I63=""),"",(INDEX('Emission factors'!$K$3:$V$201,MATCH('Buildings - Water'!$E63&amp;$F63,'Emission factors'!$J$3:$J$201&amp;'Emission factors'!$K$3:$K$201,0),MATCH('Buildings - Water'!S$6,'Emission factors'!$K$2:$V$2,0)))*$K63)</f>
        <v/>
      </c>
      <c r="T63" s="157" t="str" cm="1">
        <f t="array" ref="T63">IF(OR($E63="",$I63=""),"",(INDEX('Emission factors'!$K$3:$V$201,MATCH('Buildings - Water'!$E63&amp;$F63,'Emission factors'!$J$3:$J$201&amp;'Emission factors'!$K$3:$K$201,0),MATCH('Buildings - Water'!T$6,'Emission factors'!$K$2:$V$2,0)))*$K63)</f>
        <v/>
      </c>
      <c r="U63" s="157" t="str" cm="1">
        <f t="array" ref="U63">IF(OR($E63="",$I63=""),"",(INDEX('Emission factors'!$K$3:$V$201,MATCH('Buildings - Water'!$E63&amp;$F63,'Emission factors'!$J$3:$J$201&amp;'Emission factors'!$K$3:$K$201,0),MATCH('Buildings - Water'!U$6,'Emission factors'!$K$2:$V$2,0)))*$K63)</f>
        <v/>
      </c>
      <c r="V63" s="158" t="str">
        <f>IF(OR($N63="",BuildingsWaterTable[[#This Row],[RSD]]=""),"",BuildingsWaterTable[[#This Row],[Total emissions (kgCO2e)]]*(1+BuildingsWaterTable[[#This Row],[RSD]]))</f>
        <v/>
      </c>
      <c r="W63" s="159" t="str">
        <f>IF(OR($N63="",BuildingsWaterTable[[#This Row],[RSD]]=""),"",BuildingsWaterTable[[#This Row],[Total emissions (kgCO2e)]]*(1-BuildingsWaterTable[[#This Row],[RSD]]))</f>
        <v/>
      </c>
      <c r="X63" s="191" t="str" cm="1">
        <f t="array" ref="X63">IF(OR($E63="",$I63=""),"",(INDEX('Emission factors'!$K$3:$V$201,MATCH('Buildings - Water'!$E63&amp;$F63,'Emission factors'!$J$3:$J$201&amp;'Emission factors'!$K$3:$K$201,0),MATCH('Buildings - Water'!X$6,'Emission factors'!$K$2:$V$2,0)))*$K63)</f>
        <v/>
      </c>
      <c r="Y63" s="30"/>
      <c r="Z63" s="1" cm="1">
        <f t="array" ref="Z63">IF(OR(ISERROR(B63:X63)),1,0)</f>
        <v>0</v>
      </c>
      <c r="AA63" s="1">
        <f t="shared" si="1"/>
        <v>0</v>
      </c>
    </row>
    <row r="64" spans="1:27" ht="15" outlineLevel="1" thickBot="1" x14ac:dyDescent="0.4">
      <c r="A64" s="319"/>
      <c r="B64" s="216"/>
      <c r="C64" s="216"/>
      <c r="D64" s="233" t="str">
        <f>IFERROR(INDEX(BuildingInformationTable[Site type],MATCH(BuildingsWaterTable[[#This Row],[Site name]],BuildingInformationTable[Site name],0)),"")</f>
        <v/>
      </c>
      <c r="E64" s="312" t="str">
        <f t="shared" si="2"/>
        <v/>
      </c>
      <c r="F64" s="72"/>
      <c r="G64" s="72"/>
      <c r="H64" s="98" t="str">
        <f>IF(G64="","",INDEX(Lists!$BA$4:$BC$31,MATCH(E64,Lists!$AZ$4:$AZ$31,0),MATCH(G64,Lists!$BA$3:$BC$3,0)))</f>
        <v/>
      </c>
      <c r="I64" s="70"/>
      <c r="J64" s="72"/>
      <c r="K64" s="75" t="str" cm="1">
        <f t="array" ref="K64">IF(OR($E64="",$D64="",$I64="",$J64=""),"",IF(J64=L64,I64,(INDEX('Emission factors'!$K$3:$V$201,MATCH(E64&amp;F64,'Emission factors'!$J$3:$J$201&amp;'Emission factors'!$K$3:$K$201,0),MATCH(K$6,'Emission factors'!$K$2:$V$2,0)))*I64))</f>
        <v/>
      </c>
      <c r="L64" s="312" t="str">
        <f>IF(OR($E64="",$D64="",$I64="",$J64=""),"",INDEX('Emission factors'!$K$3:$V$201,MATCH('Buildings - Water'!$E64,'Emission factors'!$J$3:$J$201,0),MATCH($L$6,'Emission factors'!$K$2:$V$2,0)))</f>
        <v/>
      </c>
      <c r="M64" s="313" t="str" cm="1">
        <f t="array" ref="M64">IF(OR(E64="",I64="",BuildingsWaterTable[[#This Row],[Units]]=""),"",INDEX('Emission factors'!$K$3:$V$201,MATCH('Buildings - Water'!$E64&amp;F64,'Emission factors'!$J$3:$J$201&amp;'Emission factors'!$K$3:$K$201,0),MATCH('Buildings - Water'!$M$6,'Emission factors'!$K$2:$V$2,0)))</f>
        <v/>
      </c>
      <c r="N64" s="156" t="str">
        <f>IF(OR(K64="",M64=""),"",SUM(BuildingsWaterTable[[#This Row],[Direct]:[Indirect WTT]]))</f>
        <v/>
      </c>
      <c r="O64" s="71"/>
      <c r="P64" s="190"/>
      <c r="Q64" s="157" t="str" cm="1">
        <f t="array" ref="Q64">IF(OR($E64="",$I64=""),"",(INDEX('Emission factors'!$K$3:$V$201,MATCH('Buildings - Water'!$E64&amp;$F64,'Emission factors'!$J$3:$J$201&amp;'Emission factors'!$K$3:$K$201,0),MATCH('Buildings - Water'!Q$6,'Emission factors'!$K$2:$V$2,0)))*$K64)</f>
        <v/>
      </c>
      <c r="R64" s="157" t="str" cm="1">
        <f t="array" ref="R64">IF(OR($E64="",$I64=""),"",(INDEX('Emission factors'!$K$3:$V$201,MATCH('Buildings - Water'!$E64&amp;$F64,'Emission factors'!$J$3:$J$201&amp;'Emission factors'!$K$3:$K$201,0),MATCH('Buildings - Water'!R$6,'Emission factors'!$K$2:$V$2,0)))*$K64)</f>
        <v/>
      </c>
      <c r="S64" s="157" t="str" cm="1">
        <f t="array" ref="S64">IF(OR($E64="",$I64=""),"",(INDEX('Emission factors'!$K$3:$V$201,MATCH('Buildings - Water'!$E64&amp;$F64,'Emission factors'!$J$3:$J$201&amp;'Emission factors'!$K$3:$K$201,0),MATCH('Buildings - Water'!S$6,'Emission factors'!$K$2:$V$2,0)))*$K64)</f>
        <v/>
      </c>
      <c r="T64" s="157" t="str" cm="1">
        <f t="array" ref="T64">IF(OR($E64="",$I64=""),"",(INDEX('Emission factors'!$K$3:$V$201,MATCH('Buildings - Water'!$E64&amp;$F64,'Emission factors'!$J$3:$J$201&amp;'Emission factors'!$K$3:$K$201,0),MATCH('Buildings - Water'!T$6,'Emission factors'!$K$2:$V$2,0)))*$K64)</f>
        <v/>
      </c>
      <c r="U64" s="157" t="str" cm="1">
        <f t="array" ref="U64">IF(OR($E64="",$I64=""),"",(INDEX('Emission factors'!$K$3:$V$201,MATCH('Buildings - Water'!$E64&amp;$F64,'Emission factors'!$J$3:$J$201&amp;'Emission factors'!$K$3:$K$201,0),MATCH('Buildings - Water'!U$6,'Emission factors'!$K$2:$V$2,0)))*$K64)</f>
        <v/>
      </c>
      <c r="V64" s="158" t="str">
        <f>IF(OR($N64="",BuildingsWaterTable[[#This Row],[RSD]]=""),"",BuildingsWaterTable[[#This Row],[Total emissions (kgCO2e)]]*(1+BuildingsWaterTable[[#This Row],[RSD]]))</f>
        <v/>
      </c>
      <c r="W64" s="159" t="str">
        <f>IF(OR($N64="",BuildingsWaterTable[[#This Row],[RSD]]=""),"",BuildingsWaterTable[[#This Row],[Total emissions (kgCO2e)]]*(1-BuildingsWaterTable[[#This Row],[RSD]]))</f>
        <v/>
      </c>
      <c r="X64" s="191" t="str" cm="1">
        <f t="array" ref="X64">IF(OR($E64="",$I64=""),"",(INDEX('Emission factors'!$K$3:$V$201,MATCH('Buildings - Water'!$E64&amp;$F64,'Emission factors'!$J$3:$J$201&amp;'Emission factors'!$K$3:$K$201,0),MATCH('Buildings - Water'!X$6,'Emission factors'!$K$2:$V$2,0)))*$K64)</f>
        <v/>
      </c>
      <c r="Y64" s="30"/>
      <c r="Z64" s="1" cm="1">
        <f t="array" ref="Z64">IF(OR(ISERROR(B64:X64)),1,0)</f>
        <v>0</v>
      </c>
      <c r="AA64" s="1">
        <f t="shared" si="1"/>
        <v>0</v>
      </c>
    </row>
    <row r="65" spans="1:27" ht="15" outlineLevel="1" thickBot="1" x14ac:dyDescent="0.4">
      <c r="A65" s="319"/>
      <c r="B65" s="216"/>
      <c r="C65" s="216"/>
      <c r="D65" s="233" t="str">
        <f>IFERROR(INDEX(BuildingInformationTable[Site type],MATCH(BuildingsWaterTable[[#This Row],[Site name]],BuildingInformationTable[Site name],0)),"")</f>
        <v/>
      </c>
      <c r="E65" s="312" t="str">
        <f t="shared" si="2"/>
        <v/>
      </c>
      <c r="F65" s="72"/>
      <c r="G65" s="72"/>
      <c r="H65" s="98" t="str">
        <f>IF(G65="","",INDEX(Lists!$BA$4:$BC$31,MATCH(E65,Lists!$AZ$4:$AZ$31,0),MATCH(G65,Lists!$BA$3:$BC$3,0)))</f>
        <v/>
      </c>
      <c r="I65" s="70"/>
      <c r="J65" s="72"/>
      <c r="K65" s="75" t="str" cm="1">
        <f t="array" ref="K65">IF(OR($E65="",$D65="",$I65="",$J65=""),"",IF(J65=L65,I65,(INDEX('Emission factors'!$K$3:$V$201,MATCH(E65&amp;F65,'Emission factors'!$J$3:$J$201&amp;'Emission factors'!$K$3:$K$201,0),MATCH(K$6,'Emission factors'!$K$2:$V$2,0)))*I65))</f>
        <v/>
      </c>
      <c r="L65" s="312" t="str">
        <f>IF(OR($E65="",$D65="",$I65="",$J65=""),"",INDEX('Emission factors'!$K$3:$V$201,MATCH('Buildings - Water'!$E65,'Emission factors'!$J$3:$J$201,0),MATCH($L$6,'Emission factors'!$K$2:$V$2,0)))</f>
        <v/>
      </c>
      <c r="M65" s="313" t="str" cm="1">
        <f t="array" ref="M65">IF(OR(E65="",I65="",BuildingsWaterTable[[#This Row],[Units]]=""),"",INDEX('Emission factors'!$K$3:$V$201,MATCH('Buildings - Water'!$E65&amp;F65,'Emission factors'!$J$3:$J$201&amp;'Emission factors'!$K$3:$K$201,0),MATCH('Buildings - Water'!$M$6,'Emission factors'!$K$2:$V$2,0)))</f>
        <v/>
      </c>
      <c r="N65" s="156" t="str">
        <f>IF(OR(K65="",M65=""),"",SUM(BuildingsWaterTable[[#This Row],[Direct]:[Indirect WTT]]))</f>
        <v/>
      </c>
      <c r="O65" s="71"/>
      <c r="P65" s="190"/>
      <c r="Q65" s="157" t="str" cm="1">
        <f t="array" ref="Q65">IF(OR($E65="",$I65=""),"",(INDEX('Emission factors'!$K$3:$V$201,MATCH('Buildings - Water'!$E65&amp;$F65,'Emission factors'!$J$3:$J$201&amp;'Emission factors'!$K$3:$K$201,0),MATCH('Buildings - Water'!Q$6,'Emission factors'!$K$2:$V$2,0)))*$K65)</f>
        <v/>
      </c>
      <c r="R65" s="157" t="str" cm="1">
        <f t="array" ref="R65">IF(OR($E65="",$I65=""),"",(INDEX('Emission factors'!$K$3:$V$201,MATCH('Buildings - Water'!$E65&amp;$F65,'Emission factors'!$J$3:$J$201&amp;'Emission factors'!$K$3:$K$201,0),MATCH('Buildings - Water'!R$6,'Emission factors'!$K$2:$V$2,0)))*$K65)</f>
        <v/>
      </c>
      <c r="S65" s="157" t="str" cm="1">
        <f t="array" ref="S65">IF(OR($E65="",$I65=""),"",(INDEX('Emission factors'!$K$3:$V$201,MATCH('Buildings - Water'!$E65&amp;$F65,'Emission factors'!$J$3:$J$201&amp;'Emission factors'!$K$3:$K$201,0),MATCH('Buildings - Water'!S$6,'Emission factors'!$K$2:$V$2,0)))*$K65)</f>
        <v/>
      </c>
      <c r="T65" s="157" t="str" cm="1">
        <f t="array" ref="T65">IF(OR($E65="",$I65=""),"",(INDEX('Emission factors'!$K$3:$V$201,MATCH('Buildings - Water'!$E65&amp;$F65,'Emission factors'!$J$3:$J$201&amp;'Emission factors'!$K$3:$K$201,0),MATCH('Buildings - Water'!T$6,'Emission factors'!$K$2:$V$2,0)))*$K65)</f>
        <v/>
      </c>
      <c r="U65" s="157" t="str" cm="1">
        <f t="array" ref="U65">IF(OR($E65="",$I65=""),"",(INDEX('Emission factors'!$K$3:$V$201,MATCH('Buildings - Water'!$E65&amp;$F65,'Emission factors'!$J$3:$J$201&amp;'Emission factors'!$K$3:$K$201,0),MATCH('Buildings - Water'!U$6,'Emission factors'!$K$2:$V$2,0)))*$K65)</f>
        <v/>
      </c>
      <c r="V65" s="158" t="str">
        <f>IF(OR($N65="",BuildingsWaterTable[[#This Row],[RSD]]=""),"",BuildingsWaterTable[[#This Row],[Total emissions (kgCO2e)]]*(1+BuildingsWaterTable[[#This Row],[RSD]]))</f>
        <v/>
      </c>
      <c r="W65" s="159" t="str">
        <f>IF(OR($N65="",BuildingsWaterTable[[#This Row],[RSD]]=""),"",BuildingsWaterTable[[#This Row],[Total emissions (kgCO2e)]]*(1-BuildingsWaterTable[[#This Row],[RSD]]))</f>
        <v/>
      </c>
      <c r="X65" s="191" t="str" cm="1">
        <f t="array" ref="X65">IF(OR($E65="",$I65=""),"",(INDEX('Emission factors'!$K$3:$V$201,MATCH('Buildings - Water'!$E65&amp;$F65,'Emission factors'!$J$3:$J$201&amp;'Emission factors'!$K$3:$K$201,0),MATCH('Buildings - Water'!X$6,'Emission factors'!$K$2:$V$2,0)))*$K65)</f>
        <v/>
      </c>
      <c r="Y65" s="30"/>
      <c r="Z65" s="1" cm="1">
        <f t="array" ref="Z65">IF(OR(ISERROR(B65:X65)),1,0)</f>
        <v>0</v>
      </c>
      <c r="AA65" s="1">
        <f t="shared" si="1"/>
        <v>0</v>
      </c>
    </row>
    <row r="66" spans="1:27" ht="15" outlineLevel="1" thickBot="1" x14ac:dyDescent="0.4">
      <c r="A66" s="319"/>
      <c r="B66" s="216"/>
      <c r="C66" s="216"/>
      <c r="D66" s="233" t="str">
        <f>IFERROR(INDEX(BuildingInformationTable[Site type],MATCH(BuildingsWaterTable[[#This Row],[Site name]],BuildingInformationTable[Site name],0)),"")</f>
        <v/>
      </c>
      <c r="E66" s="312" t="str">
        <f t="shared" si="2"/>
        <v/>
      </c>
      <c r="F66" s="72"/>
      <c r="G66" s="72"/>
      <c r="H66" s="98" t="str">
        <f>IF(G66="","",INDEX(Lists!$BA$4:$BC$31,MATCH(E66,Lists!$AZ$4:$AZ$31,0),MATCH(G66,Lists!$BA$3:$BC$3,0)))</f>
        <v/>
      </c>
      <c r="I66" s="70"/>
      <c r="J66" s="72"/>
      <c r="K66" s="75" t="str" cm="1">
        <f t="array" ref="K66">IF(OR($E66="",$D66="",$I66="",$J66=""),"",IF(J66=L66,I66,(INDEX('Emission factors'!$K$3:$V$201,MATCH(E66&amp;F66,'Emission factors'!$J$3:$J$201&amp;'Emission factors'!$K$3:$K$201,0),MATCH(K$6,'Emission factors'!$K$2:$V$2,0)))*I66))</f>
        <v/>
      </c>
      <c r="L66" s="312" t="str">
        <f>IF(OR($E66="",$D66="",$I66="",$J66=""),"",INDEX('Emission factors'!$K$3:$V$201,MATCH('Buildings - Water'!$E66,'Emission factors'!$J$3:$J$201,0),MATCH($L$6,'Emission factors'!$K$2:$V$2,0)))</f>
        <v/>
      </c>
      <c r="M66" s="313" t="str" cm="1">
        <f t="array" ref="M66">IF(OR(E66="",I66="",BuildingsWaterTable[[#This Row],[Units]]=""),"",INDEX('Emission factors'!$K$3:$V$201,MATCH('Buildings - Water'!$E66&amp;F66,'Emission factors'!$J$3:$J$201&amp;'Emission factors'!$K$3:$K$201,0),MATCH('Buildings - Water'!$M$6,'Emission factors'!$K$2:$V$2,0)))</f>
        <v/>
      </c>
      <c r="N66" s="156" t="str">
        <f>IF(OR(K66="",M66=""),"",SUM(BuildingsWaterTable[[#This Row],[Direct]:[Indirect WTT]]))</f>
        <v/>
      </c>
      <c r="O66" s="71"/>
      <c r="P66" s="190"/>
      <c r="Q66" s="157" t="str" cm="1">
        <f t="array" ref="Q66">IF(OR($E66="",$I66=""),"",(INDEX('Emission factors'!$K$3:$V$201,MATCH('Buildings - Water'!$E66&amp;$F66,'Emission factors'!$J$3:$J$201&amp;'Emission factors'!$K$3:$K$201,0),MATCH('Buildings - Water'!Q$6,'Emission factors'!$K$2:$V$2,0)))*$K66)</f>
        <v/>
      </c>
      <c r="R66" s="157" t="str" cm="1">
        <f t="array" ref="R66">IF(OR($E66="",$I66=""),"",(INDEX('Emission factors'!$K$3:$V$201,MATCH('Buildings - Water'!$E66&amp;$F66,'Emission factors'!$J$3:$J$201&amp;'Emission factors'!$K$3:$K$201,0),MATCH('Buildings - Water'!R$6,'Emission factors'!$K$2:$V$2,0)))*$K66)</f>
        <v/>
      </c>
      <c r="S66" s="157" t="str" cm="1">
        <f t="array" ref="S66">IF(OR($E66="",$I66=""),"",(INDEX('Emission factors'!$K$3:$V$201,MATCH('Buildings - Water'!$E66&amp;$F66,'Emission factors'!$J$3:$J$201&amp;'Emission factors'!$K$3:$K$201,0),MATCH('Buildings - Water'!S$6,'Emission factors'!$K$2:$V$2,0)))*$K66)</f>
        <v/>
      </c>
      <c r="T66" s="157" t="str" cm="1">
        <f t="array" ref="T66">IF(OR($E66="",$I66=""),"",(INDEX('Emission factors'!$K$3:$V$201,MATCH('Buildings - Water'!$E66&amp;$F66,'Emission factors'!$J$3:$J$201&amp;'Emission factors'!$K$3:$K$201,0),MATCH('Buildings - Water'!T$6,'Emission factors'!$K$2:$V$2,0)))*$K66)</f>
        <v/>
      </c>
      <c r="U66" s="157" t="str" cm="1">
        <f t="array" ref="U66">IF(OR($E66="",$I66=""),"",(INDEX('Emission factors'!$K$3:$V$201,MATCH('Buildings - Water'!$E66&amp;$F66,'Emission factors'!$J$3:$J$201&amp;'Emission factors'!$K$3:$K$201,0),MATCH('Buildings - Water'!U$6,'Emission factors'!$K$2:$V$2,0)))*$K66)</f>
        <v/>
      </c>
      <c r="V66" s="158" t="str">
        <f>IF(OR($N66="",BuildingsWaterTable[[#This Row],[RSD]]=""),"",BuildingsWaterTable[[#This Row],[Total emissions (kgCO2e)]]*(1+BuildingsWaterTable[[#This Row],[RSD]]))</f>
        <v/>
      </c>
      <c r="W66" s="159" t="str">
        <f>IF(OR($N66="",BuildingsWaterTable[[#This Row],[RSD]]=""),"",BuildingsWaterTable[[#This Row],[Total emissions (kgCO2e)]]*(1-BuildingsWaterTable[[#This Row],[RSD]]))</f>
        <v/>
      </c>
      <c r="X66" s="191" t="str" cm="1">
        <f t="array" ref="X66">IF(OR($E66="",$I66=""),"",(INDEX('Emission factors'!$K$3:$V$201,MATCH('Buildings - Water'!$E66&amp;$F66,'Emission factors'!$J$3:$J$201&amp;'Emission factors'!$K$3:$K$201,0),MATCH('Buildings - Water'!X$6,'Emission factors'!$K$2:$V$2,0)))*$K66)</f>
        <v/>
      </c>
      <c r="Y66" s="30"/>
      <c r="Z66" s="1" cm="1">
        <f t="array" ref="Z66">IF(OR(ISERROR(B66:X66)),1,0)</f>
        <v>0</v>
      </c>
      <c r="AA66" s="1">
        <f t="shared" si="1"/>
        <v>0</v>
      </c>
    </row>
    <row r="67" spans="1:27" ht="15" outlineLevel="1" thickBot="1" x14ac:dyDescent="0.4">
      <c r="A67" s="319"/>
      <c r="B67" s="216"/>
      <c r="C67" s="216"/>
      <c r="D67" s="233" t="str">
        <f>IFERROR(INDEX(BuildingInformationTable[Site type],MATCH(BuildingsWaterTable[[#This Row],[Site name]],BuildingInformationTable[Site name],0)),"")</f>
        <v/>
      </c>
      <c r="E67" s="312" t="str">
        <f t="shared" si="2"/>
        <v/>
      </c>
      <c r="F67" s="72"/>
      <c r="G67" s="72"/>
      <c r="H67" s="98" t="str">
        <f>IF(G67="","",INDEX(Lists!$BA$4:$BC$31,MATCH(E67,Lists!$AZ$4:$AZ$31,0),MATCH(G67,Lists!$BA$3:$BC$3,0)))</f>
        <v/>
      </c>
      <c r="I67" s="70"/>
      <c r="J67" s="72"/>
      <c r="K67" s="75" t="str" cm="1">
        <f t="array" ref="K67">IF(OR($E67="",$D67="",$I67="",$J67=""),"",IF(J67=L67,I67,(INDEX('Emission factors'!$K$3:$V$201,MATCH(E67&amp;F67,'Emission factors'!$J$3:$J$201&amp;'Emission factors'!$K$3:$K$201,0),MATCH(K$6,'Emission factors'!$K$2:$V$2,0)))*I67))</f>
        <v/>
      </c>
      <c r="L67" s="312" t="str">
        <f>IF(OR($E67="",$D67="",$I67="",$J67=""),"",INDEX('Emission factors'!$K$3:$V$201,MATCH('Buildings - Water'!$E67,'Emission factors'!$J$3:$J$201,0),MATCH($L$6,'Emission factors'!$K$2:$V$2,0)))</f>
        <v/>
      </c>
      <c r="M67" s="313" t="str" cm="1">
        <f t="array" ref="M67">IF(OR(E67="",I67="",BuildingsWaterTable[[#This Row],[Units]]=""),"",INDEX('Emission factors'!$K$3:$V$201,MATCH('Buildings - Water'!$E67&amp;F67,'Emission factors'!$J$3:$J$201&amp;'Emission factors'!$K$3:$K$201,0),MATCH('Buildings - Water'!$M$6,'Emission factors'!$K$2:$V$2,0)))</f>
        <v/>
      </c>
      <c r="N67" s="156" t="str">
        <f>IF(OR(K67="",M67=""),"",SUM(BuildingsWaterTable[[#This Row],[Direct]:[Indirect WTT]]))</f>
        <v/>
      </c>
      <c r="O67" s="71"/>
      <c r="P67" s="190"/>
      <c r="Q67" s="157" t="str" cm="1">
        <f t="array" ref="Q67">IF(OR($E67="",$I67=""),"",(INDEX('Emission factors'!$K$3:$V$201,MATCH('Buildings - Water'!$E67&amp;$F67,'Emission factors'!$J$3:$J$201&amp;'Emission factors'!$K$3:$K$201,0),MATCH('Buildings - Water'!Q$6,'Emission factors'!$K$2:$V$2,0)))*$K67)</f>
        <v/>
      </c>
      <c r="R67" s="157" t="str" cm="1">
        <f t="array" ref="R67">IF(OR($E67="",$I67=""),"",(INDEX('Emission factors'!$K$3:$V$201,MATCH('Buildings - Water'!$E67&amp;$F67,'Emission factors'!$J$3:$J$201&amp;'Emission factors'!$K$3:$K$201,0),MATCH('Buildings - Water'!R$6,'Emission factors'!$K$2:$V$2,0)))*$K67)</f>
        <v/>
      </c>
      <c r="S67" s="157" t="str" cm="1">
        <f t="array" ref="S67">IF(OR($E67="",$I67=""),"",(INDEX('Emission factors'!$K$3:$V$201,MATCH('Buildings - Water'!$E67&amp;$F67,'Emission factors'!$J$3:$J$201&amp;'Emission factors'!$K$3:$K$201,0),MATCH('Buildings - Water'!S$6,'Emission factors'!$K$2:$V$2,0)))*$K67)</f>
        <v/>
      </c>
      <c r="T67" s="157" t="str" cm="1">
        <f t="array" ref="T67">IF(OR($E67="",$I67=""),"",(INDEX('Emission factors'!$K$3:$V$201,MATCH('Buildings - Water'!$E67&amp;$F67,'Emission factors'!$J$3:$J$201&amp;'Emission factors'!$K$3:$K$201,0),MATCH('Buildings - Water'!T$6,'Emission factors'!$K$2:$V$2,0)))*$K67)</f>
        <v/>
      </c>
      <c r="U67" s="157" t="str" cm="1">
        <f t="array" ref="U67">IF(OR($E67="",$I67=""),"",(INDEX('Emission factors'!$K$3:$V$201,MATCH('Buildings - Water'!$E67&amp;$F67,'Emission factors'!$J$3:$J$201&amp;'Emission factors'!$K$3:$K$201,0),MATCH('Buildings - Water'!U$6,'Emission factors'!$K$2:$V$2,0)))*$K67)</f>
        <v/>
      </c>
      <c r="V67" s="158" t="str">
        <f>IF(OR($N67="",BuildingsWaterTable[[#This Row],[RSD]]=""),"",BuildingsWaterTable[[#This Row],[Total emissions (kgCO2e)]]*(1+BuildingsWaterTable[[#This Row],[RSD]]))</f>
        <v/>
      </c>
      <c r="W67" s="159" t="str">
        <f>IF(OR($N67="",BuildingsWaterTable[[#This Row],[RSD]]=""),"",BuildingsWaterTable[[#This Row],[Total emissions (kgCO2e)]]*(1-BuildingsWaterTable[[#This Row],[RSD]]))</f>
        <v/>
      </c>
      <c r="X67" s="191" t="str" cm="1">
        <f t="array" ref="X67">IF(OR($E67="",$I67=""),"",(INDEX('Emission factors'!$K$3:$V$201,MATCH('Buildings - Water'!$E67&amp;$F67,'Emission factors'!$J$3:$J$201&amp;'Emission factors'!$K$3:$K$201,0),MATCH('Buildings - Water'!X$6,'Emission factors'!$K$2:$V$2,0)))*$K67)</f>
        <v/>
      </c>
      <c r="Y67" s="30"/>
      <c r="Z67" s="1" cm="1">
        <f t="array" ref="Z67">IF(OR(ISERROR(B67:X67)),1,0)</f>
        <v>0</v>
      </c>
      <c r="AA67" s="1">
        <f t="shared" si="1"/>
        <v>0</v>
      </c>
    </row>
    <row r="68" spans="1:27" ht="15" outlineLevel="1" thickBot="1" x14ac:dyDescent="0.4">
      <c r="A68" s="319"/>
      <c r="B68" s="216"/>
      <c r="C68" s="216"/>
      <c r="D68" s="233" t="str">
        <f>IFERROR(INDEX(BuildingInformationTable[Site type],MATCH(BuildingsWaterTable[[#This Row],[Site name]],BuildingInformationTable[Site name],0)),"")</f>
        <v/>
      </c>
      <c r="E68" s="312" t="str">
        <f t="shared" si="2"/>
        <v/>
      </c>
      <c r="F68" s="72"/>
      <c r="G68" s="72"/>
      <c r="H68" s="98" t="str">
        <f>IF(G68="","",INDEX(Lists!$BA$4:$BC$31,MATCH(E68,Lists!$AZ$4:$AZ$31,0),MATCH(G68,Lists!$BA$3:$BC$3,0)))</f>
        <v/>
      </c>
      <c r="I68" s="70"/>
      <c r="J68" s="72"/>
      <c r="K68" s="75" t="str" cm="1">
        <f t="array" ref="K68">IF(OR($E68="",$D68="",$I68="",$J68=""),"",IF(J68=L68,I68,(INDEX('Emission factors'!$K$3:$V$201,MATCH(E68&amp;F68,'Emission factors'!$J$3:$J$201&amp;'Emission factors'!$K$3:$K$201,0),MATCH(K$6,'Emission factors'!$K$2:$V$2,0)))*I68))</f>
        <v/>
      </c>
      <c r="L68" s="312" t="str">
        <f>IF(OR($E68="",$D68="",$I68="",$J68=""),"",INDEX('Emission factors'!$K$3:$V$201,MATCH('Buildings - Water'!$E68,'Emission factors'!$J$3:$J$201,0),MATCH($L$6,'Emission factors'!$K$2:$V$2,0)))</f>
        <v/>
      </c>
      <c r="M68" s="313" t="str" cm="1">
        <f t="array" ref="M68">IF(OR(E68="",I68="",BuildingsWaterTable[[#This Row],[Units]]=""),"",INDEX('Emission factors'!$K$3:$V$201,MATCH('Buildings - Water'!$E68&amp;F68,'Emission factors'!$J$3:$J$201&amp;'Emission factors'!$K$3:$K$201,0),MATCH('Buildings - Water'!$M$6,'Emission factors'!$K$2:$V$2,0)))</f>
        <v/>
      </c>
      <c r="N68" s="156" t="str">
        <f>IF(OR(K68="",M68=""),"",SUM(BuildingsWaterTable[[#This Row],[Direct]:[Indirect WTT]]))</f>
        <v/>
      </c>
      <c r="O68" s="71"/>
      <c r="P68" s="190"/>
      <c r="Q68" s="157" t="str" cm="1">
        <f t="array" ref="Q68">IF(OR($E68="",$I68=""),"",(INDEX('Emission factors'!$K$3:$V$201,MATCH('Buildings - Water'!$E68&amp;$F68,'Emission factors'!$J$3:$J$201&amp;'Emission factors'!$K$3:$K$201,0),MATCH('Buildings - Water'!Q$6,'Emission factors'!$K$2:$V$2,0)))*$K68)</f>
        <v/>
      </c>
      <c r="R68" s="157" t="str" cm="1">
        <f t="array" ref="R68">IF(OR($E68="",$I68=""),"",(INDEX('Emission factors'!$K$3:$V$201,MATCH('Buildings - Water'!$E68&amp;$F68,'Emission factors'!$J$3:$J$201&amp;'Emission factors'!$K$3:$K$201,0),MATCH('Buildings - Water'!R$6,'Emission factors'!$K$2:$V$2,0)))*$K68)</f>
        <v/>
      </c>
      <c r="S68" s="157" t="str" cm="1">
        <f t="array" ref="S68">IF(OR($E68="",$I68=""),"",(INDEX('Emission factors'!$K$3:$V$201,MATCH('Buildings - Water'!$E68&amp;$F68,'Emission factors'!$J$3:$J$201&amp;'Emission factors'!$K$3:$K$201,0),MATCH('Buildings - Water'!S$6,'Emission factors'!$K$2:$V$2,0)))*$K68)</f>
        <v/>
      </c>
      <c r="T68" s="157" t="str" cm="1">
        <f t="array" ref="T68">IF(OR($E68="",$I68=""),"",(INDEX('Emission factors'!$K$3:$V$201,MATCH('Buildings - Water'!$E68&amp;$F68,'Emission factors'!$J$3:$J$201&amp;'Emission factors'!$K$3:$K$201,0),MATCH('Buildings - Water'!T$6,'Emission factors'!$K$2:$V$2,0)))*$K68)</f>
        <v/>
      </c>
      <c r="U68" s="157" t="str" cm="1">
        <f t="array" ref="U68">IF(OR($E68="",$I68=""),"",(INDEX('Emission factors'!$K$3:$V$201,MATCH('Buildings - Water'!$E68&amp;$F68,'Emission factors'!$J$3:$J$201&amp;'Emission factors'!$K$3:$K$201,0),MATCH('Buildings - Water'!U$6,'Emission factors'!$K$2:$V$2,0)))*$K68)</f>
        <v/>
      </c>
      <c r="V68" s="158" t="str">
        <f>IF(OR($N68="",BuildingsWaterTable[[#This Row],[RSD]]=""),"",BuildingsWaterTable[[#This Row],[Total emissions (kgCO2e)]]*(1+BuildingsWaterTable[[#This Row],[RSD]]))</f>
        <v/>
      </c>
      <c r="W68" s="159" t="str">
        <f>IF(OR($N68="",BuildingsWaterTable[[#This Row],[RSD]]=""),"",BuildingsWaterTable[[#This Row],[Total emissions (kgCO2e)]]*(1-BuildingsWaterTable[[#This Row],[RSD]]))</f>
        <v/>
      </c>
      <c r="X68" s="191" t="str" cm="1">
        <f t="array" ref="X68">IF(OR($E68="",$I68=""),"",(INDEX('Emission factors'!$K$3:$V$201,MATCH('Buildings - Water'!$E68&amp;$F68,'Emission factors'!$J$3:$J$201&amp;'Emission factors'!$K$3:$K$201,0),MATCH('Buildings - Water'!X$6,'Emission factors'!$K$2:$V$2,0)))*$K68)</f>
        <v/>
      </c>
      <c r="Y68" s="30"/>
      <c r="Z68" s="1" cm="1">
        <f t="array" ref="Z68">IF(OR(ISERROR(B68:X68)),1,0)</f>
        <v>0</v>
      </c>
      <c r="AA68" s="1">
        <f t="shared" si="1"/>
        <v>0</v>
      </c>
    </row>
    <row r="69" spans="1:27" ht="15" outlineLevel="1" thickBot="1" x14ac:dyDescent="0.4">
      <c r="A69" s="319"/>
      <c r="B69" s="216"/>
      <c r="C69" s="216"/>
      <c r="D69" s="233" t="str">
        <f>IFERROR(INDEX(BuildingInformationTable[Site type],MATCH(BuildingsWaterTable[[#This Row],[Site name]],BuildingInformationTable[Site name],0)),"")</f>
        <v/>
      </c>
      <c r="E69" s="312" t="str">
        <f t="shared" si="2"/>
        <v/>
      </c>
      <c r="F69" s="72"/>
      <c r="G69" s="72"/>
      <c r="H69" s="98" t="str">
        <f>IF(G69="","",INDEX(Lists!$BA$4:$BC$31,MATCH(E69,Lists!$AZ$4:$AZ$31,0),MATCH(G69,Lists!$BA$3:$BC$3,0)))</f>
        <v/>
      </c>
      <c r="I69" s="70"/>
      <c r="J69" s="72"/>
      <c r="K69" s="75" t="str" cm="1">
        <f t="array" ref="K69">IF(OR($E69="",$D69="",$I69="",$J69=""),"",IF(J69=L69,I69,(INDEX('Emission factors'!$K$3:$V$201,MATCH(E69&amp;F69,'Emission factors'!$J$3:$J$201&amp;'Emission factors'!$K$3:$K$201,0),MATCH(K$6,'Emission factors'!$K$2:$V$2,0)))*I69))</f>
        <v/>
      </c>
      <c r="L69" s="312" t="str">
        <f>IF(OR($E69="",$D69="",$I69="",$J69=""),"",INDEX('Emission factors'!$K$3:$V$201,MATCH('Buildings - Water'!$E69,'Emission factors'!$J$3:$J$201,0),MATCH($L$6,'Emission factors'!$K$2:$V$2,0)))</f>
        <v/>
      </c>
      <c r="M69" s="313" t="str" cm="1">
        <f t="array" ref="M69">IF(OR(E69="",I69="",BuildingsWaterTable[[#This Row],[Units]]=""),"",INDEX('Emission factors'!$K$3:$V$201,MATCH('Buildings - Water'!$E69&amp;F69,'Emission factors'!$J$3:$J$201&amp;'Emission factors'!$K$3:$K$201,0),MATCH('Buildings - Water'!$M$6,'Emission factors'!$K$2:$V$2,0)))</f>
        <v/>
      </c>
      <c r="N69" s="156" t="str">
        <f>IF(OR(K69="",M69=""),"",SUM(BuildingsWaterTable[[#This Row],[Direct]:[Indirect WTT]]))</f>
        <v/>
      </c>
      <c r="O69" s="71"/>
      <c r="P69" s="190"/>
      <c r="Q69" s="157" t="str" cm="1">
        <f t="array" ref="Q69">IF(OR($E69="",$I69=""),"",(INDEX('Emission factors'!$K$3:$V$201,MATCH('Buildings - Water'!$E69&amp;$F69,'Emission factors'!$J$3:$J$201&amp;'Emission factors'!$K$3:$K$201,0),MATCH('Buildings - Water'!Q$6,'Emission factors'!$K$2:$V$2,0)))*$K69)</f>
        <v/>
      </c>
      <c r="R69" s="157" t="str" cm="1">
        <f t="array" ref="R69">IF(OR($E69="",$I69=""),"",(INDEX('Emission factors'!$K$3:$V$201,MATCH('Buildings - Water'!$E69&amp;$F69,'Emission factors'!$J$3:$J$201&amp;'Emission factors'!$K$3:$K$201,0),MATCH('Buildings - Water'!R$6,'Emission factors'!$K$2:$V$2,0)))*$K69)</f>
        <v/>
      </c>
      <c r="S69" s="157" t="str" cm="1">
        <f t="array" ref="S69">IF(OR($E69="",$I69=""),"",(INDEX('Emission factors'!$K$3:$V$201,MATCH('Buildings - Water'!$E69&amp;$F69,'Emission factors'!$J$3:$J$201&amp;'Emission factors'!$K$3:$K$201,0),MATCH('Buildings - Water'!S$6,'Emission factors'!$K$2:$V$2,0)))*$K69)</f>
        <v/>
      </c>
      <c r="T69" s="157" t="str" cm="1">
        <f t="array" ref="T69">IF(OR($E69="",$I69=""),"",(INDEX('Emission factors'!$K$3:$V$201,MATCH('Buildings - Water'!$E69&amp;$F69,'Emission factors'!$J$3:$J$201&amp;'Emission factors'!$K$3:$K$201,0),MATCH('Buildings - Water'!T$6,'Emission factors'!$K$2:$V$2,0)))*$K69)</f>
        <v/>
      </c>
      <c r="U69" s="157" t="str" cm="1">
        <f t="array" ref="U69">IF(OR($E69="",$I69=""),"",(INDEX('Emission factors'!$K$3:$V$201,MATCH('Buildings - Water'!$E69&amp;$F69,'Emission factors'!$J$3:$J$201&amp;'Emission factors'!$K$3:$K$201,0),MATCH('Buildings - Water'!U$6,'Emission factors'!$K$2:$V$2,0)))*$K69)</f>
        <v/>
      </c>
      <c r="V69" s="158" t="str">
        <f>IF(OR($N69="",BuildingsWaterTable[[#This Row],[RSD]]=""),"",BuildingsWaterTable[[#This Row],[Total emissions (kgCO2e)]]*(1+BuildingsWaterTable[[#This Row],[RSD]]))</f>
        <v/>
      </c>
      <c r="W69" s="159" t="str">
        <f>IF(OR($N69="",BuildingsWaterTable[[#This Row],[RSD]]=""),"",BuildingsWaterTable[[#This Row],[Total emissions (kgCO2e)]]*(1-BuildingsWaterTable[[#This Row],[RSD]]))</f>
        <v/>
      </c>
      <c r="X69" s="191" t="str" cm="1">
        <f t="array" ref="X69">IF(OR($E69="",$I69=""),"",(INDEX('Emission factors'!$K$3:$V$201,MATCH('Buildings - Water'!$E69&amp;$F69,'Emission factors'!$J$3:$J$201&amp;'Emission factors'!$K$3:$K$201,0),MATCH('Buildings - Water'!X$6,'Emission factors'!$K$2:$V$2,0)))*$K69)</f>
        <v/>
      </c>
      <c r="Y69" s="30"/>
      <c r="Z69" s="1" cm="1">
        <f t="array" ref="Z69">IF(OR(ISERROR(B69:X69)),1,0)</f>
        <v>0</v>
      </c>
      <c r="AA69" s="1">
        <f t="shared" si="1"/>
        <v>0</v>
      </c>
    </row>
    <row r="70" spans="1:27" ht="15" outlineLevel="1" thickBot="1" x14ac:dyDescent="0.4">
      <c r="A70" s="319"/>
      <c r="B70" s="216"/>
      <c r="C70" s="216"/>
      <c r="D70" s="233" t="str">
        <f>IFERROR(INDEX(BuildingInformationTable[Site type],MATCH(BuildingsWaterTable[[#This Row],[Site name]],BuildingInformationTable[Site name],0)),"")</f>
        <v/>
      </c>
      <c r="E70" s="312" t="str">
        <f t="shared" si="2"/>
        <v/>
      </c>
      <c r="F70" s="72"/>
      <c r="G70" s="72"/>
      <c r="H70" s="98" t="str">
        <f>IF(G70="","",INDEX(Lists!$BA$4:$BC$31,MATCH(E70,Lists!$AZ$4:$AZ$31,0),MATCH(G70,Lists!$BA$3:$BC$3,0)))</f>
        <v/>
      </c>
      <c r="I70" s="70"/>
      <c r="J70" s="72"/>
      <c r="K70" s="75" t="str" cm="1">
        <f t="array" ref="K70">IF(OR($E70="",$D70="",$I70="",$J70=""),"",IF(J70=L70,I70,(INDEX('Emission factors'!$K$3:$V$201,MATCH(E70&amp;F70,'Emission factors'!$J$3:$J$201&amp;'Emission factors'!$K$3:$K$201,0),MATCH(K$6,'Emission factors'!$K$2:$V$2,0)))*I70))</f>
        <v/>
      </c>
      <c r="L70" s="312" t="str">
        <f>IF(OR($E70="",$D70="",$I70="",$J70=""),"",INDEX('Emission factors'!$K$3:$V$201,MATCH('Buildings - Water'!$E70,'Emission factors'!$J$3:$J$201,0),MATCH($L$6,'Emission factors'!$K$2:$V$2,0)))</f>
        <v/>
      </c>
      <c r="M70" s="313" t="str" cm="1">
        <f t="array" ref="M70">IF(OR(E70="",I70="",BuildingsWaterTable[[#This Row],[Units]]=""),"",INDEX('Emission factors'!$K$3:$V$201,MATCH('Buildings - Water'!$E70&amp;F70,'Emission factors'!$J$3:$J$201&amp;'Emission factors'!$K$3:$K$201,0),MATCH('Buildings - Water'!$M$6,'Emission factors'!$K$2:$V$2,0)))</f>
        <v/>
      </c>
      <c r="N70" s="156" t="str">
        <f>IF(OR(K70="",M70=""),"",SUM(BuildingsWaterTable[[#This Row],[Direct]:[Indirect WTT]]))</f>
        <v/>
      </c>
      <c r="O70" s="71"/>
      <c r="P70" s="190"/>
      <c r="Q70" s="157" t="str" cm="1">
        <f t="array" ref="Q70">IF(OR($E70="",$I70=""),"",(INDEX('Emission factors'!$K$3:$V$201,MATCH('Buildings - Water'!$E70&amp;$F70,'Emission factors'!$J$3:$J$201&amp;'Emission factors'!$K$3:$K$201,0),MATCH('Buildings - Water'!Q$6,'Emission factors'!$K$2:$V$2,0)))*$K70)</f>
        <v/>
      </c>
      <c r="R70" s="157" t="str" cm="1">
        <f t="array" ref="R70">IF(OR($E70="",$I70=""),"",(INDEX('Emission factors'!$K$3:$V$201,MATCH('Buildings - Water'!$E70&amp;$F70,'Emission factors'!$J$3:$J$201&amp;'Emission factors'!$K$3:$K$201,0),MATCH('Buildings - Water'!R$6,'Emission factors'!$K$2:$V$2,0)))*$K70)</f>
        <v/>
      </c>
      <c r="S70" s="157" t="str" cm="1">
        <f t="array" ref="S70">IF(OR($E70="",$I70=""),"",(INDEX('Emission factors'!$K$3:$V$201,MATCH('Buildings - Water'!$E70&amp;$F70,'Emission factors'!$J$3:$J$201&amp;'Emission factors'!$K$3:$K$201,0),MATCH('Buildings - Water'!S$6,'Emission factors'!$K$2:$V$2,0)))*$K70)</f>
        <v/>
      </c>
      <c r="T70" s="157" t="str" cm="1">
        <f t="array" ref="T70">IF(OR($E70="",$I70=""),"",(INDEX('Emission factors'!$K$3:$V$201,MATCH('Buildings - Water'!$E70&amp;$F70,'Emission factors'!$J$3:$J$201&amp;'Emission factors'!$K$3:$K$201,0),MATCH('Buildings - Water'!T$6,'Emission factors'!$K$2:$V$2,0)))*$K70)</f>
        <v/>
      </c>
      <c r="U70" s="157" t="str" cm="1">
        <f t="array" ref="U70">IF(OR($E70="",$I70=""),"",(INDEX('Emission factors'!$K$3:$V$201,MATCH('Buildings - Water'!$E70&amp;$F70,'Emission factors'!$J$3:$J$201&amp;'Emission factors'!$K$3:$K$201,0),MATCH('Buildings - Water'!U$6,'Emission factors'!$K$2:$V$2,0)))*$K70)</f>
        <v/>
      </c>
      <c r="V70" s="158" t="str">
        <f>IF(OR($N70="",BuildingsWaterTable[[#This Row],[RSD]]=""),"",BuildingsWaterTable[[#This Row],[Total emissions (kgCO2e)]]*(1+BuildingsWaterTable[[#This Row],[RSD]]))</f>
        <v/>
      </c>
      <c r="W70" s="159" t="str">
        <f>IF(OR($N70="",BuildingsWaterTable[[#This Row],[RSD]]=""),"",BuildingsWaterTable[[#This Row],[Total emissions (kgCO2e)]]*(1-BuildingsWaterTable[[#This Row],[RSD]]))</f>
        <v/>
      </c>
      <c r="X70" s="191" t="str" cm="1">
        <f t="array" ref="X70">IF(OR($E70="",$I70=""),"",(INDEX('Emission factors'!$K$3:$V$201,MATCH('Buildings - Water'!$E70&amp;$F70,'Emission factors'!$J$3:$J$201&amp;'Emission factors'!$K$3:$K$201,0),MATCH('Buildings - Water'!X$6,'Emission factors'!$K$2:$V$2,0)))*$K70)</f>
        <v/>
      </c>
      <c r="Y70" s="30"/>
      <c r="Z70" s="1" cm="1">
        <f t="array" ref="Z70">IF(OR(ISERROR(B70:X70)),1,0)</f>
        <v>0</v>
      </c>
      <c r="AA70" s="1">
        <f t="shared" si="1"/>
        <v>0</v>
      </c>
    </row>
    <row r="71" spans="1:27" ht="15" outlineLevel="1" thickBot="1" x14ac:dyDescent="0.4">
      <c r="A71" s="319"/>
      <c r="B71" s="216"/>
      <c r="C71" s="216"/>
      <c r="D71" s="233" t="str">
        <f>IFERROR(INDEX(BuildingInformationTable[Site type],MATCH(BuildingsWaterTable[[#This Row],[Site name]],BuildingInformationTable[Site name],0)),"")</f>
        <v/>
      </c>
      <c r="E71" s="312" t="str">
        <f t="shared" ref="E71:E102" si="3">IF(B71="", "", "Water")</f>
        <v/>
      </c>
      <c r="F71" s="72"/>
      <c r="G71" s="72"/>
      <c r="H71" s="98" t="str">
        <f>IF(G71="","",INDEX(Lists!$BA$4:$BC$31,MATCH(E71,Lists!$AZ$4:$AZ$31,0),MATCH(G71,Lists!$BA$3:$BC$3,0)))</f>
        <v/>
      </c>
      <c r="I71" s="70"/>
      <c r="J71" s="72"/>
      <c r="K71" s="75" t="str" cm="1">
        <f t="array" ref="K71">IF(OR($E71="",$D71="",$I71="",$J71=""),"",IF(J71=L71,I71,(INDEX('Emission factors'!$K$3:$V$201,MATCH(E71&amp;F71,'Emission factors'!$J$3:$J$201&amp;'Emission factors'!$K$3:$K$201,0),MATCH(K$6,'Emission factors'!$K$2:$V$2,0)))*I71))</f>
        <v/>
      </c>
      <c r="L71" s="312" t="str">
        <f>IF(OR($E71="",$D71="",$I71="",$J71=""),"",INDEX('Emission factors'!$K$3:$V$201,MATCH('Buildings - Water'!$E71,'Emission factors'!$J$3:$J$201,0),MATCH($L$6,'Emission factors'!$K$2:$V$2,0)))</f>
        <v/>
      </c>
      <c r="M71" s="313" t="str" cm="1">
        <f t="array" ref="M71">IF(OR(E71="",I71="",BuildingsWaterTable[[#This Row],[Units]]=""),"",INDEX('Emission factors'!$K$3:$V$201,MATCH('Buildings - Water'!$E71&amp;F71,'Emission factors'!$J$3:$J$201&amp;'Emission factors'!$K$3:$K$201,0),MATCH('Buildings - Water'!$M$6,'Emission factors'!$K$2:$V$2,0)))</f>
        <v/>
      </c>
      <c r="N71" s="156" t="str">
        <f>IF(OR(K71="",M71=""),"",SUM(BuildingsWaterTable[[#This Row],[Direct]:[Indirect WTT]]))</f>
        <v/>
      </c>
      <c r="O71" s="71"/>
      <c r="P71" s="190"/>
      <c r="Q71" s="157" t="str" cm="1">
        <f t="array" ref="Q71">IF(OR($E71="",$I71=""),"",(INDEX('Emission factors'!$K$3:$V$201,MATCH('Buildings - Water'!$E71&amp;$F71,'Emission factors'!$J$3:$J$201&amp;'Emission factors'!$K$3:$K$201,0),MATCH('Buildings - Water'!Q$6,'Emission factors'!$K$2:$V$2,0)))*$K71)</f>
        <v/>
      </c>
      <c r="R71" s="157" t="str" cm="1">
        <f t="array" ref="R71">IF(OR($E71="",$I71=""),"",(INDEX('Emission factors'!$K$3:$V$201,MATCH('Buildings - Water'!$E71&amp;$F71,'Emission factors'!$J$3:$J$201&amp;'Emission factors'!$K$3:$K$201,0),MATCH('Buildings - Water'!R$6,'Emission factors'!$K$2:$V$2,0)))*$K71)</f>
        <v/>
      </c>
      <c r="S71" s="157" t="str" cm="1">
        <f t="array" ref="S71">IF(OR($E71="",$I71=""),"",(INDEX('Emission factors'!$K$3:$V$201,MATCH('Buildings - Water'!$E71&amp;$F71,'Emission factors'!$J$3:$J$201&amp;'Emission factors'!$K$3:$K$201,0),MATCH('Buildings - Water'!S$6,'Emission factors'!$K$2:$V$2,0)))*$K71)</f>
        <v/>
      </c>
      <c r="T71" s="157" t="str" cm="1">
        <f t="array" ref="T71">IF(OR($E71="",$I71=""),"",(INDEX('Emission factors'!$K$3:$V$201,MATCH('Buildings - Water'!$E71&amp;$F71,'Emission factors'!$J$3:$J$201&amp;'Emission factors'!$K$3:$K$201,0),MATCH('Buildings - Water'!T$6,'Emission factors'!$K$2:$V$2,0)))*$K71)</f>
        <v/>
      </c>
      <c r="U71" s="157" t="str" cm="1">
        <f t="array" ref="U71">IF(OR($E71="",$I71=""),"",(INDEX('Emission factors'!$K$3:$V$201,MATCH('Buildings - Water'!$E71&amp;$F71,'Emission factors'!$J$3:$J$201&amp;'Emission factors'!$K$3:$K$201,0),MATCH('Buildings - Water'!U$6,'Emission factors'!$K$2:$V$2,0)))*$K71)</f>
        <v/>
      </c>
      <c r="V71" s="158" t="str">
        <f>IF(OR($N71="",BuildingsWaterTable[[#This Row],[RSD]]=""),"",BuildingsWaterTable[[#This Row],[Total emissions (kgCO2e)]]*(1+BuildingsWaterTable[[#This Row],[RSD]]))</f>
        <v/>
      </c>
      <c r="W71" s="159" t="str">
        <f>IF(OR($N71="",BuildingsWaterTable[[#This Row],[RSD]]=""),"",BuildingsWaterTable[[#This Row],[Total emissions (kgCO2e)]]*(1-BuildingsWaterTable[[#This Row],[RSD]]))</f>
        <v/>
      </c>
      <c r="X71" s="191" t="str" cm="1">
        <f t="array" ref="X71">IF(OR($E71="",$I71=""),"",(INDEX('Emission factors'!$K$3:$V$201,MATCH('Buildings - Water'!$E71&amp;$F71,'Emission factors'!$J$3:$J$201&amp;'Emission factors'!$K$3:$K$201,0),MATCH('Buildings - Water'!X$6,'Emission factors'!$K$2:$V$2,0)))*$K71)</f>
        <v/>
      </c>
      <c r="Y71" s="30"/>
      <c r="Z71" s="1" cm="1">
        <f t="array" ref="Z71">IF(OR(ISERROR(B71:X71)),1,0)</f>
        <v>0</v>
      </c>
      <c r="AA71" s="1">
        <f t="shared" si="1"/>
        <v>0</v>
      </c>
    </row>
    <row r="72" spans="1:27" ht="15" outlineLevel="1" thickBot="1" x14ac:dyDescent="0.4">
      <c r="A72" s="319"/>
      <c r="B72" s="216"/>
      <c r="C72" s="216"/>
      <c r="D72" s="233" t="str">
        <f>IFERROR(INDEX(BuildingInformationTable[Site type],MATCH(BuildingsWaterTable[[#This Row],[Site name]],BuildingInformationTable[Site name],0)),"")</f>
        <v/>
      </c>
      <c r="E72" s="312" t="str">
        <f t="shared" si="3"/>
        <v/>
      </c>
      <c r="F72" s="72"/>
      <c r="G72" s="72"/>
      <c r="H72" s="98" t="str">
        <f>IF(G72="","",INDEX(Lists!$BA$4:$BC$31,MATCH(E72,Lists!$AZ$4:$AZ$31,0),MATCH(G72,Lists!$BA$3:$BC$3,0)))</f>
        <v/>
      </c>
      <c r="I72" s="70"/>
      <c r="J72" s="72"/>
      <c r="K72" s="75" t="str" cm="1">
        <f t="array" ref="K72">IF(OR($E72="",$D72="",$I72="",$J72=""),"",IF(J72=L72,I72,(INDEX('Emission factors'!$K$3:$V$201,MATCH(E72&amp;F72,'Emission factors'!$J$3:$J$201&amp;'Emission factors'!$K$3:$K$201,0),MATCH(K$6,'Emission factors'!$K$2:$V$2,0)))*I72))</f>
        <v/>
      </c>
      <c r="L72" s="312" t="str">
        <f>IF(OR($E72="",$D72="",$I72="",$J72=""),"",INDEX('Emission factors'!$K$3:$V$201,MATCH('Buildings - Water'!$E72,'Emission factors'!$J$3:$J$201,0),MATCH($L$6,'Emission factors'!$K$2:$V$2,0)))</f>
        <v/>
      </c>
      <c r="M72" s="313" t="str" cm="1">
        <f t="array" ref="M72">IF(OR(E72="",I72="",BuildingsWaterTable[[#This Row],[Units]]=""),"",INDEX('Emission factors'!$K$3:$V$201,MATCH('Buildings - Water'!$E72&amp;F72,'Emission factors'!$J$3:$J$201&amp;'Emission factors'!$K$3:$K$201,0),MATCH('Buildings - Water'!$M$6,'Emission factors'!$K$2:$V$2,0)))</f>
        <v/>
      </c>
      <c r="N72" s="156" t="str">
        <f>IF(OR(K72="",M72=""),"",SUM(BuildingsWaterTable[[#This Row],[Direct]:[Indirect WTT]]))</f>
        <v/>
      </c>
      <c r="O72" s="71"/>
      <c r="P72" s="190"/>
      <c r="Q72" s="157" t="str" cm="1">
        <f t="array" ref="Q72">IF(OR($E72="",$I72=""),"",(INDEX('Emission factors'!$K$3:$V$201,MATCH('Buildings - Water'!$E72&amp;$F72,'Emission factors'!$J$3:$J$201&amp;'Emission factors'!$K$3:$K$201,0),MATCH('Buildings - Water'!Q$6,'Emission factors'!$K$2:$V$2,0)))*$K72)</f>
        <v/>
      </c>
      <c r="R72" s="157" t="str" cm="1">
        <f t="array" ref="R72">IF(OR($E72="",$I72=""),"",(INDEX('Emission factors'!$K$3:$V$201,MATCH('Buildings - Water'!$E72&amp;$F72,'Emission factors'!$J$3:$J$201&amp;'Emission factors'!$K$3:$K$201,0),MATCH('Buildings - Water'!R$6,'Emission factors'!$K$2:$V$2,0)))*$K72)</f>
        <v/>
      </c>
      <c r="S72" s="157" t="str" cm="1">
        <f t="array" ref="S72">IF(OR($E72="",$I72=""),"",(INDEX('Emission factors'!$K$3:$V$201,MATCH('Buildings - Water'!$E72&amp;$F72,'Emission factors'!$J$3:$J$201&amp;'Emission factors'!$K$3:$K$201,0),MATCH('Buildings - Water'!S$6,'Emission factors'!$K$2:$V$2,0)))*$K72)</f>
        <v/>
      </c>
      <c r="T72" s="157" t="str" cm="1">
        <f t="array" ref="T72">IF(OR($E72="",$I72=""),"",(INDEX('Emission factors'!$K$3:$V$201,MATCH('Buildings - Water'!$E72&amp;$F72,'Emission factors'!$J$3:$J$201&amp;'Emission factors'!$K$3:$K$201,0),MATCH('Buildings - Water'!T$6,'Emission factors'!$K$2:$V$2,0)))*$K72)</f>
        <v/>
      </c>
      <c r="U72" s="157" t="str" cm="1">
        <f t="array" ref="U72">IF(OR($E72="",$I72=""),"",(INDEX('Emission factors'!$K$3:$V$201,MATCH('Buildings - Water'!$E72&amp;$F72,'Emission factors'!$J$3:$J$201&amp;'Emission factors'!$K$3:$K$201,0),MATCH('Buildings - Water'!U$6,'Emission factors'!$K$2:$V$2,0)))*$K72)</f>
        <v/>
      </c>
      <c r="V72" s="158" t="str">
        <f>IF(OR($N72="",BuildingsWaterTable[[#This Row],[RSD]]=""),"",BuildingsWaterTable[[#This Row],[Total emissions (kgCO2e)]]*(1+BuildingsWaterTable[[#This Row],[RSD]]))</f>
        <v/>
      </c>
      <c r="W72" s="159" t="str">
        <f>IF(OR($N72="",BuildingsWaterTable[[#This Row],[RSD]]=""),"",BuildingsWaterTable[[#This Row],[Total emissions (kgCO2e)]]*(1-BuildingsWaterTable[[#This Row],[RSD]]))</f>
        <v/>
      </c>
      <c r="X72" s="191" t="str" cm="1">
        <f t="array" ref="X72">IF(OR($E72="",$I72=""),"",(INDEX('Emission factors'!$K$3:$V$201,MATCH('Buildings - Water'!$E72&amp;$F72,'Emission factors'!$J$3:$J$201&amp;'Emission factors'!$K$3:$K$201,0),MATCH('Buildings - Water'!X$6,'Emission factors'!$K$2:$V$2,0)))*$K72)</f>
        <v/>
      </c>
      <c r="Y72" s="30"/>
      <c r="Z72" s="1" cm="1">
        <f t="array" ref="Z72">IF(OR(ISERROR(B72:X72)),1,0)</f>
        <v>0</v>
      </c>
      <c r="AA72" s="1">
        <f t="shared" ref="AA72:AA117" si="4">IF(AND(E72="",I72="",J72=""),0,1)</f>
        <v>0</v>
      </c>
    </row>
    <row r="73" spans="1:27" ht="15" outlineLevel="1" thickBot="1" x14ac:dyDescent="0.4">
      <c r="A73" s="319"/>
      <c r="B73" s="216"/>
      <c r="C73" s="216"/>
      <c r="D73" s="233" t="str">
        <f>IFERROR(INDEX(BuildingInformationTable[Site type],MATCH(BuildingsWaterTable[[#This Row],[Site name]],BuildingInformationTable[Site name],0)),"")</f>
        <v/>
      </c>
      <c r="E73" s="312" t="str">
        <f t="shared" si="3"/>
        <v/>
      </c>
      <c r="F73" s="72"/>
      <c r="G73" s="72"/>
      <c r="H73" s="98" t="str">
        <f>IF(G73="","",INDEX(Lists!$BA$4:$BC$31,MATCH(E73,Lists!$AZ$4:$AZ$31,0),MATCH(G73,Lists!$BA$3:$BC$3,0)))</f>
        <v/>
      </c>
      <c r="I73" s="70"/>
      <c r="J73" s="72"/>
      <c r="K73" s="75" t="str" cm="1">
        <f t="array" ref="K73">IF(OR($E73="",$D73="",$I73="",$J73=""),"",IF(J73=L73,I73,(INDEX('Emission factors'!$K$3:$V$201,MATCH(E73&amp;F73,'Emission factors'!$J$3:$J$201&amp;'Emission factors'!$K$3:$K$201,0),MATCH(K$6,'Emission factors'!$K$2:$V$2,0)))*I73))</f>
        <v/>
      </c>
      <c r="L73" s="312" t="str">
        <f>IF(OR($E73="",$D73="",$I73="",$J73=""),"",INDEX('Emission factors'!$K$3:$V$201,MATCH('Buildings - Water'!$E73,'Emission factors'!$J$3:$J$201,0),MATCH($L$6,'Emission factors'!$K$2:$V$2,0)))</f>
        <v/>
      </c>
      <c r="M73" s="313" t="str" cm="1">
        <f t="array" ref="M73">IF(OR(E73="",I73="",BuildingsWaterTable[[#This Row],[Units]]=""),"",INDEX('Emission factors'!$K$3:$V$201,MATCH('Buildings - Water'!$E73&amp;F73,'Emission factors'!$J$3:$J$201&amp;'Emission factors'!$K$3:$K$201,0),MATCH('Buildings - Water'!$M$6,'Emission factors'!$K$2:$V$2,0)))</f>
        <v/>
      </c>
      <c r="N73" s="156" t="str">
        <f>IF(OR(K73="",M73=""),"",SUM(BuildingsWaterTable[[#This Row],[Direct]:[Indirect WTT]]))</f>
        <v/>
      </c>
      <c r="O73" s="71"/>
      <c r="P73" s="190"/>
      <c r="Q73" s="157" t="str" cm="1">
        <f t="array" ref="Q73">IF(OR($E73="",$I73=""),"",(INDEX('Emission factors'!$K$3:$V$201,MATCH('Buildings - Water'!$E73&amp;$F73,'Emission factors'!$J$3:$J$201&amp;'Emission factors'!$K$3:$K$201,0),MATCH('Buildings - Water'!Q$6,'Emission factors'!$K$2:$V$2,0)))*$K73)</f>
        <v/>
      </c>
      <c r="R73" s="157" t="str" cm="1">
        <f t="array" ref="R73">IF(OR($E73="",$I73=""),"",(INDEX('Emission factors'!$K$3:$V$201,MATCH('Buildings - Water'!$E73&amp;$F73,'Emission factors'!$J$3:$J$201&amp;'Emission factors'!$K$3:$K$201,0),MATCH('Buildings - Water'!R$6,'Emission factors'!$K$2:$V$2,0)))*$K73)</f>
        <v/>
      </c>
      <c r="S73" s="157" t="str" cm="1">
        <f t="array" ref="S73">IF(OR($E73="",$I73=""),"",(INDEX('Emission factors'!$K$3:$V$201,MATCH('Buildings - Water'!$E73&amp;$F73,'Emission factors'!$J$3:$J$201&amp;'Emission factors'!$K$3:$K$201,0),MATCH('Buildings - Water'!S$6,'Emission factors'!$K$2:$V$2,0)))*$K73)</f>
        <v/>
      </c>
      <c r="T73" s="157" t="str" cm="1">
        <f t="array" ref="T73">IF(OR($E73="",$I73=""),"",(INDEX('Emission factors'!$K$3:$V$201,MATCH('Buildings - Water'!$E73&amp;$F73,'Emission factors'!$J$3:$J$201&amp;'Emission factors'!$K$3:$K$201,0),MATCH('Buildings - Water'!T$6,'Emission factors'!$K$2:$V$2,0)))*$K73)</f>
        <v/>
      </c>
      <c r="U73" s="157" t="str" cm="1">
        <f t="array" ref="U73">IF(OR($E73="",$I73=""),"",(INDEX('Emission factors'!$K$3:$V$201,MATCH('Buildings - Water'!$E73&amp;$F73,'Emission factors'!$J$3:$J$201&amp;'Emission factors'!$K$3:$K$201,0),MATCH('Buildings - Water'!U$6,'Emission factors'!$K$2:$V$2,0)))*$K73)</f>
        <v/>
      </c>
      <c r="V73" s="158" t="str">
        <f>IF(OR($N73="",BuildingsWaterTable[[#This Row],[RSD]]=""),"",BuildingsWaterTable[[#This Row],[Total emissions (kgCO2e)]]*(1+BuildingsWaterTable[[#This Row],[RSD]]))</f>
        <v/>
      </c>
      <c r="W73" s="159" t="str">
        <f>IF(OR($N73="",BuildingsWaterTable[[#This Row],[RSD]]=""),"",BuildingsWaterTable[[#This Row],[Total emissions (kgCO2e)]]*(1-BuildingsWaterTable[[#This Row],[RSD]]))</f>
        <v/>
      </c>
      <c r="X73" s="191" t="str" cm="1">
        <f t="array" ref="X73">IF(OR($E73="",$I73=""),"",(INDEX('Emission factors'!$K$3:$V$201,MATCH('Buildings - Water'!$E73&amp;$F73,'Emission factors'!$J$3:$J$201&amp;'Emission factors'!$K$3:$K$201,0),MATCH('Buildings - Water'!X$6,'Emission factors'!$K$2:$V$2,0)))*$K73)</f>
        <v/>
      </c>
      <c r="Y73" s="30"/>
      <c r="Z73" s="1" cm="1">
        <f t="array" ref="Z73">IF(OR(ISERROR(B73:X73)),1,0)</f>
        <v>0</v>
      </c>
      <c r="AA73" s="1">
        <f t="shared" si="4"/>
        <v>0</v>
      </c>
    </row>
    <row r="74" spans="1:27" ht="15" outlineLevel="1" thickBot="1" x14ac:dyDescent="0.4">
      <c r="A74" s="319"/>
      <c r="B74" s="216"/>
      <c r="C74" s="216"/>
      <c r="D74" s="233" t="str">
        <f>IFERROR(INDEX(BuildingInformationTable[Site type],MATCH(BuildingsWaterTable[[#This Row],[Site name]],BuildingInformationTable[Site name],0)),"")</f>
        <v/>
      </c>
      <c r="E74" s="312" t="str">
        <f t="shared" si="3"/>
        <v/>
      </c>
      <c r="F74" s="72"/>
      <c r="G74" s="72"/>
      <c r="H74" s="98" t="str">
        <f>IF(G74="","",INDEX(Lists!$BA$4:$BC$31,MATCH(E74,Lists!$AZ$4:$AZ$31,0),MATCH(G74,Lists!$BA$3:$BC$3,0)))</f>
        <v/>
      </c>
      <c r="I74" s="70"/>
      <c r="J74" s="72"/>
      <c r="K74" s="75" t="str" cm="1">
        <f t="array" ref="K74">IF(OR($E74="",$D74="",$I74="",$J74=""),"",IF(J74=L74,I74,(INDEX('Emission factors'!$K$3:$V$201,MATCH(E74&amp;F74,'Emission factors'!$J$3:$J$201&amp;'Emission factors'!$K$3:$K$201,0),MATCH(K$6,'Emission factors'!$K$2:$V$2,0)))*I74))</f>
        <v/>
      </c>
      <c r="L74" s="312" t="str">
        <f>IF(OR($E74="",$D74="",$I74="",$J74=""),"",INDEX('Emission factors'!$K$3:$V$201,MATCH('Buildings - Water'!$E74,'Emission factors'!$J$3:$J$201,0),MATCH($L$6,'Emission factors'!$K$2:$V$2,0)))</f>
        <v/>
      </c>
      <c r="M74" s="313" t="str" cm="1">
        <f t="array" ref="M74">IF(OR(E74="",I74="",BuildingsWaterTable[[#This Row],[Units]]=""),"",INDEX('Emission factors'!$K$3:$V$201,MATCH('Buildings - Water'!$E74&amp;F74,'Emission factors'!$J$3:$J$201&amp;'Emission factors'!$K$3:$K$201,0),MATCH('Buildings - Water'!$M$6,'Emission factors'!$K$2:$V$2,0)))</f>
        <v/>
      </c>
      <c r="N74" s="156" t="str">
        <f>IF(OR(K74="",M74=""),"",SUM(BuildingsWaterTable[[#This Row],[Direct]:[Indirect WTT]]))</f>
        <v/>
      </c>
      <c r="O74" s="71"/>
      <c r="P74" s="190"/>
      <c r="Q74" s="157" t="str" cm="1">
        <f t="array" ref="Q74">IF(OR($E74="",$I74=""),"",(INDEX('Emission factors'!$K$3:$V$201,MATCH('Buildings - Water'!$E74&amp;$F74,'Emission factors'!$J$3:$J$201&amp;'Emission factors'!$K$3:$K$201,0),MATCH('Buildings - Water'!Q$6,'Emission factors'!$K$2:$V$2,0)))*$K74)</f>
        <v/>
      </c>
      <c r="R74" s="157" t="str" cm="1">
        <f t="array" ref="R74">IF(OR($E74="",$I74=""),"",(INDEX('Emission factors'!$K$3:$V$201,MATCH('Buildings - Water'!$E74&amp;$F74,'Emission factors'!$J$3:$J$201&amp;'Emission factors'!$K$3:$K$201,0),MATCH('Buildings - Water'!R$6,'Emission factors'!$K$2:$V$2,0)))*$K74)</f>
        <v/>
      </c>
      <c r="S74" s="157" t="str" cm="1">
        <f t="array" ref="S74">IF(OR($E74="",$I74=""),"",(INDEX('Emission factors'!$K$3:$V$201,MATCH('Buildings - Water'!$E74&amp;$F74,'Emission factors'!$J$3:$J$201&amp;'Emission factors'!$K$3:$K$201,0),MATCH('Buildings - Water'!S$6,'Emission factors'!$K$2:$V$2,0)))*$K74)</f>
        <v/>
      </c>
      <c r="T74" s="157" t="str" cm="1">
        <f t="array" ref="T74">IF(OR($E74="",$I74=""),"",(INDEX('Emission factors'!$K$3:$V$201,MATCH('Buildings - Water'!$E74&amp;$F74,'Emission factors'!$J$3:$J$201&amp;'Emission factors'!$K$3:$K$201,0),MATCH('Buildings - Water'!T$6,'Emission factors'!$K$2:$V$2,0)))*$K74)</f>
        <v/>
      </c>
      <c r="U74" s="157" t="str" cm="1">
        <f t="array" ref="U74">IF(OR($E74="",$I74=""),"",(INDEX('Emission factors'!$K$3:$V$201,MATCH('Buildings - Water'!$E74&amp;$F74,'Emission factors'!$J$3:$J$201&amp;'Emission factors'!$K$3:$K$201,0),MATCH('Buildings - Water'!U$6,'Emission factors'!$K$2:$V$2,0)))*$K74)</f>
        <v/>
      </c>
      <c r="V74" s="158" t="str">
        <f>IF(OR($N74="",BuildingsWaterTable[[#This Row],[RSD]]=""),"",BuildingsWaterTable[[#This Row],[Total emissions (kgCO2e)]]*(1+BuildingsWaterTable[[#This Row],[RSD]]))</f>
        <v/>
      </c>
      <c r="W74" s="159" t="str">
        <f>IF(OR($N74="",BuildingsWaterTable[[#This Row],[RSD]]=""),"",BuildingsWaterTable[[#This Row],[Total emissions (kgCO2e)]]*(1-BuildingsWaterTable[[#This Row],[RSD]]))</f>
        <v/>
      </c>
      <c r="X74" s="191" t="str" cm="1">
        <f t="array" ref="X74">IF(OR($E74="",$I74=""),"",(INDEX('Emission factors'!$K$3:$V$201,MATCH('Buildings - Water'!$E74&amp;$F74,'Emission factors'!$J$3:$J$201&amp;'Emission factors'!$K$3:$K$201,0),MATCH('Buildings - Water'!X$6,'Emission factors'!$K$2:$V$2,0)))*$K74)</f>
        <v/>
      </c>
      <c r="Y74" s="30"/>
      <c r="Z74" s="1" cm="1">
        <f t="array" ref="Z74">IF(OR(ISERROR(B74:X74)),1,0)</f>
        <v>0</v>
      </c>
      <c r="AA74" s="1">
        <f t="shared" si="4"/>
        <v>0</v>
      </c>
    </row>
    <row r="75" spans="1:27" ht="15" outlineLevel="1" thickBot="1" x14ac:dyDescent="0.4">
      <c r="A75" s="319"/>
      <c r="B75" s="216"/>
      <c r="C75" s="216"/>
      <c r="D75" s="233" t="str">
        <f>IFERROR(INDEX(BuildingInformationTable[Site type],MATCH(BuildingsWaterTable[[#This Row],[Site name]],BuildingInformationTable[Site name],0)),"")</f>
        <v/>
      </c>
      <c r="E75" s="312" t="str">
        <f t="shared" si="3"/>
        <v/>
      </c>
      <c r="F75" s="72"/>
      <c r="G75" s="72"/>
      <c r="H75" s="98" t="str">
        <f>IF(G75="","",INDEX(Lists!$BA$4:$BC$31,MATCH(E75,Lists!$AZ$4:$AZ$31,0),MATCH(G75,Lists!$BA$3:$BC$3,0)))</f>
        <v/>
      </c>
      <c r="I75" s="70"/>
      <c r="J75" s="72"/>
      <c r="K75" s="75" t="str" cm="1">
        <f t="array" ref="K75">IF(OR($E75="",$D75="",$I75="",$J75=""),"",IF(J75=L75,I75,(INDEX('Emission factors'!$K$3:$V$201,MATCH(E75&amp;F75,'Emission factors'!$J$3:$J$201&amp;'Emission factors'!$K$3:$K$201,0),MATCH(K$6,'Emission factors'!$K$2:$V$2,0)))*I75))</f>
        <v/>
      </c>
      <c r="L75" s="312" t="str">
        <f>IF(OR($E75="",$D75="",$I75="",$J75=""),"",INDEX('Emission factors'!$K$3:$V$201,MATCH('Buildings - Water'!$E75,'Emission factors'!$J$3:$J$201,0),MATCH($L$6,'Emission factors'!$K$2:$V$2,0)))</f>
        <v/>
      </c>
      <c r="M75" s="313" t="str" cm="1">
        <f t="array" ref="M75">IF(OR(E75="",I75="",BuildingsWaterTable[[#This Row],[Units]]=""),"",INDEX('Emission factors'!$K$3:$V$201,MATCH('Buildings - Water'!$E75&amp;F75,'Emission factors'!$J$3:$J$201&amp;'Emission factors'!$K$3:$K$201,0),MATCH('Buildings - Water'!$M$6,'Emission factors'!$K$2:$V$2,0)))</f>
        <v/>
      </c>
      <c r="N75" s="156" t="str">
        <f>IF(OR(K75="",M75=""),"",SUM(BuildingsWaterTable[[#This Row],[Direct]:[Indirect WTT]]))</f>
        <v/>
      </c>
      <c r="O75" s="71"/>
      <c r="P75" s="190"/>
      <c r="Q75" s="157" t="str" cm="1">
        <f t="array" ref="Q75">IF(OR($E75="",$I75=""),"",(INDEX('Emission factors'!$K$3:$V$201,MATCH('Buildings - Water'!$E75&amp;$F75,'Emission factors'!$J$3:$J$201&amp;'Emission factors'!$K$3:$K$201,0),MATCH('Buildings - Water'!Q$6,'Emission factors'!$K$2:$V$2,0)))*$K75)</f>
        <v/>
      </c>
      <c r="R75" s="157" t="str" cm="1">
        <f t="array" ref="R75">IF(OR($E75="",$I75=""),"",(INDEX('Emission factors'!$K$3:$V$201,MATCH('Buildings - Water'!$E75&amp;$F75,'Emission factors'!$J$3:$J$201&amp;'Emission factors'!$K$3:$K$201,0),MATCH('Buildings - Water'!R$6,'Emission factors'!$K$2:$V$2,0)))*$K75)</f>
        <v/>
      </c>
      <c r="S75" s="157" t="str" cm="1">
        <f t="array" ref="S75">IF(OR($E75="",$I75=""),"",(INDEX('Emission factors'!$K$3:$V$201,MATCH('Buildings - Water'!$E75&amp;$F75,'Emission factors'!$J$3:$J$201&amp;'Emission factors'!$K$3:$K$201,0),MATCH('Buildings - Water'!S$6,'Emission factors'!$K$2:$V$2,0)))*$K75)</f>
        <v/>
      </c>
      <c r="T75" s="157" t="str" cm="1">
        <f t="array" ref="T75">IF(OR($E75="",$I75=""),"",(INDEX('Emission factors'!$K$3:$V$201,MATCH('Buildings - Water'!$E75&amp;$F75,'Emission factors'!$J$3:$J$201&amp;'Emission factors'!$K$3:$K$201,0),MATCH('Buildings - Water'!T$6,'Emission factors'!$K$2:$V$2,0)))*$K75)</f>
        <v/>
      </c>
      <c r="U75" s="157" t="str" cm="1">
        <f t="array" ref="U75">IF(OR($E75="",$I75=""),"",(INDEX('Emission factors'!$K$3:$V$201,MATCH('Buildings - Water'!$E75&amp;$F75,'Emission factors'!$J$3:$J$201&amp;'Emission factors'!$K$3:$K$201,0),MATCH('Buildings - Water'!U$6,'Emission factors'!$K$2:$V$2,0)))*$K75)</f>
        <v/>
      </c>
      <c r="V75" s="158" t="str">
        <f>IF(OR($N75="",BuildingsWaterTable[[#This Row],[RSD]]=""),"",BuildingsWaterTable[[#This Row],[Total emissions (kgCO2e)]]*(1+BuildingsWaterTable[[#This Row],[RSD]]))</f>
        <v/>
      </c>
      <c r="W75" s="159" t="str">
        <f>IF(OR($N75="",BuildingsWaterTable[[#This Row],[RSD]]=""),"",BuildingsWaterTable[[#This Row],[Total emissions (kgCO2e)]]*(1-BuildingsWaterTable[[#This Row],[RSD]]))</f>
        <v/>
      </c>
      <c r="X75" s="191" t="str" cm="1">
        <f t="array" ref="X75">IF(OR($E75="",$I75=""),"",(INDEX('Emission factors'!$K$3:$V$201,MATCH('Buildings - Water'!$E75&amp;$F75,'Emission factors'!$J$3:$J$201&amp;'Emission factors'!$K$3:$K$201,0),MATCH('Buildings - Water'!X$6,'Emission factors'!$K$2:$V$2,0)))*$K75)</f>
        <v/>
      </c>
      <c r="Y75" s="30"/>
      <c r="Z75" s="1" cm="1">
        <f t="array" ref="Z75">IF(OR(ISERROR(B75:X75)),1,0)</f>
        <v>0</v>
      </c>
      <c r="AA75" s="1">
        <f t="shared" si="4"/>
        <v>0</v>
      </c>
    </row>
    <row r="76" spans="1:27" ht="15" outlineLevel="1" thickBot="1" x14ac:dyDescent="0.4">
      <c r="A76" s="319"/>
      <c r="B76" s="216"/>
      <c r="C76" s="216"/>
      <c r="D76" s="233" t="str">
        <f>IFERROR(INDEX(BuildingInformationTable[Site type],MATCH(BuildingsWaterTable[[#This Row],[Site name]],BuildingInformationTable[Site name],0)),"")</f>
        <v/>
      </c>
      <c r="E76" s="312" t="str">
        <f t="shared" si="3"/>
        <v/>
      </c>
      <c r="F76" s="72"/>
      <c r="G76" s="72"/>
      <c r="H76" s="98" t="str">
        <f>IF(G76="","",INDEX(Lists!$BA$4:$BC$31,MATCH(E76,Lists!$AZ$4:$AZ$31,0),MATCH(G76,Lists!$BA$3:$BC$3,0)))</f>
        <v/>
      </c>
      <c r="I76" s="70"/>
      <c r="J76" s="72"/>
      <c r="K76" s="75" t="str" cm="1">
        <f t="array" ref="K76">IF(OR($E76="",$D76="",$I76="",$J76=""),"",IF(J76=L76,I76,(INDEX('Emission factors'!$K$3:$V$201,MATCH(E76&amp;F76,'Emission factors'!$J$3:$J$201&amp;'Emission factors'!$K$3:$K$201,0),MATCH(K$6,'Emission factors'!$K$2:$V$2,0)))*I76))</f>
        <v/>
      </c>
      <c r="L76" s="312" t="str">
        <f>IF(OR($E76="",$D76="",$I76="",$J76=""),"",INDEX('Emission factors'!$K$3:$V$201,MATCH('Buildings - Water'!$E76,'Emission factors'!$J$3:$J$201,0),MATCH($L$6,'Emission factors'!$K$2:$V$2,0)))</f>
        <v/>
      </c>
      <c r="M76" s="313" t="str" cm="1">
        <f t="array" ref="M76">IF(OR(E76="",I76="",BuildingsWaterTable[[#This Row],[Units]]=""),"",INDEX('Emission factors'!$K$3:$V$201,MATCH('Buildings - Water'!$E76&amp;F76,'Emission factors'!$J$3:$J$201&amp;'Emission factors'!$K$3:$K$201,0),MATCH('Buildings - Water'!$M$6,'Emission factors'!$K$2:$V$2,0)))</f>
        <v/>
      </c>
      <c r="N76" s="156" t="str">
        <f>IF(OR(K76="",M76=""),"",SUM(BuildingsWaterTable[[#This Row],[Direct]:[Indirect WTT]]))</f>
        <v/>
      </c>
      <c r="O76" s="71"/>
      <c r="P76" s="190"/>
      <c r="Q76" s="157" t="str" cm="1">
        <f t="array" ref="Q76">IF(OR($E76="",$I76=""),"",(INDEX('Emission factors'!$K$3:$V$201,MATCH('Buildings - Water'!$E76&amp;$F76,'Emission factors'!$J$3:$J$201&amp;'Emission factors'!$K$3:$K$201,0),MATCH('Buildings - Water'!Q$6,'Emission factors'!$K$2:$V$2,0)))*$K76)</f>
        <v/>
      </c>
      <c r="R76" s="157" t="str" cm="1">
        <f t="array" ref="R76">IF(OR($E76="",$I76=""),"",(INDEX('Emission factors'!$K$3:$V$201,MATCH('Buildings - Water'!$E76&amp;$F76,'Emission factors'!$J$3:$J$201&amp;'Emission factors'!$K$3:$K$201,0),MATCH('Buildings - Water'!R$6,'Emission factors'!$K$2:$V$2,0)))*$K76)</f>
        <v/>
      </c>
      <c r="S76" s="157" t="str" cm="1">
        <f t="array" ref="S76">IF(OR($E76="",$I76=""),"",(INDEX('Emission factors'!$K$3:$V$201,MATCH('Buildings - Water'!$E76&amp;$F76,'Emission factors'!$J$3:$J$201&amp;'Emission factors'!$K$3:$K$201,0),MATCH('Buildings - Water'!S$6,'Emission factors'!$K$2:$V$2,0)))*$K76)</f>
        <v/>
      </c>
      <c r="T76" s="157" t="str" cm="1">
        <f t="array" ref="T76">IF(OR($E76="",$I76=""),"",(INDEX('Emission factors'!$K$3:$V$201,MATCH('Buildings - Water'!$E76&amp;$F76,'Emission factors'!$J$3:$J$201&amp;'Emission factors'!$K$3:$K$201,0),MATCH('Buildings - Water'!T$6,'Emission factors'!$K$2:$V$2,0)))*$K76)</f>
        <v/>
      </c>
      <c r="U76" s="157" t="str" cm="1">
        <f t="array" ref="U76">IF(OR($E76="",$I76=""),"",(INDEX('Emission factors'!$K$3:$V$201,MATCH('Buildings - Water'!$E76&amp;$F76,'Emission factors'!$J$3:$J$201&amp;'Emission factors'!$K$3:$K$201,0),MATCH('Buildings - Water'!U$6,'Emission factors'!$K$2:$V$2,0)))*$K76)</f>
        <v/>
      </c>
      <c r="V76" s="158" t="str">
        <f>IF(OR($N76="",BuildingsWaterTable[[#This Row],[RSD]]=""),"",BuildingsWaterTable[[#This Row],[Total emissions (kgCO2e)]]*(1+BuildingsWaterTable[[#This Row],[RSD]]))</f>
        <v/>
      </c>
      <c r="W76" s="159" t="str">
        <f>IF(OR($N76="",BuildingsWaterTable[[#This Row],[RSD]]=""),"",BuildingsWaterTable[[#This Row],[Total emissions (kgCO2e)]]*(1-BuildingsWaterTable[[#This Row],[RSD]]))</f>
        <v/>
      </c>
      <c r="X76" s="191" t="str" cm="1">
        <f t="array" ref="X76">IF(OR($E76="",$I76=""),"",(INDEX('Emission factors'!$K$3:$V$201,MATCH('Buildings - Water'!$E76&amp;$F76,'Emission factors'!$J$3:$J$201&amp;'Emission factors'!$K$3:$K$201,0),MATCH('Buildings - Water'!X$6,'Emission factors'!$K$2:$V$2,0)))*$K76)</f>
        <v/>
      </c>
      <c r="Y76" s="30"/>
      <c r="Z76" s="1" cm="1">
        <f t="array" ref="Z76">IF(OR(ISERROR(B76:X76)),1,0)</f>
        <v>0</v>
      </c>
      <c r="AA76" s="1">
        <f t="shared" si="4"/>
        <v>0</v>
      </c>
    </row>
    <row r="77" spans="1:27" ht="15" outlineLevel="1" thickBot="1" x14ac:dyDescent="0.4">
      <c r="A77" s="319"/>
      <c r="B77" s="216"/>
      <c r="C77" s="216"/>
      <c r="D77" s="233" t="str">
        <f>IFERROR(INDEX(BuildingInformationTable[Site type],MATCH(BuildingsWaterTable[[#This Row],[Site name]],BuildingInformationTable[Site name],0)),"")</f>
        <v/>
      </c>
      <c r="E77" s="312" t="str">
        <f t="shared" si="3"/>
        <v/>
      </c>
      <c r="F77" s="72"/>
      <c r="G77" s="72"/>
      <c r="H77" s="98" t="str">
        <f>IF(G77="","",INDEX(Lists!$BA$4:$BC$31,MATCH(E77,Lists!$AZ$4:$AZ$31,0),MATCH(G77,Lists!$BA$3:$BC$3,0)))</f>
        <v/>
      </c>
      <c r="I77" s="70"/>
      <c r="J77" s="72"/>
      <c r="K77" s="75" t="str" cm="1">
        <f t="array" ref="K77">IF(OR($E77="",$D77="",$I77="",$J77=""),"",IF(J77=L77,I77,(INDEX('Emission factors'!$K$3:$V$201,MATCH(E77&amp;F77,'Emission factors'!$J$3:$J$201&amp;'Emission factors'!$K$3:$K$201,0),MATCH(K$6,'Emission factors'!$K$2:$V$2,0)))*I77))</f>
        <v/>
      </c>
      <c r="L77" s="312" t="str">
        <f>IF(OR($E77="",$D77="",$I77="",$J77=""),"",INDEX('Emission factors'!$K$3:$V$201,MATCH('Buildings - Water'!$E77,'Emission factors'!$J$3:$J$201,0),MATCH($L$6,'Emission factors'!$K$2:$V$2,0)))</f>
        <v/>
      </c>
      <c r="M77" s="313" t="str" cm="1">
        <f t="array" ref="M77">IF(OR(E77="",I77="",BuildingsWaterTable[[#This Row],[Units]]=""),"",INDEX('Emission factors'!$K$3:$V$201,MATCH('Buildings - Water'!$E77&amp;F77,'Emission factors'!$J$3:$J$201&amp;'Emission factors'!$K$3:$K$201,0),MATCH('Buildings - Water'!$M$6,'Emission factors'!$K$2:$V$2,0)))</f>
        <v/>
      </c>
      <c r="N77" s="156" t="str">
        <f>IF(OR(K77="",M77=""),"",SUM(BuildingsWaterTable[[#This Row],[Direct]:[Indirect WTT]]))</f>
        <v/>
      </c>
      <c r="O77" s="71"/>
      <c r="P77" s="190"/>
      <c r="Q77" s="157" t="str" cm="1">
        <f t="array" ref="Q77">IF(OR($E77="",$I77=""),"",(INDEX('Emission factors'!$K$3:$V$201,MATCH('Buildings - Water'!$E77&amp;$F77,'Emission factors'!$J$3:$J$201&amp;'Emission factors'!$K$3:$K$201,0),MATCH('Buildings - Water'!Q$6,'Emission factors'!$K$2:$V$2,0)))*$K77)</f>
        <v/>
      </c>
      <c r="R77" s="157" t="str" cm="1">
        <f t="array" ref="R77">IF(OR($E77="",$I77=""),"",(INDEX('Emission factors'!$K$3:$V$201,MATCH('Buildings - Water'!$E77&amp;$F77,'Emission factors'!$J$3:$J$201&amp;'Emission factors'!$K$3:$K$201,0),MATCH('Buildings - Water'!R$6,'Emission factors'!$K$2:$V$2,0)))*$K77)</f>
        <v/>
      </c>
      <c r="S77" s="157" t="str" cm="1">
        <f t="array" ref="S77">IF(OR($E77="",$I77=""),"",(INDEX('Emission factors'!$K$3:$V$201,MATCH('Buildings - Water'!$E77&amp;$F77,'Emission factors'!$J$3:$J$201&amp;'Emission factors'!$K$3:$K$201,0),MATCH('Buildings - Water'!S$6,'Emission factors'!$K$2:$V$2,0)))*$K77)</f>
        <v/>
      </c>
      <c r="T77" s="157" t="str" cm="1">
        <f t="array" ref="T77">IF(OR($E77="",$I77=""),"",(INDEX('Emission factors'!$K$3:$V$201,MATCH('Buildings - Water'!$E77&amp;$F77,'Emission factors'!$J$3:$J$201&amp;'Emission factors'!$K$3:$K$201,0),MATCH('Buildings - Water'!T$6,'Emission factors'!$K$2:$V$2,0)))*$K77)</f>
        <v/>
      </c>
      <c r="U77" s="157" t="str" cm="1">
        <f t="array" ref="U77">IF(OR($E77="",$I77=""),"",(INDEX('Emission factors'!$K$3:$V$201,MATCH('Buildings - Water'!$E77&amp;$F77,'Emission factors'!$J$3:$J$201&amp;'Emission factors'!$K$3:$K$201,0),MATCH('Buildings - Water'!U$6,'Emission factors'!$K$2:$V$2,0)))*$K77)</f>
        <v/>
      </c>
      <c r="V77" s="158" t="str">
        <f>IF(OR($N77="",BuildingsWaterTable[[#This Row],[RSD]]=""),"",BuildingsWaterTable[[#This Row],[Total emissions (kgCO2e)]]*(1+BuildingsWaterTable[[#This Row],[RSD]]))</f>
        <v/>
      </c>
      <c r="W77" s="159" t="str">
        <f>IF(OR($N77="",BuildingsWaterTable[[#This Row],[RSD]]=""),"",BuildingsWaterTable[[#This Row],[Total emissions (kgCO2e)]]*(1-BuildingsWaterTable[[#This Row],[RSD]]))</f>
        <v/>
      </c>
      <c r="X77" s="191" t="str" cm="1">
        <f t="array" ref="X77">IF(OR($E77="",$I77=""),"",(INDEX('Emission factors'!$K$3:$V$201,MATCH('Buildings - Water'!$E77&amp;$F77,'Emission factors'!$J$3:$J$201&amp;'Emission factors'!$K$3:$K$201,0),MATCH('Buildings - Water'!X$6,'Emission factors'!$K$2:$V$2,0)))*$K77)</f>
        <v/>
      </c>
      <c r="Y77" s="30"/>
      <c r="Z77" s="1" cm="1">
        <f t="array" ref="Z77">IF(OR(ISERROR(B77:X77)),1,0)</f>
        <v>0</v>
      </c>
      <c r="AA77" s="1">
        <f t="shared" si="4"/>
        <v>0</v>
      </c>
    </row>
    <row r="78" spans="1:27" ht="15" outlineLevel="1" thickBot="1" x14ac:dyDescent="0.4">
      <c r="A78" s="319"/>
      <c r="B78" s="216"/>
      <c r="C78" s="216"/>
      <c r="D78" s="233" t="str">
        <f>IFERROR(INDEX(BuildingInformationTable[Site type],MATCH(BuildingsWaterTable[[#This Row],[Site name]],BuildingInformationTable[Site name],0)),"")</f>
        <v/>
      </c>
      <c r="E78" s="312" t="str">
        <f t="shared" si="3"/>
        <v/>
      </c>
      <c r="F78" s="72"/>
      <c r="G78" s="72"/>
      <c r="H78" s="98" t="str">
        <f>IF(G78="","",INDEX(Lists!$BA$4:$BC$31,MATCH(E78,Lists!$AZ$4:$AZ$31,0),MATCH(G78,Lists!$BA$3:$BC$3,0)))</f>
        <v/>
      </c>
      <c r="I78" s="70"/>
      <c r="J78" s="72"/>
      <c r="K78" s="75" t="str" cm="1">
        <f t="array" ref="K78">IF(OR($E78="",$D78="",$I78="",$J78=""),"",IF(J78=L78,I78,(INDEX('Emission factors'!$K$3:$V$201,MATCH(E78&amp;F78,'Emission factors'!$J$3:$J$201&amp;'Emission factors'!$K$3:$K$201,0),MATCH(K$6,'Emission factors'!$K$2:$V$2,0)))*I78))</f>
        <v/>
      </c>
      <c r="L78" s="312" t="str">
        <f>IF(OR($E78="",$D78="",$I78="",$J78=""),"",INDEX('Emission factors'!$K$3:$V$201,MATCH('Buildings - Water'!$E78,'Emission factors'!$J$3:$J$201,0),MATCH($L$6,'Emission factors'!$K$2:$V$2,0)))</f>
        <v/>
      </c>
      <c r="M78" s="313" t="str" cm="1">
        <f t="array" ref="M78">IF(OR(E78="",I78="",BuildingsWaterTable[[#This Row],[Units]]=""),"",INDEX('Emission factors'!$K$3:$V$201,MATCH('Buildings - Water'!$E78&amp;F78,'Emission factors'!$J$3:$J$201&amp;'Emission factors'!$K$3:$K$201,0),MATCH('Buildings - Water'!$M$6,'Emission factors'!$K$2:$V$2,0)))</f>
        <v/>
      </c>
      <c r="N78" s="156" t="str">
        <f>IF(OR(K78="",M78=""),"",SUM(BuildingsWaterTable[[#This Row],[Direct]:[Indirect WTT]]))</f>
        <v/>
      </c>
      <c r="O78" s="71"/>
      <c r="P78" s="190"/>
      <c r="Q78" s="157" t="str" cm="1">
        <f t="array" ref="Q78">IF(OR($E78="",$I78=""),"",(INDEX('Emission factors'!$K$3:$V$201,MATCH('Buildings - Water'!$E78&amp;$F78,'Emission factors'!$J$3:$J$201&amp;'Emission factors'!$K$3:$K$201,0),MATCH('Buildings - Water'!Q$6,'Emission factors'!$K$2:$V$2,0)))*$K78)</f>
        <v/>
      </c>
      <c r="R78" s="157" t="str" cm="1">
        <f t="array" ref="R78">IF(OR($E78="",$I78=""),"",(INDEX('Emission factors'!$K$3:$V$201,MATCH('Buildings - Water'!$E78&amp;$F78,'Emission factors'!$J$3:$J$201&amp;'Emission factors'!$K$3:$K$201,0),MATCH('Buildings - Water'!R$6,'Emission factors'!$K$2:$V$2,0)))*$K78)</f>
        <v/>
      </c>
      <c r="S78" s="157" t="str" cm="1">
        <f t="array" ref="S78">IF(OR($E78="",$I78=""),"",(INDEX('Emission factors'!$K$3:$V$201,MATCH('Buildings - Water'!$E78&amp;$F78,'Emission factors'!$J$3:$J$201&amp;'Emission factors'!$K$3:$K$201,0),MATCH('Buildings - Water'!S$6,'Emission factors'!$K$2:$V$2,0)))*$K78)</f>
        <v/>
      </c>
      <c r="T78" s="157" t="str" cm="1">
        <f t="array" ref="T78">IF(OR($E78="",$I78=""),"",(INDEX('Emission factors'!$K$3:$V$201,MATCH('Buildings - Water'!$E78&amp;$F78,'Emission factors'!$J$3:$J$201&amp;'Emission factors'!$K$3:$K$201,0),MATCH('Buildings - Water'!T$6,'Emission factors'!$K$2:$V$2,0)))*$K78)</f>
        <v/>
      </c>
      <c r="U78" s="157" t="str" cm="1">
        <f t="array" ref="U78">IF(OR($E78="",$I78=""),"",(INDEX('Emission factors'!$K$3:$V$201,MATCH('Buildings - Water'!$E78&amp;$F78,'Emission factors'!$J$3:$J$201&amp;'Emission factors'!$K$3:$K$201,0),MATCH('Buildings - Water'!U$6,'Emission factors'!$K$2:$V$2,0)))*$K78)</f>
        <v/>
      </c>
      <c r="V78" s="158" t="str">
        <f>IF(OR($N78="",BuildingsWaterTable[[#This Row],[RSD]]=""),"",BuildingsWaterTable[[#This Row],[Total emissions (kgCO2e)]]*(1+BuildingsWaterTable[[#This Row],[RSD]]))</f>
        <v/>
      </c>
      <c r="W78" s="159" t="str">
        <f>IF(OR($N78="",BuildingsWaterTable[[#This Row],[RSD]]=""),"",BuildingsWaterTable[[#This Row],[Total emissions (kgCO2e)]]*(1-BuildingsWaterTable[[#This Row],[RSD]]))</f>
        <v/>
      </c>
      <c r="X78" s="191" t="str" cm="1">
        <f t="array" ref="X78">IF(OR($E78="",$I78=""),"",(INDEX('Emission factors'!$K$3:$V$201,MATCH('Buildings - Water'!$E78&amp;$F78,'Emission factors'!$J$3:$J$201&amp;'Emission factors'!$K$3:$K$201,0),MATCH('Buildings - Water'!X$6,'Emission factors'!$K$2:$V$2,0)))*$K78)</f>
        <v/>
      </c>
      <c r="Y78" s="30"/>
      <c r="Z78" s="1" cm="1">
        <f t="array" ref="Z78">IF(OR(ISERROR(B78:X78)),1,0)</f>
        <v>0</v>
      </c>
      <c r="AA78" s="1">
        <f t="shared" si="4"/>
        <v>0</v>
      </c>
    </row>
    <row r="79" spans="1:27" ht="15" outlineLevel="1" thickBot="1" x14ac:dyDescent="0.4">
      <c r="A79" s="319"/>
      <c r="B79" s="216"/>
      <c r="C79" s="216"/>
      <c r="D79" s="233" t="str">
        <f>IFERROR(INDEX(BuildingInformationTable[Site type],MATCH(BuildingsWaterTable[[#This Row],[Site name]],BuildingInformationTable[Site name],0)),"")</f>
        <v/>
      </c>
      <c r="E79" s="312" t="str">
        <f t="shared" si="3"/>
        <v/>
      </c>
      <c r="F79" s="72"/>
      <c r="G79" s="72"/>
      <c r="H79" s="98" t="str">
        <f>IF(G79="","",INDEX(Lists!$BA$4:$BC$31,MATCH(E79,Lists!$AZ$4:$AZ$31,0),MATCH(G79,Lists!$BA$3:$BC$3,0)))</f>
        <v/>
      </c>
      <c r="I79" s="70"/>
      <c r="J79" s="72"/>
      <c r="K79" s="75" t="str" cm="1">
        <f t="array" ref="K79">IF(OR($E79="",$D79="",$I79="",$J79=""),"",IF(J79=L79,I79,(INDEX('Emission factors'!$K$3:$V$201,MATCH(E79&amp;F79,'Emission factors'!$J$3:$J$201&amp;'Emission factors'!$K$3:$K$201,0),MATCH(K$6,'Emission factors'!$K$2:$V$2,0)))*I79))</f>
        <v/>
      </c>
      <c r="L79" s="312" t="str">
        <f>IF(OR($E79="",$D79="",$I79="",$J79=""),"",INDEX('Emission factors'!$K$3:$V$201,MATCH('Buildings - Water'!$E79,'Emission factors'!$J$3:$J$201,0),MATCH($L$6,'Emission factors'!$K$2:$V$2,0)))</f>
        <v/>
      </c>
      <c r="M79" s="313" t="str" cm="1">
        <f t="array" ref="M79">IF(OR(E79="",I79="",BuildingsWaterTable[[#This Row],[Units]]=""),"",INDEX('Emission factors'!$K$3:$V$201,MATCH('Buildings - Water'!$E79&amp;F79,'Emission factors'!$J$3:$J$201&amp;'Emission factors'!$K$3:$K$201,0),MATCH('Buildings - Water'!$M$6,'Emission factors'!$K$2:$V$2,0)))</f>
        <v/>
      </c>
      <c r="N79" s="156" t="str">
        <f>IF(OR(K79="",M79=""),"",SUM(BuildingsWaterTable[[#This Row],[Direct]:[Indirect WTT]]))</f>
        <v/>
      </c>
      <c r="O79" s="71"/>
      <c r="P79" s="190"/>
      <c r="Q79" s="157" t="str" cm="1">
        <f t="array" ref="Q79">IF(OR($E79="",$I79=""),"",(INDEX('Emission factors'!$K$3:$V$201,MATCH('Buildings - Water'!$E79&amp;$F79,'Emission factors'!$J$3:$J$201&amp;'Emission factors'!$K$3:$K$201,0),MATCH('Buildings - Water'!Q$6,'Emission factors'!$K$2:$V$2,0)))*$K79)</f>
        <v/>
      </c>
      <c r="R79" s="157" t="str" cm="1">
        <f t="array" ref="R79">IF(OR($E79="",$I79=""),"",(INDEX('Emission factors'!$K$3:$V$201,MATCH('Buildings - Water'!$E79&amp;$F79,'Emission factors'!$J$3:$J$201&amp;'Emission factors'!$K$3:$K$201,0),MATCH('Buildings - Water'!R$6,'Emission factors'!$K$2:$V$2,0)))*$K79)</f>
        <v/>
      </c>
      <c r="S79" s="157" t="str" cm="1">
        <f t="array" ref="S79">IF(OR($E79="",$I79=""),"",(INDEX('Emission factors'!$K$3:$V$201,MATCH('Buildings - Water'!$E79&amp;$F79,'Emission factors'!$J$3:$J$201&amp;'Emission factors'!$K$3:$K$201,0),MATCH('Buildings - Water'!S$6,'Emission factors'!$K$2:$V$2,0)))*$K79)</f>
        <v/>
      </c>
      <c r="T79" s="157" t="str" cm="1">
        <f t="array" ref="T79">IF(OR($E79="",$I79=""),"",(INDEX('Emission factors'!$K$3:$V$201,MATCH('Buildings - Water'!$E79&amp;$F79,'Emission factors'!$J$3:$J$201&amp;'Emission factors'!$K$3:$K$201,0),MATCH('Buildings - Water'!T$6,'Emission factors'!$K$2:$V$2,0)))*$K79)</f>
        <v/>
      </c>
      <c r="U79" s="157" t="str" cm="1">
        <f t="array" ref="U79">IF(OR($E79="",$I79=""),"",(INDEX('Emission factors'!$K$3:$V$201,MATCH('Buildings - Water'!$E79&amp;$F79,'Emission factors'!$J$3:$J$201&amp;'Emission factors'!$K$3:$K$201,0),MATCH('Buildings - Water'!U$6,'Emission factors'!$K$2:$V$2,0)))*$K79)</f>
        <v/>
      </c>
      <c r="V79" s="158" t="str">
        <f>IF(OR($N79="",BuildingsWaterTable[[#This Row],[RSD]]=""),"",BuildingsWaterTable[[#This Row],[Total emissions (kgCO2e)]]*(1+BuildingsWaterTable[[#This Row],[RSD]]))</f>
        <v/>
      </c>
      <c r="W79" s="159" t="str">
        <f>IF(OR($N79="",BuildingsWaterTable[[#This Row],[RSD]]=""),"",BuildingsWaterTable[[#This Row],[Total emissions (kgCO2e)]]*(1-BuildingsWaterTable[[#This Row],[RSD]]))</f>
        <v/>
      </c>
      <c r="X79" s="191" t="str" cm="1">
        <f t="array" ref="X79">IF(OR($E79="",$I79=""),"",(INDEX('Emission factors'!$K$3:$V$201,MATCH('Buildings - Water'!$E79&amp;$F79,'Emission factors'!$J$3:$J$201&amp;'Emission factors'!$K$3:$K$201,0),MATCH('Buildings - Water'!X$6,'Emission factors'!$K$2:$V$2,0)))*$K79)</f>
        <v/>
      </c>
      <c r="Y79" s="30"/>
      <c r="Z79" s="1" cm="1">
        <f t="array" ref="Z79">IF(OR(ISERROR(B79:X79)),1,0)</f>
        <v>0</v>
      </c>
      <c r="AA79" s="1">
        <f t="shared" si="4"/>
        <v>0</v>
      </c>
    </row>
    <row r="80" spans="1:27" ht="15" outlineLevel="1" thickBot="1" x14ac:dyDescent="0.4">
      <c r="A80" s="319"/>
      <c r="B80" s="216"/>
      <c r="C80" s="216"/>
      <c r="D80" s="233" t="str">
        <f>IFERROR(INDEX(BuildingInformationTable[Site type],MATCH(BuildingsWaterTable[[#This Row],[Site name]],BuildingInformationTable[Site name],0)),"")</f>
        <v/>
      </c>
      <c r="E80" s="312" t="str">
        <f t="shared" si="3"/>
        <v/>
      </c>
      <c r="F80" s="72"/>
      <c r="G80" s="72"/>
      <c r="H80" s="98" t="str">
        <f>IF(G80="","",INDEX(Lists!$BA$4:$BC$31,MATCH(E80,Lists!$AZ$4:$AZ$31,0),MATCH(G80,Lists!$BA$3:$BC$3,0)))</f>
        <v/>
      </c>
      <c r="I80" s="70"/>
      <c r="J80" s="72"/>
      <c r="K80" s="75" t="str" cm="1">
        <f t="array" ref="K80">IF(OR($E80="",$D80="",$I80="",$J80=""),"",IF(J80=L80,I80,(INDEX('Emission factors'!$K$3:$V$201,MATCH(E80&amp;F80,'Emission factors'!$J$3:$J$201&amp;'Emission factors'!$K$3:$K$201,0),MATCH(K$6,'Emission factors'!$K$2:$V$2,0)))*I80))</f>
        <v/>
      </c>
      <c r="L80" s="312" t="str">
        <f>IF(OR($E80="",$D80="",$I80="",$J80=""),"",INDEX('Emission factors'!$K$3:$V$201,MATCH('Buildings - Water'!$E80,'Emission factors'!$J$3:$J$201,0),MATCH($L$6,'Emission factors'!$K$2:$V$2,0)))</f>
        <v/>
      </c>
      <c r="M80" s="313" t="str" cm="1">
        <f t="array" ref="M80">IF(OR(E80="",I80="",BuildingsWaterTable[[#This Row],[Units]]=""),"",INDEX('Emission factors'!$K$3:$V$201,MATCH('Buildings - Water'!$E80&amp;F80,'Emission factors'!$J$3:$J$201&amp;'Emission factors'!$K$3:$K$201,0),MATCH('Buildings - Water'!$M$6,'Emission factors'!$K$2:$V$2,0)))</f>
        <v/>
      </c>
      <c r="N80" s="156" t="str">
        <f>IF(OR(K80="",M80=""),"",SUM(BuildingsWaterTable[[#This Row],[Direct]:[Indirect WTT]]))</f>
        <v/>
      </c>
      <c r="O80" s="71"/>
      <c r="P80" s="190"/>
      <c r="Q80" s="157" t="str" cm="1">
        <f t="array" ref="Q80">IF(OR($E80="",$I80=""),"",(INDEX('Emission factors'!$K$3:$V$201,MATCH('Buildings - Water'!$E80&amp;$F80,'Emission factors'!$J$3:$J$201&amp;'Emission factors'!$K$3:$K$201,0),MATCH('Buildings - Water'!Q$6,'Emission factors'!$K$2:$V$2,0)))*$K80)</f>
        <v/>
      </c>
      <c r="R80" s="157" t="str" cm="1">
        <f t="array" ref="R80">IF(OR($E80="",$I80=""),"",(INDEX('Emission factors'!$K$3:$V$201,MATCH('Buildings - Water'!$E80&amp;$F80,'Emission factors'!$J$3:$J$201&amp;'Emission factors'!$K$3:$K$201,0),MATCH('Buildings - Water'!R$6,'Emission factors'!$K$2:$V$2,0)))*$K80)</f>
        <v/>
      </c>
      <c r="S80" s="157" t="str" cm="1">
        <f t="array" ref="S80">IF(OR($E80="",$I80=""),"",(INDEX('Emission factors'!$K$3:$V$201,MATCH('Buildings - Water'!$E80&amp;$F80,'Emission factors'!$J$3:$J$201&amp;'Emission factors'!$K$3:$K$201,0),MATCH('Buildings - Water'!S$6,'Emission factors'!$K$2:$V$2,0)))*$K80)</f>
        <v/>
      </c>
      <c r="T80" s="157" t="str" cm="1">
        <f t="array" ref="T80">IF(OR($E80="",$I80=""),"",(INDEX('Emission factors'!$K$3:$V$201,MATCH('Buildings - Water'!$E80&amp;$F80,'Emission factors'!$J$3:$J$201&amp;'Emission factors'!$K$3:$K$201,0),MATCH('Buildings - Water'!T$6,'Emission factors'!$K$2:$V$2,0)))*$K80)</f>
        <v/>
      </c>
      <c r="U80" s="157" t="str" cm="1">
        <f t="array" ref="U80">IF(OR($E80="",$I80=""),"",(INDEX('Emission factors'!$K$3:$V$201,MATCH('Buildings - Water'!$E80&amp;$F80,'Emission factors'!$J$3:$J$201&amp;'Emission factors'!$K$3:$K$201,0),MATCH('Buildings - Water'!U$6,'Emission factors'!$K$2:$V$2,0)))*$K80)</f>
        <v/>
      </c>
      <c r="V80" s="158" t="str">
        <f>IF(OR($N80="",BuildingsWaterTable[[#This Row],[RSD]]=""),"",BuildingsWaterTable[[#This Row],[Total emissions (kgCO2e)]]*(1+BuildingsWaterTable[[#This Row],[RSD]]))</f>
        <v/>
      </c>
      <c r="W80" s="159" t="str">
        <f>IF(OR($N80="",BuildingsWaterTable[[#This Row],[RSD]]=""),"",BuildingsWaterTable[[#This Row],[Total emissions (kgCO2e)]]*(1-BuildingsWaterTable[[#This Row],[RSD]]))</f>
        <v/>
      </c>
      <c r="X80" s="191" t="str" cm="1">
        <f t="array" ref="X80">IF(OR($E80="",$I80=""),"",(INDEX('Emission factors'!$K$3:$V$201,MATCH('Buildings - Water'!$E80&amp;$F80,'Emission factors'!$J$3:$J$201&amp;'Emission factors'!$K$3:$K$201,0),MATCH('Buildings - Water'!X$6,'Emission factors'!$K$2:$V$2,0)))*$K80)</f>
        <v/>
      </c>
      <c r="Y80" s="30"/>
      <c r="Z80" s="1" cm="1">
        <f t="array" ref="Z80">IF(OR(ISERROR(B80:X80)),1,0)</f>
        <v>0</v>
      </c>
      <c r="AA80" s="1">
        <f t="shared" si="4"/>
        <v>0</v>
      </c>
    </row>
    <row r="81" spans="1:27" ht="15" outlineLevel="1" thickBot="1" x14ac:dyDescent="0.4">
      <c r="A81" s="319"/>
      <c r="B81" s="216"/>
      <c r="C81" s="216"/>
      <c r="D81" s="233" t="str">
        <f>IFERROR(INDEX(BuildingInformationTable[Site type],MATCH(BuildingsWaterTable[[#This Row],[Site name]],BuildingInformationTable[Site name],0)),"")</f>
        <v/>
      </c>
      <c r="E81" s="312" t="str">
        <f t="shared" si="3"/>
        <v/>
      </c>
      <c r="F81" s="72"/>
      <c r="G81" s="72"/>
      <c r="H81" s="98" t="str">
        <f>IF(G81="","",INDEX(Lists!$BA$4:$BC$31,MATCH(E81,Lists!$AZ$4:$AZ$31,0),MATCH(G81,Lists!$BA$3:$BC$3,0)))</f>
        <v/>
      </c>
      <c r="I81" s="70"/>
      <c r="J81" s="72"/>
      <c r="K81" s="75" t="str" cm="1">
        <f t="array" ref="K81">IF(OR($E81="",$D81="",$I81="",$J81=""),"",IF(J81=L81,I81,(INDEX('Emission factors'!$K$3:$V$201,MATCH(E81&amp;F81,'Emission factors'!$J$3:$J$201&amp;'Emission factors'!$K$3:$K$201,0),MATCH(K$6,'Emission factors'!$K$2:$V$2,0)))*I81))</f>
        <v/>
      </c>
      <c r="L81" s="312" t="str">
        <f>IF(OR($E81="",$D81="",$I81="",$J81=""),"",INDEX('Emission factors'!$K$3:$V$201,MATCH('Buildings - Water'!$E81,'Emission factors'!$J$3:$J$201,0),MATCH($L$6,'Emission factors'!$K$2:$V$2,0)))</f>
        <v/>
      </c>
      <c r="M81" s="313" t="str" cm="1">
        <f t="array" ref="M81">IF(OR(E81="",I81="",BuildingsWaterTable[[#This Row],[Units]]=""),"",INDEX('Emission factors'!$K$3:$V$201,MATCH('Buildings - Water'!$E81&amp;F81,'Emission factors'!$J$3:$J$201&amp;'Emission factors'!$K$3:$K$201,0),MATCH('Buildings - Water'!$M$6,'Emission factors'!$K$2:$V$2,0)))</f>
        <v/>
      </c>
      <c r="N81" s="156" t="str">
        <f>IF(OR(K81="",M81=""),"",SUM(BuildingsWaterTable[[#This Row],[Direct]:[Indirect WTT]]))</f>
        <v/>
      </c>
      <c r="O81" s="71"/>
      <c r="P81" s="190"/>
      <c r="Q81" s="157" t="str" cm="1">
        <f t="array" ref="Q81">IF(OR($E81="",$I81=""),"",(INDEX('Emission factors'!$K$3:$V$201,MATCH('Buildings - Water'!$E81&amp;$F81,'Emission factors'!$J$3:$J$201&amp;'Emission factors'!$K$3:$K$201,0),MATCH('Buildings - Water'!Q$6,'Emission factors'!$K$2:$V$2,0)))*$K81)</f>
        <v/>
      </c>
      <c r="R81" s="157" t="str" cm="1">
        <f t="array" ref="R81">IF(OR($E81="",$I81=""),"",(INDEX('Emission factors'!$K$3:$V$201,MATCH('Buildings - Water'!$E81&amp;$F81,'Emission factors'!$J$3:$J$201&amp;'Emission factors'!$K$3:$K$201,0),MATCH('Buildings - Water'!R$6,'Emission factors'!$K$2:$V$2,0)))*$K81)</f>
        <v/>
      </c>
      <c r="S81" s="157" t="str" cm="1">
        <f t="array" ref="S81">IF(OR($E81="",$I81=""),"",(INDEX('Emission factors'!$K$3:$V$201,MATCH('Buildings - Water'!$E81&amp;$F81,'Emission factors'!$J$3:$J$201&amp;'Emission factors'!$K$3:$K$201,0),MATCH('Buildings - Water'!S$6,'Emission factors'!$K$2:$V$2,0)))*$K81)</f>
        <v/>
      </c>
      <c r="T81" s="157" t="str" cm="1">
        <f t="array" ref="T81">IF(OR($E81="",$I81=""),"",(INDEX('Emission factors'!$K$3:$V$201,MATCH('Buildings - Water'!$E81&amp;$F81,'Emission factors'!$J$3:$J$201&amp;'Emission factors'!$K$3:$K$201,0),MATCH('Buildings - Water'!T$6,'Emission factors'!$K$2:$V$2,0)))*$K81)</f>
        <v/>
      </c>
      <c r="U81" s="157" t="str" cm="1">
        <f t="array" ref="U81">IF(OR($E81="",$I81=""),"",(INDEX('Emission factors'!$K$3:$V$201,MATCH('Buildings - Water'!$E81&amp;$F81,'Emission factors'!$J$3:$J$201&amp;'Emission factors'!$K$3:$K$201,0),MATCH('Buildings - Water'!U$6,'Emission factors'!$K$2:$V$2,0)))*$K81)</f>
        <v/>
      </c>
      <c r="V81" s="158" t="str">
        <f>IF(OR($N81="",BuildingsWaterTable[[#This Row],[RSD]]=""),"",BuildingsWaterTable[[#This Row],[Total emissions (kgCO2e)]]*(1+BuildingsWaterTable[[#This Row],[RSD]]))</f>
        <v/>
      </c>
      <c r="W81" s="159" t="str">
        <f>IF(OR($N81="",BuildingsWaterTable[[#This Row],[RSD]]=""),"",BuildingsWaterTable[[#This Row],[Total emissions (kgCO2e)]]*(1-BuildingsWaterTable[[#This Row],[RSD]]))</f>
        <v/>
      </c>
      <c r="X81" s="191" t="str" cm="1">
        <f t="array" ref="X81">IF(OR($E81="",$I81=""),"",(INDEX('Emission factors'!$K$3:$V$201,MATCH('Buildings - Water'!$E81&amp;$F81,'Emission factors'!$J$3:$J$201&amp;'Emission factors'!$K$3:$K$201,0),MATCH('Buildings - Water'!X$6,'Emission factors'!$K$2:$V$2,0)))*$K81)</f>
        <v/>
      </c>
      <c r="Y81" s="30"/>
      <c r="Z81" s="1" cm="1">
        <f t="array" ref="Z81">IF(OR(ISERROR(B81:X81)),1,0)</f>
        <v>0</v>
      </c>
      <c r="AA81" s="1">
        <f t="shared" si="4"/>
        <v>0</v>
      </c>
    </row>
    <row r="82" spans="1:27" ht="15" outlineLevel="1" thickBot="1" x14ac:dyDescent="0.4">
      <c r="A82" s="319"/>
      <c r="B82" s="216"/>
      <c r="C82" s="216"/>
      <c r="D82" s="233" t="str">
        <f>IFERROR(INDEX(BuildingInformationTable[Site type],MATCH(BuildingsWaterTable[[#This Row],[Site name]],BuildingInformationTable[Site name],0)),"")</f>
        <v/>
      </c>
      <c r="E82" s="312" t="str">
        <f t="shared" si="3"/>
        <v/>
      </c>
      <c r="F82" s="72"/>
      <c r="G82" s="72"/>
      <c r="H82" s="98" t="str">
        <f>IF(G82="","",INDEX(Lists!$BA$4:$BC$31,MATCH(E82,Lists!$AZ$4:$AZ$31,0),MATCH(G82,Lists!$BA$3:$BC$3,0)))</f>
        <v/>
      </c>
      <c r="I82" s="70"/>
      <c r="J82" s="72"/>
      <c r="K82" s="75" t="str" cm="1">
        <f t="array" ref="K82">IF(OR($E82="",$D82="",$I82="",$J82=""),"",IF(J82=L82,I82,(INDEX('Emission factors'!$K$3:$V$201,MATCH(E82&amp;F82,'Emission factors'!$J$3:$J$201&amp;'Emission factors'!$K$3:$K$201,0),MATCH(K$6,'Emission factors'!$K$2:$V$2,0)))*I82))</f>
        <v/>
      </c>
      <c r="L82" s="312" t="str">
        <f>IF(OR($E82="",$D82="",$I82="",$J82=""),"",INDEX('Emission factors'!$K$3:$V$201,MATCH('Buildings - Water'!$E82,'Emission factors'!$J$3:$J$201,0),MATCH($L$6,'Emission factors'!$K$2:$V$2,0)))</f>
        <v/>
      </c>
      <c r="M82" s="313" t="str" cm="1">
        <f t="array" ref="M82">IF(OR(E82="",I82="",BuildingsWaterTable[[#This Row],[Units]]=""),"",INDEX('Emission factors'!$K$3:$V$201,MATCH('Buildings - Water'!$E82&amp;F82,'Emission factors'!$J$3:$J$201&amp;'Emission factors'!$K$3:$K$201,0),MATCH('Buildings - Water'!$M$6,'Emission factors'!$K$2:$V$2,0)))</f>
        <v/>
      </c>
      <c r="N82" s="156" t="str">
        <f>IF(OR(K82="",M82=""),"",SUM(BuildingsWaterTable[[#This Row],[Direct]:[Indirect WTT]]))</f>
        <v/>
      </c>
      <c r="O82" s="71"/>
      <c r="P82" s="190"/>
      <c r="Q82" s="157" t="str" cm="1">
        <f t="array" ref="Q82">IF(OR($E82="",$I82=""),"",(INDEX('Emission factors'!$K$3:$V$201,MATCH('Buildings - Water'!$E82&amp;$F82,'Emission factors'!$J$3:$J$201&amp;'Emission factors'!$K$3:$K$201,0),MATCH('Buildings - Water'!Q$6,'Emission factors'!$K$2:$V$2,0)))*$K82)</f>
        <v/>
      </c>
      <c r="R82" s="157" t="str" cm="1">
        <f t="array" ref="R82">IF(OR($E82="",$I82=""),"",(INDEX('Emission factors'!$K$3:$V$201,MATCH('Buildings - Water'!$E82&amp;$F82,'Emission factors'!$J$3:$J$201&amp;'Emission factors'!$K$3:$K$201,0),MATCH('Buildings - Water'!R$6,'Emission factors'!$K$2:$V$2,0)))*$K82)</f>
        <v/>
      </c>
      <c r="S82" s="157" t="str" cm="1">
        <f t="array" ref="S82">IF(OR($E82="",$I82=""),"",(INDEX('Emission factors'!$K$3:$V$201,MATCH('Buildings - Water'!$E82&amp;$F82,'Emission factors'!$J$3:$J$201&amp;'Emission factors'!$K$3:$K$201,0),MATCH('Buildings - Water'!S$6,'Emission factors'!$K$2:$V$2,0)))*$K82)</f>
        <v/>
      </c>
      <c r="T82" s="157" t="str" cm="1">
        <f t="array" ref="T82">IF(OR($E82="",$I82=""),"",(INDEX('Emission factors'!$K$3:$V$201,MATCH('Buildings - Water'!$E82&amp;$F82,'Emission factors'!$J$3:$J$201&amp;'Emission factors'!$K$3:$K$201,0),MATCH('Buildings - Water'!T$6,'Emission factors'!$K$2:$V$2,0)))*$K82)</f>
        <v/>
      </c>
      <c r="U82" s="157" t="str" cm="1">
        <f t="array" ref="U82">IF(OR($E82="",$I82=""),"",(INDEX('Emission factors'!$K$3:$V$201,MATCH('Buildings - Water'!$E82&amp;$F82,'Emission factors'!$J$3:$J$201&amp;'Emission factors'!$K$3:$K$201,0),MATCH('Buildings - Water'!U$6,'Emission factors'!$K$2:$V$2,0)))*$K82)</f>
        <v/>
      </c>
      <c r="V82" s="158" t="str">
        <f>IF(OR($N82="",BuildingsWaterTable[[#This Row],[RSD]]=""),"",BuildingsWaterTable[[#This Row],[Total emissions (kgCO2e)]]*(1+BuildingsWaterTable[[#This Row],[RSD]]))</f>
        <v/>
      </c>
      <c r="W82" s="159" t="str">
        <f>IF(OR($N82="",BuildingsWaterTable[[#This Row],[RSD]]=""),"",BuildingsWaterTable[[#This Row],[Total emissions (kgCO2e)]]*(1-BuildingsWaterTable[[#This Row],[RSD]]))</f>
        <v/>
      </c>
      <c r="X82" s="191" t="str" cm="1">
        <f t="array" ref="X82">IF(OR($E82="",$I82=""),"",(INDEX('Emission factors'!$K$3:$V$201,MATCH('Buildings - Water'!$E82&amp;$F82,'Emission factors'!$J$3:$J$201&amp;'Emission factors'!$K$3:$K$201,0),MATCH('Buildings - Water'!X$6,'Emission factors'!$K$2:$V$2,0)))*$K82)</f>
        <v/>
      </c>
      <c r="Y82" s="30"/>
      <c r="Z82" s="1" cm="1">
        <f t="array" ref="Z82">IF(OR(ISERROR(B82:X82)),1,0)</f>
        <v>0</v>
      </c>
      <c r="AA82" s="1">
        <f t="shared" si="4"/>
        <v>0</v>
      </c>
    </row>
    <row r="83" spans="1:27" ht="15" outlineLevel="1" thickBot="1" x14ac:dyDescent="0.4">
      <c r="A83" s="319"/>
      <c r="B83" s="216"/>
      <c r="C83" s="216"/>
      <c r="D83" s="233" t="str">
        <f>IFERROR(INDEX(BuildingInformationTable[Site type],MATCH(BuildingsWaterTable[[#This Row],[Site name]],BuildingInformationTable[Site name],0)),"")</f>
        <v/>
      </c>
      <c r="E83" s="312" t="str">
        <f t="shared" si="3"/>
        <v/>
      </c>
      <c r="F83" s="72"/>
      <c r="G83" s="72"/>
      <c r="H83" s="98" t="str">
        <f>IF(G83="","",INDEX(Lists!$BA$4:$BC$31,MATCH(E83,Lists!$AZ$4:$AZ$31,0),MATCH(G83,Lists!$BA$3:$BC$3,0)))</f>
        <v/>
      </c>
      <c r="I83" s="70"/>
      <c r="J83" s="72"/>
      <c r="K83" s="75" t="str" cm="1">
        <f t="array" ref="K83">IF(OR($E83="",$D83="",$I83="",$J83=""),"",IF(J83=L83,I83,(INDEX('Emission factors'!$K$3:$V$201,MATCH(E83&amp;F83,'Emission factors'!$J$3:$J$201&amp;'Emission factors'!$K$3:$K$201,0),MATCH(K$6,'Emission factors'!$K$2:$V$2,0)))*I83))</f>
        <v/>
      </c>
      <c r="L83" s="312" t="str">
        <f>IF(OR($E83="",$D83="",$I83="",$J83=""),"",INDEX('Emission factors'!$K$3:$V$201,MATCH('Buildings - Water'!$E83,'Emission factors'!$J$3:$J$201,0),MATCH($L$6,'Emission factors'!$K$2:$V$2,0)))</f>
        <v/>
      </c>
      <c r="M83" s="313" t="str" cm="1">
        <f t="array" ref="M83">IF(OR(E83="",I83="",BuildingsWaterTable[[#This Row],[Units]]=""),"",INDEX('Emission factors'!$K$3:$V$201,MATCH('Buildings - Water'!$E83&amp;F83,'Emission factors'!$J$3:$J$201&amp;'Emission factors'!$K$3:$K$201,0),MATCH('Buildings - Water'!$M$6,'Emission factors'!$K$2:$V$2,0)))</f>
        <v/>
      </c>
      <c r="N83" s="156" t="str">
        <f>IF(OR(K83="",M83=""),"",SUM(BuildingsWaterTable[[#This Row],[Direct]:[Indirect WTT]]))</f>
        <v/>
      </c>
      <c r="O83" s="71"/>
      <c r="P83" s="190"/>
      <c r="Q83" s="157" t="str" cm="1">
        <f t="array" ref="Q83">IF(OR($E83="",$I83=""),"",(INDEX('Emission factors'!$K$3:$V$201,MATCH('Buildings - Water'!$E83&amp;$F83,'Emission factors'!$J$3:$J$201&amp;'Emission factors'!$K$3:$K$201,0),MATCH('Buildings - Water'!Q$6,'Emission factors'!$K$2:$V$2,0)))*$K83)</f>
        <v/>
      </c>
      <c r="R83" s="157" t="str" cm="1">
        <f t="array" ref="R83">IF(OR($E83="",$I83=""),"",(INDEX('Emission factors'!$K$3:$V$201,MATCH('Buildings - Water'!$E83&amp;$F83,'Emission factors'!$J$3:$J$201&amp;'Emission factors'!$K$3:$K$201,0),MATCH('Buildings - Water'!R$6,'Emission factors'!$K$2:$V$2,0)))*$K83)</f>
        <v/>
      </c>
      <c r="S83" s="157" t="str" cm="1">
        <f t="array" ref="S83">IF(OR($E83="",$I83=""),"",(INDEX('Emission factors'!$K$3:$V$201,MATCH('Buildings - Water'!$E83&amp;$F83,'Emission factors'!$J$3:$J$201&amp;'Emission factors'!$K$3:$K$201,0),MATCH('Buildings - Water'!S$6,'Emission factors'!$K$2:$V$2,0)))*$K83)</f>
        <v/>
      </c>
      <c r="T83" s="157" t="str" cm="1">
        <f t="array" ref="T83">IF(OR($E83="",$I83=""),"",(INDEX('Emission factors'!$K$3:$V$201,MATCH('Buildings - Water'!$E83&amp;$F83,'Emission factors'!$J$3:$J$201&amp;'Emission factors'!$K$3:$K$201,0),MATCH('Buildings - Water'!T$6,'Emission factors'!$K$2:$V$2,0)))*$K83)</f>
        <v/>
      </c>
      <c r="U83" s="157" t="str" cm="1">
        <f t="array" ref="U83">IF(OR($E83="",$I83=""),"",(INDEX('Emission factors'!$K$3:$V$201,MATCH('Buildings - Water'!$E83&amp;$F83,'Emission factors'!$J$3:$J$201&amp;'Emission factors'!$K$3:$K$201,0),MATCH('Buildings - Water'!U$6,'Emission factors'!$K$2:$V$2,0)))*$K83)</f>
        <v/>
      </c>
      <c r="V83" s="158" t="str">
        <f>IF(OR($N83="",BuildingsWaterTable[[#This Row],[RSD]]=""),"",BuildingsWaterTable[[#This Row],[Total emissions (kgCO2e)]]*(1+BuildingsWaterTable[[#This Row],[RSD]]))</f>
        <v/>
      </c>
      <c r="W83" s="159" t="str">
        <f>IF(OR($N83="",BuildingsWaterTable[[#This Row],[RSD]]=""),"",BuildingsWaterTable[[#This Row],[Total emissions (kgCO2e)]]*(1-BuildingsWaterTable[[#This Row],[RSD]]))</f>
        <v/>
      </c>
      <c r="X83" s="191" t="str" cm="1">
        <f t="array" ref="X83">IF(OR($E83="",$I83=""),"",(INDEX('Emission factors'!$K$3:$V$201,MATCH('Buildings - Water'!$E83&amp;$F83,'Emission factors'!$J$3:$J$201&amp;'Emission factors'!$K$3:$K$201,0),MATCH('Buildings - Water'!X$6,'Emission factors'!$K$2:$V$2,0)))*$K83)</f>
        <v/>
      </c>
      <c r="Y83" s="30"/>
      <c r="Z83" s="1" cm="1">
        <f t="array" ref="Z83">IF(OR(ISERROR(B83:X83)),1,0)</f>
        <v>0</v>
      </c>
      <c r="AA83" s="1">
        <f t="shared" si="4"/>
        <v>0</v>
      </c>
    </row>
    <row r="84" spans="1:27" ht="15" outlineLevel="1" thickBot="1" x14ac:dyDescent="0.4">
      <c r="A84" s="319"/>
      <c r="B84" s="216"/>
      <c r="C84" s="216"/>
      <c r="D84" s="233" t="str">
        <f>IFERROR(INDEX(BuildingInformationTable[Site type],MATCH(BuildingsWaterTable[[#This Row],[Site name]],BuildingInformationTable[Site name],0)),"")</f>
        <v/>
      </c>
      <c r="E84" s="312" t="str">
        <f t="shared" si="3"/>
        <v/>
      </c>
      <c r="F84" s="72"/>
      <c r="G84" s="72"/>
      <c r="H84" s="98" t="str">
        <f>IF(G84="","",INDEX(Lists!$BA$4:$BC$31,MATCH(E84,Lists!$AZ$4:$AZ$31,0),MATCH(G84,Lists!$BA$3:$BC$3,0)))</f>
        <v/>
      </c>
      <c r="I84" s="70"/>
      <c r="J84" s="72"/>
      <c r="K84" s="75" t="str" cm="1">
        <f t="array" ref="K84">IF(OR($E84="",$D84="",$I84="",$J84=""),"",IF(J84=L84,I84,(INDEX('Emission factors'!$K$3:$V$201,MATCH(E84&amp;F84,'Emission factors'!$J$3:$J$201&amp;'Emission factors'!$K$3:$K$201,0),MATCH(K$6,'Emission factors'!$K$2:$V$2,0)))*I84))</f>
        <v/>
      </c>
      <c r="L84" s="312" t="str">
        <f>IF(OR($E84="",$D84="",$I84="",$J84=""),"",INDEX('Emission factors'!$K$3:$V$201,MATCH('Buildings - Water'!$E84,'Emission factors'!$J$3:$J$201,0),MATCH($L$6,'Emission factors'!$K$2:$V$2,0)))</f>
        <v/>
      </c>
      <c r="M84" s="313" t="str" cm="1">
        <f t="array" ref="M84">IF(OR(E84="",I84="",BuildingsWaterTable[[#This Row],[Units]]=""),"",INDEX('Emission factors'!$K$3:$V$201,MATCH('Buildings - Water'!$E84&amp;F84,'Emission factors'!$J$3:$J$201&amp;'Emission factors'!$K$3:$K$201,0),MATCH('Buildings - Water'!$M$6,'Emission factors'!$K$2:$V$2,0)))</f>
        <v/>
      </c>
      <c r="N84" s="156" t="str">
        <f>IF(OR(K84="",M84=""),"",SUM(BuildingsWaterTable[[#This Row],[Direct]:[Indirect WTT]]))</f>
        <v/>
      </c>
      <c r="O84" s="71"/>
      <c r="P84" s="190"/>
      <c r="Q84" s="157" t="str" cm="1">
        <f t="array" ref="Q84">IF(OR($E84="",$I84=""),"",(INDEX('Emission factors'!$K$3:$V$201,MATCH('Buildings - Water'!$E84&amp;$F84,'Emission factors'!$J$3:$J$201&amp;'Emission factors'!$K$3:$K$201,0),MATCH('Buildings - Water'!Q$6,'Emission factors'!$K$2:$V$2,0)))*$K84)</f>
        <v/>
      </c>
      <c r="R84" s="157" t="str" cm="1">
        <f t="array" ref="R84">IF(OR($E84="",$I84=""),"",(INDEX('Emission factors'!$K$3:$V$201,MATCH('Buildings - Water'!$E84&amp;$F84,'Emission factors'!$J$3:$J$201&amp;'Emission factors'!$K$3:$K$201,0),MATCH('Buildings - Water'!R$6,'Emission factors'!$K$2:$V$2,0)))*$K84)</f>
        <v/>
      </c>
      <c r="S84" s="157" t="str" cm="1">
        <f t="array" ref="S84">IF(OR($E84="",$I84=""),"",(INDEX('Emission factors'!$K$3:$V$201,MATCH('Buildings - Water'!$E84&amp;$F84,'Emission factors'!$J$3:$J$201&amp;'Emission factors'!$K$3:$K$201,0),MATCH('Buildings - Water'!S$6,'Emission factors'!$K$2:$V$2,0)))*$K84)</f>
        <v/>
      </c>
      <c r="T84" s="157" t="str" cm="1">
        <f t="array" ref="T84">IF(OR($E84="",$I84=""),"",(INDEX('Emission factors'!$K$3:$V$201,MATCH('Buildings - Water'!$E84&amp;$F84,'Emission factors'!$J$3:$J$201&amp;'Emission factors'!$K$3:$K$201,0),MATCH('Buildings - Water'!T$6,'Emission factors'!$K$2:$V$2,0)))*$K84)</f>
        <v/>
      </c>
      <c r="U84" s="157" t="str" cm="1">
        <f t="array" ref="U84">IF(OR($E84="",$I84=""),"",(INDEX('Emission factors'!$K$3:$V$201,MATCH('Buildings - Water'!$E84&amp;$F84,'Emission factors'!$J$3:$J$201&amp;'Emission factors'!$K$3:$K$201,0),MATCH('Buildings - Water'!U$6,'Emission factors'!$K$2:$V$2,0)))*$K84)</f>
        <v/>
      </c>
      <c r="V84" s="158" t="str">
        <f>IF(OR($N84="",BuildingsWaterTable[[#This Row],[RSD]]=""),"",BuildingsWaterTable[[#This Row],[Total emissions (kgCO2e)]]*(1+BuildingsWaterTable[[#This Row],[RSD]]))</f>
        <v/>
      </c>
      <c r="W84" s="159" t="str">
        <f>IF(OR($N84="",BuildingsWaterTable[[#This Row],[RSD]]=""),"",BuildingsWaterTable[[#This Row],[Total emissions (kgCO2e)]]*(1-BuildingsWaterTable[[#This Row],[RSD]]))</f>
        <v/>
      </c>
      <c r="X84" s="191" t="str" cm="1">
        <f t="array" ref="X84">IF(OR($E84="",$I84=""),"",(INDEX('Emission factors'!$K$3:$V$201,MATCH('Buildings - Water'!$E84&amp;$F84,'Emission factors'!$J$3:$J$201&amp;'Emission factors'!$K$3:$K$201,0),MATCH('Buildings - Water'!X$6,'Emission factors'!$K$2:$V$2,0)))*$K84)</f>
        <v/>
      </c>
      <c r="Y84" s="30"/>
      <c r="Z84" s="1" cm="1">
        <f t="array" ref="Z84">IF(OR(ISERROR(B84:X84)),1,0)</f>
        <v>0</v>
      </c>
      <c r="AA84" s="1">
        <f t="shared" si="4"/>
        <v>0</v>
      </c>
    </row>
    <row r="85" spans="1:27" ht="15" outlineLevel="1" thickBot="1" x14ac:dyDescent="0.4">
      <c r="A85" s="319"/>
      <c r="B85" s="216"/>
      <c r="C85" s="216"/>
      <c r="D85" s="233" t="str">
        <f>IFERROR(INDEX(BuildingInformationTable[Site type],MATCH(BuildingsWaterTable[[#This Row],[Site name]],BuildingInformationTable[Site name],0)),"")</f>
        <v/>
      </c>
      <c r="E85" s="312" t="str">
        <f t="shared" si="3"/>
        <v/>
      </c>
      <c r="F85" s="72"/>
      <c r="G85" s="72"/>
      <c r="H85" s="98" t="str">
        <f>IF(G85="","",INDEX(Lists!$BA$4:$BC$31,MATCH(E85,Lists!$AZ$4:$AZ$31,0),MATCH(G85,Lists!$BA$3:$BC$3,0)))</f>
        <v/>
      </c>
      <c r="I85" s="70"/>
      <c r="J85" s="72"/>
      <c r="K85" s="75" t="str" cm="1">
        <f t="array" ref="K85">IF(OR($E85="",$D85="",$I85="",$J85=""),"",IF(J85=L85,I85,(INDEX('Emission factors'!$K$3:$V$201,MATCH(E85&amp;F85,'Emission factors'!$J$3:$J$201&amp;'Emission factors'!$K$3:$K$201,0),MATCH(K$6,'Emission factors'!$K$2:$V$2,0)))*I85))</f>
        <v/>
      </c>
      <c r="L85" s="312" t="str">
        <f>IF(OR($E85="",$D85="",$I85="",$J85=""),"",INDEX('Emission factors'!$K$3:$V$201,MATCH('Buildings - Water'!$E85,'Emission factors'!$J$3:$J$201,0),MATCH($L$6,'Emission factors'!$K$2:$V$2,0)))</f>
        <v/>
      </c>
      <c r="M85" s="313" t="str" cm="1">
        <f t="array" ref="M85">IF(OR(E85="",I85="",BuildingsWaterTable[[#This Row],[Units]]=""),"",INDEX('Emission factors'!$K$3:$V$201,MATCH('Buildings - Water'!$E85&amp;F85,'Emission factors'!$J$3:$J$201&amp;'Emission factors'!$K$3:$K$201,0),MATCH('Buildings - Water'!$M$6,'Emission factors'!$K$2:$V$2,0)))</f>
        <v/>
      </c>
      <c r="N85" s="156" t="str">
        <f>IF(OR(K85="",M85=""),"",SUM(BuildingsWaterTable[[#This Row],[Direct]:[Indirect WTT]]))</f>
        <v/>
      </c>
      <c r="O85" s="71"/>
      <c r="P85" s="72"/>
      <c r="Q85" s="157" t="str" cm="1">
        <f t="array" ref="Q85">IF(OR($E85="",$I85=""),"",(INDEX('Emission factors'!$K$3:$V$201,MATCH('Buildings - Water'!$E85&amp;$F85,'Emission factors'!$J$3:$J$201&amp;'Emission factors'!$K$3:$K$201,0),MATCH('Buildings - Water'!Q$6,'Emission factors'!$K$2:$V$2,0)))*$K85)</f>
        <v/>
      </c>
      <c r="R85" s="157" t="str" cm="1">
        <f t="array" ref="R85">IF(OR($E85="",$I85=""),"",(INDEX('Emission factors'!$K$3:$V$201,MATCH('Buildings - Water'!$E85&amp;$F85,'Emission factors'!$J$3:$J$201&amp;'Emission factors'!$K$3:$K$201,0),MATCH('Buildings - Water'!R$6,'Emission factors'!$K$2:$V$2,0)))*$K85)</f>
        <v/>
      </c>
      <c r="S85" s="157" t="str" cm="1">
        <f t="array" ref="S85">IF(OR($E85="",$I85=""),"",(INDEX('Emission factors'!$K$3:$V$201,MATCH('Buildings - Water'!$E85&amp;$F85,'Emission factors'!$J$3:$J$201&amp;'Emission factors'!$K$3:$K$201,0),MATCH('Buildings - Water'!S$6,'Emission factors'!$K$2:$V$2,0)))*$K85)</f>
        <v/>
      </c>
      <c r="T85" s="157" t="str" cm="1">
        <f t="array" ref="T85">IF(OR($E85="",$I85=""),"",(INDEX('Emission factors'!$K$3:$V$201,MATCH('Buildings - Water'!$E85&amp;$F85,'Emission factors'!$J$3:$J$201&amp;'Emission factors'!$K$3:$K$201,0),MATCH('Buildings - Water'!T$6,'Emission factors'!$K$2:$V$2,0)))*$K85)</f>
        <v/>
      </c>
      <c r="U85" s="157" t="str" cm="1">
        <f t="array" ref="U85">IF(OR($E85="",$I85=""),"",(INDEX('Emission factors'!$K$3:$V$201,MATCH('Buildings - Water'!$E85&amp;$F85,'Emission factors'!$J$3:$J$201&amp;'Emission factors'!$K$3:$K$201,0),MATCH('Buildings - Water'!U$6,'Emission factors'!$K$2:$V$2,0)))*$K85)</f>
        <v/>
      </c>
      <c r="V85" s="158" t="str">
        <f>IF(OR($N85="",BuildingsWaterTable[[#This Row],[RSD]]=""),"",BuildingsWaterTable[[#This Row],[Total emissions (kgCO2e)]]*(1+BuildingsWaterTable[[#This Row],[RSD]]))</f>
        <v/>
      </c>
      <c r="W85" s="159" t="str">
        <f>IF(OR($N85="",BuildingsWaterTable[[#This Row],[RSD]]=""),"",BuildingsWaterTable[[#This Row],[Total emissions (kgCO2e)]]*(1-BuildingsWaterTable[[#This Row],[RSD]]))</f>
        <v/>
      </c>
      <c r="X85" s="169" t="str" cm="1">
        <f t="array" ref="X85">IF(OR($E85="",$I85=""),"",(INDEX('Emission factors'!$K$3:$V$201,MATCH('Buildings - Water'!$E85&amp;$F85,'Emission factors'!$J$3:$J$201&amp;'Emission factors'!$K$3:$K$201,0),MATCH('Buildings - Water'!X$6,'Emission factors'!$K$2:$V$2,0)))*$K85)</f>
        <v/>
      </c>
      <c r="Y85" s="30"/>
      <c r="Z85" s="1" cm="1">
        <f t="array" ref="Z85">IF(OR(ISERROR(B85:X85)),1,0)</f>
        <v>0</v>
      </c>
      <c r="AA85" s="1">
        <f t="shared" si="4"/>
        <v>0</v>
      </c>
    </row>
    <row r="86" spans="1:27" ht="15" outlineLevel="1" thickBot="1" x14ac:dyDescent="0.4">
      <c r="A86" s="319"/>
      <c r="B86" s="216"/>
      <c r="C86" s="216"/>
      <c r="D86" s="233" t="str">
        <f>IFERROR(INDEX(BuildingInformationTable[Site type],MATCH(BuildingsWaterTable[[#This Row],[Site name]],BuildingInformationTable[Site name],0)),"")</f>
        <v/>
      </c>
      <c r="E86" s="312" t="str">
        <f t="shared" si="3"/>
        <v/>
      </c>
      <c r="F86" s="72"/>
      <c r="G86" s="72"/>
      <c r="H86" s="98" t="str">
        <f>IF(G86="","",INDEX(Lists!$BA$4:$BC$31,MATCH(E86,Lists!$AZ$4:$AZ$31,0),MATCH(G86,Lists!$BA$3:$BC$3,0)))</f>
        <v/>
      </c>
      <c r="I86" s="70"/>
      <c r="J86" s="72"/>
      <c r="K86" s="75" t="str" cm="1">
        <f t="array" ref="K86">IF(OR($E86="",$D86="",$I86="",$J86=""),"",IF(J86=L86,I86,(INDEX('Emission factors'!$K$3:$V$201,MATCH(E86&amp;F86,'Emission factors'!$J$3:$J$201&amp;'Emission factors'!$K$3:$K$201,0),MATCH(K$6,'Emission factors'!$K$2:$V$2,0)))*I86))</f>
        <v/>
      </c>
      <c r="L86" s="312" t="str">
        <f>IF(OR($E86="",$D86="",$I86="",$J86=""),"",INDEX('Emission factors'!$K$3:$V$201,MATCH('Buildings - Water'!$E86,'Emission factors'!$J$3:$J$201,0),MATCH($L$6,'Emission factors'!$K$2:$V$2,0)))</f>
        <v/>
      </c>
      <c r="M86" s="313" t="str" cm="1">
        <f t="array" ref="M86">IF(OR(E86="",I86="",BuildingsWaterTable[[#This Row],[Units]]=""),"",INDEX('Emission factors'!$K$3:$V$201,MATCH('Buildings - Water'!$E86&amp;F86,'Emission factors'!$J$3:$J$201&amp;'Emission factors'!$K$3:$K$201,0),MATCH('Buildings - Water'!$M$6,'Emission factors'!$K$2:$V$2,0)))</f>
        <v/>
      </c>
      <c r="N86" s="156" t="str">
        <f>IF(OR(K86="",M86=""),"",SUM(BuildingsWaterTable[[#This Row],[Direct]:[Indirect WTT]]))</f>
        <v/>
      </c>
      <c r="O86" s="71"/>
      <c r="P86" s="72"/>
      <c r="Q86" s="157" t="str" cm="1">
        <f t="array" ref="Q86">IF(OR($E86="",$I86=""),"",(INDEX('Emission factors'!$K$3:$V$201,MATCH('Buildings - Water'!$E86&amp;$F86,'Emission factors'!$J$3:$J$201&amp;'Emission factors'!$K$3:$K$201,0),MATCH('Buildings - Water'!Q$6,'Emission factors'!$K$2:$V$2,0)))*$K86)</f>
        <v/>
      </c>
      <c r="R86" s="157" t="str" cm="1">
        <f t="array" ref="R86">IF(OR($E86="",$I86=""),"",(INDEX('Emission factors'!$K$3:$V$201,MATCH('Buildings - Water'!$E86&amp;$F86,'Emission factors'!$J$3:$J$201&amp;'Emission factors'!$K$3:$K$201,0),MATCH('Buildings - Water'!R$6,'Emission factors'!$K$2:$V$2,0)))*$K86)</f>
        <v/>
      </c>
      <c r="S86" s="157" t="str" cm="1">
        <f t="array" ref="S86">IF(OR($E86="",$I86=""),"",(INDEX('Emission factors'!$K$3:$V$201,MATCH('Buildings - Water'!$E86&amp;$F86,'Emission factors'!$J$3:$J$201&amp;'Emission factors'!$K$3:$K$201,0),MATCH('Buildings - Water'!S$6,'Emission factors'!$K$2:$V$2,0)))*$K86)</f>
        <v/>
      </c>
      <c r="T86" s="157" t="str" cm="1">
        <f t="array" ref="T86">IF(OR($E86="",$I86=""),"",(INDEX('Emission factors'!$K$3:$V$201,MATCH('Buildings - Water'!$E86&amp;$F86,'Emission factors'!$J$3:$J$201&amp;'Emission factors'!$K$3:$K$201,0),MATCH('Buildings - Water'!T$6,'Emission factors'!$K$2:$V$2,0)))*$K86)</f>
        <v/>
      </c>
      <c r="U86" s="157" t="str" cm="1">
        <f t="array" ref="U86">IF(OR($E86="",$I86=""),"",(INDEX('Emission factors'!$K$3:$V$201,MATCH('Buildings - Water'!$E86&amp;$F86,'Emission factors'!$J$3:$J$201&amp;'Emission factors'!$K$3:$K$201,0),MATCH('Buildings - Water'!U$6,'Emission factors'!$K$2:$V$2,0)))*$K86)</f>
        <v/>
      </c>
      <c r="V86" s="158" t="str">
        <f>IF(OR($N86="",BuildingsWaterTable[[#This Row],[RSD]]=""),"",BuildingsWaterTable[[#This Row],[Total emissions (kgCO2e)]]*(1+BuildingsWaterTable[[#This Row],[RSD]]))</f>
        <v/>
      </c>
      <c r="W86" s="159" t="str">
        <f>IF(OR($N86="",BuildingsWaterTable[[#This Row],[RSD]]=""),"",BuildingsWaterTable[[#This Row],[Total emissions (kgCO2e)]]*(1-BuildingsWaterTable[[#This Row],[RSD]]))</f>
        <v/>
      </c>
      <c r="X86" s="169" t="str" cm="1">
        <f t="array" ref="X86">IF(OR($E86="",$I86=""),"",(INDEX('Emission factors'!$K$3:$V$201,MATCH('Buildings - Water'!$E86&amp;$F86,'Emission factors'!$J$3:$J$201&amp;'Emission factors'!$K$3:$K$201,0),MATCH('Buildings - Water'!X$6,'Emission factors'!$K$2:$V$2,0)))*$K86)</f>
        <v/>
      </c>
      <c r="Y86" s="30"/>
      <c r="Z86" s="1" cm="1">
        <f t="array" ref="Z86">IF(OR(ISERROR(B86:X86)),1,0)</f>
        <v>0</v>
      </c>
      <c r="AA86" s="1">
        <f t="shared" si="4"/>
        <v>0</v>
      </c>
    </row>
    <row r="87" spans="1:27" ht="15" outlineLevel="1" thickBot="1" x14ac:dyDescent="0.4">
      <c r="A87" s="319"/>
      <c r="B87" s="216"/>
      <c r="C87" s="216"/>
      <c r="D87" s="233" t="str">
        <f>IFERROR(INDEX(BuildingInformationTable[Site type],MATCH(BuildingsWaterTable[[#This Row],[Site name]],BuildingInformationTable[Site name],0)),"")</f>
        <v/>
      </c>
      <c r="E87" s="312" t="str">
        <f t="shared" si="3"/>
        <v/>
      </c>
      <c r="F87" s="72"/>
      <c r="G87" s="72"/>
      <c r="H87" s="98" t="str">
        <f>IF(G87="","",INDEX(Lists!$BA$4:$BC$31,MATCH(E87,Lists!$AZ$4:$AZ$31,0),MATCH(G87,Lists!$BA$3:$BC$3,0)))</f>
        <v/>
      </c>
      <c r="I87" s="70"/>
      <c r="J87" s="72"/>
      <c r="K87" s="75" t="str" cm="1">
        <f t="array" ref="K87">IF(OR($E87="",$D87="",$I87="",$J87=""),"",IF(J87=L87,I87,(INDEX('Emission factors'!$K$3:$V$201,MATCH(E87&amp;F87,'Emission factors'!$J$3:$J$201&amp;'Emission factors'!$K$3:$K$201,0),MATCH(K$6,'Emission factors'!$K$2:$V$2,0)))*I87))</f>
        <v/>
      </c>
      <c r="L87" s="312" t="str">
        <f>IF(OR($E87="",$D87="",$I87="",$J87=""),"",INDEX('Emission factors'!$K$3:$V$201,MATCH('Buildings - Water'!$E87,'Emission factors'!$J$3:$J$201,0),MATCH($L$6,'Emission factors'!$K$2:$V$2,0)))</f>
        <v/>
      </c>
      <c r="M87" s="313" t="str" cm="1">
        <f t="array" ref="M87">IF(OR(E87="",I87="",BuildingsWaterTable[[#This Row],[Units]]=""),"",INDEX('Emission factors'!$K$3:$V$201,MATCH('Buildings - Water'!$E87&amp;F87,'Emission factors'!$J$3:$J$201&amp;'Emission factors'!$K$3:$K$201,0),MATCH('Buildings - Water'!$M$6,'Emission factors'!$K$2:$V$2,0)))</f>
        <v/>
      </c>
      <c r="N87" s="156" t="str">
        <f>IF(OR(K87="",M87=""),"",SUM(BuildingsWaterTable[[#This Row],[Direct]:[Indirect WTT]]))</f>
        <v/>
      </c>
      <c r="O87" s="71"/>
      <c r="P87" s="72"/>
      <c r="Q87" s="157" t="str" cm="1">
        <f t="array" ref="Q87">IF(OR($E87="",$I87=""),"",(INDEX('Emission factors'!$K$3:$V$201,MATCH('Buildings - Water'!$E87&amp;$F87,'Emission factors'!$J$3:$J$201&amp;'Emission factors'!$K$3:$K$201,0),MATCH('Buildings - Water'!Q$6,'Emission factors'!$K$2:$V$2,0)))*$K87)</f>
        <v/>
      </c>
      <c r="R87" s="157" t="str" cm="1">
        <f t="array" ref="R87">IF(OR($E87="",$I87=""),"",(INDEX('Emission factors'!$K$3:$V$201,MATCH('Buildings - Water'!$E87&amp;$F87,'Emission factors'!$J$3:$J$201&amp;'Emission factors'!$K$3:$K$201,0),MATCH('Buildings - Water'!R$6,'Emission factors'!$K$2:$V$2,0)))*$K87)</f>
        <v/>
      </c>
      <c r="S87" s="157" t="str" cm="1">
        <f t="array" ref="S87">IF(OR($E87="",$I87=""),"",(INDEX('Emission factors'!$K$3:$V$201,MATCH('Buildings - Water'!$E87&amp;$F87,'Emission factors'!$J$3:$J$201&amp;'Emission factors'!$K$3:$K$201,0),MATCH('Buildings - Water'!S$6,'Emission factors'!$K$2:$V$2,0)))*$K87)</f>
        <v/>
      </c>
      <c r="T87" s="157" t="str" cm="1">
        <f t="array" ref="T87">IF(OR($E87="",$I87=""),"",(INDEX('Emission factors'!$K$3:$V$201,MATCH('Buildings - Water'!$E87&amp;$F87,'Emission factors'!$J$3:$J$201&amp;'Emission factors'!$K$3:$K$201,0),MATCH('Buildings - Water'!T$6,'Emission factors'!$K$2:$V$2,0)))*$K87)</f>
        <v/>
      </c>
      <c r="U87" s="157" t="str" cm="1">
        <f t="array" ref="U87">IF(OR($E87="",$I87=""),"",(INDEX('Emission factors'!$K$3:$V$201,MATCH('Buildings - Water'!$E87&amp;$F87,'Emission factors'!$J$3:$J$201&amp;'Emission factors'!$K$3:$K$201,0),MATCH('Buildings - Water'!U$6,'Emission factors'!$K$2:$V$2,0)))*$K87)</f>
        <v/>
      </c>
      <c r="V87" s="158" t="str">
        <f>IF(OR($N87="",BuildingsWaterTable[[#This Row],[RSD]]=""),"",BuildingsWaterTable[[#This Row],[Total emissions (kgCO2e)]]*(1+BuildingsWaterTable[[#This Row],[RSD]]))</f>
        <v/>
      </c>
      <c r="W87" s="159" t="str">
        <f>IF(OR($N87="",BuildingsWaterTable[[#This Row],[RSD]]=""),"",BuildingsWaterTable[[#This Row],[Total emissions (kgCO2e)]]*(1-BuildingsWaterTable[[#This Row],[RSD]]))</f>
        <v/>
      </c>
      <c r="X87" s="169" t="str" cm="1">
        <f t="array" ref="X87">IF(OR($E87="",$I87=""),"",(INDEX('Emission factors'!$K$3:$V$201,MATCH('Buildings - Water'!$E87&amp;$F87,'Emission factors'!$J$3:$J$201&amp;'Emission factors'!$K$3:$K$201,0),MATCH('Buildings - Water'!X$6,'Emission factors'!$K$2:$V$2,0)))*$K87)</f>
        <v/>
      </c>
      <c r="Y87" s="30"/>
      <c r="Z87" s="1" cm="1">
        <f t="array" ref="Z87">IF(OR(ISERROR(B87:X87)),1,0)</f>
        <v>0</v>
      </c>
      <c r="AA87" s="1">
        <f t="shared" si="4"/>
        <v>0</v>
      </c>
    </row>
    <row r="88" spans="1:27" ht="15" outlineLevel="1" thickBot="1" x14ac:dyDescent="0.4">
      <c r="A88" s="319"/>
      <c r="B88" s="216"/>
      <c r="C88" s="216"/>
      <c r="D88" s="233" t="str">
        <f>IFERROR(INDEX(BuildingInformationTable[Site type],MATCH(BuildingsWaterTable[[#This Row],[Site name]],BuildingInformationTable[Site name],0)),"")</f>
        <v/>
      </c>
      <c r="E88" s="312" t="str">
        <f t="shared" si="3"/>
        <v/>
      </c>
      <c r="F88" s="72"/>
      <c r="G88" s="72"/>
      <c r="H88" s="98" t="str">
        <f>IF(G88="","",INDEX(Lists!$BA$4:$BC$31,MATCH(E88,Lists!$AZ$4:$AZ$31,0),MATCH(G88,Lists!$BA$3:$BC$3,0)))</f>
        <v/>
      </c>
      <c r="I88" s="70"/>
      <c r="J88" s="72"/>
      <c r="K88" s="75" t="str" cm="1">
        <f t="array" ref="K88">IF(OR($E88="",$D88="",$I88="",$J88=""),"",IF(J88=L88,I88,(INDEX('Emission factors'!$K$3:$V$201,MATCH(E88&amp;F88,'Emission factors'!$J$3:$J$201&amp;'Emission factors'!$K$3:$K$201,0),MATCH(K$6,'Emission factors'!$K$2:$V$2,0)))*I88))</f>
        <v/>
      </c>
      <c r="L88" s="312" t="str">
        <f>IF(OR($E88="",$D88="",$I88="",$J88=""),"",INDEX('Emission factors'!$K$3:$V$201,MATCH('Buildings - Water'!$E88,'Emission factors'!$J$3:$J$201,0),MATCH($L$6,'Emission factors'!$K$2:$V$2,0)))</f>
        <v/>
      </c>
      <c r="M88" s="313" t="str" cm="1">
        <f t="array" ref="M88">IF(OR(E88="",I88="",BuildingsWaterTable[[#This Row],[Units]]=""),"",INDEX('Emission factors'!$K$3:$V$201,MATCH('Buildings - Water'!$E88&amp;F88,'Emission factors'!$J$3:$J$201&amp;'Emission factors'!$K$3:$K$201,0),MATCH('Buildings - Water'!$M$6,'Emission factors'!$K$2:$V$2,0)))</f>
        <v/>
      </c>
      <c r="N88" s="156" t="str">
        <f>IF(OR(K88="",M88=""),"",SUM(BuildingsWaterTable[[#This Row],[Direct]:[Indirect WTT]]))</f>
        <v/>
      </c>
      <c r="O88" s="71"/>
      <c r="P88" s="72"/>
      <c r="Q88" s="157" t="str" cm="1">
        <f t="array" ref="Q88">IF(OR($E88="",$I88=""),"",(INDEX('Emission factors'!$K$3:$V$201,MATCH('Buildings - Water'!$E88&amp;$F88,'Emission factors'!$J$3:$J$201&amp;'Emission factors'!$K$3:$K$201,0),MATCH('Buildings - Water'!Q$6,'Emission factors'!$K$2:$V$2,0)))*$K88)</f>
        <v/>
      </c>
      <c r="R88" s="157" t="str" cm="1">
        <f t="array" ref="R88">IF(OR($E88="",$I88=""),"",(INDEX('Emission factors'!$K$3:$V$201,MATCH('Buildings - Water'!$E88&amp;$F88,'Emission factors'!$J$3:$J$201&amp;'Emission factors'!$K$3:$K$201,0),MATCH('Buildings - Water'!R$6,'Emission factors'!$K$2:$V$2,0)))*$K88)</f>
        <v/>
      </c>
      <c r="S88" s="157" t="str" cm="1">
        <f t="array" ref="S88">IF(OR($E88="",$I88=""),"",(INDEX('Emission factors'!$K$3:$V$201,MATCH('Buildings - Water'!$E88&amp;$F88,'Emission factors'!$J$3:$J$201&amp;'Emission factors'!$K$3:$K$201,0),MATCH('Buildings - Water'!S$6,'Emission factors'!$K$2:$V$2,0)))*$K88)</f>
        <v/>
      </c>
      <c r="T88" s="157" t="str" cm="1">
        <f t="array" ref="T88">IF(OR($E88="",$I88=""),"",(INDEX('Emission factors'!$K$3:$V$201,MATCH('Buildings - Water'!$E88&amp;$F88,'Emission factors'!$J$3:$J$201&amp;'Emission factors'!$K$3:$K$201,0),MATCH('Buildings - Water'!T$6,'Emission factors'!$K$2:$V$2,0)))*$K88)</f>
        <v/>
      </c>
      <c r="U88" s="157" t="str" cm="1">
        <f t="array" ref="U88">IF(OR($E88="",$I88=""),"",(INDEX('Emission factors'!$K$3:$V$201,MATCH('Buildings - Water'!$E88&amp;$F88,'Emission factors'!$J$3:$J$201&amp;'Emission factors'!$K$3:$K$201,0),MATCH('Buildings - Water'!U$6,'Emission factors'!$K$2:$V$2,0)))*$K88)</f>
        <v/>
      </c>
      <c r="V88" s="158" t="str">
        <f>IF(OR($N88="",BuildingsWaterTable[[#This Row],[RSD]]=""),"",BuildingsWaterTable[[#This Row],[Total emissions (kgCO2e)]]*(1+BuildingsWaterTable[[#This Row],[RSD]]))</f>
        <v/>
      </c>
      <c r="W88" s="159" t="str">
        <f>IF(OR($N88="",BuildingsWaterTable[[#This Row],[RSD]]=""),"",BuildingsWaterTable[[#This Row],[Total emissions (kgCO2e)]]*(1-BuildingsWaterTable[[#This Row],[RSD]]))</f>
        <v/>
      </c>
      <c r="X88" s="169" t="str" cm="1">
        <f t="array" ref="X88">IF(OR($E88="",$I88=""),"",(INDEX('Emission factors'!$K$3:$V$201,MATCH('Buildings - Water'!$E88&amp;$F88,'Emission factors'!$J$3:$J$201&amp;'Emission factors'!$K$3:$K$201,0),MATCH('Buildings - Water'!X$6,'Emission factors'!$K$2:$V$2,0)))*$K88)</f>
        <v/>
      </c>
      <c r="Y88" s="30"/>
      <c r="Z88" s="1" cm="1">
        <f t="array" ref="Z88">IF(OR(ISERROR(B88:X88)),1,0)</f>
        <v>0</v>
      </c>
      <c r="AA88" s="1">
        <f t="shared" si="4"/>
        <v>0</v>
      </c>
    </row>
    <row r="89" spans="1:27" ht="15" outlineLevel="1" thickBot="1" x14ac:dyDescent="0.4">
      <c r="A89" s="319"/>
      <c r="B89" s="216"/>
      <c r="C89" s="216"/>
      <c r="D89" s="233" t="str">
        <f>IFERROR(INDEX(BuildingInformationTable[Site type],MATCH(BuildingsWaterTable[[#This Row],[Site name]],BuildingInformationTable[Site name],0)),"")</f>
        <v/>
      </c>
      <c r="E89" s="312" t="str">
        <f t="shared" si="3"/>
        <v/>
      </c>
      <c r="F89" s="72"/>
      <c r="G89" s="72"/>
      <c r="H89" s="98" t="str">
        <f>IF(G89="","",INDEX(Lists!$BA$4:$BC$31,MATCH(E89,Lists!$AZ$4:$AZ$31,0),MATCH(G89,Lists!$BA$3:$BC$3,0)))</f>
        <v/>
      </c>
      <c r="I89" s="70"/>
      <c r="J89" s="72"/>
      <c r="K89" s="75" t="str" cm="1">
        <f t="array" ref="K89">IF(OR($E89="",$D89="",$I89="",$J89=""),"",IF(J89=L89,I89,(INDEX('Emission factors'!$K$3:$V$201,MATCH(E89&amp;F89,'Emission factors'!$J$3:$J$201&amp;'Emission factors'!$K$3:$K$201,0),MATCH(K$6,'Emission factors'!$K$2:$V$2,0)))*I89))</f>
        <v/>
      </c>
      <c r="L89" s="312" t="str">
        <f>IF(OR($E89="",$D89="",$I89="",$J89=""),"",INDEX('Emission factors'!$K$3:$V$201,MATCH('Buildings - Water'!$E89,'Emission factors'!$J$3:$J$201,0),MATCH($L$6,'Emission factors'!$K$2:$V$2,0)))</f>
        <v/>
      </c>
      <c r="M89" s="313" t="str" cm="1">
        <f t="array" ref="M89">IF(OR(E89="",I89="",BuildingsWaterTable[[#This Row],[Units]]=""),"",INDEX('Emission factors'!$K$3:$V$201,MATCH('Buildings - Water'!$E89&amp;F89,'Emission factors'!$J$3:$J$201&amp;'Emission factors'!$K$3:$K$201,0),MATCH('Buildings - Water'!$M$6,'Emission factors'!$K$2:$V$2,0)))</f>
        <v/>
      </c>
      <c r="N89" s="156" t="str">
        <f>IF(OR(K89="",M89=""),"",SUM(BuildingsWaterTable[[#This Row],[Direct]:[Indirect WTT]]))</f>
        <v/>
      </c>
      <c r="O89" s="71"/>
      <c r="P89" s="72"/>
      <c r="Q89" s="157" t="str" cm="1">
        <f t="array" ref="Q89">IF(OR($E89="",$I89=""),"",(INDEX('Emission factors'!$K$3:$V$201,MATCH('Buildings - Water'!$E89&amp;$F89,'Emission factors'!$J$3:$J$201&amp;'Emission factors'!$K$3:$K$201,0),MATCH('Buildings - Water'!Q$6,'Emission factors'!$K$2:$V$2,0)))*$K89)</f>
        <v/>
      </c>
      <c r="R89" s="157" t="str" cm="1">
        <f t="array" ref="R89">IF(OR($E89="",$I89=""),"",(INDEX('Emission factors'!$K$3:$V$201,MATCH('Buildings - Water'!$E89&amp;$F89,'Emission factors'!$J$3:$J$201&amp;'Emission factors'!$K$3:$K$201,0),MATCH('Buildings - Water'!R$6,'Emission factors'!$K$2:$V$2,0)))*$K89)</f>
        <v/>
      </c>
      <c r="S89" s="157" t="str" cm="1">
        <f t="array" ref="S89">IF(OR($E89="",$I89=""),"",(INDEX('Emission factors'!$K$3:$V$201,MATCH('Buildings - Water'!$E89&amp;$F89,'Emission factors'!$J$3:$J$201&amp;'Emission factors'!$K$3:$K$201,0),MATCH('Buildings - Water'!S$6,'Emission factors'!$K$2:$V$2,0)))*$K89)</f>
        <v/>
      </c>
      <c r="T89" s="157" t="str" cm="1">
        <f t="array" ref="T89">IF(OR($E89="",$I89=""),"",(INDEX('Emission factors'!$K$3:$V$201,MATCH('Buildings - Water'!$E89&amp;$F89,'Emission factors'!$J$3:$J$201&amp;'Emission factors'!$K$3:$K$201,0),MATCH('Buildings - Water'!T$6,'Emission factors'!$K$2:$V$2,0)))*$K89)</f>
        <v/>
      </c>
      <c r="U89" s="157" t="str" cm="1">
        <f t="array" ref="U89">IF(OR($E89="",$I89=""),"",(INDEX('Emission factors'!$K$3:$V$201,MATCH('Buildings - Water'!$E89&amp;$F89,'Emission factors'!$J$3:$J$201&amp;'Emission factors'!$K$3:$K$201,0),MATCH('Buildings - Water'!U$6,'Emission factors'!$K$2:$V$2,0)))*$K89)</f>
        <v/>
      </c>
      <c r="V89" s="158" t="str">
        <f>IF(OR($N89="",BuildingsWaterTable[[#This Row],[RSD]]=""),"",BuildingsWaterTable[[#This Row],[Total emissions (kgCO2e)]]*(1+BuildingsWaterTable[[#This Row],[RSD]]))</f>
        <v/>
      </c>
      <c r="W89" s="159" t="str">
        <f>IF(OR($N89="",BuildingsWaterTable[[#This Row],[RSD]]=""),"",BuildingsWaterTable[[#This Row],[Total emissions (kgCO2e)]]*(1-BuildingsWaterTable[[#This Row],[RSD]]))</f>
        <v/>
      </c>
      <c r="X89" s="169" t="str" cm="1">
        <f t="array" ref="X89">IF(OR($E89="",$I89=""),"",(INDEX('Emission factors'!$K$3:$V$201,MATCH('Buildings - Water'!$E89&amp;$F89,'Emission factors'!$J$3:$J$201&amp;'Emission factors'!$K$3:$K$201,0),MATCH('Buildings - Water'!X$6,'Emission factors'!$K$2:$V$2,0)))*$K89)</f>
        <v/>
      </c>
      <c r="Y89" s="30"/>
      <c r="Z89" s="1" cm="1">
        <f t="array" ref="Z89">IF(OR(ISERROR(B89:X89)),1,0)</f>
        <v>0</v>
      </c>
      <c r="AA89" s="1">
        <f t="shared" si="4"/>
        <v>0</v>
      </c>
    </row>
    <row r="90" spans="1:27" ht="15" outlineLevel="1" thickBot="1" x14ac:dyDescent="0.4">
      <c r="A90" s="319"/>
      <c r="B90" s="216"/>
      <c r="C90" s="216"/>
      <c r="D90" s="233" t="str">
        <f>IFERROR(INDEX(BuildingInformationTable[Site type],MATCH(BuildingsWaterTable[[#This Row],[Site name]],BuildingInformationTable[Site name],0)),"")</f>
        <v/>
      </c>
      <c r="E90" s="312" t="str">
        <f t="shared" si="3"/>
        <v/>
      </c>
      <c r="F90" s="72"/>
      <c r="G90" s="72"/>
      <c r="H90" s="98" t="str">
        <f>IF(G90="","",INDEX(Lists!$BA$4:$BC$31,MATCH(E90,Lists!$AZ$4:$AZ$31,0),MATCH(G90,Lists!$BA$3:$BC$3,0)))</f>
        <v/>
      </c>
      <c r="I90" s="70"/>
      <c r="J90" s="72"/>
      <c r="K90" s="75" t="str" cm="1">
        <f t="array" ref="K90">IF(OR($E90="",$D90="",$I90="",$J90=""),"",IF(J90=L90,I90,(INDEX('Emission factors'!$K$3:$V$201,MATCH(E90&amp;F90,'Emission factors'!$J$3:$J$201&amp;'Emission factors'!$K$3:$K$201,0),MATCH(K$6,'Emission factors'!$K$2:$V$2,0)))*I90))</f>
        <v/>
      </c>
      <c r="L90" s="312" t="str">
        <f>IF(OR($E90="",$D90="",$I90="",$J90=""),"",INDEX('Emission factors'!$K$3:$V$201,MATCH('Buildings - Water'!$E90,'Emission factors'!$J$3:$J$201,0),MATCH($L$6,'Emission factors'!$K$2:$V$2,0)))</f>
        <v/>
      </c>
      <c r="M90" s="313" t="str" cm="1">
        <f t="array" ref="M90">IF(OR(E90="",I90="",BuildingsWaterTable[[#This Row],[Units]]=""),"",INDEX('Emission factors'!$K$3:$V$201,MATCH('Buildings - Water'!$E90&amp;F90,'Emission factors'!$J$3:$J$201&amp;'Emission factors'!$K$3:$K$201,0),MATCH('Buildings - Water'!$M$6,'Emission factors'!$K$2:$V$2,0)))</f>
        <v/>
      </c>
      <c r="N90" s="156" t="str">
        <f>IF(OR(K90="",M90=""),"",SUM(BuildingsWaterTable[[#This Row],[Direct]:[Indirect WTT]]))</f>
        <v/>
      </c>
      <c r="O90" s="71"/>
      <c r="P90" s="72"/>
      <c r="Q90" s="157" t="str" cm="1">
        <f t="array" ref="Q90">IF(OR($E90="",$I90=""),"",(INDEX('Emission factors'!$K$3:$V$201,MATCH('Buildings - Water'!$E90&amp;$F90,'Emission factors'!$J$3:$J$201&amp;'Emission factors'!$K$3:$K$201,0),MATCH('Buildings - Water'!Q$6,'Emission factors'!$K$2:$V$2,0)))*$K90)</f>
        <v/>
      </c>
      <c r="R90" s="157" t="str" cm="1">
        <f t="array" ref="R90">IF(OR($E90="",$I90=""),"",(INDEX('Emission factors'!$K$3:$V$201,MATCH('Buildings - Water'!$E90&amp;$F90,'Emission factors'!$J$3:$J$201&amp;'Emission factors'!$K$3:$K$201,0),MATCH('Buildings - Water'!R$6,'Emission factors'!$K$2:$V$2,0)))*$K90)</f>
        <v/>
      </c>
      <c r="S90" s="157" t="str" cm="1">
        <f t="array" ref="S90">IF(OR($E90="",$I90=""),"",(INDEX('Emission factors'!$K$3:$V$201,MATCH('Buildings - Water'!$E90&amp;$F90,'Emission factors'!$J$3:$J$201&amp;'Emission factors'!$K$3:$K$201,0),MATCH('Buildings - Water'!S$6,'Emission factors'!$K$2:$V$2,0)))*$K90)</f>
        <v/>
      </c>
      <c r="T90" s="157" t="str" cm="1">
        <f t="array" ref="T90">IF(OR($E90="",$I90=""),"",(INDEX('Emission factors'!$K$3:$V$201,MATCH('Buildings - Water'!$E90&amp;$F90,'Emission factors'!$J$3:$J$201&amp;'Emission factors'!$K$3:$K$201,0),MATCH('Buildings - Water'!T$6,'Emission factors'!$K$2:$V$2,0)))*$K90)</f>
        <v/>
      </c>
      <c r="U90" s="157" t="str" cm="1">
        <f t="array" ref="U90">IF(OR($E90="",$I90=""),"",(INDEX('Emission factors'!$K$3:$V$201,MATCH('Buildings - Water'!$E90&amp;$F90,'Emission factors'!$J$3:$J$201&amp;'Emission factors'!$K$3:$K$201,0),MATCH('Buildings - Water'!U$6,'Emission factors'!$K$2:$V$2,0)))*$K90)</f>
        <v/>
      </c>
      <c r="V90" s="158" t="str">
        <f>IF(OR($N90="",BuildingsWaterTable[[#This Row],[RSD]]=""),"",BuildingsWaterTable[[#This Row],[Total emissions (kgCO2e)]]*(1+BuildingsWaterTable[[#This Row],[RSD]]))</f>
        <v/>
      </c>
      <c r="W90" s="159" t="str">
        <f>IF(OR($N90="",BuildingsWaterTable[[#This Row],[RSD]]=""),"",BuildingsWaterTable[[#This Row],[Total emissions (kgCO2e)]]*(1-BuildingsWaterTable[[#This Row],[RSD]]))</f>
        <v/>
      </c>
      <c r="X90" s="169" t="str" cm="1">
        <f t="array" ref="X90">IF(OR($E90="",$I90=""),"",(INDEX('Emission factors'!$K$3:$V$201,MATCH('Buildings - Water'!$E90&amp;$F90,'Emission factors'!$J$3:$J$201&amp;'Emission factors'!$K$3:$K$201,0),MATCH('Buildings - Water'!X$6,'Emission factors'!$K$2:$V$2,0)))*$K90)</f>
        <v/>
      </c>
      <c r="Y90" s="30"/>
      <c r="Z90" s="1" cm="1">
        <f t="array" ref="Z90">IF(OR(ISERROR(B90:X90)),1,0)</f>
        <v>0</v>
      </c>
      <c r="AA90" s="1">
        <f t="shared" si="4"/>
        <v>0</v>
      </c>
    </row>
    <row r="91" spans="1:27" ht="15" outlineLevel="1" thickBot="1" x14ac:dyDescent="0.4">
      <c r="A91" s="319"/>
      <c r="B91" s="216"/>
      <c r="C91" s="216"/>
      <c r="D91" s="233" t="str">
        <f>IFERROR(INDEX(BuildingInformationTable[Site type],MATCH(BuildingsWaterTable[[#This Row],[Site name]],BuildingInformationTable[Site name],0)),"")</f>
        <v/>
      </c>
      <c r="E91" s="312" t="str">
        <f t="shared" si="3"/>
        <v/>
      </c>
      <c r="F91" s="72"/>
      <c r="G91" s="72"/>
      <c r="H91" s="98" t="str">
        <f>IF(G91="","",INDEX(Lists!$BA$4:$BC$31,MATCH(E91,Lists!$AZ$4:$AZ$31,0),MATCH(G91,Lists!$BA$3:$BC$3,0)))</f>
        <v/>
      </c>
      <c r="I91" s="70"/>
      <c r="J91" s="72"/>
      <c r="K91" s="75" t="str" cm="1">
        <f t="array" ref="K91">IF(OR($E91="",$D91="",$I91="",$J91=""),"",IF(J91=L91,I91,(INDEX('Emission factors'!$K$3:$V$201,MATCH(E91&amp;F91,'Emission factors'!$J$3:$J$201&amp;'Emission factors'!$K$3:$K$201,0),MATCH(K$6,'Emission factors'!$K$2:$V$2,0)))*I91))</f>
        <v/>
      </c>
      <c r="L91" s="312" t="str">
        <f>IF(OR($E91="",$D91="",$I91="",$J91=""),"",INDEX('Emission factors'!$K$3:$V$201,MATCH('Buildings - Water'!$E91,'Emission factors'!$J$3:$J$201,0),MATCH($L$6,'Emission factors'!$K$2:$V$2,0)))</f>
        <v/>
      </c>
      <c r="M91" s="313" t="str" cm="1">
        <f t="array" ref="M91">IF(OR(E91="",I91="",BuildingsWaterTable[[#This Row],[Units]]=""),"",INDEX('Emission factors'!$K$3:$V$201,MATCH('Buildings - Water'!$E91&amp;F91,'Emission factors'!$J$3:$J$201&amp;'Emission factors'!$K$3:$K$201,0),MATCH('Buildings - Water'!$M$6,'Emission factors'!$K$2:$V$2,0)))</f>
        <v/>
      </c>
      <c r="N91" s="156" t="str">
        <f>IF(OR(K91="",M91=""),"",SUM(BuildingsWaterTable[[#This Row],[Direct]:[Indirect WTT]]))</f>
        <v/>
      </c>
      <c r="O91" s="71"/>
      <c r="P91" s="72"/>
      <c r="Q91" s="157" t="str" cm="1">
        <f t="array" ref="Q91">IF(OR($E91="",$I91=""),"",(INDEX('Emission factors'!$K$3:$V$201,MATCH('Buildings - Water'!$E91&amp;$F91,'Emission factors'!$J$3:$J$201&amp;'Emission factors'!$K$3:$K$201,0),MATCH('Buildings - Water'!Q$6,'Emission factors'!$K$2:$V$2,0)))*$K91)</f>
        <v/>
      </c>
      <c r="R91" s="157" t="str" cm="1">
        <f t="array" ref="R91">IF(OR($E91="",$I91=""),"",(INDEX('Emission factors'!$K$3:$V$201,MATCH('Buildings - Water'!$E91&amp;$F91,'Emission factors'!$J$3:$J$201&amp;'Emission factors'!$K$3:$K$201,0),MATCH('Buildings - Water'!R$6,'Emission factors'!$K$2:$V$2,0)))*$K91)</f>
        <v/>
      </c>
      <c r="S91" s="157" t="str" cm="1">
        <f t="array" ref="S91">IF(OR($E91="",$I91=""),"",(INDEX('Emission factors'!$K$3:$V$201,MATCH('Buildings - Water'!$E91&amp;$F91,'Emission factors'!$J$3:$J$201&amp;'Emission factors'!$K$3:$K$201,0),MATCH('Buildings - Water'!S$6,'Emission factors'!$K$2:$V$2,0)))*$K91)</f>
        <v/>
      </c>
      <c r="T91" s="157" t="str" cm="1">
        <f t="array" ref="T91">IF(OR($E91="",$I91=""),"",(INDEX('Emission factors'!$K$3:$V$201,MATCH('Buildings - Water'!$E91&amp;$F91,'Emission factors'!$J$3:$J$201&amp;'Emission factors'!$K$3:$K$201,0),MATCH('Buildings - Water'!T$6,'Emission factors'!$K$2:$V$2,0)))*$K91)</f>
        <v/>
      </c>
      <c r="U91" s="157" t="str" cm="1">
        <f t="array" ref="U91">IF(OR($E91="",$I91=""),"",(INDEX('Emission factors'!$K$3:$V$201,MATCH('Buildings - Water'!$E91&amp;$F91,'Emission factors'!$J$3:$J$201&amp;'Emission factors'!$K$3:$K$201,0),MATCH('Buildings - Water'!U$6,'Emission factors'!$K$2:$V$2,0)))*$K91)</f>
        <v/>
      </c>
      <c r="V91" s="158" t="str">
        <f>IF(OR($N91="",BuildingsWaterTable[[#This Row],[RSD]]=""),"",BuildingsWaterTable[[#This Row],[Total emissions (kgCO2e)]]*(1+BuildingsWaterTable[[#This Row],[RSD]]))</f>
        <v/>
      </c>
      <c r="W91" s="159" t="str">
        <f>IF(OR($N91="",BuildingsWaterTable[[#This Row],[RSD]]=""),"",BuildingsWaterTable[[#This Row],[Total emissions (kgCO2e)]]*(1-BuildingsWaterTable[[#This Row],[RSD]]))</f>
        <v/>
      </c>
      <c r="X91" s="169" t="str" cm="1">
        <f t="array" ref="X91">IF(OR($E91="",$I91=""),"",(INDEX('Emission factors'!$K$3:$V$201,MATCH('Buildings - Water'!$E91&amp;$F91,'Emission factors'!$J$3:$J$201&amp;'Emission factors'!$K$3:$K$201,0),MATCH('Buildings - Water'!X$6,'Emission factors'!$K$2:$V$2,0)))*$K91)</f>
        <v/>
      </c>
      <c r="Y91" s="30"/>
      <c r="Z91" s="1" cm="1">
        <f t="array" ref="Z91">IF(OR(ISERROR(B91:X91)),1,0)</f>
        <v>0</v>
      </c>
      <c r="AA91" s="1">
        <f t="shared" si="4"/>
        <v>0</v>
      </c>
    </row>
    <row r="92" spans="1:27" ht="15" outlineLevel="1" thickBot="1" x14ac:dyDescent="0.4">
      <c r="A92" s="319"/>
      <c r="B92" s="216"/>
      <c r="C92" s="216"/>
      <c r="D92" s="233" t="str">
        <f>IFERROR(INDEX(BuildingInformationTable[Site type],MATCH(BuildingsWaterTable[[#This Row],[Site name]],BuildingInformationTable[Site name],0)),"")</f>
        <v/>
      </c>
      <c r="E92" s="312" t="str">
        <f t="shared" si="3"/>
        <v/>
      </c>
      <c r="F92" s="72"/>
      <c r="G92" s="72"/>
      <c r="H92" s="98" t="str">
        <f>IF(G92="","",INDEX(Lists!$BA$4:$BC$31,MATCH(E92,Lists!$AZ$4:$AZ$31,0),MATCH(G92,Lists!$BA$3:$BC$3,0)))</f>
        <v/>
      </c>
      <c r="I92" s="70"/>
      <c r="J92" s="72"/>
      <c r="K92" s="75" t="str" cm="1">
        <f t="array" ref="K92">IF(OR($E92="",$D92="",$I92="",$J92=""),"",IF(J92=L92,I92,(INDEX('Emission factors'!$K$3:$V$201,MATCH(E92&amp;F92,'Emission factors'!$J$3:$J$201&amp;'Emission factors'!$K$3:$K$201,0),MATCH(K$6,'Emission factors'!$K$2:$V$2,0)))*I92))</f>
        <v/>
      </c>
      <c r="L92" s="312" t="str">
        <f>IF(OR($E92="",$D92="",$I92="",$J92=""),"",INDEX('Emission factors'!$K$3:$V$201,MATCH('Buildings - Water'!$E92,'Emission factors'!$J$3:$J$201,0),MATCH($L$6,'Emission factors'!$K$2:$V$2,0)))</f>
        <v/>
      </c>
      <c r="M92" s="313" t="str" cm="1">
        <f t="array" ref="M92">IF(OR(E92="",I92="",BuildingsWaterTable[[#This Row],[Units]]=""),"",INDEX('Emission factors'!$K$3:$V$201,MATCH('Buildings - Water'!$E92&amp;F92,'Emission factors'!$J$3:$J$201&amp;'Emission factors'!$K$3:$K$201,0),MATCH('Buildings - Water'!$M$6,'Emission factors'!$K$2:$V$2,0)))</f>
        <v/>
      </c>
      <c r="N92" s="156" t="str">
        <f>IF(OR(K92="",M92=""),"",SUM(BuildingsWaterTable[[#This Row],[Direct]:[Indirect WTT]]))</f>
        <v/>
      </c>
      <c r="O92" s="71"/>
      <c r="P92" s="72"/>
      <c r="Q92" s="157" t="str" cm="1">
        <f t="array" ref="Q92">IF(OR($E92="",$I92=""),"",(INDEX('Emission factors'!$K$3:$V$201,MATCH('Buildings - Water'!$E92&amp;$F92,'Emission factors'!$J$3:$J$201&amp;'Emission factors'!$K$3:$K$201,0),MATCH('Buildings - Water'!Q$6,'Emission factors'!$K$2:$V$2,0)))*$K92)</f>
        <v/>
      </c>
      <c r="R92" s="157" t="str" cm="1">
        <f t="array" ref="R92">IF(OR($E92="",$I92=""),"",(INDEX('Emission factors'!$K$3:$V$201,MATCH('Buildings - Water'!$E92&amp;$F92,'Emission factors'!$J$3:$J$201&amp;'Emission factors'!$K$3:$K$201,0),MATCH('Buildings - Water'!R$6,'Emission factors'!$K$2:$V$2,0)))*$K92)</f>
        <v/>
      </c>
      <c r="S92" s="157" t="str" cm="1">
        <f t="array" ref="S92">IF(OR($E92="",$I92=""),"",(INDEX('Emission factors'!$K$3:$V$201,MATCH('Buildings - Water'!$E92&amp;$F92,'Emission factors'!$J$3:$J$201&amp;'Emission factors'!$K$3:$K$201,0),MATCH('Buildings - Water'!S$6,'Emission factors'!$K$2:$V$2,0)))*$K92)</f>
        <v/>
      </c>
      <c r="T92" s="157" t="str" cm="1">
        <f t="array" ref="T92">IF(OR($E92="",$I92=""),"",(INDEX('Emission factors'!$K$3:$V$201,MATCH('Buildings - Water'!$E92&amp;$F92,'Emission factors'!$J$3:$J$201&amp;'Emission factors'!$K$3:$K$201,0),MATCH('Buildings - Water'!T$6,'Emission factors'!$K$2:$V$2,0)))*$K92)</f>
        <v/>
      </c>
      <c r="U92" s="157" t="str" cm="1">
        <f t="array" ref="U92">IF(OR($E92="",$I92=""),"",(INDEX('Emission factors'!$K$3:$V$201,MATCH('Buildings - Water'!$E92&amp;$F92,'Emission factors'!$J$3:$J$201&amp;'Emission factors'!$K$3:$K$201,0),MATCH('Buildings - Water'!U$6,'Emission factors'!$K$2:$V$2,0)))*$K92)</f>
        <v/>
      </c>
      <c r="V92" s="158" t="str">
        <f>IF(OR($N92="",BuildingsWaterTable[[#This Row],[RSD]]=""),"",BuildingsWaterTable[[#This Row],[Total emissions (kgCO2e)]]*(1+BuildingsWaterTable[[#This Row],[RSD]]))</f>
        <v/>
      </c>
      <c r="W92" s="159" t="str">
        <f>IF(OR($N92="",BuildingsWaterTable[[#This Row],[RSD]]=""),"",BuildingsWaterTable[[#This Row],[Total emissions (kgCO2e)]]*(1-BuildingsWaterTable[[#This Row],[RSD]]))</f>
        <v/>
      </c>
      <c r="X92" s="169" t="str" cm="1">
        <f t="array" ref="X92">IF(OR($E92="",$I92=""),"",(INDEX('Emission factors'!$K$3:$V$201,MATCH('Buildings - Water'!$E92&amp;$F92,'Emission factors'!$J$3:$J$201&amp;'Emission factors'!$K$3:$K$201,0),MATCH('Buildings - Water'!X$6,'Emission factors'!$K$2:$V$2,0)))*$K92)</f>
        <v/>
      </c>
      <c r="Y92" s="30"/>
      <c r="Z92" s="1" cm="1">
        <f t="array" ref="Z92">IF(OR(ISERROR(B92:X92)),1,0)</f>
        <v>0</v>
      </c>
      <c r="AA92" s="1">
        <f t="shared" si="4"/>
        <v>0</v>
      </c>
    </row>
    <row r="93" spans="1:27" ht="15" outlineLevel="1" thickBot="1" x14ac:dyDescent="0.4">
      <c r="A93" s="319"/>
      <c r="B93" s="216"/>
      <c r="C93" s="216"/>
      <c r="D93" s="233" t="str">
        <f>IFERROR(INDEX(BuildingInformationTable[Site type],MATCH(BuildingsWaterTable[[#This Row],[Site name]],BuildingInformationTable[Site name],0)),"")</f>
        <v/>
      </c>
      <c r="E93" s="312" t="str">
        <f t="shared" si="3"/>
        <v/>
      </c>
      <c r="F93" s="72"/>
      <c r="G93" s="72"/>
      <c r="H93" s="98" t="str">
        <f>IF(G93="","",INDEX(Lists!$BA$4:$BC$31,MATCH(E93,Lists!$AZ$4:$AZ$31,0),MATCH(G93,Lists!$BA$3:$BC$3,0)))</f>
        <v/>
      </c>
      <c r="I93" s="70"/>
      <c r="J93" s="72"/>
      <c r="K93" s="75" t="str" cm="1">
        <f t="array" ref="K93">IF(OR($E93="",$D93="",$I93="",$J93=""),"",IF(J93=L93,I93,(INDEX('Emission factors'!$K$3:$V$201,MATCH(E93&amp;F93,'Emission factors'!$J$3:$J$201&amp;'Emission factors'!$K$3:$K$201,0),MATCH(K$6,'Emission factors'!$K$2:$V$2,0)))*I93))</f>
        <v/>
      </c>
      <c r="L93" s="312" t="str">
        <f>IF(OR($E93="",$D93="",$I93="",$J93=""),"",INDEX('Emission factors'!$K$3:$V$201,MATCH('Buildings - Water'!$E93,'Emission factors'!$J$3:$J$201,0),MATCH($L$6,'Emission factors'!$K$2:$V$2,0)))</f>
        <v/>
      </c>
      <c r="M93" s="313" t="str" cm="1">
        <f t="array" ref="M93">IF(OR(E93="",I93="",BuildingsWaterTable[[#This Row],[Units]]=""),"",INDEX('Emission factors'!$K$3:$V$201,MATCH('Buildings - Water'!$E93&amp;F93,'Emission factors'!$J$3:$J$201&amp;'Emission factors'!$K$3:$K$201,0),MATCH('Buildings - Water'!$M$6,'Emission factors'!$K$2:$V$2,0)))</f>
        <v/>
      </c>
      <c r="N93" s="156" t="str">
        <f>IF(OR(K93="",M93=""),"",SUM(BuildingsWaterTable[[#This Row],[Direct]:[Indirect WTT]]))</f>
        <v/>
      </c>
      <c r="O93" s="71"/>
      <c r="P93" s="72"/>
      <c r="Q93" s="157" t="str" cm="1">
        <f t="array" ref="Q93">IF(OR($E93="",$I93=""),"",(INDEX('Emission factors'!$K$3:$V$201,MATCH('Buildings - Water'!$E93&amp;$F93,'Emission factors'!$J$3:$J$201&amp;'Emission factors'!$K$3:$K$201,0),MATCH('Buildings - Water'!Q$6,'Emission factors'!$K$2:$V$2,0)))*$K93)</f>
        <v/>
      </c>
      <c r="R93" s="157" t="str" cm="1">
        <f t="array" ref="R93">IF(OR($E93="",$I93=""),"",(INDEX('Emission factors'!$K$3:$V$201,MATCH('Buildings - Water'!$E93&amp;$F93,'Emission factors'!$J$3:$J$201&amp;'Emission factors'!$K$3:$K$201,0),MATCH('Buildings - Water'!R$6,'Emission factors'!$K$2:$V$2,0)))*$K93)</f>
        <v/>
      </c>
      <c r="S93" s="157" t="str" cm="1">
        <f t="array" ref="S93">IF(OR($E93="",$I93=""),"",(INDEX('Emission factors'!$K$3:$V$201,MATCH('Buildings - Water'!$E93&amp;$F93,'Emission factors'!$J$3:$J$201&amp;'Emission factors'!$K$3:$K$201,0),MATCH('Buildings - Water'!S$6,'Emission factors'!$K$2:$V$2,0)))*$K93)</f>
        <v/>
      </c>
      <c r="T93" s="157" t="str" cm="1">
        <f t="array" ref="T93">IF(OR($E93="",$I93=""),"",(INDEX('Emission factors'!$K$3:$V$201,MATCH('Buildings - Water'!$E93&amp;$F93,'Emission factors'!$J$3:$J$201&amp;'Emission factors'!$K$3:$K$201,0),MATCH('Buildings - Water'!T$6,'Emission factors'!$K$2:$V$2,0)))*$K93)</f>
        <v/>
      </c>
      <c r="U93" s="157" t="str" cm="1">
        <f t="array" ref="U93">IF(OR($E93="",$I93=""),"",(INDEX('Emission factors'!$K$3:$V$201,MATCH('Buildings - Water'!$E93&amp;$F93,'Emission factors'!$J$3:$J$201&amp;'Emission factors'!$K$3:$K$201,0),MATCH('Buildings - Water'!U$6,'Emission factors'!$K$2:$V$2,0)))*$K93)</f>
        <v/>
      </c>
      <c r="V93" s="158" t="str">
        <f>IF(OR($N93="",BuildingsWaterTable[[#This Row],[RSD]]=""),"",BuildingsWaterTable[[#This Row],[Total emissions (kgCO2e)]]*(1+BuildingsWaterTable[[#This Row],[RSD]]))</f>
        <v/>
      </c>
      <c r="W93" s="159" t="str">
        <f>IF(OR($N93="",BuildingsWaterTable[[#This Row],[RSD]]=""),"",BuildingsWaterTable[[#This Row],[Total emissions (kgCO2e)]]*(1-BuildingsWaterTable[[#This Row],[RSD]]))</f>
        <v/>
      </c>
      <c r="X93" s="169" t="str" cm="1">
        <f t="array" ref="X93">IF(OR($E93="",$I93=""),"",(INDEX('Emission factors'!$K$3:$V$201,MATCH('Buildings - Water'!$E93&amp;$F93,'Emission factors'!$J$3:$J$201&amp;'Emission factors'!$K$3:$K$201,0),MATCH('Buildings - Water'!X$6,'Emission factors'!$K$2:$V$2,0)))*$K93)</f>
        <v/>
      </c>
      <c r="Y93" s="30"/>
      <c r="Z93" s="1" cm="1">
        <f t="array" ref="Z93">IF(OR(ISERROR(B93:X93)),1,0)</f>
        <v>0</v>
      </c>
      <c r="AA93" s="1">
        <f t="shared" si="4"/>
        <v>0</v>
      </c>
    </row>
    <row r="94" spans="1:27" ht="15" outlineLevel="1" thickBot="1" x14ac:dyDescent="0.4">
      <c r="A94" s="319"/>
      <c r="B94" s="216"/>
      <c r="C94" s="216"/>
      <c r="D94" s="233" t="str">
        <f>IFERROR(INDEX(BuildingInformationTable[Site type],MATCH(BuildingsWaterTable[[#This Row],[Site name]],BuildingInformationTable[Site name],0)),"")</f>
        <v/>
      </c>
      <c r="E94" s="312" t="str">
        <f t="shared" si="3"/>
        <v/>
      </c>
      <c r="F94" s="72"/>
      <c r="G94" s="72"/>
      <c r="H94" s="98" t="str">
        <f>IF(G94="","",INDEX(Lists!$BA$4:$BC$31,MATCH(E94,Lists!$AZ$4:$AZ$31,0),MATCH(G94,Lists!$BA$3:$BC$3,0)))</f>
        <v/>
      </c>
      <c r="I94" s="70"/>
      <c r="J94" s="72"/>
      <c r="K94" s="75" t="str" cm="1">
        <f t="array" ref="K94">IF(OR($E94="",$D94="",$I94="",$J94=""),"",IF(J94=L94,I94,(INDEX('Emission factors'!$K$3:$V$201,MATCH(E94&amp;F94,'Emission factors'!$J$3:$J$201&amp;'Emission factors'!$K$3:$K$201,0),MATCH(K$6,'Emission factors'!$K$2:$V$2,0)))*I94))</f>
        <v/>
      </c>
      <c r="L94" s="312" t="str">
        <f>IF(OR($E94="",$D94="",$I94="",$J94=""),"",INDEX('Emission factors'!$K$3:$V$201,MATCH('Buildings - Water'!$E94,'Emission factors'!$J$3:$J$201,0),MATCH($L$6,'Emission factors'!$K$2:$V$2,0)))</f>
        <v/>
      </c>
      <c r="M94" s="313" t="str" cm="1">
        <f t="array" ref="M94">IF(OR(E94="",I94="",BuildingsWaterTable[[#This Row],[Units]]=""),"",INDEX('Emission factors'!$K$3:$V$201,MATCH('Buildings - Water'!$E94&amp;F94,'Emission factors'!$J$3:$J$201&amp;'Emission factors'!$K$3:$K$201,0),MATCH('Buildings - Water'!$M$6,'Emission factors'!$K$2:$V$2,0)))</f>
        <v/>
      </c>
      <c r="N94" s="156" t="str">
        <f>IF(OR(K94="",M94=""),"",SUM(BuildingsWaterTable[[#This Row],[Direct]:[Indirect WTT]]))</f>
        <v/>
      </c>
      <c r="O94" s="71"/>
      <c r="P94" s="72"/>
      <c r="Q94" s="157" t="str" cm="1">
        <f t="array" ref="Q94">IF(OR($E94="",$I94=""),"",(INDEX('Emission factors'!$K$3:$V$201,MATCH('Buildings - Water'!$E94&amp;$F94,'Emission factors'!$J$3:$J$201&amp;'Emission factors'!$K$3:$K$201,0),MATCH('Buildings - Water'!Q$6,'Emission factors'!$K$2:$V$2,0)))*$K94)</f>
        <v/>
      </c>
      <c r="R94" s="157" t="str" cm="1">
        <f t="array" ref="R94">IF(OR($E94="",$I94=""),"",(INDEX('Emission factors'!$K$3:$V$201,MATCH('Buildings - Water'!$E94&amp;$F94,'Emission factors'!$J$3:$J$201&amp;'Emission factors'!$K$3:$K$201,0),MATCH('Buildings - Water'!R$6,'Emission factors'!$K$2:$V$2,0)))*$K94)</f>
        <v/>
      </c>
      <c r="S94" s="157" t="str" cm="1">
        <f t="array" ref="S94">IF(OR($E94="",$I94=""),"",(INDEX('Emission factors'!$K$3:$V$201,MATCH('Buildings - Water'!$E94&amp;$F94,'Emission factors'!$J$3:$J$201&amp;'Emission factors'!$K$3:$K$201,0),MATCH('Buildings - Water'!S$6,'Emission factors'!$K$2:$V$2,0)))*$K94)</f>
        <v/>
      </c>
      <c r="T94" s="157" t="str" cm="1">
        <f t="array" ref="T94">IF(OR($E94="",$I94=""),"",(INDEX('Emission factors'!$K$3:$V$201,MATCH('Buildings - Water'!$E94&amp;$F94,'Emission factors'!$J$3:$J$201&amp;'Emission factors'!$K$3:$K$201,0),MATCH('Buildings - Water'!T$6,'Emission factors'!$K$2:$V$2,0)))*$K94)</f>
        <v/>
      </c>
      <c r="U94" s="157" t="str" cm="1">
        <f t="array" ref="U94">IF(OR($E94="",$I94=""),"",(INDEX('Emission factors'!$K$3:$V$201,MATCH('Buildings - Water'!$E94&amp;$F94,'Emission factors'!$J$3:$J$201&amp;'Emission factors'!$K$3:$K$201,0),MATCH('Buildings - Water'!U$6,'Emission factors'!$K$2:$V$2,0)))*$K94)</f>
        <v/>
      </c>
      <c r="V94" s="158" t="str">
        <f>IF(OR($N94="",BuildingsWaterTable[[#This Row],[RSD]]=""),"",BuildingsWaterTable[[#This Row],[Total emissions (kgCO2e)]]*(1+BuildingsWaterTable[[#This Row],[RSD]]))</f>
        <v/>
      </c>
      <c r="W94" s="159" t="str">
        <f>IF(OR($N94="",BuildingsWaterTable[[#This Row],[RSD]]=""),"",BuildingsWaterTable[[#This Row],[Total emissions (kgCO2e)]]*(1-BuildingsWaterTable[[#This Row],[RSD]]))</f>
        <v/>
      </c>
      <c r="X94" s="169" t="str" cm="1">
        <f t="array" ref="X94">IF(OR($E94="",$I94=""),"",(INDEX('Emission factors'!$K$3:$V$201,MATCH('Buildings - Water'!$E94&amp;$F94,'Emission factors'!$J$3:$J$201&amp;'Emission factors'!$K$3:$K$201,0),MATCH('Buildings - Water'!X$6,'Emission factors'!$K$2:$V$2,0)))*$K94)</f>
        <v/>
      </c>
      <c r="Y94" s="30"/>
      <c r="Z94" s="1" cm="1">
        <f t="array" ref="Z94">IF(OR(ISERROR(B94:X94)),1,0)</f>
        <v>0</v>
      </c>
      <c r="AA94" s="1">
        <f t="shared" si="4"/>
        <v>0</v>
      </c>
    </row>
    <row r="95" spans="1:27" ht="15" outlineLevel="1" thickBot="1" x14ac:dyDescent="0.4">
      <c r="A95" s="319"/>
      <c r="B95" s="216"/>
      <c r="C95" s="216"/>
      <c r="D95" s="233" t="str">
        <f>IFERROR(INDEX(BuildingInformationTable[Site type],MATCH(BuildingsWaterTable[[#This Row],[Site name]],BuildingInformationTable[Site name],0)),"")</f>
        <v/>
      </c>
      <c r="E95" s="312" t="str">
        <f t="shared" si="3"/>
        <v/>
      </c>
      <c r="F95" s="72"/>
      <c r="G95" s="72"/>
      <c r="H95" s="98" t="str">
        <f>IF(G95="","",INDEX(Lists!$BA$4:$BC$31,MATCH(E95,Lists!$AZ$4:$AZ$31,0),MATCH(G95,Lists!$BA$3:$BC$3,0)))</f>
        <v/>
      </c>
      <c r="I95" s="70"/>
      <c r="J95" s="72"/>
      <c r="K95" s="75" t="str" cm="1">
        <f t="array" ref="K95">IF(OR($E95="",$D95="",$I95="",$J95=""),"",IF(J95=L95,I95,(INDEX('Emission factors'!$K$3:$V$201,MATCH(E95&amp;F95,'Emission factors'!$J$3:$J$201&amp;'Emission factors'!$K$3:$K$201,0),MATCH(K$6,'Emission factors'!$K$2:$V$2,0)))*I95))</f>
        <v/>
      </c>
      <c r="L95" s="312" t="str">
        <f>IF(OR($E95="",$D95="",$I95="",$J95=""),"",INDEX('Emission factors'!$K$3:$V$201,MATCH('Buildings - Water'!$E95,'Emission factors'!$J$3:$J$201,0),MATCH($L$6,'Emission factors'!$K$2:$V$2,0)))</f>
        <v/>
      </c>
      <c r="M95" s="313" t="str" cm="1">
        <f t="array" ref="M95">IF(OR(E95="",I95="",BuildingsWaterTable[[#This Row],[Units]]=""),"",INDEX('Emission factors'!$K$3:$V$201,MATCH('Buildings - Water'!$E95&amp;F95,'Emission factors'!$J$3:$J$201&amp;'Emission factors'!$K$3:$K$201,0),MATCH('Buildings - Water'!$M$6,'Emission factors'!$K$2:$V$2,0)))</f>
        <v/>
      </c>
      <c r="N95" s="156" t="str">
        <f>IF(OR(K95="",M95=""),"",SUM(BuildingsWaterTable[[#This Row],[Direct]:[Indirect WTT]]))</f>
        <v/>
      </c>
      <c r="O95" s="71"/>
      <c r="P95" s="72"/>
      <c r="Q95" s="157" t="str" cm="1">
        <f t="array" ref="Q95">IF(OR($E95="",$I95=""),"",(INDEX('Emission factors'!$K$3:$V$201,MATCH('Buildings - Water'!$E95&amp;$F95,'Emission factors'!$J$3:$J$201&amp;'Emission factors'!$K$3:$K$201,0),MATCH('Buildings - Water'!Q$6,'Emission factors'!$K$2:$V$2,0)))*$K95)</f>
        <v/>
      </c>
      <c r="R95" s="157" t="str" cm="1">
        <f t="array" ref="R95">IF(OR($E95="",$I95=""),"",(INDEX('Emission factors'!$K$3:$V$201,MATCH('Buildings - Water'!$E95&amp;$F95,'Emission factors'!$J$3:$J$201&amp;'Emission factors'!$K$3:$K$201,0),MATCH('Buildings - Water'!R$6,'Emission factors'!$K$2:$V$2,0)))*$K95)</f>
        <v/>
      </c>
      <c r="S95" s="157" t="str" cm="1">
        <f t="array" ref="S95">IF(OR($E95="",$I95=""),"",(INDEX('Emission factors'!$K$3:$V$201,MATCH('Buildings - Water'!$E95&amp;$F95,'Emission factors'!$J$3:$J$201&amp;'Emission factors'!$K$3:$K$201,0),MATCH('Buildings - Water'!S$6,'Emission factors'!$K$2:$V$2,0)))*$K95)</f>
        <v/>
      </c>
      <c r="T95" s="157" t="str" cm="1">
        <f t="array" ref="T95">IF(OR($E95="",$I95=""),"",(INDEX('Emission factors'!$K$3:$V$201,MATCH('Buildings - Water'!$E95&amp;$F95,'Emission factors'!$J$3:$J$201&amp;'Emission factors'!$K$3:$K$201,0),MATCH('Buildings - Water'!T$6,'Emission factors'!$K$2:$V$2,0)))*$K95)</f>
        <v/>
      </c>
      <c r="U95" s="157" t="str" cm="1">
        <f t="array" ref="U95">IF(OR($E95="",$I95=""),"",(INDEX('Emission factors'!$K$3:$V$201,MATCH('Buildings - Water'!$E95&amp;$F95,'Emission factors'!$J$3:$J$201&amp;'Emission factors'!$K$3:$K$201,0),MATCH('Buildings - Water'!U$6,'Emission factors'!$K$2:$V$2,0)))*$K95)</f>
        <v/>
      </c>
      <c r="V95" s="158" t="str">
        <f>IF(OR($N95="",BuildingsWaterTable[[#This Row],[RSD]]=""),"",BuildingsWaterTable[[#This Row],[Total emissions (kgCO2e)]]*(1+BuildingsWaterTable[[#This Row],[RSD]]))</f>
        <v/>
      </c>
      <c r="W95" s="159" t="str">
        <f>IF(OR($N95="",BuildingsWaterTable[[#This Row],[RSD]]=""),"",BuildingsWaterTable[[#This Row],[Total emissions (kgCO2e)]]*(1-BuildingsWaterTable[[#This Row],[RSD]]))</f>
        <v/>
      </c>
      <c r="X95" s="169" t="str" cm="1">
        <f t="array" ref="X95">IF(OR($E95="",$I95=""),"",(INDEX('Emission factors'!$K$3:$V$201,MATCH('Buildings - Water'!$E95&amp;$F95,'Emission factors'!$J$3:$J$201&amp;'Emission factors'!$K$3:$K$201,0),MATCH('Buildings - Water'!X$6,'Emission factors'!$K$2:$V$2,0)))*$K95)</f>
        <v/>
      </c>
      <c r="Y95" s="30"/>
      <c r="Z95" s="1" cm="1">
        <f t="array" ref="Z95">IF(OR(ISERROR(B95:X95)),1,0)</f>
        <v>0</v>
      </c>
      <c r="AA95" s="1">
        <f t="shared" si="4"/>
        <v>0</v>
      </c>
    </row>
    <row r="96" spans="1:27" ht="15" outlineLevel="1" thickBot="1" x14ac:dyDescent="0.4">
      <c r="A96" s="319"/>
      <c r="B96" s="216"/>
      <c r="C96" s="216"/>
      <c r="D96" s="233" t="str">
        <f>IFERROR(INDEX(BuildingInformationTable[Site type],MATCH(BuildingsWaterTable[[#This Row],[Site name]],BuildingInformationTable[Site name],0)),"")</f>
        <v/>
      </c>
      <c r="E96" s="312" t="str">
        <f t="shared" si="3"/>
        <v/>
      </c>
      <c r="F96" s="72"/>
      <c r="G96" s="72"/>
      <c r="H96" s="98" t="str">
        <f>IF(G96="","",INDEX(Lists!$BA$4:$BC$31,MATCH(E96,Lists!$AZ$4:$AZ$31,0),MATCH(G96,Lists!$BA$3:$BC$3,0)))</f>
        <v/>
      </c>
      <c r="I96" s="70"/>
      <c r="J96" s="72"/>
      <c r="K96" s="75" t="str" cm="1">
        <f t="array" ref="K96">IF(OR($E96="",$D96="",$I96="",$J96=""),"",IF(J96=L96,I96,(INDEX('Emission factors'!$K$3:$V$201,MATCH(E96&amp;F96,'Emission factors'!$J$3:$J$201&amp;'Emission factors'!$K$3:$K$201,0),MATCH(K$6,'Emission factors'!$K$2:$V$2,0)))*I96))</f>
        <v/>
      </c>
      <c r="L96" s="312" t="str">
        <f>IF(OR($E96="",$D96="",$I96="",$J96=""),"",INDEX('Emission factors'!$K$3:$V$201,MATCH('Buildings - Water'!$E96,'Emission factors'!$J$3:$J$201,0),MATCH($L$6,'Emission factors'!$K$2:$V$2,0)))</f>
        <v/>
      </c>
      <c r="M96" s="313" t="str" cm="1">
        <f t="array" ref="M96">IF(OR(E96="",I96="",BuildingsWaterTable[[#This Row],[Units]]=""),"",INDEX('Emission factors'!$K$3:$V$201,MATCH('Buildings - Water'!$E96&amp;F96,'Emission factors'!$J$3:$J$201&amp;'Emission factors'!$K$3:$K$201,0),MATCH('Buildings - Water'!$M$6,'Emission factors'!$K$2:$V$2,0)))</f>
        <v/>
      </c>
      <c r="N96" s="156" t="str">
        <f>IF(OR(K96="",M96=""),"",SUM(BuildingsWaterTable[[#This Row],[Direct]:[Indirect WTT]]))</f>
        <v/>
      </c>
      <c r="O96" s="71"/>
      <c r="P96" s="72"/>
      <c r="Q96" s="157" t="str" cm="1">
        <f t="array" ref="Q96">IF(OR($E96="",$I96=""),"",(INDEX('Emission factors'!$K$3:$V$201,MATCH('Buildings - Water'!$E96&amp;$F96,'Emission factors'!$J$3:$J$201&amp;'Emission factors'!$K$3:$K$201,0),MATCH('Buildings - Water'!Q$6,'Emission factors'!$K$2:$V$2,0)))*$K96)</f>
        <v/>
      </c>
      <c r="R96" s="157" t="str" cm="1">
        <f t="array" ref="R96">IF(OR($E96="",$I96=""),"",(INDEX('Emission factors'!$K$3:$V$201,MATCH('Buildings - Water'!$E96&amp;$F96,'Emission factors'!$J$3:$J$201&amp;'Emission factors'!$K$3:$K$201,0),MATCH('Buildings - Water'!R$6,'Emission factors'!$K$2:$V$2,0)))*$K96)</f>
        <v/>
      </c>
      <c r="S96" s="157" t="str" cm="1">
        <f t="array" ref="S96">IF(OR($E96="",$I96=""),"",(INDEX('Emission factors'!$K$3:$V$201,MATCH('Buildings - Water'!$E96&amp;$F96,'Emission factors'!$J$3:$J$201&amp;'Emission factors'!$K$3:$K$201,0),MATCH('Buildings - Water'!S$6,'Emission factors'!$K$2:$V$2,0)))*$K96)</f>
        <v/>
      </c>
      <c r="T96" s="157" t="str" cm="1">
        <f t="array" ref="T96">IF(OR($E96="",$I96=""),"",(INDEX('Emission factors'!$K$3:$V$201,MATCH('Buildings - Water'!$E96&amp;$F96,'Emission factors'!$J$3:$J$201&amp;'Emission factors'!$K$3:$K$201,0),MATCH('Buildings - Water'!T$6,'Emission factors'!$K$2:$V$2,0)))*$K96)</f>
        <v/>
      </c>
      <c r="U96" s="157" t="str" cm="1">
        <f t="array" ref="U96">IF(OR($E96="",$I96=""),"",(INDEX('Emission factors'!$K$3:$V$201,MATCH('Buildings - Water'!$E96&amp;$F96,'Emission factors'!$J$3:$J$201&amp;'Emission factors'!$K$3:$K$201,0),MATCH('Buildings - Water'!U$6,'Emission factors'!$K$2:$V$2,0)))*$K96)</f>
        <v/>
      </c>
      <c r="V96" s="158" t="str">
        <f>IF(OR($N96="",BuildingsWaterTable[[#This Row],[RSD]]=""),"",BuildingsWaterTable[[#This Row],[Total emissions (kgCO2e)]]*(1+BuildingsWaterTable[[#This Row],[RSD]]))</f>
        <v/>
      </c>
      <c r="W96" s="159" t="str">
        <f>IF(OR($N96="",BuildingsWaterTable[[#This Row],[RSD]]=""),"",BuildingsWaterTable[[#This Row],[Total emissions (kgCO2e)]]*(1-BuildingsWaterTable[[#This Row],[RSD]]))</f>
        <v/>
      </c>
      <c r="X96" s="169" t="str" cm="1">
        <f t="array" ref="X96">IF(OR($E96="",$I96=""),"",(INDEX('Emission factors'!$K$3:$V$201,MATCH('Buildings - Water'!$E96&amp;$F96,'Emission factors'!$J$3:$J$201&amp;'Emission factors'!$K$3:$K$201,0),MATCH('Buildings - Water'!X$6,'Emission factors'!$K$2:$V$2,0)))*$K96)</f>
        <v/>
      </c>
      <c r="Y96" s="30"/>
      <c r="Z96" s="1" cm="1">
        <f t="array" ref="Z96">IF(OR(ISERROR(B96:X96)),1,0)</f>
        <v>0</v>
      </c>
      <c r="AA96" s="1">
        <f t="shared" si="4"/>
        <v>0</v>
      </c>
    </row>
    <row r="97" spans="1:27" ht="15" outlineLevel="1" thickBot="1" x14ac:dyDescent="0.4">
      <c r="A97" s="319"/>
      <c r="B97" s="216"/>
      <c r="C97" s="216"/>
      <c r="D97" s="233" t="str">
        <f>IFERROR(INDEX(BuildingInformationTable[Site type],MATCH(BuildingsWaterTable[[#This Row],[Site name]],BuildingInformationTable[Site name],0)),"")</f>
        <v/>
      </c>
      <c r="E97" s="312" t="str">
        <f t="shared" si="3"/>
        <v/>
      </c>
      <c r="F97" s="72"/>
      <c r="G97" s="72"/>
      <c r="H97" s="98" t="str">
        <f>IF(G97="","",INDEX(Lists!$BA$4:$BC$31,MATCH(E97,Lists!$AZ$4:$AZ$31,0),MATCH(G97,Lists!$BA$3:$BC$3,0)))</f>
        <v/>
      </c>
      <c r="I97" s="70"/>
      <c r="J97" s="72"/>
      <c r="K97" s="75" t="str" cm="1">
        <f t="array" ref="K97">IF(OR($E97="",$D97="",$I97="",$J97=""),"",IF(J97=L97,I97,(INDEX('Emission factors'!$K$3:$V$201,MATCH(E97&amp;F97,'Emission factors'!$J$3:$J$201&amp;'Emission factors'!$K$3:$K$201,0),MATCH(K$6,'Emission factors'!$K$2:$V$2,0)))*I97))</f>
        <v/>
      </c>
      <c r="L97" s="312" t="str">
        <f>IF(OR($E97="",$D97="",$I97="",$J97=""),"",INDEX('Emission factors'!$K$3:$V$201,MATCH('Buildings - Water'!$E97,'Emission factors'!$J$3:$J$201,0),MATCH($L$6,'Emission factors'!$K$2:$V$2,0)))</f>
        <v/>
      </c>
      <c r="M97" s="313" t="str" cm="1">
        <f t="array" ref="M97">IF(OR(E97="",I97="",BuildingsWaterTable[[#This Row],[Units]]=""),"",INDEX('Emission factors'!$K$3:$V$201,MATCH('Buildings - Water'!$E97&amp;F97,'Emission factors'!$J$3:$J$201&amp;'Emission factors'!$K$3:$K$201,0),MATCH('Buildings - Water'!$M$6,'Emission factors'!$K$2:$V$2,0)))</f>
        <v/>
      </c>
      <c r="N97" s="156" t="str">
        <f>IF(OR(K97="",M97=""),"",SUM(BuildingsWaterTable[[#This Row],[Direct]:[Indirect WTT]]))</f>
        <v/>
      </c>
      <c r="O97" s="71"/>
      <c r="P97" s="72"/>
      <c r="Q97" s="157" t="str" cm="1">
        <f t="array" ref="Q97">IF(OR($E97="",$I97=""),"",(INDEX('Emission factors'!$K$3:$V$201,MATCH('Buildings - Water'!$E97&amp;$F97,'Emission factors'!$J$3:$J$201&amp;'Emission factors'!$K$3:$K$201,0),MATCH('Buildings - Water'!Q$6,'Emission factors'!$K$2:$V$2,0)))*$K97)</f>
        <v/>
      </c>
      <c r="R97" s="157" t="str" cm="1">
        <f t="array" ref="R97">IF(OR($E97="",$I97=""),"",(INDEX('Emission factors'!$K$3:$V$201,MATCH('Buildings - Water'!$E97&amp;$F97,'Emission factors'!$J$3:$J$201&amp;'Emission factors'!$K$3:$K$201,0),MATCH('Buildings - Water'!R$6,'Emission factors'!$K$2:$V$2,0)))*$K97)</f>
        <v/>
      </c>
      <c r="S97" s="157" t="str" cm="1">
        <f t="array" ref="S97">IF(OR($E97="",$I97=""),"",(INDEX('Emission factors'!$K$3:$V$201,MATCH('Buildings - Water'!$E97&amp;$F97,'Emission factors'!$J$3:$J$201&amp;'Emission factors'!$K$3:$K$201,0),MATCH('Buildings - Water'!S$6,'Emission factors'!$K$2:$V$2,0)))*$K97)</f>
        <v/>
      </c>
      <c r="T97" s="157" t="str" cm="1">
        <f t="array" ref="T97">IF(OR($E97="",$I97=""),"",(INDEX('Emission factors'!$K$3:$V$201,MATCH('Buildings - Water'!$E97&amp;$F97,'Emission factors'!$J$3:$J$201&amp;'Emission factors'!$K$3:$K$201,0),MATCH('Buildings - Water'!T$6,'Emission factors'!$K$2:$V$2,0)))*$K97)</f>
        <v/>
      </c>
      <c r="U97" s="157" t="str" cm="1">
        <f t="array" ref="U97">IF(OR($E97="",$I97=""),"",(INDEX('Emission factors'!$K$3:$V$201,MATCH('Buildings - Water'!$E97&amp;$F97,'Emission factors'!$J$3:$J$201&amp;'Emission factors'!$K$3:$K$201,0),MATCH('Buildings - Water'!U$6,'Emission factors'!$K$2:$V$2,0)))*$K97)</f>
        <v/>
      </c>
      <c r="V97" s="158" t="str">
        <f>IF(OR($N97="",BuildingsWaterTable[[#This Row],[RSD]]=""),"",BuildingsWaterTable[[#This Row],[Total emissions (kgCO2e)]]*(1+BuildingsWaterTable[[#This Row],[RSD]]))</f>
        <v/>
      </c>
      <c r="W97" s="159" t="str">
        <f>IF(OR($N97="",BuildingsWaterTable[[#This Row],[RSD]]=""),"",BuildingsWaterTable[[#This Row],[Total emissions (kgCO2e)]]*(1-BuildingsWaterTable[[#This Row],[RSD]]))</f>
        <v/>
      </c>
      <c r="X97" s="169" t="str" cm="1">
        <f t="array" ref="X97">IF(OR($E97="",$I97=""),"",(INDEX('Emission factors'!$K$3:$V$201,MATCH('Buildings - Water'!$E97&amp;$F97,'Emission factors'!$J$3:$J$201&amp;'Emission factors'!$K$3:$K$201,0),MATCH('Buildings - Water'!X$6,'Emission factors'!$K$2:$V$2,0)))*$K97)</f>
        <v/>
      </c>
      <c r="Y97" s="30"/>
      <c r="Z97" s="1" cm="1">
        <f t="array" ref="Z97">IF(OR(ISERROR(B97:X97)),1,0)</f>
        <v>0</v>
      </c>
      <c r="AA97" s="1">
        <f t="shared" si="4"/>
        <v>0</v>
      </c>
    </row>
    <row r="98" spans="1:27" ht="15" outlineLevel="1" thickBot="1" x14ac:dyDescent="0.4">
      <c r="A98" s="319"/>
      <c r="B98" s="216"/>
      <c r="C98" s="216"/>
      <c r="D98" s="233" t="str">
        <f>IFERROR(INDEX(BuildingInformationTable[Site type],MATCH(BuildingsWaterTable[[#This Row],[Site name]],BuildingInformationTable[Site name],0)),"")</f>
        <v/>
      </c>
      <c r="E98" s="312" t="str">
        <f t="shared" si="3"/>
        <v/>
      </c>
      <c r="F98" s="72"/>
      <c r="G98" s="72"/>
      <c r="H98" s="98" t="str">
        <f>IF(G98="","",INDEX(Lists!$BA$4:$BC$31,MATCH(E98,Lists!$AZ$4:$AZ$31,0),MATCH(G98,Lists!$BA$3:$BC$3,0)))</f>
        <v/>
      </c>
      <c r="I98" s="70"/>
      <c r="J98" s="72"/>
      <c r="K98" s="75" t="str" cm="1">
        <f t="array" ref="K98">IF(OR($E98="",$D98="",$I98="",$J98=""),"",IF(J98=L98,I98,(INDEX('Emission factors'!$K$3:$V$201,MATCH(E98&amp;F98,'Emission factors'!$J$3:$J$201&amp;'Emission factors'!$K$3:$K$201,0),MATCH(K$6,'Emission factors'!$K$2:$V$2,0)))*I98))</f>
        <v/>
      </c>
      <c r="L98" s="312" t="str">
        <f>IF(OR($E98="",$D98="",$I98="",$J98=""),"",INDEX('Emission factors'!$K$3:$V$201,MATCH('Buildings - Water'!$E98,'Emission factors'!$J$3:$J$201,0),MATCH($L$6,'Emission factors'!$K$2:$V$2,0)))</f>
        <v/>
      </c>
      <c r="M98" s="313" t="str" cm="1">
        <f t="array" ref="M98">IF(OR(E98="",I98="",BuildingsWaterTable[[#This Row],[Units]]=""),"",INDEX('Emission factors'!$K$3:$V$201,MATCH('Buildings - Water'!$E98&amp;F98,'Emission factors'!$J$3:$J$201&amp;'Emission factors'!$K$3:$K$201,0),MATCH('Buildings - Water'!$M$6,'Emission factors'!$K$2:$V$2,0)))</f>
        <v/>
      </c>
      <c r="N98" s="156" t="str">
        <f>IF(OR(K98="",M98=""),"",SUM(BuildingsWaterTable[[#This Row],[Direct]:[Indirect WTT]]))</f>
        <v/>
      </c>
      <c r="O98" s="71"/>
      <c r="P98" s="72"/>
      <c r="Q98" s="157" t="str" cm="1">
        <f t="array" ref="Q98">IF(OR($E98="",$I98=""),"",(INDEX('Emission factors'!$K$3:$V$201,MATCH('Buildings - Water'!$E98&amp;$F98,'Emission factors'!$J$3:$J$201&amp;'Emission factors'!$K$3:$K$201,0),MATCH('Buildings - Water'!Q$6,'Emission factors'!$K$2:$V$2,0)))*$K98)</f>
        <v/>
      </c>
      <c r="R98" s="157" t="str" cm="1">
        <f t="array" ref="R98">IF(OR($E98="",$I98=""),"",(INDEX('Emission factors'!$K$3:$V$201,MATCH('Buildings - Water'!$E98&amp;$F98,'Emission factors'!$J$3:$J$201&amp;'Emission factors'!$K$3:$K$201,0),MATCH('Buildings - Water'!R$6,'Emission factors'!$K$2:$V$2,0)))*$K98)</f>
        <v/>
      </c>
      <c r="S98" s="157" t="str" cm="1">
        <f t="array" ref="S98">IF(OR($E98="",$I98=""),"",(INDEX('Emission factors'!$K$3:$V$201,MATCH('Buildings - Water'!$E98&amp;$F98,'Emission factors'!$J$3:$J$201&amp;'Emission factors'!$K$3:$K$201,0),MATCH('Buildings - Water'!S$6,'Emission factors'!$K$2:$V$2,0)))*$K98)</f>
        <v/>
      </c>
      <c r="T98" s="157" t="str" cm="1">
        <f t="array" ref="T98">IF(OR($E98="",$I98=""),"",(INDEX('Emission factors'!$K$3:$V$201,MATCH('Buildings - Water'!$E98&amp;$F98,'Emission factors'!$J$3:$J$201&amp;'Emission factors'!$K$3:$K$201,0),MATCH('Buildings - Water'!T$6,'Emission factors'!$K$2:$V$2,0)))*$K98)</f>
        <v/>
      </c>
      <c r="U98" s="157" t="str" cm="1">
        <f t="array" ref="U98">IF(OR($E98="",$I98=""),"",(INDEX('Emission factors'!$K$3:$V$201,MATCH('Buildings - Water'!$E98&amp;$F98,'Emission factors'!$J$3:$J$201&amp;'Emission factors'!$K$3:$K$201,0),MATCH('Buildings - Water'!U$6,'Emission factors'!$K$2:$V$2,0)))*$K98)</f>
        <v/>
      </c>
      <c r="V98" s="158" t="str">
        <f>IF(OR($N98="",BuildingsWaterTable[[#This Row],[RSD]]=""),"",BuildingsWaterTable[[#This Row],[Total emissions (kgCO2e)]]*(1+BuildingsWaterTable[[#This Row],[RSD]]))</f>
        <v/>
      </c>
      <c r="W98" s="159" t="str">
        <f>IF(OR($N98="",BuildingsWaterTable[[#This Row],[RSD]]=""),"",BuildingsWaterTable[[#This Row],[Total emissions (kgCO2e)]]*(1-BuildingsWaterTable[[#This Row],[RSD]]))</f>
        <v/>
      </c>
      <c r="X98" s="169" t="str" cm="1">
        <f t="array" ref="X98">IF(OR($E98="",$I98=""),"",(INDEX('Emission factors'!$K$3:$V$201,MATCH('Buildings - Water'!$E98&amp;$F98,'Emission factors'!$J$3:$J$201&amp;'Emission factors'!$K$3:$K$201,0),MATCH('Buildings - Water'!X$6,'Emission factors'!$K$2:$V$2,0)))*$K98)</f>
        <v/>
      </c>
      <c r="Y98" s="30"/>
      <c r="Z98" s="1" cm="1">
        <f t="array" ref="Z98">IF(OR(ISERROR(B98:X98)),1,0)</f>
        <v>0</v>
      </c>
      <c r="AA98" s="1">
        <f t="shared" si="4"/>
        <v>0</v>
      </c>
    </row>
    <row r="99" spans="1:27" ht="15" outlineLevel="1" thickBot="1" x14ac:dyDescent="0.4">
      <c r="A99" s="319"/>
      <c r="B99" s="216"/>
      <c r="C99" s="216"/>
      <c r="D99" s="233" t="str">
        <f>IFERROR(INDEX(BuildingInformationTable[Site type],MATCH(BuildingsWaterTable[[#This Row],[Site name]],BuildingInformationTable[Site name],0)),"")</f>
        <v/>
      </c>
      <c r="E99" s="312" t="str">
        <f t="shared" si="3"/>
        <v/>
      </c>
      <c r="F99" s="72"/>
      <c r="G99" s="72"/>
      <c r="H99" s="98" t="str">
        <f>IF(G99="","",INDEX(Lists!$BA$4:$BC$31,MATCH(E99,Lists!$AZ$4:$AZ$31,0),MATCH(G99,Lists!$BA$3:$BC$3,0)))</f>
        <v/>
      </c>
      <c r="I99" s="70"/>
      <c r="J99" s="72"/>
      <c r="K99" s="75" t="str" cm="1">
        <f t="array" ref="K99">IF(OR($E99="",$D99="",$I99="",$J99=""),"",IF(J99=L99,I99,(INDEX('Emission factors'!$K$3:$V$201,MATCH(E99&amp;F99,'Emission factors'!$J$3:$J$201&amp;'Emission factors'!$K$3:$K$201,0),MATCH(K$6,'Emission factors'!$K$2:$V$2,0)))*I99))</f>
        <v/>
      </c>
      <c r="L99" s="312" t="str">
        <f>IF(OR($E99="",$D99="",$I99="",$J99=""),"",INDEX('Emission factors'!$K$3:$V$201,MATCH('Buildings - Water'!$E99,'Emission factors'!$J$3:$J$201,0),MATCH($L$6,'Emission factors'!$K$2:$V$2,0)))</f>
        <v/>
      </c>
      <c r="M99" s="313" t="str" cm="1">
        <f t="array" ref="M99">IF(OR(E99="",I99="",BuildingsWaterTable[[#This Row],[Units]]=""),"",INDEX('Emission factors'!$K$3:$V$201,MATCH('Buildings - Water'!$E99&amp;F99,'Emission factors'!$J$3:$J$201&amp;'Emission factors'!$K$3:$K$201,0),MATCH('Buildings - Water'!$M$6,'Emission factors'!$K$2:$V$2,0)))</f>
        <v/>
      </c>
      <c r="N99" s="156" t="str">
        <f>IF(OR(K99="",M99=""),"",SUM(BuildingsWaterTable[[#This Row],[Direct]:[Indirect WTT]]))</f>
        <v/>
      </c>
      <c r="O99" s="71"/>
      <c r="P99" s="72"/>
      <c r="Q99" s="157" t="str" cm="1">
        <f t="array" ref="Q99">IF(OR($E99="",$I99=""),"",(INDEX('Emission factors'!$K$3:$V$201,MATCH('Buildings - Water'!$E99&amp;$F99,'Emission factors'!$J$3:$J$201&amp;'Emission factors'!$K$3:$K$201,0),MATCH('Buildings - Water'!Q$6,'Emission factors'!$K$2:$V$2,0)))*$K99)</f>
        <v/>
      </c>
      <c r="R99" s="157" t="str" cm="1">
        <f t="array" ref="R99">IF(OR($E99="",$I99=""),"",(INDEX('Emission factors'!$K$3:$V$201,MATCH('Buildings - Water'!$E99&amp;$F99,'Emission factors'!$J$3:$J$201&amp;'Emission factors'!$K$3:$K$201,0),MATCH('Buildings - Water'!R$6,'Emission factors'!$K$2:$V$2,0)))*$K99)</f>
        <v/>
      </c>
      <c r="S99" s="157" t="str" cm="1">
        <f t="array" ref="S99">IF(OR($E99="",$I99=""),"",(INDEX('Emission factors'!$K$3:$V$201,MATCH('Buildings - Water'!$E99&amp;$F99,'Emission factors'!$J$3:$J$201&amp;'Emission factors'!$K$3:$K$201,0),MATCH('Buildings - Water'!S$6,'Emission factors'!$K$2:$V$2,0)))*$K99)</f>
        <v/>
      </c>
      <c r="T99" s="157" t="str" cm="1">
        <f t="array" ref="T99">IF(OR($E99="",$I99=""),"",(INDEX('Emission factors'!$K$3:$V$201,MATCH('Buildings - Water'!$E99&amp;$F99,'Emission factors'!$J$3:$J$201&amp;'Emission factors'!$K$3:$K$201,0),MATCH('Buildings - Water'!T$6,'Emission factors'!$K$2:$V$2,0)))*$K99)</f>
        <v/>
      </c>
      <c r="U99" s="157" t="str" cm="1">
        <f t="array" ref="U99">IF(OR($E99="",$I99=""),"",(INDEX('Emission factors'!$K$3:$V$201,MATCH('Buildings - Water'!$E99&amp;$F99,'Emission factors'!$J$3:$J$201&amp;'Emission factors'!$K$3:$K$201,0),MATCH('Buildings - Water'!U$6,'Emission factors'!$K$2:$V$2,0)))*$K99)</f>
        <v/>
      </c>
      <c r="V99" s="158" t="str">
        <f>IF(OR($N99="",BuildingsWaterTable[[#This Row],[RSD]]=""),"",BuildingsWaterTable[[#This Row],[Total emissions (kgCO2e)]]*(1+BuildingsWaterTable[[#This Row],[RSD]]))</f>
        <v/>
      </c>
      <c r="W99" s="159" t="str">
        <f>IF(OR($N99="",BuildingsWaterTable[[#This Row],[RSD]]=""),"",BuildingsWaterTable[[#This Row],[Total emissions (kgCO2e)]]*(1-BuildingsWaterTable[[#This Row],[RSD]]))</f>
        <v/>
      </c>
      <c r="X99" s="169" t="str" cm="1">
        <f t="array" ref="X99">IF(OR($E99="",$I99=""),"",(INDEX('Emission factors'!$K$3:$V$201,MATCH('Buildings - Water'!$E99&amp;$F99,'Emission factors'!$J$3:$J$201&amp;'Emission factors'!$K$3:$K$201,0),MATCH('Buildings - Water'!X$6,'Emission factors'!$K$2:$V$2,0)))*$K99)</f>
        <v/>
      </c>
      <c r="Y99" s="30"/>
      <c r="Z99" s="1" cm="1">
        <f t="array" ref="Z99">IF(OR(ISERROR(B99:X99)),1,0)</f>
        <v>0</v>
      </c>
      <c r="AA99" s="1">
        <f t="shared" si="4"/>
        <v>0</v>
      </c>
    </row>
    <row r="100" spans="1:27" ht="15" outlineLevel="1" thickBot="1" x14ac:dyDescent="0.4">
      <c r="A100" s="319"/>
      <c r="B100" s="216"/>
      <c r="C100" s="216"/>
      <c r="D100" s="233" t="str">
        <f>IFERROR(INDEX(BuildingInformationTable[Site type],MATCH(BuildingsWaterTable[[#This Row],[Site name]],BuildingInformationTable[Site name],0)),"")</f>
        <v/>
      </c>
      <c r="E100" s="312" t="str">
        <f t="shared" si="3"/>
        <v/>
      </c>
      <c r="F100" s="72"/>
      <c r="G100" s="72"/>
      <c r="H100" s="98" t="str">
        <f>IF(G100="","",INDEX(Lists!$BA$4:$BC$31,MATCH(E100,Lists!$AZ$4:$AZ$31,0),MATCH(G100,Lists!$BA$3:$BC$3,0)))</f>
        <v/>
      </c>
      <c r="I100" s="70"/>
      <c r="J100" s="72"/>
      <c r="K100" s="75" t="str" cm="1">
        <f t="array" ref="K100">IF(OR($E100="",$D100="",$I100="",$J100=""),"",IF(J100=L100,I100,(INDEX('Emission factors'!$K$3:$V$201,MATCH(E100&amp;F100,'Emission factors'!$J$3:$J$201&amp;'Emission factors'!$K$3:$K$201,0),MATCH(K$6,'Emission factors'!$K$2:$V$2,0)))*I100))</f>
        <v/>
      </c>
      <c r="L100" s="312" t="str">
        <f>IF(OR($E100="",$D100="",$I100="",$J100=""),"",INDEX('Emission factors'!$K$3:$V$201,MATCH('Buildings - Water'!$E100,'Emission factors'!$J$3:$J$201,0),MATCH($L$6,'Emission factors'!$K$2:$V$2,0)))</f>
        <v/>
      </c>
      <c r="M100" s="313" t="str" cm="1">
        <f t="array" ref="M100">IF(OR(E100="",I100="",BuildingsWaterTable[[#This Row],[Units]]=""),"",INDEX('Emission factors'!$K$3:$V$201,MATCH('Buildings - Water'!$E100&amp;F100,'Emission factors'!$J$3:$J$201&amp;'Emission factors'!$K$3:$K$201,0),MATCH('Buildings - Water'!$M$6,'Emission factors'!$K$2:$V$2,0)))</f>
        <v/>
      </c>
      <c r="N100" s="156" t="str">
        <f>IF(OR(K100="",M100=""),"",SUM(BuildingsWaterTable[[#This Row],[Direct]:[Indirect WTT]]))</f>
        <v/>
      </c>
      <c r="O100" s="71"/>
      <c r="P100" s="72"/>
      <c r="Q100" s="157" t="str" cm="1">
        <f t="array" ref="Q100">IF(OR($E100="",$I100=""),"",(INDEX('Emission factors'!$K$3:$V$201,MATCH('Buildings - Water'!$E100&amp;$F100,'Emission factors'!$J$3:$J$201&amp;'Emission factors'!$K$3:$K$201,0),MATCH('Buildings - Water'!Q$6,'Emission factors'!$K$2:$V$2,0)))*$K100)</f>
        <v/>
      </c>
      <c r="R100" s="157" t="str" cm="1">
        <f t="array" ref="R100">IF(OR($E100="",$I100=""),"",(INDEX('Emission factors'!$K$3:$V$201,MATCH('Buildings - Water'!$E100&amp;$F100,'Emission factors'!$J$3:$J$201&amp;'Emission factors'!$K$3:$K$201,0),MATCH('Buildings - Water'!R$6,'Emission factors'!$K$2:$V$2,0)))*$K100)</f>
        <v/>
      </c>
      <c r="S100" s="157" t="str" cm="1">
        <f t="array" ref="S100">IF(OR($E100="",$I100=""),"",(INDEX('Emission factors'!$K$3:$V$201,MATCH('Buildings - Water'!$E100&amp;$F100,'Emission factors'!$J$3:$J$201&amp;'Emission factors'!$K$3:$K$201,0),MATCH('Buildings - Water'!S$6,'Emission factors'!$K$2:$V$2,0)))*$K100)</f>
        <v/>
      </c>
      <c r="T100" s="157" t="str" cm="1">
        <f t="array" ref="T100">IF(OR($E100="",$I100=""),"",(INDEX('Emission factors'!$K$3:$V$201,MATCH('Buildings - Water'!$E100&amp;$F100,'Emission factors'!$J$3:$J$201&amp;'Emission factors'!$K$3:$K$201,0),MATCH('Buildings - Water'!T$6,'Emission factors'!$K$2:$V$2,0)))*$K100)</f>
        <v/>
      </c>
      <c r="U100" s="157" t="str" cm="1">
        <f t="array" ref="U100">IF(OR($E100="",$I100=""),"",(INDEX('Emission factors'!$K$3:$V$201,MATCH('Buildings - Water'!$E100&amp;$F100,'Emission factors'!$J$3:$J$201&amp;'Emission factors'!$K$3:$K$201,0),MATCH('Buildings - Water'!U$6,'Emission factors'!$K$2:$V$2,0)))*$K100)</f>
        <v/>
      </c>
      <c r="V100" s="158" t="str">
        <f>IF(OR($N100="",BuildingsWaterTable[[#This Row],[RSD]]=""),"",BuildingsWaterTable[[#This Row],[Total emissions (kgCO2e)]]*(1+BuildingsWaterTable[[#This Row],[RSD]]))</f>
        <v/>
      </c>
      <c r="W100" s="159" t="str">
        <f>IF(OR($N100="",BuildingsWaterTable[[#This Row],[RSD]]=""),"",BuildingsWaterTable[[#This Row],[Total emissions (kgCO2e)]]*(1-BuildingsWaterTable[[#This Row],[RSD]]))</f>
        <v/>
      </c>
      <c r="X100" s="169" t="str" cm="1">
        <f t="array" ref="X100">IF(OR($E100="",$I100=""),"",(INDEX('Emission factors'!$K$3:$V$201,MATCH('Buildings - Water'!$E100&amp;$F100,'Emission factors'!$J$3:$J$201&amp;'Emission factors'!$K$3:$K$201,0),MATCH('Buildings - Water'!X$6,'Emission factors'!$K$2:$V$2,0)))*$K100)</f>
        <v/>
      </c>
      <c r="Y100" s="30"/>
      <c r="Z100" s="1" cm="1">
        <f t="array" ref="Z100">IF(OR(ISERROR(B100:X100)),1,0)</f>
        <v>0</v>
      </c>
      <c r="AA100" s="1">
        <f t="shared" si="4"/>
        <v>0</v>
      </c>
    </row>
    <row r="101" spans="1:27" ht="15" outlineLevel="1" thickBot="1" x14ac:dyDescent="0.4">
      <c r="A101" s="319"/>
      <c r="B101" s="216"/>
      <c r="C101" s="216"/>
      <c r="D101" s="233" t="str">
        <f>IFERROR(INDEX(BuildingInformationTable[Site type],MATCH(BuildingsWaterTable[[#This Row],[Site name]],BuildingInformationTable[Site name],0)),"")</f>
        <v/>
      </c>
      <c r="E101" s="312" t="str">
        <f t="shared" si="3"/>
        <v/>
      </c>
      <c r="F101" s="72"/>
      <c r="G101" s="72"/>
      <c r="H101" s="98" t="str">
        <f>IF(G101="","",INDEX(Lists!$BA$4:$BC$31,MATCH(E101,Lists!$AZ$4:$AZ$31,0),MATCH(G101,Lists!$BA$3:$BC$3,0)))</f>
        <v/>
      </c>
      <c r="I101" s="70"/>
      <c r="J101" s="72"/>
      <c r="K101" s="75" t="str" cm="1">
        <f t="array" ref="K101">IF(OR($E101="",$D101="",$I101="",$J101=""),"",IF(J101=L101,I101,(INDEX('Emission factors'!$K$3:$V$201,MATCH(E101&amp;F101,'Emission factors'!$J$3:$J$201&amp;'Emission factors'!$K$3:$K$201,0),MATCH(K$6,'Emission factors'!$K$2:$V$2,0)))*I101))</f>
        <v/>
      </c>
      <c r="L101" s="312" t="str">
        <f>IF(OR($E101="",$D101="",$I101="",$J101=""),"",INDEX('Emission factors'!$K$3:$V$201,MATCH('Buildings - Water'!$E101,'Emission factors'!$J$3:$J$201,0),MATCH($L$6,'Emission factors'!$K$2:$V$2,0)))</f>
        <v/>
      </c>
      <c r="M101" s="313" t="str" cm="1">
        <f t="array" ref="M101">IF(OR(E101="",I101="",BuildingsWaterTable[[#This Row],[Units]]=""),"",INDEX('Emission factors'!$K$3:$V$201,MATCH('Buildings - Water'!$E101&amp;F101,'Emission factors'!$J$3:$J$201&amp;'Emission factors'!$K$3:$K$201,0),MATCH('Buildings - Water'!$M$6,'Emission factors'!$K$2:$V$2,0)))</f>
        <v/>
      </c>
      <c r="N101" s="156" t="str">
        <f>IF(OR(K101="",M101=""),"",SUM(BuildingsWaterTable[[#This Row],[Direct]:[Indirect WTT]]))</f>
        <v/>
      </c>
      <c r="O101" s="71"/>
      <c r="P101" s="72"/>
      <c r="Q101" s="157" t="str" cm="1">
        <f t="array" ref="Q101">IF(OR($E101="",$I101=""),"",(INDEX('Emission factors'!$K$3:$V$201,MATCH('Buildings - Water'!$E101&amp;$F101,'Emission factors'!$J$3:$J$201&amp;'Emission factors'!$K$3:$K$201,0),MATCH('Buildings - Water'!Q$6,'Emission factors'!$K$2:$V$2,0)))*$K101)</f>
        <v/>
      </c>
      <c r="R101" s="157" t="str" cm="1">
        <f t="array" ref="R101">IF(OR($E101="",$I101=""),"",(INDEX('Emission factors'!$K$3:$V$201,MATCH('Buildings - Water'!$E101&amp;$F101,'Emission factors'!$J$3:$J$201&amp;'Emission factors'!$K$3:$K$201,0),MATCH('Buildings - Water'!R$6,'Emission factors'!$K$2:$V$2,0)))*$K101)</f>
        <v/>
      </c>
      <c r="S101" s="157" t="str" cm="1">
        <f t="array" ref="S101">IF(OR($E101="",$I101=""),"",(INDEX('Emission factors'!$K$3:$V$201,MATCH('Buildings - Water'!$E101&amp;$F101,'Emission factors'!$J$3:$J$201&amp;'Emission factors'!$K$3:$K$201,0),MATCH('Buildings - Water'!S$6,'Emission factors'!$K$2:$V$2,0)))*$K101)</f>
        <v/>
      </c>
      <c r="T101" s="157" t="str" cm="1">
        <f t="array" ref="T101">IF(OR($E101="",$I101=""),"",(INDEX('Emission factors'!$K$3:$V$201,MATCH('Buildings - Water'!$E101&amp;$F101,'Emission factors'!$J$3:$J$201&amp;'Emission factors'!$K$3:$K$201,0),MATCH('Buildings - Water'!T$6,'Emission factors'!$K$2:$V$2,0)))*$K101)</f>
        <v/>
      </c>
      <c r="U101" s="157" t="str" cm="1">
        <f t="array" ref="U101">IF(OR($E101="",$I101=""),"",(INDEX('Emission factors'!$K$3:$V$201,MATCH('Buildings - Water'!$E101&amp;$F101,'Emission factors'!$J$3:$J$201&amp;'Emission factors'!$K$3:$K$201,0),MATCH('Buildings - Water'!U$6,'Emission factors'!$K$2:$V$2,0)))*$K101)</f>
        <v/>
      </c>
      <c r="V101" s="158" t="str">
        <f>IF(OR($N101="",BuildingsWaterTable[[#This Row],[RSD]]=""),"",BuildingsWaterTable[[#This Row],[Total emissions (kgCO2e)]]*(1+BuildingsWaterTable[[#This Row],[RSD]]))</f>
        <v/>
      </c>
      <c r="W101" s="159" t="str">
        <f>IF(OR($N101="",BuildingsWaterTable[[#This Row],[RSD]]=""),"",BuildingsWaterTable[[#This Row],[Total emissions (kgCO2e)]]*(1-BuildingsWaterTable[[#This Row],[RSD]]))</f>
        <v/>
      </c>
      <c r="X101" s="169" t="str" cm="1">
        <f t="array" ref="X101">IF(OR($E101="",$I101=""),"",(INDEX('Emission factors'!$K$3:$V$201,MATCH('Buildings - Water'!$E101&amp;$F101,'Emission factors'!$J$3:$J$201&amp;'Emission factors'!$K$3:$K$201,0),MATCH('Buildings - Water'!X$6,'Emission factors'!$K$2:$V$2,0)))*$K101)</f>
        <v/>
      </c>
      <c r="Y101" s="30"/>
      <c r="Z101" s="1" cm="1">
        <f t="array" ref="Z101">IF(OR(ISERROR(B101:X101)),1,0)</f>
        <v>0</v>
      </c>
      <c r="AA101" s="1">
        <f t="shared" si="4"/>
        <v>0</v>
      </c>
    </row>
    <row r="102" spans="1:27" ht="15" outlineLevel="1" thickBot="1" x14ac:dyDescent="0.4">
      <c r="A102" s="319"/>
      <c r="B102" s="216"/>
      <c r="C102" s="216"/>
      <c r="D102" s="233" t="str">
        <f>IFERROR(INDEX(BuildingInformationTable[Site type],MATCH(BuildingsWaterTable[[#This Row],[Site name]],BuildingInformationTable[Site name],0)),"")</f>
        <v/>
      </c>
      <c r="E102" s="312" t="str">
        <f t="shared" si="3"/>
        <v/>
      </c>
      <c r="F102" s="72"/>
      <c r="G102" s="72"/>
      <c r="H102" s="98" t="str">
        <f>IF(G102="","",INDEX(Lists!$BA$4:$BC$31,MATCH(E102,Lists!$AZ$4:$AZ$31,0),MATCH(G102,Lists!$BA$3:$BC$3,0)))</f>
        <v/>
      </c>
      <c r="I102" s="70"/>
      <c r="J102" s="72"/>
      <c r="K102" s="75" t="str" cm="1">
        <f t="array" ref="K102">IF(OR($E102="",$D102="",$I102="",$J102=""),"",IF(J102=L102,I102,(INDEX('Emission factors'!$K$3:$V$201,MATCH(E102&amp;F102,'Emission factors'!$J$3:$J$201&amp;'Emission factors'!$K$3:$K$201,0),MATCH(K$6,'Emission factors'!$K$2:$V$2,0)))*I102))</f>
        <v/>
      </c>
      <c r="L102" s="312" t="str">
        <f>IF(OR($E102="",$D102="",$I102="",$J102=""),"",INDEX('Emission factors'!$K$3:$V$201,MATCH('Buildings - Water'!$E102,'Emission factors'!$J$3:$J$201,0),MATCH($L$6,'Emission factors'!$K$2:$V$2,0)))</f>
        <v/>
      </c>
      <c r="M102" s="313" t="str" cm="1">
        <f t="array" ref="M102">IF(OR(E102="",I102="",BuildingsWaterTable[[#This Row],[Units]]=""),"",INDEX('Emission factors'!$K$3:$V$201,MATCH('Buildings - Water'!$E102&amp;F102,'Emission factors'!$J$3:$J$201&amp;'Emission factors'!$K$3:$K$201,0),MATCH('Buildings - Water'!$M$6,'Emission factors'!$K$2:$V$2,0)))</f>
        <v/>
      </c>
      <c r="N102" s="156" t="str">
        <f>IF(OR(K102="",M102=""),"",SUM(BuildingsWaterTable[[#This Row],[Direct]:[Indirect WTT]]))</f>
        <v/>
      </c>
      <c r="O102" s="71"/>
      <c r="P102" s="72"/>
      <c r="Q102" s="157" t="str" cm="1">
        <f t="array" ref="Q102">IF(OR($E102="",$I102=""),"",(INDEX('Emission factors'!$K$3:$V$201,MATCH('Buildings - Water'!$E102&amp;$F102,'Emission factors'!$J$3:$J$201&amp;'Emission factors'!$K$3:$K$201,0),MATCH('Buildings - Water'!Q$6,'Emission factors'!$K$2:$V$2,0)))*$K102)</f>
        <v/>
      </c>
      <c r="R102" s="157" t="str" cm="1">
        <f t="array" ref="R102">IF(OR($E102="",$I102=""),"",(INDEX('Emission factors'!$K$3:$V$201,MATCH('Buildings - Water'!$E102&amp;$F102,'Emission factors'!$J$3:$J$201&amp;'Emission factors'!$K$3:$K$201,0),MATCH('Buildings - Water'!R$6,'Emission factors'!$K$2:$V$2,0)))*$K102)</f>
        <v/>
      </c>
      <c r="S102" s="157" t="str" cm="1">
        <f t="array" ref="S102">IF(OR($E102="",$I102=""),"",(INDEX('Emission factors'!$K$3:$V$201,MATCH('Buildings - Water'!$E102&amp;$F102,'Emission factors'!$J$3:$J$201&amp;'Emission factors'!$K$3:$K$201,0),MATCH('Buildings - Water'!S$6,'Emission factors'!$K$2:$V$2,0)))*$K102)</f>
        <v/>
      </c>
      <c r="T102" s="157" t="str" cm="1">
        <f t="array" ref="T102">IF(OR($E102="",$I102=""),"",(INDEX('Emission factors'!$K$3:$V$201,MATCH('Buildings - Water'!$E102&amp;$F102,'Emission factors'!$J$3:$J$201&amp;'Emission factors'!$K$3:$K$201,0),MATCH('Buildings - Water'!T$6,'Emission factors'!$K$2:$V$2,0)))*$K102)</f>
        <v/>
      </c>
      <c r="U102" s="157" t="str" cm="1">
        <f t="array" ref="U102">IF(OR($E102="",$I102=""),"",(INDEX('Emission factors'!$K$3:$V$201,MATCH('Buildings - Water'!$E102&amp;$F102,'Emission factors'!$J$3:$J$201&amp;'Emission factors'!$K$3:$K$201,0),MATCH('Buildings - Water'!U$6,'Emission factors'!$K$2:$V$2,0)))*$K102)</f>
        <v/>
      </c>
      <c r="V102" s="158" t="str">
        <f>IF(OR($N102="",BuildingsWaterTable[[#This Row],[RSD]]=""),"",BuildingsWaterTable[[#This Row],[Total emissions (kgCO2e)]]*(1+BuildingsWaterTable[[#This Row],[RSD]]))</f>
        <v/>
      </c>
      <c r="W102" s="159" t="str">
        <f>IF(OR($N102="",BuildingsWaterTable[[#This Row],[RSD]]=""),"",BuildingsWaterTable[[#This Row],[Total emissions (kgCO2e)]]*(1-BuildingsWaterTable[[#This Row],[RSD]]))</f>
        <v/>
      </c>
      <c r="X102" s="169" t="str" cm="1">
        <f t="array" ref="X102">IF(OR($E102="",$I102=""),"",(INDEX('Emission factors'!$K$3:$V$201,MATCH('Buildings - Water'!$E102&amp;$F102,'Emission factors'!$J$3:$J$201&amp;'Emission factors'!$K$3:$K$201,0),MATCH('Buildings - Water'!X$6,'Emission factors'!$K$2:$V$2,0)))*$K102)</f>
        <v/>
      </c>
      <c r="Y102" s="30"/>
      <c r="Z102" s="1" cm="1">
        <f t="array" ref="Z102">IF(OR(ISERROR(B102:X102)),1,0)</f>
        <v>0</v>
      </c>
      <c r="AA102" s="1">
        <f t="shared" si="4"/>
        <v>0</v>
      </c>
    </row>
    <row r="103" spans="1:27" ht="15" outlineLevel="1" thickBot="1" x14ac:dyDescent="0.4">
      <c r="A103" s="319"/>
      <c r="B103" s="216"/>
      <c r="C103" s="216"/>
      <c r="D103" s="233" t="str">
        <f>IFERROR(INDEX(BuildingInformationTable[Site type],MATCH(BuildingsWaterTable[[#This Row],[Site name]],BuildingInformationTable[Site name],0)),"")</f>
        <v/>
      </c>
      <c r="E103" s="312" t="str">
        <f t="shared" ref="E103:E118" si="5">IF(B103="", "", "Water")</f>
        <v/>
      </c>
      <c r="F103" s="72"/>
      <c r="G103" s="72"/>
      <c r="H103" s="98" t="str">
        <f>IF(G103="","",INDEX(Lists!$BA$4:$BC$31,MATCH(E103,Lists!$AZ$4:$AZ$31,0),MATCH(G103,Lists!$BA$3:$BC$3,0)))</f>
        <v/>
      </c>
      <c r="I103" s="70"/>
      <c r="J103" s="72"/>
      <c r="K103" s="75" t="str" cm="1">
        <f t="array" ref="K103">IF(OR($E103="",$D103="",$I103="",$J103=""),"",IF(J103=L103,I103,(INDEX('Emission factors'!$K$3:$V$201,MATCH(E103&amp;F103,'Emission factors'!$J$3:$J$201&amp;'Emission factors'!$K$3:$K$201,0),MATCH(K$6,'Emission factors'!$K$2:$V$2,0)))*I103))</f>
        <v/>
      </c>
      <c r="L103" s="312" t="str">
        <f>IF(OR($E103="",$D103="",$I103="",$J103=""),"",INDEX('Emission factors'!$K$3:$V$201,MATCH('Buildings - Water'!$E103,'Emission factors'!$J$3:$J$201,0),MATCH($L$6,'Emission factors'!$K$2:$V$2,0)))</f>
        <v/>
      </c>
      <c r="M103" s="313" t="str" cm="1">
        <f t="array" ref="M103">IF(OR(E103="",I103="",BuildingsWaterTable[[#This Row],[Units]]=""),"",INDEX('Emission factors'!$K$3:$V$201,MATCH('Buildings - Water'!$E103&amp;F103,'Emission factors'!$J$3:$J$201&amp;'Emission factors'!$K$3:$K$201,0),MATCH('Buildings - Water'!$M$6,'Emission factors'!$K$2:$V$2,0)))</f>
        <v/>
      </c>
      <c r="N103" s="156" t="str">
        <f>IF(OR(K103="",M103=""),"",SUM(BuildingsWaterTable[[#This Row],[Direct]:[Indirect WTT]]))</f>
        <v/>
      </c>
      <c r="O103" s="71"/>
      <c r="P103" s="72"/>
      <c r="Q103" s="157" t="str" cm="1">
        <f t="array" ref="Q103">IF(OR($E103="",$I103=""),"",(INDEX('Emission factors'!$K$3:$V$201,MATCH('Buildings - Water'!$E103&amp;$F103,'Emission factors'!$J$3:$J$201&amp;'Emission factors'!$K$3:$K$201,0),MATCH('Buildings - Water'!Q$6,'Emission factors'!$K$2:$V$2,0)))*$K103)</f>
        <v/>
      </c>
      <c r="R103" s="157" t="str" cm="1">
        <f t="array" ref="R103">IF(OR($E103="",$I103=""),"",(INDEX('Emission factors'!$K$3:$V$201,MATCH('Buildings - Water'!$E103&amp;$F103,'Emission factors'!$J$3:$J$201&amp;'Emission factors'!$K$3:$K$201,0),MATCH('Buildings - Water'!R$6,'Emission factors'!$K$2:$V$2,0)))*$K103)</f>
        <v/>
      </c>
      <c r="S103" s="157" t="str" cm="1">
        <f t="array" ref="S103">IF(OR($E103="",$I103=""),"",(INDEX('Emission factors'!$K$3:$V$201,MATCH('Buildings - Water'!$E103&amp;$F103,'Emission factors'!$J$3:$J$201&amp;'Emission factors'!$K$3:$K$201,0),MATCH('Buildings - Water'!S$6,'Emission factors'!$K$2:$V$2,0)))*$K103)</f>
        <v/>
      </c>
      <c r="T103" s="157" t="str" cm="1">
        <f t="array" ref="T103">IF(OR($E103="",$I103=""),"",(INDEX('Emission factors'!$K$3:$V$201,MATCH('Buildings - Water'!$E103&amp;$F103,'Emission factors'!$J$3:$J$201&amp;'Emission factors'!$K$3:$K$201,0),MATCH('Buildings - Water'!T$6,'Emission factors'!$K$2:$V$2,0)))*$K103)</f>
        <v/>
      </c>
      <c r="U103" s="157" t="str" cm="1">
        <f t="array" ref="U103">IF(OR($E103="",$I103=""),"",(INDEX('Emission factors'!$K$3:$V$201,MATCH('Buildings - Water'!$E103&amp;$F103,'Emission factors'!$J$3:$J$201&amp;'Emission factors'!$K$3:$K$201,0),MATCH('Buildings - Water'!U$6,'Emission factors'!$K$2:$V$2,0)))*$K103)</f>
        <v/>
      </c>
      <c r="V103" s="158" t="str">
        <f>IF(OR($N103="",BuildingsWaterTable[[#This Row],[RSD]]=""),"",BuildingsWaterTable[[#This Row],[Total emissions (kgCO2e)]]*(1+BuildingsWaterTable[[#This Row],[RSD]]))</f>
        <v/>
      </c>
      <c r="W103" s="159" t="str">
        <f>IF(OR($N103="",BuildingsWaterTable[[#This Row],[RSD]]=""),"",BuildingsWaterTable[[#This Row],[Total emissions (kgCO2e)]]*(1-BuildingsWaterTable[[#This Row],[RSD]]))</f>
        <v/>
      </c>
      <c r="X103" s="169" t="str" cm="1">
        <f t="array" ref="X103">IF(OR($E103="",$I103=""),"",(INDEX('Emission factors'!$K$3:$V$201,MATCH('Buildings - Water'!$E103&amp;$F103,'Emission factors'!$J$3:$J$201&amp;'Emission factors'!$K$3:$K$201,0),MATCH('Buildings - Water'!X$6,'Emission factors'!$K$2:$V$2,0)))*$K103)</f>
        <v/>
      </c>
      <c r="Y103" s="30"/>
      <c r="Z103" s="1" cm="1">
        <f t="array" ref="Z103">IF(OR(ISERROR(B103:X103)),1,0)</f>
        <v>0</v>
      </c>
      <c r="AA103" s="1">
        <f t="shared" si="4"/>
        <v>0</v>
      </c>
    </row>
    <row r="104" spans="1:27" ht="15" outlineLevel="1" thickBot="1" x14ac:dyDescent="0.4">
      <c r="A104" s="319"/>
      <c r="B104" s="216"/>
      <c r="C104" s="216"/>
      <c r="D104" s="233" t="str">
        <f>IFERROR(INDEX(BuildingInformationTable[Site type],MATCH(BuildingsWaterTable[[#This Row],[Site name]],BuildingInformationTable[Site name],0)),"")</f>
        <v/>
      </c>
      <c r="E104" s="312" t="str">
        <f t="shared" si="5"/>
        <v/>
      </c>
      <c r="F104" s="72"/>
      <c r="G104" s="72"/>
      <c r="H104" s="98" t="str">
        <f>IF(G104="","",INDEX(Lists!$BA$4:$BC$31,MATCH(E104,Lists!$AZ$4:$AZ$31,0),MATCH(G104,Lists!$BA$3:$BC$3,0)))</f>
        <v/>
      </c>
      <c r="I104" s="70"/>
      <c r="J104" s="72"/>
      <c r="K104" s="75" t="str" cm="1">
        <f t="array" ref="K104">IF(OR($E104="",$D104="",$I104="",$J104=""),"",IF(J104=L104,I104,(INDEX('Emission factors'!$K$3:$V$201,MATCH(E104&amp;F104,'Emission factors'!$J$3:$J$201&amp;'Emission factors'!$K$3:$K$201,0),MATCH(K$6,'Emission factors'!$K$2:$V$2,0)))*I104))</f>
        <v/>
      </c>
      <c r="L104" s="312" t="str">
        <f>IF(OR($E104="",$D104="",$I104="",$J104=""),"",INDEX('Emission factors'!$K$3:$V$201,MATCH('Buildings - Water'!$E104,'Emission factors'!$J$3:$J$201,0),MATCH($L$6,'Emission factors'!$K$2:$V$2,0)))</f>
        <v/>
      </c>
      <c r="M104" s="313" t="str" cm="1">
        <f t="array" ref="M104">IF(OR(E104="",I104="",BuildingsWaterTable[[#This Row],[Units]]=""),"",INDEX('Emission factors'!$K$3:$V$201,MATCH('Buildings - Water'!$E104&amp;F104,'Emission factors'!$J$3:$J$201&amp;'Emission factors'!$K$3:$K$201,0),MATCH('Buildings - Water'!$M$6,'Emission factors'!$K$2:$V$2,0)))</f>
        <v/>
      </c>
      <c r="N104" s="156" t="str">
        <f>IF(OR(K104="",M104=""),"",SUM(BuildingsWaterTable[[#This Row],[Direct]:[Indirect WTT]]))</f>
        <v/>
      </c>
      <c r="O104" s="71"/>
      <c r="P104" s="72"/>
      <c r="Q104" s="157" t="str" cm="1">
        <f t="array" ref="Q104">IF(OR($E104="",$I104=""),"",(INDEX('Emission factors'!$K$3:$V$201,MATCH('Buildings - Water'!$E104&amp;$F104,'Emission factors'!$J$3:$J$201&amp;'Emission factors'!$K$3:$K$201,0),MATCH('Buildings - Water'!Q$6,'Emission factors'!$K$2:$V$2,0)))*$K104)</f>
        <v/>
      </c>
      <c r="R104" s="157" t="str" cm="1">
        <f t="array" ref="R104">IF(OR($E104="",$I104=""),"",(INDEX('Emission factors'!$K$3:$V$201,MATCH('Buildings - Water'!$E104&amp;$F104,'Emission factors'!$J$3:$J$201&amp;'Emission factors'!$K$3:$K$201,0),MATCH('Buildings - Water'!R$6,'Emission factors'!$K$2:$V$2,0)))*$K104)</f>
        <v/>
      </c>
      <c r="S104" s="157" t="str" cm="1">
        <f t="array" ref="S104">IF(OR($E104="",$I104=""),"",(INDEX('Emission factors'!$K$3:$V$201,MATCH('Buildings - Water'!$E104&amp;$F104,'Emission factors'!$J$3:$J$201&amp;'Emission factors'!$K$3:$K$201,0),MATCH('Buildings - Water'!S$6,'Emission factors'!$K$2:$V$2,0)))*$K104)</f>
        <v/>
      </c>
      <c r="T104" s="157" t="str" cm="1">
        <f t="array" ref="T104">IF(OR($E104="",$I104=""),"",(INDEX('Emission factors'!$K$3:$V$201,MATCH('Buildings - Water'!$E104&amp;$F104,'Emission factors'!$J$3:$J$201&amp;'Emission factors'!$K$3:$K$201,0),MATCH('Buildings - Water'!T$6,'Emission factors'!$K$2:$V$2,0)))*$K104)</f>
        <v/>
      </c>
      <c r="U104" s="157" t="str" cm="1">
        <f t="array" ref="U104">IF(OR($E104="",$I104=""),"",(INDEX('Emission factors'!$K$3:$V$201,MATCH('Buildings - Water'!$E104&amp;$F104,'Emission factors'!$J$3:$J$201&amp;'Emission factors'!$K$3:$K$201,0),MATCH('Buildings - Water'!U$6,'Emission factors'!$K$2:$V$2,0)))*$K104)</f>
        <v/>
      </c>
      <c r="V104" s="158" t="str">
        <f>IF(OR($N104="",BuildingsWaterTable[[#This Row],[RSD]]=""),"",BuildingsWaterTable[[#This Row],[Total emissions (kgCO2e)]]*(1+BuildingsWaterTable[[#This Row],[RSD]]))</f>
        <v/>
      </c>
      <c r="W104" s="159" t="str">
        <f>IF(OR($N104="",BuildingsWaterTable[[#This Row],[RSD]]=""),"",BuildingsWaterTable[[#This Row],[Total emissions (kgCO2e)]]*(1-BuildingsWaterTable[[#This Row],[RSD]]))</f>
        <v/>
      </c>
      <c r="X104" s="169" t="str" cm="1">
        <f t="array" ref="X104">IF(OR($E104="",$I104=""),"",(INDEX('Emission factors'!$K$3:$V$201,MATCH('Buildings - Water'!$E104&amp;$F104,'Emission factors'!$J$3:$J$201&amp;'Emission factors'!$K$3:$K$201,0),MATCH('Buildings - Water'!X$6,'Emission factors'!$K$2:$V$2,0)))*$K104)</f>
        <v/>
      </c>
      <c r="Y104" s="30"/>
      <c r="Z104" s="1" cm="1">
        <f t="array" ref="Z104">IF(OR(ISERROR(B104:X104)),1,0)</f>
        <v>0</v>
      </c>
      <c r="AA104" s="1">
        <f t="shared" si="4"/>
        <v>0</v>
      </c>
    </row>
    <row r="105" spans="1:27" ht="15" outlineLevel="1" thickBot="1" x14ac:dyDescent="0.4">
      <c r="A105" s="319"/>
      <c r="B105" s="216"/>
      <c r="C105" s="216"/>
      <c r="D105" s="233" t="str">
        <f>IFERROR(INDEX(BuildingInformationTable[Site type],MATCH(BuildingsWaterTable[[#This Row],[Site name]],BuildingInformationTable[Site name],0)),"")</f>
        <v/>
      </c>
      <c r="E105" s="312" t="str">
        <f t="shared" si="5"/>
        <v/>
      </c>
      <c r="F105" s="72"/>
      <c r="G105" s="72"/>
      <c r="H105" s="98" t="str">
        <f>IF(G105="","",INDEX(Lists!$BA$4:$BC$31,MATCH(E105,Lists!$AZ$4:$AZ$31,0),MATCH(G105,Lists!$BA$3:$BC$3,0)))</f>
        <v/>
      </c>
      <c r="I105" s="70"/>
      <c r="J105" s="72"/>
      <c r="K105" s="75" t="str" cm="1">
        <f t="array" ref="K105">IF(OR($E105="",$D105="",$I105="",$J105=""),"",IF(J105=L105,I105,(INDEX('Emission factors'!$K$3:$V$201,MATCH(E105&amp;F105,'Emission factors'!$J$3:$J$201&amp;'Emission factors'!$K$3:$K$201,0),MATCH(K$6,'Emission factors'!$K$2:$V$2,0)))*I105))</f>
        <v/>
      </c>
      <c r="L105" s="312" t="str">
        <f>IF(OR($E105="",$D105="",$I105="",$J105=""),"",INDEX('Emission factors'!$K$3:$V$201,MATCH('Buildings - Water'!$E105,'Emission factors'!$J$3:$J$201,0),MATCH($L$6,'Emission factors'!$K$2:$V$2,0)))</f>
        <v/>
      </c>
      <c r="M105" s="313" t="str" cm="1">
        <f t="array" ref="M105">IF(OR(E105="",I105="",BuildingsWaterTable[[#This Row],[Units]]=""),"",INDEX('Emission factors'!$K$3:$V$201,MATCH('Buildings - Water'!$E105&amp;F105,'Emission factors'!$J$3:$J$201&amp;'Emission factors'!$K$3:$K$201,0),MATCH('Buildings - Water'!$M$6,'Emission factors'!$K$2:$V$2,0)))</f>
        <v/>
      </c>
      <c r="N105" s="156" t="str">
        <f>IF(OR(K105="",M105=""),"",SUM(BuildingsWaterTable[[#This Row],[Direct]:[Indirect WTT]]))</f>
        <v/>
      </c>
      <c r="O105" s="71"/>
      <c r="P105" s="72"/>
      <c r="Q105" s="157" t="str" cm="1">
        <f t="array" ref="Q105">IF(OR($E105="",$I105=""),"",(INDEX('Emission factors'!$K$3:$V$201,MATCH('Buildings - Water'!$E105&amp;$F105,'Emission factors'!$J$3:$J$201&amp;'Emission factors'!$K$3:$K$201,0),MATCH('Buildings - Water'!Q$6,'Emission factors'!$K$2:$V$2,0)))*$K105)</f>
        <v/>
      </c>
      <c r="R105" s="157" t="str" cm="1">
        <f t="array" ref="R105">IF(OR($E105="",$I105=""),"",(INDEX('Emission factors'!$K$3:$V$201,MATCH('Buildings - Water'!$E105&amp;$F105,'Emission factors'!$J$3:$J$201&amp;'Emission factors'!$K$3:$K$201,0),MATCH('Buildings - Water'!R$6,'Emission factors'!$K$2:$V$2,0)))*$K105)</f>
        <v/>
      </c>
      <c r="S105" s="157" t="str" cm="1">
        <f t="array" ref="S105">IF(OR($E105="",$I105=""),"",(INDEX('Emission factors'!$K$3:$V$201,MATCH('Buildings - Water'!$E105&amp;$F105,'Emission factors'!$J$3:$J$201&amp;'Emission factors'!$K$3:$K$201,0),MATCH('Buildings - Water'!S$6,'Emission factors'!$K$2:$V$2,0)))*$K105)</f>
        <v/>
      </c>
      <c r="T105" s="157" t="str" cm="1">
        <f t="array" ref="T105">IF(OR($E105="",$I105=""),"",(INDEX('Emission factors'!$K$3:$V$201,MATCH('Buildings - Water'!$E105&amp;$F105,'Emission factors'!$J$3:$J$201&amp;'Emission factors'!$K$3:$K$201,0),MATCH('Buildings - Water'!T$6,'Emission factors'!$K$2:$V$2,0)))*$K105)</f>
        <v/>
      </c>
      <c r="U105" s="157" t="str" cm="1">
        <f t="array" ref="U105">IF(OR($E105="",$I105=""),"",(INDEX('Emission factors'!$K$3:$V$201,MATCH('Buildings - Water'!$E105&amp;$F105,'Emission factors'!$J$3:$J$201&amp;'Emission factors'!$K$3:$K$201,0),MATCH('Buildings - Water'!U$6,'Emission factors'!$K$2:$V$2,0)))*$K105)</f>
        <v/>
      </c>
      <c r="V105" s="158" t="str">
        <f>IF(OR($N105="",BuildingsWaterTable[[#This Row],[RSD]]=""),"",BuildingsWaterTable[[#This Row],[Total emissions (kgCO2e)]]*(1+BuildingsWaterTable[[#This Row],[RSD]]))</f>
        <v/>
      </c>
      <c r="W105" s="159" t="str">
        <f>IF(OR($N105="",BuildingsWaterTable[[#This Row],[RSD]]=""),"",BuildingsWaterTable[[#This Row],[Total emissions (kgCO2e)]]*(1-BuildingsWaterTable[[#This Row],[RSD]]))</f>
        <v/>
      </c>
      <c r="X105" s="169" t="str" cm="1">
        <f t="array" ref="X105">IF(OR($E105="",$I105=""),"",(INDEX('Emission factors'!$K$3:$V$201,MATCH('Buildings - Water'!$E105&amp;$F105,'Emission factors'!$J$3:$J$201&amp;'Emission factors'!$K$3:$K$201,0),MATCH('Buildings - Water'!X$6,'Emission factors'!$K$2:$V$2,0)))*$K105)</f>
        <v/>
      </c>
      <c r="Y105" s="30"/>
      <c r="Z105" s="1" cm="1">
        <f t="array" ref="Z105">IF(OR(ISERROR(B105:X105)),1,0)</f>
        <v>0</v>
      </c>
      <c r="AA105" s="1">
        <f t="shared" si="4"/>
        <v>0</v>
      </c>
    </row>
    <row r="106" spans="1:27" ht="15" outlineLevel="1" thickBot="1" x14ac:dyDescent="0.4">
      <c r="A106" s="319"/>
      <c r="B106" s="216"/>
      <c r="C106" s="216"/>
      <c r="D106" s="233" t="str">
        <f>IFERROR(INDEX(BuildingInformationTable[Site type],MATCH(BuildingsWaterTable[[#This Row],[Site name]],BuildingInformationTable[Site name],0)),"")</f>
        <v/>
      </c>
      <c r="E106" s="312" t="str">
        <f t="shared" si="5"/>
        <v/>
      </c>
      <c r="F106" s="72"/>
      <c r="G106" s="72"/>
      <c r="H106" s="98" t="str">
        <f>IF(G106="","",INDEX(Lists!$BA$4:$BC$31,MATCH(E106,Lists!$AZ$4:$AZ$31,0),MATCH(G106,Lists!$BA$3:$BC$3,0)))</f>
        <v/>
      </c>
      <c r="I106" s="70"/>
      <c r="J106" s="72"/>
      <c r="K106" s="75" t="str" cm="1">
        <f t="array" ref="K106">IF(OR($E106="",$D106="",$I106="",$J106=""),"",IF(J106=L106,I106,(INDEX('Emission factors'!$K$3:$V$201,MATCH(E106&amp;F106,'Emission factors'!$J$3:$J$201&amp;'Emission factors'!$K$3:$K$201,0),MATCH(K$6,'Emission factors'!$K$2:$V$2,0)))*I106))</f>
        <v/>
      </c>
      <c r="L106" s="312" t="str">
        <f>IF(OR($E106="",$D106="",$I106="",$J106=""),"",INDEX('Emission factors'!$K$3:$V$201,MATCH('Buildings - Water'!$E106,'Emission factors'!$J$3:$J$201,0),MATCH($L$6,'Emission factors'!$K$2:$V$2,0)))</f>
        <v/>
      </c>
      <c r="M106" s="313" t="str" cm="1">
        <f t="array" ref="M106">IF(OR(E106="",I106="",BuildingsWaterTable[[#This Row],[Units]]=""),"",INDEX('Emission factors'!$K$3:$V$201,MATCH('Buildings - Water'!$E106&amp;F106,'Emission factors'!$J$3:$J$201&amp;'Emission factors'!$K$3:$K$201,0),MATCH('Buildings - Water'!$M$6,'Emission factors'!$K$2:$V$2,0)))</f>
        <v/>
      </c>
      <c r="N106" s="156" t="str">
        <f>IF(OR(K106="",M106=""),"",SUM(BuildingsWaterTable[[#This Row],[Direct]:[Indirect WTT]]))</f>
        <v/>
      </c>
      <c r="O106" s="71"/>
      <c r="P106" s="72"/>
      <c r="Q106" s="157" t="str" cm="1">
        <f t="array" ref="Q106">IF(OR($E106="",$I106=""),"",(INDEX('Emission factors'!$K$3:$V$201,MATCH('Buildings - Water'!$E106&amp;$F106,'Emission factors'!$J$3:$J$201&amp;'Emission factors'!$K$3:$K$201,0),MATCH('Buildings - Water'!Q$6,'Emission factors'!$K$2:$V$2,0)))*$K106)</f>
        <v/>
      </c>
      <c r="R106" s="157" t="str" cm="1">
        <f t="array" ref="R106">IF(OR($E106="",$I106=""),"",(INDEX('Emission factors'!$K$3:$V$201,MATCH('Buildings - Water'!$E106&amp;$F106,'Emission factors'!$J$3:$J$201&amp;'Emission factors'!$K$3:$K$201,0),MATCH('Buildings - Water'!R$6,'Emission factors'!$K$2:$V$2,0)))*$K106)</f>
        <v/>
      </c>
      <c r="S106" s="157" t="str" cm="1">
        <f t="array" ref="S106">IF(OR($E106="",$I106=""),"",(INDEX('Emission factors'!$K$3:$V$201,MATCH('Buildings - Water'!$E106&amp;$F106,'Emission factors'!$J$3:$J$201&amp;'Emission factors'!$K$3:$K$201,0),MATCH('Buildings - Water'!S$6,'Emission factors'!$K$2:$V$2,0)))*$K106)</f>
        <v/>
      </c>
      <c r="T106" s="157" t="str" cm="1">
        <f t="array" ref="T106">IF(OR($E106="",$I106=""),"",(INDEX('Emission factors'!$K$3:$V$201,MATCH('Buildings - Water'!$E106&amp;$F106,'Emission factors'!$J$3:$J$201&amp;'Emission factors'!$K$3:$K$201,0),MATCH('Buildings - Water'!T$6,'Emission factors'!$K$2:$V$2,0)))*$K106)</f>
        <v/>
      </c>
      <c r="U106" s="157" t="str" cm="1">
        <f t="array" ref="U106">IF(OR($E106="",$I106=""),"",(INDEX('Emission factors'!$K$3:$V$201,MATCH('Buildings - Water'!$E106&amp;$F106,'Emission factors'!$J$3:$J$201&amp;'Emission factors'!$K$3:$K$201,0),MATCH('Buildings - Water'!U$6,'Emission factors'!$K$2:$V$2,0)))*$K106)</f>
        <v/>
      </c>
      <c r="V106" s="158" t="str">
        <f>IF(OR($N106="",BuildingsWaterTable[[#This Row],[RSD]]=""),"",BuildingsWaterTable[[#This Row],[Total emissions (kgCO2e)]]*(1+BuildingsWaterTable[[#This Row],[RSD]]))</f>
        <v/>
      </c>
      <c r="W106" s="159" t="str">
        <f>IF(OR($N106="",BuildingsWaterTable[[#This Row],[RSD]]=""),"",BuildingsWaterTable[[#This Row],[Total emissions (kgCO2e)]]*(1-BuildingsWaterTable[[#This Row],[RSD]]))</f>
        <v/>
      </c>
      <c r="X106" s="169" t="str" cm="1">
        <f t="array" ref="X106">IF(OR($E106="",$I106=""),"",(INDEX('Emission factors'!$K$3:$V$201,MATCH('Buildings - Water'!$E106&amp;$F106,'Emission factors'!$J$3:$J$201&amp;'Emission factors'!$K$3:$K$201,0),MATCH('Buildings - Water'!X$6,'Emission factors'!$K$2:$V$2,0)))*$K106)</f>
        <v/>
      </c>
      <c r="Y106" s="30"/>
      <c r="Z106" s="1" cm="1">
        <f t="array" ref="Z106">IF(OR(ISERROR(B106:X106)),1,0)</f>
        <v>0</v>
      </c>
      <c r="AA106" s="1">
        <f t="shared" si="4"/>
        <v>0</v>
      </c>
    </row>
    <row r="107" spans="1:27" ht="15" outlineLevel="1" thickBot="1" x14ac:dyDescent="0.4">
      <c r="A107" s="319"/>
      <c r="B107" s="216"/>
      <c r="C107" s="216"/>
      <c r="D107" s="233" t="str">
        <f>IFERROR(INDEX(BuildingInformationTable[Site type],MATCH(BuildingsWaterTable[[#This Row],[Site name]],BuildingInformationTable[Site name],0)),"")</f>
        <v/>
      </c>
      <c r="E107" s="312" t="str">
        <f t="shared" si="5"/>
        <v/>
      </c>
      <c r="F107" s="72"/>
      <c r="G107" s="72"/>
      <c r="H107" s="98" t="str">
        <f>IF(G107="","",INDEX(Lists!$BA$4:$BC$31,MATCH(E107,Lists!$AZ$4:$AZ$31,0),MATCH(G107,Lists!$BA$3:$BC$3,0)))</f>
        <v/>
      </c>
      <c r="I107" s="70"/>
      <c r="J107" s="72"/>
      <c r="K107" s="75" t="str" cm="1">
        <f t="array" ref="K107">IF(OR($E107="",$D107="",$I107="",$J107=""),"",IF(J107=L107,I107,(INDEX('Emission factors'!$K$3:$V$201,MATCH(E107&amp;F107,'Emission factors'!$J$3:$J$201&amp;'Emission factors'!$K$3:$K$201,0),MATCH(K$6,'Emission factors'!$K$2:$V$2,0)))*I107))</f>
        <v/>
      </c>
      <c r="L107" s="312" t="str">
        <f>IF(OR($E107="",$D107="",$I107="",$J107=""),"",INDEX('Emission factors'!$K$3:$V$201,MATCH('Buildings - Water'!$E107,'Emission factors'!$J$3:$J$201,0),MATCH($L$6,'Emission factors'!$K$2:$V$2,0)))</f>
        <v/>
      </c>
      <c r="M107" s="313" t="str" cm="1">
        <f t="array" ref="M107">IF(OR(E107="",I107="",BuildingsWaterTable[[#This Row],[Units]]=""),"",INDEX('Emission factors'!$K$3:$V$201,MATCH('Buildings - Water'!$E107&amp;F107,'Emission factors'!$J$3:$J$201&amp;'Emission factors'!$K$3:$K$201,0),MATCH('Buildings - Water'!$M$6,'Emission factors'!$K$2:$V$2,0)))</f>
        <v/>
      </c>
      <c r="N107" s="156" t="str">
        <f>IF(OR(K107="",M107=""),"",SUM(BuildingsWaterTable[[#This Row],[Direct]:[Indirect WTT]]))</f>
        <v/>
      </c>
      <c r="O107" s="71"/>
      <c r="P107" s="72"/>
      <c r="Q107" s="157" t="str" cm="1">
        <f t="array" ref="Q107">IF(OR($E107="",$I107=""),"",(INDEX('Emission factors'!$K$3:$V$201,MATCH('Buildings - Water'!$E107&amp;$F107,'Emission factors'!$J$3:$J$201&amp;'Emission factors'!$K$3:$K$201,0),MATCH('Buildings - Water'!Q$6,'Emission factors'!$K$2:$V$2,0)))*$K107)</f>
        <v/>
      </c>
      <c r="R107" s="157" t="str" cm="1">
        <f t="array" ref="R107">IF(OR($E107="",$I107=""),"",(INDEX('Emission factors'!$K$3:$V$201,MATCH('Buildings - Water'!$E107&amp;$F107,'Emission factors'!$J$3:$J$201&amp;'Emission factors'!$K$3:$K$201,0),MATCH('Buildings - Water'!R$6,'Emission factors'!$K$2:$V$2,0)))*$K107)</f>
        <v/>
      </c>
      <c r="S107" s="157" t="str" cm="1">
        <f t="array" ref="S107">IF(OR($E107="",$I107=""),"",(INDEX('Emission factors'!$K$3:$V$201,MATCH('Buildings - Water'!$E107&amp;$F107,'Emission factors'!$J$3:$J$201&amp;'Emission factors'!$K$3:$K$201,0),MATCH('Buildings - Water'!S$6,'Emission factors'!$K$2:$V$2,0)))*$K107)</f>
        <v/>
      </c>
      <c r="T107" s="157" t="str" cm="1">
        <f t="array" ref="T107">IF(OR($E107="",$I107=""),"",(INDEX('Emission factors'!$K$3:$V$201,MATCH('Buildings - Water'!$E107&amp;$F107,'Emission factors'!$J$3:$J$201&amp;'Emission factors'!$K$3:$K$201,0),MATCH('Buildings - Water'!T$6,'Emission factors'!$K$2:$V$2,0)))*$K107)</f>
        <v/>
      </c>
      <c r="U107" s="157" t="str" cm="1">
        <f t="array" ref="U107">IF(OR($E107="",$I107=""),"",(INDEX('Emission factors'!$K$3:$V$201,MATCH('Buildings - Water'!$E107&amp;$F107,'Emission factors'!$J$3:$J$201&amp;'Emission factors'!$K$3:$K$201,0),MATCH('Buildings - Water'!U$6,'Emission factors'!$K$2:$V$2,0)))*$K107)</f>
        <v/>
      </c>
      <c r="V107" s="158" t="str">
        <f>IF(OR($N107="",BuildingsWaterTable[[#This Row],[RSD]]=""),"",BuildingsWaterTable[[#This Row],[Total emissions (kgCO2e)]]*(1+BuildingsWaterTable[[#This Row],[RSD]]))</f>
        <v/>
      </c>
      <c r="W107" s="159" t="str">
        <f>IF(OR($N107="",BuildingsWaterTable[[#This Row],[RSD]]=""),"",BuildingsWaterTable[[#This Row],[Total emissions (kgCO2e)]]*(1-BuildingsWaterTable[[#This Row],[RSD]]))</f>
        <v/>
      </c>
      <c r="X107" s="169" t="str" cm="1">
        <f t="array" ref="X107">IF(OR($E107="",$I107=""),"",(INDEX('Emission factors'!$K$3:$V$201,MATCH('Buildings - Water'!$E107&amp;$F107,'Emission factors'!$J$3:$J$201&amp;'Emission factors'!$K$3:$K$201,0),MATCH('Buildings - Water'!X$6,'Emission factors'!$K$2:$V$2,0)))*$K107)</f>
        <v/>
      </c>
      <c r="Y107" s="30"/>
      <c r="Z107" s="1" cm="1">
        <f t="array" ref="Z107">IF(OR(ISERROR(B107:X107)),1,0)</f>
        <v>0</v>
      </c>
      <c r="AA107" s="1">
        <f t="shared" si="4"/>
        <v>0</v>
      </c>
    </row>
    <row r="108" spans="1:27" ht="15" outlineLevel="1" thickBot="1" x14ac:dyDescent="0.4">
      <c r="A108" s="319"/>
      <c r="B108" s="216"/>
      <c r="C108" s="216"/>
      <c r="D108" s="233" t="str">
        <f>IFERROR(INDEX(BuildingInformationTable[Site type],MATCH(BuildingsWaterTable[[#This Row],[Site name]],BuildingInformationTable[Site name],0)),"")</f>
        <v/>
      </c>
      <c r="E108" s="312" t="str">
        <f t="shared" si="5"/>
        <v/>
      </c>
      <c r="F108" s="72"/>
      <c r="G108" s="72"/>
      <c r="H108" s="98" t="str">
        <f>IF(G108="","",INDEX(Lists!$BA$4:$BC$31,MATCH(E108,Lists!$AZ$4:$AZ$31,0),MATCH(G108,Lists!$BA$3:$BC$3,0)))</f>
        <v/>
      </c>
      <c r="I108" s="70"/>
      <c r="J108" s="72"/>
      <c r="K108" s="75" t="str" cm="1">
        <f t="array" ref="K108">IF(OR($E108="",$D108="",$I108="",$J108=""),"",IF(J108=L108,I108,(INDEX('Emission factors'!$K$3:$V$201,MATCH(E108&amp;F108,'Emission factors'!$J$3:$J$201&amp;'Emission factors'!$K$3:$K$201,0),MATCH(K$6,'Emission factors'!$K$2:$V$2,0)))*I108))</f>
        <v/>
      </c>
      <c r="L108" s="312" t="str">
        <f>IF(OR($E108="",$D108="",$I108="",$J108=""),"",INDEX('Emission factors'!$K$3:$V$201,MATCH('Buildings - Water'!$E108,'Emission factors'!$J$3:$J$201,0),MATCH($L$6,'Emission factors'!$K$2:$V$2,0)))</f>
        <v/>
      </c>
      <c r="M108" s="313" t="str" cm="1">
        <f t="array" ref="M108">IF(OR(E108="",I108="",BuildingsWaterTable[[#This Row],[Units]]=""),"",INDEX('Emission factors'!$K$3:$V$201,MATCH('Buildings - Water'!$E108&amp;F108,'Emission factors'!$J$3:$J$201&amp;'Emission factors'!$K$3:$K$201,0),MATCH('Buildings - Water'!$M$6,'Emission factors'!$K$2:$V$2,0)))</f>
        <v/>
      </c>
      <c r="N108" s="156" t="str">
        <f>IF(OR(K108="",M108=""),"",SUM(BuildingsWaterTable[[#This Row],[Direct]:[Indirect WTT]]))</f>
        <v/>
      </c>
      <c r="O108" s="71"/>
      <c r="P108" s="72"/>
      <c r="Q108" s="157" t="str" cm="1">
        <f t="array" ref="Q108">IF(OR($E108="",$I108=""),"",(INDEX('Emission factors'!$K$3:$V$201,MATCH('Buildings - Water'!$E108&amp;$F108,'Emission factors'!$J$3:$J$201&amp;'Emission factors'!$K$3:$K$201,0),MATCH('Buildings - Water'!Q$6,'Emission factors'!$K$2:$V$2,0)))*$K108)</f>
        <v/>
      </c>
      <c r="R108" s="157" t="str" cm="1">
        <f t="array" ref="R108">IF(OR($E108="",$I108=""),"",(INDEX('Emission factors'!$K$3:$V$201,MATCH('Buildings - Water'!$E108&amp;$F108,'Emission factors'!$J$3:$J$201&amp;'Emission factors'!$K$3:$K$201,0),MATCH('Buildings - Water'!R$6,'Emission factors'!$K$2:$V$2,0)))*$K108)</f>
        <v/>
      </c>
      <c r="S108" s="157" t="str" cm="1">
        <f t="array" ref="S108">IF(OR($E108="",$I108=""),"",(INDEX('Emission factors'!$K$3:$V$201,MATCH('Buildings - Water'!$E108&amp;$F108,'Emission factors'!$J$3:$J$201&amp;'Emission factors'!$K$3:$K$201,0),MATCH('Buildings - Water'!S$6,'Emission factors'!$K$2:$V$2,0)))*$K108)</f>
        <v/>
      </c>
      <c r="T108" s="157" t="str" cm="1">
        <f t="array" ref="T108">IF(OR($E108="",$I108=""),"",(INDEX('Emission factors'!$K$3:$V$201,MATCH('Buildings - Water'!$E108&amp;$F108,'Emission factors'!$J$3:$J$201&amp;'Emission factors'!$K$3:$K$201,0),MATCH('Buildings - Water'!T$6,'Emission factors'!$K$2:$V$2,0)))*$K108)</f>
        <v/>
      </c>
      <c r="U108" s="157" t="str" cm="1">
        <f t="array" ref="U108">IF(OR($E108="",$I108=""),"",(INDEX('Emission factors'!$K$3:$V$201,MATCH('Buildings - Water'!$E108&amp;$F108,'Emission factors'!$J$3:$J$201&amp;'Emission factors'!$K$3:$K$201,0),MATCH('Buildings - Water'!U$6,'Emission factors'!$K$2:$V$2,0)))*$K108)</f>
        <v/>
      </c>
      <c r="V108" s="158" t="str">
        <f>IF(OR($N108="",BuildingsWaterTable[[#This Row],[RSD]]=""),"",BuildingsWaterTable[[#This Row],[Total emissions (kgCO2e)]]*(1+BuildingsWaterTable[[#This Row],[RSD]]))</f>
        <v/>
      </c>
      <c r="W108" s="159" t="str">
        <f>IF(OR($N108="",BuildingsWaterTable[[#This Row],[RSD]]=""),"",BuildingsWaterTable[[#This Row],[Total emissions (kgCO2e)]]*(1-BuildingsWaterTable[[#This Row],[RSD]]))</f>
        <v/>
      </c>
      <c r="X108" s="169" t="str" cm="1">
        <f t="array" ref="X108">IF(OR($E108="",$I108=""),"",(INDEX('Emission factors'!$K$3:$V$201,MATCH('Buildings - Water'!$E108&amp;$F108,'Emission factors'!$J$3:$J$201&amp;'Emission factors'!$K$3:$K$201,0),MATCH('Buildings - Water'!X$6,'Emission factors'!$K$2:$V$2,0)))*$K108)</f>
        <v/>
      </c>
      <c r="Y108" s="30"/>
      <c r="Z108" s="1" cm="1">
        <f t="array" ref="Z108">IF(OR(ISERROR(B108:X108)),1,0)</f>
        <v>0</v>
      </c>
      <c r="AA108" s="1">
        <f t="shared" si="4"/>
        <v>0</v>
      </c>
    </row>
    <row r="109" spans="1:27" ht="15" outlineLevel="1" thickBot="1" x14ac:dyDescent="0.4">
      <c r="A109" s="319"/>
      <c r="B109" s="216"/>
      <c r="C109" s="216"/>
      <c r="D109" s="233" t="str">
        <f>IFERROR(INDEX(BuildingInformationTable[Site type],MATCH(BuildingsWaterTable[[#This Row],[Site name]],BuildingInformationTable[Site name],0)),"")</f>
        <v/>
      </c>
      <c r="E109" s="312" t="str">
        <f t="shared" si="5"/>
        <v/>
      </c>
      <c r="F109" s="72"/>
      <c r="G109" s="72"/>
      <c r="H109" s="98" t="str">
        <f>IF(G109="","",INDEX(Lists!$BA$4:$BC$31,MATCH(E109,Lists!$AZ$4:$AZ$31,0),MATCH(G109,Lists!$BA$3:$BC$3,0)))</f>
        <v/>
      </c>
      <c r="I109" s="70"/>
      <c r="J109" s="72"/>
      <c r="K109" s="75" t="str" cm="1">
        <f t="array" ref="K109">IF(OR($E109="",$D109="",$I109="",$J109=""),"",IF(J109=L109,I109,(INDEX('Emission factors'!$K$3:$V$201,MATCH(E109&amp;F109,'Emission factors'!$J$3:$J$201&amp;'Emission factors'!$K$3:$K$201,0),MATCH(K$6,'Emission factors'!$K$2:$V$2,0)))*I109))</f>
        <v/>
      </c>
      <c r="L109" s="312" t="str">
        <f>IF(OR($E109="",$D109="",$I109="",$J109=""),"",INDEX('Emission factors'!$K$3:$V$201,MATCH('Buildings - Water'!$E109,'Emission factors'!$J$3:$J$201,0),MATCH($L$6,'Emission factors'!$K$2:$V$2,0)))</f>
        <v/>
      </c>
      <c r="M109" s="313" t="str" cm="1">
        <f t="array" ref="M109">IF(OR(E109="",I109="",BuildingsWaterTable[[#This Row],[Units]]=""),"",INDEX('Emission factors'!$K$3:$V$201,MATCH('Buildings - Water'!$E109&amp;F109,'Emission factors'!$J$3:$J$201&amp;'Emission factors'!$K$3:$K$201,0),MATCH('Buildings - Water'!$M$6,'Emission factors'!$K$2:$V$2,0)))</f>
        <v/>
      </c>
      <c r="N109" s="156" t="str">
        <f>IF(OR(K109="",M109=""),"",SUM(BuildingsWaterTable[[#This Row],[Direct]:[Indirect WTT]]))</f>
        <v/>
      </c>
      <c r="O109" s="71"/>
      <c r="P109" s="72"/>
      <c r="Q109" s="157" t="str" cm="1">
        <f t="array" ref="Q109">IF(OR($E109="",$I109=""),"",(INDEX('Emission factors'!$K$3:$V$201,MATCH('Buildings - Water'!$E109&amp;$F109,'Emission factors'!$J$3:$J$201&amp;'Emission factors'!$K$3:$K$201,0),MATCH('Buildings - Water'!Q$6,'Emission factors'!$K$2:$V$2,0)))*$K109)</f>
        <v/>
      </c>
      <c r="R109" s="157" t="str" cm="1">
        <f t="array" ref="R109">IF(OR($E109="",$I109=""),"",(INDEX('Emission factors'!$K$3:$V$201,MATCH('Buildings - Water'!$E109&amp;$F109,'Emission factors'!$J$3:$J$201&amp;'Emission factors'!$K$3:$K$201,0),MATCH('Buildings - Water'!R$6,'Emission factors'!$K$2:$V$2,0)))*$K109)</f>
        <v/>
      </c>
      <c r="S109" s="157" t="str" cm="1">
        <f t="array" ref="S109">IF(OR($E109="",$I109=""),"",(INDEX('Emission factors'!$K$3:$V$201,MATCH('Buildings - Water'!$E109&amp;$F109,'Emission factors'!$J$3:$J$201&amp;'Emission factors'!$K$3:$K$201,0),MATCH('Buildings - Water'!S$6,'Emission factors'!$K$2:$V$2,0)))*$K109)</f>
        <v/>
      </c>
      <c r="T109" s="157" t="str" cm="1">
        <f t="array" ref="T109">IF(OR($E109="",$I109=""),"",(INDEX('Emission factors'!$K$3:$V$201,MATCH('Buildings - Water'!$E109&amp;$F109,'Emission factors'!$J$3:$J$201&amp;'Emission factors'!$K$3:$K$201,0),MATCH('Buildings - Water'!T$6,'Emission factors'!$K$2:$V$2,0)))*$K109)</f>
        <v/>
      </c>
      <c r="U109" s="157" t="str" cm="1">
        <f t="array" ref="U109">IF(OR($E109="",$I109=""),"",(INDEX('Emission factors'!$K$3:$V$201,MATCH('Buildings - Water'!$E109&amp;$F109,'Emission factors'!$J$3:$J$201&amp;'Emission factors'!$K$3:$K$201,0),MATCH('Buildings - Water'!U$6,'Emission factors'!$K$2:$V$2,0)))*$K109)</f>
        <v/>
      </c>
      <c r="V109" s="158" t="str">
        <f>IF(OR($N109="",BuildingsWaterTable[[#This Row],[RSD]]=""),"",BuildingsWaterTable[[#This Row],[Total emissions (kgCO2e)]]*(1+BuildingsWaterTable[[#This Row],[RSD]]))</f>
        <v/>
      </c>
      <c r="W109" s="159" t="str">
        <f>IF(OR($N109="",BuildingsWaterTable[[#This Row],[RSD]]=""),"",BuildingsWaterTable[[#This Row],[Total emissions (kgCO2e)]]*(1-BuildingsWaterTable[[#This Row],[RSD]]))</f>
        <v/>
      </c>
      <c r="X109" s="169" t="str" cm="1">
        <f t="array" ref="X109">IF(OR($E109="",$I109=""),"",(INDEX('Emission factors'!$K$3:$V$201,MATCH('Buildings - Water'!$E109&amp;$F109,'Emission factors'!$J$3:$J$201&amp;'Emission factors'!$K$3:$K$201,0),MATCH('Buildings - Water'!X$6,'Emission factors'!$K$2:$V$2,0)))*$K109)</f>
        <v/>
      </c>
      <c r="Y109" s="30"/>
      <c r="Z109" s="1" cm="1">
        <f t="array" ref="Z109">IF(OR(ISERROR(B109:X109)),1,0)</f>
        <v>0</v>
      </c>
      <c r="AA109" s="1">
        <f t="shared" si="4"/>
        <v>0</v>
      </c>
    </row>
    <row r="110" spans="1:27" ht="15" outlineLevel="1" thickBot="1" x14ac:dyDescent="0.4">
      <c r="A110" s="319"/>
      <c r="B110" s="216"/>
      <c r="C110" s="216"/>
      <c r="D110" s="233" t="str">
        <f>IFERROR(INDEX(BuildingInformationTable[Site type],MATCH(BuildingsWaterTable[[#This Row],[Site name]],BuildingInformationTable[Site name],0)),"")</f>
        <v/>
      </c>
      <c r="E110" s="312" t="str">
        <f t="shared" si="5"/>
        <v/>
      </c>
      <c r="F110" s="72"/>
      <c r="G110" s="72"/>
      <c r="H110" s="98" t="str">
        <f>IF(G110="","",INDEX(Lists!$BA$4:$BC$31,MATCH(E110,Lists!$AZ$4:$AZ$31,0),MATCH(G110,Lists!$BA$3:$BC$3,0)))</f>
        <v/>
      </c>
      <c r="I110" s="70"/>
      <c r="J110" s="72"/>
      <c r="K110" s="75" t="str" cm="1">
        <f t="array" ref="K110">IF(OR($E110="",$D110="",$I110="",$J110=""),"",IF(J110=L110,I110,(INDEX('Emission factors'!$K$3:$V$201,MATCH(E110&amp;F110,'Emission factors'!$J$3:$J$201&amp;'Emission factors'!$K$3:$K$201,0),MATCH(K$6,'Emission factors'!$K$2:$V$2,0)))*I110))</f>
        <v/>
      </c>
      <c r="L110" s="312" t="str">
        <f>IF(OR($E110="",$D110="",$I110="",$J110=""),"",INDEX('Emission factors'!$K$3:$V$201,MATCH('Buildings - Water'!$E110,'Emission factors'!$J$3:$J$201,0),MATCH($L$6,'Emission factors'!$K$2:$V$2,0)))</f>
        <v/>
      </c>
      <c r="M110" s="313" t="str" cm="1">
        <f t="array" ref="M110">IF(OR(E110="",I110="",BuildingsWaterTable[[#This Row],[Units]]=""),"",INDEX('Emission factors'!$K$3:$V$201,MATCH('Buildings - Water'!$E110&amp;F110,'Emission factors'!$J$3:$J$201&amp;'Emission factors'!$K$3:$K$201,0),MATCH('Buildings - Water'!$M$6,'Emission factors'!$K$2:$V$2,0)))</f>
        <v/>
      </c>
      <c r="N110" s="156" t="str">
        <f>IF(OR(K110="",M110=""),"",SUM(BuildingsWaterTable[[#This Row],[Direct]:[Indirect WTT]]))</f>
        <v/>
      </c>
      <c r="O110" s="71"/>
      <c r="P110" s="72"/>
      <c r="Q110" s="157" t="str" cm="1">
        <f t="array" ref="Q110">IF(OR($E110="",$I110=""),"",(INDEX('Emission factors'!$K$3:$V$201,MATCH('Buildings - Water'!$E110&amp;$F110,'Emission factors'!$J$3:$J$201&amp;'Emission factors'!$K$3:$K$201,0),MATCH('Buildings - Water'!Q$6,'Emission factors'!$K$2:$V$2,0)))*$K110)</f>
        <v/>
      </c>
      <c r="R110" s="157" t="str" cm="1">
        <f t="array" ref="R110">IF(OR($E110="",$I110=""),"",(INDEX('Emission factors'!$K$3:$V$201,MATCH('Buildings - Water'!$E110&amp;$F110,'Emission factors'!$J$3:$J$201&amp;'Emission factors'!$K$3:$K$201,0),MATCH('Buildings - Water'!R$6,'Emission factors'!$K$2:$V$2,0)))*$K110)</f>
        <v/>
      </c>
      <c r="S110" s="157" t="str" cm="1">
        <f t="array" ref="S110">IF(OR($E110="",$I110=""),"",(INDEX('Emission factors'!$K$3:$V$201,MATCH('Buildings - Water'!$E110&amp;$F110,'Emission factors'!$J$3:$J$201&amp;'Emission factors'!$K$3:$K$201,0),MATCH('Buildings - Water'!S$6,'Emission factors'!$K$2:$V$2,0)))*$K110)</f>
        <v/>
      </c>
      <c r="T110" s="157" t="str" cm="1">
        <f t="array" ref="T110">IF(OR($E110="",$I110=""),"",(INDEX('Emission factors'!$K$3:$V$201,MATCH('Buildings - Water'!$E110&amp;$F110,'Emission factors'!$J$3:$J$201&amp;'Emission factors'!$K$3:$K$201,0),MATCH('Buildings - Water'!T$6,'Emission factors'!$K$2:$V$2,0)))*$K110)</f>
        <v/>
      </c>
      <c r="U110" s="157" t="str" cm="1">
        <f t="array" ref="U110">IF(OR($E110="",$I110=""),"",(INDEX('Emission factors'!$K$3:$V$201,MATCH('Buildings - Water'!$E110&amp;$F110,'Emission factors'!$J$3:$J$201&amp;'Emission factors'!$K$3:$K$201,0),MATCH('Buildings - Water'!U$6,'Emission factors'!$K$2:$V$2,0)))*$K110)</f>
        <v/>
      </c>
      <c r="V110" s="158" t="str">
        <f>IF(OR($N110="",BuildingsWaterTable[[#This Row],[RSD]]=""),"",BuildingsWaterTable[[#This Row],[Total emissions (kgCO2e)]]*(1+BuildingsWaterTable[[#This Row],[RSD]]))</f>
        <v/>
      </c>
      <c r="W110" s="159" t="str">
        <f>IF(OR($N110="",BuildingsWaterTable[[#This Row],[RSD]]=""),"",BuildingsWaterTable[[#This Row],[Total emissions (kgCO2e)]]*(1-BuildingsWaterTable[[#This Row],[RSD]]))</f>
        <v/>
      </c>
      <c r="X110" s="169" t="str" cm="1">
        <f t="array" ref="X110">IF(OR($E110="",$I110=""),"",(INDEX('Emission factors'!$K$3:$V$201,MATCH('Buildings - Water'!$E110&amp;$F110,'Emission factors'!$J$3:$J$201&amp;'Emission factors'!$K$3:$K$201,0),MATCH('Buildings - Water'!X$6,'Emission factors'!$K$2:$V$2,0)))*$K110)</f>
        <v/>
      </c>
      <c r="Y110" s="30"/>
      <c r="Z110" s="1" cm="1">
        <f t="array" ref="Z110">IF(OR(ISERROR(B110:X110)),1,0)</f>
        <v>0</v>
      </c>
      <c r="AA110" s="1">
        <f t="shared" si="4"/>
        <v>0</v>
      </c>
    </row>
    <row r="111" spans="1:27" ht="15" outlineLevel="1" thickBot="1" x14ac:dyDescent="0.4">
      <c r="A111" s="319"/>
      <c r="B111" s="216"/>
      <c r="C111" s="216"/>
      <c r="D111" s="233" t="str">
        <f>IFERROR(INDEX(BuildingInformationTable[Site type],MATCH(BuildingsWaterTable[[#This Row],[Site name]],BuildingInformationTable[Site name],0)),"")</f>
        <v/>
      </c>
      <c r="E111" s="312" t="str">
        <f t="shared" si="5"/>
        <v/>
      </c>
      <c r="F111" s="72"/>
      <c r="G111" s="72"/>
      <c r="H111" s="98" t="str">
        <f>IF(G111="","",INDEX(Lists!$BA$4:$BC$31,MATCH(E111,Lists!$AZ$4:$AZ$31,0),MATCH(G111,Lists!$BA$3:$BC$3,0)))</f>
        <v/>
      </c>
      <c r="I111" s="70"/>
      <c r="J111" s="72"/>
      <c r="K111" s="75" t="str" cm="1">
        <f t="array" ref="K111">IF(OR($E111="",$D111="",$I111="",$J111=""),"",IF(J111=L111,I111,(INDEX('Emission factors'!$K$3:$V$201,MATCH(E111&amp;F111,'Emission factors'!$J$3:$J$201&amp;'Emission factors'!$K$3:$K$201,0),MATCH(K$6,'Emission factors'!$K$2:$V$2,0)))*I111))</f>
        <v/>
      </c>
      <c r="L111" s="312" t="str">
        <f>IF(OR($E111="",$D111="",$I111="",$J111=""),"",INDEX('Emission factors'!$K$3:$V$201,MATCH('Buildings - Water'!$E111,'Emission factors'!$J$3:$J$201,0),MATCH($L$6,'Emission factors'!$K$2:$V$2,0)))</f>
        <v/>
      </c>
      <c r="M111" s="313" t="str" cm="1">
        <f t="array" ref="M111">IF(OR(E111="",I111="",BuildingsWaterTable[[#This Row],[Units]]=""),"",INDEX('Emission factors'!$K$3:$V$201,MATCH('Buildings - Water'!$E111&amp;F111,'Emission factors'!$J$3:$J$201&amp;'Emission factors'!$K$3:$K$201,0),MATCH('Buildings - Water'!$M$6,'Emission factors'!$K$2:$V$2,0)))</f>
        <v/>
      </c>
      <c r="N111" s="156" t="str">
        <f>IF(OR(K111="",M111=""),"",SUM(BuildingsWaterTable[[#This Row],[Direct]:[Indirect WTT]]))</f>
        <v/>
      </c>
      <c r="O111" s="71"/>
      <c r="P111" s="72"/>
      <c r="Q111" s="157" t="str" cm="1">
        <f t="array" ref="Q111">IF(OR($E111="",$I111=""),"",(INDEX('Emission factors'!$K$3:$V$201,MATCH('Buildings - Water'!$E111&amp;$F111,'Emission factors'!$J$3:$J$201&amp;'Emission factors'!$K$3:$K$201,0),MATCH('Buildings - Water'!Q$6,'Emission factors'!$K$2:$V$2,0)))*$K111)</f>
        <v/>
      </c>
      <c r="R111" s="157" t="str" cm="1">
        <f t="array" ref="R111">IF(OR($E111="",$I111=""),"",(INDEX('Emission factors'!$K$3:$V$201,MATCH('Buildings - Water'!$E111&amp;$F111,'Emission factors'!$J$3:$J$201&amp;'Emission factors'!$K$3:$K$201,0),MATCH('Buildings - Water'!R$6,'Emission factors'!$K$2:$V$2,0)))*$K111)</f>
        <v/>
      </c>
      <c r="S111" s="157" t="str" cm="1">
        <f t="array" ref="S111">IF(OR($E111="",$I111=""),"",(INDEX('Emission factors'!$K$3:$V$201,MATCH('Buildings - Water'!$E111&amp;$F111,'Emission factors'!$J$3:$J$201&amp;'Emission factors'!$K$3:$K$201,0),MATCH('Buildings - Water'!S$6,'Emission factors'!$K$2:$V$2,0)))*$K111)</f>
        <v/>
      </c>
      <c r="T111" s="157" t="str" cm="1">
        <f t="array" ref="T111">IF(OR($E111="",$I111=""),"",(INDEX('Emission factors'!$K$3:$V$201,MATCH('Buildings - Water'!$E111&amp;$F111,'Emission factors'!$J$3:$J$201&amp;'Emission factors'!$K$3:$K$201,0),MATCH('Buildings - Water'!T$6,'Emission factors'!$K$2:$V$2,0)))*$K111)</f>
        <v/>
      </c>
      <c r="U111" s="157" t="str" cm="1">
        <f t="array" ref="U111">IF(OR($E111="",$I111=""),"",(INDEX('Emission factors'!$K$3:$V$201,MATCH('Buildings - Water'!$E111&amp;$F111,'Emission factors'!$J$3:$J$201&amp;'Emission factors'!$K$3:$K$201,0),MATCH('Buildings - Water'!U$6,'Emission factors'!$K$2:$V$2,0)))*$K111)</f>
        <v/>
      </c>
      <c r="V111" s="158" t="str">
        <f>IF(OR($N111="",BuildingsWaterTable[[#This Row],[RSD]]=""),"",BuildingsWaterTable[[#This Row],[Total emissions (kgCO2e)]]*(1+BuildingsWaterTable[[#This Row],[RSD]]))</f>
        <v/>
      </c>
      <c r="W111" s="159" t="str">
        <f>IF(OR($N111="",BuildingsWaterTable[[#This Row],[RSD]]=""),"",BuildingsWaterTable[[#This Row],[Total emissions (kgCO2e)]]*(1-BuildingsWaterTable[[#This Row],[RSD]]))</f>
        <v/>
      </c>
      <c r="X111" s="169" t="str" cm="1">
        <f t="array" ref="X111">IF(OR($E111="",$I111=""),"",(INDEX('Emission factors'!$K$3:$V$201,MATCH('Buildings - Water'!$E111&amp;$F111,'Emission factors'!$J$3:$J$201&amp;'Emission factors'!$K$3:$K$201,0),MATCH('Buildings - Water'!X$6,'Emission factors'!$K$2:$V$2,0)))*$K111)</f>
        <v/>
      </c>
      <c r="Y111" s="30"/>
      <c r="Z111" s="1" cm="1">
        <f t="array" ref="Z111">IF(OR(ISERROR(B111:X111)),1,0)</f>
        <v>0</v>
      </c>
      <c r="AA111" s="1">
        <f t="shared" si="4"/>
        <v>0</v>
      </c>
    </row>
    <row r="112" spans="1:27" ht="15" outlineLevel="1" thickBot="1" x14ac:dyDescent="0.4">
      <c r="A112" s="319"/>
      <c r="B112" s="216"/>
      <c r="C112" s="216"/>
      <c r="D112" s="233" t="str">
        <f>IFERROR(INDEX(BuildingInformationTable[Site type],MATCH(BuildingsWaterTable[[#This Row],[Site name]],BuildingInformationTable[Site name],0)),"")</f>
        <v/>
      </c>
      <c r="E112" s="312" t="str">
        <f t="shared" si="5"/>
        <v/>
      </c>
      <c r="F112" s="72"/>
      <c r="G112" s="72"/>
      <c r="H112" s="98" t="str">
        <f>IF(G112="","",INDEX(Lists!$BA$4:$BC$31,MATCH(E112,Lists!$AZ$4:$AZ$31,0),MATCH(G112,Lists!$BA$3:$BC$3,0)))</f>
        <v/>
      </c>
      <c r="I112" s="70"/>
      <c r="J112" s="72"/>
      <c r="K112" s="75" t="str" cm="1">
        <f t="array" ref="K112">IF(OR($E112="",$D112="",$I112="",$J112=""),"",IF(J112=L112,I112,(INDEX('Emission factors'!$K$3:$V$201,MATCH(E112&amp;F112,'Emission factors'!$J$3:$J$201&amp;'Emission factors'!$K$3:$K$201,0),MATCH(K$6,'Emission factors'!$K$2:$V$2,0)))*I112))</f>
        <v/>
      </c>
      <c r="L112" s="312" t="str">
        <f>IF(OR($E112="",$D112="",$I112="",$J112=""),"",INDEX('Emission factors'!$K$3:$V$201,MATCH('Buildings - Water'!$E112,'Emission factors'!$J$3:$J$201,0),MATCH($L$6,'Emission factors'!$K$2:$V$2,0)))</f>
        <v/>
      </c>
      <c r="M112" s="313" t="str" cm="1">
        <f t="array" ref="M112">IF(OR(E112="",I112="",BuildingsWaterTable[[#This Row],[Units]]=""),"",INDEX('Emission factors'!$K$3:$V$201,MATCH('Buildings - Water'!$E112&amp;F112,'Emission factors'!$J$3:$J$201&amp;'Emission factors'!$K$3:$K$201,0),MATCH('Buildings - Water'!$M$6,'Emission factors'!$K$2:$V$2,0)))</f>
        <v/>
      </c>
      <c r="N112" s="156" t="str">
        <f>IF(OR(K112="",M112=""),"",SUM(BuildingsWaterTable[[#This Row],[Direct]:[Indirect WTT]]))</f>
        <v/>
      </c>
      <c r="O112" s="71"/>
      <c r="P112" s="72"/>
      <c r="Q112" s="157" t="str" cm="1">
        <f t="array" ref="Q112">IF(OR($E112="",$I112=""),"",(INDEX('Emission factors'!$K$3:$V$201,MATCH('Buildings - Water'!$E112&amp;$F112,'Emission factors'!$J$3:$J$201&amp;'Emission factors'!$K$3:$K$201,0),MATCH('Buildings - Water'!Q$6,'Emission factors'!$K$2:$V$2,0)))*$K112)</f>
        <v/>
      </c>
      <c r="R112" s="157" t="str" cm="1">
        <f t="array" ref="R112">IF(OR($E112="",$I112=""),"",(INDEX('Emission factors'!$K$3:$V$201,MATCH('Buildings - Water'!$E112&amp;$F112,'Emission factors'!$J$3:$J$201&amp;'Emission factors'!$K$3:$K$201,0),MATCH('Buildings - Water'!R$6,'Emission factors'!$K$2:$V$2,0)))*$K112)</f>
        <v/>
      </c>
      <c r="S112" s="157" t="str" cm="1">
        <f t="array" ref="S112">IF(OR($E112="",$I112=""),"",(INDEX('Emission factors'!$K$3:$V$201,MATCH('Buildings - Water'!$E112&amp;$F112,'Emission factors'!$J$3:$J$201&amp;'Emission factors'!$K$3:$K$201,0),MATCH('Buildings - Water'!S$6,'Emission factors'!$K$2:$V$2,0)))*$K112)</f>
        <v/>
      </c>
      <c r="T112" s="157" t="str" cm="1">
        <f t="array" ref="T112">IF(OR($E112="",$I112=""),"",(INDEX('Emission factors'!$K$3:$V$201,MATCH('Buildings - Water'!$E112&amp;$F112,'Emission factors'!$J$3:$J$201&amp;'Emission factors'!$K$3:$K$201,0),MATCH('Buildings - Water'!T$6,'Emission factors'!$K$2:$V$2,0)))*$K112)</f>
        <v/>
      </c>
      <c r="U112" s="157" t="str" cm="1">
        <f t="array" ref="U112">IF(OR($E112="",$I112=""),"",(INDEX('Emission factors'!$K$3:$V$201,MATCH('Buildings - Water'!$E112&amp;$F112,'Emission factors'!$J$3:$J$201&amp;'Emission factors'!$K$3:$K$201,0),MATCH('Buildings - Water'!U$6,'Emission factors'!$K$2:$V$2,0)))*$K112)</f>
        <v/>
      </c>
      <c r="V112" s="158" t="str">
        <f>IF(OR($N112="",BuildingsWaterTable[[#This Row],[RSD]]=""),"",BuildingsWaterTable[[#This Row],[Total emissions (kgCO2e)]]*(1+BuildingsWaterTable[[#This Row],[RSD]]))</f>
        <v/>
      </c>
      <c r="W112" s="159" t="str">
        <f>IF(OR($N112="",BuildingsWaterTable[[#This Row],[RSD]]=""),"",BuildingsWaterTable[[#This Row],[Total emissions (kgCO2e)]]*(1-BuildingsWaterTable[[#This Row],[RSD]]))</f>
        <v/>
      </c>
      <c r="X112" s="169" t="str" cm="1">
        <f t="array" ref="X112">IF(OR($E112="",$I112=""),"",(INDEX('Emission factors'!$K$3:$V$201,MATCH('Buildings - Water'!$E112&amp;$F112,'Emission factors'!$J$3:$J$201&amp;'Emission factors'!$K$3:$K$201,0),MATCH('Buildings - Water'!X$6,'Emission factors'!$K$2:$V$2,0)))*$K112)</f>
        <v/>
      </c>
      <c r="Y112" s="30"/>
      <c r="Z112" s="1" cm="1">
        <f t="array" ref="Z112">IF(OR(ISERROR(B112:X112)),1,0)</f>
        <v>0</v>
      </c>
      <c r="AA112" s="1">
        <f t="shared" si="4"/>
        <v>0</v>
      </c>
    </row>
    <row r="113" spans="1:27" ht="15" outlineLevel="1" thickBot="1" x14ac:dyDescent="0.4">
      <c r="A113" s="319"/>
      <c r="B113" s="216"/>
      <c r="C113" s="216"/>
      <c r="D113" s="233" t="str">
        <f>IFERROR(INDEX(BuildingInformationTable[Site type],MATCH(BuildingsWaterTable[[#This Row],[Site name]],BuildingInformationTable[Site name],0)),"")</f>
        <v/>
      </c>
      <c r="E113" s="312" t="str">
        <f t="shared" si="5"/>
        <v/>
      </c>
      <c r="F113" s="72"/>
      <c r="G113" s="72"/>
      <c r="H113" s="98" t="str">
        <f>IF(G113="","",INDEX(Lists!$BA$4:$BC$31,MATCH(E113,Lists!$AZ$4:$AZ$31,0),MATCH(G113,Lists!$BA$3:$BC$3,0)))</f>
        <v/>
      </c>
      <c r="I113" s="70"/>
      <c r="J113" s="72"/>
      <c r="K113" s="75" t="str" cm="1">
        <f t="array" ref="K113">IF(OR($E113="",$D113="",$I113="",$J113=""),"",IF(J113=L113,I113,(INDEX('Emission factors'!$K$3:$V$201,MATCH(E113&amp;F113,'Emission factors'!$J$3:$J$201&amp;'Emission factors'!$K$3:$K$201,0),MATCH(K$6,'Emission factors'!$K$2:$V$2,0)))*I113))</f>
        <v/>
      </c>
      <c r="L113" s="312" t="str">
        <f>IF(OR($E113="",$D113="",$I113="",$J113=""),"",INDEX('Emission factors'!$K$3:$V$201,MATCH('Buildings - Water'!$E113,'Emission factors'!$J$3:$J$201,0),MATCH($L$6,'Emission factors'!$K$2:$V$2,0)))</f>
        <v/>
      </c>
      <c r="M113" s="313" t="str" cm="1">
        <f t="array" ref="M113">IF(OR(E113="",I113="",BuildingsWaterTable[[#This Row],[Units]]=""),"",INDEX('Emission factors'!$K$3:$V$201,MATCH('Buildings - Water'!$E113&amp;F113,'Emission factors'!$J$3:$J$201&amp;'Emission factors'!$K$3:$K$201,0),MATCH('Buildings - Water'!$M$6,'Emission factors'!$K$2:$V$2,0)))</f>
        <v/>
      </c>
      <c r="N113" s="156" t="str">
        <f>IF(OR(K113="",M113=""),"",SUM(BuildingsWaterTable[[#This Row],[Direct]:[Indirect WTT]]))</f>
        <v/>
      </c>
      <c r="O113" s="71"/>
      <c r="P113" s="72"/>
      <c r="Q113" s="157" t="str" cm="1">
        <f t="array" ref="Q113">IF(OR($E113="",$I113=""),"",(INDEX('Emission factors'!$K$3:$V$201,MATCH('Buildings - Water'!$E113&amp;$F113,'Emission factors'!$J$3:$J$201&amp;'Emission factors'!$K$3:$K$201,0),MATCH('Buildings - Water'!Q$6,'Emission factors'!$K$2:$V$2,0)))*$K113)</f>
        <v/>
      </c>
      <c r="R113" s="157" t="str" cm="1">
        <f t="array" ref="R113">IF(OR($E113="",$I113=""),"",(INDEX('Emission factors'!$K$3:$V$201,MATCH('Buildings - Water'!$E113&amp;$F113,'Emission factors'!$J$3:$J$201&amp;'Emission factors'!$K$3:$K$201,0),MATCH('Buildings - Water'!R$6,'Emission factors'!$K$2:$V$2,0)))*$K113)</f>
        <v/>
      </c>
      <c r="S113" s="157" t="str" cm="1">
        <f t="array" ref="S113">IF(OR($E113="",$I113=""),"",(INDEX('Emission factors'!$K$3:$V$201,MATCH('Buildings - Water'!$E113&amp;$F113,'Emission factors'!$J$3:$J$201&amp;'Emission factors'!$K$3:$K$201,0),MATCH('Buildings - Water'!S$6,'Emission factors'!$K$2:$V$2,0)))*$K113)</f>
        <v/>
      </c>
      <c r="T113" s="157" t="str" cm="1">
        <f t="array" ref="T113">IF(OR($E113="",$I113=""),"",(INDEX('Emission factors'!$K$3:$V$201,MATCH('Buildings - Water'!$E113&amp;$F113,'Emission factors'!$J$3:$J$201&amp;'Emission factors'!$K$3:$K$201,0),MATCH('Buildings - Water'!T$6,'Emission factors'!$K$2:$V$2,0)))*$K113)</f>
        <v/>
      </c>
      <c r="U113" s="157" t="str" cm="1">
        <f t="array" ref="U113">IF(OR($E113="",$I113=""),"",(INDEX('Emission factors'!$K$3:$V$201,MATCH('Buildings - Water'!$E113&amp;$F113,'Emission factors'!$J$3:$J$201&amp;'Emission factors'!$K$3:$K$201,0),MATCH('Buildings - Water'!U$6,'Emission factors'!$K$2:$V$2,0)))*$K113)</f>
        <v/>
      </c>
      <c r="V113" s="158" t="str">
        <f>IF(OR($N113="",BuildingsWaterTable[[#This Row],[RSD]]=""),"",BuildingsWaterTable[[#This Row],[Total emissions (kgCO2e)]]*(1+BuildingsWaterTable[[#This Row],[RSD]]))</f>
        <v/>
      </c>
      <c r="W113" s="159" t="str">
        <f>IF(OR($N113="",BuildingsWaterTable[[#This Row],[RSD]]=""),"",BuildingsWaterTable[[#This Row],[Total emissions (kgCO2e)]]*(1-BuildingsWaterTable[[#This Row],[RSD]]))</f>
        <v/>
      </c>
      <c r="X113" s="169" t="str" cm="1">
        <f t="array" ref="X113">IF(OR($E113="",$I113=""),"",(INDEX('Emission factors'!$K$3:$V$201,MATCH('Buildings - Water'!$E113&amp;$F113,'Emission factors'!$J$3:$J$201&amp;'Emission factors'!$K$3:$K$201,0),MATCH('Buildings - Water'!X$6,'Emission factors'!$K$2:$V$2,0)))*$K113)</f>
        <v/>
      </c>
      <c r="Y113" s="30"/>
      <c r="Z113" s="1" cm="1">
        <f t="array" ref="Z113">IF(OR(ISERROR(B113:X113)),1,0)</f>
        <v>0</v>
      </c>
      <c r="AA113" s="1">
        <f t="shared" si="4"/>
        <v>0</v>
      </c>
    </row>
    <row r="114" spans="1:27" ht="15" outlineLevel="1" thickBot="1" x14ac:dyDescent="0.4">
      <c r="A114" s="319"/>
      <c r="B114" s="216"/>
      <c r="C114" s="216"/>
      <c r="D114" s="233" t="str">
        <f>IFERROR(INDEX(BuildingInformationTable[Site type],MATCH(BuildingsWaterTable[[#This Row],[Site name]],BuildingInformationTable[Site name],0)),"")</f>
        <v/>
      </c>
      <c r="E114" s="312" t="str">
        <f t="shared" si="5"/>
        <v/>
      </c>
      <c r="F114" s="72"/>
      <c r="G114" s="72"/>
      <c r="H114" s="98" t="str">
        <f>IF(G114="","",INDEX(Lists!$BA$4:$BC$31,MATCH(E114,Lists!$AZ$4:$AZ$31,0),MATCH(G114,Lists!$BA$3:$BC$3,0)))</f>
        <v/>
      </c>
      <c r="I114" s="70"/>
      <c r="J114" s="72"/>
      <c r="K114" s="75" t="str" cm="1">
        <f t="array" ref="K114">IF(OR($E114="",$D114="",$I114="",$J114=""),"",IF(J114=L114,I114,(INDEX('Emission factors'!$K$3:$V$201,MATCH(E114&amp;F114,'Emission factors'!$J$3:$J$201&amp;'Emission factors'!$K$3:$K$201,0),MATCH(K$6,'Emission factors'!$K$2:$V$2,0)))*I114))</f>
        <v/>
      </c>
      <c r="L114" s="312" t="str">
        <f>IF(OR($E114="",$D114="",$I114="",$J114=""),"",INDEX('Emission factors'!$K$3:$V$201,MATCH('Buildings - Water'!$E114,'Emission factors'!$J$3:$J$201,0),MATCH($L$6,'Emission factors'!$K$2:$V$2,0)))</f>
        <v/>
      </c>
      <c r="M114" s="313" t="str" cm="1">
        <f t="array" ref="M114">IF(OR(E114="",I114="",BuildingsWaterTable[[#This Row],[Units]]=""),"",INDEX('Emission factors'!$K$3:$V$201,MATCH('Buildings - Water'!$E114&amp;F114,'Emission factors'!$J$3:$J$201&amp;'Emission factors'!$K$3:$K$201,0),MATCH('Buildings - Water'!$M$6,'Emission factors'!$K$2:$V$2,0)))</f>
        <v/>
      </c>
      <c r="N114" s="156" t="str">
        <f>IF(OR(K114="",M114=""),"",SUM(BuildingsWaterTable[[#This Row],[Direct]:[Indirect WTT]]))</f>
        <v/>
      </c>
      <c r="O114" s="71"/>
      <c r="P114" s="72"/>
      <c r="Q114" s="157" t="str" cm="1">
        <f t="array" ref="Q114">IF(OR($E114="",$I114=""),"",(INDEX('Emission factors'!$K$3:$V$201,MATCH('Buildings - Water'!$E114&amp;$F114,'Emission factors'!$J$3:$J$201&amp;'Emission factors'!$K$3:$K$201,0),MATCH('Buildings - Water'!Q$6,'Emission factors'!$K$2:$V$2,0)))*$K114)</f>
        <v/>
      </c>
      <c r="R114" s="157" t="str" cm="1">
        <f t="array" ref="R114">IF(OR($E114="",$I114=""),"",(INDEX('Emission factors'!$K$3:$V$201,MATCH('Buildings - Water'!$E114&amp;$F114,'Emission factors'!$J$3:$J$201&amp;'Emission factors'!$K$3:$K$201,0),MATCH('Buildings - Water'!R$6,'Emission factors'!$K$2:$V$2,0)))*$K114)</f>
        <v/>
      </c>
      <c r="S114" s="157" t="str" cm="1">
        <f t="array" ref="S114">IF(OR($E114="",$I114=""),"",(INDEX('Emission factors'!$K$3:$V$201,MATCH('Buildings - Water'!$E114&amp;$F114,'Emission factors'!$J$3:$J$201&amp;'Emission factors'!$K$3:$K$201,0),MATCH('Buildings - Water'!S$6,'Emission factors'!$K$2:$V$2,0)))*$K114)</f>
        <v/>
      </c>
      <c r="T114" s="157" t="str" cm="1">
        <f t="array" ref="T114">IF(OR($E114="",$I114=""),"",(INDEX('Emission factors'!$K$3:$V$201,MATCH('Buildings - Water'!$E114&amp;$F114,'Emission factors'!$J$3:$J$201&amp;'Emission factors'!$K$3:$K$201,0),MATCH('Buildings - Water'!T$6,'Emission factors'!$K$2:$V$2,0)))*$K114)</f>
        <v/>
      </c>
      <c r="U114" s="157" t="str" cm="1">
        <f t="array" ref="U114">IF(OR($E114="",$I114=""),"",(INDEX('Emission factors'!$K$3:$V$201,MATCH('Buildings - Water'!$E114&amp;$F114,'Emission factors'!$J$3:$J$201&amp;'Emission factors'!$K$3:$K$201,0),MATCH('Buildings - Water'!U$6,'Emission factors'!$K$2:$V$2,0)))*$K114)</f>
        <v/>
      </c>
      <c r="V114" s="158" t="str">
        <f>IF(OR($N114="",BuildingsWaterTable[[#This Row],[RSD]]=""),"",BuildingsWaterTable[[#This Row],[Total emissions (kgCO2e)]]*(1+BuildingsWaterTable[[#This Row],[RSD]]))</f>
        <v/>
      </c>
      <c r="W114" s="159" t="str">
        <f>IF(OR($N114="",BuildingsWaterTable[[#This Row],[RSD]]=""),"",BuildingsWaterTable[[#This Row],[Total emissions (kgCO2e)]]*(1-BuildingsWaterTable[[#This Row],[RSD]]))</f>
        <v/>
      </c>
      <c r="X114" s="169" t="str" cm="1">
        <f t="array" ref="X114">IF(OR($E114="",$I114=""),"",(INDEX('Emission factors'!$K$3:$V$201,MATCH('Buildings - Water'!$E114&amp;$F114,'Emission factors'!$J$3:$J$201&amp;'Emission factors'!$K$3:$K$201,0),MATCH('Buildings - Water'!X$6,'Emission factors'!$K$2:$V$2,0)))*$K114)</f>
        <v/>
      </c>
      <c r="Y114" s="30"/>
      <c r="Z114" s="1" cm="1">
        <f t="array" ref="Z114">IF(OR(ISERROR(B114:X114)),1,0)</f>
        <v>0</v>
      </c>
      <c r="AA114" s="1">
        <f t="shared" si="4"/>
        <v>0</v>
      </c>
    </row>
    <row r="115" spans="1:27" ht="13.4" customHeight="1" outlineLevel="1" thickBot="1" x14ac:dyDescent="0.4">
      <c r="A115" s="319"/>
      <c r="B115" s="216"/>
      <c r="C115" s="216"/>
      <c r="D115" s="233" t="str">
        <f>IFERROR(INDEX(BuildingInformationTable[Site type],MATCH(BuildingsWaterTable[[#This Row],[Site name]],BuildingInformationTable[Site name],0)),"")</f>
        <v/>
      </c>
      <c r="E115" s="312" t="str">
        <f t="shared" si="5"/>
        <v/>
      </c>
      <c r="F115" s="72"/>
      <c r="G115" s="72"/>
      <c r="H115" s="98" t="str">
        <f>IF(G115="","",INDEX(Lists!$BA$4:$BC$31,MATCH(E115,Lists!$AZ$4:$AZ$31,0),MATCH(G115,Lists!$BA$3:$BC$3,0)))</f>
        <v/>
      </c>
      <c r="I115" s="70"/>
      <c r="J115" s="72"/>
      <c r="K115" s="75" t="str" cm="1">
        <f t="array" ref="K115">IF(OR($E115="",$D115="",$I115="",$J115=""),"",IF(J115=L115,I115,(INDEX('Emission factors'!$K$3:$V$201,MATCH(E115&amp;F115,'Emission factors'!$J$3:$J$201&amp;'Emission factors'!$K$3:$K$201,0),MATCH(K$6,'Emission factors'!$K$2:$V$2,0)))*I115))</f>
        <v/>
      </c>
      <c r="L115" s="312" t="str">
        <f>IF(OR($E115="",$D115="",$I115="",$J115=""),"",INDEX('Emission factors'!$K$3:$V$201,MATCH('Buildings - Water'!$E115,'Emission factors'!$J$3:$J$201,0),MATCH($L$6,'Emission factors'!$K$2:$V$2,0)))</f>
        <v/>
      </c>
      <c r="M115" s="313" t="str" cm="1">
        <f t="array" ref="M115">IF(OR(E115="",I115="",BuildingsWaterTable[[#This Row],[Units]]=""),"",INDEX('Emission factors'!$K$3:$V$201,MATCH('Buildings - Water'!$E115&amp;F115,'Emission factors'!$J$3:$J$201&amp;'Emission factors'!$K$3:$K$201,0),MATCH('Buildings - Water'!$M$6,'Emission factors'!$K$2:$V$2,0)))</f>
        <v/>
      </c>
      <c r="N115" s="156" t="str">
        <f>IF(OR(K115="",M115=""),"",SUM(BuildingsWaterTable[[#This Row],[Direct]:[Indirect WTT]]))</f>
        <v/>
      </c>
      <c r="O115" s="71"/>
      <c r="P115" s="72"/>
      <c r="Q115" s="157" t="str" cm="1">
        <f t="array" ref="Q115">IF(OR($E115="",$I115=""),"",(INDEX('Emission factors'!$K$3:$V$201,MATCH('Buildings - Water'!$E115&amp;$F115,'Emission factors'!$J$3:$J$201&amp;'Emission factors'!$K$3:$K$201,0),MATCH('Buildings - Water'!Q$6,'Emission factors'!$K$2:$V$2,0)))*$K115)</f>
        <v/>
      </c>
      <c r="R115" s="157" t="str" cm="1">
        <f t="array" ref="R115">IF(OR($E115="",$I115=""),"",(INDEX('Emission factors'!$K$3:$V$201,MATCH('Buildings - Water'!$E115&amp;$F115,'Emission factors'!$J$3:$J$201&amp;'Emission factors'!$K$3:$K$201,0),MATCH('Buildings - Water'!R$6,'Emission factors'!$K$2:$V$2,0)))*$K115)</f>
        <v/>
      </c>
      <c r="S115" s="157" t="str" cm="1">
        <f t="array" ref="S115">IF(OR($E115="",$I115=""),"",(INDEX('Emission factors'!$K$3:$V$201,MATCH('Buildings - Water'!$E115&amp;$F115,'Emission factors'!$J$3:$J$201&amp;'Emission factors'!$K$3:$K$201,0),MATCH('Buildings - Water'!S$6,'Emission factors'!$K$2:$V$2,0)))*$K115)</f>
        <v/>
      </c>
      <c r="T115" s="157" t="str" cm="1">
        <f t="array" ref="T115">IF(OR($E115="",$I115=""),"",(INDEX('Emission factors'!$K$3:$V$201,MATCH('Buildings - Water'!$E115&amp;$F115,'Emission factors'!$J$3:$J$201&amp;'Emission factors'!$K$3:$K$201,0),MATCH('Buildings - Water'!T$6,'Emission factors'!$K$2:$V$2,0)))*$K115)</f>
        <v/>
      </c>
      <c r="U115" s="157" t="str" cm="1">
        <f t="array" ref="U115">IF(OR($E115="",$I115=""),"",(INDEX('Emission factors'!$K$3:$V$201,MATCH('Buildings - Water'!$E115&amp;$F115,'Emission factors'!$J$3:$J$201&amp;'Emission factors'!$K$3:$K$201,0),MATCH('Buildings - Water'!U$6,'Emission factors'!$K$2:$V$2,0)))*$K115)</f>
        <v/>
      </c>
      <c r="V115" s="158" t="str">
        <f>IF(OR($N115="",BuildingsWaterTable[[#This Row],[RSD]]=""),"",BuildingsWaterTable[[#This Row],[Total emissions (kgCO2e)]]*(1+BuildingsWaterTable[[#This Row],[RSD]]))</f>
        <v/>
      </c>
      <c r="W115" s="159" t="str">
        <f>IF(OR($N115="",BuildingsWaterTable[[#This Row],[RSD]]=""),"",BuildingsWaterTable[[#This Row],[Total emissions (kgCO2e)]]*(1-BuildingsWaterTable[[#This Row],[RSD]]))</f>
        <v/>
      </c>
      <c r="X115" s="169" t="str" cm="1">
        <f t="array" ref="X115">IF(OR($E115="",$I115=""),"",(INDEX('Emission factors'!$K$3:$V$201,MATCH('Buildings - Water'!$E115&amp;$F115,'Emission factors'!$J$3:$J$201&amp;'Emission factors'!$K$3:$K$201,0),MATCH('Buildings - Water'!X$6,'Emission factors'!$K$2:$V$2,0)))*$K115)</f>
        <v/>
      </c>
      <c r="Y115" s="30"/>
      <c r="Z115" s="1" cm="1">
        <f t="array" ref="Z115">IF(OR(ISERROR(B115:X115)),1,0)</f>
        <v>0</v>
      </c>
      <c r="AA115" s="1">
        <f t="shared" si="4"/>
        <v>0</v>
      </c>
    </row>
    <row r="116" spans="1:27" ht="15" outlineLevel="1" thickBot="1" x14ac:dyDescent="0.4">
      <c r="B116" s="216"/>
      <c r="C116" s="216"/>
      <c r="D116" s="233" t="str">
        <f>IFERROR(INDEX(BuildingInformationTable[Site type],MATCH(BuildingsWaterTable[[#This Row],[Site name]],BuildingInformationTable[Site name],0)),"")</f>
        <v/>
      </c>
      <c r="E116" s="312" t="str">
        <f t="shared" si="5"/>
        <v/>
      </c>
      <c r="F116" s="72"/>
      <c r="G116" s="72"/>
      <c r="H116" s="98" t="str">
        <f>IF(G116="","",INDEX(Lists!$BA$4:$BC$31,MATCH(E116,Lists!$AZ$4:$AZ$31,0),MATCH(G116,Lists!$BA$3:$BC$3,0)))</f>
        <v/>
      </c>
      <c r="I116" s="70"/>
      <c r="J116" s="72"/>
      <c r="K116" s="75" t="str" cm="1">
        <f t="array" ref="K116">IF(OR($E116="",$D116="",$I116="",$J116=""),"",IF(J116=L116,I116,(INDEX('Emission factors'!$K$3:$V$201,MATCH(E116&amp;F116,'Emission factors'!$J$3:$J$201&amp;'Emission factors'!$K$3:$K$201,0),MATCH(K$6,'Emission factors'!$K$2:$V$2,0)))*I116))</f>
        <v/>
      </c>
      <c r="L116" s="312" t="str">
        <f>IF(OR($E116="",$D116="",$I116="",$J116=""),"",INDEX('Emission factors'!$K$3:$V$201,MATCH('Buildings - Water'!$E116,'Emission factors'!$J$3:$J$201,0),MATCH($L$6,'Emission factors'!$K$2:$V$2,0)))</f>
        <v/>
      </c>
      <c r="M116" s="313" t="str" cm="1">
        <f t="array" ref="M116">IF(OR(E116="",I116="",BuildingsWaterTable[[#This Row],[Units]]=""),"",INDEX('Emission factors'!$K$3:$V$201,MATCH('Buildings - Water'!$E116&amp;F116,'Emission factors'!$J$3:$J$201&amp;'Emission factors'!$K$3:$K$201,0),MATCH('Buildings - Water'!$M$6,'Emission factors'!$K$2:$V$2,0)))</f>
        <v/>
      </c>
      <c r="N116" s="156" t="str">
        <f>IF(OR(K116="",M116=""),"",SUM(BuildingsWaterTable[[#This Row],[Direct]:[Indirect WTT]]))</f>
        <v/>
      </c>
      <c r="O116" s="71"/>
      <c r="P116" s="72"/>
      <c r="Q116" s="157" t="str" cm="1">
        <f t="array" ref="Q116">IF(OR($E116="",$I116=""),"",(INDEX('Emission factors'!$K$3:$V$201,MATCH('Buildings - Water'!$E116&amp;$F116,'Emission factors'!$J$3:$J$201&amp;'Emission factors'!$K$3:$K$201,0),MATCH('Buildings - Water'!Q$6,'Emission factors'!$K$2:$V$2,0)))*$K116)</f>
        <v/>
      </c>
      <c r="R116" s="157" t="str" cm="1">
        <f t="array" ref="R116">IF(OR($E116="",$I116=""),"",(INDEX('Emission factors'!$K$3:$V$201,MATCH('Buildings - Water'!$E116&amp;$F116,'Emission factors'!$J$3:$J$201&amp;'Emission factors'!$K$3:$K$201,0),MATCH('Buildings - Water'!R$6,'Emission factors'!$K$2:$V$2,0)))*$K116)</f>
        <v/>
      </c>
      <c r="S116" s="157" t="str" cm="1">
        <f t="array" ref="S116">IF(OR($E116="",$I116=""),"",(INDEX('Emission factors'!$K$3:$V$201,MATCH('Buildings - Water'!$E116&amp;$F116,'Emission factors'!$J$3:$J$201&amp;'Emission factors'!$K$3:$K$201,0),MATCH('Buildings - Water'!S$6,'Emission factors'!$K$2:$V$2,0)))*$K116)</f>
        <v/>
      </c>
      <c r="T116" s="157" t="str" cm="1">
        <f t="array" ref="T116">IF(OR($E116="",$I116=""),"",(INDEX('Emission factors'!$K$3:$V$201,MATCH('Buildings - Water'!$E116&amp;$F116,'Emission factors'!$J$3:$J$201&amp;'Emission factors'!$K$3:$K$201,0),MATCH('Buildings - Water'!T$6,'Emission factors'!$K$2:$V$2,0)))*$K116)</f>
        <v/>
      </c>
      <c r="U116" s="157" t="str" cm="1">
        <f t="array" ref="U116">IF(OR($E116="",$I116=""),"",(INDEX('Emission factors'!$K$3:$V$201,MATCH('Buildings - Water'!$E116&amp;$F116,'Emission factors'!$J$3:$J$201&amp;'Emission factors'!$K$3:$K$201,0),MATCH('Buildings - Water'!U$6,'Emission factors'!$K$2:$V$2,0)))*$K116)</f>
        <v/>
      </c>
      <c r="V116" s="158" t="str">
        <f>IF(OR($N116="",BuildingsWaterTable[[#This Row],[RSD]]=""),"",BuildingsWaterTable[[#This Row],[Total emissions (kgCO2e)]]*(1+BuildingsWaterTable[[#This Row],[RSD]]))</f>
        <v/>
      </c>
      <c r="W116" s="159" t="str">
        <f>IF(OR($N116="",BuildingsWaterTable[[#This Row],[RSD]]=""),"",BuildingsWaterTable[[#This Row],[Total emissions (kgCO2e)]]*(1-BuildingsWaterTable[[#This Row],[RSD]]))</f>
        <v/>
      </c>
      <c r="X116" s="169" t="str" cm="1">
        <f t="array" ref="X116">IF(OR($E116="",$I116=""),"",(INDEX('Emission factors'!$K$3:$V$201,MATCH('Buildings - Water'!$E116&amp;$F116,'Emission factors'!$J$3:$J$201&amp;'Emission factors'!$K$3:$K$201,0),MATCH('Buildings - Water'!X$6,'Emission factors'!$K$2:$V$2,0)))*$K116)</f>
        <v/>
      </c>
      <c r="Y116" s="30"/>
      <c r="Z116" s="1" cm="1">
        <f t="array" ref="Z116">IF(OR(ISERROR(B116:X116)),1,0)</f>
        <v>0</v>
      </c>
      <c r="AA116" s="1">
        <f t="shared" si="4"/>
        <v>0</v>
      </c>
    </row>
    <row r="117" spans="1:27" ht="15" outlineLevel="1" thickBot="1" x14ac:dyDescent="0.4">
      <c r="B117" s="216"/>
      <c r="C117" s="216"/>
      <c r="D117" s="240" t="str">
        <f>IFERROR(INDEX(BuildingInformationTable[Site type],MATCH(BuildingsWaterTable[[#This Row],[Site name]],BuildingInformationTable[Site name],0)),"")</f>
        <v/>
      </c>
      <c r="E117" s="314" t="str">
        <f t="shared" si="5"/>
        <v/>
      </c>
      <c r="F117" s="241"/>
      <c r="G117" s="241"/>
      <c r="H117" s="242" t="str">
        <f>IF(G117="","",INDEX(Lists!$BA$4:$BC$31,MATCH(E117,Lists!$AZ$4:$AZ$31,0),MATCH(G117,Lists!$BA$3:$BC$3,0)))</f>
        <v/>
      </c>
      <c r="I117" s="70"/>
      <c r="J117" s="241"/>
      <c r="K117" s="243" t="str" cm="1">
        <f t="array" ref="K117">IF(OR($E117="",$D117="",$I117="",$J117=""),"",IF(J117=L117,I117,(INDEX('Emission factors'!$K$3:$V$201,MATCH(E117&amp;F117,'Emission factors'!$J$3:$J$201&amp;'Emission factors'!$K$3:$K$201,0),MATCH(K$6,'Emission factors'!$K$2:$V$2,0)))*I117))</f>
        <v/>
      </c>
      <c r="L117" s="314" t="str">
        <f>IF(OR($E117="",$D117="",$I117="",$J117=""),"",INDEX('Emission factors'!$K$3:$V$201,MATCH('Buildings - Water'!$E117,'Emission factors'!$J$3:$J$201,0),MATCH($L$6,'Emission factors'!$K$2:$V$2,0)))</f>
        <v/>
      </c>
      <c r="M117" s="315" t="str" cm="1">
        <f t="array" ref="M117">IF(OR(E117="",I117="",BuildingsWaterTable[[#This Row],[Units]]=""),"",INDEX('Emission factors'!$K$3:$V$201,MATCH('Buildings - Water'!$E117&amp;F117,'Emission factors'!$J$3:$J$201&amp;'Emission factors'!$K$3:$K$201,0),MATCH('Buildings - Water'!$M$6,'Emission factors'!$K$2:$V$2,0)))</f>
        <v/>
      </c>
      <c r="N117" s="244" t="str">
        <f>IF(OR(K117="",M117=""),"",SUM(BuildingsWaterTable[[#This Row],[Direct]:[Indirect WTT]]))</f>
        <v/>
      </c>
      <c r="O117" s="71"/>
      <c r="P117" s="245"/>
      <c r="Q117" s="157" t="str" cm="1">
        <f t="array" ref="Q117">IF(OR($E117="",$I117=""),"",(INDEX('Emission factors'!$K$3:$V$201,MATCH('Buildings - Water'!$E117&amp;$F117,'Emission factors'!$J$3:$J$201&amp;'Emission factors'!$K$3:$K$201,0),MATCH('Buildings - Water'!Q$6,'Emission factors'!$K$2:$V$2,0)))*$K117)</f>
        <v/>
      </c>
      <c r="R117" s="157" t="str" cm="1">
        <f t="array" ref="R117">IF(OR($E117="",$I117=""),"",(INDEX('Emission factors'!$K$3:$V$201,MATCH('Buildings - Water'!$E117&amp;$F117,'Emission factors'!$J$3:$J$201&amp;'Emission factors'!$K$3:$K$201,0),MATCH('Buildings - Water'!R$6,'Emission factors'!$K$2:$V$2,0)))*$K117)</f>
        <v/>
      </c>
      <c r="S117" s="157" t="str" cm="1">
        <f t="array" ref="S117">IF(OR($E117="",$I117=""),"",(INDEX('Emission factors'!$K$3:$V$201,MATCH('Buildings - Water'!$E117&amp;$F117,'Emission factors'!$J$3:$J$201&amp;'Emission factors'!$K$3:$K$201,0),MATCH('Buildings - Water'!S$6,'Emission factors'!$K$2:$V$2,0)))*$K117)</f>
        <v/>
      </c>
      <c r="T117" s="157" t="str" cm="1">
        <f t="array" ref="T117">IF(OR($E117="",$I117=""),"",(INDEX('Emission factors'!$K$3:$V$201,MATCH('Buildings - Water'!$E117&amp;$F117,'Emission factors'!$J$3:$J$201&amp;'Emission factors'!$K$3:$K$201,0),MATCH('Buildings - Water'!T$6,'Emission factors'!$K$2:$V$2,0)))*$K117)</f>
        <v/>
      </c>
      <c r="U117" s="157" t="str" cm="1">
        <f t="array" ref="U117">IF(OR($E117="",$I117=""),"",(INDEX('Emission factors'!$K$3:$V$201,MATCH('Buildings - Water'!$E117&amp;$F117,'Emission factors'!$J$3:$J$201&amp;'Emission factors'!$K$3:$K$201,0),MATCH('Buildings - Water'!U$6,'Emission factors'!$K$2:$V$2,0)))*$K117)</f>
        <v/>
      </c>
      <c r="V117" s="158" t="str">
        <f>IF(OR($N117="",BuildingsWaterTable[[#This Row],[RSD]]=""),"",BuildingsWaterTable[[#This Row],[Total emissions (kgCO2e)]]*(1+BuildingsWaterTable[[#This Row],[RSD]]))</f>
        <v/>
      </c>
      <c r="W117" s="159" t="str">
        <f>IF(OR($N117="",BuildingsWaterTable[[#This Row],[RSD]]=""),"",BuildingsWaterTable[[#This Row],[Total emissions (kgCO2e)]]*(1-BuildingsWaterTable[[#This Row],[RSD]]))</f>
        <v/>
      </c>
      <c r="X117" s="191" t="str" cm="1">
        <f t="array" ref="X117">IF(OR($E117="",$I117=""),"",(INDEX('Emission factors'!$K$3:$V$201,MATCH('Buildings - Water'!$E117&amp;$F117,'Emission factors'!$J$3:$J$201&amp;'Emission factors'!$K$3:$K$201,0),MATCH('Buildings - Water'!X$6,'Emission factors'!$K$2:$V$2,0)))*$K117)</f>
        <v/>
      </c>
      <c r="Y117" s="30"/>
      <c r="Z117" s="1" cm="1">
        <f t="array" ref="Z117">IF(OR(ISERROR(B117:X117)),1,0)</f>
        <v>0</v>
      </c>
      <c r="AA117" s="1">
        <f t="shared" si="4"/>
        <v>0</v>
      </c>
    </row>
    <row r="118" spans="1:27" ht="15" outlineLevel="1" thickBot="1" x14ac:dyDescent="0.4">
      <c r="B118" s="217"/>
      <c r="C118" s="217"/>
      <c r="D118" s="233" t="str">
        <f>IFERROR(INDEX(BuildingInformationTable[Site type],MATCH(BuildingsWaterTable[[#This Row],[Site name]],BuildingInformationTable[Site name],0)),"")</f>
        <v/>
      </c>
      <c r="E118" s="312" t="str">
        <f t="shared" si="5"/>
        <v/>
      </c>
      <c r="F118" s="72"/>
      <c r="G118" s="72"/>
      <c r="H118" s="98" t="str">
        <f>IF(G118="","",INDEX(Lists!$BA$4:$BC$31,MATCH(E118,Lists!$AZ$4:$AZ$31,0),MATCH(G118,Lists!$BA$3:$BC$3,0)))</f>
        <v/>
      </c>
      <c r="I118" s="70"/>
      <c r="J118" s="72"/>
      <c r="K118" s="75" t="str" cm="1">
        <f t="array" ref="K118">IF(OR($E118="",$D118="",$I118="",$J118=""),"",IF(J118=L118,I118,(INDEX('Emission factors'!$K$3:$V$201,MATCH(E118&amp;F118,'Emission factors'!$J$3:$J$201&amp;'Emission factors'!$K$3:$K$201,0),MATCH(K$6,'Emission factors'!$K$2:$V$2,0)))*I118))</f>
        <v/>
      </c>
      <c r="L118" s="312" t="str">
        <f>IF(OR($E118="",$D118="",$I118="",$J118=""),"",INDEX('Emission factors'!$K$3:$V$201,MATCH('Buildings - Water'!$E118,'Emission factors'!$J$3:$J$201,0),MATCH($L$6,'Emission factors'!$K$2:$V$2,0)))</f>
        <v/>
      </c>
      <c r="M118" s="313" t="str" cm="1">
        <f t="array" ref="M118">IF(OR(E118="",I118="",BuildingsWaterTable[[#This Row],[Units]]=""),"",INDEX('Emission factors'!$K$3:$V$201,MATCH('Buildings - Water'!$E118&amp;F118,'Emission factors'!$J$3:$J$201&amp;'Emission factors'!$K$3:$K$201,0),MATCH('Buildings - Water'!$M$6,'Emission factors'!$K$2:$V$2,0)))</f>
        <v/>
      </c>
      <c r="N118" s="156" t="str">
        <f>IF(OR(K118="",M118=""),"",SUM(BuildingsWaterTable[[#This Row],[Direct]:[Indirect WTT]]))</f>
        <v/>
      </c>
      <c r="O118" s="73"/>
      <c r="P118" s="74"/>
      <c r="Q118" s="157" t="str" cm="1">
        <f t="array" ref="Q118">IF(OR($E118="",$I118=""),"",(INDEX('Emission factors'!$K$3:$V$201,MATCH('Buildings - Water'!$E118&amp;$F118,'Emission factors'!$J$3:$J$201&amp;'Emission factors'!$K$3:$K$201,0),MATCH('Buildings - Water'!Q$6,'Emission factors'!$K$2:$V$2,0)))*$K118)</f>
        <v/>
      </c>
      <c r="R118" s="157" t="str" cm="1">
        <f t="array" ref="R118">IF(OR($E118="",$I118=""),"",(INDEX('Emission factors'!$K$3:$V$201,MATCH('Buildings - Water'!$E118&amp;$F118,'Emission factors'!$J$3:$J$201&amp;'Emission factors'!$K$3:$K$201,0),MATCH('Buildings - Water'!R$6,'Emission factors'!$K$2:$V$2,0)))*$K118)</f>
        <v/>
      </c>
      <c r="S118" s="157" t="str" cm="1">
        <f t="array" ref="S118">IF(OR($E118="",$I118=""),"",(INDEX('Emission factors'!$K$3:$V$201,MATCH('Buildings - Water'!$E118&amp;$F118,'Emission factors'!$J$3:$J$201&amp;'Emission factors'!$K$3:$K$201,0),MATCH('Buildings - Water'!S$6,'Emission factors'!$K$2:$V$2,0)))*$K118)</f>
        <v/>
      </c>
      <c r="T118" s="157" t="str" cm="1">
        <f t="array" ref="T118">IF(OR($E118="",$I118=""),"",(INDEX('Emission factors'!$K$3:$V$201,MATCH('Buildings - Water'!$E118&amp;$F118,'Emission factors'!$J$3:$J$201&amp;'Emission factors'!$K$3:$K$201,0),MATCH('Buildings - Water'!T$6,'Emission factors'!$K$2:$V$2,0)))*$K118)</f>
        <v/>
      </c>
      <c r="U118" s="157" t="str" cm="1">
        <f t="array" ref="U118">IF(OR($E118="",$I118=""),"",(INDEX('Emission factors'!$K$3:$V$201,MATCH('Buildings - Water'!$E118&amp;$F118,'Emission factors'!$J$3:$J$201&amp;'Emission factors'!$K$3:$K$201,0),MATCH('Buildings - Water'!U$6,'Emission factors'!$K$2:$V$2,0)))*$K118)</f>
        <v/>
      </c>
      <c r="V118" s="158" t="str">
        <f>IF(OR($N118="",BuildingsWaterTable[[#This Row],[RSD]]=""),"",BuildingsWaterTable[[#This Row],[Total emissions (kgCO2e)]]*(1+BuildingsWaterTable[[#This Row],[RSD]]))</f>
        <v/>
      </c>
      <c r="W118" s="159" t="str">
        <f>IF(OR($N118="",BuildingsWaterTable[[#This Row],[RSD]]=""),"",BuildingsWaterTable[[#This Row],[Total emissions (kgCO2e)]]*(1-BuildingsWaterTable[[#This Row],[RSD]]))</f>
        <v/>
      </c>
      <c r="X118" s="170" t="str" cm="1">
        <f t="array" ref="X118">IF(OR($E118="",$I118=""),"",(INDEX('Emission factors'!$K$3:$V$201,MATCH('Buildings - Water'!$E118&amp;$F118,'Emission factors'!$J$3:$J$201&amp;'Emission factors'!$K$3:$K$201,0),MATCH('Buildings - Water'!X$6,'Emission factors'!$K$2:$V$2,0)))*$K118)</f>
        <v/>
      </c>
      <c r="Y118" s="30"/>
      <c r="Z118" s="1" cm="1">
        <f t="array" ref="Z118">IF(OR(ISERROR(B118:X118)),1,0)</f>
        <v>0</v>
      </c>
      <c r="AA118" s="1">
        <f t="shared" ref="AA118" si="6">IF(AND(E118="",I118="",J118=""),0,1)</f>
        <v>0</v>
      </c>
    </row>
    <row r="119" spans="1:27" outlineLevel="1" x14ac:dyDescent="0.35">
      <c r="B119" s="316"/>
      <c r="C119" s="316"/>
      <c r="D119" s="316"/>
      <c r="E119" s="316"/>
      <c r="F119" s="316"/>
      <c r="G119" s="316"/>
      <c r="H119" s="316"/>
      <c r="I119" s="316"/>
      <c r="J119" s="316"/>
      <c r="K119" s="316"/>
      <c r="L119" s="316"/>
      <c r="M119" s="316"/>
      <c r="N119" s="316"/>
      <c r="O119" s="316"/>
      <c r="P119" s="316"/>
      <c r="Q119" s="316"/>
      <c r="R119" s="316"/>
      <c r="S119" s="316"/>
      <c r="T119" s="316"/>
      <c r="U119" s="316"/>
      <c r="V119" s="316"/>
      <c r="W119" s="316"/>
      <c r="X119" s="30"/>
    </row>
    <row r="120" spans="1:27" x14ac:dyDescent="0.35">
      <c r="U120" s="321"/>
      <c r="V120" s="30"/>
    </row>
    <row r="122" spans="1:27" ht="32.75" customHeight="1" x14ac:dyDescent="0.35"/>
    <row r="129" spans="2:22" ht="14.75" customHeight="1" x14ac:dyDescent="0.35"/>
    <row r="130" spans="2:22" ht="15" customHeight="1" x14ac:dyDescent="0.35"/>
    <row r="131" spans="2:22" ht="15" customHeight="1" x14ac:dyDescent="0.35"/>
    <row r="139" spans="2:22" x14ac:dyDescent="0.35">
      <c r="B139" s="19"/>
      <c r="C139" s="19"/>
      <c r="D139" s="19"/>
      <c r="E139" s="19"/>
      <c r="F139" s="19"/>
      <c r="G139" s="19"/>
      <c r="H139" s="19"/>
      <c r="I139" s="19"/>
      <c r="J139" s="19"/>
      <c r="K139" s="19"/>
      <c r="L139" s="19"/>
      <c r="M139" s="19"/>
      <c r="N139" s="19"/>
      <c r="O139" s="19"/>
      <c r="P139" s="19"/>
      <c r="Q139" s="19"/>
      <c r="R139" s="19"/>
      <c r="S139" s="19"/>
      <c r="T139" s="19"/>
      <c r="U139" s="19"/>
      <c r="V139" s="19"/>
    </row>
  </sheetData>
  <sheetProtection algorithmName="SHA-512" hashValue="rXLfRSlflvveudpZtvaI1W4H7RRdpgxPtC0/HihHH7/0z0K608FNMS99cxWZheeEWSeNZ2jbeo4n1CMsf7wz6A==" saltValue="MZmK57foPpbeNa+5cQTB7A==" spinCount="100000" sheet="1" formatRows="0"/>
  <mergeCells count="7">
    <mergeCell ref="B4:M4"/>
    <mergeCell ref="O1:P1"/>
    <mergeCell ref="Q1:R1"/>
    <mergeCell ref="B2:M2"/>
    <mergeCell ref="O2:P2"/>
    <mergeCell ref="Q2:R2"/>
    <mergeCell ref="B3:M3"/>
  </mergeCells>
  <conditionalFormatting sqref="B7:X118">
    <cfRule type="expression" dxfId="58" priority="53">
      <formula>IF($Z7=1,1,0)</formula>
    </cfRule>
  </conditionalFormatting>
  <conditionalFormatting sqref="J5">
    <cfRule type="containsText" dxfId="57" priority="5" operator="containsText" text="There are errors">
      <formula>NOT(ISERROR(SEARCH("There are errors",J5)))</formula>
    </cfRule>
    <cfRule type="containsText" dxfId="56" priority="6" operator="containsText" text="No errors in this table">
      <formula>NOT(ISERROR(SEARCH("No errors in this table",J5)))</formula>
    </cfRule>
  </conditionalFormatting>
  <dataValidations count="14">
    <dataValidation type="list" allowBlank="1" showInputMessage="1" showErrorMessage="1" sqref="G7:G118" xr:uid="{F3056651-F017-4A1F-A3CA-B9039A659FF8}">
      <formula1>Methodologyall</formula1>
    </dataValidation>
    <dataValidation type="list" allowBlank="1" showInputMessage="1" showErrorMessage="1" sqref="P7:P118" xr:uid="{F1485AD4-2A89-4486-837E-FA151C0EFA5B}">
      <formula1>Ease</formula1>
    </dataValidation>
    <dataValidation type="decimal" operator="greaterThan" allowBlank="1" showInputMessage="1" showErrorMessage="1" errorTitle="Numeric data" error="Please enter a number greater than zero" sqref="I7:I118" xr:uid="{9A3CA3F3-44FE-4CBE-BE3A-ED896D2F3765}">
      <formula1>0</formula1>
    </dataValidation>
    <dataValidation type="list" allowBlank="1" showInputMessage="1" showErrorMessage="1" sqref="F7:F118" xr:uid="{8CED0935-D5A1-4D90-AD64-B0EF5D1270A8}">
      <formula1>INDIRECT(CONCATENATE(SUBSTITUTE($E7," ","")&amp;SUBSTITUTE($F$6," ","")))</formula1>
    </dataValidation>
    <dataValidation type="list" allowBlank="1" showInputMessage="1" showErrorMessage="1" sqref="J7:J118" xr:uid="{E793A251-926F-458F-A0C2-FB5610F45ACA}">
      <formula1>INDIRECT(CONCATENATE(SUBSTITUTE($E7," ","")&amp;$J$6))</formula1>
    </dataValidation>
    <dataValidation type="list" allowBlank="1" showInputMessage="1" showErrorMessage="1" sqref="E8:E118" xr:uid="{844D857E-E6C0-4408-B6E1-E683AEEE6E8A}">
      <formula1>"Water"</formula1>
    </dataValidation>
    <dataValidation allowBlank="1" showInputMessage="1" showErrorMessage="1" promptTitle="Info" prompt="Please add the building name here." sqref="B6" xr:uid="{5F639197-50F6-4627-A0FE-2608AE105E0B}"/>
    <dataValidation allowBlank="1" showInputMessage="1" showErrorMessage="1" promptTitle="Info" prompt="Please enter ownership struture, this determines where emissions are allocated with regards to scope. See guidance - table 6 for details" sqref="D6" xr:uid="{E8F55F8E-949C-44E8-897F-0E5731EE88EE}"/>
    <dataValidation allowBlank="1" showInputMessage="1" showErrorMessage="1" promptTitle="Info" prompt="Please select the emissions or fuel source from the dropdown. Further details can be found in the guidance - section 7.2" sqref="E6" xr:uid="{DDA06E7E-5D54-475A-9C41-9B4CD8A40CA0}"/>
    <dataValidation allowBlank="1" showInputMessage="1" showErrorMessage="1" promptTitle="Info" prompt="Please add further details about the fuel/emissions source from the dropdown. See guidance - section 7.2 for further information." sqref="F6" xr:uid="{BC95BD49-B3C1-46A2-9BD5-27BAC501351D}"/>
    <dataValidation allowBlank="1" showInputMessage="1" showErrorMessage="1" promptTitle="Info" prompt="This is the uncertainty in the data and is calculated automatically. See guidance - section 4 for more details" sqref="H6" xr:uid="{F12131DB-3A75-453F-8F49-9929DCA3290A}"/>
    <dataValidation allowBlank="1" showInputMessage="1" showErrorMessage="1" promptTitle="Info" prompt="The tier reflects the relevance of the data, see guidance - table 7 for more details." sqref="G6" xr:uid="{D1DF3DDE-82C1-4D01-9832-BD6CFF4D3E11}"/>
    <dataValidation allowBlank="1" showInputMessage="1" showErrorMessage="1" promptTitle="Info" prompt="Please select the relevant unit from the dropdown for the data entered." sqref="J6" xr:uid="{CD148726-9104-40E6-9DF5-D33F81767C8B}"/>
    <dataValidation allowBlank="1" showInputMessage="1" showErrorMessage="1" promptTitle="Info" prompt="Please add the meter number here." sqref="C6" xr:uid="{B1151F0D-A496-4A65-90FF-B30B654F5FB0}"/>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A7668DCA-FCE9-4C5A-905A-81082584B654}">
          <x14:formula1>
            <xm:f>'Site Information'!$B$7:$B$1000</xm:f>
          </x14:formula1>
          <xm:sqref>B7:B118</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A6CBC-04CF-4C66-86F0-38A84D3B6E4F}">
  <sheetPr>
    <tabColor rgb="FF27CCF9"/>
  </sheetPr>
  <dimension ref="A1:Y24"/>
  <sheetViews>
    <sheetView topLeftCell="E1" zoomScale="80" zoomScaleNormal="80" workbookViewId="0">
      <selection activeCell="X1" sqref="X1:Y1048576"/>
    </sheetView>
  </sheetViews>
  <sheetFormatPr defaultColWidth="8.54296875" defaultRowHeight="14.5" x14ac:dyDescent="0.35"/>
  <cols>
    <col min="1" max="1" width="1.6328125" style="316" customWidth="1"/>
    <col min="2" max="2" width="27.6328125" style="1" customWidth="1"/>
    <col min="3" max="3" width="29.453125" style="1" customWidth="1"/>
    <col min="4" max="4" width="20.36328125" style="1" customWidth="1"/>
    <col min="5" max="5" width="16.6328125" style="1" customWidth="1"/>
    <col min="6" max="6" width="11.453125" style="1" customWidth="1"/>
    <col min="7" max="7" width="14.6328125" style="1" customWidth="1"/>
    <col min="8" max="8" width="11.453125" style="1" customWidth="1"/>
    <col min="9" max="9" width="19.54296875" style="1" customWidth="1"/>
    <col min="10" max="10" width="19" style="1" customWidth="1"/>
    <col min="11" max="11" width="19.453125" style="1" customWidth="1"/>
    <col min="12" max="12" width="18.6328125" style="1" customWidth="1"/>
    <col min="13" max="13" width="20.54296875" style="1" customWidth="1"/>
    <col min="14" max="14" width="22.453125" style="1" customWidth="1"/>
    <col min="15" max="15" width="12.36328125" style="1" customWidth="1"/>
    <col min="16" max="16" width="29.36328125" style="1" customWidth="1"/>
    <col min="17" max="17" width="12.36328125" style="1" customWidth="1"/>
    <col min="18" max="18" width="18.36328125" style="1" customWidth="1"/>
    <col min="19" max="19" width="11.54296875" style="1" customWidth="1"/>
    <col min="20" max="21" width="14" style="1" bestFit="1" customWidth="1"/>
    <col min="22" max="22" width="10.6328125" style="1" customWidth="1"/>
    <col min="23" max="23" width="8.54296875" style="1"/>
    <col min="24" max="25" width="8.54296875" style="1" hidden="1" customWidth="1"/>
    <col min="26" max="27" width="8.54296875" style="1"/>
    <col min="28" max="28" width="14.453125" style="1" bestFit="1" customWidth="1"/>
    <col min="29" max="16384" width="8.54296875" style="1"/>
  </cols>
  <sheetData>
    <row r="1" spans="2:25" ht="15" thickBot="1" x14ac:dyDescent="0.4">
      <c r="D1" s="11"/>
      <c r="N1" s="304" t="s">
        <v>155</v>
      </c>
      <c r="O1" s="554" t="s">
        <v>9</v>
      </c>
      <c r="P1" s="555"/>
      <c r="Q1" s="556" t="s">
        <v>13</v>
      </c>
      <c r="R1" s="557"/>
      <c r="S1" s="30"/>
    </row>
    <row r="2" spans="2:25" ht="19" thickBot="1" x14ac:dyDescent="0.4">
      <c r="B2" s="562" t="s">
        <v>211</v>
      </c>
      <c r="C2" s="563"/>
      <c r="D2" s="563"/>
      <c r="E2" s="563"/>
      <c r="F2" s="563"/>
      <c r="G2" s="563"/>
      <c r="H2" s="563"/>
      <c r="I2" s="563"/>
      <c r="J2" s="563"/>
      <c r="K2" s="563"/>
      <c r="L2" s="563"/>
      <c r="M2" s="564"/>
      <c r="N2" s="18"/>
      <c r="O2" s="558" t="s">
        <v>11</v>
      </c>
      <c r="P2" s="559"/>
      <c r="Q2" s="560" t="s">
        <v>15</v>
      </c>
      <c r="R2" s="561"/>
      <c r="S2" s="30"/>
    </row>
    <row r="3" spans="2:25" ht="50.75" customHeight="1" thickBot="1" x14ac:dyDescent="0.4">
      <c r="B3" s="565" t="s">
        <v>212</v>
      </c>
      <c r="C3" s="566"/>
      <c r="D3" s="566"/>
      <c r="E3" s="566"/>
      <c r="F3" s="566"/>
      <c r="G3" s="566"/>
      <c r="H3" s="566"/>
      <c r="I3" s="566"/>
      <c r="J3" s="566"/>
      <c r="K3" s="566"/>
      <c r="L3" s="566"/>
      <c r="M3" s="567"/>
      <c r="O3" s="19"/>
      <c r="P3" s="19"/>
      <c r="Q3" s="19"/>
      <c r="R3" s="19"/>
    </row>
    <row r="4" spans="2:25" ht="135.65" customHeight="1" x14ac:dyDescent="0.35">
      <c r="B4" s="565" t="s">
        <v>213</v>
      </c>
      <c r="C4" s="566"/>
      <c r="D4" s="566"/>
      <c r="E4" s="566"/>
      <c r="F4" s="566"/>
      <c r="G4" s="566"/>
      <c r="H4" s="566"/>
      <c r="I4" s="566"/>
      <c r="J4" s="566"/>
      <c r="K4" s="566"/>
      <c r="L4" s="566"/>
      <c r="M4" s="566"/>
      <c r="O4" s="11"/>
    </row>
    <row r="5" spans="2:25" ht="19" thickBot="1" x14ac:dyDescent="0.5">
      <c r="B5" s="99" t="s">
        <v>105</v>
      </c>
      <c r="C5" s="11"/>
      <c r="H5" s="317" t="str">
        <f>IF($Y$6=0,"No data entered",IF($X$6=0,"No errors in this table","There are errors in this table see highlighted row(s)"))</f>
        <v>No data entered</v>
      </c>
      <c r="I5"/>
      <c r="O5" s="318" t="s">
        <v>174</v>
      </c>
      <c r="T5" s="26"/>
      <c r="U5" s="321"/>
      <c r="V5" s="30"/>
      <c r="W5" s="18"/>
      <c r="X5" s="9" t="s">
        <v>175</v>
      </c>
      <c r="Y5" s="9" t="s">
        <v>161</v>
      </c>
    </row>
    <row r="6" spans="2:25" ht="31.5" thickBot="1" x14ac:dyDescent="0.4">
      <c r="B6" s="264" t="s">
        <v>202</v>
      </c>
      <c r="C6" s="263" t="s">
        <v>203</v>
      </c>
      <c r="D6" s="273" t="s">
        <v>19</v>
      </c>
      <c r="E6" s="263" t="s">
        <v>180</v>
      </c>
      <c r="F6" s="263" t="s">
        <v>181</v>
      </c>
      <c r="G6" s="263" t="s">
        <v>182</v>
      </c>
      <c r="H6" s="263" t="s">
        <v>183</v>
      </c>
      <c r="I6" s="263" t="s">
        <v>184</v>
      </c>
      <c r="J6" s="263" t="s">
        <v>185</v>
      </c>
      <c r="K6" s="263" t="s">
        <v>186</v>
      </c>
      <c r="L6" s="263" t="s">
        <v>187</v>
      </c>
      <c r="M6" s="263" t="s">
        <v>188</v>
      </c>
      <c r="N6" s="263" t="s">
        <v>189</v>
      </c>
      <c r="O6" s="8" t="s">
        <v>92</v>
      </c>
      <c r="P6" s="8" t="s">
        <v>190</v>
      </c>
      <c r="Q6" s="8" t="s">
        <v>191</v>
      </c>
      <c r="R6" s="8" t="s">
        <v>192</v>
      </c>
      <c r="S6" s="8" t="s">
        <v>193</v>
      </c>
      <c r="T6" s="8" t="s">
        <v>100</v>
      </c>
      <c r="U6" s="322" t="s">
        <v>101</v>
      </c>
      <c r="V6" s="8" t="s">
        <v>96</v>
      </c>
      <c r="X6" s="9">
        <f>SUM(X7:X23)</f>
        <v>0</v>
      </c>
      <c r="Y6" s="9">
        <f>SUM(Y7:Y23)</f>
        <v>0</v>
      </c>
    </row>
    <row r="7" spans="2:25" ht="15" thickBot="1" x14ac:dyDescent="0.4">
      <c r="B7" s="324" t="s">
        <v>214</v>
      </c>
      <c r="C7" s="72"/>
      <c r="D7" s="42"/>
      <c r="E7" s="72"/>
      <c r="F7" s="77" t="str">
        <f>IF(E7="","",INDEX(Lists!$BA$4:$BC$39,MATCH($B7,Lists!$AZ$4:$AZ$39,0),MATCH(E7,Lists!$BA$3:$BC$3,0)))</f>
        <v/>
      </c>
      <c r="G7" s="177"/>
      <c r="H7" s="72"/>
      <c r="I7" s="488" t="str" cm="1">
        <f t="array" ref="I7">IF(OR($C7="",$B7="",$G7="",$H7=""),"",IF(H7=J7,G7,(INDEX('Emission factors'!$K$3:$V$381,MATCH(B7&amp;C7,'Emission factors'!$J$3:$J$381&amp;'Emission factors'!$K$3:$K$381,0),MATCH(Medicalgases[[#Headers],[Converted data]],'Emission factors'!$K$2:$V$2,0)))*G7))</f>
        <v/>
      </c>
      <c r="J7" s="312" t="str">
        <f>IF(B7="","",INDEX('Emission factors'!$J$3:$V$381,MATCH(Medicalgases[[#This Row],[Type]],'Emission factors'!$J$3:$J$381,0),MATCH(Medicalgases[[#Headers],[Standard units]],'Emission factors'!$J$2:$V$2,0)))</f>
        <v>Litres</v>
      </c>
      <c r="K7" s="225" t="str" cm="1">
        <f t="array" ref="K7">IF(OR(C7="",G7=""),"",INDEX('Emission factors'!$K$3:$V$381,MATCH(Medicalgases[[#This Row],[Type]]&amp;$C7,'Emission factors'!$J$3:$J$381&amp;'Emission factors'!$K$3:$K$381,0),MATCH(Medicalgases[[#Headers],[Total EF (kgCO2e/unit)]],'Emission factors'!$K$2:$V$2,0)))</f>
        <v/>
      </c>
      <c r="L7" s="156" t="str">
        <f>IF(OR(I7="",K7=""),"",SUM(Medicalgases[[#This Row],[Direct]:[Indirect WTT]]))</f>
        <v/>
      </c>
      <c r="M7" s="71"/>
      <c r="N7" s="72"/>
      <c r="O7" s="157" t="str" cm="1">
        <f t="array" ref="O7">IF(OR($B7="",$G7=""),"",(INDEX('Emission factors'!$K$3:$V$381,MATCH(Medicalgases[[#This Row],[Type]]&amp;$C7,'Emission factors'!$J$3:$J$381&amp;'Emission factors'!$K$3:$K$381,0),MATCH(Medicalgases[[#Headers],[Direct]],'Emission factors'!$K$2:$V$2,0)))*$I7)</f>
        <v/>
      </c>
      <c r="P7" s="157">
        <v>0</v>
      </c>
      <c r="Q7" s="157">
        <v>0</v>
      </c>
      <c r="R7" s="157">
        <v>0</v>
      </c>
      <c r="S7" s="157">
        <v>0</v>
      </c>
      <c r="T7" s="158" t="str">
        <f>IF(OR($L7="",$F7=""),"",$L7*(1+$F7))</f>
        <v/>
      </c>
      <c r="U7" s="163" t="str">
        <f t="shared" ref="U7:U23" si="0">IF(OR($L7="",$F7=""),"",$L7*(1-$F7))</f>
        <v/>
      </c>
      <c r="V7" s="157">
        <v>0</v>
      </c>
      <c r="X7" s="1" cm="1">
        <f t="array" ref="X7">IF(OR(ISERROR(B7:V7)),1,0)</f>
        <v>0</v>
      </c>
      <c r="Y7" s="1">
        <f>IF(AND(C7="",G7="",H7=""),0,1)</f>
        <v>0</v>
      </c>
    </row>
    <row r="8" spans="2:25" ht="15" thickBot="1" x14ac:dyDescent="0.4">
      <c r="B8" s="324" t="s">
        <v>214</v>
      </c>
      <c r="C8" s="72"/>
      <c r="D8" s="42"/>
      <c r="E8" s="72"/>
      <c r="F8" s="77" t="str">
        <f>IF(E8="","",INDEX(Lists!$BA$4:$BC$39,MATCH($B8,Lists!$AZ$4:$AZ$39,0),MATCH(E8,Lists!$BA$3:$BC$3,0)))</f>
        <v/>
      </c>
      <c r="G8" s="177"/>
      <c r="H8" s="72"/>
      <c r="I8" s="75" t="str" cm="1">
        <f t="array" ref="I8">IF(OR($C8="",$B8="",$G8="",$H8=""),"",IF(H8=J8,G8,(INDEX('Emission factors'!$K$3:$V$381,MATCH(B8&amp;C8,'Emission factors'!$J$3:$J$381&amp;'Emission factors'!$K$3:$K$381,0),MATCH(Medicalgases[[#Headers],[Converted data]],'Emission factors'!$K$2:$V$2,0)))*G8))</f>
        <v/>
      </c>
      <c r="J8" s="312" t="str">
        <f>IF(B8="","",INDEX('Emission factors'!$J$3:$V$381,MATCH(Medicalgases[[#This Row],[Type]],'Emission factors'!$J$3:$J$381,0),MATCH(Medicalgases[[#Headers],[Standard units]],'Emission factors'!$J$2:$V$2,0)))</f>
        <v>Litres</v>
      </c>
      <c r="K8" s="225" t="str" cm="1">
        <f t="array" ref="K8">IF(OR(C8="",G8=""),"",INDEX('Emission factors'!$K$3:$V$381,MATCH(Medicalgases[[#This Row],[Type]]&amp;$C8,'Emission factors'!$J$3:$J$381&amp;'Emission factors'!$K$3:$K$381,0),MATCH(Medicalgases[[#Headers],[Total EF (kgCO2e/unit)]],'Emission factors'!$K$2:$V$2,0)))</f>
        <v/>
      </c>
      <c r="L8" s="156" t="str">
        <f>IF(OR(I8="",K8=""),"",SUM(Medicalgases[[#This Row],[Direct]:[Indirect WTT]]))</f>
        <v/>
      </c>
      <c r="M8" s="71"/>
      <c r="N8" s="72"/>
      <c r="O8" s="157" t="str" cm="1">
        <f t="array" ref="O8">IF(OR($B8="",$G8=""),"",(INDEX('Emission factors'!$K$3:$V$381,MATCH(Medicalgases[[#This Row],[Type]]&amp;$C8,'Emission factors'!$J$3:$J$381&amp;'Emission factors'!$K$3:$K$381,0),MATCH(Medicalgases[[#Headers],[Direct]],'Emission factors'!$K$2:$V$2,0)))*$I8)</f>
        <v/>
      </c>
      <c r="P8" s="157">
        <v>0</v>
      </c>
      <c r="Q8" s="157">
        <v>0</v>
      </c>
      <c r="R8" s="157">
        <v>0</v>
      </c>
      <c r="S8" s="157">
        <v>0</v>
      </c>
      <c r="T8" s="158" t="str">
        <f t="shared" ref="T8:T23" si="1">IF(OR($L8="",$F8=""),"",$L8*(1+$F8))</f>
        <v/>
      </c>
      <c r="U8" s="163" t="str">
        <f t="shared" si="0"/>
        <v/>
      </c>
      <c r="V8" s="157">
        <v>0</v>
      </c>
      <c r="X8" s="1" cm="1">
        <f t="array" ref="X8">IF(OR(ISERROR(B8:V8)),1,0)</f>
        <v>0</v>
      </c>
      <c r="Y8" s="1">
        <f t="shared" ref="Y8:Y23" si="2">IF(AND(C8="",G8="",H8=""),0,1)</f>
        <v>0</v>
      </c>
    </row>
    <row r="9" spans="2:25" ht="15" thickBot="1" x14ac:dyDescent="0.4">
      <c r="B9" s="324" t="s">
        <v>214</v>
      </c>
      <c r="C9" s="72"/>
      <c r="D9" s="42"/>
      <c r="E9" s="72"/>
      <c r="F9" s="77" t="str">
        <f>IF(E9="","",INDEX(Lists!$BA$4:$BC$39,MATCH($B9,Lists!$AZ$4:$AZ$39,0),MATCH(E9,Lists!$BA$3:$BC$3,0)))</f>
        <v/>
      </c>
      <c r="G9" s="177"/>
      <c r="H9" s="72"/>
      <c r="I9" s="75" t="str" cm="1">
        <f t="array" ref="I9">IF(OR($C9="",$B9="",$G9="",$H9=""),"",IF(H9=J9,G9,(INDEX('Emission factors'!$K$3:$V$381,MATCH(B9&amp;C9,'Emission factors'!$J$3:$J$381&amp;'Emission factors'!$K$3:$K$381,0),MATCH(Medicalgases[[#Headers],[Converted data]],'Emission factors'!$K$2:$V$2,0)))*G9))</f>
        <v/>
      </c>
      <c r="J9" s="312" t="str">
        <f>IF(B9="","",INDEX('Emission factors'!$J$3:$V$381,MATCH(Medicalgases[[#This Row],[Type]],'Emission factors'!$J$3:$J$381,0),MATCH(Medicalgases[[#Headers],[Standard units]],'Emission factors'!$J$2:$V$2,0)))</f>
        <v>Litres</v>
      </c>
      <c r="K9" s="225" t="str" cm="1">
        <f t="array" ref="K9">IF(OR(C9="",G9=""),"",INDEX('Emission factors'!$K$3:$V$381,MATCH(Medicalgases[[#This Row],[Type]]&amp;$C9,'Emission factors'!$J$3:$J$381&amp;'Emission factors'!$K$3:$K$381,0),MATCH(Medicalgases[[#Headers],[Total EF (kgCO2e/unit)]],'Emission factors'!$K$2:$V$2,0)))</f>
        <v/>
      </c>
      <c r="L9" s="156" t="str">
        <f>IF(OR(I9="",K9=""),"",SUM(Medicalgases[[#This Row],[Direct]:[Indirect WTT]]))</f>
        <v/>
      </c>
      <c r="M9" s="71"/>
      <c r="N9" s="72"/>
      <c r="O9" s="157" t="str" cm="1">
        <f t="array" ref="O9">IF(OR($B9="",$G9=""),"",(INDEX('Emission factors'!$K$3:$V$381,MATCH(Medicalgases[[#This Row],[Type]]&amp;$C9,'Emission factors'!$J$3:$J$381&amp;'Emission factors'!$K$3:$K$381,0),MATCH(Medicalgases[[#Headers],[Direct]],'Emission factors'!$K$2:$V$2,0)))*$I9)</f>
        <v/>
      </c>
      <c r="P9" s="157">
        <v>0</v>
      </c>
      <c r="Q9" s="157">
        <v>0</v>
      </c>
      <c r="R9" s="157">
        <v>0</v>
      </c>
      <c r="S9" s="157">
        <v>0</v>
      </c>
      <c r="T9" s="158" t="str">
        <f t="shared" si="1"/>
        <v/>
      </c>
      <c r="U9" s="163" t="str">
        <f t="shared" si="0"/>
        <v/>
      </c>
      <c r="V9" s="157">
        <v>0</v>
      </c>
      <c r="X9" s="1" cm="1">
        <f t="array" ref="X9">IF(OR(ISERROR(B9:V9)),1,0)</f>
        <v>0</v>
      </c>
      <c r="Y9" s="1">
        <f t="shared" si="2"/>
        <v>0</v>
      </c>
    </row>
    <row r="10" spans="2:25" ht="15" thickBot="1" x14ac:dyDescent="0.4">
      <c r="B10" s="324" t="s">
        <v>214</v>
      </c>
      <c r="C10" s="72"/>
      <c r="D10" s="42"/>
      <c r="E10" s="72"/>
      <c r="F10" s="77" t="str">
        <f>IF(E10="","",INDEX(Lists!$BA$4:$BC$39,MATCH($B10,Lists!$AZ$4:$AZ$39,0),MATCH(E10,Lists!$BA$3:$BC$3,0)))</f>
        <v/>
      </c>
      <c r="G10" s="177"/>
      <c r="H10" s="72"/>
      <c r="I10" s="75" t="str" cm="1">
        <f t="array" ref="I10">IF(OR($C10="",$B10="",$G10="",$H10=""),"",IF(H10=J10,G10,(INDEX('Emission factors'!$K$3:$V$381,MATCH(B10&amp;C10,'Emission factors'!$J$3:$J$381&amp;'Emission factors'!$K$3:$K$381,0),MATCH(Medicalgases[[#Headers],[Converted data]],'Emission factors'!$K$2:$V$2,0)))*G10))</f>
        <v/>
      </c>
      <c r="J10" s="312" t="str">
        <f>IF(B10="","",INDEX('Emission factors'!$J$3:$V$381,MATCH(Medicalgases[[#This Row],[Type]],'Emission factors'!$J$3:$J$381,0),MATCH(Medicalgases[[#Headers],[Standard units]],'Emission factors'!$J$2:$V$2,0)))</f>
        <v>Litres</v>
      </c>
      <c r="K10" s="225" t="str" cm="1">
        <f t="array" ref="K10">IF(OR(C10="",G10=""),"",INDEX('Emission factors'!$K$3:$V$381,MATCH(Medicalgases[[#This Row],[Type]]&amp;$C10,'Emission factors'!$J$3:$J$381&amp;'Emission factors'!$K$3:$K$381,0),MATCH(Medicalgases[[#Headers],[Total EF (kgCO2e/unit)]],'Emission factors'!$K$2:$V$2,0)))</f>
        <v/>
      </c>
      <c r="L10" s="156" t="str">
        <f>IF(OR(I10="",K10=""),"",SUM(Medicalgases[[#This Row],[Direct]:[Indirect WTT]]))</f>
        <v/>
      </c>
      <c r="M10" s="71"/>
      <c r="N10" s="72"/>
      <c r="O10" s="157" t="str" cm="1">
        <f t="array" ref="O10">IF(OR($B10="",$G10=""),"",(INDEX('Emission factors'!$K$3:$V$381,MATCH(Medicalgases[[#This Row],[Type]]&amp;$C10,'Emission factors'!$J$3:$J$381&amp;'Emission factors'!$K$3:$K$381,0),MATCH(Medicalgases[[#Headers],[Direct]],'Emission factors'!$K$2:$V$2,0)))*$I10)</f>
        <v/>
      </c>
      <c r="P10" s="157">
        <v>0</v>
      </c>
      <c r="Q10" s="157">
        <v>0</v>
      </c>
      <c r="R10" s="157">
        <v>0</v>
      </c>
      <c r="S10" s="157">
        <v>0</v>
      </c>
      <c r="T10" s="158" t="str">
        <f t="shared" si="1"/>
        <v/>
      </c>
      <c r="U10" s="163" t="str">
        <f t="shared" si="0"/>
        <v/>
      </c>
      <c r="V10" s="157">
        <v>0</v>
      </c>
      <c r="X10" s="1" cm="1">
        <f t="array" ref="X10">IF(OR(ISERROR(B10:V10)),1,0)</f>
        <v>0</v>
      </c>
      <c r="Y10" s="1">
        <f t="shared" si="2"/>
        <v>0</v>
      </c>
    </row>
    <row r="11" spans="2:25" ht="15" thickBot="1" x14ac:dyDescent="0.4">
      <c r="B11" s="324" t="s">
        <v>214</v>
      </c>
      <c r="C11" s="72"/>
      <c r="D11" s="42"/>
      <c r="E11" s="72"/>
      <c r="F11" s="77" t="str">
        <f>IF(E11="","",INDEX(Lists!$BA$4:$BC$39,MATCH($B11,Lists!$AZ$4:$AZ$39,0),MATCH(E11,Lists!$BA$3:$BC$3,0)))</f>
        <v/>
      </c>
      <c r="G11" s="177"/>
      <c r="H11" s="72"/>
      <c r="I11" s="75" t="str" cm="1">
        <f t="array" ref="I11">IF(OR($C11="",$B11="",$G11="",$H11=""),"",IF(H11=J11,G11,(INDEX('Emission factors'!$K$3:$V$381,MATCH(B11&amp;C11,'Emission factors'!$J$3:$J$381&amp;'Emission factors'!$K$3:$K$381,0),MATCH(Medicalgases[[#Headers],[Converted data]],'Emission factors'!$K$2:$V$2,0)))*G11))</f>
        <v/>
      </c>
      <c r="J11" s="312" t="str">
        <f>IF(B11="","",INDEX('Emission factors'!$J$3:$V$381,MATCH(Medicalgases[[#This Row],[Type]],'Emission factors'!$J$3:$J$381,0),MATCH(Medicalgases[[#Headers],[Standard units]],'Emission factors'!$J$2:$V$2,0)))</f>
        <v>Litres</v>
      </c>
      <c r="K11" s="225" t="str" cm="1">
        <f t="array" ref="K11">IF(OR(C11="",G11=""),"",INDEX('Emission factors'!$K$3:$V$381,MATCH(Medicalgases[[#This Row],[Type]]&amp;$C11,'Emission factors'!$J$3:$J$381&amp;'Emission factors'!$K$3:$K$381,0),MATCH(Medicalgases[[#Headers],[Total EF (kgCO2e/unit)]],'Emission factors'!$K$2:$V$2,0)))</f>
        <v/>
      </c>
      <c r="L11" s="156" t="str">
        <f>IF(OR(I11="",K11=""),"",SUM(Medicalgases[[#This Row],[Direct]:[Indirect WTT]]))</f>
        <v/>
      </c>
      <c r="M11" s="71"/>
      <c r="N11" s="72"/>
      <c r="O11" s="157" t="str" cm="1">
        <f t="array" ref="O11">IF(OR($B11="",$G11=""),"",(INDEX('Emission factors'!$K$3:$V$381,MATCH(Medicalgases[[#This Row],[Type]]&amp;$C11,'Emission factors'!$J$3:$J$381&amp;'Emission factors'!$K$3:$K$381,0),MATCH(Medicalgases[[#Headers],[Direct]],'Emission factors'!$K$2:$V$2,0)))*$I11)</f>
        <v/>
      </c>
      <c r="P11" s="157">
        <v>0</v>
      </c>
      <c r="Q11" s="157">
        <v>0</v>
      </c>
      <c r="R11" s="157">
        <v>0</v>
      </c>
      <c r="S11" s="157">
        <v>0</v>
      </c>
      <c r="T11" s="158" t="str">
        <f t="shared" si="1"/>
        <v/>
      </c>
      <c r="U11" s="163" t="str">
        <f t="shared" si="0"/>
        <v/>
      </c>
      <c r="V11" s="157">
        <v>0</v>
      </c>
      <c r="X11" s="1" cm="1">
        <f t="array" ref="X11">IF(OR(ISERROR(B11:V11)),1,0)</f>
        <v>0</v>
      </c>
      <c r="Y11" s="1">
        <f t="shared" si="2"/>
        <v>0</v>
      </c>
    </row>
    <row r="12" spans="2:25" ht="15" thickBot="1" x14ac:dyDescent="0.4">
      <c r="B12" s="324" t="s">
        <v>214</v>
      </c>
      <c r="C12" s="72"/>
      <c r="D12" s="42"/>
      <c r="E12" s="72"/>
      <c r="F12" s="77" t="str">
        <f>IF(E12="","",INDEX(Lists!$BA$4:$BC$39,MATCH($B12,Lists!$AZ$4:$AZ$39,0),MATCH(E12,Lists!$BA$3:$BC$3,0)))</f>
        <v/>
      </c>
      <c r="G12" s="177"/>
      <c r="H12" s="72"/>
      <c r="I12" s="75" t="str" cm="1">
        <f t="array" ref="I12">IF(OR($C12="",$B12="",$G12="",$H12=""),"",IF(H12=J12,G12,(INDEX('Emission factors'!$K$3:$V$381,MATCH(B12&amp;C12,'Emission factors'!$J$3:$J$381&amp;'Emission factors'!$K$3:$K$381,0),MATCH(Medicalgases[[#Headers],[Converted data]],'Emission factors'!$K$2:$V$2,0)))*G12))</f>
        <v/>
      </c>
      <c r="J12" s="312" t="str">
        <f>IF(B12="","",INDEX('Emission factors'!$J$3:$V$381,MATCH(Medicalgases[[#This Row],[Type]],'Emission factors'!$J$3:$J$381,0),MATCH(Medicalgases[[#Headers],[Standard units]],'Emission factors'!$J$2:$V$2,0)))</f>
        <v>Litres</v>
      </c>
      <c r="K12" s="225" t="str" cm="1">
        <f t="array" ref="K12">IF(OR(C12="",G12=""),"",INDEX('Emission factors'!$K$3:$V$381,MATCH(Medicalgases[[#This Row],[Type]]&amp;$C12,'Emission factors'!$J$3:$J$381&amp;'Emission factors'!$K$3:$K$381,0),MATCH(Medicalgases[[#Headers],[Total EF (kgCO2e/unit)]],'Emission factors'!$K$2:$V$2,0)))</f>
        <v/>
      </c>
      <c r="L12" s="156" t="str">
        <f>IF(OR(I12="",K12=""),"",SUM(Medicalgases[[#This Row],[Direct]:[Indirect WTT]]))</f>
        <v/>
      </c>
      <c r="M12" s="71"/>
      <c r="N12" s="72"/>
      <c r="O12" s="157" t="str" cm="1">
        <f t="array" ref="O12">IF(OR($B12="",$G12=""),"",(INDEX('Emission factors'!$K$3:$V$381,MATCH(Medicalgases[[#This Row],[Type]]&amp;$C12,'Emission factors'!$J$3:$J$381&amp;'Emission factors'!$K$3:$K$381,0),MATCH(Medicalgases[[#Headers],[Direct]],'Emission factors'!$K$2:$V$2,0)))*$I12)</f>
        <v/>
      </c>
      <c r="P12" s="157">
        <v>0</v>
      </c>
      <c r="Q12" s="157">
        <v>0</v>
      </c>
      <c r="R12" s="157">
        <v>0</v>
      </c>
      <c r="S12" s="157">
        <v>0</v>
      </c>
      <c r="T12" s="158" t="str">
        <f t="shared" si="1"/>
        <v/>
      </c>
      <c r="U12" s="163" t="str">
        <f t="shared" si="0"/>
        <v/>
      </c>
      <c r="V12" s="157">
        <v>0</v>
      </c>
      <c r="X12" s="1" cm="1">
        <f t="array" ref="X12">IF(OR(ISERROR(B12:V12)),1,0)</f>
        <v>0</v>
      </c>
      <c r="Y12" s="1">
        <f t="shared" si="2"/>
        <v>0</v>
      </c>
    </row>
    <row r="13" spans="2:25" ht="15" thickBot="1" x14ac:dyDescent="0.4">
      <c r="B13" s="324" t="s">
        <v>214</v>
      </c>
      <c r="C13" s="72"/>
      <c r="D13" s="42"/>
      <c r="E13" s="72"/>
      <c r="F13" s="77" t="str">
        <f>IF(E13="","",INDEX(Lists!$BA$4:$BC$39,MATCH($B13,Lists!$AZ$4:$AZ$39,0),MATCH(E13,Lists!$BA$3:$BC$3,0)))</f>
        <v/>
      </c>
      <c r="G13" s="177"/>
      <c r="H13" s="72"/>
      <c r="I13" s="75" t="str" cm="1">
        <f t="array" ref="I13">IF(OR($C13="",$B13="",$G13="",$H13=""),"",IF(H13=J13,G13,(INDEX('Emission factors'!$K$3:$V$381,MATCH(B13&amp;C13,'Emission factors'!$J$3:$J$381&amp;'Emission factors'!$K$3:$K$381,0),MATCH(Medicalgases[[#Headers],[Converted data]],'Emission factors'!$K$2:$V$2,0)))*G13))</f>
        <v/>
      </c>
      <c r="J13" s="312" t="str">
        <f>IF(B13="","",INDEX('Emission factors'!$J$3:$V$381,MATCH(Medicalgases[[#This Row],[Type]],'Emission factors'!$J$3:$J$381,0),MATCH(Medicalgases[[#Headers],[Standard units]],'Emission factors'!$J$2:$V$2,0)))</f>
        <v>Litres</v>
      </c>
      <c r="K13" s="225" t="str" cm="1">
        <f t="array" ref="K13">IF(OR(C13="",G13=""),"",INDEX('Emission factors'!$K$3:$V$381,MATCH(Medicalgases[[#This Row],[Type]]&amp;$C13,'Emission factors'!$J$3:$J$381&amp;'Emission factors'!$K$3:$K$381,0),MATCH(Medicalgases[[#Headers],[Total EF (kgCO2e/unit)]],'Emission factors'!$K$2:$V$2,0)))</f>
        <v/>
      </c>
      <c r="L13" s="156" t="str">
        <f>IF(OR(I13="",K13=""),"",SUM(Medicalgases[[#This Row],[Direct]:[Indirect WTT]]))</f>
        <v/>
      </c>
      <c r="M13" s="71"/>
      <c r="N13" s="72"/>
      <c r="O13" s="157" t="str" cm="1">
        <f t="array" ref="O13">IF(OR($B13="",$G13=""),"",(INDEX('Emission factors'!$K$3:$V$381,MATCH(Medicalgases[[#This Row],[Type]]&amp;$C13,'Emission factors'!$J$3:$J$381&amp;'Emission factors'!$K$3:$K$381,0),MATCH(Medicalgases[[#Headers],[Direct]],'Emission factors'!$K$2:$V$2,0)))*$I13)</f>
        <v/>
      </c>
      <c r="P13" s="157">
        <v>0</v>
      </c>
      <c r="Q13" s="157">
        <v>0</v>
      </c>
      <c r="R13" s="157">
        <v>0</v>
      </c>
      <c r="S13" s="157">
        <v>0</v>
      </c>
      <c r="T13" s="158" t="str">
        <f t="shared" si="1"/>
        <v/>
      </c>
      <c r="U13" s="163" t="str">
        <f t="shared" si="0"/>
        <v/>
      </c>
      <c r="V13" s="157">
        <v>0</v>
      </c>
      <c r="X13" s="1" cm="1">
        <f t="array" ref="X13">IF(OR(ISERROR(B13:V13)),1,0)</f>
        <v>0</v>
      </c>
      <c r="Y13" s="1">
        <f t="shared" si="2"/>
        <v>0</v>
      </c>
    </row>
    <row r="14" spans="2:25" ht="15" thickBot="1" x14ac:dyDescent="0.4">
      <c r="B14" s="324" t="s">
        <v>214</v>
      </c>
      <c r="C14" s="72"/>
      <c r="D14" s="42"/>
      <c r="E14" s="72"/>
      <c r="F14" s="77" t="str">
        <f>IF(E14="","",INDEX(Lists!$BA$4:$BC$39,MATCH($B14,Lists!$AZ$4:$AZ$39,0),MATCH(E14,Lists!$BA$3:$BC$3,0)))</f>
        <v/>
      </c>
      <c r="G14" s="177"/>
      <c r="H14" s="72"/>
      <c r="I14" s="75" t="str" cm="1">
        <f t="array" ref="I14">IF(OR($C14="",$B14="",$G14="",$H14=""),"",IF(H14=J14,G14,(INDEX('Emission factors'!$K$3:$V$381,MATCH(B14&amp;C14,'Emission factors'!$J$3:$J$381&amp;'Emission factors'!$K$3:$K$381,0),MATCH(Medicalgases[[#Headers],[Converted data]],'Emission factors'!$K$2:$V$2,0)))*G14))</f>
        <v/>
      </c>
      <c r="J14" s="312" t="str">
        <f>IF(B14="","",INDEX('Emission factors'!$J$3:$V$381,MATCH(Medicalgases[[#This Row],[Type]],'Emission factors'!$J$3:$J$381,0),MATCH(Medicalgases[[#Headers],[Standard units]],'Emission factors'!$J$2:$V$2,0)))</f>
        <v>Litres</v>
      </c>
      <c r="K14" s="225" t="str" cm="1">
        <f t="array" ref="K14">IF(OR(C14="",G14=""),"",INDEX('Emission factors'!$K$3:$V$381,MATCH(Medicalgases[[#This Row],[Type]]&amp;$C14,'Emission factors'!$J$3:$J$381&amp;'Emission factors'!$K$3:$K$381,0),MATCH(Medicalgases[[#Headers],[Total EF (kgCO2e/unit)]],'Emission factors'!$K$2:$V$2,0)))</f>
        <v/>
      </c>
      <c r="L14" s="156" t="str">
        <f>IF(OR(I14="",K14=""),"",SUM(Medicalgases[[#This Row],[Direct]:[Indirect WTT]]))</f>
        <v/>
      </c>
      <c r="M14" s="71"/>
      <c r="N14" s="72"/>
      <c r="O14" s="157" t="str" cm="1">
        <f t="array" ref="O14">IF(OR($B14="",$G14=""),"",(INDEX('Emission factors'!$K$3:$V$381,MATCH(Medicalgases[[#This Row],[Type]]&amp;$C14,'Emission factors'!$J$3:$J$381&amp;'Emission factors'!$K$3:$K$381,0),MATCH(Medicalgases[[#Headers],[Direct]],'Emission factors'!$K$2:$V$2,0)))*$I14)</f>
        <v/>
      </c>
      <c r="P14" s="157">
        <v>0</v>
      </c>
      <c r="Q14" s="157">
        <v>0</v>
      </c>
      <c r="R14" s="157">
        <v>0</v>
      </c>
      <c r="S14" s="157">
        <v>0</v>
      </c>
      <c r="T14" s="158" t="str">
        <f t="shared" si="1"/>
        <v/>
      </c>
      <c r="U14" s="163" t="str">
        <f t="shared" si="0"/>
        <v/>
      </c>
      <c r="V14" s="157">
        <v>0</v>
      </c>
      <c r="X14" s="1" cm="1">
        <f t="array" ref="X14">IF(OR(ISERROR(B14:V14)),1,0)</f>
        <v>0</v>
      </c>
      <c r="Y14" s="1">
        <f t="shared" si="2"/>
        <v>0</v>
      </c>
    </row>
    <row r="15" spans="2:25" ht="15" thickBot="1" x14ac:dyDescent="0.4">
      <c r="B15" s="324" t="s">
        <v>214</v>
      </c>
      <c r="C15" s="72"/>
      <c r="D15" s="42"/>
      <c r="E15" s="72"/>
      <c r="F15" s="77" t="str">
        <f>IF(E15="","",INDEX(Lists!$BA$4:$BC$39,MATCH($B15,Lists!$AZ$4:$AZ$39,0),MATCH(E15,Lists!$BA$3:$BC$3,0)))</f>
        <v/>
      </c>
      <c r="G15" s="177"/>
      <c r="H15" s="72"/>
      <c r="I15" s="75" t="str" cm="1">
        <f t="array" ref="I15">IF(OR($C15="",$B15="",$G15="",$H15=""),"",IF(H15=J15,G15,(INDEX('Emission factors'!$K$3:$V$381,MATCH(B15&amp;C15,'Emission factors'!$J$3:$J$381&amp;'Emission factors'!$K$3:$K$381,0),MATCH(Medicalgases[[#Headers],[Converted data]],'Emission factors'!$K$2:$V$2,0)))*G15))</f>
        <v/>
      </c>
      <c r="J15" s="312" t="str">
        <f>IF(B15="","",INDEX('Emission factors'!$J$3:$V$381,MATCH(Medicalgases[[#This Row],[Type]],'Emission factors'!$J$3:$J$381,0),MATCH(Medicalgases[[#Headers],[Standard units]],'Emission factors'!$J$2:$V$2,0)))</f>
        <v>Litres</v>
      </c>
      <c r="K15" s="225" t="str" cm="1">
        <f t="array" ref="K15">IF(OR(C15="",G15=""),"",INDEX('Emission factors'!$K$3:$V$381,MATCH(Medicalgases[[#This Row],[Type]]&amp;$C15,'Emission factors'!$J$3:$J$381&amp;'Emission factors'!$K$3:$K$381,0),MATCH(Medicalgases[[#Headers],[Total EF (kgCO2e/unit)]],'Emission factors'!$K$2:$V$2,0)))</f>
        <v/>
      </c>
      <c r="L15" s="156" t="str">
        <f>IF(OR(I15="",K15=""),"",SUM(Medicalgases[[#This Row],[Direct]:[Indirect WTT]]))</f>
        <v/>
      </c>
      <c r="M15" s="71"/>
      <c r="N15" s="72"/>
      <c r="O15" s="157" t="str" cm="1">
        <f t="array" ref="O15">IF(OR($B15="",$G15=""),"",(INDEX('Emission factors'!$K$3:$V$381,MATCH(Medicalgases[[#This Row],[Type]]&amp;$C15,'Emission factors'!$J$3:$J$381&amp;'Emission factors'!$K$3:$K$381,0),MATCH(Medicalgases[[#Headers],[Direct]],'Emission factors'!$K$2:$V$2,0)))*$I15)</f>
        <v/>
      </c>
      <c r="P15" s="157">
        <v>0</v>
      </c>
      <c r="Q15" s="157">
        <v>0</v>
      </c>
      <c r="R15" s="157">
        <v>0</v>
      </c>
      <c r="S15" s="157">
        <v>0</v>
      </c>
      <c r="T15" s="158" t="str">
        <f t="shared" si="1"/>
        <v/>
      </c>
      <c r="U15" s="163" t="str">
        <f t="shared" si="0"/>
        <v/>
      </c>
      <c r="V15" s="157">
        <v>0</v>
      </c>
      <c r="X15" s="1" cm="1">
        <f t="array" ref="X15">IF(OR(ISERROR(B15:V15)),1,0)</f>
        <v>0</v>
      </c>
      <c r="Y15" s="1">
        <f t="shared" si="2"/>
        <v>0</v>
      </c>
    </row>
    <row r="16" spans="2:25" ht="15" thickBot="1" x14ac:dyDescent="0.4">
      <c r="B16" s="324" t="s">
        <v>214</v>
      </c>
      <c r="C16" s="72"/>
      <c r="D16" s="42"/>
      <c r="E16" s="72"/>
      <c r="F16" s="77" t="str">
        <f>IF(E16="","",INDEX(Lists!$BA$4:$BC$39,MATCH($B16,Lists!$AZ$4:$AZ$39,0),MATCH(E16,Lists!$BA$3:$BC$3,0)))</f>
        <v/>
      </c>
      <c r="G16" s="177"/>
      <c r="H16" s="72"/>
      <c r="I16" s="75" t="str" cm="1">
        <f t="array" ref="I16">IF(OR($C16="",$B16="",$G16="",$H16=""),"",IF(H16=J16,G16,(INDEX('Emission factors'!$K$3:$V$381,MATCH(B16&amp;C16,'Emission factors'!$J$3:$J$381&amp;'Emission factors'!$K$3:$K$381,0),MATCH(Medicalgases[[#Headers],[Converted data]],'Emission factors'!$K$2:$V$2,0)))*G16))</f>
        <v/>
      </c>
      <c r="J16" s="312" t="str">
        <f>IF(B16="","",INDEX('Emission factors'!$J$3:$V$381,MATCH(Medicalgases[[#This Row],[Type]],'Emission factors'!$J$3:$J$381,0),MATCH(Medicalgases[[#Headers],[Standard units]],'Emission factors'!$J$2:$V$2,0)))</f>
        <v>Litres</v>
      </c>
      <c r="K16" s="225" t="str" cm="1">
        <f t="array" ref="K16">IF(OR(C16="",G16=""),"",INDEX('Emission factors'!$K$3:$V$381,MATCH(Medicalgases[[#This Row],[Type]]&amp;$C16,'Emission factors'!$J$3:$J$381&amp;'Emission factors'!$K$3:$K$381,0),MATCH(Medicalgases[[#Headers],[Total EF (kgCO2e/unit)]],'Emission factors'!$K$2:$V$2,0)))</f>
        <v/>
      </c>
      <c r="L16" s="156" t="str">
        <f>IF(OR(I16="",K16=""),"",SUM(Medicalgases[[#This Row],[Direct]:[Indirect WTT]]))</f>
        <v/>
      </c>
      <c r="M16" s="71"/>
      <c r="N16" s="72"/>
      <c r="O16" s="157" t="str" cm="1">
        <f t="array" ref="O16">IF(OR($B16="",$G16=""),"",(INDEX('Emission factors'!$K$3:$V$381,MATCH(Medicalgases[[#This Row],[Type]]&amp;$C16,'Emission factors'!$J$3:$J$381&amp;'Emission factors'!$K$3:$K$381,0),MATCH(Medicalgases[[#Headers],[Direct]],'Emission factors'!$K$2:$V$2,0)))*$I16)</f>
        <v/>
      </c>
      <c r="P16" s="157">
        <v>0</v>
      </c>
      <c r="Q16" s="157">
        <v>0</v>
      </c>
      <c r="R16" s="157">
        <v>0</v>
      </c>
      <c r="S16" s="157">
        <v>0</v>
      </c>
      <c r="T16" s="158" t="str">
        <f t="shared" si="1"/>
        <v/>
      </c>
      <c r="U16" s="163" t="str">
        <f t="shared" si="0"/>
        <v/>
      </c>
      <c r="V16" s="157">
        <v>0</v>
      </c>
      <c r="X16" s="1" cm="1">
        <f t="array" ref="X16">IF(OR(ISERROR(B16:V16)),1,0)</f>
        <v>0</v>
      </c>
      <c r="Y16" s="1">
        <f t="shared" si="2"/>
        <v>0</v>
      </c>
    </row>
    <row r="17" spans="2:25" ht="15" thickBot="1" x14ac:dyDescent="0.4">
      <c r="B17" s="324" t="s">
        <v>214</v>
      </c>
      <c r="C17" s="72"/>
      <c r="D17" s="42"/>
      <c r="E17" s="72"/>
      <c r="F17" s="77" t="str">
        <f>IF(E17="","",INDEX(Lists!$BA$4:$BC$39,MATCH($B17,Lists!$AZ$4:$AZ$39,0),MATCH(E17,Lists!$BA$3:$BC$3,0)))</f>
        <v/>
      </c>
      <c r="G17" s="177"/>
      <c r="H17" s="72"/>
      <c r="I17" s="75" t="str" cm="1">
        <f t="array" ref="I17">IF(OR($C17="",$B17="",$G17="",$H17=""),"",IF(H17=J17,G17,(INDEX('Emission factors'!$K$3:$V$381,MATCH(B17&amp;C17,'Emission factors'!$J$3:$J$381&amp;'Emission factors'!$K$3:$K$381,0),MATCH(Medicalgases[[#Headers],[Converted data]],'Emission factors'!$K$2:$V$2,0)))*G17))</f>
        <v/>
      </c>
      <c r="J17" s="312" t="str">
        <f>IF(B17="","",INDEX('Emission factors'!$J$3:$V$381,MATCH(Medicalgases[[#This Row],[Type]],'Emission factors'!$J$3:$J$381,0),MATCH(Medicalgases[[#Headers],[Standard units]],'Emission factors'!$J$2:$V$2,0)))</f>
        <v>Litres</v>
      </c>
      <c r="K17" s="225" t="str" cm="1">
        <f t="array" ref="K17">IF(OR(C17="",G17=""),"",INDEX('Emission factors'!$K$3:$V$381,MATCH(Medicalgases[[#This Row],[Type]]&amp;$C17,'Emission factors'!$J$3:$J$381&amp;'Emission factors'!$K$3:$K$381,0),MATCH(Medicalgases[[#Headers],[Total EF (kgCO2e/unit)]],'Emission factors'!$K$2:$V$2,0)))</f>
        <v/>
      </c>
      <c r="L17" s="156" t="str">
        <f>IF(OR(I17="",K17=""),"",SUM(Medicalgases[[#This Row],[Direct]:[Indirect WTT]]))</f>
        <v/>
      </c>
      <c r="M17" s="71"/>
      <c r="N17" s="72"/>
      <c r="O17" s="157" t="str" cm="1">
        <f t="array" ref="O17">IF(OR($B17="",$G17=""),"",(INDEX('Emission factors'!$K$3:$V$381,MATCH(Medicalgases[[#This Row],[Type]]&amp;$C17,'Emission factors'!$J$3:$J$381&amp;'Emission factors'!$K$3:$K$381,0),MATCH(Medicalgases[[#Headers],[Direct]],'Emission factors'!$K$2:$V$2,0)))*$I17)</f>
        <v/>
      </c>
      <c r="P17" s="157">
        <v>0</v>
      </c>
      <c r="Q17" s="157">
        <v>0</v>
      </c>
      <c r="R17" s="157">
        <v>0</v>
      </c>
      <c r="S17" s="157">
        <v>0</v>
      </c>
      <c r="T17" s="158" t="str">
        <f t="shared" si="1"/>
        <v/>
      </c>
      <c r="U17" s="163" t="str">
        <f t="shared" si="0"/>
        <v/>
      </c>
      <c r="V17" s="157">
        <v>0</v>
      </c>
      <c r="X17" s="1" cm="1">
        <f t="array" ref="X17">IF(OR(ISERROR(B17:V17)),1,0)</f>
        <v>0</v>
      </c>
      <c r="Y17" s="1">
        <f t="shared" si="2"/>
        <v>0</v>
      </c>
    </row>
    <row r="18" spans="2:25" ht="15" thickBot="1" x14ac:dyDescent="0.4">
      <c r="B18" s="324" t="s">
        <v>214</v>
      </c>
      <c r="C18" s="72"/>
      <c r="D18" s="42"/>
      <c r="E18" s="72"/>
      <c r="F18" s="77" t="str">
        <f>IF(E18="","",INDEX(Lists!$BA$4:$BC$39,MATCH($B18,Lists!$AZ$4:$AZ$39,0),MATCH(E18,Lists!$BA$3:$BC$3,0)))</f>
        <v/>
      </c>
      <c r="G18" s="177"/>
      <c r="H18" s="72"/>
      <c r="I18" s="75" t="str" cm="1">
        <f t="array" ref="I18">IF(OR($C18="",$B18="",$G18="",$H18=""),"",IF(H18=J18,G18,(INDEX('Emission factors'!$K$3:$V$381,MATCH(B18&amp;C18,'Emission factors'!$J$3:$J$381&amp;'Emission factors'!$K$3:$K$381,0),MATCH(Medicalgases[[#Headers],[Converted data]],'Emission factors'!$K$2:$V$2,0)))*G18))</f>
        <v/>
      </c>
      <c r="J18" s="312" t="str">
        <f>IF(B18="","",INDEX('Emission factors'!$J$3:$V$381,MATCH(Medicalgases[[#This Row],[Type]],'Emission factors'!$J$3:$J$381,0),MATCH(Medicalgases[[#Headers],[Standard units]],'Emission factors'!$J$2:$V$2,0)))</f>
        <v>Litres</v>
      </c>
      <c r="K18" s="225" t="str" cm="1">
        <f t="array" ref="K18">IF(OR(C18="",G18=""),"",INDEX('Emission factors'!$K$3:$V$381,MATCH(Medicalgases[[#This Row],[Type]]&amp;$C18,'Emission factors'!$J$3:$J$381&amp;'Emission factors'!$K$3:$K$381,0),MATCH(Medicalgases[[#Headers],[Total EF (kgCO2e/unit)]],'Emission factors'!$K$2:$V$2,0)))</f>
        <v/>
      </c>
      <c r="L18" s="156" t="str">
        <f>IF(OR(I18="",K18=""),"",SUM(Medicalgases[[#This Row],[Direct]:[Indirect WTT]]))</f>
        <v/>
      </c>
      <c r="M18" s="71"/>
      <c r="N18" s="72"/>
      <c r="O18" s="157" t="str" cm="1">
        <f t="array" ref="O18">IF(OR($B18="",$G18=""),"",(INDEX('Emission factors'!$K$3:$V$381,MATCH(Medicalgases[[#This Row],[Type]]&amp;$C18,'Emission factors'!$J$3:$J$381&amp;'Emission factors'!$K$3:$K$381,0),MATCH(Medicalgases[[#Headers],[Direct]],'Emission factors'!$K$2:$V$2,0)))*$I18)</f>
        <v/>
      </c>
      <c r="P18" s="157">
        <v>0</v>
      </c>
      <c r="Q18" s="157">
        <v>0</v>
      </c>
      <c r="R18" s="157">
        <v>0</v>
      </c>
      <c r="S18" s="157">
        <v>0</v>
      </c>
      <c r="T18" s="158" t="str">
        <f t="shared" si="1"/>
        <v/>
      </c>
      <c r="U18" s="163" t="str">
        <f t="shared" si="0"/>
        <v/>
      </c>
      <c r="V18" s="157">
        <v>0</v>
      </c>
      <c r="X18" s="1" cm="1">
        <f t="array" ref="X18">IF(OR(ISERROR(B18:V18)),1,0)</f>
        <v>0</v>
      </c>
      <c r="Y18" s="1">
        <f t="shared" si="2"/>
        <v>0</v>
      </c>
    </row>
    <row r="19" spans="2:25" ht="15" thickBot="1" x14ac:dyDescent="0.4">
      <c r="B19" s="324" t="s">
        <v>214</v>
      </c>
      <c r="C19" s="72"/>
      <c r="D19" s="42"/>
      <c r="E19" s="72"/>
      <c r="F19" s="77" t="str">
        <f>IF(E19="","",INDEX(Lists!$BA$4:$BC$39,MATCH($B19,Lists!$AZ$4:$AZ$39,0),MATCH(E19,Lists!$BA$3:$BC$3,0)))</f>
        <v/>
      </c>
      <c r="G19" s="177"/>
      <c r="H19" s="72"/>
      <c r="I19" s="75" t="str" cm="1">
        <f t="array" ref="I19">IF(OR($C19="",$B19="",$G19="",$H19=""),"",IF(H19=J19,G19,(INDEX('Emission factors'!$K$3:$V$381,MATCH(B19&amp;C19,'Emission factors'!$J$3:$J$381&amp;'Emission factors'!$K$3:$K$381,0),MATCH(Medicalgases[[#Headers],[Converted data]],'Emission factors'!$K$2:$V$2,0)))*G19))</f>
        <v/>
      </c>
      <c r="J19" s="312" t="str">
        <f>IF(B19="","",INDEX('Emission factors'!$J$3:$V$381,MATCH(Medicalgases[[#This Row],[Type]],'Emission factors'!$J$3:$J$381,0),MATCH(Medicalgases[[#Headers],[Standard units]],'Emission factors'!$J$2:$V$2,0)))</f>
        <v>Litres</v>
      </c>
      <c r="K19" s="225" t="str" cm="1">
        <f t="array" ref="K19">IF(OR(C19="",G19=""),"",INDEX('Emission factors'!$K$3:$V$381,MATCH(Medicalgases[[#This Row],[Type]]&amp;$C19,'Emission factors'!$J$3:$J$381&amp;'Emission factors'!$K$3:$K$381,0),MATCH(Medicalgases[[#Headers],[Total EF (kgCO2e/unit)]],'Emission factors'!$K$2:$V$2,0)))</f>
        <v/>
      </c>
      <c r="L19" s="156" t="str">
        <f>IF(OR(I19="",K19=""),"",SUM(Medicalgases[[#This Row],[Direct]:[Indirect WTT]]))</f>
        <v/>
      </c>
      <c r="M19" s="71"/>
      <c r="N19" s="72"/>
      <c r="O19" s="157" t="str" cm="1">
        <f t="array" ref="O19">IF(OR($B19="",$G19=""),"",(INDEX('Emission factors'!$K$3:$V$381,MATCH(Medicalgases[[#This Row],[Type]]&amp;$C19,'Emission factors'!$J$3:$J$381&amp;'Emission factors'!$K$3:$K$381,0),MATCH(Medicalgases[[#Headers],[Direct]],'Emission factors'!$K$2:$V$2,0)))*$I19)</f>
        <v/>
      </c>
      <c r="P19" s="157">
        <v>0</v>
      </c>
      <c r="Q19" s="157">
        <v>0</v>
      </c>
      <c r="R19" s="157">
        <v>0</v>
      </c>
      <c r="S19" s="157">
        <v>0</v>
      </c>
      <c r="T19" s="158" t="str">
        <f t="shared" si="1"/>
        <v/>
      </c>
      <c r="U19" s="163" t="str">
        <f t="shared" si="0"/>
        <v/>
      </c>
      <c r="V19" s="157">
        <v>0</v>
      </c>
      <c r="X19" s="1" cm="1">
        <f t="array" ref="X19">IF(OR(ISERROR(B19:V19)),1,0)</f>
        <v>0</v>
      </c>
      <c r="Y19" s="1">
        <f t="shared" si="2"/>
        <v>0</v>
      </c>
    </row>
    <row r="20" spans="2:25" ht="15" thickBot="1" x14ac:dyDescent="0.4">
      <c r="B20" s="324" t="s">
        <v>214</v>
      </c>
      <c r="C20" s="72"/>
      <c r="D20" s="42"/>
      <c r="E20" s="72"/>
      <c r="F20" s="77" t="str">
        <f>IF(E20="","",INDEX(Lists!$BA$4:$BC$39,MATCH($B20,Lists!$AZ$4:$AZ$39,0),MATCH(E20,Lists!$BA$3:$BC$3,0)))</f>
        <v/>
      </c>
      <c r="G20" s="177"/>
      <c r="H20" s="72"/>
      <c r="I20" s="75" t="str" cm="1">
        <f t="array" ref="I20">IF(OR($C20="",$B20="",$G20="",$H20=""),"",IF(H20=J20,G20,(INDEX('Emission factors'!$K$3:$V$381,MATCH(B20&amp;C20,'Emission factors'!$J$3:$J$381&amp;'Emission factors'!$K$3:$K$381,0),MATCH(Medicalgases[[#Headers],[Converted data]],'Emission factors'!$K$2:$V$2,0)))*G20))</f>
        <v/>
      </c>
      <c r="J20" s="312" t="str">
        <f>IF(B20="","",INDEX('Emission factors'!$J$3:$V$381,MATCH(Medicalgases[[#This Row],[Type]],'Emission factors'!$J$3:$J$381,0),MATCH(Medicalgases[[#Headers],[Standard units]],'Emission factors'!$J$2:$V$2,0)))</f>
        <v>Litres</v>
      </c>
      <c r="K20" s="225" t="str" cm="1">
        <f t="array" ref="K20">IF(OR(C20="",G20=""),"",INDEX('Emission factors'!$K$3:$V$381,MATCH(Medicalgases[[#This Row],[Type]]&amp;$C20,'Emission factors'!$J$3:$J$381&amp;'Emission factors'!$K$3:$K$381,0),MATCH(Medicalgases[[#Headers],[Total EF (kgCO2e/unit)]],'Emission factors'!$K$2:$V$2,0)))</f>
        <v/>
      </c>
      <c r="L20" s="156" t="str">
        <f>IF(OR(I20="",K20=""),"",SUM(Medicalgases[[#This Row],[Direct]:[Indirect WTT]]))</f>
        <v/>
      </c>
      <c r="M20" s="71"/>
      <c r="N20" s="72"/>
      <c r="O20" s="157" t="str" cm="1">
        <f t="array" ref="O20">IF(OR($B20="",$G20=""),"",(INDEX('Emission factors'!$K$3:$V$381,MATCH(Medicalgases[[#This Row],[Type]]&amp;$C20,'Emission factors'!$J$3:$J$381&amp;'Emission factors'!$K$3:$K$381,0),MATCH(Medicalgases[[#Headers],[Direct]],'Emission factors'!$K$2:$V$2,0)))*$I20)</f>
        <v/>
      </c>
      <c r="P20" s="157">
        <v>0</v>
      </c>
      <c r="Q20" s="157">
        <v>0</v>
      </c>
      <c r="R20" s="157">
        <v>0</v>
      </c>
      <c r="S20" s="157">
        <v>0</v>
      </c>
      <c r="T20" s="158" t="str">
        <f t="shared" si="1"/>
        <v/>
      </c>
      <c r="U20" s="163" t="str">
        <f t="shared" si="0"/>
        <v/>
      </c>
      <c r="V20" s="157">
        <v>0</v>
      </c>
      <c r="X20" s="1" cm="1">
        <f t="array" ref="X20">IF(OR(ISERROR(B20:V20)),1,0)</f>
        <v>0</v>
      </c>
      <c r="Y20" s="1">
        <f t="shared" si="2"/>
        <v>0</v>
      </c>
    </row>
    <row r="21" spans="2:25" ht="15" thickBot="1" x14ac:dyDescent="0.4">
      <c r="B21" s="324" t="s">
        <v>214</v>
      </c>
      <c r="C21" s="72"/>
      <c r="D21" s="42"/>
      <c r="E21" s="72"/>
      <c r="F21" s="77" t="str">
        <f>IF(E21="","",INDEX(Lists!$BA$4:$BC$39,MATCH($B21,Lists!$AZ$4:$AZ$39,0),MATCH(E21,Lists!$BA$3:$BC$3,0)))</f>
        <v/>
      </c>
      <c r="G21" s="177"/>
      <c r="H21" s="72"/>
      <c r="I21" s="75" t="str" cm="1">
        <f t="array" ref="I21">IF(OR($C21="",$B21="",$G21="",$H21=""),"",IF(H21=J21,G21,(INDEX('Emission factors'!$K$3:$V$381,MATCH(B21&amp;C21,'Emission factors'!$J$3:$J$381&amp;'Emission factors'!$K$3:$K$381,0),MATCH(Medicalgases[[#Headers],[Converted data]],'Emission factors'!$K$2:$V$2,0)))*G21))</f>
        <v/>
      </c>
      <c r="J21" s="312" t="str">
        <f>IF(B21="","",INDEX('Emission factors'!$J$3:$V$381,MATCH(Medicalgases[[#This Row],[Type]],'Emission factors'!$J$3:$J$381,0),MATCH(Medicalgases[[#Headers],[Standard units]],'Emission factors'!$J$2:$V$2,0)))</f>
        <v>Litres</v>
      </c>
      <c r="K21" s="225" t="str" cm="1">
        <f t="array" ref="K21">IF(OR(C21="",G21=""),"",INDEX('Emission factors'!$K$3:$V$381,MATCH(Medicalgases[[#This Row],[Type]]&amp;$C21,'Emission factors'!$J$3:$J$381&amp;'Emission factors'!$K$3:$K$381,0),MATCH(Medicalgases[[#Headers],[Total EF (kgCO2e/unit)]],'Emission factors'!$K$2:$V$2,0)))</f>
        <v/>
      </c>
      <c r="L21" s="156" t="str">
        <f>IF(OR(I21="",K21=""),"",SUM(Medicalgases[[#This Row],[Direct]:[Indirect WTT]]))</f>
        <v/>
      </c>
      <c r="M21" s="71"/>
      <c r="N21" s="72"/>
      <c r="O21" s="157" t="str" cm="1">
        <f t="array" ref="O21">IF(OR($B21="",$G21=""),"",(INDEX('Emission factors'!$K$3:$V$381,MATCH(Medicalgases[[#This Row],[Type]]&amp;$C21,'Emission factors'!$J$3:$J$381&amp;'Emission factors'!$K$3:$K$381,0),MATCH(Medicalgases[[#Headers],[Direct]],'Emission factors'!$K$2:$V$2,0)))*$I21)</f>
        <v/>
      </c>
      <c r="P21" s="157">
        <v>0</v>
      </c>
      <c r="Q21" s="157">
        <v>0</v>
      </c>
      <c r="R21" s="157">
        <v>0</v>
      </c>
      <c r="S21" s="157">
        <v>0</v>
      </c>
      <c r="T21" s="158" t="str">
        <f t="shared" si="1"/>
        <v/>
      </c>
      <c r="U21" s="163" t="str">
        <f t="shared" si="0"/>
        <v/>
      </c>
      <c r="V21" s="157">
        <v>0</v>
      </c>
      <c r="X21" s="1" cm="1">
        <f t="array" ref="X21">IF(OR(ISERROR(B21:V21)),1,0)</f>
        <v>0</v>
      </c>
      <c r="Y21" s="1">
        <f t="shared" si="2"/>
        <v>0</v>
      </c>
    </row>
    <row r="22" spans="2:25" ht="15" thickBot="1" x14ac:dyDescent="0.4">
      <c r="B22" s="324" t="s">
        <v>214</v>
      </c>
      <c r="C22" s="72"/>
      <c r="D22" s="42"/>
      <c r="E22" s="72"/>
      <c r="F22" s="77" t="str">
        <f>IF(E22="","",INDEX(Lists!$BA$4:$BC$39,MATCH($B22,Lists!$AZ$4:$AZ$39,0),MATCH(E22,Lists!$BA$3:$BC$3,0)))</f>
        <v/>
      </c>
      <c r="G22" s="177"/>
      <c r="H22" s="72"/>
      <c r="I22" s="75" t="str" cm="1">
        <f t="array" ref="I22">IF(OR($C22="",$B22="",$G22="",$H22=""),"",IF(H22=J22,G22,(INDEX('Emission factors'!$K$3:$V$381,MATCH(B22&amp;C22,'Emission factors'!$J$3:$J$381&amp;'Emission factors'!$K$3:$K$381,0),MATCH(Medicalgases[[#Headers],[Converted data]],'Emission factors'!$K$2:$V$2,0)))*G22))</f>
        <v/>
      </c>
      <c r="J22" s="312" t="str">
        <f>IF(B22="","",INDEX('Emission factors'!$J$3:$V$381,MATCH(Medicalgases[[#This Row],[Type]],'Emission factors'!$J$3:$J$381,0),MATCH(Medicalgases[[#Headers],[Standard units]],'Emission factors'!$J$2:$V$2,0)))</f>
        <v>Litres</v>
      </c>
      <c r="K22" s="225" t="str" cm="1">
        <f t="array" ref="K22">IF(OR(C22="",G22=""),"",INDEX('Emission factors'!$K$3:$V$381,MATCH(Medicalgases[[#This Row],[Type]]&amp;$C22,'Emission factors'!$J$3:$J$381&amp;'Emission factors'!$K$3:$K$381,0),MATCH(Medicalgases[[#Headers],[Total EF (kgCO2e/unit)]],'Emission factors'!$K$2:$V$2,0)))</f>
        <v/>
      </c>
      <c r="L22" s="156" t="str">
        <f>IF(OR(I22="",K22=""),"",SUM(Medicalgases[[#This Row],[Direct]:[Indirect WTT]]))</f>
        <v/>
      </c>
      <c r="M22" s="71"/>
      <c r="N22" s="72"/>
      <c r="O22" s="157" t="str" cm="1">
        <f t="array" ref="O22">IF(OR($B22="",$G22=""),"",(INDEX('Emission factors'!$K$3:$V$381,MATCH(Medicalgases[[#This Row],[Type]]&amp;$C22,'Emission factors'!$J$3:$J$381&amp;'Emission factors'!$K$3:$K$381,0),MATCH(Medicalgases[[#Headers],[Direct]],'Emission factors'!$K$2:$V$2,0)))*$I22)</f>
        <v/>
      </c>
      <c r="P22" s="157">
        <v>0</v>
      </c>
      <c r="Q22" s="157">
        <v>0</v>
      </c>
      <c r="R22" s="157">
        <v>0</v>
      </c>
      <c r="S22" s="157">
        <v>0</v>
      </c>
      <c r="T22" s="158" t="str">
        <f t="shared" si="1"/>
        <v/>
      </c>
      <c r="U22" s="163" t="str">
        <f t="shared" si="0"/>
        <v/>
      </c>
      <c r="V22" s="157">
        <v>0</v>
      </c>
      <c r="X22" s="1" cm="1">
        <f t="array" ref="X22">IF(OR(ISERROR(B22:V22)),1,0)</f>
        <v>0</v>
      </c>
      <c r="Y22" s="1">
        <f t="shared" si="2"/>
        <v>0</v>
      </c>
    </row>
    <row r="23" spans="2:25" ht="15" thickBot="1" x14ac:dyDescent="0.4">
      <c r="B23" s="324" t="s">
        <v>214</v>
      </c>
      <c r="C23" s="72"/>
      <c r="D23" s="42"/>
      <c r="E23" s="72"/>
      <c r="F23" s="77" t="str">
        <f>IF(E23="","",INDEX(Lists!$BA$4:$BC$39,MATCH($B23,Lists!$AZ$4:$AZ$39,0),MATCH(E23,Lists!$BA$3:$BC$3,0)))</f>
        <v/>
      </c>
      <c r="G23" s="177"/>
      <c r="H23" s="72"/>
      <c r="I23" s="75" t="str" cm="1">
        <f t="array" ref="I23">IF(OR($C23="",$B23="",$G23="",$H23=""),"",IF(H23=J23,G23,(INDEX('Emission factors'!$K$3:$V$381,MATCH(B23&amp;C23,'Emission factors'!$J$3:$J$381&amp;'Emission factors'!$K$3:$K$381,0),MATCH(Medicalgases[[#Headers],[Converted data]],'Emission factors'!$K$2:$V$2,0)))*G23))</f>
        <v/>
      </c>
      <c r="J23" s="312" t="str">
        <f>IF(B23="","",INDEX('Emission factors'!$J$3:$V$381,MATCH(Medicalgases[[#This Row],[Type]],'Emission factors'!$J$3:$J$381,0),MATCH(Medicalgases[[#Headers],[Standard units]],'Emission factors'!$J$2:$V$2,0)))</f>
        <v>Litres</v>
      </c>
      <c r="K23" s="225" t="str" cm="1">
        <f t="array" ref="K23">IF(OR(C23="",G23=""),"",INDEX('Emission factors'!$K$3:$V$381,MATCH(Medicalgases[[#This Row],[Type]]&amp;$C23,'Emission factors'!$J$3:$J$381&amp;'Emission factors'!$K$3:$K$381,0),MATCH(Medicalgases[[#Headers],[Total EF (kgCO2e/unit)]],'Emission factors'!$K$2:$V$2,0)))</f>
        <v/>
      </c>
      <c r="L23" s="156" t="str">
        <f>IF(OR(I23="",K23=""),"",SUM(Medicalgases[[#This Row],[Direct]:[Indirect WTT]]))</f>
        <v/>
      </c>
      <c r="M23" s="71"/>
      <c r="N23" s="72"/>
      <c r="O23" s="157" t="str" cm="1">
        <f t="array" ref="O23">IF(OR($B23="",$G23=""),"",(INDEX('Emission factors'!$K$3:$V$381,MATCH(Medicalgases[[#This Row],[Type]]&amp;$C23,'Emission factors'!$J$3:$J$381&amp;'Emission factors'!$K$3:$K$381,0),MATCH(Medicalgases[[#Headers],[Direct]],'Emission factors'!$K$2:$V$2,0)))*$I23)</f>
        <v/>
      </c>
      <c r="P23" s="157">
        <v>0</v>
      </c>
      <c r="Q23" s="157">
        <v>0</v>
      </c>
      <c r="R23" s="157">
        <v>0</v>
      </c>
      <c r="S23" s="157">
        <v>0</v>
      </c>
      <c r="T23" s="158" t="str">
        <f t="shared" si="1"/>
        <v/>
      </c>
      <c r="U23" s="163" t="str">
        <f t="shared" si="0"/>
        <v/>
      </c>
      <c r="V23" s="157">
        <v>0</v>
      </c>
      <c r="X23" s="1" cm="1">
        <f t="array" ref="X23">IF(OR(ISERROR(B23:V23)),1,0)</f>
        <v>0</v>
      </c>
      <c r="Y23" s="1">
        <f t="shared" si="2"/>
        <v>0</v>
      </c>
    </row>
    <row r="24" spans="2:25" x14ac:dyDescent="0.35">
      <c r="B24" s="19"/>
      <c r="C24" s="19"/>
      <c r="D24" s="19"/>
      <c r="E24" s="19"/>
      <c r="F24" s="19"/>
      <c r="G24" s="19"/>
      <c r="H24" s="19"/>
      <c r="I24" s="19"/>
      <c r="J24" s="19"/>
      <c r="K24" s="19"/>
      <c r="L24" s="19"/>
      <c r="M24" s="19"/>
      <c r="N24" s="19"/>
      <c r="O24" s="19"/>
      <c r="P24" s="19"/>
      <c r="Q24" s="19"/>
      <c r="R24" s="19"/>
      <c r="S24" s="19"/>
      <c r="T24" s="19"/>
      <c r="U24" s="19"/>
      <c r="V24" s="19"/>
    </row>
  </sheetData>
  <sheetProtection algorithmName="SHA-512" hashValue="+f3jPdJ5HmJXDDjYC5qfd3CUe1JTIc2hQfnumtB0vGPqRCQShxJ24AiPBZI9d7SAOl1w7R4N5Y3duFMByfL3MQ==" saltValue="otX0Wb1lj9tUmJUPFz1h5g==" spinCount="100000" sheet="1" objects="1" scenarios="1"/>
  <mergeCells count="7">
    <mergeCell ref="B4:M4"/>
    <mergeCell ref="O1:P1"/>
    <mergeCell ref="Q1:R1"/>
    <mergeCell ref="B2:M2"/>
    <mergeCell ref="O2:P2"/>
    <mergeCell ref="Q2:R2"/>
    <mergeCell ref="B3:M3"/>
  </mergeCells>
  <conditionalFormatting sqref="B4">
    <cfRule type="expression" dxfId="55" priority="4">
      <formula>ISERROR($L4)</formula>
    </cfRule>
  </conditionalFormatting>
  <conditionalFormatting sqref="B7:V23">
    <cfRule type="expression" dxfId="54" priority="1">
      <formula>IF($X7=1,1,0)</formula>
    </cfRule>
  </conditionalFormatting>
  <conditionalFormatting sqref="H5">
    <cfRule type="containsText" dxfId="53" priority="2" operator="containsText" text="There are errors">
      <formula>NOT(ISERROR(SEARCH("There are errors",H5)))</formula>
    </cfRule>
    <cfRule type="containsText" dxfId="52" priority="3" operator="containsText" text="No errors in this table">
      <formula>NOT(ISERROR(SEARCH("No errors in this table",H5)))</formula>
    </cfRule>
  </conditionalFormatting>
  <conditionalFormatting sqref="I6:I1048576 I1:I3">
    <cfRule type="cellIs" dxfId="51" priority="11" operator="equal">
      <formula>"There is an error in this table, see highlighted row(s)"</formula>
    </cfRule>
    <cfRule type="cellIs" dxfId="50" priority="12" operator="equal">
      <formula>"No errors in this table"</formula>
    </cfRule>
  </conditionalFormatting>
  <dataValidations count="5">
    <dataValidation type="list" allowBlank="1" showInputMessage="1" showErrorMessage="1" sqref="N7:N23" xr:uid="{8C2CAFC2-D936-4B60-ABCC-AE22586887AE}">
      <formula1>Ease</formula1>
    </dataValidation>
    <dataValidation type="list" allowBlank="1" showInputMessage="1" showErrorMessage="1" sqref="C7:C23" xr:uid="{692244E8-2EE3-4A5C-83B0-ACE2CE69854D}">
      <formula1>INDIRECT(SUBSTITUTE($B7," ",""))</formula1>
    </dataValidation>
    <dataValidation type="decimal" operator="greaterThan" allowBlank="1" showInputMessage="1" showErrorMessage="1" errorTitle="Numeric data" error="Please enter a number greater than zero" sqref="G7:G23" xr:uid="{9680C349-23E8-43B5-91CD-A3ECFD7D8223}">
      <formula1>0</formula1>
    </dataValidation>
    <dataValidation type="list" allowBlank="1" showInputMessage="1" showErrorMessage="1" sqref="H7:H23" xr:uid="{1BA88F92-1D30-4B06-82C2-7CD242A18328}">
      <formula1>INDIRECT(CONCATENATE(SUBSTITUTE($B7," ","")&amp;$H$6))</formula1>
    </dataValidation>
    <dataValidation type="list" allowBlank="1" showInputMessage="1" showErrorMessage="1" sqref="E7:E23" xr:uid="{6DF052FC-42E2-4461-8F50-4CCED5ED5129}">
      <formula1>Methodologytier3</formula1>
    </dataValidation>
  </dataValidations>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4ABF8-9B7F-4DEF-8F8D-EF50B4EC5092}">
  <sheetPr>
    <tabColor rgb="FF27CCF9"/>
  </sheetPr>
  <dimension ref="A1:AA54"/>
  <sheetViews>
    <sheetView topLeftCell="E1" zoomScale="83" workbookViewId="0">
      <selection activeCell="Z1" sqref="Z1:AA1048576"/>
    </sheetView>
  </sheetViews>
  <sheetFormatPr defaultColWidth="8.54296875" defaultRowHeight="14.5" x14ac:dyDescent="0.35"/>
  <cols>
    <col min="1" max="1" width="1.6328125" style="316" customWidth="1"/>
    <col min="2" max="2" width="27.6328125" style="1" customWidth="1"/>
    <col min="3" max="3" width="29.453125" style="1" customWidth="1"/>
    <col min="4" max="4" width="20.36328125" style="1" customWidth="1"/>
    <col min="5" max="5" width="14.453125" style="1" customWidth="1"/>
    <col min="6" max="6" width="13.6328125" style="1" customWidth="1"/>
    <col min="7" max="7" width="14.6328125" style="1" customWidth="1"/>
    <col min="8" max="8" width="11.453125" style="1" customWidth="1"/>
    <col min="9" max="9" width="19.54296875" style="1" customWidth="1"/>
    <col min="10" max="10" width="19" style="1" customWidth="1"/>
    <col min="11" max="11" width="19.453125" style="1" customWidth="1"/>
    <col min="12" max="12" width="18.6328125" style="1" customWidth="1"/>
    <col min="13" max="13" width="20.54296875" style="1" customWidth="1"/>
    <col min="14" max="14" width="22.453125" style="1" customWidth="1"/>
    <col min="15" max="15" width="12.36328125" style="1" customWidth="1"/>
    <col min="16" max="16" width="13.36328125" style="1" customWidth="1"/>
    <col min="17" max="17" width="12.36328125" style="1" customWidth="1"/>
    <col min="18" max="18" width="10.6328125" style="1" customWidth="1"/>
    <col min="19" max="19" width="11.54296875" style="1" customWidth="1"/>
    <col min="20" max="20" width="10.54296875" style="1" customWidth="1"/>
    <col min="21" max="21" width="11.36328125" style="1" customWidth="1"/>
    <col min="22" max="22" width="10.6328125" style="1" customWidth="1"/>
    <col min="23" max="23" width="10.453125" style="1" bestFit="1" customWidth="1"/>
    <col min="24" max="25" width="8.54296875" style="1" customWidth="1"/>
    <col min="26" max="27" width="0" style="1" hidden="1" customWidth="1"/>
    <col min="28" max="28" width="14.453125" style="1" bestFit="1" customWidth="1"/>
    <col min="29" max="16384" width="8.54296875" style="1"/>
  </cols>
  <sheetData>
    <row r="1" spans="1:27" ht="15" thickBot="1" x14ac:dyDescent="0.4">
      <c r="D1" s="11"/>
      <c r="N1" s="304" t="s">
        <v>155</v>
      </c>
      <c r="O1" s="554" t="s">
        <v>9</v>
      </c>
      <c r="P1" s="555"/>
      <c r="Q1" s="556" t="s">
        <v>13</v>
      </c>
      <c r="R1" s="557"/>
      <c r="S1" s="30"/>
    </row>
    <row r="2" spans="1:27" ht="19" thickBot="1" x14ac:dyDescent="0.4">
      <c r="B2" s="562" t="s">
        <v>215</v>
      </c>
      <c r="C2" s="563"/>
      <c r="D2" s="563"/>
      <c r="E2" s="563"/>
      <c r="F2" s="563"/>
      <c r="G2" s="563"/>
      <c r="H2" s="563"/>
      <c r="I2" s="563"/>
      <c r="J2" s="563"/>
      <c r="K2" s="563"/>
      <c r="L2" s="563"/>
      <c r="M2" s="564"/>
      <c r="N2" s="18"/>
      <c r="O2" s="558" t="s">
        <v>11</v>
      </c>
      <c r="P2" s="559"/>
      <c r="Q2" s="560" t="s">
        <v>15</v>
      </c>
      <c r="R2" s="561"/>
      <c r="S2" s="30"/>
    </row>
    <row r="3" spans="1:27" ht="50.75" customHeight="1" thickBot="1" x14ac:dyDescent="0.4">
      <c r="B3" s="565" t="s">
        <v>216</v>
      </c>
      <c r="C3" s="566"/>
      <c r="D3" s="566"/>
      <c r="E3" s="566"/>
      <c r="F3" s="566"/>
      <c r="G3" s="566"/>
      <c r="H3" s="566"/>
      <c r="I3" s="566"/>
      <c r="J3" s="566"/>
      <c r="K3" s="566"/>
      <c r="L3" s="566"/>
      <c r="M3" s="567"/>
      <c r="O3" s="19"/>
      <c r="P3" s="19"/>
      <c r="Q3" s="19"/>
      <c r="R3" s="19"/>
    </row>
    <row r="4" spans="1:27" ht="131" customHeight="1" x14ac:dyDescent="0.35">
      <c r="B4" s="565" t="s">
        <v>217</v>
      </c>
      <c r="C4" s="566"/>
      <c r="D4" s="566"/>
      <c r="E4" s="566"/>
      <c r="F4" s="566"/>
      <c r="G4" s="566"/>
      <c r="H4" s="566"/>
      <c r="I4" s="566"/>
      <c r="J4" s="566"/>
      <c r="K4" s="566"/>
      <c r="L4" s="566"/>
      <c r="M4" s="566"/>
      <c r="O4" s="11"/>
    </row>
    <row r="5" spans="1:27" x14ac:dyDescent="0.35">
      <c r="A5" s="26"/>
      <c r="B5" s="28"/>
      <c r="C5" s="28"/>
      <c r="D5" s="28"/>
      <c r="E5" s="19"/>
      <c r="F5" s="19"/>
      <c r="G5" s="19"/>
      <c r="H5" s="19"/>
      <c r="I5" s="19"/>
      <c r="J5" s="19"/>
      <c r="K5" s="19"/>
      <c r="L5" s="19"/>
      <c r="M5" s="19"/>
      <c r="N5" s="19"/>
      <c r="O5" s="19"/>
      <c r="P5" s="19"/>
      <c r="Q5" s="19"/>
      <c r="R5" s="19"/>
      <c r="S5" s="19"/>
      <c r="T5" s="19"/>
      <c r="U5" s="19"/>
      <c r="V5" s="19"/>
      <c r="W5" s="32"/>
      <c r="X5" s="32"/>
      <c r="Y5" s="32"/>
      <c r="Z5" s="32"/>
    </row>
    <row r="6" spans="1:27" ht="19" thickBot="1" x14ac:dyDescent="0.5">
      <c r="B6" s="99" t="s">
        <v>218</v>
      </c>
      <c r="I6" s="317" t="str">
        <f>IF($AA$7=0,"No data entered",IF($Z$7=0,"No errors in this table","There are errors in this table see highlighted row(s)"))</f>
        <v>No data entered</v>
      </c>
      <c r="O6" s="318" t="s">
        <v>174</v>
      </c>
      <c r="T6" s="26"/>
      <c r="W6" s="32"/>
      <c r="Z6" s="9" t="s">
        <v>175</v>
      </c>
      <c r="AA6" s="9" t="s">
        <v>161</v>
      </c>
    </row>
    <row r="7" spans="1:27" ht="33" customHeight="1" thickBot="1" x14ac:dyDescent="0.4">
      <c r="B7" s="264" t="s">
        <v>202</v>
      </c>
      <c r="C7" s="263" t="s">
        <v>219</v>
      </c>
      <c r="D7" s="263" t="s">
        <v>179</v>
      </c>
      <c r="E7" s="263" t="s">
        <v>220</v>
      </c>
      <c r="F7" s="263" t="s">
        <v>180</v>
      </c>
      <c r="G7" s="263" t="s">
        <v>181</v>
      </c>
      <c r="H7" s="273" t="s">
        <v>19</v>
      </c>
      <c r="I7" s="263" t="s">
        <v>182</v>
      </c>
      <c r="J7" s="263" t="s">
        <v>183</v>
      </c>
      <c r="K7" s="263" t="s">
        <v>184</v>
      </c>
      <c r="L7" s="263" t="s">
        <v>185</v>
      </c>
      <c r="M7" s="263" t="s">
        <v>186</v>
      </c>
      <c r="N7" s="263" t="s">
        <v>187</v>
      </c>
      <c r="O7" s="263" t="s">
        <v>188</v>
      </c>
      <c r="P7" s="263" t="s">
        <v>189</v>
      </c>
      <c r="Q7" s="8" t="s">
        <v>92</v>
      </c>
      <c r="R7" s="8" t="s">
        <v>190</v>
      </c>
      <c r="S7" s="8" t="s">
        <v>191</v>
      </c>
      <c r="T7" s="8" t="s">
        <v>192</v>
      </c>
      <c r="U7" s="8" t="s">
        <v>193</v>
      </c>
      <c r="V7" s="8" t="s">
        <v>100</v>
      </c>
      <c r="W7" s="327" t="s">
        <v>101</v>
      </c>
      <c r="X7" s="325" t="s">
        <v>96</v>
      </c>
      <c r="Z7" s="9">
        <f>SUM(Z8:Z27)</f>
        <v>0</v>
      </c>
      <c r="AA7" s="9">
        <f>SUM(AA8:AA27)</f>
        <v>0</v>
      </c>
    </row>
    <row r="8" spans="1:27" ht="15" thickBot="1" x14ac:dyDescent="0.4">
      <c r="B8" s="76"/>
      <c r="C8" s="72"/>
      <c r="D8" s="72"/>
      <c r="E8" s="72"/>
      <c r="F8" s="72"/>
      <c r="G8" s="77" t="str">
        <f>IF(F8="","",INDEX(Lists!$BA$4:$BC$31,MATCH(C8,Lists!$AZ$4:$AZ$31,0),MATCH(F8,Lists!$BA$3:$BC$3,0)))</f>
        <v/>
      </c>
      <c r="H8" s="42"/>
      <c r="I8" s="70"/>
      <c r="J8" s="72"/>
      <c r="K8" s="75" t="str" cm="1">
        <f t="array" ref="K8">IF(OR($C8="",$B8="",$I8="",$J8=""),"",IF(J8=L8,I8,(INDEX('Emission factors'!$K$3:$V$201,MATCH(C8&amp;D8,'Emission factors'!$J$3:$J$201&amp;'Emission factors'!$K$3:$K$201,0),MATCH(K$7,'Emission factors'!$K$2:$V$2,0)))*I8))</f>
        <v/>
      </c>
      <c r="L8" s="312" t="str">
        <f>IF(OR($C8="",$B8="",$I8="",$J8=""),"",INDEX('Emission factors'!$K$3:$V$201,MATCH('Fleet &amp; stationary assets'!$C8,'Emission factors'!$J$3:$J$201,0),MATCH($L$7,'Emission factors'!$K$2:$V$2,0)))</f>
        <v/>
      </c>
      <c r="M8" s="313" t="str" cm="1">
        <f t="array" ref="M8">IF(OR(C8="",I8="",FleetTableFuel[[#This Row],[Units]]=""),"",INDEX('Emission factors'!$K$3:$V$201,MATCH(FleetTableFuel[[#This Row],[Fuel]]&amp;D8,'Emission factors'!$J$3:$J$201&amp;'Emission factors'!$K$3:$K$201,0),MATCH(FleetTableFuel[[#Headers],[Total EF (kgCO2e/unit)]],'Emission factors'!$K$2:$V$2,0)))</f>
        <v/>
      </c>
      <c r="N8" s="156" t="str">
        <f>IF(OR(K8="",M8=""),"",SUM(FleetTableFuel[[#This Row],[Direct]:[Indirect WTT]]))</f>
        <v/>
      </c>
      <c r="O8" s="71"/>
      <c r="P8" s="72"/>
      <c r="Q8" s="157" t="str" cm="1">
        <f t="array" ref="Q8">IF(OR($C8="",$I8=""),"",(INDEX('Emission factors'!$K$3:$V$201,MATCH('Fleet &amp; stationary assets'!$C8&amp;$D8,'Emission factors'!$J$3:$J$201&amp;'Emission factors'!$K$3:$K$201,0),MATCH(FleetTableFuel[[#Headers],[Direct]],'Emission factors'!$K$2:$V$2,0)))*$K8)</f>
        <v/>
      </c>
      <c r="R8" s="157" t="str" cm="1">
        <f t="array" ref="R8">IF(OR($C8="",$I8=""),"",(INDEX('Emission factors'!$K$3:$V$201,MATCH('Fleet &amp; stationary assets'!$C8&amp;$D8,'Emission factors'!$J$3:$J$201&amp;'Emission factors'!$K$3:$K$201,0),MATCH(FleetTableFuel[[#Headers],[Indirect generation]],'Emission factors'!$K$2:$V$2,0)))*$K8)</f>
        <v/>
      </c>
      <c r="S8" s="157" t="str" cm="1">
        <f t="array" ref="S8">IF(OR($C8="",$I8=""),"",(INDEX('Emission factors'!$K$3:$V$201,MATCH('Fleet &amp; stationary assets'!$C8&amp;$D8,'Emission factors'!$J$3:$J$201&amp;'Emission factors'!$K$3:$K$201,0),MATCH(FleetTableFuel[[#Headers],[Indirect service]],'Emission factors'!$K$2:$V$2,0)))*$K8)</f>
        <v/>
      </c>
      <c r="T8" s="157" t="str" cm="1">
        <f t="array" ref="T8">IF(OR($C8="",$I8=""),"",(INDEX('Emission factors'!$K$3:$V$201,MATCH('Fleet &amp; stationary assets'!$C8&amp;$D8,'Emission factors'!$J$3:$J$201&amp;'Emission factors'!$K$3:$K$201,0),MATCH(FleetTableFuel[[#Headers],[Indirect T&amp;D]],'Emission factors'!$K$2:$V$2,0)))*$K8)</f>
        <v/>
      </c>
      <c r="U8" s="157" t="str" cm="1">
        <f t="array" ref="U8">IF(OR($C8="",$I8=""),"",(INDEX('Emission factors'!$K$3:$V$201,MATCH('Fleet &amp; stationary assets'!$C8&amp;$D8,'Emission factors'!$J$3:$J$201&amp;'Emission factors'!$K$3:$K$201,0),MATCH(FleetTableFuel[[#Headers],[Indirect WTT]],'Emission factors'!$K$2:$V$2,0)))*$K8)</f>
        <v/>
      </c>
      <c r="V8" s="158" t="str">
        <f>IF(OR($N8="",FleetTableFuel[[#This Row],[RSD]]=""),"",FleetTableFuel[[#This Row],[Total emissions (kgCO2e)]]*(1+FleetTableFuel[[#This Row],[RSD]]))</f>
        <v/>
      </c>
      <c r="W8" s="163" t="str">
        <f>IF(OR($N8="",FleetTableFuel[[#This Row],[RSD]]=""),"",FleetTableFuel[[#This Row],[Total emissions (kgCO2e)]]*(1-FleetTableFuel[[#This Row],[RSD]]))</f>
        <v/>
      </c>
      <c r="X8" s="162" t="str" cm="1">
        <f t="array" ref="X8">IF(OR($C8="",$I8=""),"",(INDEX('Emission factors'!$K$3:$V$201,MATCH('Fleet &amp; stationary assets'!$C8&amp;$D8,'Emission factors'!$J$3:$J$201&amp;'Emission factors'!$K$3:$K$201,0),MATCH(FleetTableFuel[[#Headers],[Outside of scopes]],'Emission factors'!$K$2:$V$2,0)))*$K8)</f>
        <v/>
      </c>
      <c r="Z8" s="1" cm="1">
        <f t="array" ref="Z8">IF(OR(ISERROR(B8:X8)),1,0)</f>
        <v>0</v>
      </c>
      <c r="AA8" s="1">
        <f t="shared" ref="AA8:AA27" si="0">IF(AND(C8="",I8="",J8=""),0,1)</f>
        <v>0</v>
      </c>
    </row>
    <row r="9" spans="1:27" ht="15" thickBot="1" x14ac:dyDescent="0.4">
      <c r="B9" s="76"/>
      <c r="C9" s="72"/>
      <c r="D9" s="72"/>
      <c r="E9" s="72"/>
      <c r="F9" s="72"/>
      <c r="G9" s="77" t="str">
        <f>IF(F9="","",INDEX(Lists!$BA$4:$BC$31,MATCH(C9,Lists!$AZ$4:$AZ$31,0),MATCH(F9,Lists!$BA$3:$BC$3,0)))</f>
        <v/>
      </c>
      <c r="H9" s="42"/>
      <c r="I9" s="70"/>
      <c r="J9" s="72"/>
      <c r="K9" s="75" t="str" cm="1">
        <f t="array" ref="K9">IF(OR($C9="",$B9="",$I9="",$J9=""),"",IF(J9=L9,I9,(INDEX('Emission factors'!$K$3:$V$201,MATCH(C9&amp;D9,'Emission factors'!$J$3:$J$201&amp;'Emission factors'!$K$3:$K$201,0),MATCH(K$7,'Emission factors'!$K$2:$V$2,0)))*I9))</f>
        <v/>
      </c>
      <c r="L9" s="312" t="str">
        <f>IF(OR($C9="",$B9="",$I9="",$J9=""),"",INDEX('Emission factors'!$K$3:$V$201,MATCH('Fleet &amp; stationary assets'!$C9,'Emission factors'!$J$3:$J$201,0),MATCH($L$7,'Emission factors'!$K$2:$V$2,0)))</f>
        <v/>
      </c>
      <c r="M9" s="313" t="str" cm="1">
        <f t="array" ref="M9">IF(OR(C9="",I9="",FleetTableFuel[[#This Row],[Units]]=""),"",INDEX('Emission factors'!$K$3:$V$201,MATCH(FleetTableFuel[[#This Row],[Fuel]]&amp;D9,'Emission factors'!$J$3:$J$201&amp;'Emission factors'!$K$3:$K$201,0),MATCH(FleetTableFuel[[#Headers],[Total EF (kgCO2e/unit)]],'Emission factors'!$K$2:$V$2,0)))</f>
        <v/>
      </c>
      <c r="N9" s="156" t="str">
        <f>IF(OR(K9="",M9=""),"",SUM(FleetTableFuel[[#This Row],[Direct]:[Indirect WTT]]))</f>
        <v/>
      </c>
      <c r="O9" s="71"/>
      <c r="P9" s="72"/>
      <c r="Q9" s="157" t="str" cm="1">
        <f t="array" ref="Q9">IF(OR($C9="",$I9=""),"",(INDEX('Emission factors'!$K$3:$V$201,MATCH('Fleet &amp; stationary assets'!$C9&amp;$D9,'Emission factors'!$J$3:$J$201&amp;'Emission factors'!$K$3:$K$201,0),MATCH(FleetTableFuel[[#Headers],[Direct]],'Emission factors'!$K$2:$V$2,0)))*$K9)</f>
        <v/>
      </c>
      <c r="R9" s="157" t="str" cm="1">
        <f t="array" ref="R9">IF(OR($C9="",$I9=""),"",(INDEX('Emission factors'!$K$3:$V$201,MATCH('Fleet &amp; stationary assets'!$C9&amp;$D9,'Emission factors'!$J$3:$J$201&amp;'Emission factors'!$K$3:$K$201,0),MATCH(FleetTableFuel[[#Headers],[Indirect generation]],'Emission factors'!$K$2:$V$2,0)))*$K9)</f>
        <v/>
      </c>
      <c r="S9" s="157" t="str" cm="1">
        <f t="array" ref="S9">IF(OR($C9="",$I9=""),"",(INDEX('Emission factors'!$K$3:$V$201,MATCH('Fleet &amp; stationary assets'!$C9&amp;$D9,'Emission factors'!$J$3:$J$201&amp;'Emission factors'!$K$3:$K$201,0),MATCH(FleetTableFuel[[#Headers],[Indirect service]],'Emission factors'!$K$2:$V$2,0)))*$K9)</f>
        <v/>
      </c>
      <c r="T9" s="157" t="str" cm="1">
        <f t="array" ref="T9">IF(OR($C9="",$I9=""),"",(INDEX('Emission factors'!$K$3:$V$201,MATCH('Fleet &amp; stationary assets'!$C9&amp;$D9,'Emission factors'!$J$3:$J$201&amp;'Emission factors'!$K$3:$K$201,0),MATCH(FleetTableFuel[[#Headers],[Indirect T&amp;D]],'Emission factors'!$K$2:$V$2,0)))*$K9)</f>
        <v/>
      </c>
      <c r="U9" s="157" t="str" cm="1">
        <f t="array" ref="U9">IF(OR($C9="",$I9=""),"",(INDEX('Emission factors'!$K$3:$V$201,MATCH('Fleet &amp; stationary assets'!$C9&amp;$D9,'Emission factors'!$J$3:$J$201&amp;'Emission factors'!$K$3:$K$201,0),MATCH(FleetTableFuel[[#Headers],[Indirect WTT]],'Emission factors'!$K$2:$V$2,0)))*$K9)</f>
        <v/>
      </c>
      <c r="V9" s="158" t="str">
        <f>IF(OR($N9="",FleetTableFuel[[#This Row],[RSD]]=""),"",FleetTableFuel[[#This Row],[Total emissions (kgCO2e)]]*(1+FleetTableFuel[[#This Row],[RSD]]))</f>
        <v/>
      </c>
      <c r="W9" s="163" t="str">
        <f>IF(OR($N9="",FleetTableFuel[[#This Row],[RSD]]=""),"",FleetTableFuel[[#This Row],[Total emissions (kgCO2e)]]*(1-FleetTableFuel[[#This Row],[RSD]]))</f>
        <v/>
      </c>
      <c r="X9" s="202" t="str" cm="1">
        <f t="array" ref="X9">IF(OR($C9="",$I9=""),"",(INDEX('Emission factors'!$K$3:$V$201,MATCH('Fleet &amp; stationary assets'!$C9&amp;$D9,'Emission factors'!$J$3:$J$201&amp;'Emission factors'!$K$3:$K$201,0),MATCH(FleetTableFuel[[#Headers],[Outside of scopes]],'Emission factors'!$K$2:$V$2,0)))*$K9)</f>
        <v/>
      </c>
      <c r="Z9" s="1" cm="1">
        <f t="array" ref="Z9">IF(OR(ISERROR(B9:X9)),1,0)</f>
        <v>0</v>
      </c>
      <c r="AA9" s="1">
        <f t="shared" si="0"/>
        <v>0</v>
      </c>
    </row>
    <row r="10" spans="1:27" ht="15" thickBot="1" x14ac:dyDescent="0.4">
      <c r="B10" s="76"/>
      <c r="C10" s="72"/>
      <c r="D10" s="72"/>
      <c r="E10" s="72"/>
      <c r="F10" s="72"/>
      <c r="G10" s="77" t="str">
        <f>IF(F10="","",INDEX(Lists!$BA$4:$BC$31,MATCH(C10,Lists!$AZ$4:$AZ$31,0),MATCH(F10,Lists!$BA$3:$BC$3,0)))</f>
        <v/>
      </c>
      <c r="H10" s="42"/>
      <c r="I10" s="70"/>
      <c r="J10" s="72"/>
      <c r="K10" s="75" t="str" cm="1">
        <f t="array" ref="K10">IF(OR($C10="",$B10="",$I10="",$J10=""),"",IF(J10=L10,I10,(INDEX('Emission factors'!$K$3:$V$201,MATCH(C10&amp;D10,'Emission factors'!$J$3:$J$201&amp;'Emission factors'!$K$3:$K$201,0),MATCH(K$7,'Emission factors'!$K$2:$V$2,0)))*I10))</f>
        <v/>
      </c>
      <c r="L10" s="312" t="str">
        <f>IF(OR($C10="",$B10="",$I10="",$J10=""),"",INDEX('Emission factors'!$K$3:$V$201,MATCH('Fleet &amp; stationary assets'!$C10,'Emission factors'!$J$3:$J$201,0),MATCH($L$7,'Emission factors'!$K$2:$V$2,0)))</f>
        <v/>
      </c>
      <c r="M10" s="313" t="str" cm="1">
        <f t="array" ref="M10">IF(OR(C10="",I10="",FleetTableFuel[[#This Row],[Units]]=""),"",INDEX('Emission factors'!$K$3:$V$201,MATCH(FleetTableFuel[[#This Row],[Fuel]]&amp;D10,'Emission factors'!$J$3:$J$201&amp;'Emission factors'!$K$3:$K$201,0),MATCH(FleetTableFuel[[#Headers],[Total EF (kgCO2e/unit)]],'Emission factors'!$K$2:$V$2,0)))</f>
        <v/>
      </c>
      <c r="N10" s="156" t="str">
        <f>IF(OR(K10="",M10=""),"",SUM(FleetTableFuel[[#This Row],[Direct]:[Indirect WTT]]))</f>
        <v/>
      </c>
      <c r="O10" s="71"/>
      <c r="P10" s="72"/>
      <c r="Q10" s="157" t="str" cm="1">
        <f t="array" ref="Q10">IF(OR($C10="",$I10=""),"",(INDEX('Emission factors'!$K$3:$V$201,MATCH('Fleet &amp; stationary assets'!$C10&amp;$D10,'Emission factors'!$J$3:$J$201&amp;'Emission factors'!$K$3:$K$201,0),MATCH(FleetTableFuel[[#Headers],[Direct]],'Emission factors'!$K$2:$V$2,0)))*$K10)</f>
        <v/>
      </c>
      <c r="R10" s="157" t="str" cm="1">
        <f t="array" ref="R10">IF(OR($C10="",$I10=""),"",(INDEX('Emission factors'!$K$3:$V$201,MATCH('Fleet &amp; stationary assets'!$C10&amp;$D10,'Emission factors'!$J$3:$J$201&amp;'Emission factors'!$K$3:$K$201,0),MATCH(FleetTableFuel[[#Headers],[Indirect generation]],'Emission factors'!$K$2:$V$2,0)))*$K10)</f>
        <v/>
      </c>
      <c r="S10" s="157" t="str" cm="1">
        <f t="array" ref="S10">IF(OR($C10="",$I10=""),"",(INDEX('Emission factors'!$K$3:$V$201,MATCH('Fleet &amp; stationary assets'!$C10&amp;$D10,'Emission factors'!$J$3:$J$201&amp;'Emission factors'!$K$3:$K$201,0),MATCH(FleetTableFuel[[#Headers],[Indirect service]],'Emission factors'!$K$2:$V$2,0)))*$K10)</f>
        <v/>
      </c>
      <c r="T10" s="157" t="str" cm="1">
        <f t="array" ref="T10">IF(OR($C10="",$I10=""),"",(INDEX('Emission factors'!$K$3:$V$201,MATCH('Fleet &amp; stationary assets'!$C10&amp;$D10,'Emission factors'!$J$3:$J$201&amp;'Emission factors'!$K$3:$K$201,0),MATCH(FleetTableFuel[[#Headers],[Indirect T&amp;D]],'Emission factors'!$K$2:$V$2,0)))*$K10)</f>
        <v/>
      </c>
      <c r="U10" s="157" t="str" cm="1">
        <f t="array" ref="U10">IF(OR($C10="",$I10=""),"",(INDEX('Emission factors'!$K$3:$V$201,MATCH('Fleet &amp; stationary assets'!$C10&amp;$D10,'Emission factors'!$J$3:$J$201&amp;'Emission factors'!$K$3:$K$201,0),MATCH(FleetTableFuel[[#Headers],[Indirect WTT]],'Emission factors'!$K$2:$V$2,0)))*$K10)</f>
        <v/>
      </c>
      <c r="V10" s="158" t="str">
        <f>IF(OR($N10="",FleetTableFuel[[#This Row],[RSD]]=""),"",FleetTableFuel[[#This Row],[Total emissions (kgCO2e)]]*(1+FleetTableFuel[[#This Row],[RSD]]))</f>
        <v/>
      </c>
      <c r="W10" s="163" t="str">
        <f>IF(OR($N10="",FleetTableFuel[[#This Row],[RSD]]=""),"",FleetTableFuel[[#This Row],[Total emissions (kgCO2e)]]*(1-FleetTableFuel[[#This Row],[RSD]]))</f>
        <v/>
      </c>
      <c r="X10" s="202" t="str" cm="1">
        <f t="array" ref="X10">IF(OR($C10="",$I10=""),"",(INDEX('Emission factors'!$K$3:$V$201,MATCH('Fleet &amp; stationary assets'!$C10&amp;$D10,'Emission factors'!$J$3:$J$201&amp;'Emission factors'!$K$3:$K$201,0),MATCH(FleetTableFuel[[#Headers],[Outside of scopes]],'Emission factors'!$K$2:$V$2,0)))*$K10)</f>
        <v/>
      </c>
      <c r="Z10" s="1" cm="1">
        <f t="array" ref="Z10">IF(OR(ISERROR(B10:X10)),1,0)</f>
        <v>0</v>
      </c>
      <c r="AA10" s="1">
        <f t="shared" si="0"/>
        <v>0</v>
      </c>
    </row>
    <row r="11" spans="1:27" ht="15" thickBot="1" x14ac:dyDescent="0.4">
      <c r="B11" s="76"/>
      <c r="C11" s="72"/>
      <c r="D11" s="72"/>
      <c r="E11" s="72"/>
      <c r="F11" s="72"/>
      <c r="G11" s="77" t="str">
        <f>IF(F11="","",INDEX(Lists!$BA$4:$BC$31,MATCH(C11,Lists!$AZ$4:$AZ$31,0),MATCH(F11,Lists!$BA$3:$BC$3,0)))</f>
        <v/>
      </c>
      <c r="H11" s="42"/>
      <c r="I11" s="70"/>
      <c r="J11" s="72"/>
      <c r="K11" s="75" t="str" cm="1">
        <f t="array" ref="K11">IF(OR($C11="",$B11="",$I11="",$J11=""),"",IF(J11=L11,I11,(INDEX('Emission factors'!$K$3:$V$201,MATCH(C11&amp;D11,'Emission factors'!$J$3:$J$201&amp;'Emission factors'!$K$3:$K$201,0),MATCH(K$7,'Emission factors'!$K$2:$V$2,0)))*I11))</f>
        <v/>
      </c>
      <c r="L11" s="312" t="str">
        <f>IF(OR($C11="",$B11="",$I11="",$J11=""),"",INDEX('Emission factors'!$K$3:$V$201,MATCH('Fleet &amp; stationary assets'!$C11,'Emission factors'!$J$3:$J$201,0),MATCH($L$7,'Emission factors'!$K$2:$V$2,0)))</f>
        <v/>
      </c>
      <c r="M11" s="313" t="str" cm="1">
        <f t="array" ref="M11">IF(OR(C11="",I11="",FleetTableFuel[[#This Row],[Units]]=""),"",INDEX('Emission factors'!$K$3:$V$201,MATCH(FleetTableFuel[[#This Row],[Fuel]]&amp;D11,'Emission factors'!$J$3:$J$201&amp;'Emission factors'!$K$3:$K$201,0),MATCH(FleetTableFuel[[#Headers],[Total EF (kgCO2e/unit)]],'Emission factors'!$K$2:$V$2,0)))</f>
        <v/>
      </c>
      <c r="N11" s="156" t="str">
        <f>IF(OR(K11="",M11=""),"",SUM(FleetTableFuel[[#This Row],[Direct]:[Indirect WTT]]))</f>
        <v/>
      </c>
      <c r="O11" s="71"/>
      <c r="P11" s="72"/>
      <c r="Q11" s="157" t="str" cm="1">
        <f t="array" ref="Q11">IF(OR($C11="",$I11=""),"",(INDEX('Emission factors'!$K$3:$V$201,MATCH('Fleet &amp; stationary assets'!$C11&amp;$D11,'Emission factors'!$J$3:$J$201&amp;'Emission factors'!$K$3:$K$201,0),MATCH(FleetTableFuel[[#Headers],[Direct]],'Emission factors'!$K$2:$V$2,0)))*$K11)</f>
        <v/>
      </c>
      <c r="R11" s="157" t="str" cm="1">
        <f t="array" ref="R11">IF(OR($C11="",$I11=""),"",(INDEX('Emission factors'!$K$3:$V$201,MATCH('Fleet &amp; stationary assets'!$C11&amp;$D11,'Emission factors'!$J$3:$J$201&amp;'Emission factors'!$K$3:$K$201,0),MATCH(FleetTableFuel[[#Headers],[Indirect generation]],'Emission factors'!$K$2:$V$2,0)))*$K11)</f>
        <v/>
      </c>
      <c r="S11" s="157" t="str" cm="1">
        <f t="array" ref="S11">IF(OR($C11="",$I11=""),"",(INDEX('Emission factors'!$K$3:$V$201,MATCH('Fleet &amp; stationary assets'!$C11&amp;$D11,'Emission factors'!$J$3:$J$201&amp;'Emission factors'!$K$3:$K$201,0),MATCH(FleetTableFuel[[#Headers],[Indirect service]],'Emission factors'!$K$2:$V$2,0)))*$K11)</f>
        <v/>
      </c>
      <c r="T11" s="157" t="str" cm="1">
        <f t="array" ref="T11">IF(OR($C11="",$I11=""),"",(INDEX('Emission factors'!$K$3:$V$201,MATCH('Fleet &amp; stationary assets'!$C11&amp;$D11,'Emission factors'!$J$3:$J$201&amp;'Emission factors'!$K$3:$K$201,0),MATCH(FleetTableFuel[[#Headers],[Indirect T&amp;D]],'Emission factors'!$K$2:$V$2,0)))*$K11)</f>
        <v/>
      </c>
      <c r="U11" s="157" t="str" cm="1">
        <f t="array" ref="U11">IF(OR($C11="",$I11=""),"",(INDEX('Emission factors'!$K$3:$V$201,MATCH('Fleet &amp; stationary assets'!$C11&amp;$D11,'Emission factors'!$J$3:$J$201&amp;'Emission factors'!$K$3:$K$201,0),MATCH(FleetTableFuel[[#Headers],[Indirect WTT]],'Emission factors'!$K$2:$V$2,0)))*$K11)</f>
        <v/>
      </c>
      <c r="V11" s="158" t="str">
        <f>IF(OR($N11="",FleetTableFuel[[#This Row],[RSD]]=""),"",FleetTableFuel[[#This Row],[Total emissions (kgCO2e)]]*(1+FleetTableFuel[[#This Row],[RSD]]))</f>
        <v/>
      </c>
      <c r="W11" s="163" t="str">
        <f>IF(OR($N11="",FleetTableFuel[[#This Row],[RSD]]=""),"",FleetTableFuel[[#This Row],[Total emissions (kgCO2e)]]*(1-FleetTableFuel[[#This Row],[RSD]]))</f>
        <v/>
      </c>
      <c r="X11" s="202" t="str" cm="1">
        <f t="array" ref="X11">IF(OR($C11="",$I11=""),"",(INDEX('Emission factors'!$K$3:$V$201,MATCH('Fleet &amp; stationary assets'!$C11&amp;$D11,'Emission factors'!$J$3:$J$201&amp;'Emission factors'!$K$3:$K$201,0),MATCH(FleetTableFuel[[#Headers],[Outside of scopes]],'Emission factors'!$K$2:$V$2,0)))*$K11)</f>
        <v/>
      </c>
      <c r="Z11" s="1" cm="1">
        <f t="array" ref="Z11">IF(OR(ISERROR(B11:X11)),1,0)</f>
        <v>0</v>
      </c>
      <c r="AA11" s="1">
        <f t="shared" si="0"/>
        <v>0</v>
      </c>
    </row>
    <row r="12" spans="1:27" ht="15" thickBot="1" x14ac:dyDescent="0.4">
      <c r="B12" s="76"/>
      <c r="C12" s="72"/>
      <c r="D12" s="72"/>
      <c r="E12" s="72"/>
      <c r="F12" s="72"/>
      <c r="G12" s="77" t="str">
        <f>IF(F12="","",INDEX(Lists!$BA$4:$BC$31,MATCH(C12,Lists!$AZ$4:$AZ$31,0),MATCH(F12,Lists!$BA$3:$BC$3,0)))</f>
        <v/>
      </c>
      <c r="H12" s="42"/>
      <c r="I12" s="70"/>
      <c r="J12" s="72"/>
      <c r="K12" s="75" t="str" cm="1">
        <f t="array" ref="K12">IF(OR($C12="",$B12="",$I12="",$J12=""),"",IF(J12=L12,I12,(INDEX('Emission factors'!$K$3:$V$201,MATCH(C12&amp;D12,'Emission factors'!$J$3:$J$201&amp;'Emission factors'!$K$3:$K$201,0),MATCH(K$7,'Emission factors'!$K$2:$V$2,0)))*I12))</f>
        <v/>
      </c>
      <c r="L12" s="312" t="str">
        <f>IF(OR($C12="",$B12="",$I12="",$J12=""),"",INDEX('Emission factors'!$K$3:$V$201,MATCH('Fleet &amp; stationary assets'!$C12,'Emission factors'!$J$3:$J$201,0),MATCH($L$7,'Emission factors'!$K$2:$V$2,0)))</f>
        <v/>
      </c>
      <c r="M12" s="313" t="str" cm="1">
        <f t="array" ref="M12">IF(OR(C12="",I12="",FleetTableFuel[[#This Row],[Units]]=""),"",INDEX('Emission factors'!$K$3:$V$201,MATCH(FleetTableFuel[[#This Row],[Fuel]]&amp;D12,'Emission factors'!$J$3:$J$201&amp;'Emission factors'!$K$3:$K$201,0),MATCH(FleetTableFuel[[#Headers],[Total EF (kgCO2e/unit)]],'Emission factors'!$K$2:$V$2,0)))</f>
        <v/>
      </c>
      <c r="N12" s="156" t="str">
        <f>IF(OR(K12="",M12=""),"",SUM(FleetTableFuel[[#This Row],[Direct]:[Indirect WTT]]))</f>
        <v/>
      </c>
      <c r="O12" s="71"/>
      <c r="P12" s="72"/>
      <c r="Q12" s="157" t="str" cm="1">
        <f t="array" ref="Q12">IF(OR($C12="",$I12=""),"",(INDEX('Emission factors'!$K$3:$V$201,MATCH('Fleet &amp; stationary assets'!$C12&amp;$D12,'Emission factors'!$J$3:$J$201&amp;'Emission factors'!$K$3:$K$201,0),MATCH(FleetTableFuel[[#Headers],[Direct]],'Emission factors'!$K$2:$V$2,0)))*$K12)</f>
        <v/>
      </c>
      <c r="R12" s="157" t="str" cm="1">
        <f t="array" ref="R12">IF(OR($C12="",$I12=""),"",(INDEX('Emission factors'!$K$3:$V$201,MATCH('Fleet &amp; stationary assets'!$C12&amp;$D12,'Emission factors'!$J$3:$J$201&amp;'Emission factors'!$K$3:$K$201,0),MATCH(FleetTableFuel[[#Headers],[Indirect generation]],'Emission factors'!$K$2:$V$2,0)))*$K12)</f>
        <v/>
      </c>
      <c r="S12" s="157" t="str" cm="1">
        <f t="array" ref="S12">IF(OR($C12="",$I12=""),"",(INDEX('Emission factors'!$K$3:$V$201,MATCH('Fleet &amp; stationary assets'!$C12&amp;$D12,'Emission factors'!$J$3:$J$201&amp;'Emission factors'!$K$3:$K$201,0),MATCH(FleetTableFuel[[#Headers],[Indirect service]],'Emission factors'!$K$2:$V$2,0)))*$K12)</f>
        <v/>
      </c>
      <c r="T12" s="157" t="str" cm="1">
        <f t="array" ref="T12">IF(OR($C12="",$I12=""),"",(INDEX('Emission factors'!$K$3:$V$201,MATCH('Fleet &amp; stationary assets'!$C12&amp;$D12,'Emission factors'!$J$3:$J$201&amp;'Emission factors'!$K$3:$K$201,0),MATCH(FleetTableFuel[[#Headers],[Indirect T&amp;D]],'Emission factors'!$K$2:$V$2,0)))*$K12)</f>
        <v/>
      </c>
      <c r="U12" s="157" t="str" cm="1">
        <f t="array" ref="U12">IF(OR($C12="",$I12=""),"",(INDEX('Emission factors'!$K$3:$V$201,MATCH('Fleet &amp; stationary assets'!$C12&amp;$D12,'Emission factors'!$J$3:$J$201&amp;'Emission factors'!$K$3:$K$201,0),MATCH(FleetTableFuel[[#Headers],[Indirect WTT]],'Emission factors'!$K$2:$V$2,0)))*$K12)</f>
        <v/>
      </c>
      <c r="V12" s="158" t="str">
        <f>IF(OR($N12="",FleetTableFuel[[#This Row],[RSD]]=""),"",FleetTableFuel[[#This Row],[Total emissions (kgCO2e)]]*(1+FleetTableFuel[[#This Row],[RSD]]))</f>
        <v/>
      </c>
      <c r="W12" s="163" t="str">
        <f>IF(OR($N12="",FleetTableFuel[[#This Row],[RSD]]=""),"",FleetTableFuel[[#This Row],[Total emissions (kgCO2e)]]*(1-FleetTableFuel[[#This Row],[RSD]]))</f>
        <v/>
      </c>
      <c r="X12" s="202" t="str" cm="1">
        <f t="array" ref="X12">IF(OR($C12="",$I12=""),"",(INDEX('Emission factors'!$K$3:$V$201,MATCH('Fleet &amp; stationary assets'!$C12&amp;$D12,'Emission factors'!$J$3:$J$201&amp;'Emission factors'!$K$3:$K$201,0),MATCH(FleetTableFuel[[#Headers],[Outside of scopes]],'Emission factors'!$K$2:$V$2,0)))*$K12)</f>
        <v/>
      </c>
      <c r="Z12" s="1" cm="1">
        <f t="array" ref="Z12">IF(OR(ISERROR(B12:X12)),1,0)</f>
        <v>0</v>
      </c>
      <c r="AA12" s="1">
        <f t="shared" si="0"/>
        <v>0</v>
      </c>
    </row>
    <row r="13" spans="1:27" ht="15" thickBot="1" x14ac:dyDescent="0.4">
      <c r="B13" s="76"/>
      <c r="C13" s="72"/>
      <c r="D13" s="72"/>
      <c r="E13" s="72"/>
      <c r="F13" s="72"/>
      <c r="G13" s="77" t="str">
        <f>IF(F13="","",INDEX(Lists!$BA$4:$BC$31,MATCH(C13,Lists!$AZ$4:$AZ$31,0),MATCH(F13,Lists!$BA$3:$BC$3,0)))</f>
        <v/>
      </c>
      <c r="H13" s="42"/>
      <c r="I13" s="70"/>
      <c r="J13" s="72"/>
      <c r="K13" s="75" t="str" cm="1">
        <f t="array" ref="K13">IF(OR($C13="",$B13="",$I13="",$J13=""),"",IF(J13=L13,I13,(INDEX('Emission factors'!$K$3:$V$201,MATCH(C13&amp;D13,'Emission factors'!$J$3:$J$201&amp;'Emission factors'!$K$3:$K$201,0),MATCH(K$7,'Emission factors'!$K$2:$V$2,0)))*I13))</f>
        <v/>
      </c>
      <c r="L13" s="312" t="str">
        <f>IF(OR($C13="",$B13="",$I13="",$J13=""),"",INDEX('Emission factors'!$K$3:$V$201,MATCH('Fleet &amp; stationary assets'!$C13,'Emission factors'!$J$3:$J$201,0),MATCH($L$7,'Emission factors'!$K$2:$V$2,0)))</f>
        <v/>
      </c>
      <c r="M13" s="313" t="str" cm="1">
        <f t="array" ref="M13">IF(OR(C13="",I13="",FleetTableFuel[[#This Row],[Units]]=""),"",INDEX('Emission factors'!$K$3:$V$201,MATCH(FleetTableFuel[[#This Row],[Fuel]]&amp;D13,'Emission factors'!$J$3:$J$201&amp;'Emission factors'!$K$3:$K$201,0),MATCH(FleetTableFuel[[#Headers],[Total EF (kgCO2e/unit)]],'Emission factors'!$K$2:$V$2,0)))</f>
        <v/>
      </c>
      <c r="N13" s="156" t="str">
        <f>IF(OR(K13="",M13=""),"",SUM(FleetTableFuel[[#This Row],[Direct]:[Indirect WTT]]))</f>
        <v/>
      </c>
      <c r="O13" s="71"/>
      <c r="P13" s="72"/>
      <c r="Q13" s="157" t="str" cm="1">
        <f t="array" ref="Q13">IF(OR($C13="",$I13=""),"",(INDEX('Emission factors'!$K$3:$V$201,MATCH('Fleet &amp; stationary assets'!$C13&amp;$D13,'Emission factors'!$J$3:$J$201&amp;'Emission factors'!$K$3:$K$201,0),MATCH(FleetTableFuel[[#Headers],[Direct]],'Emission factors'!$K$2:$V$2,0)))*$K13)</f>
        <v/>
      </c>
      <c r="R13" s="157" t="str" cm="1">
        <f t="array" ref="R13">IF(OR($C13="",$I13=""),"",(INDEX('Emission factors'!$K$3:$V$201,MATCH('Fleet &amp; stationary assets'!$C13&amp;$D13,'Emission factors'!$J$3:$J$201&amp;'Emission factors'!$K$3:$K$201,0),MATCH(FleetTableFuel[[#Headers],[Indirect generation]],'Emission factors'!$K$2:$V$2,0)))*$K13)</f>
        <v/>
      </c>
      <c r="S13" s="157" t="str" cm="1">
        <f t="array" ref="S13">IF(OR($C13="",$I13=""),"",(INDEX('Emission factors'!$K$3:$V$201,MATCH('Fleet &amp; stationary assets'!$C13&amp;$D13,'Emission factors'!$J$3:$J$201&amp;'Emission factors'!$K$3:$K$201,0),MATCH(FleetTableFuel[[#Headers],[Indirect service]],'Emission factors'!$K$2:$V$2,0)))*$K13)</f>
        <v/>
      </c>
      <c r="T13" s="157" t="str" cm="1">
        <f t="array" ref="T13">IF(OR($C13="",$I13=""),"",(INDEX('Emission factors'!$K$3:$V$201,MATCH('Fleet &amp; stationary assets'!$C13&amp;$D13,'Emission factors'!$J$3:$J$201&amp;'Emission factors'!$K$3:$K$201,0),MATCH(FleetTableFuel[[#Headers],[Indirect T&amp;D]],'Emission factors'!$K$2:$V$2,0)))*$K13)</f>
        <v/>
      </c>
      <c r="U13" s="157" t="str" cm="1">
        <f t="array" ref="U13">IF(OR($C13="",$I13=""),"",(INDEX('Emission factors'!$K$3:$V$201,MATCH('Fleet &amp; stationary assets'!$C13&amp;$D13,'Emission factors'!$J$3:$J$201&amp;'Emission factors'!$K$3:$K$201,0),MATCH(FleetTableFuel[[#Headers],[Indirect WTT]],'Emission factors'!$K$2:$V$2,0)))*$K13)</f>
        <v/>
      </c>
      <c r="V13" s="158" t="str">
        <f>IF(OR($N13="",FleetTableFuel[[#This Row],[RSD]]=""),"",FleetTableFuel[[#This Row],[Total emissions (kgCO2e)]]*(1+FleetTableFuel[[#This Row],[RSD]]))</f>
        <v/>
      </c>
      <c r="W13" s="163" t="str">
        <f>IF(OR($N13="",FleetTableFuel[[#This Row],[RSD]]=""),"",FleetTableFuel[[#This Row],[Total emissions (kgCO2e)]]*(1-FleetTableFuel[[#This Row],[RSD]]))</f>
        <v/>
      </c>
      <c r="X13" s="202" t="str" cm="1">
        <f t="array" ref="X13">IF(OR($C13="",$I13=""),"",(INDEX('Emission factors'!$K$3:$V$201,MATCH('Fleet &amp; stationary assets'!$C13&amp;$D13,'Emission factors'!$J$3:$J$201&amp;'Emission factors'!$K$3:$K$201,0),MATCH(FleetTableFuel[[#Headers],[Outside of scopes]],'Emission factors'!$K$2:$V$2,0)))*$K13)</f>
        <v/>
      </c>
      <c r="Z13" s="1" cm="1">
        <f t="array" ref="Z13">IF(OR(ISERROR(B13:X13)),1,0)</f>
        <v>0</v>
      </c>
      <c r="AA13" s="1">
        <f t="shared" si="0"/>
        <v>0</v>
      </c>
    </row>
    <row r="14" spans="1:27" ht="15" thickBot="1" x14ac:dyDescent="0.4">
      <c r="B14" s="76"/>
      <c r="C14" s="72"/>
      <c r="D14" s="72"/>
      <c r="E14" s="72"/>
      <c r="F14" s="72"/>
      <c r="G14" s="77" t="str">
        <f>IF(F14="","",INDEX(Lists!$BA$4:$BC$31,MATCH(C14,Lists!$AZ$4:$AZ$31,0),MATCH(F14,Lists!$BA$3:$BC$3,0)))</f>
        <v/>
      </c>
      <c r="H14" s="42"/>
      <c r="I14" s="70"/>
      <c r="J14" s="72"/>
      <c r="K14" s="75" t="str" cm="1">
        <f t="array" ref="K14">IF(OR($C14="",$B14="",$I14="",$J14=""),"",IF(J14=L14,I14,(INDEX('Emission factors'!$K$3:$V$201,MATCH(C14&amp;D14,'Emission factors'!$J$3:$J$201&amp;'Emission factors'!$K$3:$K$201,0),MATCH(K$7,'Emission factors'!$K$2:$V$2,0)))*I14))</f>
        <v/>
      </c>
      <c r="L14" s="312" t="str">
        <f>IF(OR($C14="",$B14="",$I14="",$J14=""),"",INDEX('Emission factors'!$K$3:$V$201,MATCH('Fleet &amp; stationary assets'!$C14,'Emission factors'!$J$3:$J$201,0),MATCH($L$7,'Emission factors'!$K$2:$V$2,0)))</f>
        <v/>
      </c>
      <c r="M14" s="313" t="str" cm="1">
        <f t="array" ref="M14">IF(OR(C14="",I14="",FleetTableFuel[[#This Row],[Units]]=""),"",INDEX('Emission factors'!$K$3:$V$201,MATCH(FleetTableFuel[[#This Row],[Fuel]]&amp;D14,'Emission factors'!$J$3:$J$201&amp;'Emission factors'!$K$3:$K$201,0),MATCH(FleetTableFuel[[#Headers],[Total EF (kgCO2e/unit)]],'Emission factors'!$K$2:$V$2,0)))</f>
        <v/>
      </c>
      <c r="N14" s="156" t="str">
        <f>IF(OR(K14="",M14=""),"",SUM(FleetTableFuel[[#This Row],[Direct]:[Indirect WTT]]))</f>
        <v/>
      </c>
      <c r="O14" s="71"/>
      <c r="P14" s="72"/>
      <c r="Q14" s="157" t="str" cm="1">
        <f t="array" ref="Q14">IF(OR($C14="",$I14=""),"",(INDEX('Emission factors'!$K$3:$V$201,MATCH('Fleet &amp; stationary assets'!$C14&amp;$D14,'Emission factors'!$J$3:$J$201&amp;'Emission factors'!$K$3:$K$201,0),MATCH(FleetTableFuel[[#Headers],[Direct]],'Emission factors'!$K$2:$V$2,0)))*$K14)</f>
        <v/>
      </c>
      <c r="R14" s="157" t="str" cm="1">
        <f t="array" ref="R14">IF(OR($C14="",$I14=""),"",(INDEX('Emission factors'!$K$3:$V$201,MATCH('Fleet &amp; stationary assets'!$C14&amp;$D14,'Emission factors'!$J$3:$J$201&amp;'Emission factors'!$K$3:$K$201,0),MATCH(FleetTableFuel[[#Headers],[Indirect generation]],'Emission factors'!$K$2:$V$2,0)))*$K14)</f>
        <v/>
      </c>
      <c r="S14" s="157" t="str" cm="1">
        <f t="array" ref="S14">IF(OR($C14="",$I14=""),"",(INDEX('Emission factors'!$K$3:$V$201,MATCH('Fleet &amp; stationary assets'!$C14&amp;$D14,'Emission factors'!$J$3:$J$201&amp;'Emission factors'!$K$3:$K$201,0),MATCH(FleetTableFuel[[#Headers],[Indirect service]],'Emission factors'!$K$2:$V$2,0)))*$K14)</f>
        <v/>
      </c>
      <c r="T14" s="157" t="str" cm="1">
        <f t="array" ref="T14">IF(OR($C14="",$I14=""),"",(INDEX('Emission factors'!$K$3:$V$201,MATCH('Fleet &amp; stationary assets'!$C14&amp;$D14,'Emission factors'!$J$3:$J$201&amp;'Emission factors'!$K$3:$K$201,0),MATCH(FleetTableFuel[[#Headers],[Indirect T&amp;D]],'Emission factors'!$K$2:$V$2,0)))*$K14)</f>
        <v/>
      </c>
      <c r="U14" s="157" t="str" cm="1">
        <f t="array" ref="U14">IF(OR($C14="",$I14=""),"",(INDEX('Emission factors'!$K$3:$V$201,MATCH('Fleet &amp; stationary assets'!$C14&amp;$D14,'Emission factors'!$J$3:$J$201&amp;'Emission factors'!$K$3:$K$201,0),MATCH(FleetTableFuel[[#Headers],[Indirect WTT]],'Emission factors'!$K$2:$V$2,0)))*$K14)</f>
        <v/>
      </c>
      <c r="V14" s="158" t="str">
        <f>IF(OR($N14="",FleetTableFuel[[#This Row],[RSD]]=""),"",FleetTableFuel[[#This Row],[Total emissions (kgCO2e)]]*(1+FleetTableFuel[[#This Row],[RSD]]))</f>
        <v/>
      </c>
      <c r="W14" s="163" t="str">
        <f>IF(OR($N14="",FleetTableFuel[[#This Row],[RSD]]=""),"",FleetTableFuel[[#This Row],[Total emissions (kgCO2e)]]*(1-FleetTableFuel[[#This Row],[RSD]]))</f>
        <v/>
      </c>
      <c r="X14" s="202" t="str" cm="1">
        <f t="array" ref="X14">IF(OR($C14="",$I14=""),"",(INDEX('Emission factors'!$K$3:$V$201,MATCH('Fleet &amp; stationary assets'!$C14&amp;$D14,'Emission factors'!$J$3:$J$201&amp;'Emission factors'!$K$3:$K$201,0),MATCH(FleetTableFuel[[#Headers],[Outside of scopes]],'Emission factors'!$K$2:$V$2,0)))*$K14)</f>
        <v/>
      </c>
      <c r="Z14" s="1" cm="1">
        <f t="array" ref="Z14">IF(OR(ISERROR(B14:X14)),1,0)</f>
        <v>0</v>
      </c>
      <c r="AA14" s="1">
        <f t="shared" si="0"/>
        <v>0</v>
      </c>
    </row>
    <row r="15" spans="1:27" ht="15" thickBot="1" x14ac:dyDescent="0.4">
      <c r="B15" s="76"/>
      <c r="C15" s="72"/>
      <c r="D15" s="72"/>
      <c r="E15" s="72"/>
      <c r="F15" s="72"/>
      <c r="G15" s="77" t="str">
        <f>IF(F15="","",INDEX(Lists!$BA$4:$BC$31,MATCH(C15,Lists!$AZ$4:$AZ$31,0),MATCH(F15,Lists!$BA$3:$BC$3,0)))</f>
        <v/>
      </c>
      <c r="H15" s="42"/>
      <c r="I15" s="70"/>
      <c r="J15" s="72"/>
      <c r="K15" s="75" t="str" cm="1">
        <f t="array" ref="K15">IF(OR($C15="",$B15="",$I15="",$J15=""),"",IF(J15=L15,I15,(INDEX('Emission factors'!$K$3:$V$201,MATCH(C15&amp;D15,'Emission factors'!$J$3:$J$201&amp;'Emission factors'!$K$3:$K$201,0),MATCH(K$7,'Emission factors'!$K$2:$V$2,0)))*I15))</f>
        <v/>
      </c>
      <c r="L15" s="312" t="str">
        <f>IF(OR($C15="",$B15="",$I15="",$J15=""),"",INDEX('Emission factors'!$K$3:$V$201,MATCH('Fleet &amp; stationary assets'!$C15,'Emission factors'!$J$3:$J$201,0),MATCH($L$7,'Emission factors'!$K$2:$V$2,0)))</f>
        <v/>
      </c>
      <c r="M15" s="313" t="str" cm="1">
        <f t="array" ref="M15">IF(OR(C15="",I15="",FleetTableFuel[[#This Row],[Units]]=""),"",INDEX('Emission factors'!$K$3:$V$201,MATCH(FleetTableFuel[[#This Row],[Fuel]]&amp;D15,'Emission factors'!$J$3:$J$201&amp;'Emission factors'!$K$3:$K$201,0),MATCH(FleetTableFuel[[#Headers],[Total EF (kgCO2e/unit)]],'Emission factors'!$K$2:$V$2,0)))</f>
        <v/>
      </c>
      <c r="N15" s="156" t="str">
        <f>IF(OR(K15="",M15=""),"",SUM(FleetTableFuel[[#This Row],[Direct]:[Indirect WTT]]))</f>
        <v/>
      </c>
      <c r="O15" s="71"/>
      <c r="P15" s="72"/>
      <c r="Q15" s="157" t="str" cm="1">
        <f t="array" ref="Q15">IF(OR($C15="",$I15=""),"",(INDEX('Emission factors'!$K$3:$V$201,MATCH('Fleet &amp; stationary assets'!$C15&amp;$D15,'Emission factors'!$J$3:$J$201&amp;'Emission factors'!$K$3:$K$201,0),MATCH(FleetTableFuel[[#Headers],[Direct]],'Emission factors'!$K$2:$V$2,0)))*$K15)</f>
        <v/>
      </c>
      <c r="R15" s="157" t="str" cm="1">
        <f t="array" ref="R15">IF(OR($C15="",$I15=""),"",(INDEX('Emission factors'!$K$3:$V$201,MATCH('Fleet &amp; stationary assets'!$C15&amp;$D15,'Emission factors'!$J$3:$J$201&amp;'Emission factors'!$K$3:$K$201,0),MATCH(FleetTableFuel[[#Headers],[Indirect generation]],'Emission factors'!$K$2:$V$2,0)))*$K15)</f>
        <v/>
      </c>
      <c r="S15" s="157" t="str" cm="1">
        <f t="array" ref="S15">IF(OR($C15="",$I15=""),"",(INDEX('Emission factors'!$K$3:$V$201,MATCH('Fleet &amp; stationary assets'!$C15&amp;$D15,'Emission factors'!$J$3:$J$201&amp;'Emission factors'!$K$3:$K$201,0),MATCH(FleetTableFuel[[#Headers],[Indirect service]],'Emission factors'!$K$2:$V$2,0)))*$K15)</f>
        <v/>
      </c>
      <c r="T15" s="157" t="str" cm="1">
        <f t="array" ref="T15">IF(OR($C15="",$I15=""),"",(INDEX('Emission factors'!$K$3:$V$201,MATCH('Fleet &amp; stationary assets'!$C15&amp;$D15,'Emission factors'!$J$3:$J$201&amp;'Emission factors'!$K$3:$K$201,0),MATCH(FleetTableFuel[[#Headers],[Indirect T&amp;D]],'Emission factors'!$K$2:$V$2,0)))*$K15)</f>
        <v/>
      </c>
      <c r="U15" s="157" t="str" cm="1">
        <f t="array" ref="U15">IF(OR($C15="",$I15=""),"",(INDEX('Emission factors'!$K$3:$V$201,MATCH('Fleet &amp; stationary assets'!$C15&amp;$D15,'Emission factors'!$J$3:$J$201&amp;'Emission factors'!$K$3:$K$201,0),MATCH(FleetTableFuel[[#Headers],[Indirect WTT]],'Emission factors'!$K$2:$V$2,0)))*$K15)</f>
        <v/>
      </c>
      <c r="V15" s="158" t="str">
        <f>IF(OR($N15="",FleetTableFuel[[#This Row],[RSD]]=""),"",FleetTableFuel[[#This Row],[Total emissions (kgCO2e)]]*(1+FleetTableFuel[[#This Row],[RSD]]))</f>
        <v/>
      </c>
      <c r="W15" s="163" t="str">
        <f>IF(OR($N15="",FleetTableFuel[[#This Row],[RSD]]=""),"",FleetTableFuel[[#This Row],[Total emissions (kgCO2e)]]*(1-FleetTableFuel[[#This Row],[RSD]]))</f>
        <v/>
      </c>
      <c r="X15" s="202" t="str" cm="1">
        <f t="array" ref="X15">IF(OR($C15="",$I15=""),"",(INDEX('Emission factors'!$K$3:$V$201,MATCH('Fleet &amp; stationary assets'!$C15&amp;$D15,'Emission factors'!$J$3:$J$201&amp;'Emission factors'!$K$3:$K$201,0),MATCH(FleetTableFuel[[#Headers],[Outside of scopes]],'Emission factors'!$K$2:$V$2,0)))*$K15)</f>
        <v/>
      </c>
      <c r="Z15" s="1" cm="1">
        <f t="array" ref="Z15">IF(OR(ISERROR(B15:X15)),1,0)</f>
        <v>0</v>
      </c>
      <c r="AA15" s="1">
        <f t="shared" si="0"/>
        <v>0</v>
      </c>
    </row>
    <row r="16" spans="1:27" ht="15" thickBot="1" x14ac:dyDescent="0.4">
      <c r="B16" s="76"/>
      <c r="C16" s="72"/>
      <c r="D16" s="72"/>
      <c r="E16" s="72"/>
      <c r="F16" s="72"/>
      <c r="G16" s="77" t="str">
        <f>IF(F16="","",INDEX(Lists!$BA$4:$BC$31,MATCH(C16,Lists!$AZ$4:$AZ$31,0),MATCH(F16,Lists!$BA$3:$BC$3,0)))</f>
        <v/>
      </c>
      <c r="H16" s="42"/>
      <c r="I16" s="70"/>
      <c r="J16" s="72"/>
      <c r="K16" s="75" t="str" cm="1">
        <f t="array" ref="K16">IF(OR($C16="",$B16="",$I16="",$J16=""),"",IF(J16=L16,I16,(INDEX('Emission factors'!$K$3:$V$201,MATCH(C16&amp;D16,'Emission factors'!$J$3:$J$201&amp;'Emission factors'!$K$3:$K$201,0),MATCH(K$7,'Emission factors'!$K$2:$V$2,0)))*I16))</f>
        <v/>
      </c>
      <c r="L16" s="312" t="str">
        <f>IF(OR($C16="",$B16="",$I16="",$J16=""),"",INDEX('Emission factors'!$K$3:$V$201,MATCH('Fleet &amp; stationary assets'!$C16,'Emission factors'!$J$3:$J$201,0),MATCH($L$7,'Emission factors'!$K$2:$V$2,0)))</f>
        <v/>
      </c>
      <c r="M16" s="313" t="str" cm="1">
        <f t="array" ref="M16">IF(OR(C16="",I16="",FleetTableFuel[[#This Row],[Units]]=""),"",INDEX('Emission factors'!$K$3:$V$201,MATCH(FleetTableFuel[[#This Row],[Fuel]]&amp;D16,'Emission factors'!$J$3:$J$201&amp;'Emission factors'!$K$3:$K$201,0),MATCH(FleetTableFuel[[#Headers],[Total EF (kgCO2e/unit)]],'Emission factors'!$K$2:$V$2,0)))</f>
        <v/>
      </c>
      <c r="N16" s="156" t="str">
        <f>IF(OR(K16="",M16=""),"",SUM(FleetTableFuel[[#This Row],[Direct]:[Indirect WTT]]))</f>
        <v/>
      </c>
      <c r="O16" s="71"/>
      <c r="P16" s="72"/>
      <c r="Q16" s="157" t="str" cm="1">
        <f t="array" ref="Q16">IF(OR($C16="",$I16=""),"",(INDEX('Emission factors'!$K$3:$V$201,MATCH('Fleet &amp; stationary assets'!$C16&amp;$D16,'Emission factors'!$J$3:$J$201&amp;'Emission factors'!$K$3:$K$201,0),MATCH(FleetTableFuel[[#Headers],[Direct]],'Emission factors'!$K$2:$V$2,0)))*$K16)</f>
        <v/>
      </c>
      <c r="R16" s="157" t="str" cm="1">
        <f t="array" ref="R16">IF(OR($C16="",$I16=""),"",(INDEX('Emission factors'!$K$3:$V$201,MATCH('Fleet &amp; stationary assets'!$C16&amp;$D16,'Emission factors'!$J$3:$J$201&amp;'Emission factors'!$K$3:$K$201,0),MATCH(FleetTableFuel[[#Headers],[Indirect generation]],'Emission factors'!$K$2:$V$2,0)))*$K16)</f>
        <v/>
      </c>
      <c r="S16" s="157" t="str" cm="1">
        <f t="array" ref="S16">IF(OR($C16="",$I16=""),"",(INDEX('Emission factors'!$K$3:$V$201,MATCH('Fleet &amp; stationary assets'!$C16&amp;$D16,'Emission factors'!$J$3:$J$201&amp;'Emission factors'!$K$3:$K$201,0),MATCH(FleetTableFuel[[#Headers],[Indirect service]],'Emission factors'!$K$2:$V$2,0)))*$K16)</f>
        <v/>
      </c>
      <c r="T16" s="157" t="str" cm="1">
        <f t="array" ref="T16">IF(OR($C16="",$I16=""),"",(INDEX('Emission factors'!$K$3:$V$201,MATCH('Fleet &amp; stationary assets'!$C16&amp;$D16,'Emission factors'!$J$3:$J$201&amp;'Emission factors'!$K$3:$K$201,0),MATCH(FleetTableFuel[[#Headers],[Indirect T&amp;D]],'Emission factors'!$K$2:$V$2,0)))*$K16)</f>
        <v/>
      </c>
      <c r="U16" s="157" t="str" cm="1">
        <f t="array" ref="U16">IF(OR($C16="",$I16=""),"",(INDEX('Emission factors'!$K$3:$V$201,MATCH('Fleet &amp; stationary assets'!$C16&amp;$D16,'Emission factors'!$J$3:$J$201&amp;'Emission factors'!$K$3:$K$201,0),MATCH(FleetTableFuel[[#Headers],[Indirect WTT]],'Emission factors'!$K$2:$V$2,0)))*$K16)</f>
        <v/>
      </c>
      <c r="V16" s="158" t="str">
        <f>IF(OR($N16="",FleetTableFuel[[#This Row],[RSD]]=""),"",FleetTableFuel[[#This Row],[Total emissions (kgCO2e)]]*(1+FleetTableFuel[[#This Row],[RSD]]))</f>
        <v/>
      </c>
      <c r="W16" s="163" t="str">
        <f>IF(OR($N16="",FleetTableFuel[[#This Row],[RSD]]=""),"",FleetTableFuel[[#This Row],[Total emissions (kgCO2e)]]*(1-FleetTableFuel[[#This Row],[RSD]]))</f>
        <v/>
      </c>
      <c r="X16" s="202" t="str" cm="1">
        <f t="array" ref="X16">IF(OR($C16="",$I16=""),"",(INDEX('Emission factors'!$K$3:$V$201,MATCH('Fleet &amp; stationary assets'!$C16&amp;$D16,'Emission factors'!$J$3:$J$201&amp;'Emission factors'!$K$3:$K$201,0),MATCH(FleetTableFuel[[#Headers],[Outside of scopes]],'Emission factors'!$K$2:$V$2,0)))*$K16)</f>
        <v/>
      </c>
      <c r="Z16" s="1" cm="1">
        <f t="array" ref="Z16">IF(OR(ISERROR(B16:X16)),1,0)</f>
        <v>0</v>
      </c>
      <c r="AA16" s="1">
        <f t="shared" si="0"/>
        <v>0</v>
      </c>
    </row>
    <row r="17" spans="1:27" ht="15" thickBot="1" x14ac:dyDescent="0.4">
      <c r="B17" s="76"/>
      <c r="C17" s="72"/>
      <c r="D17" s="72"/>
      <c r="E17" s="72"/>
      <c r="F17" s="72"/>
      <c r="G17" s="77" t="str">
        <f>IF(F17="","",INDEX(Lists!$BA$4:$BC$31,MATCH(C17,Lists!$AZ$4:$AZ$31,0),MATCH(F17,Lists!$BA$3:$BC$3,0)))</f>
        <v/>
      </c>
      <c r="H17" s="42"/>
      <c r="I17" s="70"/>
      <c r="J17" s="72"/>
      <c r="K17" s="75" t="str" cm="1">
        <f t="array" ref="K17">IF(OR($C17="",$B17="",$I17="",$J17=""),"",IF(J17=L17,I17,(INDEX('Emission factors'!$K$3:$V$201,MATCH(C17&amp;D17,'Emission factors'!$J$3:$J$201&amp;'Emission factors'!$K$3:$K$201,0),MATCH(K$7,'Emission factors'!$K$2:$V$2,0)))*I17))</f>
        <v/>
      </c>
      <c r="L17" s="312" t="str">
        <f>IF(OR($C17="",$B17="",$I17="",$J17=""),"",INDEX('Emission factors'!$K$3:$V$201,MATCH('Fleet &amp; stationary assets'!$C17,'Emission factors'!$J$3:$J$201,0),MATCH($L$7,'Emission factors'!$K$2:$V$2,0)))</f>
        <v/>
      </c>
      <c r="M17" s="313" t="str" cm="1">
        <f t="array" ref="M17">IF(OR(C17="",I17="",FleetTableFuel[[#This Row],[Units]]=""),"",INDEX('Emission factors'!$K$3:$V$201,MATCH(FleetTableFuel[[#This Row],[Fuel]]&amp;D17,'Emission factors'!$J$3:$J$201&amp;'Emission factors'!$K$3:$K$201,0),MATCH(FleetTableFuel[[#Headers],[Total EF (kgCO2e/unit)]],'Emission factors'!$K$2:$V$2,0)))</f>
        <v/>
      </c>
      <c r="N17" s="156" t="str">
        <f>IF(OR(K17="",M17=""),"",SUM(FleetTableFuel[[#This Row],[Direct]:[Indirect WTT]]))</f>
        <v/>
      </c>
      <c r="O17" s="71"/>
      <c r="P17" s="72"/>
      <c r="Q17" s="157" t="str" cm="1">
        <f t="array" ref="Q17">IF(OR($C17="",$I17=""),"",(INDEX('Emission factors'!$K$3:$V$201,MATCH('Fleet &amp; stationary assets'!$C17&amp;$D17,'Emission factors'!$J$3:$J$201&amp;'Emission factors'!$K$3:$K$201,0),MATCH(FleetTableFuel[[#Headers],[Direct]],'Emission factors'!$K$2:$V$2,0)))*$K17)</f>
        <v/>
      </c>
      <c r="R17" s="157" t="str" cm="1">
        <f t="array" ref="R17">IF(OR($C17="",$I17=""),"",(INDEX('Emission factors'!$K$3:$V$201,MATCH('Fleet &amp; stationary assets'!$C17&amp;$D17,'Emission factors'!$J$3:$J$201&amp;'Emission factors'!$K$3:$K$201,0),MATCH(FleetTableFuel[[#Headers],[Indirect generation]],'Emission factors'!$K$2:$V$2,0)))*$K17)</f>
        <v/>
      </c>
      <c r="S17" s="157" t="str" cm="1">
        <f t="array" ref="S17">IF(OR($C17="",$I17=""),"",(INDEX('Emission factors'!$K$3:$V$201,MATCH('Fleet &amp; stationary assets'!$C17&amp;$D17,'Emission factors'!$J$3:$J$201&amp;'Emission factors'!$K$3:$K$201,0),MATCH(FleetTableFuel[[#Headers],[Indirect service]],'Emission factors'!$K$2:$V$2,0)))*$K17)</f>
        <v/>
      </c>
      <c r="T17" s="157" t="str" cm="1">
        <f t="array" ref="T17">IF(OR($C17="",$I17=""),"",(INDEX('Emission factors'!$K$3:$V$201,MATCH('Fleet &amp; stationary assets'!$C17&amp;$D17,'Emission factors'!$J$3:$J$201&amp;'Emission factors'!$K$3:$K$201,0),MATCH(FleetTableFuel[[#Headers],[Indirect T&amp;D]],'Emission factors'!$K$2:$V$2,0)))*$K17)</f>
        <v/>
      </c>
      <c r="U17" s="157" t="str" cm="1">
        <f t="array" ref="U17">IF(OR($C17="",$I17=""),"",(INDEX('Emission factors'!$K$3:$V$201,MATCH('Fleet &amp; stationary assets'!$C17&amp;$D17,'Emission factors'!$J$3:$J$201&amp;'Emission factors'!$K$3:$K$201,0),MATCH(FleetTableFuel[[#Headers],[Indirect WTT]],'Emission factors'!$K$2:$V$2,0)))*$K17)</f>
        <v/>
      </c>
      <c r="V17" s="158" t="str">
        <f>IF(OR($N17="",FleetTableFuel[[#This Row],[RSD]]=""),"",FleetTableFuel[[#This Row],[Total emissions (kgCO2e)]]*(1+FleetTableFuel[[#This Row],[RSD]]))</f>
        <v/>
      </c>
      <c r="W17" s="163" t="str">
        <f>IF(OR($N17="",FleetTableFuel[[#This Row],[RSD]]=""),"",FleetTableFuel[[#This Row],[Total emissions (kgCO2e)]]*(1-FleetTableFuel[[#This Row],[RSD]]))</f>
        <v/>
      </c>
      <c r="X17" s="202" t="str" cm="1">
        <f t="array" ref="X17">IF(OR($C17="",$I17=""),"",(INDEX('Emission factors'!$K$3:$V$201,MATCH('Fleet &amp; stationary assets'!$C17&amp;$D17,'Emission factors'!$J$3:$J$201&amp;'Emission factors'!$K$3:$K$201,0),MATCH(FleetTableFuel[[#Headers],[Outside of scopes]],'Emission factors'!$K$2:$V$2,0)))*$K17)</f>
        <v/>
      </c>
      <c r="Z17" s="1" cm="1">
        <f t="array" ref="Z17">IF(OR(ISERROR(B17:X17)),1,0)</f>
        <v>0</v>
      </c>
      <c r="AA17" s="1">
        <f t="shared" si="0"/>
        <v>0</v>
      </c>
    </row>
    <row r="18" spans="1:27" ht="15" thickBot="1" x14ac:dyDescent="0.4">
      <c r="B18" s="76"/>
      <c r="C18" s="72"/>
      <c r="D18" s="72"/>
      <c r="E18" s="72"/>
      <c r="F18" s="72"/>
      <c r="G18" s="77" t="str">
        <f>IF(F18="","",INDEX(Lists!$BA$4:$BC$31,MATCH(C18,Lists!$AZ$4:$AZ$31,0),MATCH(F18,Lists!$BA$3:$BC$3,0)))</f>
        <v/>
      </c>
      <c r="H18" s="42"/>
      <c r="I18" s="70"/>
      <c r="J18" s="72"/>
      <c r="K18" s="75" t="str" cm="1">
        <f t="array" ref="K18">IF(OR($C18="",$B18="",$I18="",$J18=""),"",IF(J18=L18,I18,(INDEX('Emission factors'!$K$3:$V$201,MATCH(C18&amp;D18,'Emission factors'!$J$3:$J$201&amp;'Emission factors'!$K$3:$K$201,0),MATCH(K$7,'Emission factors'!$K$2:$V$2,0)))*I18))</f>
        <v/>
      </c>
      <c r="L18" s="312" t="str">
        <f>IF(OR($C18="",$B18="",$I18="",$J18=""),"",INDEX('Emission factors'!$K$3:$V$201,MATCH('Fleet &amp; stationary assets'!$C18,'Emission factors'!$J$3:$J$201,0),MATCH($L$7,'Emission factors'!$K$2:$V$2,0)))</f>
        <v/>
      </c>
      <c r="M18" s="313" t="str" cm="1">
        <f t="array" ref="M18">IF(OR(C18="",I18="",FleetTableFuel[[#This Row],[Units]]=""),"",INDEX('Emission factors'!$K$3:$V$201,MATCH(FleetTableFuel[[#This Row],[Fuel]]&amp;D18,'Emission factors'!$J$3:$J$201&amp;'Emission factors'!$K$3:$K$201,0),MATCH(FleetTableFuel[[#Headers],[Total EF (kgCO2e/unit)]],'Emission factors'!$K$2:$V$2,0)))</f>
        <v/>
      </c>
      <c r="N18" s="156" t="str">
        <f>IF(OR(K18="",M18=""),"",SUM(FleetTableFuel[[#This Row],[Direct]:[Indirect WTT]]))</f>
        <v/>
      </c>
      <c r="O18" s="71"/>
      <c r="P18" s="72"/>
      <c r="Q18" s="157" t="str" cm="1">
        <f t="array" ref="Q18">IF(OR($C18="",$I18=""),"",(INDEX('Emission factors'!$K$3:$V$201,MATCH('Fleet &amp; stationary assets'!$C18&amp;$D18,'Emission factors'!$J$3:$J$201&amp;'Emission factors'!$K$3:$K$201,0),MATCH(FleetTableFuel[[#Headers],[Direct]],'Emission factors'!$K$2:$V$2,0)))*$K18)</f>
        <v/>
      </c>
      <c r="R18" s="157" t="str" cm="1">
        <f t="array" ref="R18">IF(OR($C18="",$I18=""),"",(INDEX('Emission factors'!$K$3:$V$201,MATCH('Fleet &amp; stationary assets'!$C18&amp;$D18,'Emission factors'!$J$3:$J$201&amp;'Emission factors'!$K$3:$K$201,0),MATCH(FleetTableFuel[[#Headers],[Indirect generation]],'Emission factors'!$K$2:$V$2,0)))*$K18)</f>
        <v/>
      </c>
      <c r="S18" s="157" t="str" cm="1">
        <f t="array" ref="S18">IF(OR($C18="",$I18=""),"",(INDEX('Emission factors'!$K$3:$V$201,MATCH('Fleet &amp; stationary assets'!$C18&amp;$D18,'Emission factors'!$J$3:$J$201&amp;'Emission factors'!$K$3:$K$201,0),MATCH(FleetTableFuel[[#Headers],[Indirect service]],'Emission factors'!$K$2:$V$2,0)))*$K18)</f>
        <v/>
      </c>
      <c r="T18" s="157" t="str" cm="1">
        <f t="array" ref="T18">IF(OR($C18="",$I18=""),"",(INDEX('Emission factors'!$K$3:$V$201,MATCH('Fleet &amp; stationary assets'!$C18&amp;$D18,'Emission factors'!$J$3:$J$201&amp;'Emission factors'!$K$3:$K$201,0),MATCH(FleetTableFuel[[#Headers],[Indirect T&amp;D]],'Emission factors'!$K$2:$V$2,0)))*$K18)</f>
        <v/>
      </c>
      <c r="U18" s="157" t="str" cm="1">
        <f t="array" ref="U18">IF(OR($C18="",$I18=""),"",(INDEX('Emission factors'!$K$3:$V$201,MATCH('Fleet &amp; stationary assets'!$C18&amp;$D18,'Emission factors'!$J$3:$J$201&amp;'Emission factors'!$K$3:$K$201,0),MATCH(FleetTableFuel[[#Headers],[Indirect WTT]],'Emission factors'!$K$2:$V$2,0)))*$K18)</f>
        <v/>
      </c>
      <c r="V18" s="158" t="str">
        <f>IF(OR($N18="",FleetTableFuel[[#This Row],[RSD]]=""),"",FleetTableFuel[[#This Row],[Total emissions (kgCO2e)]]*(1+FleetTableFuel[[#This Row],[RSD]]))</f>
        <v/>
      </c>
      <c r="W18" s="163" t="str">
        <f>IF(OR($N18="",FleetTableFuel[[#This Row],[RSD]]=""),"",FleetTableFuel[[#This Row],[Total emissions (kgCO2e)]]*(1-FleetTableFuel[[#This Row],[RSD]]))</f>
        <v/>
      </c>
      <c r="X18" s="157" t="str" cm="1">
        <f t="array" ref="X18">IF(OR($C18="",$I18=""),"",(INDEX('Emission factors'!$K$3:$V$201,MATCH('Fleet &amp; stationary assets'!$C18&amp;$D18,'Emission factors'!$J$3:$J$201&amp;'Emission factors'!$K$3:$K$201,0),MATCH(FleetTableFuel[[#Headers],[Outside of scopes]],'Emission factors'!$K$2:$V$2,0)))*$K18)</f>
        <v/>
      </c>
      <c r="Z18" s="1" cm="1">
        <f t="array" ref="Z18">IF(OR(ISERROR(B18:X18)),1,0)</f>
        <v>0</v>
      </c>
      <c r="AA18" s="1">
        <f t="shared" si="0"/>
        <v>0</v>
      </c>
    </row>
    <row r="19" spans="1:27" ht="15" thickBot="1" x14ac:dyDescent="0.4">
      <c r="B19" s="76"/>
      <c r="C19" s="72"/>
      <c r="D19" s="72"/>
      <c r="E19" s="72"/>
      <c r="F19" s="72"/>
      <c r="G19" s="77" t="str">
        <f>IF(F19="","",INDEX(Lists!$BA$4:$BC$31,MATCH(C19,Lists!$AZ$4:$AZ$31,0),MATCH(F19,Lists!$BA$3:$BC$3,0)))</f>
        <v/>
      </c>
      <c r="H19" s="42"/>
      <c r="I19" s="70"/>
      <c r="J19" s="72"/>
      <c r="K19" s="75" t="str" cm="1">
        <f t="array" ref="K19">IF(OR($C19="",$B19="",$I19="",$J19=""),"",IF(J19=L19,I19,(INDEX('Emission factors'!$K$3:$V$201,MATCH(C19&amp;D19,'Emission factors'!$J$3:$J$201&amp;'Emission factors'!$K$3:$K$201,0),MATCH(K$7,'Emission factors'!$K$2:$V$2,0)))*I19))</f>
        <v/>
      </c>
      <c r="L19" s="312" t="str">
        <f>IF(OR($C19="",$B19="",$I19="",$J19=""),"",INDEX('Emission factors'!$K$3:$V$201,MATCH('Fleet &amp; stationary assets'!$C19,'Emission factors'!$J$3:$J$201,0),MATCH($L$7,'Emission factors'!$K$2:$V$2,0)))</f>
        <v/>
      </c>
      <c r="M19" s="313" t="str" cm="1">
        <f t="array" ref="M19">IF(OR(C19="",I19="",FleetTableFuel[[#This Row],[Units]]=""),"",INDEX('Emission factors'!$K$3:$V$201,MATCH(FleetTableFuel[[#This Row],[Fuel]]&amp;D19,'Emission factors'!$J$3:$J$201&amp;'Emission factors'!$K$3:$K$201,0),MATCH(FleetTableFuel[[#Headers],[Total EF (kgCO2e/unit)]],'Emission factors'!$K$2:$V$2,0)))</f>
        <v/>
      </c>
      <c r="N19" s="156" t="str">
        <f>IF(OR(K19="",M19=""),"",SUM(FleetTableFuel[[#This Row],[Direct]:[Indirect WTT]]))</f>
        <v/>
      </c>
      <c r="O19" s="71"/>
      <c r="P19" s="72"/>
      <c r="Q19" s="157" t="str" cm="1">
        <f t="array" ref="Q19">IF(OR($C19="",$I19=""),"",(INDEX('Emission factors'!$K$3:$V$201,MATCH('Fleet &amp; stationary assets'!$C19&amp;$D19,'Emission factors'!$J$3:$J$201&amp;'Emission factors'!$K$3:$K$201,0),MATCH(FleetTableFuel[[#Headers],[Direct]],'Emission factors'!$K$2:$V$2,0)))*$K19)</f>
        <v/>
      </c>
      <c r="R19" s="157" t="str" cm="1">
        <f t="array" ref="R19">IF(OR($C19="",$I19=""),"",(INDEX('Emission factors'!$K$3:$V$201,MATCH('Fleet &amp; stationary assets'!$C19&amp;$D19,'Emission factors'!$J$3:$J$201&amp;'Emission factors'!$K$3:$K$201,0),MATCH(FleetTableFuel[[#Headers],[Indirect generation]],'Emission factors'!$K$2:$V$2,0)))*$K19)</f>
        <v/>
      </c>
      <c r="S19" s="157" t="str" cm="1">
        <f t="array" ref="S19">IF(OR($C19="",$I19=""),"",(INDEX('Emission factors'!$K$3:$V$201,MATCH('Fleet &amp; stationary assets'!$C19&amp;$D19,'Emission factors'!$J$3:$J$201&amp;'Emission factors'!$K$3:$K$201,0),MATCH(FleetTableFuel[[#Headers],[Indirect service]],'Emission factors'!$K$2:$V$2,0)))*$K19)</f>
        <v/>
      </c>
      <c r="T19" s="157" t="str" cm="1">
        <f t="array" ref="T19">IF(OR($C19="",$I19=""),"",(INDEX('Emission factors'!$K$3:$V$201,MATCH('Fleet &amp; stationary assets'!$C19&amp;$D19,'Emission factors'!$J$3:$J$201&amp;'Emission factors'!$K$3:$K$201,0),MATCH(FleetTableFuel[[#Headers],[Indirect T&amp;D]],'Emission factors'!$K$2:$V$2,0)))*$K19)</f>
        <v/>
      </c>
      <c r="U19" s="157" t="str" cm="1">
        <f t="array" ref="U19">IF(OR($C19="",$I19=""),"",(INDEX('Emission factors'!$K$3:$V$201,MATCH('Fleet &amp; stationary assets'!$C19&amp;$D19,'Emission factors'!$J$3:$J$201&amp;'Emission factors'!$K$3:$K$201,0),MATCH(FleetTableFuel[[#Headers],[Indirect WTT]],'Emission factors'!$K$2:$V$2,0)))*$K19)</f>
        <v/>
      </c>
      <c r="V19" s="158" t="str">
        <f>IF(OR($N19="",FleetTableFuel[[#This Row],[RSD]]=""),"",FleetTableFuel[[#This Row],[Total emissions (kgCO2e)]]*(1+FleetTableFuel[[#This Row],[RSD]]))</f>
        <v/>
      </c>
      <c r="W19" s="163" t="str">
        <f>IF(OR($N19="",FleetTableFuel[[#This Row],[RSD]]=""),"",FleetTableFuel[[#This Row],[Total emissions (kgCO2e)]]*(1-FleetTableFuel[[#This Row],[RSD]]))</f>
        <v/>
      </c>
      <c r="X19" s="157" t="str" cm="1">
        <f t="array" ref="X19">IF(OR($C19="",$I19=""),"",(INDEX('Emission factors'!$K$3:$V$201,MATCH('Fleet &amp; stationary assets'!$C19&amp;$D19,'Emission factors'!$J$3:$J$201&amp;'Emission factors'!$K$3:$K$201,0),MATCH(FleetTableFuel[[#Headers],[Outside of scopes]],'Emission factors'!$K$2:$V$2,0)))*$K19)</f>
        <v/>
      </c>
      <c r="Z19" s="1" cm="1">
        <f t="array" ref="Z19">IF(OR(ISERROR(B19:X19)),1,0)</f>
        <v>0</v>
      </c>
      <c r="AA19" s="1">
        <f t="shared" si="0"/>
        <v>0</v>
      </c>
    </row>
    <row r="20" spans="1:27" ht="15" thickBot="1" x14ac:dyDescent="0.4">
      <c r="B20" s="76"/>
      <c r="C20" s="72"/>
      <c r="D20" s="72"/>
      <c r="E20" s="72"/>
      <c r="F20" s="72"/>
      <c r="G20" s="77" t="str">
        <f>IF(F20="","",INDEX(Lists!$BA$4:$BC$31,MATCH(C20,Lists!$AZ$4:$AZ$31,0),MATCH(F20,Lists!$BA$3:$BC$3,0)))</f>
        <v/>
      </c>
      <c r="H20" s="42"/>
      <c r="I20" s="70"/>
      <c r="J20" s="72"/>
      <c r="K20" s="75" t="str" cm="1">
        <f t="array" ref="K20">IF(OR($C20="",$B20="",$I20="",$J20=""),"",IF(J20=L20,I20,(INDEX('Emission factors'!$K$3:$V$201,MATCH(C20&amp;D20,'Emission factors'!$J$3:$J$201&amp;'Emission factors'!$K$3:$K$201,0),MATCH(K$7,'Emission factors'!$K$2:$V$2,0)))*I20))</f>
        <v/>
      </c>
      <c r="L20" s="312" t="str">
        <f>IF(OR($C20="",$B20="",$I20="",$J20=""),"",INDEX('Emission factors'!$K$3:$V$201,MATCH('Fleet &amp; stationary assets'!$C20,'Emission factors'!$J$3:$J$201,0),MATCH($L$7,'Emission factors'!$K$2:$V$2,0)))</f>
        <v/>
      </c>
      <c r="M20" s="313" t="str" cm="1">
        <f t="array" ref="M20">IF(OR(C20="",I20="",FleetTableFuel[[#This Row],[Units]]=""),"",INDEX('Emission factors'!$K$3:$V$201,MATCH(FleetTableFuel[[#This Row],[Fuel]]&amp;D20,'Emission factors'!$J$3:$J$201&amp;'Emission factors'!$K$3:$K$201,0),MATCH(FleetTableFuel[[#Headers],[Total EF (kgCO2e/unit)]],'Emission factors'!$K$2:$V$2,0)))</f>
        <v/>
      </c>
      <c r="N20" s="156" t="str">
        <f>IF(OR(K20="",M20=""),"",SUM(FleetTableFuel[[#This Row],[Direct]:[Indirect WTT]]))</f>
        <v/>
      </c>
      <c r="O20" s="71"/>
      <c r="P20" s="72"/>
      <c r="Q20" s="157" t="str" cm="1">
        <f t="array" ref="Q20">IF(OR($C20="",$I20=""),"",(INDEX('Emission factors'!$K$3:$V$201,MATCH('Fleet &amp; stationary assets'!$C20&amp;$D20,'Emission factors'!$J$3:$J$201&amp;'Emission factors'!$K$3:$K$201,0),MATCH(FleetTableFuel[[#Headers],[Direct]],'Emission factors'!$K$2:$V$2,0)))*$K20)</f>
        <v/>
      </c>
      <c r="R20" s="157" t="str" cm="1">
        <f t="array" ref="R20">IF(OR($C20="",$I20=""),"",(INDEX('Emission factors'!$K$3:$V$201,MATCH('Fleet &amp; stationary assets'!$C20&amp;$D20,'Emission factors'!$J$3:$J$201&amp;'Emission factors'!$K$3:$K$201,0),MATCH(FleetTableFuel[[#Headers],[Indirect generation]],'Emission factors'!$K$2:$V$2,0)))*$K20)</f>
        <v/>
      </c>
      <c r="S20" s="157" t="str" cm="1">
        <f t="array" ref="S20">IF(OR($C20="",$I20=""),"",(INDEX('Emission factors'!$K$3:$V$201,MATCH('Fleet &amp; stationary assets'!$C20&amp;$D20,'Emission factors'!$J$3:$J$201&amp;'Emission factors'!$K$3:$K$201,0),MATCH(FleetTableFuel[[#Headers],[Indirect service]],'Emission factors'!$K$2:$V$2,0)))*$K20)</f>
        <v/>
      </c>
      <c r="T20" s="157" t="str" cm="1">
        <f t="array" ref="T20">IF(OR($C20="",$I20=""),"",(INDEX('Emission factors'!$K$3:$V$201,MATCH('Fleet &amp; stationary assets'!$C20&amp;$D20,'Emission factors'!$J$3:$J$201&amp;'Emission factors'!$K$3:$K$201,0),MATCH(FleetTableFuel[[#Headers],[Indirect T&amp;D]],'Emission factors'!$K$2:$V$2,0)))*$K20)</f>
        <v/>
      </c>
      <c r="U20" s="157" t="str" cm="1">
        <f t="array" ref="U20">IF(OR($C20="",$I20=""),"",(INDEX('Emission factors'!$K$3:$V$201,MATCH('Fleet &amp; stationary assets'!$C20&amp;$D20,'Emission factors'!$J$3:$J$201&amp;'Emission factors'!$K$3:$K$201,0),MATCH(FleetTableFuel[[#Headers],[Indirect WTT]],'Emission factors'!$K$2:$V$2,0)))*$K20)</f>
        <v/>
      </c>
      <c r="V20" s="158" t="str">
        <f>IF(OR($N20="",FleetTableFuel[[#This Row],[RSD]]=""),"",FleetTableFuel[[#This Row],[Total emissions (kgCO2e)]]*(1+FleetTableFuel[[#This Row],[RSD]]))</f>
        <v/>
      </c>
      <c r="W20" s="163" t="str">
        <f>IF(OR($N20="",FleetTableFuel[[#This Row],[RSD]]=""),"",FleetTableFuel[[#This Row],[Total emissions (kgCO2e)]]*(1-FleetTableFuel[[#This Row],[RSD]]))</f>
        <v/>
      </c>
      <c r="X20" s="157" t="str" cm="1">
        <f t="array" ref="X20">IF(OR($C20="",$I20=""),"",(INDEX('Emission factors'!$K$3:$V$201,MATCH('Fleet &amp; stationary assets'!$C20&amp;$D20,'Emission factors'!$J$3:$J$201&amp;'Emission factors'!$K$3:$K$201,0),MATCH(FleetTableFuel[[#Headers],[Outside of scopes]],'Emission factors'!$K$2:$V$2,0)))*$K20)</f>
        <v/>
      </c>
      <c r="Z20" s="1" cm="1">
        <f t="array" ref="Z20">IF(OR(ISERROR(B20:X20)),1,0)</f>
        <v>0</v>
      </c>
      <c r="AA20" s="1">
        <f t="shared" si="0"/>
        <v>0</v>
      </c>
    </row>
    <row r="21" spans="1:27" ht="15" thickBot="1" x14ac:dyDescent="0.4">
      <c r="B21" s="76"/>
      <c r="C21" s="72"/>
      <c r="D21" s="72"/>
      <c r="E21" s="72"/>
      <c r="F21" s="72"/>
      <c r="G21" s="77" t="str">
        <f>IF(F21="","",INDEX(Lists!$BA$4:$BC$31,MATCH(C21,Lists!$AZ$4:$AZ$31,0),MATCH(F21,Lists!$BA$3:$BC$3,0)))</f>
        <v/>
      </c>
      <c r="H21" s="42"/>
      <c r="I21" s="70"/>
      <c r="J21" s="72"/>
      <c r="K21" s="75" t="str" cm="1">
        <f t="array" ref="K21">IF(OR($C21="",$B21="",$I21="",$J21=""),"",IF(J21=L21,I21,(INDEX('Emission factors'!$K$3:$V$201,MATCH(C21&amp;D21,'Emission factors'!$J$3:$J$201&amp;'Emission factors'!$K$3:$K$201,0),MATCH(K$7,'Emission factors'!$K$2:$V$2,0)))*I21))</f>
        <v/>
      </c>
      <c r="L21" s="312" t="str">
        <f>IF(OR($C21="",$B21="",$I21="",$J21=""),"",INDEX('Emission factors'!$K$3:$V$201,MATCH('Fleet &amp; stationary assets'!$C21,'Emission factors'!$J$3:$J$201,0),MATCH($L$7,'Emission factors'!$K$2:$V$2,0)))</f>
        <v/>
      </c>
      <c r="M21" s="313" t="str" cm="1">
        <f t="array" ref="M21">IF(OR(C21="",I21="",FleetTableFuel[[#This Row],[Units]]=""),"",INDEX('Emission factors'!$K$3:$V$201,MATCH(FleetTableFuel[[#This Row],[Fuel]]&amp;D21,'Emission factors'!$J$3:$J$201&amp;'Emission factors'!$K$3:$K$201,0),MATCH(FleetTableFuel[[#Headers],[Total EF (kgCO2e/unit)]],'Emission factors'!$K$2:$V$2,0)))</f>
        <v/>
      </c>
      <c r="N21" s="156" t="str">
        <f>IF(OR(K21="",M21=""),"",SUM(FleetTableFuel[[#This Row],[Direct]:[Indirect WTT]]))</f>
        <v/>
      </c>
      <c r="O21" s="71"/>
      <c r="P21" s="72"/>
      <c r="Q21" s="157" t="str" cm="1">
        <f t="array" ref="Q21">IF(OR($C21="",$I21=""),"",(INDEX('Emission factors'!$K$3:$V$201,MATCH('Fleet &amp; stationary assets'!$C21&amp;$D21,'Emission factors'!$J$3:$J$201&amp;'Emission factors'!$K$3:$K$201,0),MATCH(FleetTableFuel[[#Headers],[Direct]],'Emission factors'!$K$2:$V$2,0)))*$K21)</f>
        <v/>
      </c>
      <c r="R21" s="157" t="str" cm="1">
        <f t="array" ref="R21">IF(OR($C21="",$I21=""),"",(INDEX('Emission factors'!$K$3:$V$201,MATCH('Fleet &amp; stationary assets'!$C21&amp;$D21,'Emission factors'!$J$3:$J$201&amp;'Emission factors'!$K$3:$K$201,0),MATCH(FleetTableFuel[[#Headers],[Indirect generation]],'Emission factors'!$K$2:$V$2,0)))*$K21)</f>
        <v/>
      </c>
      <c r="S21" s="157" t="str" cm="1">
        <f t="array" ref="S21">IF(OR($C21="",$I21=""),"",(INDEX('Emission factors'!$K$3:$V$201,MATCH('Fleet &amp; stationary assets'!$C21&amp;$D21,'Emission factors'!$J$3:$J$201&amp;'Emission factors'!$K$3:$K$201,0),MATCH(FleetTableFuel[[#Headers],[Indirect service]],'Emission factors'!$K$2:$V$2,0)))*$K21)</f>
        <v/>
      </c>
      <c r="T21" s="157" t="str" cm="1">
        <f t="array" ref="T21">IF(OR($C21="",$I21=""),"",(INDEX('Emission factors'!$K$3:$V$201,MATCH('Fleet &amp; stationary assets'!$C21&amp;$D21,'Emission factors'!$J$3:$J$201&amp;'Emission factors'!$K$3:$K$201,0),MATCH(FleetTableFuel[[#Headers],[Indirect T&amp;D]],'Emission factors'!$K$2:$V$2,0)))*$K21)</f>
        <v/>
      </c>
      <c r="U21" s="157" t="str" cm="1">
        <f t="array" ref="U21">IF(OR($C21="",$I21=""),"",(INDEX('Emission factors'!$K$3:$V$201,MATCH('Fleet &amp; stationary assets'!$C21&amp;$D21,'Emission factors'!$J$3:$J$201&amp;'Emission factors'!$K$3:$K$201,0),MATCH(FleetTableFuel[[#Headers],[Indirect WTT]],'Emission factors'!$K$2:$V$2,0)))*$K21)</f>
        <v/>
      </c>
      <c r="V21" s="158" t="str">
        <f>IF(OR($N21="",FleetTableFuel[[#This Row],[RSD]]=""),"",FleetTableFuel[[#This Row],[Total emissions (kgCO2e)]]*(1+FleetTableFuel[[#This Row],[RSD]]))</f>
        <v/>
      </c>
      <c r="W21" s="163" t="str">
        <f>IF(OR($N21="",FleetTableFuel[[#This Row],[RSD]]=""),"",FleetTableFuel[[#This Row],[Total emissions (kgCO2e)]]*(1-FleetTableFuel[[#This Row],[RSD]]))</f>
        <v/>
      </c>
      <c r="X21" s="157" t="str" cm="1">
        <f t="array" ref="X21">IF(OR($C21="",$I21=""),"",(INDEX('Emission factors'!$K$3:$V$201,MATCH('Fleet &amp; stationary assets'!$C21&amp;$D21,'Emission factors'!$J$3:$J$201&amp;'Emission factors'!$K$3:$K$201,0),MATCH(FleetTableFuel[[#Headers],[Outside of scopes]],'Emission factors'!$K$2:$V$2,0)))*$K21)</f>
        <v/>
      </c>
      <c r="Z21" s="1" cm="1">
        <f t="array" ref="Z21">IF(OR(ISERROR(B21:X21)),1,0)</f>
        <v>0</v>
      </c>
      <c r="AA21" s="1">
        <f t="shared" si="0"/>
        <v>0</v>
      </c>
    </row>
    <row r="22" spans="1:27" ht="15" thickBot="1" x14ac:dyDescent="0.4">
      <c r="B22" s="76"/>
      <c r="C22" s="72"/>
      <c r="D22" s="72"/>
      <c r="E22" s="72"/>
      <c r="F22" s="72"/>
      <c r="G22" s="77" t="str">
        <f>IF(F22="","",INDEX(Lists!$BA$4:$BC$31,MATCH(C22,Lists!$AZ$4:$AZ$31,0),MATCH(F22,Lists!$BA$3:$BC$3,0)))</f>
        <v/>
      </c>
      <c r="H22" s="42"/>
      <c r="I22" s="70"/>
      <c r="J22" s="72"/>
      <c r="K22" s="75" t="str" cm="1">
        <f t="array" ref="K22">IF(OR($C22="",$B22="",$I22="",$J22=""),"",IF(J22=L22,I22,(INDEX('Emission factors'!$K$3:$V$201,MATCH(C22&amp;D22,'Emission factors'!$J$3:$J$201&amp;'Emission factors'!$K$3:$K$201,0),MATCH(K$7,'Emission factors'!$K$2:$V$2,0)))*I22))</f>
        <v/>
      </c>
      <c r="L22" s="312" t="str">
        <f>IF(OR($C22="",$B22="",$I22="",$J22=""),"",INDEX('Emission factors'!$K$3:$V$201,MATCH('Fleet &amp; stationary assets'!$C22,'Emission factors'!$J$3:$J$201,0),MATCH($L$7,'Emission factors'!$K$2:$V$2,0)))</f>
        <v/>
      </c>
      <c r="M22" s="313" t="str" cm="1">
        <f t="array" ref="M22">IF(OR(C22="",I22="",FleetTableFuel[[#This Row],[Units]]=""),"",INDEX('Emission factors'!$K$3:$V$201,MATCH(FleetTableFuel[[#This Row],[Fuel]]&amp;D22,'Emission factors'!$J$3:$J$201&amp;'Emission factors'!$K$3:$K$201,0),MATCH(FleetTableFuel[[#Headers],[Total EF (kgCO2e/unit)]],'Emission factors'!$K$2:$V$2,0)))</f>
        <v/>
      </c>
      <c r="N22" s="156" t="str">
        <f>IF(OR(K22="",M22=""),"",SUM(FleetTableFuel[[#This Row],[Direct]:[Indirect WTT]]))</f>
        <v/>
      </c>
      <c r="O22" s="71"/>
      <c r="P22" s="72"/>
      <c r="Q22" s="157" t="str" cm="1">
        <f t="array" ref="Q22">IF(OR($C22="",$I22=""),"",(INDEX('Emission factors'!$K$3:$V$201,MATCH('Fleet &amp; stationary assets'!$C22&amp;$D22,'Emission factors'!$J$3:$J$201&amp;'Emission factors'!$K$3:$K$201,0),MATCH(FleetTableFuel[[#Headers],[Direct]],'Emission factors'!$K$2:$V$2,0)))*$K22)</f>
        <v/>
      </c>
      <c r="R22" s="157" t="str" cm="1">
        <f t="array" ref="R22">IF(OR($C22="",$I22=""),"",(INDEX('Emission factors'!$K$3:$V$201,MATCH('Fleet &amp; stationary assets'!$C22&amp;$D22,'Emission factors'!$J$3:$J$201&amp;'Emission factors'!$K$3:$K$201,0),MATCH(FleetTableFuel[[#Headers],[Indirect generation]],'Emission factors'!$K$2:$V$2,0)))*$K22)</f>
        <v/>
      </c>
      <c r="S22" s="157" t="str" cm="1">
        <f t="array" ref="S22">IF(OR($C22="",$I22=""),"",(INDEX('Emission factors'!$K$3:$V$201,MATCH('Fleet &amp; stationary assets'!$C22&amp;$D22,'Emission factors'!$J$3:$J$201&amp;'Emission factors'!$K$3:$K$201,0),MATCH(FleetTableFuel[[#Headers],[Indirect service]],'Emission factors'!$K$2:$V$2,0)))*$K22)</f>
        <v/>
      </c>
      <c r="T22" s="157" t="str" cm="1">
        <f t="array" ref="T22">IF(OR($C22="",$I22=""),"",(INDEX('Emission factors'!$K$3:$V$201,MATCH('Fleet &amp; stationary assets'!$C22&amp;$D22,'Emission factors'!$J$3:$J$201&amp;'Emission factors'!$K$3:$K$201,0),MATCH(FleetTableFuel[[#Headers],[Indirect T&amp;D]],'Emission factors'!$K$2:$V$2,0)))*$K22)</f>
        <v/>
      </c>
      <c r="U22" s="157" t="str" cm="1">
        <f t="array" ref="U22">IF(OR($C22="",$I22=""),"",(INDEX('Emission factors'!$K$3:$V$201,MATCH('Fleet &amp; stationary assets'!$C22&amp;$D22,'Emission factors'!$J$3:$J$201&amp;'Emission factors'!$K$3:$K$201,0),MATCH(FleetTableFuel[[#Headers],[Indirect WTT]],'Emission factors'!$K$2:$V$2,0)))*$K22)</f>
        <v/>
      </c>
      <c r="V22" s="158" t="str">
        <f>IF(OR($N22="",FleetTableFuel[[#This Row],[RSD]]=""),"",FleetTableFuel[[#This Row],[Total emissions (kgCO2e)]]*(1+FleetTableFuel[[#This Row],[RSD]]))</f>
        <v/>
      </c>
      <c r="W22" s="163" t="str">
        <f>IF(OR($N22="",FleetTableFuel[[#This Row],[RSD]]=""),"",FleetTableFuel[[#This Row],[Total emissions (kgCO2e)]]*(1-FleetTableFuel[[#This Row],[RSD]]))</f>
        <v/>
      </c>
      <c r="X22" s="157" t="str" cm="1">
        <f t="array" ref="X22">IF(OR($C22="",$I22=""),"",(INDEX('Emission factors'!$K$3:$V$201,MATCH('Fleet &amp; stationary assets'!$C22&amp;$D22,'Emission factors'!$J$3:$J$201&amp;'Emission factors'!$K$3:$K$201,0),MATCH(FleetTableFuel[[#Headers],[Outside of scopes]],'Emission factors'!$K$2:$V$2,0)))*$K22)</f>
        <v/>
      </c>
      <c r="Z22" s="1" cm="1">
        <f t="array" ref="Z22">IF(OR(ISERROR(B22:X22)),1,0)</f>
        <v>0</v>
      </c>
      <c r="AA22" s="1">
        <f t="shared" si="0"/>
        <v>0</v>
      </c>
    </row>
    <row r="23" spans="1:27" ht="15" thickBot="1" x14ac:dyDescent="0.4">
      <c r="B23" s="76"/>
      <c r="C23" s="72"/>
      <c r="D23" s="72"/>
      <c r="E23" s="72"/>
      <c r="F23" s="72"/>
      <c r="G23" s="77" t="str">
        <f>IF(F23="","",INDEX(Lists!$BA$4:$BC$31,MATCH(C23,Lists!$AZ$4:$AZ$31,0),MATCH(F23,Lists!$BA$3:$BC$3,0)))</f>
        <v/>
      </c>
      <c r="H23" s="42"/>
      <c r="I23" s="70"/>
      <c r="J23" s="72"/>
      <c r="K23" s="75" t="str" cm="1">
        <f t="array" ref="K23">IF(OR($C23="",$B23="",$I23="",$J23=""),"",IF(J23=L23,I23,(INDEX('Emission factors'!$K$3:$V$201,MATCH(C23&amp;D23,'Emission factors'!$J$3:$J$201&amp;'Emission factors'!$K$3:$K$201,0),MATCH(K$7,'Emission factors'!$K$2:$V$2,0)))*I23))</f>
        <v/>
      </c>
      <c r="L23" s="312" t="str">
        <f>IF(OR($C23="",$B23="",$I23="",$J23=""),"",INDEX('Emission factors'!$K$3:$V$201,MATCH('Fleet &amp; stationary assets'!$C23,'Emission factors'!$J$3:$J$201,0),MATCH($L$7,'Emission factors'!$K$2:$V$2,0)))</f>
        <v/>
      </c>
      <c r="M23" s="313" t="str" cm="1">
        <f t="array" ref="M23">IF(OR(C23="",I23="",FleetTableFuel[[#This Row],[Units]]=""),"",INDEX('Emission factors'!$K$3:$V$201,MATCH(FleetTableFuel[[#This Row],[Fuel]]&amp;D23,'Emission factors'!$J$3:$J$201&amp;'Emission factors'!$K$3:$K$201,0),MATCH(FleetTableFuel[[#Headers],[Total EF (kgCO2e/unit)]],'Emission factors'!$K$2:$V$2,0)))</f>
        <v/>
      </c>
      <c r="N23" s="156" t="str">
        <f>IF(OR(K23="",M23=""),"",SUM(FleetTableFuel[[#This Row],[Direct]:[Indirect WTT]]))</f>
        <v/>
      </c>
      <c r="O23" s="71"/>
      <c r="P23" s="72"/>
      <c r="Q23" s="157" t="str" cm="1">
        <f t="array" ref="Q23">IF(OR($C23="",$I23=""),"",(INDEX('Emission factors'!$K$3:$V$201,MATCH('Fleet &amp; stationary assets'!$C23&amp;$D23,'Emission factors'!$J$3:$J$201&amp;'Emission factors'!$K$3:$K$201,0),MATCH(FleetTableFuel[[#Headers],[Direct]],'Emission factors'!$K$2:$V$2,0)))*$K23)</f>
        <v/>
      </c>
      <c r="R23" s="157" t="str" cm="1">
        <f t="array" ref="R23">IF(OR($C23="",$I23=""),"",(INDEX('Emission factors'!$K$3:$V$201,MATCH('Fleet &amp; stationary assets'!$C23&amp;$D23,'Emission factors'!$J$3:$J$201&amp;'Emission factors'!$K$3:$K$201,0),MATCH(FleetTableFuel[[#Headers],[Indirect generation]],'Emission factors'!$K$2:$V$2,0)))*$K23)</f>
        <v/>
      </c>
      <c r="S23" s="157" t="str" cm="1">
        <f t="array" ref="S23">IF(OR($C23="",$I23=""),"",(INDEX('Emission factors'!$K$3:$V$201,MATCH('Fleet &amp; stationary assets'!$C23&amp;$D23,'Emission factors'!$J$3:$J$201&amp;'Emission factors'!$K$3:$K$201,0),MATCH(FleetTableFuel[[#Headers],[Indirect service]],'Emission factors'!$K$2:$V$2,0)))*$K23)</f>
        <v/>
      </c>
      <c r="T23" s="157" t="str" cm="1">
        <f t="array" ref="T23">IF(OR($C23="",$I23=""),"",(INDEX('Emission factors'!$K$3:$V$201,MATCH('Fleet &amp; stationary assets'!$C23&amp;$D23,'Emission factors'!$J$3:$J$201&amp;'Emission factors'!$K$3:$K$201,0),MATCH(FleetTableFuel[[#Headers],[Indirect T&amp;D]],'Emission factors'!$K$2:$V$2,0)))*$K23)</f>
        <v/>
      </c>
      <c r="U23" s="157" t="str" cm="1">
        <f t="array" ref="U23">IF(OR($C23="",$I23=""),"",(INDEX('Emission factors'!$K$3:$V$201,MATCH('Fleet &amp; stationary assets'!$C23&amp;$D23,'Emission factors'!$J$3:$J$201&amp;'Emission factors'!$K$3:$K$201,0),MATCH(FleetTableFuel[[#Headers],[Indirect WTT]],'Emission factors'!$K$2:$V$2,0)))*$K23)</f>
        <v/>
      </c>
      <c r="V23" s="158" t="str">
        <f>IF(OR($N23="",FleetTableFuel[[#This Row],[RSD]]=""),"",FleetTableFuel[[#This Row],[Total emissions (kgCO2e)]]*(1+FleetTableFuel[[#This Row],[RSD]]))</f>
        <v/>
      </c>
      <c r="W23" s="163" t="str">
        <f>IF(OR($N23="",FleetTableFuel[[#This Row],[RSD]]=""),"",FleetTableFuel[[#This Row],[Total emissions (kgCO2e)]]*(1-FleetTableFuel[[#This Row],[RSD]]))</f>
        <v/>
      </c>
      <c r="X23" s="157" t="str" cm="1">
        <f t="array" ref="X23">IF(OR($C23="",$I23=""),"",(INDEX('Emission factors'!$K$3:$V$201,MATCH('Fleet &amp; stationary assets'!$C23&amp;$D23,'Emission factors'!$J$3:$J$201&amp;'Emission factors'!$K$3:$K$201,0),MATCH(FleetTableFuel[[#Headers],[Outside of scopes]],'Emission factors'!$K$2:$V$2,0)))*$K23)</f>
        <v/>
      </c>
      <c r="Z23" s="1" cm="1">
        <f t="array" ref="Z23">IF(OR(ISERROR(B23:X23)),1,0)</f>
        <v>0</v>
      </c>
      <c r="AA23" s="1">
        <f t="shared" si="0"/>
        <v>0</v>
      </c>
    </row>
    <row r="24" spans="1:27" ht="15" thickBot="1" x14ac:dyDescent="0.4">
      <c r="B24" s="76"/>
      <c r="C24" s="72"/>
      <c r="D24" s="72"/>
      <c r="E24" s="72"/>
      <c r="F24" s="72"/>
      <c r="G24" s="77" t="str">
        <f>IF(F24="","",INDEX(Lists!$BA$4:$BC$31,MATCH(C24,Lists!$AZ$4:$AZ$31,0),MATCH(F24,Lists!$BA$3:$BC$3,0)))</f>
        <v/>
      </c>
      <c r="H24" s="42"/>
      <c r="I24" s="70"/>
      <c r="J24" s="72"/>
      <c r="K24" s="75" t="str" cm="1">
        <f t="array" ref="K24">IF(OR($C24="",$B24="",$I24="",$J24=""),"",IF(J24=L24,I24,(INDEX('Emission factors'!$K$3:$V$201,MATCH(C24&amp;D24,'Emission factors'!$J$3:$J$201&amp;'Emission factors'!$K$3:$K$201,0),MATCH(K$7,'Emission factors'!$K$2:$V$2,0)))*I24))</f>
        <v/>
      </c>
      <c r="L24" s="312" t="str">
        <f>IF(OR($C24="",$B24="",$I24="",$J24=""),"",INDEX('Emission factors'!$K$3:$V$201,MATCH('Fleet &amp; stationary assets'!$C24,'Emission factors'!$J$3:$J$201,0),MATCH($L$7,'Emission factors'!$K$2:$V$2,0)))</f>
        <v/>
      </c>
      <c r="M24" s="313" t="str" cm="1">
        <f t="array" ref="M24">IF(OR(C24="",I24="",FleetTableFuel[[#This Row],[Units]]=""),"",INDEX('Emission factors'!$K$3:$V$201,MATCH(FleetTableFuel[[#This Row],[Fuel]]&amp;D24,'Emission factors'!$J$3:$J$201&amp;'Emission factors'!$K$3:$K$201,0),MATCH(FleetTableFuel[[#Headers],[Total EF (kgCO2e/unit)]],'Emission factors'!$K$2:$V$2,0)))</f>
        <v/>
      </c>
      <c r="N24" s="156" t="str">
        <f>IF(OR(K24="",M24=""),"",SUM(FleetTableFuel[[#This Row],[Direct]:[Indirect WTT]]))</f>
        <v/>
      </c>
      <c r="O24" s="71"/>
      <c r="P24" s="72"/>
      <c r="Q24" s="157" t="str" cm="1">
        <f t="array" ref="Q24">IF(OR($C24="",$I24=""),"",(INDEX('Emission factors'!$K$3:$V$201,MATCH('Fleet &amp; stationary assets'!$C24&amp;$D24,'Emission factors'!$J$3:$J$201&amp;'Emission factors'!$K$3:$K$201,0),MATCH(FleetTableFuel[[#Headers],[Direct]],'Emission factors'!$K$2:$V$2,0)))*$K24)</f>
        <v/>
      </c>
      <c r="R24" s="157" t="str" cm="1">
        <f t="array" ref="R24">IF(OR($C24="",$I24=""),"",(INDEX('Emission factors'!$K$3:$V$201,MATCH('Fleet &amp; stationary assets'!$C24&amp;$D24,'Emission factors'!$J$3:$J$201&amp;'Emission factors'!$K$3:$K$201,0),MATCH(FleetTableFuel[[#Headers],[Indirect generation]],'Emission factors'!$K$2:$V$2,0)))*$K24)</f>
        <v/>
      </c>
      <c r="S24" s="157" t="str" cm="1">
        <f t="array" ref="S24">IF(OR($C24="",$I24=""),"",(INDEX('Emission factors'!$K$3:$V$201,MATCH('Fleet &amp; stationary assets'!$C24&amp;$D24,'Emission factors'!$J$3:$J$201&amp;'Emission factors'!$K$3:$K$201,0),MATCH(FleetTableFuel[[#Headers],[Indirect service]],'Emission factors'!$K$2:$V$2,0)))*$K24)</f>
        <v/>
      </c>
      <c r="T24" s="157" t="str" cm="1">
        <f t="array" ref="T24">IF(OR($C24="",$I24=""),"",(INDEX('Emission factors'!$K$3:$V$201,MATCH('Fleet &amp; stationary assets'!$C24&amp;$D24,'Emission factors'!$J$3:$J$201&amp;'Emission factors'!$K$3:$K$201,0),MATCH(FleetTableFuel[[#Headers],[Indirect T&amp;D]],'Emission factors'!$K$2:$V$2,0)))*$K24)</f>
        <v/>
      </c>
      <c r="U24" s="157" t="str" cm="1">
        <f t="array" ref="U24">IF(OR($C24="",$I24=""),"",(INDEX('Emission factors'!$K$3:$V$201,MATCH('Fleet &amp; stationary assets'!$C24&amp;$D24,'Emission factors'!$J$3:$J$201&amp;'Emission factors'!$K$3:$K$201,0),MATCH(FleetTableFuel[[#Headers],[Indirect WTT]],'Emission factors'!$K$2:$V$2,0)))*$K24)</f>
        <v/>
      </c>
      <c r="V24" s="158" t="str">
        <f>IF(OR($N24="",FleetTableFuel[[#This Row],[RSD]]=""),"",FleetTableFuel[[#This Row],[Total emissions (kgCO2e)]]*(1+FleetTableFuel[[#This Row],[RSD]]))</f>
        <v/>
      </c>
      <c r="W24" s="163" t="str">
        <f>IF(OR($N24="",FleetTableFuel[[#This Row],[RSD]]=""),"",FleetTableFuel[[#This Row],[Total emissions (kgCO2e)]]*(1-FleetTableFuel[[#This Row],[RSD]]))</f>
        <v/>
      </c>
      <c r="X24" s="157" t="str" cm="1">
        <f t="array" ref="X24">IF(OR($C24="",$I24=""),"",(INDEX('Emission factors'!$K$3:$V$201,MATCH('Fleet &amp; stationary assets'!$C24&amp;$D24,'Emission factors'!$J$3:$J$201&amp;'Emission factors'!$K$3:$K$201,0),MATCH(FleetTableFuel[[#Headers],[Outside of scopes]],'Emission factors'!$K$2:$V$2,0)))*$K24)</f>
        <v/>
      </c>
      <c r="Z24" s="1" cm="1">
        <f t="array" ref="Z24">IF(OR(ISERROR(B24:X24)),1,0)</f>
        <v>0</v>
      </c>
      <c r="AA24" s="1">
        <f t="shared" si="0"/>
        <v>0</v>
      </c>
    </row>
    <row r="25" spans="1:27" ht="15" thickBot="1" x14ac:dyDescent="0.4">
      <c r="B25" s="76"/>
      <c r="C25" s="72"/>
      <c r="D25" s="72"/>
      <c r="E25" s="72"/>
      <c r="F25" s="72"/>
      <c r="G25" s="77" t="str">
        <f>IF(F25="","",INDEX(Lists!$BA$4:$BC$31,MATCH(C25,Lists!$AZ$4:$AZ$31,0),MATCH(F25,Lists!$BA$3:$BC$3,0)))</f>
        <v/>
      </c>
      <c r="H25" s="42"/>
      <c r="I25" s="70"/>
      <c r="J25" s="72"/>
      <c r="K25" s="75" t="str" cm="1">
        <f t="array" ref="K25">IF(OR($C25="",$B25="",$I25="",$J25=""),"",IF(J25=L25,I25,(INDEX('Emission factors'!$K$3:$V$201,MATCH(C25&amp;D25,'Emission factors'!$J$3:$J$201&amp;'Emission factors'!$K$3:$K$201,0),MATCH(K$7,'Emission factors'!$K$2:$V$2,0)))*I25))</f>
        <v/>
      </c>
      <c r="L25" s="312" t="str">
        <f>IF(OR($C25="",$B25="",$I25="",$J25=""),"",INDEX('Emission factors'!$K$3:$V$201,MATCH('Fleet &amp; stationary assets'!$C25,'Emission factors'!$J$3:$J$201,0),MATCH($L$7,'Emission factors'!$K$2:$V$2,0)))</f>
        <v/>
      </c>
      <c r="M25" s="313" t="str" cm="1">
        <f t="array" ref="M25">IF(OR(C25="",I25="",FleetTableFuel[[#This Row],[Units]]=""),"",INDEX('Emission factors'!$K$3:$V$201,MATCH(FleetTableFuel[[#This Row],[Fuel]]&amp;D25,'Emission factors'!$J$3:$J$201&amp;'Emission factors'!$K$3:$K$201,0),MATCH(FleetTableFuel[[#Headers],[Total EF (kgCO2e/unit)]],'Emission factors'!$K$2:$V$2,0)))</f>
        <v/>
      </c>
      <c r="N25" s="156" t="str">
        <f>IF(OR(K25="",M25=""),"",SUM(FleetTableFuel[[#This Row],[Direct]:[Indirect WTT]]))</f>
        <v/>
      </c>
      <c r="O25" s="71"/>
      <c r="P25" s="72"/>
      <c r="Q25" s="157" t="str" cm="1">
        <f t="array" ref="Q25">IF(OR($C25="",$I25=""),"",(INDEX('Emission factors'!$K$3:$V$201,MATCH('Fleet &amp; stationary assets'!$C25&amp;$D25,'Emission factors'!$J$3:$J$201&amp;'Emission factors'!$K$3:$K$201,0),MATCH(FleetTableFuel[[#Headers],[Direct]],'Emission factors'!$K$2:$V$2,0)))*$K25)</f>
        <v/>
      </c>
      <c r="R25" s="157" t="str" cm="1">
        <f t="array" ref="R25">IF(OR($C25="",$I25=""),"",(INDEX('Emission factors'!$K$3:$V$201,MATCH('Fleet &amp; stationary assets'!$C25&amp;$D25,'Emission factors'!$J$3:$J$201&amp;'Emission factors'!$K$3:$K$201,0),MATCH(FleetTableFuel[[#Headers],[Indirect generation]],'Emission factors'!$K$2:$V$2,0)))*$K25)</f>
        <v/>
      </c>
      <c r="S25" s="157" t="str" cm="1">
        <f t="array" ref="S25">IF(OR($C25="",$I25=""),"",(INDEX('Emission factors'!$K$3:$V$201,MATCH('Fleet &amp; stationary assets'!$C25&amp;$D25,'Emission factors'!$J$3:$J$201&amp;'Emission factors'!$K$3:$K$201,0),MATCH(FleetTableFuel[[#Headers],[Indirect service]],'Emission factors'!$K$2:$V$2,0)))*$K25)</f>
        <v/>
      </c>
      <c r="T25" s="157" t="str" cm="1">
        <f t="array" ref="T25">IF(OR($C25="",$I25=""),"",(INDEX('Emission factors'!$K$3:$V$201,MATCH('Fleet &amp; stationary assets'!$C25&amp;$D25,'Emission factors'!$J$3:$J$201&amp;'Emission factors'!$K$3:$K$201,0),MATCH(FleetTableFuel[[#Headers],[Indirect T&amp;D]],'Emission factors'!$K$2:$V$2,0)))*$K25)</f>
        <v/>
      </c>
      <c r="U25" s="157" t="str" cm="1">
        <f t="array" ref="U25">IF(OR($C25="",$I25=""),"",(INDEX('Emission factors'!$K$3:$V$201,MATCH('Fleet &amp; stationary assets'!$C25&amp;$D25,'Emission factors'!$J$3:$J$201&amp;'Emission factors'!$K$3:$K$201,0),MATCH(FleetTableFuel[[#Headers],[Indirect WTT]],'Emission factors'!$K$2:$V$2,0)))*$K25)</f>
        <v/>
      </c>
      <c r="V25" s="158" t="str">
        <f>IF(OR($N25="",FleetTableFuel[[#This Row],[RSD]]=""),"",FleetTableFuel[[#This Row],[Total emissions (kgCO2e)]]*(1+FleetTableFuel[[#This Row],[RSD]]))</f>
        <v/>
      </c>
      <c r="W25" s="163" t="str">
        <f>IF(OR($N25="",FleetTableFuel[[#This Row],[RSD]]=""),"",FleetTableFuel[[#This Row],[Total emissions (kgCO2e)]]*(1-FleetTableFuel[[#This Row],[RSD]]))</f>
        <v/>
      </c>
      <c r="X25" s="157" t="str" cm="1">
        <f t="array" ref="X25">IF(OR($C25="",$I25=""),"",(INDEX('Emission factors'!$K$3:$V$201,MATCH('Fleet &amp; stationary assets'!$C25&amp;$D25,'Emission factors'!$J$3:$J$201&amp;'Emission factors'!$K$3:$K$201,0),MATCH(FleetTableFuel[[#Headers],[Outside of scopes]],'Emission factors'!$K$2:$V$2,0)))*$K25)</f>
        <v/>
      </c>
      <c r="Z25" s="1" cm="1">
        <f t="array" ref="Z25">IF(OR(ISERROR(B25:X25)),1,0)</f>
        <v>0</v>
      </c>
      <c r="AA25" s="1">
        <f t="shared" si="0"/>
        <v>0</v>
      </c>
    </row>
    <row r="26" spans="1:27" ht="15" collapsed="1" thickBot="1" x14ac:dyDescent="0.4">
      <c r="B26" s="76"/>
      <c r="C26" s="72"/>
      <c r="D26" s="72"/>
      <c r="E26" s="72"/>
      <c r="F26" s="72"/>
      <c r="G26" s="77" t="str">
        <f>IF(F26="","",INDEX(Lists!$BA$4:$BC$31,MATCH(C26,Lists!$AZ$4:$AZ$31,0),MATCH(F26,Lists!$BA$3:$BC$3,0)))</f>
        <v/>
      </c>
      <c r="H26" s="42"/>
      <c r="I26" s="70"/>
      <c r="J26" s="72"/>
      <c r="K26" s="75" t="str" cm="1">
        <f t="array" ref="K26">IF(OR($C26="",$B26="",$I26="",$J26=""),"",IF(J26=L26,I26,(INDEX('Emission factors'!$K$3:$V$201,MATCH(C26&amp;D26,'Emission factors'!$J$3:$J$201&amp;'Emission factors'!$K$3:$K$201,0),MATCH(K$7,'Emission factors'!$K$2:$V$2,0)))*I26))</f>
        <v/>
      </c>
      <c r="L26" s="312" t="str">
        <f>IF(OR($C26="",$B26="",$I26="",$J26=""),"",INDEX('Emission factors'!$K$3:$V$201,MATCH('Fleet &amp; stationary assets'!$C26,'Emission factors'!$J$3:$J$201,0),MATCH($L$7,'Emission factors'!$K$2:$V$2,0)))</f>
        <v/>
      </c>
      <c r="M26" s="313" t="str" cm="1">
        <f t="array" ref="M26">IF(OR(C26="",I26="",FleetTableFuel[[#This Row],[Units]]=""),"",INDEX('Emission factors'!$K$3:$V$201,MATCH(FleetTableFuel[[#This Row],[Fuel]]&amp;D26,'Emission factors'!$J$3:$J$201&amp;'Emission factors'!$K$3:$K$201,0),MATCH(FleetTableFuel[[#Headers],[Total EF (kgCO2e/unit)]],'Emission factors'!$K$2:$V$2,0)))</f>
        <v/>
      </c>
      <c r="N26" s="156" t="str">
        <f>IF(OR(K26="",M26=""),"",SUM(FleetTableFuel[[#This Row],[Direct]:[Indirect WTT]]))</f>
        <v/>
      </c>
      <c r="O26" s="71"/>
      <c r="P26" s="72"/>
      <c r="Q26" s="157" t="str" cm="1">
        <f t="array" ref="Q26">IF(OR($C26="",$I26=""),"",(INDEX('Emission factors'!$K$3:$V$201,MATCH('Fleet &amp; stationary assets'!$C26&amp;$D26,'Emission factors'!$J$3:$J$201&amp;'Emission factors'!$K$3:$K$201,0),MATCH(FleetTableFuel[[#Headers],[Direct]],'Emission factors'!$K$2:$V$2,0)))*$K26)</f>
        <v/>
      </c>
      <c r="R26" s="157" t="str" cm="1">
        <f t="array" ref="R26">IF(OR($C26="",$I26=""),"",(INDEX('Emission factors'!$K$3:$V$201,MATCH('Fleet &amp; stationary assets'!$C26&amp;$D26,'Emission factors'!$J$3:$J$201&amp;'Emission factors'!$K$3:$K$201,0),MATCH(FleetTableFuel[[#Headers],[Indirect generation]],'Emission factors'!$K$2:$V$2,0)))*$K26)</f>
        <v/>
      </c>
      <c r="S26" s="157" t="str" cm="1">
        <f t="array" ref="S26">IF(OR($C26="",$I26=""),"",(INDEX('Emission factors'!$K$3:$V$201,MATCH('Fleet &amp; stationary assets'!$C26&amp;$D26,'Emission factors'!$J$3:$J$201&amp;'Emission factors'!$K$3:$K$201,0),MATCH(FleetTableFuel[[#Headers],[Indirect service]],'Emission factors'!$K$2:$V$2,0)))*$K26)</f>
        <v/>
      </c>
      <c r="T26" s="157" t="str" cm="1">
        <f t="array" ref="T26">IF(OR($C26="",$I26=""),"",(INDEX('Emission factors'!$K$3:$V$201,MATCH('Fleet &amp; stationary assets'!$C26&amp;$D26,'Emission factors'!$J$3:$J$201&amp;'Emission factors'!$K$3:$K$201,0),MATCH(FleetTableFuel[[#Headers],[Indirect T&amp;D]],'Emission factors'!$K$2:$V$2,0)))*$K26)</f>
        <v/>
      </c>
      <c r="U26" s="157" t="str" cm="1">
        <f t="array" ref="U26">IF(OR($C26="",$I26=""),"",(INDEX('Emission factors'!$K$3:$V$201,MATCH('Fleet &amp; stationary assets'!$C26&amp;$D26,'Emission factors'!$J$3:$J$201&amp;'Emission factors'!$K$3:$K$201,0),MATCH(FleetTableFuel[[#Headers],[Indirect WTT]],'Emission factors'!$K$2:$V$2,0)))*$K26)</f>
        <v/>
      </c>
      <c r="V26" s="158" t="str">
        <f>IF(OR($N26="",FleetTableFuel[[#This Row],[RSD]]=""),"",FleetTableFuel[[#This Row],[Total emissions (kgCO2e)]]*(1+FleetTableFuel[[#This Row],[RSD]]))</f>
        <v/>
      </c>
      <c r="W26" s="163" t="str">
        <f>IF(OR($N26="",FleetTableFuel[[#This Row],[RSD]]=""),"",FleetTableFuel[[#This Row],[Total emissions (kgCO2e)]]*(1-FleetTableFuel[[#This Row],[RSD]]))</f>
        <v/>
      </c>
      <c r="X26" s="157" t="str" cm="1">
        <f t="array" ref="X26">IF(OR($C26="",$I26=""),"",(INDEX('Emission factors'!$K$3:$V$201,MATCH('Fleet &amp; stationary assets'!$C26&amp;$D26,'Emission factors'!$J$3:$J$201&amp;'Emission factors'!$K$3:$K$201,0),MATCH(FleetTableFuel[[#Headers],[Outside of scopes]],'Emission factors'!$K$2:$V$2,0)))*$K26)</f>
        <v/>
      </c>
      <c r="Z26" s="1" cm="1">
        <f t="array" ref="Z26">IF(OR(ISERROR(B26:X26)),1,0)</f>
        <v>0</v>
      </c>
      <c r="AA26" s="1">
        <f t="shared" si="0"/>
        <v>0</v>
      </c>
    </row>
    <row r="27" spans="1:27" ht="15" thickBot="1" x14ac:dyDescent="0.4">
      <c r="B27" s="76"/>
      <c r="C27" s="72"/>
      <c r="D27" s="72"/>
      <c r="E27" s="72"/>
      <c r="F27" s="72"/>
      <c r="G27" s="77" t="str">
        <f>IF(F27="","",INDEX(Lists!$BA$4:$BC$31,MATCH(C27,Lists!$AZ$4:$AZ$31,0),MATCH(F27,Lists!$BA$3:$BC$3,0)))</f>
        <v/>
      </c>
      <c r="H27" s="42"/>
      <c r="I27" s="70"/>
      <c r="J27" s="72"/>
      <c r="K27" s="75" t="str" cm="1">
        <f t="array" ref="K27">IF(OR($C27="",$B27="",$I27="",$J27=""),"",IF(J27=L27,I27,(INDEX('Emission factors'!$K$3:$V$201,MATCH(C27&amp;D27,'Emission factors'!$J$3:$J$201&amp;'Emission factors'!$K$3:$K$201,0),MATCH(K$7,'Emission factors'!$K$2:$V$2,0)))*I27))</f>
        <v/>
      </c>
      <c r="L27" s="312" t="str">
        <f>IF(OR($C27="",$B27="",$I27="",$J27=""),"",INDEX('Emission factors'!$K$3:$V$201,MATCH('Fleet &amp; stationary assets'!$C27,'Emission factors'!$J$3:$J$201,0),MATCH($L$7,'Emission factors'!$K$2:$V$2,0)))</f>
        <v/>
      </c>
      <c r="M27" s="313" t="str" cm="1">
        <f t="array" ref="M27">IF(OR(C27="",I27="",FleetTableFuel[[#This Row],[Units]]=""),"",INDEX('Emission factors'!$K$3:$V$201,MATCH(FleetTableFuel[[#This Row],[Fuel]]&amp;D27,'Emission factors'!$J$3:$J$201&amp;'Emission factors'!$K$3:$K$201,0),MATCH(FleetTableFuel[[#Headers],[Total EF (kgCO2e/unit)]],'Emission factors'!$K$2:$V$2,0)))</f>
        <v/>
      </c>
      <c r="N27" s="156" t="str">
        <f>IF(OR(K27="",M27=""),"",SUM(FleetTableFuel[[#This Row],[Direct]:[Indirect WTT]]))</f>
        <v/>
      </c>
      <c r="O27" s="71"/>
      <c r="P27" s="72"/>
      <c r="Q27" s="157" t="str" cm="1">
        <f t="array" ref="Q27">IF(OR($C27="",$I27=""),"",(INDEX('Emission factors'!$K$3:$V$201,MATCH('Fleet &amp; stationary assets'!$C27&amp;$D27,'Emission factors'!$J$3:$J$201&amp;'Emission factors'!$K$3:$K$201,0),MATCH(FleetTableFuel[[#Headers],[Direct]],'Emission factors'!$K$2:$V$2,0)))*$K27)</f>
        <v/>
      </c>
      <c r="R27" s="157" t="str" cm="1">
        <f t="array" ref="R27">IF(OR($C27="",$I27=""),"",(INDEX('Emission factors'!$K$3:$V$201,MATCH('Fleet &amp; stationary assets'!$C27&amp;$D27,'Emission factors'!$J$3:$J$201&amp;'Emission factors'!$K$3:$K$201,0),MATCH(FleetTableFuel[[#Headers],[Indirect generation]],'Emission factors'!$K$2:$V$2,0)))*$K27)</f>
        <v/>
      </c>
      <c r="S27" s="157" t="str" cm="1">
        <f t="array" ref="S27">IF(OR($C27="",$I27=""),"",(INDEX('Emission factors'!$K$3:$V$201,MATCH('Fleet &amp; stationary assets'!$C27&amp;$D27,'Emission factors'!$J$3:$J$201&amp;'Emission factors'!$K$3:$K$201,0),MATCH(FleetTableFuel[[#Headers],[Indirect service]],'Emission factors'!$K$2:$V$2,0)))*$K27)</f>
        <v/>
      </c>
      <c r="T27" s="157" t="str" cm="1">
        <f t="array" ref="T27">IF(OR($C27="",$I27=""),"",(INDEX('Emission factors'!$K$3:$V$201,MATCH('Fleet &amp; stationary assets'!$C27&amp;$D27,'Emission factors'!$J$3:$J$201&amp;'Emission factors'!$K$3:$K$201,0),MATCH(FleetTableFuel[[#Headers],[Indirect T&amp;D]],'Emission factors'!$K$2:$V$2,0)))*$K27)</f>
        <v/>
      </c>
      <c r="U27" s="157" t="str" cm="1">
        <f t="array" ref="U27">IF(OR($C27="",$I27=""),"",(INDEX('Emission factors'!$K$3:$V$201,MATCH('Fleet &amp; stationary assets'!$C27&amp;$D27,'Emission factors'!$J$3:$J$201&amp;'Emission factors'!$K$3:$K$201,0),MATCH(FleetTableFuel[[#Headers],[Indirect WTT]],'Emission factors'!$K$2:$V$2,0)))*$K27)</f>
        <v/>
      </c>
      <c r="V27" s="158" t="str">
        <f>IF(OR($N27="",FleetTableFuel[[#This Row],[RSD]]=""),"",FleetTableFuel[[#This Row],[Total emissions (kgCO2e)]]*(1+FleetTableFuel[[#This Row],[RSD]]))</f>
        <v/>
      </c>
      <c r="W27" s="163" t="str">
        <f>IF(OR($N27="",FleetTableFuel[[#This Row],[RSD]]=""),"",FleetTableFuel[[#This Row],[Total emissions (kgCO2e)]]*(1-FleetTableFuel[[#This Row],[RSD]]))</f>
        <v/>
      </c>
      <c r="X27" s="161" t="str" cm="1">
        <f t="array" ref="X27">IF(OR($C27="",$I27=""),"",(INDEX('Emission factors'!$K$3:$V$201,MATCH('Fleet &amp; stationary assets'!$C27&amp;$D27,'Emission factors'!$J$3:$J$201&amp;'Emission factors'!$K$3:$K$201,0),MATCH(FleetTableFuel[[#Headers],[Outside of scopes]],'Emission factors'!$K$2:$V$2,0)))*$K27)</f>
        <v/>
      </c>
      <c r="Z27" s="1" cm="1">
        <f t="array" ref="Z27">IF(OR(ISERROR(B27:X27)),1,0)</f>
        <v>0</v>
      </c>
      <c r="AA27" s="1">
        <f t="shared" si="0"/>
        <v>0</v>
      </c>
    </row>
    <row r="28" spans="1:27" x14ac:dyDescent="0.35">
      <c r="A28" s="26"/>
      <c r="B28" s="28"/>
      <c r="C28" s="28"/>
      <c r="D28" s="28"/>
      <c r="E28" s="19"/>
      <c r="F28" s="19"/>
      <c r="G28" s="19"/>
      <c r="H28" s="19"/>
      <c r="I28" s="19"/>
      <c r="J28" s="19"/>
      <c r="K28" s="19"/>
      <c r="L28" s="19"/>
      <c r="M28" s="19"/>
      <c r="N28" s="19"/>
      <c r="O28" s="19"/>
      <c r="P28" s="19"/>
      <c r="Q28" s="19"/>
      <c r="R28" s="19"/>
      <c r="S28" s="19"/>
      <c r="T28" s="19"/>
      <c r="U28" s="328"/>
      <c r="V28" s="62"/>
    </row>
    <row r="29" spans="1:27" ht="19" thickBot="1" x14ac:dyDescent="0.5">
      <c r="B29" s="99" t="s">
        <v>221</v>
      </c>
      <c r="I29" s="317" t="str">
        <f>IF($AA$30=0,"No data entered",IF($Z$30=0,"No errors in this table","There are errors in this table see highlighted row(s)"))</f>
        <v>No data entered</v>
      </c>
      <c r="O29" s="318" t="s">
        <v>174</v>
      </c>
      <c r="T29" s="26"/>
      <c r="U29" s="321"/>
      <c r="V29" s="30"/>
    </row>
    <row r="30" spans="1:27" ht="34.5" customHeight="1" thickBot="1" x14ac:dyDescent="0.4">
      <c r="B30" s="264" t="s">
        <v>202</v>
      </c>
      <c r="C30" s="263" t="s">
        <v>219</v>
      </c>
      <c r="D30" s="263" t="s">
        <v>222</v>
      </c>
      <c r="E30" s="263" t="s">
        <v>220</v>
      </c>
      <c r="F30" s="263" t="s">
        <v>180</v>
      </c>
      <c r="G30" s="263" t="s">
        <v>181</v>
      </c>
      <c r="H30" s="273" t="s">
        <v>19</v>
      </c>
      <c r="I30" s="263" t="s">
        <v>182</v>
      </c>
      <c r="J30" s="263" t="s">
        <v>183</v>
      </c>
      <c r="K30" s="263" t="s">
        <v>184</v>
      </c>
      <c r="L30" s="263" t="s">
        <v>185</v>
      </c>
      <c r="M30" s="263" t="s">
        <v>186</v>
      </c>
      <c r="N30" s="263" t="s">
        <v>187</v>
      </c>
      <c r="O30" s="263" t="s">
        <v>188</v>
      </c>
      <c r="P30" s="263" t="s">
        <v>189</v>
      </c>
      <c r="Q30" s="8" t="s">
        <v>92</v>
      </c>
      <c r="R30" s="8" t="s">
        <v>190</v>
      </c>
      <c r="S30" s="8" t="s">
        <v>191</v>
      </c>
      <c r="T30" s="8" t="s">
        <v>192</v>
      </c>
      <c r="U30" s="8" t="s">
        <v>193</v>
      </c>
      <c r="V30" s="8" t="s">
        <v>100</v>
      </c>
      <c r="W30" s="322" t="s">
        <v>101</v>
      </c>
      <c r="X30" s="8" t="s">
        <v>96</v>
      </c>
      <c r="Z30" s="9">
        <f>SUM(Z31:Z50)</f>
        <v>0</v>
      </c>
      <c r="AA30" s="9">
        <f>SUM(AA31:AA50)</f>
        <v>0</v>
      </c>
    </row>
    <row r="31" spans="1:27" ht="15" thickBot="1" x14ac:dyDescent="0.4">
      <c r="B31" s="76"/>
      <c r="C31" s="72"/>
      <c r="D31" s="72"/>
      <c r="E31" s="72"/>
      <c r="F31" s="72"/>
      <c r="G31" s="77" t="str">
        <f>IF(F31="","",INDEX(Lists!$BA$4:$BC$31,MATCH(B31,Lists!$AZ$4:$AZ$31,0),MATCH(F31,Lists!$BA$3:$BC$3,0)))</f>
        <v/>
      </c>
      <c r="H31" s="42"/>
      <c r="I31" s="229"/>
      <c r="J31" s="72"/>
      <c r="K31" s="75" t="str" cm="1">
        <f t="array" ref="K31">IF(OR($C31="",$B31="",$I31="",$J31=""),"",IF(J31=L31,I31,(INDEX('Emission factors'!$K$3:$V$201,MATCH(B31&amp;D31,'Emission factors'!$J$3:$J$201&amp;'Emission factors'!$K$3:$K$201,0),MATCH(K$7,'Emission factors'!$K$2:$V$2,0)))*I31))</f>
        <v/>
      </c>
      <c r="L31" s="312" t="str">
        <f>IF(OR($C31="",$B31="",$I31="",$J31=""),"",INDEX('Emission factors'!$K$3:$V$212,MATCH('Fleet &amp; stationary assets'!$B31,'Emission factors'!$J$3:$J$212,0),MATCH($L$30,'Emission factors'!$K$2:$V$2,0)))</f>
        <v/>
      </c>
      <c r="M31" s="313" t="str" cm="1">
        <f t="array" ref="M31">IF(OR(FleetTableDistance[[#This Row],[Type]]="",C31="",I31=""),"",INDEX('Emission factors'!$K$3:$V$212,MATCH(FleetTableDistance[[#This Row],[Type]]&amp;C31&amp;FleetTableDistance[[#This Row],[Size]],'Emission factors'!$J$3:$J$212&amp;'Emission factors'!$L$3:$L$212&amp;'Emission factors'!$K$3:$K$212,0),MATCH(FleetTableDistance[[#Headers],[Total EF (kgCO2e/unit)]],'Emission factors'!$K$2:$V$2,0)))</f>
        <v/>
      </c>
      <c r="N31" s="156" t="str">
        <f>IF(OR(K31="",M31=""),"",SUM(FleetTableDistance[[#This Row],[Direct]:[Indirect WTT]]))</f>
        <v/>
      </c>
      <c r="O31" s="71"/>
      <c r="P31" s="72"/>
      <c r="Q31" s="157" t="str" cm="1">
        <f t="array" ref="Q31">IF(OR($C31="",$I31=""),"",(INDEX('Emission factors'!$K$3:$V$381,MATCH(FleetTableDistance[[#This Row],[Type]]&amp;$C31&amp;$D31,'Emission factors'!$J$3:$J$381&amp;'Emission factors'!$L$3:$L$381&amp;'Emission factors'!$K$3:$K$381,0),MATCH(FleetTableDistance[[#Headers],[Direct]],'Emission factors'!$K$2:$V$2,0)))*$K31)</f>
        <v/>
      </c>
      <c r="R31" s="157" t="str" cm="1">
        <f t="array" ref="R31">IF(OR($C31="",$I31=""),"",(INDEX('Emission factors'!$K$3:$V$212,MATCH(FleetTableDistance[[#This Row],[Type]]&amp;$C31&amp;$D31,'Emission factors'!$J$3:$J$212&amp;'Emission factors'!$L$3:$L$212&amp;'Emission factors'!$K$3:$K$212,0),MATCH(FleetTableDistance[[#Headers],[Indirect generation]],'Emission factors'!$K$2:$V$2,0)))*$K31)</f>
        <v/>
      </c>
      <c r="S31" s="157" t="str" cm="1">
        <f t="array" ref="S31">IF(OR($C31="",$I31=""),"",(INDEX('Emission factors'!$K$3:$V$212,MATCH(FleetTableDistance[[#This Row],[Type]]&amp;$C31&amp;$D31,'Emission factors'!$J$3:$J$212&amp;'Emission factors'!$L$3:$L$212&amp;'Emission factors'!$K$3:$K$212,0),MATCH(FleetTableDistance[[#Headers],[Indirect service]],'Emission factors'!$K$2:$V$2,0)))*$K31)</f>
        <v/>
      </c>
      <c r="T31" s="157" t="str" cm="1">
        <f t="array" ref="T31">IF(OR($C31="",$I31=""),"",(INDEX('Emission factors'!$K$3:$V$212,MATCH(FleetTableDistance[[#This Row],[Type]]&amp;$C31&amp;$D31,'Emission factors'!$J$3:$J$212&amp;'Emission factors'!$L$3:$L$212&amp;'Emission factors'!$K$3:$K$212,0),MATCH(FleetTableDistance[[#Headers],[Indirect T&amp;D]],'Emission factors'!$K$2:$V$2,0)))*$K31)</f>
        <v/>
      </c>
      <c r="U31" s="157" t="str" cm="1">
        <f t="array" ref="U31">IF(OR($C31="",$I31=""),"",(INDEX('Emission factors'!$K$3:$V$212,MATCH(FleetTableDistance[[#This Row],[Type]]&amp;$C31&amp;$D31,'Emission factors'!$J$3:$J$212&amp;'Emission factors'!$L$3:$L$212&amp;'Emission factors'!$K$3:$K$212,0),MATCH(FleetTableDistance[[#Headers],[Indirect WTT]],'Emission factors'!$K$2:$V$2,0)))*$K31)</f>
        <v/>
      </c>
      <c r="V31" s="158" t="str">
        <f>IF(OR($N31="",FleetTableDistance[[#This Row],[RSD]]=""),"",FleetTableDistance[[#This Row],[Total emissions (kgCO2e)]]*(1+FleetTableDistance[[#This Row],[RSD]]))</f>
        <v/>
      </c>
      <c r="W31" s="163" t="str">
        <f>IF(OR($N31="",FleetTableDistance[[#This Row],[RSD]]=""),"",FleetTableDistance[[#This Row],[Total emissions (kgCO2e)]]*(1-FleetTableDistance[[#This Row],[RSD]]))</f>
        <v/>
      </c>
      <c r="X31" s="157" t="str" cm="1">
        <f t="array" ref="X31">IF(OR($C31="",$I31=""),"",(INDEX('Emission factors'!$K$3:$V$212,MATCH(FleetTableDistance[[#This Row],[Type]]&amp;$C31&amp;$D31,'Emission factors'!$J$3:$J$212&amp;'Emission factors'!$L$3:$L$212&amp;'Emission factors'!$K$3:$K$212,0),MATCH(FleetTableDistance[[#Headers],[Outside of scopes]],'Emission factors'!$K$2:$V$2,0)))*$K31)</f>
        <v/>
      </c>
      <c r="Z31" s="1" cm="1">
        <f t="array" ref="Z31">IF(OR(ISERROR(B31:X31)),1,0)</f>
        <v>0</v>
      </c>
      <c r="AA31" s="1">
        <f t="shared" ref="AA31:AA50" si="1">IF(AND(C31="",I31="",J31=""),0,1)</f>
        <v>0</v>
      </c>
    </row>
    <row r="32" spans="1:27" ht="15" thickBot="1" x14ac:dyDescent="0.4">
      <c r="B32" s="76"/>
      <c r="C32" s="72"/>
      <c r="D32" s="72"/>
      <c r="E32" s="72"/>
      <c r="F32" s="72"/>
      <c r="G32" s="77" t="str">
        <f>IF(F32="","",INDEX(Lists!$BA$4:$BC$31,MATCH(B32,Lists!$AZ$4:$AZ$31,0),MATCH(F32,Lists!$BA$3:$BC$3,0)))</f>
        <v/>
      </c>
      <c r="H32" s="42"/>
      <c r="I32" s="229"/>
      <c r="J32" s="72"/>
      <c r="K32" s="75" t="str" cm="1">
        <f t="array" ref="K32">IF(OR($C32="",$B32="",$I32="",$J32=""),"",IF(J32=L32,I32,(INDEX('Emission factors'!$K$3:$V$201,MATCH(B32&amp;D32,'Emission factors'!$J$3:$J$201&amp;'Emission factors'!$K$3:$K$201,0),MATCH(K$7,'Emission factors'!$K$2:$V$2,0)))*I32))</f>
        <v/>
      </c>
      <c r="L32" s="312" t="str">
        <f>IF(OR($C32="",$B32="",$I32="",$J32=""),"",INDEX('Emission factors'!$K$3:$V$212,MATCH('Fleet &amp; stationary assets'!$B32,'Emission factors'!$J$3:$J$212,0),MATCH($L$30,'Emission factors'!$K$2:$V$2,0)))</f>
        <v/>
      </c>
      <c r="M32" s="313" t="str" cm="1">
        <f t="array" ref="M32">IF(OR(FleetTableDistance[[#This Row],[Type]]="",C32="",I32=""),"",INDEX('Emission factors'!$K$3:$V$212,MATCH(FleetTableDistance[[#This Row],[Type]]&amp;C32&amp;FleetTableDistance[[#This Row],[Size]],'Emission factors'!$J$3:$J$212&amp;'Emission factors'!$L$3:$L$212&amp;'Emission factors'!$K$3:$K$212,0),MATCH(FleetTableDistance[[#Headers],[Total EF (kgCO2e/unit)]],'Emission factors'!$K$2:$V$2,0)))</f>
        <v/>
      </c>
      <c r="N32" s="156" t="str">
        <f>IF(OR(K32="",M32=""),"",SUM(FleetTableDistance[[#This Row],[Direct]:[Indirect WTT]]))</f>
        <v/>
      </c>
      <c r="O32" s="71"/>
      <c r="P32" s="72"/>
      <c r="Q32" s="157" t="str" cm="1">
        <f t="array" ref="Q32">IF(OR($C32="",$I32=""),"",(INDEX('Emission factors'!$K$3:$V$381,MATCH(FleetTableDistance[[#This Row],[Type]]&amp;$C32&amp;$D32,'Emission factors'!$J$3:$J$381&amp;'Emission factors'!$L$3:$L$381&amp;'Emission factors'!$K$3:$K$381,0),MATCH(FleetTableDistance[[#Headers],[Direct]],'Emission factors'!$K$2:$V$2,0)))*$K32)</f>
        <v/>
      </c>
      <c r="R32" s="157" t="str" cm="1">
        <f t="array" ref="R32">IF(OR($C32="",$I32=""),"",(INDEX('Emission factors'!$K$3:$V$212,MATCH(FleetTableDistance[[#This Row],[Type]]&amp;$C32&amp;$D32,'Emission factors'!$J$3:$J$212&amp;'Emission factors'!$L$3:$L$212&amp;'Emission factors'!$K$3:$K$212,0),MATCH(FleetTableDistance[[#Headers],[Indirect generation]],'Emission factors'!$K$2:$V$2,0)))*$K32)</f>
        <v/>
      </c>
      <c r="S32" s="157" t="str" cm="1">
        <f t="array" ref="S32">IF(OR($C32="",$I32=""),"",(INDEX('Emission factors'!$K$3:$V$212,MATCH(FleetTableDistance[[#This Row],[Type]]&amp;$C32&amp;$D32,'Emission factors'!$J$3:$J$212&amp;'Emission factors'!$L$3:$L$212&amp;'Emission factors'!$K$3:$K$212,0),MATCH(FleetTableDistance[[#Headers],[Indirect service]],'Emission factors'!$K$2:$V$2,0)))*$K32)</f>
        <v/>
      </c>
      <c r="T32" s="157" t="str" cm="1">
        <f t="array" ref="T32">IF(OR($C32="",$I32=""),"",(INDEX('Emission factors'!$K$3:$V$212,MATCH(FleetTableDistance[[#This Row],[Type]]&amp;$C32&amp;$D32,'Emission factors'!$J$3:$J$212&amp;'Emission factors'!$L$3:$L$212&amp;'Emission factors'!$K$3:$K$212,0),MATCH(FleetTableDistance[[#Headers],[Indirect T&amp;D]],'Emission factors'!$K$2:$V$2,0)))*$K32)</f>
        <v/>
      </c>
      <c r="U32" s="157" t="str" cm="1">
        <f t="array" ref="U32">IF(OR($C32="",$I32=""),"",(INDEX('Emission factors'!$K$3:$V$212,MATCH(FleetTableDistance[[#This Row],[Type]]&amp;$C32&amp;$D32,'Emission factors'!$J$3:$J$212&amp;'Emission factors'!$L$3:$L$212&amp;'Emission factors'!$K$3:$K$212,0),MATCH(FleetTableDistance[[#Headers],[Indirect WTT]],'Emission factors'!$K$2:$V$2,0)))*$K32)</f>
        <v/>
      </c>
      <c r="V32" s="158" t="str">
        <f>IF(OR($N32="",FleetTableDistance[[#This Row],[RSD]]=""),"",FleetTableDistance[[#This Row],[Total emissions (kgCO2e)]]*(1+FleetTableDistance[[#This Row],[RSD]]))</f>
        <v/>
      </c>
      <c r="W32" s="163" t="str">
        <f>IF(OR($N32="",FleetTableDistance[[#This Row],[RSD]]=""),"",FleetTableDistance[[#This Row],[Total emissions (kgCO2e)]]*(1-FleetTableDistance[[#This Row],[RSD]]))</f>
        <v/>
      </c>
      <c r="X32" s="157" t="str" cm="1">
        <f t="array" ref="X32">IF(OR($C32="",$I32=""),"",(INDEX('Emission factors'!$K$3:$V$212,MATCH(FleetTableDistance[[#This Row],[Type]]&amp;$C32&amp;$D32,'Emission factors'!$J$3:$J$212&amp;'Emission factors'!$L$3:$L$212&amp;'Emission factors'!$K$3:$K$212,0),MATCH(FleetTableDistance[[#Headers],[Outside of scopes]],'Emission factors'!$K$2:$V$2,0)))*$K32)</f>
        <v/>
      </c>
      <c r="Z32" s="1" cm="1">
        <f t="array" ref="Z32">IF(OR(ISERROR(B32:X32)),1,0)</f>
        <v>0</v>
      </c>
      <c r="AA32" s="1">
        <f t="shared" si="1"/>
        <v>0</v>
      </c>
    </row>
    <row r="33" spans="2:27" ht="15" thickBot="1" x14ac:dyDescent="0.4">
      <c r="B33" s="76"/>
      <c r="C33" s="72"/>
      <c r="D33" s="72"/>
      <c r="E33" s="72"/>
      <c r="F33" s="72"/>
      <c r="G33" s="77" t="str">
        <f>IF(F33="","",INDEX(Lists!$BA$4:$BC$31,MATCH(B33,Lists!$AZ$4:$AZ$31,0),MATCH(F33,Lists!$BA$3:$BC$3,0)))</f>
        <v/>
      </c>
      <c r="H33" s="42"/>
      <c r="I33" s="229"/>
      <c r="J33" s="72"/>
      <c r="K33" s="75" t="str" cm="1">
        <f t="array" ref="K33">IF(OR($C33="",$B33="",$I33="",$J33=""),"",IF(J33=L33,I33,(INDEX('Emission factors'!$K$3:$V$201,MATCH(B33&amp;D33,'Emission factors'!$J$3:$J$201&amp;'Emission factors'!$K$3:$K$201,0),MATCH(K$7,'Emission factors'!$K$2:$V$2,0)))*I33))</f>
        <v/>
      </c>
      <c r="L33" s="312" t="str">
        <f>IF(OR($C33="",$B33="",$I33="",$J33=""),"",INDEX('Emission factors'!$K$3:$V$212,MATCH('Fleet &amp; stationary assets'!$B33,'Emission factors'!$J$3:$J$212,0),MATCH($L$30,'Emission factors'!$K$2:$V$2,0)))</f>
        <v/>
      </c>
      <c r="M33" s="313" t="str" cm="1">
        <f t="array" ref="M33">IF(OR(FleetTableDistance[[#This Row],[Type]]="",C33="",I33=""),"",INDEX('Emission factors'!$K$3:$V$212,MATCH(FleetTableDistance[[#This Row],[Type]]&amp;C33&amp;FleetTableDistance[[#This Row],[Size]],'Emission factors'!$J$3:$J$212&amp;'Emission factors'!$L$3:$L$212&amp;'Emission factors'!$K$3:$K$212,0),MATCH(FleetTableDistance[[#Headers],[Total EF (kgCO2e/unit)]],'Emission factors'!$K$2:$V$2,0)))</f>
        <v/>
      </c>
      <c r="N33" s="156" t="str">
        <f>IF(OR(K33="",M33=""),"",SUM(FleetTableDistance[[#This Row],[Direct]:[Indirect WTT]]))</f>
        <v/>
      </c>
      <c r="O33" s="71"/>
      <c r="P33" s="72"/>
      <c r="Q33" s="157" t="str" cm="1">
        <f t="array" ref="Q33">IF(OR($C33="",$I33=""),"",(INDEX('Emission factors'!$K$3:$V$381,MATCH(FleetTableDistance[[#This Row],[Type]]&amp;$C33&amp;$D33,'Emission factors'!$J$3:$J$381&amp;'Emission factors'!$L$3:$L$381&amp;'Emission factors'!$K$3:$K$381,0),MATCH(FleetTableDistance[[#Headers],[Direct]],'Emission factors'!$K$2:$V$2,0)))*$K33)</f>
        <v/>
      </c>
      <c r="R33" s="157" t="str" cm="1">
        <f t="array" ref="R33">IF(OR($C33="",$I33=""),"",(INDEX('Emission factors'!$K$3:$V$212,MATCH(FleetTableDistance[[#This Row],[Type]]&amp;$C33&amp;$D33,'Emission factors'!$J$3:$J$212&amp;'Emission factors'!$L$3:$L$212&amp;'Emission factors'!$K$3:$K$212,0),MATCH(FleetTableDistance[[#Headers],[Indirect generation]],'Emission factors'!$K$2:$V$2,0)))*$K33)</f>
        <v/>
      </c>
      <c r="S33" s="157" t="str" cm="1">
        <f t="array" ref="S33">IF(OR($C33="",$I33=""),"",(INDEX('Emission factors'!$K$3:$V$212,MATCH(FleetTableDistance[[#This Row],[Type]]&amp;$C33&amp;$D33,'Emission factors'!$J$3:$J$212&amp;'Emission factors'!$L$3:$L$212&amp;'Emission factors'!$K$3:$K$212,0),MATCH(FleetTableDistance[[#Headers],[Indirect service]],'Emission factors'!$K$2:$V$2,0)))*$K33)</f>
        <v/>
      </c>
      <c r="T33" s="157" t="str" cm="1">
        <f t="array" ref="T33">IF(OR($C33="",$I33=""),"",(INDEX('Emission factors'!$K$3:$V$212,MATCH(FleetTableDistance[[#This Row],[Type]]&amp;$C33&amp;$D33,'Emission factors'!$J$3:$J$212&amp;'Emission factors'!$L$3:$L$212&amp;'Emission factors'!$K$3:$K$212,0),MATCH(FleetTableDistance[[#Headers],[Indirect T&amp;D]],'Emission factors'!$K$2:$V$2,0)))*$K33)</f>
        <v/>
      </c>
      <c r="U33" s="157" t="str" cm="1">
        <f t="array" ref="U33">IF(OR($C33="",$I33=""),"",(INDEX('Emission factors'!$K$3:$V$212,MATCH(FleetTableDistance[[#This Row],[Type]]&amp;$C33&amp;$D33,'Emission factors'!$J$3:$J$212&amp;'Emission factors'!$L$3:$L$212&amp;'Emission factors'!$K$3:$K$212,0),MATCH(FleetTableDistance[[#Headers],[Indirect WTT]],'Emission factors'!$K$2:$V$2,0)))*$K33)</f>
        <v/>
      </c>
      <c r="V33" s="158" t="str">
        <f>IF(OR($N33="",FleetTableDistance[[#This Row],[RSD]]=""),"",FleetTableDistance[[#This Row],[Total emissions (kgCO2e)]]*(1+FleetTableDistance[[#This Row],[RSD]]))</f>
        <v/>
      </c>
      <c r="W33" s="163" t="str">
        <f>IF(OR($N33="",FleetTableDistance[[#This Row],[RSD]]=""),"",FleetTableDistance[[#This Row],[Total emissions (kgCO2e)]]*(1-FleetTableDistance[[#This Row],[RSD]]))</f>
        <v/>
      </c>
      <c r="X33" s="157" t="str" cm="1">
        <f t="array" ref="X33">IF(OR($C33="",$I33=""),"",(INDEX('Emission factors'!$K$3:$V$212,MATCH(FleetTableDistance[[#This Row],[Type]]&amp;$C33&amp;$D33,'Emission factors'!$J$3:$J$212&amp;'Emission factors'!$L$3:$L$212&amp;'Emission factors'!$K$3:$K$212,0),MATCH(FleetTableDistance[[#Headers],[Outside of scopes]],'Emission factors'!$K$2:$V$2,0)))*$K33)</f>
        <v/>
      </c>
      <c r="Z33" s="1" cm="1">
        <f t="array" ref="Z33">IF(OR(ISERROR(B33:X33)),1,0)</f>
        <v>0</v>
      </c>
      <c r="AA33" s="1">
        <f t="shared" si="1"/>
        <v>0</v>
      </c>
    </row>
    <row r="34" spans="2:27" ht="15" thickBot="1" x14ac:dyDescent="0.4">
      <c r="B34" s="76"/>
      <c r="C34" s="72"/>
      <c r="D34" s="72"/>
      <c r="E34" s="72"/>
      <c r="F34" s="72"/>
      <c r="G34" s="77" t="str">
        <f>IF(F34="","",INDEX(Lists!$BA$4:$BC$31,MATCH(B34,Lists!$AZ$4:$AZ$31,0),MATCH(F34,Lists!$BA$3:$BC$3,0)))</f>
        <v/>
      </c>
      <c r="H34" s="42"/>
      <c r="I34" s="229"/>
      <c r="J34" s="72"/>
      <c r="K34" s="75" t="str" cm="1">
        <f t="array" ref="K34">IF(OR($C34="",$B34="",$I34="",$J34=""),"",IF(J34=L34,I34,(INDEX('Emission factors'!$K$3:$V$201,MATCH(B34&amp;D34,'Emission factors'!$J$3:$J$201&amp;'Emission factors'!$K$3:$K$201,0),MATCH(K$7,'Emission factors'!$K$2:$V$2,0)))*I34))</f>
        <v/>
      </c>
      <c r="L34" s="312" t="str">
        <f>IF(OR($C34="",$B34="",$I34="",$J34=""),"",INDEX('Emission factors'!$K$3:$V$212,MATCH('Fleet &amp; stationary assets'!$B34,'Emission factors'!$J$3:$J$212,0),MATCH($L$30,'Emission factors'!$K$2:$V$2,0)))</f>
        <v/>
      </c>
      <c r="M34" s="313" t="str" cm="1">
        <f t="array" ref="M34">IF(OR(FleetTableDistance[[#This Row],[Type]]="",C34="",I34=""),"",INDEX('Emission factors'!$K$3:$V$212,MATCH(FleetTableDistance[[#This Row],[Type]]&amp;C34&amp;FleetTableDistance[[#This Row],[Size]],'Emission factors'!$J$3:$J$212&amp;'Emission factors'!$L$3:$L$212&amp;'Emission factors'!$K$3:$K$212,0),MATCH(FleetTableDistance[[#Headers],[Total EF (kgCO2e/unit)]],'Emission factors'!$K$2:$V$2,0)))</f>
        <v/>
      </c>
      <c r="N34" s="156" t="str">
        <f>IF(OR(K34="",M34=""),"",SUM(FleetTableDistance[[#This Row],[Direct]:[Indirect WTT]]))</f>
        <v/>
      </c>
      <c r="O34" s="71"/>
      <c r="P34" s="72"/>
      <c r="Q34" s="157" t="str" cm="1">
        <f t="array" ref="Q34">IF(OR($C34="",$I34=""),"",(INDEX('Emission factors'!$K$3:$V$381,MATCH(FleetTableDistance[[#This Row],[Type]]&amp;$C34&amp;$D34,'Emission factors'!$J$3:$J$381&amp;'Emission factors'!$L$3:$L$381&amp;'Emission factors'!$K$3:$K$381,0),MATCH(FleetTableDistance[[#Headers],[Direct]],'Emission factors'!$K$2:$V$2,0)))*$K34)</f>
        <v/>
      </c>
      <c r="R34" s="157" t="str" cm="1">
        <f t="array" ref="R34">IF(OR($C34="",$I34=""),"",(INDEX('Emission factors'!$K$3:$V$212,MATCH(FleetTableDistance[[#This Row],[Type]]&amp;$C34&amp;$D34,'Emission factors'!$J$3:$J$212&amp;'Emission factors'!$L$3:$L$212&amp;'Emission factors'!$K$3:$K$212,0),MATCH(FleetTableDistance[[#Headers],[Indirect generation]],'Emission factors'!$K$2:$V$2,0)))*$K34)</f>
        <v/>
      </c>
      <c r="S34" s="157" t="str" cm="1">
        <f t="array" ref="S34">IF(OR($C34="",$I34=""),"",(INDEX('Emission factors'!$K$3:$V$212,MATCH(FleetTableDistance[[#This Row],[Type]]&amp;$C34&amp;$D34,'Emission factors'!$J$3:$J$212&amp;'Emission factors'!$L$3:$L$212&amp;'Emission factors'!$K$3:$K$212,0),MATCH(FleetTableDistance[[#Headers],[Indirect service]],'Emission factors'!$K$2:$V$2,0)))*$K34)</f>
        <v/>
      </c>
      <c r="T34" s="157" t="str" cm="1">
        <f t="array" ref="T34">IF(OR($C34="",$I34=""),"",(INDEX('Emission factors'!$K$3:$V$212,MATCH(FleetTableDistance[[#This Row],[Type]]&amp;$C34&amp;$D34,'Emission factors'!$J$3:$J$212&amp;'Emission factors'!$L$3:$L$212&amp;'Emission factors'!$K$3:$K$212,0),MATCH(FleetTableDistance[[#Headers],[Indirect T&amp;D]],'Emission factors'!$K$2:$V$2,0)))*$K34)</f>
        <v/>
      </c>
      <c r="U34" s="157" t="str" cm="1">
        <f t="array" ref="U34">IF(OR($C34="",$I34=""),"",(INDEX('Emission factors'!$K$3:$V$212,MATCH(FleetTableDistance[[#This Row],[Type]]&amp;$C34&amp;$D34,'Emission factors'!$J$3:$J$212&amp;'Emission factors'!$L$3:$L$212&amp;'Emission factors'!$K$3:$K$212,0),MATCH(FleetTableDistance[[#Headers],[Indirect WTT]],'Emission factors'!$K$2:$V$2,0)))*$K34)</f>
        <v/>
      </c>
      <c r="V34" s="158" t="str">
        <f>IF(OR($N34="",FleetTableDistance[[#This Row],[RSD]]=""),"",FleetTableDistance[[#This Row],[Total emissions (kgCO2e)]]*(1+FleetTableDistance[[#This Row],[RSD]]))</f>
        <v/>
      </c>
      <c r="W34" s="163" t="str">
        <f>IF(OR($N34="",FleetTableDistance[[#This Row],[RSD]]=""),"",FleetTableDistance[[#This Row],[Total emissions (kgCO2e)]]*(1-FleetTableDistance[[#This Row],[RSD]]))</f>
        <v/>
      </c>
      <c r="X34" s="157" t="str" cm="1">
        <f t="array" ref="X34">IF(OR($C34="",$I34=""),"",(INDEX('Emission factors'!$K$3:$V$212,MATCH(FleetTableDistance[[#This Row],[Type]]&amp;$C34&amp;$D34,'Emission factors'!$J$3:$J$212&amp;'Emission factors'!$L$3:$L$212&amp;'Emission factors'!$K$3:$K$212,0),MATCH(FleetTableDistance[[#Headers],[Outside of scopes]],'Emission factors'!$K$2:$V$2,0)))*$K34)</f>
        <v/>
      </c>
      <c r="Z34" s="1" cm="1">
        <f t="array" ref="Z34">IF(OR(ISERROR(B34:X34)),1,0)</f>
        <v>0</v>
      </c>
      <c r="AA34" s="1">
        <f t="shared" si="1"/>
        <v>0</v>
      </c>
    </row>
    <row r="35" spans="2:27" ht="15" thickBot="1" x14ac:dyDescent="0.4">
      <c r="B35" s="76"/>
      <c r="C35" s="72"/>
      <c r="D35" s="72"/>
      <c r="E35" s="72"/>
      <c r="F35" s="72"/>
      <c r="G35" s="77" t="str">
        <f>IF(F35="","",INDEX(Lists!$BA$4:$BC$31,MATCH(B35,Lists!$AZ$4:$AZ$31,0),MATCH(F35,Lists!$BA$3:$BC$3,0)))</f>
        <v/>
      </c>
      <c r="H35" s="42"/>
      <c r="I35" s="229"/>
      <c r="J35" s="72"/>
      <c r="K35" s="75" t="str" cm="1">
        <f t="array" ref="K35">IF(OR($C35="",$B35="",$I35="",$J35=""),"",IF(J35=L35,I35,(INDEX('Emission factors'!$K$3:$V$201,MATCH(B35&amp;D35,'Emission factors'!$J$3:$J$201&amp;'Emission factors'!$K$3:$K$201,0),MATCH(K$7,'Emission factors'!$K$2:$V$2,0)))*I35))</f>
        <v/>
      </c>
      <c r="L35" s="312" t="str">
        <f>IF(OR($C35="",$B35="",$I35="",$J35=""),"",INDEX('Emission factors'!$K$3:$V$212,MATCH('Fleet &amp; stationary assets'!$B35,'Emission factors'!$J$3:$J$212,0),MATCH($L$30,'Emission factors'!$K$2:$V$2,0)))</f>
        <v/>
      </c>
      <c r="M35" s="313" t="str" cm="1">
        <f t="array" ref="M35">IF(OR(FleetTableDistance[[#This Row],[Type]]="",C35="",I35=""),"",INDEX('Emission factors'!$K$3:$V$212,MATCH(FleetTableDistance[[#This Row],[Type]]&amp;C35&amp;FleetTableDistance[[#This Row],[Size]],'Emission factors'!$J$3:$J$212&amp;'Emission factors'!$L$3:$L$212&amp;'Emission factors'!$K$3:$K$212,0),MATCH(FleetTableDistance[[#Headers],[Total EF (kgCO2e/unit)]],'Emission factors'!$K$2:$V$2,0)))</f>
        <v/>
      </c>
      <c r="N35" s="156" t="str">
        <f>IF(OR(K35="",M35=""),"",SUM(FleetTableDistance[[#This Row],[Direct]:[Indirect WTT]]))</f>
        <v/>
      </c>
      <c r="O35" s="71"/>
      <c r="P35" s="72"/>
      <c r="Q35" s="157" t="str" cm="1">
        <f t="array" ref="Q35">IF(OR($C35="",$I35=""),"",(INDEX('Emission factors'!$K$3:$V$381,MATCH(FleetTableDistance[[#This Row],[Type]]&amp;$C35&amp;$D35,'Emission factors'!$J$3:$J$381&amp;'Emission factors'!$L$3:$L$381&amp;'Emission factors'!$K$3:$K$381,0),MATCH(FleetTableDistance[[#Headers],[Direct]],'Emission factors'!$K$2:$V$2,0)))*$K35)</f>
        <v/>
      </c>
      <c r="R35" s="157" t="str" cm="1">
        <f t="array" ref="R35">IF(OR($C35="",$I35=""),"",(INDEX('Emission factors'!$K$3:$V$212,MATCH(FleetTableDistance[[#This Row],[Type]]&amp;$C35&amp;$D35,'Emission factors'!$J$3:$J$212&amp;'Emission factors'!$L$3:$L$212&amp;'Emission factors'!$K$3:$K$212,0),MATCH(FleetTableDistance[[#Headers],[Indirect generation]],'Emission factors'!$K$2:$V$2,0)))*$K35)</f>
        <v/>
      </c>
      <c r="S35" s="157" t="str" cm="1">
        <f t="array" ref="S35">IF(OR($C35="",$I35=""),"",(INDEX('Emission factors'!$K$3:$V$212,MATCH(FleetTableDistance[[#This Row],[Type]]&amp;$C35&amp;$D35,'Emission factors'!$J$3:$J$212&amp;'Emission factors'!$L$3:$L$212&amp;'Emission factors'!$K$3:$K$212,0),MATCH(FleetTableDistance[[#Headers],[Indirect service]],'Emission factors'!$K$2:$V$2,0)))*$K35)</f>
        <v/>
      </c>
      <c r="T35" s="157" t="str" cm="1">
        <f t="array" ref="T35">IF(OR($C35="",$I35=""),"",(INDEX('Emission factors'!$K$3:$V$212,MATCH(FleetTableDistance[[#This Row],[Type]]&amp;$C35&amp;$D35,'Emission factors'!$J$3:$J$212&amp;'Emission factors'!$L$3:$L$212&amp;'Emission factors'!$K$3:$K$212,0),MATCH(FleetTableDistance[[#Headers],[Indirect T&amp;D]],'Emission factors'!$K$2:$V$2,0)))*$K35)</f>
        <v/>
      </c>
      <c r="U35" s="157" t="str" cm="1">
        <f t="array" ref="U35">IF(OR($C35="",$I35=""),"",(INDEX('Emission factors'!$K$3:$V$212,MATCH(FleetTableDistance[[#This Row],[Type]]&amp;$C35&amp;$D35,'Emission factors'!$J$3:$J$212&amp;'Emission factors'!$L$3:$L$212&amp;'Emission factors'!$K$3:$K$212,0),MATCH(FleetTableDistance[[#Headers],[Indirect WTT]],'Emission factors'!$K$2:$V$2,0)))*$K35)</f>
        <v/>
      </c>
      <c r="V35" s="158" t="str">
        <f>IF(OR($N35="",FleetTableDistance[[#This Row],[RSD]]=""),"",FleetTableDistance[[#This Row],[Total emissions (kgCO2e)]]*(1+FleetTableDistance[[#This Row],[RSD]]))</f>
        <v/>
      </c>
      <c r="W35" s="163" t="str">
        <f>IF(OR($N35="",FleetTableDistance[[#This Row],[RSD]]=""),"",FleetTableDistance[[#This Row],[Total emissions (kgCO2e)]]*(1-FleetTableDistance[[#This Row],[RSD]]))</f>
        <v/>
      </c>
      <c r="X35" s="157" t="str" cm="1">
        <f t="array" ref="X35">IF(OR($C35="",$I35=""),"",(INDEX('Emission factors'!$K$3:$V$212,MATCH(FleetTableDistance[[#This Row],[Type]]&amp;$C35&amp;$D35,'Emission factors'!$J$3:$J$212&amp;'Emission factors'!$L$3:$L$212&amp;'Emission factors'!$K$3:$K$212,0),MATCH(FleetTableDistance[[#Headers],[Outside of scopes]],'Emission factors'!$K$2:$V$2,0)))*$K35)</f>
        <v/>
      </c>
      <c r="Z35" s="1" cm="1">
        <f t="array" ref="Z35">IF(OR(ISERROR(B35:X35)),1,0)</f>
        <v>0</v>
      </c>
      <c r="AA35" s="1">
        <f t="shared" si="1"/>
        <v>0</v>
      </c>
    </row>
    <row r="36" spans="2:27" ht="15" thickBot="1" x14ac:dyDescent="0.4">
      <c r="B36" s="76"/>
      <c r="C36" s="72"/>
      <c r="D36" s="72"/>
      <c r="E36" s="72"/>
      <c r="F36" s="72"/>
      <c r="G36" s="77" t="str">
        <f>IF(F36="","",INDEX(Lists!$BA$4:$BC$31,MATCH(B36,Lists!$AZ$4:$AZ$31,0),MATCH(F36,Lists!$BA$3:$BC$3,0)))</f>
        <v/>
      </c>
      <c r="H36" s="42"/>
      <c r="I36" s="229"/>
      <c r="J36" s="72"/>
      <c r="K36" s="75" t="str" cm="1">
        <f t="array" ref="K36">IF(OR($C36="",$B36="",$I36="",$J36=""),"",IF(J36=L36,I36,(INDEX('Emission factors'!$K$3:$V$201,MATCH(B36&amp;D36,'Emission factors'!$J$3:$J$201&amp;'Emission factors'!$K$3:$K$201,0),MATCH(K$7,'Emission factors'!$K$2:$V$2,0)))*I36))</f>
        <v/>
      </c>
      <c r="L36" s="312" t="str">
        <f>IF(OR($C36="",$B36="",$I36="",$J36=""),"",INDEX('Emission factors'!$K$3:$V$212,MATCH('Fleet &amp; stationary assets'!$B36,'Emission factors'!$J$3:$J$212,0),MATCH($L$30,'Emission factors'!$K$2:$V$2,0)))</f>
        <v/>
      </c>
      <c r="M36" s="313" t="str" cm="1">
        <f t="array" ref="M36">IF(OR(FleetTableDistance[[#This Row],[Type]]="",C36="",I36=""),"",INDEX('Emission factors'!$K$3:$V$212,MATCH(FleetTableDistance[[#This Row],[Type]]&amp;C36&amp;FleetTableDistance[[#This Row],[Size]],'Emission factors'!$J$3:$J$212&amp;'Emission factors'!$L$3:$L$212&amp;'Emission factors'!$K$3:$K$212,0),MATCH(FleetTableDistance[[#Headers],[Total EF (kgCO2e/unit)]],'Emission factors'!$K$2:$V$2,0)))</f>
        <v/>
      </c>
      <c r="N36" s="156" t="str">
        <f>IF(OR(K36="",M36=""),"",SUM(FleetTableDistance[[#This Row],[Direct]:[Indirect WTT]]))</f>
        <v/>
      </c>
      <c r="O36" s="71"/>
      <c r="P36" s="72"/>
      <c r="Q36" s="157" t="str" cm="1">
        <f t="array" ref="Q36">IF(OR($C36="",$I36=""),"",(INDEX('Emission factors'!$K$3:$V$381,MATCH(FleetTableDistance[[#This Row],[Type]]&amp;$C36&amp;$D36,'Emission factors'!$J$3:$J$381&amp;'Emission factors'!$L$3:$L$381&amp;'Emission factors'!$K$3:$K$381,0),MATCH(FleetTableDistance[[#Headers],[Direct]],'Emission factors'!$K$2:$V$2,0)))*$K36)</f>
        <v/>
      </c>
      <c r="R36" s="157" t="str" cm="1">
        <f t="array" ref="R36">IF(OR($C36="",$I36=""),"",(INDEX('Emission factors'!$K$3:$V$212,MATCH(FleetTableDistance[[#This Row],[Type]]&amp;$C36&amp;$D36,'Emission factors'!$J$3:$J$212&amp;'Emission factors'!$L$3:$L$212&amp;'Emission factors'!$K$3:$K$212,0),MATCH(FleetTableDistance[[#Headers],[Indirect generation]],'Emission factors'!$K$2:$V$2,0)))*$K36)</f>
        <v/>
      </c>
      <c r="S36" s="157" t="str" cm="1">
        <f t="array" ref="S36">IF(OR($C36="",$I36=""),"",(INDEX('Emission factors'!$K$3:$V$212,MATCH(FleetTableDistance[[#This Row],[Type]]&amp;$C36&amp;$D36,'Emission factors'!$J$3:$J$212&amp;'Emission factors'!$L$3:$L$212&amp;'Emission factors'!$K$3:$K$212,0),MATCH(FleetTableDistance[[#Headers],[Indirect service]],'Emission factors'!$K$2:$V$2,0)))*$K36)</f>
        <v/>
      </c>
      <c r="T36" s="157" t="str" cm="1">
        <f t="array" ref="T36">IF(OR($C36="",$I36=""),"",(INDEX('Emission factors'!$K$3:$V$212,MATCH(FleetTableDistance[[#This Row],[Type]]&amp;$C36&amp;$D36,'Emission factors'!$J$3:$J$212&amp;'Emission factors'!$L$3:$L$212&amp;'Emission factors'!$K$3:$K$212,0),MATCH(FleetTableDistance[[#Headers],[Indirect T&amp;D]],'Emission factors'!$K$2:$V$2,0)))*$K36)</f>
        <v/>
      </c>
      <c r="U36" s="157" t="str" cm="1">
        <f t="array" ref="U36">IF(OR($C36="",$I36=""),"",(INDEX('Emission factors'!$K$3:$V$212,MATCH(FleetTableDistance[[#This Row],[Type]]&amp;$C36&amp;$D36,'Emission factors'!$J$3:$J$212&amp;'Emission factors'!$L$3:$L$212&amp;'Emission factors'!$K$3:$K$212,0),MATCH(FleetTableDistance[[#Headers],[Indirect WTT]],'Emission factors'!$K$2:$V$2,0)))*$K36)</f>
        <v/>
      </c>
      <c r="V36" s="158" t="str">
        <f>IF(OR($N36="",FleetTableDistance[[#This Row],[RSD]]=""),"",FleetTableDistance[[#This Row],[Total emissions (kgCO2e)]]*(1+FleetTableDistance[[#This Row],[RSD]]))</f>
        <v/>
      </c>
      <c r="W36" s="163" t="str">
        <f>IF(OR($N36="",FleetTableDistance[[#This Row],[RSD]]=""),"",FleetTableDistance[[#This Row],[Total emissions (kgCO2e)]]*(1-FleetTableDistance[[#This Row],[RSD]]))</f>
        <v/>
      </c>
      <c r="X36" s="157" t="str" cm="1">
        <f t="array" ref="X36">IF(OR($C36="",$I36=""),"",(INDEX('Emission factors'!$K$3:$V$212,MATCH(FleetTableDistance[[#This Row],[Type]]&amp;$C36&amp;$D36,'Emission factors'!$J$3:$J$212&amp;'Emission factors'!$L$3:$L$212&amp;'Emission factors'!$K$3:$K$212,0),MATCH(FleetTableDistance[[#Headers],[Outside of scopes]],'Emission factors'!$K$2:$V$2,0)))*$K36)</f>
        <v/>
      </c>
      <c r="Z36" s="1" cm="1">
        <f t="array" ref="Z36">IF(OR(ISERROR(B36:X36)),1,0)</f>
        <v>0</v>
      </c>
      <c r="AA36" s="1">
        <f t="shared" si="1"/>
        <v>0</v>
      </c>
    </row>
    <row r="37" spans="2:27" ht="15" thickBot="1" x14ac:dyDescent="0.4">
      <c r="B37" s="76"/>
      <c r="C37" s="72"/>
      <c r="D37" s="72"/>
      <c r="E37" s="72"/>
      <c r="F37" s="72"/>
      <c r="G37" s="77" t="str">
        <f>IF(F37="","",INDEX(Lists!$BA$4:$BC$31,MATCH(B37,Lists!$AZ$4:$AZ$31,0),MATCH(F37,Lists!$BA$3:$BC$3,0)))</f>
        <v/>
      </c>
      <c r="H37" s="42"/>
      <c r="I37" s="229"/>
      <c r="J37" s="72"/>
      <c r="K37" s="75" t="str" cm="1">
        <f t="array" ref="K37">IF(OR($C37="",$B37="",$I37="",$J37=""),"",IF(J37=L37,I37,(INDEX('Emission factors'!$K$3:$V$201,MATCH(B37&amp;D37,'Emission factors'!$J$3:$J$201&amp;'Emission factors'!$K$3:$K$201,0),MATCH(K$7,'Emission factors'!$K$2:$V$2,0)))*I37))</f>
        <v/>
      </c>
      <c r="L37" s="312" t="str">
        <f>IF(OR($C37="",$B37="",$I37="",$J37=""),"",INDEX('Emission factors'!$K$3:$V$212,MATCH('Fleet &amp; stationary assets'!$B37,'Emission factors'!$J$3:$J$212,0),MATCH($L$30,'Emission factors'!$K$2:$V$2,0)))</f>
        <v/>
      </c>
      <c r="M37" s="313" t="str" cm="1">
        <f t="array" ref="M37">IF(OR(FleetTableDistance[[#This Row],[Type]]="",C37="",I37=""),"",INDEX('Emission factors'!$K$3:$V$212,MATCH(FleetTableDistance[[#This Row],[Type]]&amp;C37&amp;FleetTableDistance[[#This Row],[Size]],'Emission factors'!$J$3:$J$212&amp;'Emission factors'!$L$3:$L$212&amp;'Emission factors'!$K$3:$K$212,0),MATCH(FleetTableDistance[[#Headers],[Total EF (kgCO2e/unit)]],'Emission factors'!$K$2:$V$2,0)))</f>
        <v/>
      </c>
      <c r="N37" s="156" t="str">
        <f>IF(OR(K37="",M37=""),"",SUM(FleetTableDistance[[#This Row],[Direct]:[Indirect WTT]]))</f>
        <v/>
      </c>
      <c r="O37" s="71"/>
      <c r="P37" s="72"/>
      <c r="Q37" s="157" t="str" cm="1">
        <f t="array" ref="Q37">IF(OR($C37="",$I37=""),"",(INDEX('Emission factors'!$K$3:$V$381,MATCH(FleetTableDistance[[#This Row],[Type]]&amp;$C37&amp;$D37,'Emission factors'!$J$3:$J$381&amp;'Emission factors'!$L$3:$L$381&amp;'Emission factors'!$K$3:$K$381,0),MATCH(FleetTableDistance[[#Headers],[Direct]],'Emission factors'!$K$2:$V$2,0)))*$K37)</f>
        <v/>
      </c>
      <c r="R37" s="157" t="str" cm="1">
        <f t="array" ref="R37">IF(OR($C37="",$I37=""),"",(INDEX('Emission factors'!$K$3:$V$212,MATCH(FleetTableDistance[[#This Row],[Type]]&amp;$C37&amp;$D37,'Emission factors'!$J$3:$J$212&amp;'Emission factors'!$L$3:$L$212&amp;'Emission factors'!$K$3:$K$212,0),MATCH(FleetTableDistance[[#Headers],[Indirect generation]],'Emission factors'!$K$2:$V$2,0)))*$K37)</f>
        <v/>
      </c>
      <c r="S37" s="157" t="str" cm="1">
        <f t="array" ref="S37">IF(OR($C37="",$I37=""),"",(INDEX('Emission factors'!$K$3:$V$212,MATCH(FleetTableDistance[[#This Row],[Type]]&amp;$C37&amp;$D37,'Emission factors'!$J$3:$J$212&amp;'Emission factors'!$L$3:$L$212&amp;'Emission factors'!$K$3:$K$212,0),MATCH(FleetTableDistance[[#Headers],[Indirect service]],'Emission factors'!$K$2:$V$2,0)))*$K37)</f>
        <v/>
      </c>
      <c r="T37" s="157" t="str" cm="1">
        <f t="array" ref="T37">IF(OR($C37="",$I37=""),"",(INDEX('Emission factors'!$K$3:$V$212,MATCH(FleetTableDistance[[#This Row],[Type]]&amp;$C37&amp;$D37,'Emission factors'!$J$3:$J$212&amp;'Emission factors'!$L$3:$L$212&amp;'Emission factors'!$K$3:$K$212,0),MATCH(FleetTableDistance[[#Headers],[Indirect T&amp;D]],'Emission factors'!$K$2:$V$2,0)))*$K37)</f>
        <v/>
      </c>
      <c r="U37" s="157" t="str" cm="1">
        <f t="array" ref="U37">IF(OR($C37="",$I37=""),"",(INDEX('Emission factors'!$K$3:$V$212,MATCH(FleetTableDistance[[#This Row],[Type]]&amp;$C37&amp;$D37,'Emission factors'!$J$3:$J$212&amp;'Emission factors'!$L$3:$L$212&amp;'Emission factors'!$K$3:$K$212,0),MATCH(FleetTableDistance[[#Headers],[Indirect WTT]],'Emission factors'!$K$2:$V$2,0)))*$K37)</f>
        <v/>
      </c>
      <c r="V37" s="158" t="str">
        <f>IF(OR($N37="",FleetTableDistance[[#This Row],[RSD]]=""),"",FleetTableDistance[[#This Row],[Total emissions (kgCO2e)]]*(1+FleetTableDistance[[#This Row],[RSD]]))</f>
        <v/>
      </c>
      <c r="W37" s="163" t="str">
        <f>IF(OR($N37="",FleetTableDistance[[#This Row],[RSD]]=""),"",FleetTableDistance[[#This Row],[Total emissions (kgCO2e)]]*(1-FleetTableDistance[[#This Row],[RSD]]))</f>
        <v/>
      </c>
      <c r="X37" s="157" t="str" cm="1">
        <f t="array" ref="X37">IF(OR($C37="",$I37=""),"",(INDEX('Emission factors'!$K$3:$V$212,MATCH(FleetTableDistance[[#This Row],[Type]]&amp;$C37&amp;$D37,'Emission factors'!$J$3:$J$212&amp;'Emission factors'!$L$3:$L$212&amp;'Emission factors'!$K$3:$K$212,0),MATCH(FleetTableDistance[[#Headers],[Outside of scopes]],'Emission factors'!$K$2:$V$2,0)))*$K37)</f>
        <v/>
      </c>
      <c r="Z37" s="1" cm="1">
        <f t="array" ref="Z37">IF(OR(ISERROR(B37:X37)),1,0)</f>
        <v>0</v>
      </c>
      <c r="AA37" s="1">
        <f t="shared" si="1"/>
        <v>0</v>
      </c>
    </row>
    <row r="38" spans="2:27" ht="15" thickBot="1" x14ac:dyDescent="0.4">
      <c r="B38" s="76"/>
      <c r="C38" s="72"/>
      <c r="D38" s="72"/>
      <c r="E38" s="72"/>
      <c r="F38" s="72"/>
      <c r="G38" s="77" t="str">
        <f>IF(F38="","",INDEX(Lists!$BA$4:$BC$31,MATCH(B38,Lists!$AZ$4:$AZ$31,0),MATCH(F38,Lists!$BA$3:$BC$3,0)))</f>
        <v/>
      </c>
      <c r="H38" s="42"/>
      <c r="I38" s="229"/>
      <c r="J38" s="72"/>
      <c r="K38" s="75" t="str" cm="1">
        <f t="array" ref="K38">IF(OR($C38="",$B38="",$I38="",$J38=""),"",IF(J38=L38,I38,(INDEX('Emission factors'!$K$3:$V$201,MATCH(B38&amp;D38,'Emission factors'!$J$3:$J$201&amp;'Emission factors'!$K$3:$K$201,0),MATCH(K$7,'Emission factors'!$K$2:$V$2,0)))*I38))</f>
        <v/>
      </c>
      <c r="L38" s="312" t="str">
        <f>IF(OR($C38="",$B38="",$I38="",$J38=""),"",INDEX('Emission factors'!$K$3:$V$212,MATCH('Fleet &amp; stationary assets'!$B38,'Emission factors'!$J$3:$J$212,0),MATCH($L$30,'Emission factors'!$K$2:$V$2,0)))</f>
        <v/>
      </c>
      <c r="M38" s="313" t="str" cm="1">
        <f t="array" ref="M38">IF(OR(FleetTableDistance[[#This Row],[Type]]="",C38="",I38=""),"",INDEX('Emission factors'!$K$3:$V$212,MATCH(FleetTableDistance[[#This Row],[Type]]&amp;C38&amp;FleetTableDistance[[#This Row],[Size]],'Emission factors'!$J$3:$J$212&amp;'Emission factors'!$L$3:$L$212&amp;'Emission factors'!$K$3:$K$212,0),MATCH(FleetTableDistance[[#Headers],[Total EF (kgCO2e/unit)]],'Emission factors'!$K$2:$V$2,0)))</f>
        <v/>
      </c>
      <c r="N38" s="156" t="str">
        <f>IF(OR(K38="",M38=""),"",SUM(FleetTableDistance[[#This Row],[Direct]:[Indirect WTT]]))</f>
        <v/>
      </c>
      <c r="O38" s="71"/>
      <c r="P38" s="72"/>
      <c r="Q38" s="157" t="str" cm="1">
        <f t="array" ref="Q38">IF(OR($C38="",$I38=""),"",(INDEX('Emission factors'!$K$3:$V$381,MATCH(FleetTableDistance[[#This Row],[Type]]&amp;$C38&amp;$D38,'Emission factors'!$J$3:$J$381&amp;'Emission factors'!$L$3:$L$381&amp;'Emission factors'!$K$3:$K$381,0),MATCH(FleetTableDistance[[#Headers],[Direct]],'Emission factors'!$K$2:$V$2,0)))*$K38)</f>
        <v/>
      </c>
      <c r="R38" s="157" t="str" cm="1">
        <f t="array" ref="R38">IF(OR($C38="",$I38=""),"",(INDEX('Emission factors'!$K$3:$V$212,MATCH(FleetTableDistance[[#This Row],[Type]]&amp;$C38&amp;$D38,'Emission factors'!$J$3:$J$212&amp;'Emission factors'!$L$3:$L$212&amp;'Emission factors'!$K$3:$K$212,0),MATCH(FleetTableDistance[[#Headers],[Indirect generation]],'Emission factors'!$K$2:$V$2,0)))*$K38)</f>
        <v/>
      </c>
      <c r="S38" s="157" t="str" cm="1">
        <f t="array" ref="S38">IF(OR($C38="",$I38=""),"",(INDEX('Emission factors'!$K$3:$V$212,MATCH(FleetTableDistance[[#This Row],[Type]]&amp;$C38&amp;$D38,'Emission factors'!$J$3:$J$212&amp;'Emission factors'!$L$3:$L$212&amp;'Emission factors'!$K$3:$K$212,0),MATCH(FleetTableDistance[[#Headers],[Indirect service]],'Emission factors'!$K$2:$V$2,0)))*$K38)</f>
        <v/>
      </c>
      <c r="T38" s="157" t="str" cm="1">
        <f t="array" ref="T38">IF(OR($C38="",$I38=""),"",(INDEX('Emission factors'!$K$3:$V$212,MATCH(FleetTableDistance[[#This Row],[Type]]&amp;$C38&amp;$D38,'Emission factors'!$J$3:$J$212&amp;'Emission factors'!$L$3:$L$212&amp;'Emission factors'!$K$3:$K$212,0),MATCH(FleetTableDistance[[#Headers],[Indirect T&amp;D]],'Emission factors'!$K$2:$V$2,0)))*$K38)</f>
        <v/>
      </c>
      <c r="U38" s="157" t="str" cm="1">
        <f t="array" ref="U38">IF(OR($C38="",$I38=""),"",(INDEX('Emission factors'!$K$3:$V$212,MATCH(FleetTableDistance[[#This Row],[Type]]&amp;$C38&amp;$D38,'Emission factors'!$J$3:$J$212&amp;'Emission factors'!$L$3:$L$212&amp;'Emission factors'!$K$3:$K$212,0),MATCH(FleetTableDistance[[#Headers],[Indirect WTT]],'Emission factors'!$K$2:$V$2,0)))*$K38)</f>
        <v/>
      </c>
      <c r="V38" s="158" t="str">
        <f>IF(OR($N38="",FleetTableDistance[[#This Row],[RSD]]=""),"",FleetTableDistance[[#This Row],[Total emissions (kgCO2e)]]*(1+FleetTableDistance[[#This Row],[RSD]]))</f>
        <v/>
      </c>
      <c r="W38" s="163" t="str">
        <f>IF(OR($N38="",FleetTableDistance[[#This Row],[RSD]]=""),"",FleetTableDistance[[#This Row],[Total emissions (kgCO2e)]]*(1-FleetTableDistance[[#This Row],[RSD]]))</f>
        <v/>
      </c>
      <c r="X38" s="157" t="str" cm="1">
        <f t="array" ref="X38">IF(OR($C38="",$I38=""),"",(INDEX('Emission factors'!$K$3:$V$212,MATCH(FleetTableDistance[[#This Row],[Type]]&amp;$C38&amp;$D38,'Emission factors'!$J$3:$J$212&amp;'Emission factors'!$L$3:$L$212&amp;'Emission factors'!$K$3:$K$212,0),MATCH(FleetTableDistance[[#Headers],[Outside of scopes]],'Emission factors'!$K$2:$V$2,0)))*$K38)</f>
        <v/>
      </c>
      <c r="Z38" s="1" cm="1">
        <f t="array" ref="Z38">IF(OR(ISERROR(B38:X38)),1,0)</f>
        <v>0</v>
      </c>
      <c r="AA38" s="1">
        <f t="shared" si="1"/>
        <v>0</v>
      </c>
    </row>
    <row r="39" spans="2:27" ht="15" thickBot="1" x14ac:dyDescent="0.4">
      <c r="B39" s="76"/>
      <c r="C39" s="72"/>
      <c r="D39" s="72"/>
      <c r="E39" s="72"/>
      <c r="F39" s="72"/>
      <c r="G39" s="77" t="str">
        <f>IF(F39="","",INDEX(Lists!$BA$4:$BC$31,MATCH(B39,Lists!$AZ$4:$AZ$31,0),MATCH(F39,Lists!$BA$3:$BC$3,0)))</f>
        <v/>
      </c>
      <c r="H39" s="42"/>
      <c r="I39" s="229"/>
      <c r="J39" s="72"/>
      <c r="K39" s="75" t="str" cm="1">
        <f t="array" ref="K39">IF(OR($C39="",$B39="",$I39="",$J39=""),"",IF(J39=L39,I39,(INDEX('Emission factors'!$K$3:$V$201,MATCH(B39&amp;D39,'Emission factors'!$J$3:$J$201&amp;'Emission factors'!$K$3:$K$201,0),MATCH(K$7,'Emission factors'!$K$2:$V$2,0)))*I39))</f>
        <v/>
      </c>
      <c r="L39" s="312" t="str">
        <f>IF(OR($C39="",$B39="",$I39="",$J39=""),"",INDEX('Emission factors'!$K$3:$V$212,MATCH('Fleet &amp; stationary assets'!$B39,'Emission factors'!$J$3:$J$212,0),MATCH($L$30,'Emission factors'!$K$2:$V$2,0)))</f>
        <v/>
      </c>
      <c r="M39" s="313" t="str" cm="1">
        <f t="array" ref="M39">IF(OR(FleetTableDistance[[#This Row],[Type]]="",C39="",I39=""),"",INDEX('Emission factors'!$K$3:$V$212,MATCH(FleetTableDistance[[#This Row],[Type]]&amp;C39&amp;FleetTableDistance[[#This Row],[Size]],'Emission factors'!$J$3:$J$212&amp;'Emission factors'!$L$3:$L$212&amp;'Emission factors'!$K$3:$K$212,0),MATCH(FleetTableDistance[[#Headers],[Total EF (kgCO2e/unit)]],'Emission factors'!$K$2:$V$2,0)))</f>
        <v/>
      </c>
      <c r="N39" s="156" t="str">
        <f>IF(OR(K39="",M39=""),"",SUM(FleetTableDistance[[#This Row],[Direct]:[Indirect WTT]]))</f>
        <v/>
      </c>
      <c r="O39" s="71"/>
      <c r="P39" s="72"/>
      <c r="Q39" s="157" t="str" cm="1">
        <f t="array" ref="Q39">IF(OR($C39="",$I39=""),"",(INDEX('Emission factors'!$K$3:$V$381,MATCH(FleetTableDistance[[#This Row],[Type]]&amp;$C39&amp;$D39,'Emission factors'!$J$3:$J$381&amp;'Emission factors'!$L$3:$L$381&amp;'Emission factors'!$K$3:$K$381,0),MATCH(FleetTableDistance[[#Headers],[Direct]],'Emission factors'!$K$2:$V$2,0)))*$K39)</f>
        <v/>
      </c>
      <c r="R39" s="157" t="str" cm="1">
        <f t="array" ref="R39">IF(OR($C39="",$I39=""),"",(INDEX('Emission factors'!$K$3:$V$212,MATCH(FleetTableDistance[[#This Row],[Type]]&amp;$C39&amp;$D39,'Emission factors'!$J$3:$J$212&amp;'Emission factors'!$L$3:$L$212&amp;'Emission factors'!$K$3:$K$212,0),MATCH(FleetTableDistance[[#Headers],[Indirect generation]],'Emission factors'!$K$2:$V$2,0)))*$K39)</f>
        <v/>
      </c>
      <c r="S39" s="157" t="str" cm="1">
        <f t="array" ref="S39">IF(OR($C39="",$I39=""),"",(INDEX('Emission factors'!$K$3:$V$212,MATCH(FleetTableDistance[[#This Row],[Type]]&amp;$C39&amp;$D39,'Emission factors'!$J$3:$J$212&amp;'Emission factors'!$L$3:$L$212&amp;'Emission factors'!$K$3:$K$212,0),MATCH(FleetTableDistance[[#Headers],[Indirect service]],'Emission factors'!$K$2:$V$2,0)))*$K39)</f>
        <v/>
      </c>
      <c r="T39" s="157" t="str" cm="1">
        <f t="array" ref="T39">IF(OR($C39="",$I39=""),"",(INDEX('Emission factors'!$K$3:$V$212,MATCH(FleetTableDistance[[#This Row],[Type]]&amp;$C39&amp;$D39,'Emission factors'!$J$3:$J$212&amp;'Emission factors'!$L$3:$L$212&amp;'Emission factors'!$K$3:$K$212,0),MATCH(FleetTableDistance[[#Headers],[Indirect T&amp;D]],'Emission factors'!$K$2:$V$2,0)))*$K39)</f>
        <v/>
      </c>
      <c r="U39" s="157" t="str" cm="1">
        <f t="array" ref="U39">IF(OR($C39="",$I39=""),"",(INDEX('Emission factors'!$K$3:$V$212,MATCH(FleetTableDistance[[#This Row],[Type]]&amp;$C39&amp;$D39,'Emission factors'!$J$3:$J$212&amp;'Emission factors'!$L$3:$L$212&amp;'Emission factors'!$K$3:$K$212,0),MATCH(FleetTableDistance[[#Headers],[Indirect WTT]],'Emission factors'!$K$2:$V$2,0)))*$K39)</f>
        <v/>
      </c>
      <c r="V39" s="158" t="str">
        <f>IF(OR($N39="",FleetTableDistance[[#This Row],[RSD]]=""),"",FleetTableDistance[[#This Row],[Total emissions (kgCO2e)]]*(1+FleetTableDistance[[#This Row],[RSD]]))</f>
        <v/>
      </c>
      <c r="W39" s="163" t="str">
        <f>IF(OR($N39="",FleetTableDistance[[#This Row],[RSD]]=""),"",FleetTableDistance[[#This Row],[Total emissions (kgCO2e)]]*(1-FleetTableDistance[[#This Row],[RSD]]))</f>
        <v/>
      </c>
      <c r="X39" s="157" t="str" cm="1">
        <f t="array" ref="X39">IF(OR($C39="",$I39=""),"",(INDEX('Emission factors'!$K$3:$V$212,MATCH(FleetTableDistance[[#This Row],[Type]]&amp;$C39&amp;$D39,'Emission factors'!$J$3:$J$212&amp;'Emission factors'!$L$3:$L$212&amp;'Emission factors'!$K$3:$K$212,0),MATCH(FleetTableDistance[[#Headers],[Outside of scopes]],'Emission factors'!$K$2:$V$2,0)))*$K39)</f>
        <v/>
      </c>
      <c r="Z39" s="1" cm="1">
        <f t="array" ref="Z39">IF(OR(ISERROR(B39:X39)),1,0)</f>
        <v>0</v>
      </c>
      <c r="AA39" s="1">
        <f t="shared" si="1"/>
        <v>0</v>
      </c>
    </row>
    <row r="40" spans="2:27" ht="15" thickBot="1" x14ac:dyDescent="0.4">
      <c r="B40" s="76"/>
      <c r="C40" s="72"/>
      <c r="D40" s="72"/>
      <c r="E40" s="72"/>
      <c r="F40" s="72"/>
      <c r="G40" s="77" t="str">
        <f>IF(F40="","",INDEX(Lists!$BA$4:$BC$31,MATCH(B40,Lists!$AZ$4:$AZ$31,0),MATCH(F40,Lists!$BA$3:$BC$3,0)))</f>
        <v/>
      </c>
      <c r="H40" s="42"/>
      <c r="I40" s="229"/>
      <c r="J40" s="72"/>
      <c r="K40" s="75" t="str" cm="1">
        <f t="array" ref="K40">IF(OR($C40="",$B40="",$I40="",$J40=""),"",IF(J40=L40,I40,(INDEX('Emission factors'!$K$3:$V$201,MATCH(B40&amp;D40,'Emission factors'!$J$3:$J$201&amp;'Emission factors'!$K$3:$K$201,0),MATCH(K$7,'Emission factors'!$K$2:$V$2,0)))*I40))</f>
        <v/>
      </c>
      <c r="L40" s="312" t="str">
        <f>IF(OR($C40="",$B40="",$I40="",$J40=""),"",INDEX('Emission factors'!$K$3:$V$212,MATCH('Fleet &amp; stationary assets'!$B40,'Emission factors'!$J$3:$J$212,0),MATCH($L$30,'Emission factors'!$K$2:$V$2,0)))</f>
        <v/>
      </c>
      <c r="M40" s="313" t="str" cm="1">
        <f t="array" ref="M40">IF(OR(FleetTableDistance[[#This Row],[Type]]="",C40="",I40=""),"",INDEX('Emission factors'!$K$3:$V$212,MATCH(FleetTableDistance[[#This Row],[Type]]&amp;C40&amp;FleetTableDistance[[#This Row],[Size]],'Emission factors'!$J$3:$J$212&amp;'Emission factors'!$L$3:$L$212&amp;'Emission factors'!$K$3:$K$212,0),MATCH(FleetTableDistance[[#Headers],[Total EF (kgCO2e/unit)]],'Emission factors'!$K$2:$V$2,0)))</f>
        <v/>
      </c>
      <c r="N40" s="156" t="str">
        <f>IF(OR(K40="",M40=""),"",SUM(FleetTableDistance[[#This Row],[Direct]:[Indirect WTT]]))</f>
        <v/>
      </c>
      <c r="O40" s="71"/>
      <c r="P40" s="72"/>
      <c r="Q40" s="157" t="str" cm="1">
        <f t="array" ref="Q40">IF(OR($C40="",$I40=""),"",(INDEX('Emission factors'!$K$3:$V$381,MATCH(FleetTableDistance[[#This Row],[Type]]&amp;$C40&amp;$D40,'Emission factors'!$J$3:$J$381&amp;'Emission factors'!$L$3:$L$381&amp;'Emission factors'!$K$3:$K$381,0),MATCH(FleetTableDistance[[#Headers],[Direct]],'Emission factors'!$K$2:$V$2,0)))*$K40)</f>
        <v/>
      </c>
      <c r="R40" s="157" t="str" cm="1">
        <f t="array" ref="R40">IF(OR($C40="",$I40=""),"",(INDEX('Emission factors'!$K$3:$V$212,MATCH(FleetTableDistance[[#This Row],[Type]]&amp;$C40&amp;$D40,'Emission factors'!$J$3:$J$212&amp;'Emission factors'!$L$3:$L$212&amp;'Emission factors'!$K$3:$K$212,0),MATCH(FleetTableDistance[[#Headers],[Indirect generation]],'Emission factors'!$K$2:$V$2,0)))*$K40)</f>
        <v/>
      </c>
      <c r="S40" s="157" t="str" cm="1">
        <f t="array" ref="S40">IF(OR($C40="",$I40=""),"",(INDEX('Emission factors'!$K$3:$V$212,MATCH(FleetTableDistance[[#This Row],[Type]]&amp;$C40&amp;$D40,'Emission factors'!$J$3:$J$212&amp;'Emission factors'!$L$3:$L$212&amp;'Emission factors'!$K$3:$K$212,0),MATCH(FleetTableDistance[[#Headers],[Indirect service]],'Emission factors'!$K$2:$V$2,0)))*$K40)</f>
        <v/>
      </c>
      <c r="T40" s="157" t="str" cm="1">
        <f t="array" ref="T40">IF(OR($C40="",$I40=""),"",(INDEX('Emission factors'!$K$3:$V$212,MATCH(FleetTableDistance[[#This Row],[Type]]&amp;$C40&amp;$D40,'Emission factors'!$J$3:$J$212&amp;'Emission factors'!$L$3:$L$212&amp;'Emission factors'!$K$3:$K$212,0),MATCH(FleetTableDistance[[#Headers],[Indirect T&amp;D]],'Emission factors'!$K$2:$V$2,0)))*$K40)</f>
        <v/>
      </c>
      <c r="U40" s="157" t="str" cm="1">
        <f t="array" ref="U40">IF(OR($C40="",$I40=""),"",(INDEX('Emission factors'!$K$3:$V$212,MATCH(FleetTableDistance[[#This Row],[Type]]&amp;$C40&amp;$D40,'Emission factors'!$J$3:$J$212&amp;'Emission factors'!$L$3:$L$212&amp;'Emission factors'!$K$3:$K$212,0),MATCH(FleetTableDistance[[#Headers],[Indirect WTT]],'Emission factors'!$K$2:$V$2,0)))*$K40)</f>
        <v/>
      </c>
      <c r="V40" s="158" t="str">
        <f>IF(OR($N40="",FleetTableDistance[[#This Row],[RSD]]=""),"",FleetTableDistance[[#This Row],[Total emissions (kgCO2e)]]*(1+FleetTableDistance[[#This Row],[RSD]]))</f>
        <v/>
      </c>
      <c r="W40" s="163" t="str">
        <f>IF(OR($N40="",FleetTableDistance[[#This Row],[RSD]]=""),"",FleetTableDistance[[#This Row],[Total emissions (kgCO2e)]]*(1-FleetTableDistance[[#This Row],[RSD]]))</f>
        <v/>
      </c>
      <c r="X40" s="157" t="str" cm="1">
        <f t="array" ref="X40">IF(OR($C40="",$I40=""),"",(INDEX('Emission factors'!$K$3:$V$212,MATCH(FleetTableDistance[[#This Row],[Type]]&amp;$C40&amp;$D40,'Emission factors'!$J$3:$J$212&amp;'Emission factors'!$L$3:$L$212&amp;'Emission factors'!$K$3:$K$212,0),MATCH(FleetTableDistance[[#Headers],[Outside of scopes]],'Emission factors'!$K$2:$V$2,0)))*$K40)</f>
        <v/>
      </c>
      <c r="Z40" s="1" cm="1">
        <f t="array" ref="Z40">IF(OR(ISERROR(B40:X40)),1,0)</f>
        <v>0</v>
      </c>
      <c r="AA40" s="1">
        <f t="shared" si="1"/>
        <v>0</v>
      </c>
    </row>
    <row r="41" spans="2:27" ht="15" thickBot="1" x14ac:dyDescent="0.4">
      <c r="B41" s="76"/>
      <c r="C41" s="72"/>
      <c r="D41" s="72"/>
      <c r="E41" s="72"/>
      <c r="F41" s="72"/>
      <c r="G41" s="77" t="str">
        <f>IF(F41="","",INDEX(Lists!$BA$4:$BC$31,MATCH(B41,Lists!$AZ$4:$AZ$31,0),MATCH(F41,Lists!$BA$3:$BC$3,0)))</f>
        <v/>
      </c>
      <c r="H41" s="42"/>
      <c r="I41" s="70"/>
      <c r="J41" s="72"/>
      <c r="K41" s="75" t="str" cm="1">
        <f t="array" ref="K41">IF(OR($C41="",$B41="",$I41="",$J41=""),"",IF(J41=L41,I41,(INDEX('Emission factors'!$K$3:$V$201,MATCH(B41&amp;D41,'Emission factors'!$J$3:$J$201&amp;'Emission factors'!$K$3:$K$201,0),MATCH(K$7,'Emission factors'!$K$2:$V$2,0)))*I41))</f>
        <v/>
      </c>
      <c r="L41" s="312" t="str">
        <f>IF(OR($C41="",$B41="",$I41="",$J41=""),"",INDEX('Emission factors'!$K$3:$V$212,MATCH('Fleet &amp; stationary assets'!$B41,'Emission factors'!$J$3:$J$212,0),MATCH($L$30,'Emission factors'!$K$2:$V$2,0)))</f>
        <v/>
      </c>
      <c r="M41" s="313" t="str" cm="1">
        <f t="array" ref="M41">IF(OR(FleetTableDistance[[#This Row],[Type]]="",C41="",I41=""),"",INDEX('Emission factors'!$K$3:$V$212,MATCH(FleetTableDistance[[#This Row],[Type]]&amp;C41&amp;FleetTableDistance[[#This Row],[Size]],'Emission factors'!$J$3:$J$212&amp;'Emission factors'!$L$3:$L$212&amp;'Emission factors'!$K$3:$K$212,0),MATCH(FleetTableDistance[[#Headers],[Total EF (kgCO2e/unit)]],'Emission factors'!$K$2:$V$2,0)))</f>
        <v/>
      </c>
      <c r="N41" s="156" t="str">
        <f>IF(OR(K41="",M41=""),"",SUM(FleetTableDistance[[#This Row],[Direct]:[Indirect WTT]]))</f>
        <v/>
      </c>
      <c r="O41" s="71"/>
      <c r="P41" s="72"/>
      <c r="Q41" s="157" t="str" cm="1">
        <f t="array" ref="Q41">IF(OR($C41="",$I41=""),"",(INDEX('Emission factors'!$K$3:$V$381,MATCH(FleetTableDistance[[#This Row],[Type]]&amp;$C41&amp;$D41,'Emission factors'!$J$3:$J$381&amp;'Emission factors'!$L$3:$L$381&amp;'Emission factors'!$K$3:$K$381,0),MATCH(FleetTableDistance[[#Headers],[Direct]],'Emission factors'!$K$2:$V$2,0)))*$K41)</f>
        <v/>
      </c>
      <c r="R41" s="157" t="str" cm="1">
        <f t="array" ref="R41">IF(OR($C41="",$I41=""),"",(INDEX('Emission factors'!$K$3:$V$212,MATCH(FleetTableDistance[[#This Row],[Type]]&amp;$C41&amp;$D41,'Emission factors'!$J$3:$J$212&amp;'Emission factors'!$L$3:$L$212&amp;'Emission factors'!$K$3:$K$212,0),MATCH(FleetTableDistance[[#Headers],[Indirect generation]],'Emission factors'!$K$2:$V$2,0)))*$K41)</f>
        <v/>
      </c>
      <c r="S41" s="157" t="str" cm="1">
        <f t="array" ref="S41">IF(OR($C41="",$I41=""),"",(INDEX('Emission factors'!$K$3:$V$212,MATCH(FleetTableDistance[[#This Row],[Type]]&amp;$C41&amp;$D41,'Emission factors'!$J$3:$J$212&amp;'Emission factors'!$L$3:$L$212&amp;'Emission factors'!$K$3:$K$212,0),MATCH(FleetTableDistance[[#Headers],[Indirect service]],'Emission factors'!$K$2:$V$2,0)))*$K41)</f>
        <v/>
      </c>
      <c r="T41" s="157" t="str" cm="1">
        <f t="array" ref="T41">IF(OR($C41="",$I41=""),"",(INDEX('Emission factors'!$K$3:$V$212,MATCH(FleetTableDistance[[#This Row],[Type]]&amp;$C41&amp;$D41,'Emission factors'!$J$3:$J$212&amp;'Emission factors'!$L$3:$L$212&amp;'Emission factors'!$K$3:$K$212,0),MATCH(FleetTableDistance[[#Headers],[Indirect T&amp;D]],'Emission factors'!$K$2:$V$2,0)))*$K41)</f>
        <v/>
      </c>
      <c r="U41" s="157" t="str" cm="1">
        <f t="array" ref="U41">IF(OR($C41="",$I41=""),"",(INDEX('Emission factors'!$K$3:$V$212,MATCH(FleetTableDistance[[#This Row],[Type]]&amp;$C41&amp;$D41,'Emission factors'!$J$3:$J$212&amp;'Emission factors'!$L$3:$L$212&amp;'Emission factors'!$K$3:$K$212,0),MATCH(FleetTableDistance[[#Headers],[Indirect WTT]],'Emission factors'!$K$2:$V$2,0)))*$K41)</f>
        <v/>
      </c>
      <c r="V41" s="158" t="str">
        <f>IF(OR($N41="",FleetTableDistance[[#This Row],[RSD]]=""),"",FleetTableDistance[[#This Row],[Total emissions (kgCO2e)]]*(1+FleetTableDistance[[#This Row],[RSD]]))</f>
        <v/>
      </c>
      <c r="W41" s="163" t="str">
        <f>IF(OR($N41="",FleetTableDistance[[#This Row],[RSD]]=""),"",FleetTableDistance[[#This Row],[Total emissions (kgCO2e)]]*(1-FleetTableDistance[[#This Row],[RSD]]))</f>
        <v/>
      </c>
      <c r="X41" s="157" t="str" cm="1">
        <f t="array" ref="X41">IF(OR($C41="",$I41=""),"",(INDEX('Emission factors'!$K$3:$V$212,MATCH(FleetTableDistance[[#This Row],[Type]]&amp;$C41&amp;$D41,'Emission factors'!$J$3:$J$212&amp;'Emission factors'!$L$3:$L$212&amp;'Emission factors'!$K$3:$K$212,0),MATCH(FleetTableDistance[[#Headers],[Outside of scopes]],'Emission factors'!$K$2:$V$2,0)))*$K41)</f>
        <v/>
      </c>
      <c r="Z41" s="1" cm="1">
        <f t="array" ref="Z41">IF(OR(ISERROR(B41:X41)),1,0)</f>
        <v>0</v>
      </c>
      <c r="AA41" s="1">
        <f t="shared" si="1"/>
        <v>0</v>
      </c>
    </row>
    <row r="42" spans="2:27" ht="15" thickBot="1" x14ac:dyDescent="0.4">
      <c r="B42" s="76"/>
      <c r="C42" s="72"/>
      <c r="D42" s="72"/>
      <c r="E42" s="72"/>
      <c r="F42" s="72"/>
      <c r="G42" s="77" t="str">
        <f>IF(F42="","",INDEX(Lists!$BA$4:$BC$31,MATCH(B42,Lists!$AZ$4:$AZ$31,0),MATCH(F42,Lists!$BA$3:$BC$3,0)))</f>
        <v/>
      </c>
      <c r="H42" s="42"/>
      <c r="I42" s="70"/>
      <c r="J42" s="72"/>
      <c r="K42" s="75" t="str" cm="1">
        <f t="array" ref="K42">IF(OR($C42="",$B42="",$I42="",$J42=""),"",IF(J42=L42,I42,(INDEX('Emission factors'!$K$3:$V$201,MATCH(B42&amp;D42,'Emission factors'!$J$3:$J$201&amp;'Emission factors'!$K$3:$K$201,0),MATCH(K$7,'Emission factors'!$K$2:$V$2,0)))*I42))</f>
        <v/>
      </c>
      <c r="L42" s="312" t="str">
        <f>IF(OR($C42="",$B42="",$I42="",$J42=""),"",INDEX('Emission factors'!$K$3:$V$212,MATCH('Fleet &amp; stationary assets'!$B42,'Emission factors'!$J$3:$J$212,0),MATCH($L$30,'Emission factors'!$K$2:$V$2,0)))</f>
        <v/>
      </c>
      <c r="M42" s="313" t="str" cm="1">
        <f t="array" ref="M42">IF(OR(FleetTableDistance[[#This Row],[Type]]="",C42="",I42=""),"",INDEX('Emission factors'!$K$3:$V$212,MATCH(FleetTableDistance[[#This Row],[Type]]&amp;C42&amp;FleetTableDistance[[#This Row],[Size]],'Emission factors'!$J$3:$J$212&amp;'Emission factors'!$L$3:$L$212&amp;'Emission factors'!$K$3:$K$212,0),MATCH(FleetTableDistance[[#Headers],[Total EF (kgCO2e/unit)]],'Emission factors'!$K$2:$V$2,0)))</f>
        <v/>
      </c>
      <c r="N42" s="156" t="str">
        <f>IF(OR(K42="",M42=""),"",SUM(FleetTableDistance[[#This Row],[Direct]:[Indirect WTT]]))</f>
        <v/>
      </c>
      <c r="O42" s="71"/>
      <c r="P42" s="72"/>
      <c r="Q42" s="157" t="str" cm="1">
        <f t="array" ref="Q42">IF(OR($C42="",$I42=""),"",(INDEX('Emission factors'!$K$3:$V$381,MATCH(FleetTableDistance[[#This Row],[Type]]&amp;$C42&amp;$D42,'Emission factors'!$J$3:$J$381&amp;'Emission factors'!$L$3:$L$381&amp;'Emission factors'!$K$3:$K$381,0),MATCH(FleetTableDistance[[#Headers],[Direct]],'Emission factors'!$K$2:$V$2,0)))*$K42)</f>
        <v/>
      </c>
      <c r="R42" s="157" t="str" cm="1">
        <f t="array" ref="R42">IF(OR($C42="",$I42=""),"",(INDEX('Emission factors'!$K$3:$V$212,MATCH(FleetTableDistance[[#This Row],[Type]]&amp;$C42&amp;$D42,'Emission factors'!$J$3:$J$212&amp;'Emission factors'!$L$3:$L$212&amp;'Emission factors'!$K$3:$K$212,0),MATCH(FleetTableDistance[[#Headers],[Indirect generation]],'Emission factors'!$K$2:$V$2,0)))*$K42)</f>
        <v/>
      </c>
      <c r="S42" s="157" t="str" cm="1">
        <f t="array" ref="S42">IF(OR($C42="",$I42=""),"",(INDEX('Emission factors'!$K$3:$V$212,MATCH(FleetTableDistance[[#This Row],[Type]]&amp;$C42&amp;$D42,'Emission factors'!$J$3:$J$212&amp;'Emission factors'!$L$3:$L$212&amp;'Emission factors'!$K$3:$K$212,0),MATCH(FleetTableDistance[[#Headers],[Indirect service]],'Emission factors'!$K$2:$V$2,0)))*$K42)</f>
        <v/>
      </c>
      <c r="T42" s="157" t="str" cm="1">
        <f t="array" ref="T42">IF(OR($C42="",$I42=""),"",(INDEX('Emission factors'!$K$3:$V$212,MATCH(FleetTableDistance[[#This Row],[Type]]&amp;$C42&amp;$D42,'Emission factors'!$J$3:$J$212&amp;'Emission factors'!$L$3:$L$212&amp;'Emission factors'!$K$3:$K$212,0),MATCH(FleetTableDistance[[#Headers],[Indirect T&amp;D]],'Emission factors'!$K$2:$V$2,0)))*$K42)</f>
        <v/>
      </c>
      <c r="U42" s="157" t="str" cm="1">
        <f t="array" ref="U42">IF(OR($C42="",$I42=""),"",(INDEX('Emission factors'!$K$3:$V$212,MATCH(FleetTableDistance[[#This Row],[Type]]&amp;$C42&amp;$D42,'Emission factors'!$J$3:$J$212&amp;'Emission factors'!$L$3:$L$212&amp;'Emission factors'!$K$3:$K$212,0),MATCH(FleetTableDistance[[#Headers],[Indirect WTT]],'Emission factors'!$K$2:$V$2,0)))*$K42)</f>
        <v/>
      </c>
      <c r="V42" s="158" t="str">
        <f>IF(OR($N42="",FleetTableDistance[[#This Row],[RSD]]=""),"",FleetTableDistance[[#This Row],[Total emissions (kgCO2e)]]*(1+FleetTableDistance[[#This Row],[RSD]]))</f>
        <v/>
      </c>
      <c r="W42" s="163" t="str">
        <f>IF(OR($N42="",FleetTableDistance[[#This Row],[RSD]]=""),"",FleetTableDistance[[#This Row],[Total emissions (kgCO2e)]]*(1-FleetTableDistance[[#This Row],[RSD]]))</f>
        <v/>
      </c>
      <c r="X42" s="157" t="str" cm="1">
        <f t="array" ref="X42">IF(OR($C42="",$I42=""),"",(INDEX('Emission factors'!$K$3:$V$212,MATCH(FleetTableDistance[[#This Row],[Type]]&amp;$C42&amp;$D42,'Emission factors'!$J$3:$J$212&amp;'Emission factors'!$L$3:$L$212&amp;'Emission factors'!$K$3:$K$212,0),MATCH(FleetTableDistance[[#Headers],[Outside of scopes]],'Emission factors'!$K$2:$V$2,0)))*$K42)</f>
        <v/>
      </c>
      <c r="Z42" s="1" cm="1">
        <f t="array" ref="Z42">IF(OR(ISERROR(B42:X42)),1,0)</f>
        <v>0</v>
      </c>
      <c r="AA42" s="1">
        <f t="shared" si="1"/>
        <v>0</v>
      </c>
    </row>
    <row r="43" spans="2:27" ht="15" thickBot="1" x14ac:dyDescent="0.4">
      <c r="B43" s="76"/>
      <c r="C43" s="72"/>
      <c r="D43" s="72"/>
      <c r="E43" s="72"/>
      <c r="F43" s="72"/>
      <c r="G43" s="77" t="str">
        <f>IF(F43="","",INDEX(Lists!$BA$4:$BC$31,MATCH(B43,Lists!$AZ$4:$AZ$31,0),MATCH(F43,Lists!$BA$3:$BC$3,0)))</f>
        <v/>
      </c>
      <c r="H43" s="42"/>
      <c r="I43" s="70"/>
      <c r="J43" s="72"/>
      <c r="K43" s="75" t="str" cm="1">
        <f t="array" ref="K43">IF(OR($C43="",$B43="",$I43="",$J43=""),"",IF(J43=L43,I43,(INDEX('Emission factors'!$K$3:$V$201,MATCH(B43&amp;D43,'Emission factors'!$J$3:$J$201&amp;'Emission factors'!$K$3:$K$201,0),MATCH(K$7,'Emission factors'!$K$2:$V$2,0)))*I43))</f>
        <v/>
      </c>
      <c r="L43" s="312" t="str">
        <f>IF(OR($C43="",$B43="",$I43="",$J43=""),"",INDEX('Emission factors'!$K$3:$V$212,MATCH('Fleet &amp; stationary assets'!$B43,'Emission factors'!$J$3:$J$212,0),MATCH($L$30,'Emission factors'!$K$2:$V$2,0)))</f>
        <v/>
      </c>
      <c r="M43" s="313" t="str" cm="1">
        <f t="array" ref="M43">IF(OR(FleetTableDistance[[#This Row],[Type]]="",C43="",I43=""),"",INDEX('Emission factors'!$K$3:$V$212,MATCH(FleetTableDistance[[#This Row],[Type]]&amp;C43&amp;FleetTableDistance[[#This Row],[Size]],'Emission factors'!$J$3:$J$212&amp;'Emission factors'!$L$3:$L$212&amp;'Emission factors'!$K$3:$K$212,0),MATCH(FleetTableDistance[[#Headers],[Total EF (kgCO2e/unit)]],'Emission factors'!$K$2:$V$2,0)))</f>
        <v/>
      </c>
      <c r="N43" s="156" t="str">
        <f>IF(OR(K43="",M43=""),"",SUM(FleetTableDistance[[#This Row],[Direct]:[Indirect WTT]]))</f>
        <v/>
      </c>
      <c r="O43" s="71"/>
      <c r="P43" s="72"/>
      <c r="Q43" s="157" t="str" cm="1">
        <f t="array" ref="Q43">IF(OR($C43="",$I43=""),"",(INDEX('Emission factors'!$K$3:$V$381,MATCH(FleetTableDistance[[#This Row],[Type]]&amp;$C43&amp;$D43,'Emission factors'!$J$3:$J$381&amp;'Emission factors'!$L$3:$L$381&amp;'Emission factors'!$K$3:$K$381,0),MATCH(FleetTableDistance[[#Headers],[Direct]],'Emission factors'!$K$2:$V$2,0)))*$K43)</f>
        <v/>
      </c>
      <c r="R43" s="157" t="str" cm="1">
        <f t="array" ref="R43">IF(OR($C43="",$I43=""),"",(INDEX('Emission factors'!$K$3:$V$212,MATCH(FleetTableDistance[[#This Row],[Type]]&amp;$C43&amp;$D43,'Emission factors'!$J$3:$J$212&amp;'Emission factors'!$L$3:$L$212&amp;'Emission factors'!$K$3:$K$212,0),MATCH(FleetTableDistance[[#Headers],[Indirect generation]],'Emission factors'!$K$2:$V$2,0)))*$K43)</f>
        <v/>
      </c>
      <c r="S43" s="157" t="str" cm="1">
        <f t="array" ref="S43">IF(OR($C43="",$I43=""),"",(INDEX('Emission factors'!$K$3:$V$212,MATCH(FleetTableDistance[[#This Row],[Type]]&amp;$C43&amp;$D43,'Emission factors'!$J$3:$J$212&amp;'Emission factors'!$L$3:$L$212&amp;'Emission factors'!$K$3:$K$212,0),MATCH(FleetTableDistance[[#Headers],[Indirect service]],'Emission factors'!$K$2:$V$2,0)))*$K43)</f>
        <v/>
      </c>
      <c r="T43" s="157" t="str" cm="1">
        <f t="array" ref="T43">IF(OR($C43="",$I43=""),"",(INDEX('Emission factors'!$K$3:$V$212,MATCH(FleetTableDistance[[#This Row],[Type]]&amp;$C43&amp;$D43,'Emission factors'!$J$3:$J$212&amp;'Emission factors'!$L$3:$L$212&amp;'Emission factors'!$K$3:$K$212,0),MATCH(FleetTableDistance[[#Headers],[Indirect T&amp;D]],'Emission factors'!$K$2:$V$2,0)))*$K43)</f>
        <v/>
      </c>
      <c r="U43" s="157" t="str" cm="1">
        <f t="array" ref="U43">IF(OR($C43="",$I43=""),"",(INDEX('Emission factors'!$K$3:$V$212,MATCH(FleetTableDistance[[#This Row],[Type]]&amp;$C43&amp;$D43,'Emission factors'!$J$3:$J$212&amp;'Emission factors'!$L$3:$L$212&amp;'Emission factors'!$K$3:$K$212,0),MATCH(FleetTableDistance[[#Headers],[Indirect WTT]],'Emission factors'!$K$2:$V$2,0)))*$K43)</f>
        <v/>
      </c>
      <c r="V43" s="158" t="str">
        <f>IF(OR($N43="",FleetTableDistance[[#This Row],[RSD]]=""),"",FleetTableDistance[[#This Row],[Total emissions (kgCO2e)]]*(1+FleetTableDistance[[#This Row],[RSD]]))</f>
        <v/>
      </c>
      <c r="W43" s="163" t="str">
        <f>IF(OR($N43="",FleetTableDistance[[#This Row],[RSD]]=""),"",FleetTableDistance[[#This Row],[Total emissions (kgCO2e)]]*(1-FleetTableDistance[[#This Row],[RSD]]))</f>
        <v/>
      </c>
      <c r="X43" s="157" t="str" cm="1">
        <f t="array" ref="X43">IF(OR($C43="",$I43=""),"",(INDEX('Emission factors'!$K$3:$V$212,MATCH(FleetTableDistance[[#This Row],[Type]]&amp;$C43&amp;$D43,'Emission factors'!$J$3:$J$212&amp;'Emission factors'!$L$3:$L$212&amp;'Emission factors'!$K$3:$K$212,0),MATCH(FleetTableDistance[[#Headers],[Outside of scopes]],'Emission factors'!$K$2:$V$2,0)))*$K43)</f>
        <v/>
      </c>
      <c r="Z43" s="1" cm="1">
        <f t="array" ref="Z43">IF(OR(ISERROR(B43:X43)),1,0)</f>
        <v>0</v>
      </c>
      <c r="AA43" s="1">
        <f t="shared" si="1"/>
        <v>0</v>
      </c>
    </row>
    <row r="44" spans="2:27" ht="15" thickBot="1" x14ac:dyDescent="0.4">
      <c r="B44" s="76"/>
      <c r="C44" s="72"/>
      <c r="D44" s="72"/>
      <c r="E44" s="72"/>
      <c r="F44" s="72"/>
      <c r="G44" s="77" t="str">
        <f>IF(F44="","",INDEX(Lists!$BA$4:$BC$31,MATCH(B44,Lists!$AZ$4:$AZ$31,0),MATCH(F44,Lists!$BA$3:$BC$3,0)))</f>
        <v/>
      </c>
      <c r="H44" s="42"/>
      <c r="I44" s="70"/>
      <c r="J44" s="72"/>
      <c r="K44" s="75" t="str" cm="1">
        <f t="array" ref="K44">IF(OR($C44="",$B44="",$I44="",$J44=""),"",IF(J44=L44,I44,(INDEX('Emission factors'!$K$3:$V$201,MATCH(B44&amp;D44,'Emission factors'!$J$3:$J$201&amp;'Emission factors'!$K$3:$K$201,0),MATCH(K$7,'Emission factors'!$K$2:$V$2,0)))*I44))</f>
        <v/>
      </c>
      <c r="L44" s="312" t="str">
        <f>IF(OR($C44="",$B44="",$I44="",$J44=""),"",INDEX('Emission factors'!$K$3:$V$212,MATCH('Fleet &amp; stationary assets'!$B44,'Emission factors'!$J$3:$J$212,0),MATCH($L$30,'Emission factors'!$K$2:$V$2,0)))</f>
        <v/>
      </c>
      <c r="M44" s="313" t="str" cm="1">
        <f t="array" ref="M44">IF(OR(FleetTableDistance[[#This Row],[Type]]="",C44="",I44=""),"",INDEX('Emission factors'!$K$3:$V$212,MATCH(FleetTableDistance[[#This Row],[Type]]&amp;C44&amp;FleetTableDistance[[#This Row],[Size]],'Emission factors'!$J$3:$J$212&amp;'Emission factors'!$L$3:$L$212&amp;'Emission factors'!$K$3:$K$212,0),MATCH(FleetTableDistance[[#Headers],[Total EF (kgCO2e/unit)]],'Emission factors'!$K$2:$V$2,0)))</f>
        <v/>
      </c>
      <c r="N44" s="156" t="str">
        <f>IF(OR(K44="",M44=""),"",SUM(FleetTableDistance[[#This Row],[Direct]:[Indirect WTT]]))</f>
        <v/>
      </c>
      <c r="O44" s="71"/>
      <c r="P44" s="72"/>
      <c r="Q44" s="157" t="str" cm="1">
        <f t="array" ref="Q44">IF(OR($C44="",$I44=""),"",(INDEX('Emission factors'!$K$3:$V$381,MATCH(FleetTableDistance[[#This Row],[Type]]&amp;$C44&amp;$D44,'Emission factors'!$J$3:$J$381&amp;'Emission factors'!$L$3:$L$381&amp;'Emission factors'!$K$3:$K$381,0),MATCH(FleetTableDistance[[#Headers],[Direct]],'Emission factors'!$K$2:$V$2,0)))*$K44)</f>
        <v/>
      </c>
      <c r="R44" s="157" t="str" cm="1">
        <f t="array" ref="R44">IF(OR($C44="",$I44=""),"",(INDEX('Emission factors'!$K$3:$V$212,MATCH(FleetTableDistance[[#This Row],[Type]]&amp;$C44&amp;$D44,'Emission factors'!$J$3:$J$212&amp;'Emission factors'!$L$3:$L$212&amp;'Emission factors'!$K$3:$K$212,0),MATCH(FleetTableDistance[[#Headers],[Indirect generation]],'Emission factors'!$K$2:$V$2,0)))*$K44)</f>
        <v/>
      </c>
      <c r="S44" s="157" t="str" cm="1">
        <f t="array" ref="S44">IF(OR($C44="",$I44=""),"",(INDEX('Emission factors'!$K$3:$V$212,MATCH(FleetTableDistance[[#This Row],[Type]]&amp;$C44&amp;$D44,'Emission factors'!$J$3:$J$212&amp;'Emission factors'!$L$3:$L$212&amp;'Emission factors'!$K$3:$K$212,0),MATCH(FleetTableDistance[[#Headers],[Indirect service]],'Emission factors'!$K$2:$V$2,0)))*$K44)</f>
        <v/>
      </c>
      <c r="T44" s="157" t="str" cm="1">
        <f t="array" ref="T44">IF(OR($C44="",$I44=""),"",(INDEX('Emission factors'!$K$3:$V$212,MATCH(FleetTableDistance[[#This Row],[Type]]&amp;$C44&amp;$D44,'Emission factors'!$J$3:$J$212&amp;'Emission factors'!$L$3:$L$212&amp;'Emission factors'!$K$3:$K$212,0),MATCH(FleetTableDistance[[#Headers],[Indirect T&amp;D]],'Emission factors'!$K$2:$V$2,0)))*$K44)</f>
        <v/>
      </c>
      <c r="U44" s="157" t="str" cm="1">
        <f t="array" ref="U44">IF(OR($C44="",$I44=""),"",(INDEX('Emission factors'!$K$3:$V$212,MATCH(FleetTableDistance[[#This Row],[Type]]&amp;$C44&amp;$D44,'Emission factors'!$J$3:$J$212&amp;'Emission factors'!$L$3:$L$212&amp;'Emission factors'!$K$3:$K$212,0),MATCH(FleetTableDistance[[#Headers],[Indirect WTT]],'Emission factors'!$K$2:$V$2,0)))*$K44)</f>
        <v/>
      </c>
      <c r="V44" s="158" t="str">
        <f>IF(OR($N44="",FleetTableDistance[[#This Row],[RSD]]=""),"",FleetTableDistance[[#This Row],[Total emissions (kgCO2e)]]*(1+FleetTableDistance[[#This Row],[RSD]]))</f>
        <v/>
      </c>
      <c r="W44" s="163" t="str">
        <f>IF(OR($N44="",FleetTableDistance[[#This Row],[RSD]]=""),"",FleetTableDistance[[#This Row],[Total emissions (kgCO2e)]]*(1-FleetTableDistance[[#This Row],[RSD]]))</f>
        <v/>
      </c>
      <c r="X44" s="157" t="str" cm="1">
        <f t="array" ref="X44">IF(OR($C44="",$I44=""),"",(INDEX('Emission factors'!$K$3:$V$212,MATCH(FleetTableDistance[[#This Row],[Type]]&amp;$C44&amp;$D44,'Emission factors'!$J$3:$J$212&amp;'Emission factors'!$L$3:$L$212&amp;'Emission factors'!$K$3:$K$212,0),MATCH(FleetTableDistance[[#Headers],[Outside of scopes]],'Emission factors'!$K$2:$V$2,0)))*$K44)</f>
        <v/>
      </c>
      <c r="Z44" s="1" cm="1">
        <f t="array" ref="Z44">IF(OR(ISERROR(B44:X44)),1,0)</f>
        <v>0</v>
      </c>
      <c r="AA44" s="1">
        <f t="shared" si="1"/>
        <v>0</v>
      </c>
    </row>
    <row r="45" spans="2:27" ht="15" thickBot="1" x14ac:dyDescent="0.4">
      <c r="B45" s="76"/>
      <c r="C45" s="72"/>
      <c r="D45" s="72"/>
      <c r="E45" s="72"/>
      <c r="F45" s="72"/>
      <c r="G45" s="77" t="str">
        <f>IF(F45="","",INDEX(Lists!$BA$4:$BC$31,MATCH(B45,Lists!$AZ$4:$AZ$31,0),MATCH(F45,Lists!$BA$3:$BC$3,0)))</f>
        <v/>
      </c>
      <c r="H45" s="42"/>
      <c r="I45" s="70"/>
      <c r="J45" s="72"/>
      <c r="K45" s="75" t="str" cm="1">
        <f t="array" ref="K45">IF(OR($C45="",$B45="",$I45="",$J45=""),"",IF(J45=L45,I45,(INDEX('Emission factors'!$K$3:$V$201,MATCH(B45&amp;D45,'Emission factors'!$J$3:$J$201&amp;'Emission factors'!$K$3:$K$201,0),MATCH(K$7,'Emission factors'!$K$2:$V$2,0)))*I45))</f>
        <v/>
      </c>
      <c r="L45" s="312" t="str">
        <f>IF(OR($C45="",$B45="",$I45="",$J45=""),"",INDEX('Emission factors'!$K$3:$V$212,MATCH('Fleet &amp; stationary assets'!$B45,'Emission factors'!$J$3:$J$212,0),MATCH($L$30,'Emission factors'!$K$2:$V$2,0)))</f>
        <v/>
      </c>
      <c r="M45" s="313" t="str" cm="1">
        <f t="array" ref="M45">IF(OR(FleetTableDistance[[#This Row],[Type]]="",C45="",I45=""),"",INDEX('Emission factors'!$K$3:$V$212,MATCH(FleetTableDistance[[#This Row],[Type]]&amp;C45&amp;FleetTableDistance[[#This Row],[Size]],'Emission factors'!$J$3:$J$212&amp;'Emission factors'!$L$3:$L$212&amp;'Emission factors'!$K$3:$K$212,0),MATCH(FleetTableDistance[[#Headers],[Total EF (kgCO2e/unit)]],'Emission factors'!$K$2:$V$2,0)))</f>
        <v/>
      </c>
      <c r="N45" s="156" t="str">
        <f>IF(OR(K45="",M45=""),"",SUM(FleetTableDistance[[#This Row],[Direct]:[Indirect WTT]]))</f>
        <v/>
      </c>
      <c r="O45" s="71"/>
      <c r="P45" s="72"/>
      <c r="Q45" s="157" t="str" cm="1">
        <f t="array" ref="Q45">IF(OR($C45="",$I45=""),"",(INDEX('Emission factors'!$K$3:$V$381,MATCH(FleetTableDistance[[#This Row],[Type]]&amp;$C45&amp;$D45,'Emission factors'!$J$3:$J$381&amp;'Emission factors'!$L$3:$L$381&amp;'Emission factors'!$K$3:$K$381,0),MATCH(FleetTableDistance[[#Headers],[Direct]],'Emission factors'!$K$2:$V$2,0)))*$K45)</f>
        <v/>
      </c>
      <c r="R45" s="157" t="str" cm="1">
        <f t="array" ref="R45">IF(OR($C45="",$I45=""),"",(INDEX('Emission factors'!$K$3:$V$212,MATCH(FleetTableDistance[[#This Row],[Type]]&amp;$C45&amp;$D45,'Emission factors'!$J$3:$J$212&amp;'Emission factors'!$L$3:$L$212&amp;'Emission factors'!$K$3:$K$212,0),MATCH(FleetTableDistance[[#Headers],[Indirect generation]],'Emission factors'!$K$2:$V$2,0)))*$K45)</f>
        <v/>
      </c>
      <c r="S45" s="157" t="str" cm="1">
        <f t="array" ref="S45">IF(OR($C45="",$I45=""),"",(INDEX('Emission factors'!$K$3:$V$212,MATCH(FleetTableDistance[[#This Row],[Type]]&amp;$C45&amp;$D45,'Emission factors'!$J$3:$J$212&amp;'Emission factors'!$L$3:$L$212&amp;'Emission factors'!$K$3:$K$212,0),MATCH(FleetTableDistance[[#Headers],[Indirect service]],'Emission factors'!$K$2:$V$2,0)))*$K45)</f>
        <v/>
      </c>
      <c r="T45" s="157" t="str" cm="1">
        <f t="array" ref="T45">IF(OR($C45="",$I45=""),"",(INDEX('Emission factors'!$K$3:$V$212,MATCH(FleetTableDistance[[#This Row],[Type]]&amp;$C45&amp;$D45,'Emission factors'!$J$3:$J$212&amp;'Emission factors'!$L$3:$L$212&amp;'Emission factors'!$K$3:$K$212,0),MATCH(FleetTableDistance[[#Headers],[Indirect T&amp;D]],'Emission factors'!$K$2:$V$2,0)))*$K45)</f>
        <v/>
      </c>
      <c r="U45" s="157" t="str" cm="1">
        <f t="array" ref="U45">IF(OR($C45="",$I45=""),"",(INDEX('Emission factors'!$K$3:$V$212,MATCH(FleetTableDistance[[#This Row],[Type]]&amp;$C45&amp;$D45,'Emission factors'!$J$3:$J$212&amp;'Emission factors'!$L$3:$L$212&amp;'Emission factors'!$K$3:$K$212,0),MATCH(FleetTableDistance[[#Headers],[Indirect WTT]],'Emission factors'!$K$2:$V$2,0)))*$K45)</f>
        <v/>
      </c>
      <c r="V45" s="158" t="str">
        <f>IF(OR($N45="",FleetTableDistance[[#This Row],[RSD]]=""),"",FleetTableDistance[[#This Row],[Total emissions (kgCO2e)]]*(1+FleetTableDistance[[#This Row],[RSD]]))</f>
        <v/>
      </c>
      <c r="W45" s="163" t="str">
        <f>IF(OR($N45="",FleetTableDistance[[#This Row],[RSD]]=""),"",FleetTableDistance[[#This Row],[Total emissions (kgCO2e)]]*(1-FleetTableDistance[[#This Row],[RSD]]))</f>
        <v/>
      </c>
      <c r="X45" s="157" t="str" cm="1">
        <f t="array" ref="X45">IF(OR($C45="",$I45=""),"",(INDEX('Emission factors'!$K$3:$V$212,MATCH(FleetTableDistance[[#This Row],[Type]]&amp;$C45&amp;$D45,'Emission factors'!$J$3:$J$212&amp;'Emission factors'!$L$3:$L$212&amp;'Emission factors'!$K$3:$K$212,0),MATCH(FleetTableDistance[[#Headers],[Outside of scopes]],'Emission factors'!$K$2:$V$2,0)))*$K45)</f>
        <v/>
      </c>
      <c r="Z45" s="1" cm="1">
        <f t="array" ref="Z45">IF(OR(ISERROR(B45:X45)),1,0)</f>
        <v>0</v>
      </c>
      <c r="AA45" s="1">
        <f t="shared" si="1"/>
        <v>0</v>
      </c>
    </row>
    <row r="46" spans="2:27" ht="15" thickBot="1" x14ac:dyDescent="0.4">
      <c r="B46" s="76"/>
      <c r="C46" s="72"/>
      <c r="D46" s="72"/>
      <c r="E46" s="72"/>
      <c r="F46" s="72"/>
      <c r="G46" s="77" t="str">
        <f>IF(F46="","",INDEX(Lists!$BA$4:$BC$31,MATCH(B46,Lists!$AZ$4:$AZ$31,0),MATCH(F46,Lists!$BA$3:$BC$3,0)))</f>
        <v/>
      </c>
      <c r="H46" s="42"/>
      <c r="I46" s="70"/>
      <c r="J46" s="72"/>
      <c r="K46" s="75" t="str" cm="1">
        <f t="array" ref="K46">IF(OR($C46="",$B46="",$I46="",$J46=""),"",IF(J46=L46,I46,(INDEX('Emission factors'!$K$3:$V$201,MATCH(B46&amp;D46,'Emission factors'!$J$3:$J$201&amp;'Emission factors'!$K$3:$K$201,0),MATCH(K$7,'Emission factors'!$K$2:$V$2,0)))*I46))</f>
        <v/>
      </c>
      <c r="L46" s="312" t="str">
        <f>IF(OR($C46="",$B46="",$I46="",$J46=""),"",INDEX('Emission factors'!$K$3:$V$212,MATCH('Fleet &amp; stationary assets'!$B46,'Emission factors'!$J$3:$J$212,0),MATCH($L$30,'Emission factors'!$K$2:$V$2,0)))</f>
        <v/>
      </c>
      <c r="M46" s="313" t="str" cm="1">
        <f t="array" ref="M46">IF(OR(FleetTableDistance[[#This Row],[Type]]="",C46="",I46=""),"",INDEX('Emission factors'!$K$3:$V$212,MATCH(FleetTableDistance[[#This Row],[Type]]&amp;C46&amp;FleetTableDistance[[#This Row],[Size]],'Emission factors'!$J$3:$J$212&amp;'Emission factors'!$L$3:$L$212&amp;'Emission factors'!$K$3:$K$212,0),MATCH(FleetTableDistance[[#Headers],[Total EF (kgCO2e/unit)]],'Emission factors'!$K$2:$V$2,0)))</f>
        <v/>
      </c>
      <c r="N46" s="156" t="str">
        <f>IF(OR(K46="",M46=""),"",SUM(FleetTableDistance[[#This Row],[Direct]:[Indirect WTT]]))</f>
        <v/>
      </c>
      <c r="O46" s="71"/>
      <c r="P46" s="72"/>
      <c r="Q46" s="157" t="str" cm="1">
        <f t="array" ref="Q46">IF(OR($C46="",$I46=""),"",(INDEX('Emission factors'!$K$3:$V$381,MATCH(FleetTableDistance[[#This Row],[Type]]&amp;$C46&amp;$D46,'Emission factors'!$J$3:$J$381&amp;'Emission factors'!$L$3:$L$381&amp;'Emission factors'!$K$3:$K$381,0),MATCH(FleetTableDistance[[#Headers],[Direct]],'Emission factors'!$K$2:$V$2,0)))*$K46)</f>
        <v/>
      </c>
      <c r="R46" s="157" t="str" cm="1">
        <f t="array" ref="R46">IF(OR($C46="",$I46=""),"",(INDEX('Emission factors'!$K$3:$V$212,MATCH(FleetTableDistance[[#This Row],[Type]]&amp;$C46&amp;$D46,'Emission factors'!$J$3:$J$212&amp;'Emission factors'!$L$3:$L$212&amp;'Emission factors'!$K$3:$K$212,0),MATCH(FleetTableDistance[[#Headers],[Indirect generation]],'Emission factors'!$K$2:$V$2,0)))*$K46)</f>
        <v/>
      </c>
      <c r="S46" s="157" t="str" cm="1">
        <f t="array" ref="S46">IF(OR($C46="",$I46=""),"",(INDEX('Emission factors'!$K$3:$V$212,MATCH(FleetTableDistance[[#This Row],[Type]]&amp;$C46&amp;$D46,'Emission factors'!$J$3:$J$212&amp;'Emission factors'!$L$3:$L$212&amp;'Emission factors'!$K$3:$K$212,0),MATCH(FleetTableDistance[[#Headers],[Indirect service]],'Emission factors'!$K$2:$V$2,0)))*$K46)</f>
        <v/>
      </c>
      <c r="T46" s="157" t="str" cm="1">
        <f t="array" ref="T46">IF(OR($C46="",$I46=""),"",(INDEX('Emission factors'!$K$3:$V$212,MATCH(FleetTableDistance[[#This Row],[Type]]&amp;$C46&amp;$D46,'Emission factors'!$J$3:$J$212&amp;'Emission factors'!$L$3:$L$212&amp;'Emission factors'!$K$3:$K$212,0),MATCH(FleetTableDistance[[#Headers],[Indirect T&amp;D]],'Emission factors'!$K$2:$V$2,0)))*$K46)</f>
        <v/>
      </c>
      <c r="U46" s="157" t="str" cm="1">
        <f t="array" ref="U46">IF(OR($C46="",$I46=""),"",(INDEX('Emission factors'!$K$3:$V$212,MATCH(FleetTableDistance[[#This Row],[Type]]&amp;$C46&amp;$D46,'Emission factors'!$J$3:$J$212&amp;'Emission factors'!$L$3:$L$212&amp;'Emission factors'!$K$3:$K$212,0),MATCH(FleetTableDistance[[#Headers],[Indirect WTT]],'Emission factors'!$K$2:$V$2,0)))*$K46)</f>
        <v/>
      </c>
      <c r="V46" s="158" t="str">
        <f>IF(OR($N46="",FleetTableDistance[[#This Row],[RSD]]=""),"",FleetTableDistance[[#This Row],[Total emissions (kgCO2e)]]*(1+FleetTableDistance[[#This Row],[RSD]]))</f>
        <v/>
      </c>
      <c r="W46" s="163" t="str">
        <f>IF(OR($N46="",FleetTableDistance[[#This Row],[RSD]]=""),"",FleetTableDistance[[#This Row],[Total emissions (kgCO2e)]]*(1-FleetTableDistance[[#This Row],[RSD]]))</f>
        <v/>
      </c>
      <c r="X46" s="157" t="str" cm="1">
        <f t="array" ref="X46">IF(OR($C46="",$I46=""),"",(INDEX('Emission factors'!$K$3:$V$212,MATCH(FleetTableDistance[[#This Row],[Type]]&amp;$C46&amp;$D46,'Emission factors'!$J$3:$J$212&amp;'Emission factors'!$L$3:$L$212&amp;'Emission factors'!$K$3:$K$212,0),MATCH(FleetTableDistance[[#Headers],[Outside of scopes]],'Emission factors'!$K$2:$V$2,0)))*$K46)</f>
        <v/>
      </c>
      <c r="Z46" s="1" cm="1">
        <f t="array" ref="Z46">IF(OR(ISERROR(B46:X46)),1,0)</f>
        <v>0</v>
      </c>
      <c r="AA46" s="1">
        <f t="shared" si="1"/>
        <v>0</v>
      </c>
    </row>
    <row r="47" spans="2:27" ht="15" thickBot="1" x14ac:dyDescent="0.4">
      <c r="B47" s="76"/>
      <c r="C47" s="72"/>
      <c r="D47" s="72"/>
      <c r="E47" s="72"/>
      <c r="F47" s="72"/>
      <c r="G47" s="77" t="str">
        <f>IF(F47="","",INDEX(Lists!$BA$4:$BC$31,MATCH(B47,Lists!$AZ$4:$AZ$31,0),MATCH(F47,Lists!$BA$3:$BC$3,0)))</f>
        <v/>
      </c>
      <c r="H47" s="42"/>
      <c r="I47" s="70"/>
      <c r="J47" s="72"/>
      <c r="K47" s="75" t="str" cm="1">
        <f t="array" ref="K47">IF(OR($C47="",$B47="",$I47="",$J47=""),"",IF(J47=L47,I47,(INDEX('Emission factors'!$K$3:$V$201,MATCH(B47&amp;D47,'Emission factors'!$J$3:$J$201&amp;'Emission factors'!$K$3:$K$201,0),MATCH(K$7,'Emission factors'!$K$2:$V$2,0)))*I47))</f>
        <v/>
      </c>
      <c r="L47" s="312" t="str">
        <f>IF(OR($C47="",$B47="",$I47="",$J47=""),"",INDEX('Emission factors'!$K$3:$V$212,MATCH('Fleet &amp; stationary assets'!$B47,'Emission factors'!$J$3:$J$212,0),MATCH($L$30,'Emission factors'!$K$2:$V$2,0)))</f>
        <v/>
      </c>
      <c r="M47" s="313" t="str" cm="1">
        <f t="array" ref="M47">IF(OR(FleetTableDistance[[#This Row],[Type]]="",C47="",I47=""),"",INDEX('Emission factors'!$K$3:$V$212,MATCH(FleetTableDistance[[#This Row],[Type]]&amp;C47&amp;FleetTableDistance[[#This Row],[Size]],'Emission factors'!$J$3:$J$212&amp;'Emission factors'!$L$3:$L$212&amp;'Emission factors'!$K$3:$K$212,0),MATCH(FleetTableDistance[[#Headers],[Total EF (kgCO2e/unit)]],'Emission factors'!$K$2:$V$2,0)))</f>
        <v/>
      </c>
      <c r="N47" s="156" t="str">
        <f>IF(OR(K47="",M47=""),"",SUM(FleetTableDistance[[#This Row],[Direct]:[Indirect WTT]]))</f>
        <v/>
      </c>
      <c r="O47" s="71"/>
      <c r="P47" s="72"/>
      <c r="Q47" s="157" t="str" cm="1">
        <f t="array" ref="Q47">IF(OR($C47="",$I47=""),"",(INDEX('Emission factors'!$K$3:$V$381,MATCH(FleetTableDistance[[#This Row],[Type]]&amp;$C47&amp;$D47,'Emission factors'!$J$3:$J$381&amp;'Emission factors'!$L$3:$L$381&amp;'Emission factors'!$K$3:$K$381,0),MATCH(FleetTableDistance[[#Headers],[Direct]],'Emission factors'!$K$2:$V$2,0)))*$K47)</f>
        <v/>
      </c>
      <c r="R47" s="157" t="str" cm="1">
        <f t="array" ref="R47">IF(OR($C47="",$I47=""),"",(INDEX('Emission factors'!$K$3:$V$212,MATCH(FleetTableDistance[[#This Row],[Type]]&amp;$C47&amp;$D47,'Emission factors'!$J$3:$J$212&amp;'Emission factors'!$L$3:$L$212&amp;'Emission factors'!$K$3:$K$212,0),MATCH(FleetTableDistance[[#Headers],[Indirect generation]],'Emission factors'!$K$2:$V$2,0)))*$K47)</f>
        <v/>
      </c>
      <c r="S47" s="157" t="str" cm="1">
        <f t="array" ref="S47">IF(OR($C47="",$I47=""),"",(INDEX('Emission factors'!$K$3:$V$212,MATCH(FleetTableDistance[[#This Row],[Type]]&amp;$C47&amp;$D47,'Emission factors'!$J$3:$J$212&amp;'Emission factors'!$L$3:$L$212&amp;'Emission factors'!$K$3:$K$212,0),MATCH(FleetTableDistance[[#Headers],[Indirect service]],'Emission factors'!$K$2:$V$2,0)))*$K47)</f>
        <v/>
      </c>
      <c r="T47" s="157" t="str" cm="1">
        <f t="array" ref="T47">IF(OR($C47="",$I47=""),"",(INDEX('Emission factors'!$K$3:$V$212,MATCH(FleetTableDistance[[#This Row],[Type]]&amp;$C47&amp;$D47,'Emission factors'!$J$3:$J$212&amp;'Emission factors'!$L$3:$L$212&amp;'Emission factors'!$K$3:$K$212,0),MATCH(FleetTableDistance[[#Headers],[Indirect T&amp;D]],'Emission factors'!$K$2:$V$2,0)))*$K47)</f>
        <v/>
      </c>
      <c r="U47" s="157" t="str" cm="1">
        <f t="array" ref="U47">IF(OR($C47="",$I47=""),"",(INDEX('Emission factors'!$K$3:$V$212,MATCH(FleetTableDistance[[#This Row],[Type]]&amp;$C47&amp;$D47,'Emission factors'!$J$3:$J$212&amp;'Emission factors'!$L$3:$L$212&amp;'Emission factors'!$K$3:$K$212,0),MATCH(FleetTableDistance[[#Headers],[Indirect WTT]],'Emission factors'!$K$2:$V$2,0)))*$K47)</f>
        <v/>
      </c>
      <c r="V47" s="158" t="str">
        <f>IF(OR($N47="",FleetTableDistance[[#This Row],[RSD]]=""),"",FleetTableDistance[[#This Row],[Total emissions (kgCO2e)]]*(1+FleetTableDistance[[#This Row],[RSD]]))</f>
        <v/>
      </c>
      <c r="W47" s="163" t="str">
        <f>IF(OR($N47="",FleetTableDistance[[#This Row],[RSD]]=""),"",FleetTableDistance[[#This Row],[Total emissions (kgCO2e)]]*(1-FleetTableDistance[[#This Row],[RSD]]))</f>
        <v/>
      </c>
      <c r="X47" s="157" t="str" cm="1">
        <f t="array" ref="X47">IF(OR($C47="",$I47=""),"",(INDEX('Emission factors'!$K$3:$V$212,MATCH(FleetTableDistance[[#This Row],[Type]]&amp;$C47&amp;$D47,'Emission factors'!$J$3:$J$212&amp;'Emission factors'!$L$3:$L$212&amp;'Emission factors'!$K$3:$K$212,0),MATCH(FleetTableDistance[[#Headers],[Outside of scopes]],'Emission factors'!$K$2:$V$2,0)))*$K47)</f>
        <v/>
      </c>
      <c r="Z47" s="1" cm="1">
        <f t="array" ref="Z47">IF(OR(ISERROR(B47:X47)),1,0)</f>
        <v>0</v>
      </c>
      <c r="AA47" s="1">
        <f t="shared" si="1"/>
        <v>0</v>
      </c>
    </row>
    <row r="48" spans="2:27" ht="15" thickBot="1" x14ac:dyDescent="0.4">
      <c r="B48" s="76"/>
      <c r="C48" s="72"/>
      <c r="D48" s="72"/>
      <c r="E48" s="72"/>
      <c r="F48" s="72"/>
      <c r="G48" s="77" t="str">
        <f>IF(F48="","",INDEX(Lists!$BA$4:$BC$31,MATCH(B48,Lists!$AZ$4:$AZ$31,0),MATCH(F48,Lists!$BA$3:$BC$3,0)))</f>
        <v/>
      </c>
      <c r="H48" s="42"/>
      <c r="I48" s="70"/>
      <c r="J48" s="72"/>
      <c r="K48" s="75" t="str" cm="1">
        <f t="array" ref="K48">IF(OR($C48="",$B48="",$I48="",$J48=""),"",IF(J48=L48,I48,(INDEX('Emission factors'!$K$3:$V$201,MATCH(B48&amp;D48,'Emission factors'!$J$3:$J$201&amp;'Emission factors'!$K$3:$K$201,0),MATCH(K$7,'Emission factors'!$K$2:$V$2,0)))*I48))</f>
        <v/>
      </c>
      <c r="L48" s="312" t="str">
        <f>IF(OR($C48="",$B48="",$I48="",$J48=""),"",INDEX('Emission factors'!$K$3:$V$212,MATCH('Fleet &amp; stationary assets'!$B48,'Emission factors'!$J$3:$J$212,0),MATCH($L$30,'Emission factors'!$K$2:$V$2,0)))</f>
        <v/>
      </c>
      <c r="M48" s="313" t="str" cm="1">
        <f t="array" ref="M48">IF(OR(FleetTableDistance[[#This Row],[Type]]="",C48="",I48=""),"",INDEX('Emission factors'!$K$3:$V$212,MATCH(FleetTableDistance[[#This Row],[Type]]&amp;C48&amp;FleetTableDistance[[#This Row],[Size]],'Emission factors'!$J$3:$J$212&amp;'Emission factors'!$L$3:$L$212&amp;'Emission factors'!$K$3:$K$212,0),MATCH(FleetTableDistance[[#Headers],[Total EF (kgCO2e/unit)]],'Emission factors'!$K$2:$V$2,0)))</f>
        <v/>
      </c>
      <c r="N48" s="156" t="str">
        <f>IF(OR(K48="",M48=""),"",SUM(FleetTableDistance[[#This Row],[Direct]:[Indirect WTT]]))</f>
        <v/>
      </c>
      <c r="O48" s="71"/>
      <c r="P48" s="72"/>
      <c r="Q48" s="157" t="str" cm="1">
        <f t="array" ref="Q48">IF(OR($C48="",$I48=""),"",(INDEX('Emission factors'!$K$3:$V$381,MATCH(FleetTableDistance[[#This Row],[Type]]&amp;$C48&amp;$D48,'Emission factors'!$J$3:$J$381&amp;'Emission factors'!$L$3:$L$381&amp;'Emission factors'!$K$3:$K$381,0),MATCH(FleetTableDistance[[#Headers],[Direct]],'Emission factors'!$K$2:$V$2,0)))*$K48)</f>
        <v/>
      </c>
      <c r="R48" s="157" t="str" cm="1">
        <f t="array" ref="R48">IF(OR($C48="",$I48=""),"",(INDEX('Emission factors'!$K$3:$V$212,MATCH(FleetTableDistance[[#This Row],[Type]]&amp;$C48&amp;$D48,'Emission factors'!$J$3:$J$212&amp;'Emission factors'!$L$3:$L$212&amp;'Emission factors'!$K$3:$K$212,0),MATCH(FleetTableDistance[[#Headers],[Indirect generation]],'Emission factors'!$K$2:$V$2,0)))*$K48)</f>
        <v/>
      </c>
      <c r="S48" s="157" t="str" cm="1">
        <f t="array" ref="S48">IF(OR($C48="",$I48=""),"",(INDEX('Emission factors'!$K$3:$V$212,MATCH(FleetTableDistance[[#This Row],[Type]]&amp;$C48&amp;$D48,'Emission factors'!$J$3:$J$212&amp;'Emission factors'!$L$3:$L$212&amp;'Emission factors'!$K$3:$K$212,0),MATCH(FleetTableDistance[[#Headers],[Indirect service]],'Emission factors'!$K$2:$V$2,0)))*$K48)</f>
        <v/>
      </c>
      <c r="T48" s="157" t="str" cm="1">
        <f t="array" ref="T48">IF(OR($C48="",$I48=""),"",(INDEX('Emission factors'!$K$3:$V$212,MATCH(FleetTableDistance[[#This Row],[Type]]&amp;$C48&amp;$D48,'Emission factors'!$J$3:$J$212&amp;'Emission factors'!$L$3:$L$212&amp;'Emission factors'!$K$3:$K$212,0),MATCH(FleetTableDistance[[#Headers],[Indirect T&amp;D]],'Emission factors'!$K$2:$V$2,0)))*$K48)</f>
        <v/>
      </c>
      <c r="U48" s="157" t="str" cm="1">
        <f t="array" ref="U48">IF(OR($C48="",$I48=""),"",(INDEX('Emission factors'!$K$3:$V$212,MATCH(FleetTableDistance[[#This Row],[Type]]&amp;$C48&amp;$D48,'Emission factors'!$J$3:$J$212&amp;'Emission factors'!$L$3:$L$212&amp;'Emission factors'!$K$3:$K$212,0),MATCH(FleetTableDistance[[#Headers],[Indirect WTT]],'Emission factors'!$K$2:$V$2,0)))*$K48)</f>
        <v/>
      </c>
      <c r="V48" s="158" t="str">
        <f>IF(OR($N48="",FleetTableDistance[[#This Row],[RSD]]=""),"",FleetTableDistance[[#This Row],[Total emissions (kgCO2e)]]*(1+FleetTableDistance[[#This Row],[RSD]]))</f>
        <v/>
      </c>
      <c r="W48" s="163" t="str">
        <f>IF(OR($N48="",FleetTableDistance[[#This Row],[RSD]]=""),"",FleetTableDistance[[#This Row],[Total emissions (kgCO2e)]]*(1-FleetTableDistance[[#This Row],[RSD]]))</f>
        <v/>
      </c>
      <c r="X48" s="157" t="str" cm="1">
        <f t="array" ref="X48">IF(OR($C48="",$I48=""),"",(INDEX('Emission factors'!$K$3:$V$212,MATCH(FleetTableDistance[[#This Row],[Type]]&amp;$C48&amp;$D48,'Emission factors'!$J$3:$J$212&amp;'Emission factors'!$L$3:$L$212&amp;'Emission factors'!$K$3:$K$212,0),MATCH(FleetTableDistance[[#Headers],[Outside of scopes]],'Emission factors'!$K$2:$V$2,0)))*$K48)</f>
        <v/>
      </c>
      <c r="Z48" s="1" cm="1">
        <f t="array" ref="Z48">IF(OR(ISERROR(B48:X48)),1,0)</f>
        <v>0</v>
      </c>
      <c r="AA48" s="1">
        <f t="shared" si="1"/>
        <v>0</v>
      </c>
    </row>
    <row r="49" spans="1:27" ht="15" thickBot="1" x14ac:dyDescent="0.4">
      <c r="B49" s="76"/>
      <c r="C49" s="72"/>
      <c r="D49" s="72"/>
      <c r="E49" s="72"/>
      <c r="F49" s="72"/>
      <c r="G49" s="77" t="str">
        <f>IF(F49="","",INDEX(Lists!$BA$4:$BC$31,MATCH(B49,Lists!$AZ$4:$AZ$31,0),MATCH(F49,Lists!$BA$3:$BC$3,0)))</f>
        <v/>
      </c>
      <c r="H49" s="42"/>
      <c r="I49" s="70"/>
      <c r="J49" s="72"/>
      <c r="K49" s="75" t="str" cm="1">
        <f t="array" ref="K49">IF(OR($C49="",$B49="",$I49="",$J49=""),"",IF(J49=L49,I49,(INDEX('Emission factors'!$K$3:$V$201,MATCH(B49&amp;D49,'Emission factors'!$J$3:$J$201&amp;'Emission factors'!$K$3:$K$201,0),MATCH(K$7,'Emission factors'!$K$2:$V$2,0)))*I49))</f>
        <v/>
      </c>
      <c r="L49" s="312" t="str">
        <f>IF(OR($C49="",$B49="",$I49="",$J49=""),"",INDEX('Emission factors'!$K$3:$V$212,MATCH('Fleet &amp; stationary assets'!$B49,'Emission factors'!$J$3:$J$212,0),MATCH($L$30,'Emission factors'!$K$2:$V$2,0)))</f>
        <v/>
      </c>
      <c r="M49" s="313" t="str" cm="1">
        <f t="array" ref="M49">IF(OR(FleetTableDistance[[#This Row],[Type]]="",C49="",I49=""),"",INDEX('Emission factors'!$K$3:$V$212,MATCH(FleetTableDistance[[#This Row],[Type]]&amp;C49&amp;FleetTableDistance[[#This Row],[Size]],'Emission factors'!$J$3:$J$212&amp;'Emission factors'!$L$3:$L$212&amp;'Emission factors'!$K$3:$K$212,0),MATCH(FleetTableDistance[[#Headers],[Total EF (kgCO2e/unit)]],'Emission factors'!$K$2:$V$2,0)))</f>
        <v/>
      </c>
      <c r="N49" s="156" t="str">
        <f>IF(OR(K49="",M49=""),"",SUM(FleetTableDistance[[#This Row],[Direct]:[Indirect WTT]]))</f>
        <v/>
      </c>
      <c r="O49" s="71"/>
      <c r="P49" s="72"/>
      <c r="Q49" s="157" t="str" cm="1">
        <f t="array" ref="Q49">IF(OR($C49="",$I49=""),"",(INDEX('Emission factors'!$K$3:$V$381,MATCH(FleetTableDistance[[#This Row],[Type]]&amp;$C49&amp;$D49,'Emission factors'!$J$3:$J$381&amp;'Emission factors'!$L$3:$L$381&amp;'Emission factors'!$K$3:$K$381,0),MATCH(FleetTableDistance[[#Headers],[Direct]],'Emission factors'!$K$2:$V$2,0)))*$K49)</f>
        <v/>
      </c>
      <c r="R49" s="157" t="str" cm="1">
        <f t="array" ref="R49">IF(OR($C49="",$I49=""),"",(INDEX('Emission factors'!$K$3:$V$212,MATCH(FleetTableDistance[[#This Row],[Type]]&amp;$C49&amp;$D49,'Emission factors'!$J$3:$J$212&amp;'Emission factors'!$L$3:$L$212&amp;'Emission factors'!$K$3:$K$212,0),MATCH(FleetTableDistance[[#Headers],[Indirect generation]],'Emission factors'!$K$2:$V$2,0)))*$K49)</f>
        <v/>
      </c>
      <c r="S49" s="157" t="str" cm="1">
        <f t="array" ref="S49">IF(OR($C49="",$I49=""),"",(INDEX('Emission factors'!$K$3:$V$212,MATCH(FleetTableDistance[[#This Row],[Type]]&amp;$C49&amp;$D49,'Emission factors'!$J$3:$J$212&amp;'Emission factors'!$L$3:$L$212&amp;'Emission factors'!$K$3:$K$212,0),MATCH(FleetTableDistance[[#Headers],[Indirect service]],'Emission factors'!$K$2:$V$2,0)))*$K49)</f>
        <v/>
      </c>
      <c r="T49" s="157" t="str" cm="1">
        <f t="array" ref="T49">IF(OR($C49="",$I49=""),"",(INDEX('Emission factors'!$K$3:$V$212,MATCH(FleetTableDistance[[#This Row],[Type]]&amp;$C49&amp;$D49,'Emission factors'!$J$3:$J$212&amp;'Emission factors'!$L$3:$L$212&amp;'Emission factors'!$K$3:$K$212,0),MATCH(FleetTableDistance[[#Headers],[Indirect T&amp;D]],'Emission factors'!$K$2:$V$2,0)))*$K49)</f>
        <v/>
      </c>
      <c r="U49" s="157" t="str" cm="1">
        <f t="array" ref="U49">IF(OR($C49="",$I49=""),"",(INDEX('Emission factors'!$K$3:$V$212,MATCH(FleetTableDistance[[#This Row],[Type]]&amp;$C49&amp;$D49,'Emission factors'!$J$3:$J$212&amp;'Emission factors'!$L$3:$L$212&amp;'Emission factors'!$K$3:$K$212,0),MATCH(FleetTableDistance[[#Headers],[Indirect WTT]],'Emission factors'!$K$2:$V$2,0)))*$K49)</f>
        <v/>
      </c>
      <c r="V49" s="158" t="str">
        <f>IF(OR($N49="",FleetTableDistance[[#This Row],[RSD]]=""),"",FleetTableDistance[[#This Row],[Total emissions (kgCO2e)]]*(1+FleetTableDistance[[#This Row],[RSD]]))</f>
        <v/>
      </c>
      <c r="W49" s="163" t="str">
        <f>IF(OR($N49="",FleetTableDistance[[#This Row],[RSD]]=""),"",FleetTableDistance[[#This Row],[Total emissions (kgCO2e)]]*(1-FleetTableDistance[[#This Row],[RSD]]))</f>
        <v/>
      </c>
      <c r="X49" s="157" t="str" cm="1">
        <f t="array" ref="X49">IF(OR($C49="",$I49=""),"",(INDEX('Emission factors'!$K$3:$V$212,MATCH(FleetTableDistance[[#This Row],[Type]]&amp;$C49&amp;$D49,'Emission factors'!$J$3:$J$212&amp;'Emission factors'!$L$3:$L$212&amp;'Emission factors'!$K$3:$K$212,0),MATCH(FleetTableDistance[[#Headers],[Outside of scopes]],'Emission factors'!$K$2:$V$2,0)))*$K49)</f>
        <v/>
      </c>
      <c r="Z49" s="1" cm="1">
        <f t="array" ref="Z49">IF(OR(ISERROR(B49:X49)),1,0)</f>
        <v>0</v>
      </c>
      <c r="AA49" s="1">
        <f t="shared" si="1"/>
        <v>0</v>
      </c>
    </row>
    <row r="50" spans="1:27" ht="15" thickBot="1" x14ac:dyDescent="0.4">
      <c r="B50" s="76"/>
      <c r="C50" s="72"/>
      <c r="D50" s="72"/>
      <c r="E50" s="72"/>
      <c r="F50" s="72"/>
      <c r="G50" s="77" t="str">
        <f>IF(F50="","",INDEX(Lists!$BA$4:$BC$31,MATCH(B50,Lists!$AZ$4:$AZ$31,0),MATCH(F50,Lists!$BA$3:$BC$3,0)))</f>
        <v/>
      </c>
      <c r="H50" s="42"/>
      <c r="I50" s="70"/>
      <c r="J50" s="72"/>
      <c r="K50" s="75" t="str" cm="1">
        <f t="array" ref="K50">IF(OR($C50="",$B50="",$I50="",$J50=""),"",IF(J50=L50,I50,(INDEX('Emission factors'!$K$3:$V$201,MATCH(B50&amp;D50,'Emission factors'!$J$3:$J$201&amp;'Emission factors'!$K$3:$K$201,0),MATCH(K$7,'Emission factors'!$K$2:$V$2,0)))*I50))</f>
        <v/>
      </c>
      <c r="L50" s="312" t="str">
        <f>IF(OR($C50="",$B50="",$I50="",$J50=""),"",INDEX('Emission factors'!$K$3:$V$212,MATCH('Fleet &amp; stationary assets'!$B50,'Emission factors'!$J$3:$J$212,0),MATCH($L$30,'Emission factors'!$K$2:$V$2,0)))</f>
        <v/>
      </c>
      <c r="M50" s="313" t="str" cm="1">
        <f t="array" ref="M50">IF(OR(FleetTableDistance[[#This Row],[Type]]="",C50="",I50=""),"",INDEX('Emission factors'!$K$3:$V$212,MATCH(FleetTableDistance[[#This Row],[Type]]&amp;C50&amp;FleetTableDistance[[#This Row],[Size]],'Emission factors'!$J$3:$J$212&amp;'Emission factors'!$L$3:$L$212&amp;'Emission factors'!$K$3:$K$212,0),MATCH(FleetTableDistance[[#Headers],[Total EF (kgCO2e/unit)]],'Emission factors'!$K$2:$V$2,0)))</f>
        <v/>
      </c>
      <c r="N50" s="156" t="str">
        <f>IF(OR(K50="",M50=""),"",SUM(FleetTableDistance[[#This Row],[Direct]:[Indirect WTT]]))</f>
        <v/>
      </c>
      <c r="O50" s="71"/>
      <c r="P50" s="72"/>
      <c r="Q50" s="157" t="str" cm="1">
        <f t="array" ref="Q50">IF(OR($C50="",$I50=""),"",(INDEX('Emission factors'!$K$3:$V$381,MATCH(FleetTableDistance[[#This Row],[Type]]&amp;$C50&amp;$D50,'Emission factors'!$J$3:$J$381&amp;'Emission factors'!$L$3:$L$381&amp;'Emission factors'!$K$3:$K$381,0),MATCH(FleetTableDistance[[#Headers],[Direct]],'Emission factors'!$K$2:$V$2,0)))*$K50)</f>
        <v/>
      </c>
      <c r="R50" s="157" t="str" cm="1">
        <f t="array" ref="R50">IF(OR($C50="",$I50=""),"",(INDEX('Emission factors'!$K$3:$V$212,MATCH(FleetTableDistance[[#This Row],[Type]]&amp;$C50&amp;$D50,'Emission factors'!$J$3:$J$212&amp;'Emission factors'!$L$3:$L$212&amp;'Emission factors'!$K$3:$K$212,0),MATCH(FleetTableDistance[[#Headers],[Indirect generation]],'Emission factors'!$K$2:$V$2,0)))*$K50)</f>
        <v/>
      </c>
      <c r="S50" s="157" t="str" cm="1">
        <f t="array" ref="S50">IF(OR($C50="",$I50=""),"",(INDEX('Emission factors'!$K$3:$V$212,MATCH(FleetTableDistance[[#This Row],[Type]]&amp;$C50&amp;$D50,'Emission factors'!$J$3:$J$212&amp;'Emission factors'!$L$3:$L$212&amp;'Emission factors'!$K$3:$K$212,0),MATCH(FleetTableDistance[[#Headers],[Indirect service]],'Emission factors'!$K$2:$V$2,0)))*$K50)</f>
        <v/>
      </c>
      <c r="T50" s="157" t="str" cm="1">
        <f t="array" ref="T50">IF(OR($C50="",$I50=""),"",(INDEX('Emission factors'!$K$3:$V$212,MATCH(FleetTableDistance[[#This Row],[Type]]&amp;$C50&amp;$D50,'Emission factors'!$J$3:$J$212&amp;'Emission factors'!$L$3:$L$212&amp;'Emission factors'!$K$3:$K$212,0),MATCH(FleetTableDistance[[#Headers],[Indirect T&amp;D]],'Emission factors'!$K$2:$V$2,0)))*$K50)</f>
        <v/>
      </c>
      <c r="U50" s="157" t="str" cm="1">
        <f t="array" ref="U50">IF(OR($C50="",$I50=""),"",(INDEX('Emission factors'!$K$3:$V$212,MATCH(FleetTableDistance[[#This Row],[Type]]&amp;$C50&amp;$D50,'Emission factors'!$J$3:$J$212&amp;'Emission factors'!$L$3:$L$212&amp;'Emission factors'!$K$3:$K$212,0),MATCH(FleetTableDistance[[#Headers],[Indirect WTT]],'Emission factors'!$K$2:$V$2,0)))*$K50)</f>
        <v/>
      </c>
      <c r="V50" s="158" t="str">
        <f>IF(OR($N50="",FleetTableDistance[[#This Row],[RSD]]=""),"",FleetTableDistance[[#This Row],[Total emissions (kgCO2e)]]*(1+FleetTableDistance[[#This Row],[RSD]]))</f>
        <v/>
      </c>
      <c r="W50" s="163" t="str">
        <f>IF(OR($N50="",FleetTableDistance[[#This Row],[RSD]]=""),"",FleetTableDistance[[#This Row],[Total emissions (kgCO2e)]]*(1-FleetTableDistance[[#This Row],[RSD]]))</f>
        <v/>
      </c>
      <c r="X50" s="157" t="str" cm="1">
        <f t="array" ref="X50">IF(OR($C50="",$I50=""),"",(INDEX('Emission factors'!$K$3:$V$212,MATCH(FleetTableDistance[[#This Row],[Type]]&amp;$C50&amp;$D50,'Emission factors'!$J$3:$J$212&amp;'Emission factors'!$L$3:$L$212&amp;'Emission factors'!$K$3:$K$212,0),MATCH(FleetTableDistance[[#Headers],[Outside of scopes]],'Emission factors'!$K$2:$V$2,0)))*$K50)</f>
        <v/>
      </c>
      <c r="Z50" s="1" cm="1">
        <f t="array" ref="Z50">IF(OR(ISERROR(B50:X50)),1,0)</f>
        <v>0</v>
      </c>
      <c r="AA50" s="1">
        <f t="shared" si="1"/>
        <v>0</v>
      </c>
    </row>
    <row r="51" spans="1:27" x14ac:dyDescent="0.35">
      <c r="A51" s="26"/>
      <c r="B51" s="28"/>
      <c r="C51" s="28"/>
      <c r="D51" s="28"/>
      <c r="E51" s="19"/>
      <c r="F51" s="19"/>
      <c r="G51" s="19"/>
      <c r="H51" s="19"/>
      <c r="I51" s="19"/>
      <c r="J51" s="19"/>
      <c r="K51" s="19"/>
      <c r="L51" s="19"/>
      <c r="M51" s="19"/>
      <c r="N51" s="19"/>
      <c r="O51" s="19"/>
      <c r="P51" s="19"/>
      <c r="Q51" s="19"/>
      <c r="R51" s="19"/>
      <c r="S51" s="19"/>
      <c r="T51" s="19"/>
      <c r="U51" s="328"/>
      <c r="V51" s="62"/>
    </row>
    <row r="52" spans="1:27" x14ac:dyDescent="0.35">
      <c r="B52" s="19"/>
      <c r="C52" s="19"/>
      <c r="D52" s="19"/>
      <c r="E52" s="19"/>
      <c r="F52" s="19"/>
      <c r="G52" s="19"/>
      <c r="H52" s="19"/>
      <c r="I52" s="19"/>
      <c r="J52" s="19"/>
      <c r="K52" s="19"/>
      <c r="L52" s="19"/>
      <c r="M52" s="19"/>
      <c r="N52" s="19"/>
      <c r="O52" s="19"/>
      <c r="P52" s="19"/>
      <c r="Q52" s="19"/>
      <c r="R52" s="19"/>
      <c r="S52" s="19"/>
      <c r="T52" s="19"/>
      <c r="U52" s="328"/>
      <c r="V52" s="62"/>
    </row>
    <row r="53" spans="1:27" x14ac:dyDescent="0.35">
      <c r="U53" s="321"/>
      <c r="V53" s="30"/>
    </row>
    <row r="54" spans="1:27" x14ac:dyDescent="0.35">
      <c r="B54" s="19"/>
      <c r="C54" s="19"/>
      <c r="D54" s="19"/>
      <c r="E54" s="19"/>
      <c r="F54" s="19"/>
      <c r="G54" s="19"/>
      <c r="H54" s="19"/>
      <c r="I54" s="19"/>
      <c r="J54" s="19"/>
      <c r="K54" s="19"/>
      <c r="L54" s="19"/>
      <c r="M54" s="19"/>
      <c r="N54" s="19"/>
      <c r="O54" s="19"/>
      <c r="P54" s="19"/>
      <c r="Q54" s="19"/>
      <c r="R54" s="19"/>
      <c r="S54" s="19"/>
      <c r="T54" s="19"/>
      <c r="U54" s="19"/>
      <c r="V54" s="19"/>
    </row>
  </sheetData>
  <sheetProtection algorithmName="SHA-512" hashValue="x9+1QGpG/6NWyT4MmiGMEOOCwoapQ3DshlEGBJ/re/bioq5xMQdR6hMCfz9aEhwkjSQbFLKRl4VjHMCKdvOmxQ==" saltValue="SU06bShQ+nIEZtfB1vI59Q==" spinCount="100000" sheet="1" objects="1" scenarios="1"/>
  <mergeCells count="7">
    <mergeCell ref="B4:M4"/>
    <mergeCell ref="O1:P1"/>
    <mergeCell ref="Q1:R1"/>
    <mergeCell ref="B2:M2"/>
    <mergeCell ref="O2:P2"/>
    <mergeCell ref="Q2:R2"/>
    <mergeCell ref="B3:M3"/>
  </mergeCells>
  <phoneticPr fontId="22" type="noConversion"/>
  <conditionalFormatting sqref="B8:G27 I8:X27 B31:G50 I31:X50">
    <cfRule type="expression" dxfId="49" priority="56">
      <formula>IF($Z8=1,1,0)</formula>
    </cfRule>
  </conditionalFormatting>
  <conditionalFormatting sqref="H8:H27">
    <cfRule type="expression" dxfId="48" priority="2">
      <formula>IF($X8=1,1,0)</formula>
    </cfRule>
  </conditionalFormatting>
  <conditionalFormatting sqref="H31:H50">
    <cfRule type="expression" dxfId="47" priority="1">
      <formula>IF($X31=1,1,0)</formula>
    </cfRule>
  </conditionalFormatting>
  <conditionalFormatting sqref="I6">
    <cfRule type="containsText" dxfId="46" priority="6" operator="containsText" text="There are errors">
      <formula>NOT(ISERROR(SEARCH("There are errors",I6)))</formula>
    </cfRule>
    <cfRule type="containsText" dxfId="45" priority="7" operator="containsText" text="No errors in this table">
      <formula>NOT(ISERROR(SEARCH("No errors in this table",I6)))</formula>
    </cfRule>
  </conditionalFormatting>
  <conditionalFormatting sqref="I29">
    <cfRule type="containsText" dxfId="44" priority="4" operator="containsText" text="There are errors">
      <formula>NOT(ISERROR(SEARCH("There are errors",I29)))</formula>
    </cfRule>
    <cfRule type="containsText" dxfId="43" priority="5" operator="containsText" text="No errors in this table">
      <formula>NOT(ISERROR(SEARCH("No errors in this table",I29)))</formula>
    </cfRule>
  </conditionalFormatting>
  <dataValidations count="14">
    <dataValidation type="list" allowBlank="1" showInputMessage="1" showErrorMessage="1" sqref="J31:J50" xr:uid="{CA955651-DA8E-461D-9522-E17D1EEDC28C}">
      <formula1>INDIRECT(CONCATENATE(SUBSTITUTE($B31," ","")&amp;$J$30))</formula1>
    </dataValidation>
    <dataValidation type="list" allowBlank="1" showInputMessage="1" showErrorMessage="1" sqref="D31:D50" xr:uid="{E0B2FE63-172A-44E6-87D2-9F25EC3AB96E}">
      <formula1>INDIRECT(CONCATENATE(SUBSTITUTE($B31," ","")&amp;$D$30))</formula1>
    </dataValidation>
    <dataValidation type="list" allowBlank="1" showInputMessage="1" showErrorMessage="1" sqref="C31:C50" xr:uid="{9C99A6A5-AF29-4E41-BA15-3A5EF8D10B96}">
      <formula1>INDIRECT(CONCATENATE(SUBSTITUTE(B31," ","")&amp;$D$30&amp;$C$30))</formula1>
    </dataValidation>
    <dataValidation type="list" allowBlank="1" showInputMessage="1" showErrorMessage="1" sqref="J8:J27" xr:uid="{77A2AA26-5F80-44A7-9236-B12B8776CEDE}">
      <formula1>INDIRECT(CONCATENATE(SUBSTITUTE($C8," ","")&amp;$J$7))</formula1>
    </dataValidation>
    <dataValidation type="list" allowBlank="1" showInputMessage="1" showErrorMessage="1" sqref="B8:B27" xr:uid="{C9A02F58-AF47-4C3D-B895-9051CBDCE0C5}">
      <formula1>INDIRECT(SUBSTITUTE(SUBSTITUTE($B$6," - ","")," ",""))</formula1>
    </dataValidation>
    <dataValidation type="list" allowBlank="1" showInputMessage="1" showErrorMessage="1" sqref="D8:D27" xr:uid="{F27F4E8A-47DA-473C-A9B4-6DE7EE55A014}">
      <formula1>INDIRECT(CONCATENATE(SUBSTITUTE($C8," ","")&amp;SUBSTITUTE($D$7," ","")))</formula1>
    </dataValidation>
    <dataValidation type="list" allowBlank="1" showInputMessage="1" showErrorMessage="1" sqref="C18" xr:uid="{76F98D29-8814-40EB-BB97-DB7CFEB309EA}">
      <formula1>INDIRECT(CONCATENATE(SUBSTITUTE($B$18," ","")&amp;SUBSTITUTE($C$7," ","")))</formula1>
    </dataValidation>
    <dataValidation type="list" allowBlank="1" showInputMessage="1" showErrorMessage="1" sqref="C8:C17 C19:C27" xr:uid="{CF009877-68B1-4209-A669-8B65892A1403}">
      <formula1>INDIRECT(CONCATENATE(SUBSTITUTE(B8," ","")&amp;$C$7))</formula1>
    </dataValidation>
    <dataValidation type="decimal" operator="greaterThan" allowBlank="1" showInputMessage="1" showErrorMessage="1" errorTitle="Numeric data" error="Please enter a number greater than zero" sqref="I8:I27 I41:I50" xr:uid="{118E93AE-EABC-4026-A4BD-E2E7C23D68D5}">
      <formula1>0</formula1>
    </dataValidation>
    <dataValidation type="list" allowBlank="1" showInputMessage="1" showErrorMessage="1" sqref="B31:B50" xr:uid="{5C083BBB-6937-4AA5-8124-12639411EC13}">
      <formula1>INDIRECT(SUBSTITUTE($B$29," - ",""))</formula1>
    </dataValidation>
    <dataValidation type="list" allowBlank="1" showInputMessage="1" showErrorMessage="1" sqref="P31:P50 P8:P27" xr:uid="{9C1C319F-6ACD-4D91-867E-331D571DF6B8}">
      <formula1>Ease</formula1>
    </dataValidation>
    <dataValidation type="list" allowBlank="1" showInputMessage="1" showErrorMessage="1" sqref="F31:F50 F8:F27" xr:uid="{71764929-B442-409D-B197-0982CB8441E8}">
      <formula1>Methodologyall</formula1>
    </dataValidation>
    <dataValidation type="whole" allowBlank="1" showInputMessage="1" showErrorMessage="1" sqref="E31:E50 E9:E27" xr:uid="{6D6532F4-E5B4-4B12-BC56-A0B15E7A707F}">
      <formula1>0</formula1>
      <formula2>50000</formula2>
    </dataValidation>
    <dataValidation type="whole" allowBlank="1" showInputMessage="1" showErrorMessage="1" sqref="E8" xr:uid="{30490017-C085-4FC8-B102-C944E8E350DA}">
      <formula1>0</formula1>
      <formula2>100000</formula2>
    </dataValidation>
  </dataValidations>
  <pageMargins left="0.7" right="0.7" top="0.75" bottom="0.75" header="0.3" footer="0.3"/>
  <pageSetup paperSize="9" orientation="portrait" r:id="rId1"/>
  <tableParts count="2">
    <tablePart r:id="rId2"/>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rgb="FF27CCF9"/>
  </sheetPr>
  <dimension ref="A1:Y75"/>
  <sheetViews>
    <sheetView showGridLines="0" topLeftCell="D1" zoomScale="70" zoomScaleNormal="70" workbookViewId="0">
      <selection activeCell="X1" sqref="X1:Y1048576"/>
    </sheetView>
  </sheetViews>
  <sheetFormatPr defaultColWidth="8.54296875" defaultRowHeight="14.5" x14ac:dyDescent="0.35"/>
  <cols>
    <col min="1" max="1" width="2.36328125" style="1" customWidth="1"/>
    <col min="2" max="2" width="20.453125" style="1" customWidth="1"/>
    <col min="3" max="3" width="18.453125" style="1" customWidth="1"/>
    <col min="4" max="4" width="20.36328125" style="1" customWidth="1"/>
    <col min="5" max="5" width="22.6328125" style="1" customWidth="1"/>
    <col min="6" max="6" width="15.453125" style="1" customWidth="1"/>
    <col min="7" max="7" width="11.453125" style="1" customWidth="1"/>
    <col min="8" max="8" width="15.453125" style="1" customWidth="1"/>
    <col min="9" max="9" width="19.54296875" style="1" customWidth="1"/>
    <col min="10" max="10" width="19" style="1" customWidth="1"/>
    <col min="11" max="11" width="22.36328125" style="1" customWidth="1"/>
    <col min="12" max="12" width="19.54296875" style="1" customWidth="1"/>
    <col min="13" max="13" width="15.453125" style="1" customWidth="1"/>
    <col min="14" max="14" width="22.453125" style="1" customWidth="1"/>
    <col min="15" max="15" width="17.36328125" style="1" customWidth="1"/>
    <col min="16" max="16" width="22.453125" style="1" customWidth="1"/>
    <col min="17" max="17" width="17.36328125" style="1" customWidth="1"/>
    <col min="18" max="18" width="14.54296875" style="1" customWidth="1"/>
    <col min="19" max="22" width="17.36328125" style="1" customWidth="1"/>
    <col min="23" max="23" width="8.54296875" style="1"/>
    <col min="24" max="25" width="8.54296875" style="1" hidden="1" customWidth="1"/>
    <col min="26" max="16384" width="8.54296875" style="1"/>
  </cols>
  <sheetData>
    <row r="1" spans="1:25" ht="15" thickBot="1" x14ac:dyDescent="0.4">
      <c r="N1" s="304" t="s">
        <v>155</v>
      </c>
      <c r="O1" s="554" t="s">
        <v>9</v>
      </c>
      <c r="P1" s="555"/>
      <c r="Q1" s="556" t="s">
        <v>13</v>
      </c>
      <c r="R1" s="557"/>
    </row>
    <row r="2" spans="1:25" ht="19" thickBot="1" x14ac:dyDescent="0.4">
      <c r="B2" s="571" t="s">
        <v>223</v>
      </c>
      <c r="C2" s="572"/>
      <c r="D2" s="572"/>
      <c r="E2" s="572"/>
      <c r="F2" s="572"/>
      <c r="G2" s="572"/>
      <c r="H2" s="572"/>
      <c r="I2" s="572"/>
      <c r="J2" s="572"/>
      <c r="K2" s="572"/>
      <c r="L2" s="572"/>
      <c r="M2" s="572"/>
      <c r="N2" s="18"/>
      <c r="O2" s="558" t="s">
        <v>11</v>
      </c>
      <c r="P2" s="559"/>
      <c r="Q2" s="560" t="s">
        <v>15</v>
      </c>
      <c r="R2" s="561"/>
    </row>
    <row r="3" spans="1:25" ht="46.5" customHeight="1" thickBot="1" x14ac:dyDescent="0.4">
      <c r="B3" s="573" t="s">
        <v>224</v>
      </c>
      <c r="C3" s="574"/>
      <c r="D3" s="574"/>
      <c r="E3" s="574"/>
      <c r="F3" s="574"/>
      <c r="G3" s="574"/>
      <c r="H3" s="574"/>
      <c r="I3" s="574"/>
      <c r="J3" s="574"/>
      <c r="K3" s="574"/>
      <c r="L3" s="574"/>
      <c r="M3" s="575"/>
      <c r="N3" s="18"/>
    </row>
    <row r="4" spans="1:25" ht="128.75" customHeight="1" x14ac:dyDescent="0.35">
      <c r="B4" s="565" t="s">
        <v>225</v>
      </c>
      <c r="C4" s="566"/>
      <c r="D4" s="566"/>
      <c r="E4" s="566"/>
      <c r="F4" s="566"/>
      <c r="G4" s="566"/>
      <c r="H4" s="566"/>
      <c r="I4" s="566"/>
      <c r="J4" s="566"/>
      <c r="K4" s="329"/>
      <c r="L4" s="329"/>
      <c r="M4" s="329"/>
    </row>
    <row r="5" spans="1:25" ht="26" customHeight="1" x14ac:dyDescent="0.35">
      <c r="B5" s="568" t="s">
        <v>226</v>
      </c>
      <c r="C5" s="569"/>
      <c r="D5" s="569"/>
      <c r="E5" s="569"/>
      <c r="F5" s="569"/>
      <c r="G5" s="569"/>
      <c r="H5" s="569"/>
      <c r="I5" s="569"/>
      <c r="J5" s="569"/>
      <c r="K5" s="569"/>
      <c r="L5" s="569"/>
      <c r="M5" s="569"/>
      <c r="N5" s="570"/>
    </row>
    <row r="6" spans="1:25" ht="19" thickBot="1" x14ac:dyDescent="0.4">
      <c r="B6" s="20" t="s">
        <v>109</v>
      </c>
      <c r="C6" s="316"/>
      <c r="H6" s="317" t="str">
        <f>IF($Y$7=0,"No data entered",IF($X$7=0,"No errors in this table","There are errors in this table see highlighted row(s)"))</f>
        <v>No data entered</v>
      </c>
      <c r="I6"/>
      <c r="O6" s="318" t="s">
        <v>227</v>
      </c>
      <c r="T6" s="26"/>
      <c r="X6" s="9" t="s">
        <v>175</v>
      </c>
      <c r="Y6" s="9" t="s">
        <v>161</v>
      </c>
    </row>
    <row r="7" spans="1:25" ht="15" thickBot="1" x14ac:dyDescent="0.4">
      <c r="A7" s="18"/>
      <c r="B7" s="330" t="s">
        <v>228</v>
      </c>
      <c r="C7" s="274" t="s">
        <v>179</v>
      </c>
      <c r="D7" s="274" t="s">
        <v>229</v>
      </c>
      <c r="E7" s="274" t="s">
        <v>230</v>
      </c>
      <c r="F7" s="274" t="s">
        <v>181</v>
      </c>
      <c r="G7" s="274" t="s">
        <v>182</v>
      </c>
      <c r="H7" s="274" t="s">
        <v>183</v>
      </c>
      <c r="I7" s="274" t="s">
        <v>184</v>
      </c>
      <c r="J7" s="274" t="s">
        <v>185</v>
      </c>
      <c r="K7" s="274" t="s">
        <v>231</v>
      </c>
      <c r="L7" s="274" t="s">
        <v>91</v>
      </c>
      <c r="M7" s="274" t="s">
        <v>188</v>
      </c>
      <c r="N7" s="274" t="s">
        <v>189</v>
      </c>
      <c r="O7" s="8" t="s">
        <v>92</v>
      </c>
      <c r="P7" s="8" t="s">
        <v>190</v>
      </c>
      <c r="Q7" s="8" t="s">
        <v>191</v>
      </c>
      <c r="R7" s="8" t="s">
        <v>192</v>
      </c>
      <c r="S7" s="8" t="s">
        <v>193</v>
      </c>
      <c r="T7" s="8" t="s">
        <v>100</v>
      </c>
      <c r="U7" s="261" t="s">
        <v>101</v>
      </c>
      <c r="V7" s="8" t="s">
        <v>96</v>
      </c>
      <c r="X7" s="9">
        <f>SUM(X8:X34)</f>
        <v>0</v>
      </c>
      <c r="Y7" s="9">
        <f>SUM(Y8:Y34)</f>
        <v>0</v>
      </c>
    </row>
    <row r="8" spans="1:25" ht="15" thickBot="1" x14ac:dyDescent="0.4">
      <c r="A8" s="18"/>
      <c r="B8" s="100"/>
      <c r="C8" s="101"/>
      <c r="D8" s="101"/>
      <c r="E8" s="101"/>
      <c r="F8" s="331" t="str">
        <f>IF(E8="","",INDEX(Lists!$BA$4:$BC$31,MATCH('Business travel, commute, home'!$B8,Lists!$AZ$4:$AZ$31,0),MATCH('Business travel, commute, home'!E8,Lists!$BA$3:$BC$3,0)))</f>
        <v/>
      </c>
      <c r="G8" s="70"/>
      <c r="H8" s="101"/>
      <c r="I8" s="275" t="str">
        <f t="array" ref="I8">IF(OR($B8="",$C8="",$D8="",H8=""),"",IF(H8=J8,G8,(INDEX('Emission factors'!$K$3:$V$276,MATCH($B8&amp;$C8&amp;$D8,'Emission factors'!$J$3:$J$276&amp;'Emission factors'!$K$3:$K$276&amp;'Emission factors'!$L$3:$L$276,0),MATCH('Business travel, commute, home'!I$7,'Emission factors'!$K$2:$V$2,0)))*G8))</f>
        <v/>
      </c>
      <c r="J8" s="332" t="str">
        <f t="array" ref="J8">IF(OR($B8="",$C8="",$G8=""),"",INDEX('Emission factors'!$K$3:$V$276,MATCH($B8&amp;$C8&amp;$D8,'Emission factors'!$J$3:$J$276&amp;'Emission factors'!$K$3:$K$276&amp;'Emission factors'!$L$3:$L$276,0),MATCH('Business travel, commute, home'!J$7,'Emission factors'!$K$2:$V$2,0)))</f>
        <v/>
      </c>
      <c r="K8" s="332" t="str">
        <f t="array" ref="K8">IF(OR(B8="",C8="",D8=""),"",INDEX('Emission factors'!$K$3:$V$276,MATCH($B8&amp;$C8&amp;$D8,'Emission factors'!$J$3:$J$276&amp;'Emission factors'!$K$3:$K$276&amp;'Emission factors'!$L$3:$L$276,0),MATCH('Business travel, commute, home'!K$7,'Emission factors'!$K$2:$V$2,0)))</f>
        <v/>
      </c>
      <c r="L8" s="333" t="str">
        <f>IF(OR(I8="",K8=""),"",SUM(BusinessTable[[#This Row],[Direct]:[Indirect WTT]]))</f>
        <v/>
      </c>
      <c r="M8" s="103"/>
      <c r="N8" s="101"/>
      <c r="O8" s="157" t="str" cm="1">
        <f t="array" ref="O8">IF(OR($C8="",$G8=""),"",(INDEX('Emission factors'!$K$3:$V$201,MATCH($B8&amp;$C8&amp;$D8,'Emission factors'!$J$3:$J$201&amp;'Emission factors'!$K$3:$K$201&amp;'Emission factors'!$L$3:$L$201,0),MATCH(O$7,'Emission factors'!$K$2:$V$2,0)))*$I8)</f>
        <v/>
      </c>
      <c r="P8" s="157" t="str" cm="1">
        <f t="array" ref="P8">IF(OR($C8="",$G8=""),"",(INDEX('Emission factors'!$K$3:$V$201,MATCH($B8&amp;$C8&amp;$D8,'Emission factors'!$J$3:$J$201&amp;'Emission factors'!$K$3:$K$201&amp;'Emission factors'!$L$3:$L$201,0),MATCH(P$7,'Emission factors'!$K$2:$V$2,0)))*$I8)</f>
        <v/>
      </c>
      <c r="Q8" s="157" t="str" cm="1">
        <f t="array" ref="Q8">IF(OR($C8="",$G8=""),"",(INDEX('Emission factors'!$K$3:$V$201,MATCH($B8&amp;$C8&amp;$D8,'Emission factors'!$J$3:$J$201&amp;'Emission factors'!$K$3:$K$201&amp;'Emission factors'!$L$3:$L$201,0),MATCH(Q$7,'Emission factors'!$K$2:$V$2,0)))*$I8)</f>
        <v/>
      </c>
      <c r="R8" s="157" t="str" cm="1">
        <f t="array" ref="R8">IF(OR($C8="",$G8=""),"",(INDEX('Emission factors'!$K$3:$V$201,MATCH($B8&amp;$C8&amp;$D8,'Emission factors'!$J$3:$J$201&amp;'Emission factors'!$K$3:$K$201&amp;'Emission factors'!$L$3:$L$201,0),MATCH(R$7,'Emission factors'!$K$2:$V$2,0)))*$I8)</f>
        <v/>
      </c>
      <c r="S8" s="157" t="str" cm="1">
        <f t="array" ref="S8">IF(OR($C8="",$G8=""),"",(INDEX('Emission factors'!$K$3:$V$201,MATCH($B8&amp;$C8&amp;$D8,'Emission factors'!$J$3:$J$201&amp;'Emission factors'!$K$3:$K$201&amp;'Emission factors'!$L$3:$L$201,0),MATCH(S$7,'Emission factors'!$K$2:$V$2,0)))*$I8)</f>
        <v/>
      </c>
      <c r="T8" s="158" t="str">
        <f>IF(OR($L8="",$F8=""),"",$L8*(1+$F8))</f>
        <v/>
      </c>
      <c r="U8" s="163" t="str">
        <f t="shared" ref="U8:U34" si="0">IF(OR($L8="",$F8=""),"",$L8*(1-$F8))</f>
        <v/>
      </c>
      <c r="V8" s="164" t="str" cm="1">
        <f t="array" ref="V8">IF(OR($C8="",$G8=""),"",(INDEX('Emission factors'!$K$3:$V$201,MATCH($B8&amp;$C8&amp;$D8,'Emission factors'!$J$3:$J$201&amp;'Emission factors'!$K$3:$K$201&amp;'Emission factors'!$L$3:$L$201,0),MATCH(V$7,'Emission factors'!$K$2:$V$2,0)))*$I8)</f>
        <v/>
      </c>
      <c r="X8" s="1" cm="1">
        <f t="array" ref="X8">IF(OR(ISERROR(B8:V8)),1,0)</f>
        <v>0</v>
      </c>
      <c r="Y8" s="1">
        <f>IF(AND(D8="",G8="",H8=""),0,1)</f>
        <v>0</v>
      </c>
    </row>
    <row r="9" spans="1:25" ht="15" thickBot="1" x14ac:dyDescent="0.4">
      <c r="A9" s="18"/>
      <c r="B9" s="100"/>
      <c r="C9" s="101"/>
      <c r="D9" s="101"/>
      <c r="E9" s="101"/>
      <c r="F9" s="331" t="str">
        <f>IF(E9="","",INDEX(Lists!$BA$4:$BC$31,MATCH('Business travel, commute, home'!$B9,Lists!$AZ$4:$AZ$31,0),MATCH('Business travel, commute, home'!E9,Lists!$BA$3:$BC$3,0)))</f>
        <v/>
      </c>
      <c r="G9" s="70"/>
      <c r="H9" s="101"/>
      <c r="I9" s="275" t="str" cm="1">
        <f t="array" ref="I9">IF(OR($B9="",$C9="",$D9="",H9=""),"",IF(H9=J9,G9,(INDEX('Emission factors'!$K$3:$V$276,MATCH($B9&amp;$C9&amp;$D9,'Emission factors'!$J$3:$J$276&amp;'Emission factors'!$K$3:$K$276&amp;'Emission factors'!$L$3:$L$276,0),MATCH('Business travel, commute, home'!I$7,'Emission factors'!$K$2:$V$2,0)))*G9))</f>
        <v/>
      </c>
      <c r="J9" s="332" t="str">
        <f t="array" ref="J9">IF(OR($B9="",$C9="",$G9=""),"",INDEX('Emission factors'!$K$3:$V$276,MATCH($B9&amp;$C9&amp;$D9,'Emission factors'!$J$3:$J$276&amp;'Emission factors'!$K$3:$K$276&amp;'Emission factors'!$L$3:$L$276,0),MATCH('Business travel, commute, home'!J$7,'Emission factors'!$K$2:$V$2,0)))</f>
        <v/>
      </c>
      <c r="K9" s="332" t="str" cm="1">
        <f t="array" ref="K9">IF(OR(B9="",C9="",D9=""),"",INDEX('Emission factors'!$K$3:$V$276,MATCH($B9&amp;$C9&amp;$D9,'Emission factors'!$J$3:$J$276&amp;'Emission factors'!$K$3:$K$276&amp;'Emission factors'!$L$3:$L$276,0),MATCH('Business travel, commute, home'!K$7,'Emission factors'!$K$2:$V$2,0)))</f>
        <v/>
      </c>
      <c r="L9" s="333" t="str">
        <f>IF(OR(I9="",K9=""),"",SUM(BusinessTable[[#This Row],[Direct]:[Indirect WTT]]))</f>
        <v/>
      </c>
      <c r="M9" s="103"/>
      <c r="N9" s="101"/>
      <c r="O9" s="157" t="str" cm="1">
        <f t="array" ref="O9">IF(OR($C9="",$G9=""),"",(INDEX('Emission factors'!$K$3:$V$201,MATCH($B9&amp;$C9&amp;$D9,'Emission factors'!$J$3:$J$201&amp;'Emission factors'!$K$3:$K$201&amp;'Emission factors'!$L$3:$L$201,0),MATCH(O$7,'Emission factors'!$K$2:$V$2,0)))*$I9)</f>
        <v/>
      </c>
      <c r="P9" s="157" t="str" cm="1">
        <f t="array" ref="P9">IF(OR($C9="",$G9=""),"",(INDEX('Emission factors'!$K$3:$V$201,MATCH($B9&amp;$C9&amp;$D9,'Emission factors'!$J$3:$J$201&amp;'Emission factors'!$K$3:$K$201&amp;'Emission factors'!$L$3:$L$201,0),MATCH(P$7,'Emission factors'!$K$2:$V$2,0)))*$I9)</f>
        <v/>
      </c>
      <c r="Q9" s="157" t="str" cm="1">
        <f t="array" ref="Q9">IF(OR($C9="",$G9=""),"",(INDEX('Emission factors'!$K$3:$V$201,MATCH($B9&amp;$C9&amp;$D9,'Emission factors'!$J$3:$J$201&amp;'Emission factors'!$K$3:$K$201&amp;'Emission factors'!$L$3:$L$201,0),MATCH(Q$7,'Emission factors'!$K$2:$V$2,0)))*$I9)</f>
        <v/>
      </c>
      <c r="R9" s="157" t="str" cm="1">
        <f t="array" ref="R9">IF(OR($C9="",$G9=""),"",(INDEX('Emission factors'!$K$3:$V$201,MATCH($B9&amp;$C9&amp;$D9,'Emission factors'!$J$3:$J$201&amp;'Emission factors'!$K$3:$K$201&amp;'Emission factors'!$L$3:$L$201,0),MATCH(R$7,'Emission factors'!$K$2:$V$2,0)))*$I9)</f>
        <v/>
      </c>
      <c r="S9" s="157" t="str" cm="1">
        <f t="array" ref="S9">IF(OR($C9="",$G9=""),"",(INDEX('Emission factors'!$K$3:$V$201,MATCH($B9&amp;$C9&amp;$D9,'Emission factors'!$J$3:$J$201&amp;'Emission factors'!$K$3:$K$201&amp;'Emission factors'!$L$3:$L$201,0),MATCH(S$7,'Emission factors'!$K$2:$V$2,0)))*$I9)</f>
        <v/>
      </c>
      <c r="T9" s="158" t="str">
        <f t="shared" ref="T9:T34" si="1">IF(OR($L9="",$F9=""),"",$L9*(1+$F9))</f>
        <v/>
      </c>
      <c r="U9" s="163" t="str">
        <f t="shared" si="0"/>
        <v/>
      </c>
      <c r="V9" s="158" t="str" cm="1">
        <f t="array" ref="V9">IF(OR($C9="",$G9=""),"",(INDEX('Emission factors'!$K$3:$V$201,MATCH($B9&amp;$C9&amp;$D9,'Emission factors'!$J$3:$J$201&amp;'Emission factors'!$K$3:$K$201&amp;'Emission factors'!$L$3:$L$201,0),MATCH(V$7,'Emission factors'!$K$2:$V$2,0)))*$I9)</f>
        <v/>
      </c>
      <c r="X9" s="1" cm="1">
        <f t="array" ref="X9">IF(OR(ISERROR(B9:V9)),1,0)</f>
        <v>0</v>
      </c>
      <c r="Y9" s="1">
        <f t="shared" ref="Y9:Y34" si="2">IF(AND(D9="",G9="",H9=""),0,1)</f>
        <v>0</v>
      </c>
    </row>
    <row r="10" spans="1:25" ht="15" thickBot="1" x14ac:dyDescent="0.4">
      <c r="A10" s="18"/>
      <c r="B10" s="100"/>
      <c r="C10" s="101"/>
      <c r="D10" s="101"/>
      <c r="E10" s="101"/>
      <c r="F10" s="331" t="str">
        <f>IF(E10="","",INDEX(Lists!$BA$4:$BC$31,MATCH('Business travel, commute, home'!$B10,Lists!$AZ$4:$AZ$31,0),MATCH('Business travel, commute, home'!E10,Lists!$BA$3:$BC$3,0)))</f>
        <v/>
      </c>
      <c r="G10" s="70"/>
      <c r="H10" s="101"/>
      <c r="I10" s="275" t="str" cm="1">
        <f t="array" ref="I10">IF(OR($B10="",$C10="",$D10="",H10=""),"",IF(H10=J10,G10,(INDEX('Emission factors'!$K$3:$V$276,MATCH($B10&amp;$C10&amp;$D10,'Emission factors'!$J$3:$J$276&amp;'Emission factors'!$K$3:$K$276&amp;'Emission factors'!$L$3:$L$276,0),MATCH('Business travel, commute, home'!I$7,'Emission factors'!$K$2:$V$2,0)))*G10))</f>
        <v/>
      </c>
      <c r="J10" s="332" t="str">
        <f t="array" ref="J10">IF(OR($B10="",$C10="",$G10=""),"",INDEX('Emission factors'!$K$3:$V$276,MATCH($B10&amp;$C10&amp;$D10,'Emission factors'!$J$3:$J$276&amp;'Emission factors'!$K$3:$K$276&amp;'Emission factors'!$L$3:$L$276,0),MATCH('Business travel, commute, home'!J$7,'Emission factors'!$K$2:$V$2,0)))</f>
        <v/>
      </c>
      <c r="K10" s="332" t="str">
        <f t="array" ref="K10">IF(OR(B10="",C10="",D10=""),"",INDEX('Emission factors'!$K$3:$V$276,MATCH($B10&amp;$C10&amp;$D10,'Emission factors'!$J$3:$J$276&amp;'Emission factors'!$K$3:$K$276&amp;'Emission factors'!$L$3:$L$276,0),MATCH('Business travel, commute, home'!K$7,'Emission factors'!$K$2:$V$2,0)))</f>
        <v/>
      </c>
      <c r="L10" s="333" t="str">
        <f>IF(OR(I10="",K10=""),"",SUM(BusinessTable[[#This Row],[Direct]:[Indirect WTT]]))</f>
        <v/>
      </c>
      <c r="M10" s="103"/>
      <c r="N10" s="101"/>
      <c r="O10" s="157" t="str" cm="1">
        <f t="array" ref="O10">IF(OR($C10="",$G10=""),"",(INDEX('Emission factors'!$K$3:$V$201,MATCH($B10&amp;$C10&amp;$D10,'Emission factors'!$J$3:$J$201&amp;'Emission factors'!$K$3:$K$201&amp;'Emission factors'!$L$3:$L$201,0),MATCH(O$7,'Emission factors'!$K$2:$V$2,0)))*$I10)</f>
        <v/>
      </c>
      <c r="P10" s="157" t="str" cm="1">
        <f t="array" ref="P10">IF(OR($C10="",$G10=""),"",(INDEX('Emission factors'!$K$3:$V$201,MATCH($B10&amp;$C10&amp;$D10,'Emission factors'!$J$3:$J$201&amp;'Emission factors'!$K$3:$K$201&amp;'Emission factors'!$L$3:$L$201,0),MATCH(P$7,'Emission factors'!$K$2:$V$2,0)))*$I10)</f>
        <v/>
      </c>
      <c r="Q10" s="157" t="str" cm="1">
        <f t="array" ref="Q10">IF(OR($C10="",$G10=""),"",(INDEX('Emission factors'!$K$3:$V$201,MATCH($B10&amp;$C10&amp;$D10,'Emission factors'!$J$3:$J$201&amp;'Emission factors'!$K$3:$K$201&amp;'Emission factors'!$L$3:$L$201,0),MATCH(Q$7,'Emission factors'!$K$2:$V$2,0)))*$I10)</f>
        <v/>
      </c>
      <c r="R10" s="157" t="str" cm="1">
        <f t="array" ref="R10">IF(OR($C10="",$G10=""),"",(INDEX('Emission factors'!$K$3:$V$201,MATCH($B10&amp;$C10&amp;$D10,'Emission factors'!$J$3:$J$201&amp;'Emission factors'!$K$3:$K$201&amp;'Emission factors'!$L$3:$L$201,0),MATCH(R$7,'Emission factors'!$K$2:$V$2,0)))*$I10)</f>
        <v/>
      </c>
      <c r="S10" s="157" t="str" cm="1">
        <f t="array" ref="S10">IF(OR($C10="",$G10=""),"",(INDEX('Emission factors'!$K$3:$V$201,MATCH($B10&amp;$C10&amp;$D10,'Emission factors'!$J$3:$J$201&amp;'Emission factors'!$K$3:$K$201&amp;'Emission factors'!$L$3:$L$201,0),MATCH(S$7,'Emission factors'!$K$2:$V$2,0)))*$I10)</f>
        <v/>
      </c>
      <c r="T10" s="158" t="str">
        <f t="shared" si="1"/>
        <v/>
      </c>
      <c r="U10" s="163" t="str">
        <f t="shared" si="0"/>
        <v/>
      </c>
      <c r="V10" s="158" t="str" cm="1">
        <f t="array" ref="V10">IF(OR($C10="",$G10=""),"",(INDEX('Emission factors'!$K$3:$V$201,MATCH($B10&amp;$C10&amp;$D10,'Emission factors'!$J$3:$J$201&amp;'Emission factors'!$K$3:$K$201&amp;'Emission factors'!$L$3:$L$201,0),MATCH(V$7,'Emission factors'!$K$2:$V$2,0)))*$I10)</f>
        <v/>
      </c>
      <c r="X10" s="1" cm="1">
        <f t="array" ref="X10">IF(OR(ISERROR(B10:V10)),1,0)</f>
        <v>0</v>
      </c>
      <c r="Y10" s="1">
        <f t="shared" si="2"/>
        <v>0</v>
      </c>
    </row>
    <row r="11" spans="1:25" ht="15" thickBot="1" x14ac:dyDescent="0.4">
      <c r="A11" s="18"/>
      <c r="B11" s="100"/>
      <c r="C11" s="101"/>
      <c r="D11" s="101"/>
      <c r="E11" s="101"/>
      <c r="F11" s="331" t="str">
        <f>IF(E11="","",INDEX(Lists!$BA$4:$BC$31,MATCH('Business travel, commute, home'!$B11,Lists!$AZ$4:$AZ$31,0),MATCH('Business travel, commute, home'!E11,Lists!$BA$3:$BC$3,0)))</f>
        <v/>
      </c>
      <c r="G11" s="70"/>
      <c r="H11" s="101"/>
      <c r="I11" s="275" t="str" cm="1">
        <f t="array" ref="I11">IF(OR($B11="",$C11="",$D11="",H11=""),"",IF(H11=J11,G11,(INDEX('Emission factors'!$K$3:$V$276,MATCH($B11&amp;$C11&amp;$D11,'Emission factors'!$J$3:$J$276&amp;'Emission factors'!$K$3:$K$276&amp;'Emission factors'!$L$3:$L$276,0),MATCH('Business travel, commute, home'!I$7,'Emission factors'!$K$2:$V$2,0)))*G11))</f>
        <v/>
      </c>
      <c r="J11" s="332" t="str">
        <f t="array" ref="J11">IF(OR($B11="",$C11="",$G11=""),"",INDEX('Emission factors'!$K$3:$V$276,MATCH($B11&amp;$C11&amp;$D11,'Emission factors'!$J$3:$J$276&amp;'Emission factors'!$K$3:$K$276&amp;'Emission factors'!$L$3:$L$276,0),MATCH('Business travel, commute, home'!J$7,'Emission factors'!$K$2:$V$2,0)))</f>
        <v/>
      </c>
      <c r="K11" s="332" t="str">
        <f t="array" ref="K11">IF(OR(B11="",C11="",D11=""),"",INDEX('Emission factors'!$K$3:$V$276,MATCH($B11&amp;$C11&amp;$D11,'Emission factors'!$J$3:$J$276&amp;'Emission factors'!$K$3:$K$276&amp;'Emission factors'!$L$3:$L$276,0),MATCH('Business travel, commute, home'!K$7,'Emission factors'!$K$2:$V$2,0)))</f>
        <v/>
      </c>
      <c r="L11" s="333" t="str">
        <f>IF(OR(I11="",K11=""),"",SUM(BusinessTable[[#This Row],[Direct]:[Indirect WTT]]))</f>
        <v/>
      </c>
      <c r="M11" s="103"/>
      <c r="N11" s="101"/>
      <c r="O11" s="157" t="str" cm="1">
        <f t="array" ref="O11">IF(OR($C11="",$G11=""),"",(INDEX('Emission factors'!$K$3:$V$201,MATCH($B11&amp;$C11&amp;$D11,'Emission factors'!$J$3:$J$201&amp;'Emission factors'!$K$3:$K$201&amp;'Emission factors'!$L$3:$L$201,0),MATCH(O$7,'Emission factors'!$K$2:$V$2,0)))*$I11)</f>
        <v/>
      </c>
      <c r="P11" s="157" t="str" cm="1">
        <f t="array" ref="P11">IF(OR($C11="",$G11=""),"",(INDEX('Emission factors'!$K$3:$V$201,MATCH($B11&amp;$C11&amp;$D11,'Emission factors'!$J$3:$J$201&amp;'Emission factors'!$K$3:$K$201&amp;'Emission factors'!$L$3:$L$201,0),MATCH(P$7,'Emission factors'!$K$2:$V$2,0)))*$I11)</f>
        <v/>
      </c>
      <c r="Q11" s="157" t="str" cm="1">
        <f t="array" ref="Q11">IF(OR($C11="",$G11=""),"",(INDEX('Emission factors'!$K$3:$V$201,MATCH($B11&amp;$C11&amp;$D11,'Emission factors'!$J$3:$J$201&amp;'Emission factors'!$K$3:$K$201&amp;'Emission factors'!$L$3:$L$201,0),MATCH(Q$7,'Emission factors'!$K$2:$V$2,0)))*$I11)</f>
        <v/>
      </c>
      <c r="R11" s="157" t="str" cm="1">
        <f t="array" ref="R11">IF(OR($C11="",$G11=""),"",(INDEX('Emission factors'!$K$3:$V$201,MATCH($B11&amp;$C11&amp;$D11,'Emission factors'!$J$3:$J$201&amp;'Emission factors'!$K$3:$K$201&amp;'Emission factors'!$L$3:$L$201,0),MATCH(R$7,'Emission factors'!$K$2:$V$2,0)))*$I11)</f>
        <v/>
      </c>
      <c r="S11" s="157" t="str" cm="1">
        <f t="array" ref="S11">IF(OR($C11="",$G11=""),"",(INDEX('Emission factors'!$K$3:$V$201,MATCH($B11&amp;$C11&amp;$D11,'Emission factors'!$J$3:$J$201&amp;'Emission factors'!$K$3:$K$201&amp;'Emission factors'!$L$3:$L$201,0),MATCH(S$7,'Emission factors'!$K$2:$V$2,0)))*$I11)</f>
        <v/>
      </c>
      <c r="T11" s="158" t="str">
        <f t="shared" si="1"/>
        <v/>
      </c>
      <c r="U11" s="163" t="str">
        <f t="shared" si="0"/>
        <v/>
      </c>
      <c r="V11" s="158" t="str" cm="1">
        <f t="array" ref="V11">IF(OR($C11="",$G11=""),"",(INDEX('Emission factors'!$K$3:$V$201,MATCH($B11&amp;$C11&amp;$D11,'Emission factors'!$J$3:$J$201&amp;'Emission factors'!$K$3:$K$201&amp;'Emission factors'!$L$3:$L$201,0),MATCH(V$7,'Emission factors'!$K$2:$V$2,0)))*$I11)</f>
        <v/>
      </c>
      <c r="X11" s="1" cm="1">
        <f t="array" ref="X11">IF(OR(ISERROR(B11:V11)),1,0)</f>
        <v>0</v>
      </c>
      <c r="Y11" s="1">
        <f t="shared" si="2"/>
        <v>0</v>
      </c>
    </row>
    <row r="12" spans="1:25" ht="15" thickBot="1" x14ac:dyDescent="0.4">
      <c r="A12" s="18"/>
      <c r="B12" s="100"/>
      <c r="C12" s="101"/>
      <c r="D12" s="101"/>
      <c r="E12" s="101"/>
      <c r="F12" s="331" t="str">
        <f>IF(E12="","",INDEX(Lists!$BA$4:$BC$31,MATCH('Business travel, commute, home'!$B12,Lists!$AZ$4:$AZ$31,0),MATCH('Business travel, commute, home'!E12,Lists!$BA$3:$BC$3,0)))</f>
        <v/>
      </c>
      <c r="G12" s="70"/>
      <c r="H12" s="101"/>
      <c r="I12" s="275" t="str" cm="1">
        <f t="array" ref="I12">IF(OR($B12="",$C12="",$D12="",H12=""),"",IF(H12=J12,G12,(INDEX('Emission factors'!$K$3:$V$276,MATCH($B12&amp;$C12&amp;$D12,'Emission factors'!$J$3:$J$276&amp;'Emission factors'!$K$3:$K$276&amp;'Emission factors'!$L$3:$L$276,0),MATCH('Business travel, commute, home'!I$7,'Emission factors'!$K$2:$V$2,0)))*G12))</f>
        <v/>
      </c>
      <c r="J12" s="332" t="str">
        <f t="array" ref="J12">IF(OR($B12="",$C12="",$G12=""),"",INDEX('Emission factors'!$K$3:$V$276,MATCH($B12&amp;$C12&amp;$D12,'Emission factors'!$J$3:$J$276&amp;'Emission factors'!$K$3:$K$276&amp;'Emission factors'!$L$3:$L$276,0),MATCH('Business travel, commute, home'!J$7,'Emission factors'!$K$2:$V$2,0)))</f>
        <v/>
      </c>
      <c r="K12" s="332" t="str">
        <f t="array" ref="K12">IF(OR(B12="",C12="",D12=""),"",INDEX('Emission factors'!$K$3:$V$276,MATCH($B12&amp;$C12&amp;$D12,'Emission factors'!$J$3:$J$276&amp;'Emission factors'!$K$3:$K$276&amp;'Emission factors'!$L$3:$L$276,0),MATCH('Business travel, commute, home'!K$7,'Emission factors'!$K$2:$V$2,0)))</f>
        <v/>
      </c>
      <c r="L12" s="333" t="str">
        <f>IF(OR(I12="",K12=""),"",SUM(BusinessTable[[#This Row],[Direct]:[Indirect WTT]]))</f>
        <v/>
      </c>
      <c r="M12" s="103"/>
      <c r="N12" s="101"/>
      <c r="O12" s="157" t="str" cm="1">
        <f t="array" ref="O12">IF(OR($C12="",$G12=""),"",(INDEX('Emission factors'!$K$3:$V$201,MATCH($B12&amp;$C12&amp;$D12,'Emission factors'!$J$3:$J$201&amp;'Emission factors'!$K$3:$K$201&amp;'Emission factors'!$L$3:$L$201,0),MATCH(O$7,'Emission factors'!$K$2:$V$2,0)))*$I12)</f>
        <v/>
      </c>
      <c r="P12" s="157" t="str" cm="1">
        <f t="array" ref="P12">IF(OR($C12="",$G12=""),"",(INDEX('Emission factors'!$K$3:$V$201,MATCH($B12&amp;$C12&amp;$D12,'Emission factors'!$J$3:$J$201&amp;'Emission factors'!$K$3:$K$201&amp;'Emission factors'!$L$3:$L$201,0),MATCH(P$7,'Emission factors'!$K$2:$V$2,0)))*$I12)</f>
        <v/>
      </c>
      <c r="Q12" s="157" t="str" cm="1">
        <f t="array" ref="Q12">IF(OR($C12="",$G12=""),"",(INDEX('Emission factors'!$K$3:$V$201,MATCH($B12&amp;$C12&amp;$D12,'Emission factors'!$J$3:$J$201&amp;'Emission factors'!$K$3:$K$201&amp;'Emission factors'!$L$3:$L$201,0),MATCH(Q$7,'Emission factors'!$K$2:$V$2,0)))*$I12)</f>
        <v/>
      </c>
      <c r="R12" s="157" t="str" cm="1">
        <f t="array" ref="R12">IF(OR($C12="",$G12=""),"",(INDEX('Emission factors'!$K$3:$V$201,MATCH($B12&amp;$C12&amp;$D12,'Emission factors'!$J$3:$J$201&amp;'Emission factors'!$K$3:$K$201&amp;'Emission factors'!$L$3:$L$201,0),MATCH(R$7,'Emission factors'!$K$2:$V$2,0)))*$I12)</f>
        <v/>
      </c>
      <c r="S12" s="157" t="str" cm="1">
        <f t="array" ref="S12">IF(OR($C12="",$G12=""),"",(INDEX('Emission factors'!$K$3:$V$201,MATCH($B12&amp;$C12&amp;$D12,'Emission factors'!$J$3:$J$201&amp;'Emission factors'!$K$3:$K$201&amp;'Emission factors'!$L$3:$L$201,0),MATCH(S$7,'Emission factors'!$K$2:$V$2,0)))*$I12)</f>
        <v/>
      </c>
      <c r="T12" s="158" t="str">
        <f t="shared" si="1"/>
        <v/>
      </c>
      <c r="U12" s="163" t="str">
        <f t="shared" si="0"/>
        <v/>
      </c>
      <c r="V12" s="158" t="str" cm="1">
        <f t="array" ref="V12">IF(OR($C12="",$G12=""),"",(INDEX('Emission factors'!$K$3:$V$201,MATCH($B12&amp;$C12&amp;$D12,'Emission factors'!$J$3:$J$201&amp;'Emission factors'!$K$3:$K$201&amp;'Emission factors'!$L$3:$L$201,0),MATCH(V$7,'Emission factors'!$K$2:$V$2,0)))*$I12)</f>
        <v/>
      </c>
      <c r="X12" s="1" cm="1">
        <f t="array" ref="X12">IF(OR(ISERROR(B12:V12)),1,0)</f>
        <v>0</v>
      </c>
      <c r="Y12" s="1">
        <f t="shared" si="2"/>
        <v>0</v>
      </c>
    </row>
    <row r="13" spans="1:25" ht="15" thickBot="1" x14ac:dyDescent="0.4">
      <c r="A13" s="18"/>
      <c r="B13" s="246"/>
      <c r="C13" s="247"/>
      <c r="D13" s="247"/>
      <c r="E13" s="247"/>
      <c r="F13" s="334" t="str">
        <f>IF(E13="","",INDEX(Lists!$BA$4:$BC$31,MATCH('Business travel, commute, home'!$B13,Lists!$AZ$4:$AZ$31,0),MATCH('Business travel, commute, home'!E13,Lists!$BA$3:$BC$3,0)))</f>
        <v/>
      </c>
      <c r="G13" s="117"/>
      <c r="H13" s="246"/>
      <c r="I13" s="335" t="str" cm="1">
        <f t="array" ref="I13">IF(OR($B13="",$C13="",$D13="",H13=""),"",IF(H13=J13,G13,(INDEX('Emission factors'!$K$3:$V$276,MATCH($B13&amp;$C13&amp;$D13,'Emission factors'!$J$3:$J$276&amp;'Emission factors'!$K$3:$K$276&amp;'Emission factors'!$L$3:$L$276,0),MATCH('Business travel, commute, home'!I$7,'Emission factors'!$K$2:$V$2,0)))*G13))</f>
        <v/>
      </c>
      <c r="J13" s="336" t="str" cm="1">
        <f t="array" ref="J13">IF(OR($B13="",$C13="",$G13=""),"",INDEX('Emission factors'!$K$3:$V$276,MATCH($B13&amp;$C13&amp;$D13,'Emission factors'!$J$3:$J$276&amp;'Emission factors'!$K$3:$K$276&amp;'Emission factors'!$L$3:$L$276,0),MATCH('Business travel, commute, home'!J$7,'Emission factors'!$K$2:$V$2,0)))</f>
        <v/>
      </c>
      <c r="K13" s="336" t="str" cm="1">
        <f t="array" ref="K13">IF(OR(B13="",C13="",D13=""),"",INDEX('Emission factors'!$K$3:$V$276,MATCH($B13&amp;$C13&amp;$D13,'Emission factors'!$J$3:$J$276&amp;'Emission factors'!$K$3:$K$276&amp;'Emission factors'!$L$3:$L$276,0),MATCH('Business travel, commute, home'!K$7,'Emission factors'!$K$2:$V$2,0)))</f>
        <v/>
      </c>
      <c r="L13" s="333" t="str">
        <f>IF(OR(I13="",K13=""),"",SUM(BusinessTable[[#This Row],[Direct]:[Indirect WTT]]))</f>
        <v/>
      </c>
      <c r="M13" s="103"/>
      <c r="N13" s="247"/>
      <c r="O13" s="157" t="str" cm="1">
        <f t="array" ref="O13">IF(OR($C13="",$G13=""),"",(INDEX('Emission factors'!$K$3:$V$201,MATCH($B13&amp;$C13&amp;$D13,'Emission factors'!$J$3:$J$201&amp;'Emission factors'!$K$3:$K$201&amp;'Emission factors'!$L$3:$L$201,0),MATCH(O$7,'Emission factors'!$K$2:$V$2,0)))*$I13)</f>
        <v/>
      </c>
      <c r="P13" s="157" t="str" cm="1">
        <f t="array" ref="P13">IF(OR($C13="",$G13=""),"",(INDEX('Emission factors'!$K$3:$V$201,MATCH($B13&amp;$C13&amp;$D13,'Emission factors'!$J$3:$J$201&amp;'Emission factors'!$K$3:$K$201&amp;'Emission factors'!$L$3:$L$201,0),MATCH(P$7,'Emission factors'!$K$2:$V$2,0)))*$I13)</f>
        <v/>
      </c>
      <c r="Q13" s="157" t="str" cm="1">
        <f t="array" ref="Q13">IF(OR($C13="",$G13=""),"",(INDEX('Emission factors'!$K$3:$V$201,MATCH($B13&amp;$C13&amp;$D13,'Emission factors'!$J$3:$J$201&amp;'Emission factors'!$K$3:$K$201&amp;'Emission factors'!$L$3:$L$201,0),MATCH(Q$7,'Emission factors'!$K$2:$V$2,0)))*$I13)</f>
        <v/>
      </c>
      <c r="R13" s="157" t="str" cm="1">
        <f t="array" ref="R13">IF(OR($C13="",$G13=""),"",(INDEX('Emission factors'!$K$3:$V$201,MATCH($B13&amp;$C13&amp;$D13,'Emission factors'!$J$3:$J$201&amp;'Emission factors'!$K$3:$K$201&amp;'Emission factors'!$L$3:$L$201,0),MATCH(R$7,'Emission factors'!$K$2:$V$2,0)))*$I13)</f>
        <v/>
      </c>
      <c r="S13" s="157" t="str" cm="1">
        <f t="array" ref="S13">IF(OR($C13="",$G13=""),"",(INDEX('Emission factors'!$K$3:$V$201,MATCH($B13&amp;$C13&amp;$D13,'Emission factors'!$J$3:$J$201&amp;'Emission factors'!$K$3:$K$201&amp;'Emission factors'!$L$3:$L$201,0),MATCH(S$7,'Emission factors'!$K$2:$V$2,0)))*$I13)</f>
        <v/>
      </c>
      <c r="T13" s="158" t="str">
        <f t="shared" ref="T13:T19" si="3">IF(OR($L13="",$F13=""),"",$L13*(1+$F13))</f>
        <v/>
      </c>
      <c r="U13" s="163" t="str">
        <f t="shared" ref="U13:U19" si="4">IF(OR($L13="",$F13=""),"",$L13*(1-$F13))</f>
        <v/>
      </c>
      <c r="V13" s="158" t="str" cm="1">
        <f t="array" ref="V13">IF(OR($C13="",$G13=""),"",(INDEX('Emission factors'!$K$3:$V$201,MATCH($B13&amp;$C13&amp;$D13,'Emission factors'!$J$3:$J$201&amp;'Emission factors'!$K$3:$K$201&amp;'Emission factors'!$L$3:$L$201,0),MATCH(V$7,'Emission factors'!$K$2:$V$2,0)))*$I13)</f>
        <v/>
      </c>
      <c r="X13" s="1" cm="1">
        <f t="array" ref="X13">IF(OR(ISERROR(B13:V13)),1,0)</f>
        <v>0</v>
      </c>
      <c r="Y13" s="1">
        <f t="shared" si="2"/>
        <v>0</v>
      </c>
    </row>
    <row r="14" spans="1:25" ht="15" thickBot="1" x14ac:dyDescent="0.4">
      <c r="A14" s="18"/>
      <c r="B14" s="246"/>
      <c r="C14" s="247"/>
      <c r="D14" s="247"/>
      <c r="E14" s="247"/>
      <c r="F14" s="334" t="str">
        <f>IF(E14="","",INDEX(Lists!$BA$4:$BC$31,MATCH('Business travel, commute, home'!$B14,Lists!$AZ$4:$AZ$31,0),MATCH('Business travel, commute, home'!E14,Lists!$BA$3:$BC$3,0)))</f>
        <v/>
      </c>
      <c r="G14" s="117"/>
      <c r="H14" s="246"/>
      <c r="I14" s="335" t="str" cm="1">
        <f t="array" ref="I14">IF(OR($B14="",$C14="",$D14="",H14=""),"",IF(H14=J14,G14,(INDEX('Emission factors'!$K$3:$V$276,MATCH($B14&amp;$C14&amp;$D14,'Emission factors'!$J$3:$J$276&amp;'Emission factors'!$K$3:$K$276&amp;'Emission factors'!$L$3:$L$276,0),MATCH('Business travel, commute, home'!I$7,'Emission factors'!$K$2:$V$2,0)))*G14))</f>
        <v/>
      </c>
      <c r="J14" s="336" t="str" cm="1">
        <f t="array" ref="J14">IF(OR($B14="",$C14="",$G14=""),"",INDEX('Emission factors'!$K$3:$V$276,MATCH($B14&amp;$C14&amp;$D14,'Emission factors'!$J$3:$J$276&amp;'Emission factors'!$K$3:$K$276&amp;'Emission factors'!$L$3:$L$276,0),MATCH('Business travel, commute, home'!J$7,'Emission factors'!$K$2:$V$2,0)))</f>
        <v/>
      </c>
      <c r="K14" s="336" t="str" cm="1">
        <f t="array" ref="K14">IF(OR(B14="",C14="",D14=""),"",INDEX('Emission factors'!$K$3:$V$276,MATCH($B14&amp;$C14&amp;$D14,'Emission factors'!$J$3:$J$276&amp;'Emission factors'!$K$3:$K$276&amp;'Emission factors'!$L$3:$L$276,0),MATCH('Business travel, commute, home'!K$7,'Emission factors'!$K$2:$V$2,0)))</f>
        <v/>
      </c>
      <c r="L14" s="333" t="str">
        <f>IF(OR(I14="",K14=""),"",SUM(BusinessTable[[#This Row],[Direct]:[Indirect WTT]]))</f>
        <v/>
      </c>
      <c r="M14" s="103"/>
      <c r="N14" s="247"/>
      <c r="O14" s="157" t="str" cm="1">
        <f t="array" ref="O14">IF(OR($C14="",$G14=""),"",(INDEX('Emission factors'!$K$3:$V$201,MATCH($B14&amp;$C14&amp;$D14,'Emission factors'!$J$3:$J$201&amp;'Emission factors'!$K$3:$K$201&amp;'Emission factors'!$L$3:$L$201,0),MATCH(O$7,'Emission factors'!$K$2:$V$2,0)))*$I14)</f>
        <v/>
      </c>
      <c r="P14" s="157" t="str" cm="1">
        <f t="array" ref="P14">IF(OR($C14="",$G14=""),"",(INDEX('Emission factors'!$K$3:$V$201,MATCH($B14&amp;$C14&amp;$D14,'Emission factors'!$J$3:$J$201&amp;'Emission factors'!$K$3:$K$201&amp;'Emission factors'!$L$3:$L$201,0),MATCH(P$7,'Emission factors'!$K$2:$V$2,0)))*$I14)</f>
        <v/>
      </c>
      <c r="Q14" s="157" t="str" cm="1">
        <f t="array" ref="Q14">IF(OR($C14="",$G14=""),"",(INDEX('Emission factors'!$K$3:$V$201,MATCH($B14&amp;$C14&amp;$D14,'Emission factors'!$J$3:$J$201&amp;'Emission factors'!$K$3:$K$201&amp;'Emission factors'!$L$3:$L$201,0),MATCH(Q$7,'Emission factors'!$K$2:$V$2,0)))*$I14)</f>
        <v/>
      </c>
      <c r="R14" s="157" t="str" cm="1">
        <f t="array" ref="R14">IF(OR($C14="",$G14=""),"",(INDEX('Emission factors'!$K$3:$V$201,MATCH($B14&amp;$C14&amp;$D14,'Emission factors'!$J$3:$J$201&amp;'Emission factors'!$K$3:$K$201&amp;'Emission factors'!$L$3:$L$201,0),MATCH(R$7,'Emission factors'!$K$2:$V$2,0)))*$I14)</f>
        <v/>
      </c>
      <c r="S14" s="157" t="str" cm="1">
        <f t="array" ref="S14">IF(OR($C14="",$G14=""),"",(INDEX('Emission factors'!$K$3:$V$201,MATCH($B14&amp;$C14&amp;$D14,'Emission factors'!$J$3:$J$201&amp;'Emission factors'!$K$3:$K$201&amp;'Emission factors'!$L$3:$L$201,0),MATCH(S$7,'Emission factors'!$K$2:$V$2,0)))*$I14)</f>
        <v/>
      </c>
      <c r="T14" s="158" t="str">
        <f t="shared" si="3"/>
        <v/>
      </c>
      <c r="U14" s="163" t="str">
        <f t="shared" si="4"/>
        <v/>
      </c>
      <c r="V14" s="158" t="str" cm="1">
        <f t="array" ref="V14">IF(OR($C14="",$G14=""),"",(INDEX('Emission factors'!$K$3:$V$201,MATCH($B14&amp;$C14&amp;$D14,'Emission factors'!$J$3:$J$201&amp;'Emission factors'!$K$3:$K$201&amp;'Emission factors'!$L$3:$L$201,0),MATCH(V$7,'Emission factors'!$K$2:$V$2,0)))*$I14)</f>
        <v/>
      </c>
      <c r="X14" s="1" cm="1">
        <f t="array" ref="X14">IF(OR(ISERROR(B14:V14)),1,0)</f>
        <v>0</v>
      </c>
      <c r="Y14" s="1">
        <f t="shared" si="2"/>
        <v>0</v>
      </c>
    </row>
    <row r="15" spans="1:25" ht="15" thickBot="1" x14ac:dyDescent="0.4">
      <c r="A15" s="18"/>
      <c r="B15" s="246"/>
      <c r="C15" s="247"/>
      <c r="D15" s="247"/>
      <c r="E15" s="247"/>
      <c r="F15" s="334" t="str">
        <f>IF(E15="","",INDEX(Lists!$BA$4:$BC$31,MATCH('Business travel, commute, home'!$B15,Lists!$AZ$4:$AZ$31,0),MATCH('Business travel, commute, home'!E15,Lists!$BA$3:$BC$3,0)))</f>
        <v/>
      </c>
      <c r="G15" s="117"/>
      <c r="H15" s="246"/>
      <c r="I15" s="335" t="str" cm="1">
        <f t="array" ref="I15">IF(OR($B15="",$C15="",$D15="",H15=""),"",IF(H15=J15,G15,(INDEX('Emission factors'!$K$3:$V$276,MATCH($B15&amp;$C15&amp;$D15,'Emission factors'!$J$3:$J$276&amp;'Emission factors'!$K$3:$K$276&amp;'Emission factors'!$L$3:$L$276,0),MATCH('Business travel, commute, home'!I$7,'Emission factors'!$K$2:$V$2,0)))*G15))</f>
        <v/>
      </c>
      <c r="J15" s="336" t="str" cm="1">
        <f t="array" ref="J15">IF(OR($B15="",$C15="",$G15=""),"",INDEX('Emission factors'!$K$3:$V$276,MATCH($B15&amp;$C15&amp;$D15,'Emission factors'!$J$3:$J$276&amp;'Emission factors'!$K$3:$K$276&amp;'Emission factors'!$L$3:$L$276,0),MATCH('Business travel, commute, home'!J$7,'Emission factors'!$K$2:$V$2,0)))</f>
        <v/>
      </c>
      <c r="K15" s="336" t="str" cm="1">
        <f t="array" ref="K15">IF(OR(B15="",C15="",D15=""),"",INDEX('Emission factors'!$K$3:$V$276,MATCH($B15&amp;$C15&amp;$D15,'Emission factors'!$J$3:$J$276&amp;'Emission factors'!$K$3:$K$276&amp;'Emission factors'!$L$3:$L$276,0),MATCH('Business travel, commute, home'!K$7,'Emission factors'!$K$2:$V$2,0)))</f>
        <v/>
      </c>
      <c r="L15" s="333" t="str">
        <f>IF(OR(I15="",K15=""),"",SUM(BusinessTable[[#This Row],[Direct]:[Indirect WTT]]))</f>
        <v/>
      </c>
      <c r="M15" s="103"/>
      <c r="N15" s="247"/>
      <c r="O15" s="157" t="str" cm="1">
        <f t="array" ref="O15">IF(OR($C15="",$G15=""),"",(INDEX('Emission factors'!$K$3:$V$201,MATCH($B15&amp;$C15&amp;$D15,'Emission factors'!$J$3:$J$201&amp;'Emission factors'!$K$3:$K$201&amp;'Emission factors'!$L$3:$L$201,0),MATCH(O$7,'Emission factors'!$K$2:$V$2,0)))*$I15)</f>
        <v/>
      </c>
      <c r="P15" s="157" t="str" cm="1">
        <f t="array" ref="P15">IF(OR($C15="",$G15=""),"",(INDEX('Emission factors'!$K$3:$V$201,MATCH($B15&amp;$C15&amp;$D15,'Emission factors'!$J$3:$J$201&amp;'Emission factors'!$K$3:$K$201&amp;'Emission factors'!$L$3:$L$201,0),MATCH(P$7,'Emission factors'!$K$2:$V$2,0)))*$I15)</f>
        <v/>
      </c>
      <c r="Q15" s="157" t="str" cm="1">
        <f t="array" ref="Q15">IF(OR($C15="",$G15=""),"",(INDEX('Emission factors'!$K$3:$V$201,MATCH($B15&amp;$C15&amp;$D15,'Emission factors'!$J$3:$J$201&amp;'Emission factors'!$K$3:$K$201&amp;'Emission factors'!$L$3:$L$201,0),MATCH(Q$7,'Emission factors'!$K$2:$V$2,0)))*$I15)</f>
        <v/>
      </c>
      <c r="R15" s="157" t="str" cm="1">
        <f t="array" ref="R15">IF(OR($C15="",$G15=""),"",(INDEX('Emission factors'!$K$3:$V$201,MATCH($B15&amp;$C15&amp;$D15,'Emission factors'!$J$3:$J$201&amp;'Emission factors'!$K$3:$K$201&amp;'Emission factors'!$L$3:$L$201,0),MATCH(R$7,'Emission factors'!$K$2:$V$2,0)))*$I15)</f>
        <v/>
      </c>
      <c r="S15" s="157" t="str" cm="1">
        <f t="array" ref="S15">IF(OR($C15="",$G15=""),"",(INDEX('Emission factors'!$K$3:$V$201,MATCH($B15&amp;$C15&amp;$D15,'Emission factors'!$J$3:$J$201&amp;'Emission factors'!$K$3:$K$201&amp;'Emission factors'!$L$3:$L$201,0),MATCH(S$7,'Emission factors'!$K$2:$V$2,0)))*$I15)</f>
        <v/>
      </c>
      <c r="T15" s="158" t="str">
        <f t="shared" si="3"/>
        <v/>
      </c>
      <c r="U15" s="163" t="str">
        <f t="shared" si="4"/>
        <v/>
      </c>
      <c r="V15" s="158" t="str" cm="1">
        <f t="array" ref="V15">IF(OR($C15="",$G15=""),"",(INDEX('Emission factors'!$K$3:$V$201,MATCH($B15&amp;$C15&amp;$D15,'Emission factors'!$J$3:$J$201&amp;'Emission factors'!$K$3:$K$201&amp;'Emission factors'!$L$3:$L$201,0),MATCH(V$7,'Emission factors'!$K$2:$V$2,0)))*$I15)</f>
        <v/>
      </c>
      <c r="X15" s="1" cm="1">
        <f t="array" ref="X15">IF(OR(ISERROR(B15:V15)),1,0)</f>
        <v>0</v>
      </c>
      <c r="Y15" s="1">
        <f t="shared" si="2"/>
        <v>0</v>
      </c>
    </row>
    <row r="16" spans="1:25" ht="15" thickBot="1" x14ac:dyDescent="0.4">
      <c r="A16" s="18"/>
      <c r="B16" s="246"/>
      <c r="C16" s="247"/>
      <c r="D16" s="247"/>
      <c r="E16" s="247"/>
      <c r="F16" s="334" t="str">
        <f>IF(E16="","",INDEX(Lists!$BA$4:$BC$31,MATCH('Business travel, commute, home'!$B16,Lists!$AZ$4:$AZ$31,0),MATCH('Business travel, commute, home'!E16,Lists!$BA$3:$BC$3,0)))</f>
        <v/>
      </c>
      <c r="G16" s="117"/>
      <c r="H16" s="246"/>
      <c r="I16" s="335" t="str" cm="1">
        <f t="array" ref="I16">IF(OR($B16="",$C16="",$D16="",H16=""),"",IF(H16=J16,G16,(INDEX('Emission factors'!$K$3:$V$276,MATCH($B16&amp;$C16&amp;$D16,'Emission factors'!$J$3:$J$276&amp;'Emission factors'!$K$3:$K$276&amp;'Emission factors'!$L$3:$L$276,0),MATCH('Business travel, commute, home'!I$7,'Emission factors'!$K$2:$V$2,0)))*G16))</f>
        <v/>
      </c>
      <c r="J16" s="336" t="str" cm="1">
        <f t="array" ref="J16">IF(OR($B16="",$C16="",$G16=""),"",INDEX('Emission factors'!$K$3:$V$276,MATCH($B16&amp;$C16&amp;$D16,'Emission factors'!$J$3:$J$276&amp;'Emission factors'!$K$3:$K$276&amp;'Emission factors'!$L$3:$L$276,0),MATCH('Business travel, commute, home'!J$7,'Emission factors'!$K$2:$V$2,0)))</f>
        <v/>
      </c>
      <c r="K16" s="336" t="str" cm="1">
        <f t="array" ref="K16">IF(OR(B16="",C16="",D16=""),"",INDEX('Emission factors'!$K$3:$V$276,MATCH($B16&amp;$C16&amp;$D16,'Emission factors'!$J$3:$J$276&amp;'Emission factors'!$K$3:$K$276&amp;'Emission factors'!$L$3:$L$276,0),MATCH('Business travel, commute, home'!K$7,'Emission factors'!$K$2:$V$2,0)))</f>
        <v/>
      </c>
      <c r="L16" s="333" t="str">
        <f>IF(OR(I16="",K16=""),"",SUM(BusinessTable[[#This Row],[Direct]:[Indirect WTT]]))</f>
        <v/>
      </c>
      <c r="M16" s="103"/>
      <c r="N16" s="247"/>
      <c r="O16" s="157" t="str" cm="1">
        <f t="array" ref="O16">IF(OR($C16="",$G16=""),"",(INDEX('Emission factors'!$K$3:$V$201,MATCH($B16&amp;$C16&amp;$D16,'Emission factors'!$J$3:$J$201&amp;'Emission factors'!$K$3:$K$201&amp;'Emission factors'!$L$3:$L$201,0),MATCH(O$7,'Emission factors'!$K$2:$V$2,0)))*$I16)</f>
        <v/>
      </c>
      <c r="P16" s="157" t="str" cm="1">
        <f t="array" ref="P16">IF(OR($C16="",$G16=""),"",(INDEX('Emission factors'!$K$3:$V$201,MATCH($B16&amp;$C16&amp;$D16,'Emission factors'!$J$3:$J$201&amp;'Emission factors'!$K$3:$K$201&amp;'Emission factors'!$L$3:$L$201,0),MATCH(P$7,'Emission factors'!$K$2:$V$2,0)))*$I16)</f>
        <v/>
      </c>
      <c r="Q16" s="157" t="str" cm="1">
        <f t="array" ref="Q16">IF(OR($C16="",$G16=""),"",(INDEX('Emission factors'!$K$3:$V$201,MATCH($B16&amp;$C16&amp;$D16,'Emission factors'!$J$3:$J$201&amp;'Emission factors'!$K$3:$K$201&amp;'Emission factors'!$L$3:$L$201,0),MATCH(Q$7,'Emission factors'!$K$2:$V$2,0)))*$I16)</f>
        <v/>
      </c>
      <c r="R16" s="157" t="str" cm="1">
        <f t="array" ref="R16">IF(OR($C16="",$G16=""),"",(INDEX('Emission factors'!$K$3:$V$201,MATCH($B16&amp;$C16&amp;$D16,'Emission factors'!$J$3:$J$201&amp;'Emission factors'!$K$3:$K$201&amp;'Emission factors'!$L$3:$L$201,0),MATCH(R$7,'Emission factors'!$K$2:$V$2,0)))*$I16)</f>
        <v/>
      </c>
      <c r="S16" s="157" t="str" cm="1">
        <f t="array" ref="S16">IF(OR($C16="",$G16=""),"",(INDEX('Emission factors'!$K$3:$V$201,MATCH($B16&amp;$C16&amp;$D16,'Emission factors'!$J$3:$J$201&amp;'Emission factors'!$K$3:$K$201&amp;'Emission factors'!$L$3:$L$201,0),MATCH(S$7,'Emission factors'!$K$2:$V$2,0)))*$I16)</f>
        <v/>
      </c>
      <c r="T16" s="158" t="str">
        <f t="shared" si="3"/>
        <v/>
      </c>
      <c r="U16" s="163" t="str">
        <f t="shared" si="4"/>
        <v/>
      </c>
      <c r="V16" s="158" t="str" cm="1">
        <f t="array" ref="V16">IF(OR($C16="",$G16=""),"",(INDEX('Emission factors'!$K$3:$V$201,MATCH($B16&amp;$C16&amp;$D16,'Emission factors'!$J$3:$J$201&amp;'Emission factors'!$K$3:$K$201&amp;'Emission factors'!$L$3:$L$201,0),MATCH(V$7,'Emission factors'!$K$2:$V$2,0)))*$I16)</f>
        <v/>
      </c>
      <c r="X16" s="1" cm="1">
        <f t="array" ref="X16">IF(OR(ISERROR(B16:V16)),1,0)</f>
        <v>0</v>
      </c>
      <c r="Y16" s="1">
        <f t="shared" si="2"/>
        <v>0</v>
      </c>
    </row>
    <row r="17" spans="1:25" ht="15" thickBot="1" x14ac:dyDescent="0.4">
      <c r="A17" s="18"/>
      <c r="B17" s="246"/>
      <c r="C17" s="247"/>
      <c r="D17" s="247"/>
      <c r="E17" s="247"/>
      <c r="F17" s="334" t="str">
        <f>IF(E17="","",INDEX(Lists!$BA$4:$BC$31,MATCH('Business travel, commute, home'!$B17,Lists!$AZ$4:$AZ$31,0),MATCH('Business travel, commute, home'!E17,Lists!$BA$3:$BC$3,0)))</f>
        <v/>
      </c>
      <c r="G17" s="117"/>
      <c r="H17" s="246"/>
      <c r="I17" s="335" t="str" cm="1">
        <f t="array" ref="I17">IF(OR($B17="",$C17="",$D17="",H17=""),"",IF(H17=J17,G17,(INDEX('Emission factors'!$K$3:$V$276,MATCH($B17&amp;$C17&amp;$D17,'Emission factors'!$J$3:$J$276&amp;'Emission factors'!$K$3:$K$276&amp;'Emission factors'!$L$3:$L$276,0),MATCH('Business travel, commute, home'!I$7,'Emission factors'!$K$2:$V$2,0)))*G17))</f>
        <v/>
      </c>
      <c r="J17" s="336" t="str" cm="1">
        <f t="array" ref="J17">IF(OR($B17="",$C17="",$G17=""),"",INDEX('Emission factors'!$K$3:$V$276,MATCH($B17&amp;$C17&amp;$D17,'Emission factors'!$J$3:$J$276&amp;'Emission factors'!$K$3:$K$276&amp;'Emission factors'!$L$3:$L$276,0),MATCH('Business travel, commute, home'!J$7,'Emission factors'!$K$2:$V$2,0)))</f>
        <v/>
      </c>
      <c r="K17" s="336" t="str" cm="1">
        <f t="array" ref="K17">IF(OR(B17="",C17="",D17=""),"",INDEX('Emission factors'!$K$3:$V$276,MATCH($B17&amp;$C17&amp;$D17,'Emission factors'!$J$3:$J$276&amp;'Emission factors'!$K$3:$K$276&amp;'Emission factors'!$L$3:$L$276,0),MATCH('Business travel, commute, home'!K$7,'Emission factors'!$K$2:$V$2,0)))</f>
        <v/>
      </c>
      <c r="L17" s="333" t="str">
        <f>IF(OR(I17="",K17=""),"",SUM(BusinessTable[[#This Row],[Direct]:[Indirect WTT]]))</f>
        <v/>
      </c>
      <c r="M17" s="103"/>
      <c r="N17" s="247"/>
      <c r="O17" s="157" t="str" cm="1">
        <f t="array" ref="O17">IF(OR($C17="",$G17=""),"",(INDEX('Emission factors'!$K$3:$V$201,MATCH($B17&amp;$C17&amp;$D17,'Emission factors'!$J$3:$J$201&amp;'Emission factors'!$K$3:$K$201&amp;'Emission factors'!$L$3:$L$201,0),MATCH(O$7,'Emission factors'!$K$2:$V$2,0)))*$I17)</f>
        <v/>
      </c>
      <c r="P17" s="157" t="str" cm="1">
        <f t="array" ref="P17">IF(OR($C17="",$G17=""),"",(INDEX('Emission factors'!$K$3:$V$201,MATCH($B17&amp;$C17&amp;$D17,'Emission factors'!$J$3:$J$201&amp;'Emission factors'!$K$3:$K$201&amp;'Emission factors'!$L$3:$L$201,0),MATCH(P$7,'Emission factors'!$K$2:$V$2,0)))*$I17)</f>
        <v/>
      </c>
      <c r="Q17" s="157" t="str" cm="1">
        <f t="array" ref="Q17">IF(OR($C17="",$G17=""),"",(INDEX('Emission factors'!$K$3:$V$201,MATCH($B17&amp;$C17&amp;$D17,'Emission factors'!$J$3:$J$201&amp;'Emission factors'!$K$3:$K$201&amp;'Emission factors'!$L$3:$L$201,0),MATCH(Q$7,'Emission factors'!$K$2:$V$2,0)))*$I17)</f>
        <v/>
      </c>
      <c r="R17" s="157" t="str" cm="1">
        <f t="array" ref="R17">IF(OR($C17="",$G17=""),"",(INDEX('Emission factors'!$K$3:$V$201,MATCH($B17&amp;$C17&amp;$D17,'Emission factors'!$J$3:$J$201&amp;'Emission factors'!$K$3:$K$201&amp;'Emission factors'!$L$3:$L$201,0),MATCH(R$7,'Emission factors'!$K$2:$V$2,0)))*$I17)</f>
        <v/>
      </c>
      <c r="S17" s="157" t="str" cm="1">
        <f t="array" ref="S17">IF(OR($C17="",$G17=""),"",(INDEX('Emission factors'!$K$3:$V$201,MATCH($B17&amp;$C17&amp;$D17,'Emission factors'!$J$3:$J$201&amp;'Emission factors'!$K$3:$K$201&amp;'Emission factors'!$L$3:$L$201,0),MATCH(S$7,'Emission factors'!$K$2:$V$2,0)))*$I17)</f>
        <v/>
      </c>
      <c r="T17" s="158" t="str">
        <f t="shared" si="3"/>
        <v/>
      </c>
      <c r="U17" s="163" t="str">
        <f t="shared" si="4"/>
        <v/>
      </c>
      <c r="V17" s="158" t="str" cm="1">
        <f t="array" ref="V17">IF(OR($C17="",$G17=""),"",(INDEX('Emission factors'!$K$3:$V$201,MATCH($B17&amp;$C17&amp;$D17,'Emission factors'!$J$3:$J$201&amp;'Emission factors'!$K$3:$K$201&amp;'Emission factors'!$L$3:$L$201,0),MATCH(V$7,'Emission factors'!$K$2:$V$2,0)))*$I17)</f>
        <v/>
      </c>
      <c r="X17" s="1" cm="1">
        <f t="array" ref="X17">IF(OR(ISERROR(B17:V17)),1,0)</f>
        <v>0</v>
      </c>
      <c r="Y17" s="1">
        <f t="shared" si="2"/>
        <v>0</v>
      </c>
    </row>
    <row r="18" spans="1:25" ht="15" thickBot="1" x14ac:dyDescent="0.4">
      <c r="A18" s="18"/>
      <c r="B18" s="246"/>
      <c r="C18" s="247"/>
      <c r="D18" s="247"/>
      <c r="E18" s="247"/>
      <c r="F18" s="334" t="str">
        <f>IF(E18="","",INDEX(Lists!$BA$4:$BC$31,MATCH('Business travel, commute, home'!$B18,Lists!$AZ$4:$AZ$31,0),MATCH('Business travel, commute, home'!E18,Lists!$BA$3:$BC$3,0)))</f>
        <v/>
      </c>
      <c r="G18" s="117"/>
      <c r="H18" s="246"/>
      <c r="I18" s="335" t="str" cm="1">
        <f t="array" ref="I18">IF(OR($B18="",$C18="",$D18="",H18=""),"",IF(H18=J18,G18,(INDEX('Emission factors'!$K$3:$V$276,MATCH($B18&amp;$C18&amp;$D18,'Emission factors'!$J$3:$J$276&amp;'Emission factors'!$K$3:$K$276&amp;'Emission factors'!$L$3:$L$276,0),MATCH('Business travel, commute, home'!I$7,'Emission factors'!$K$2:$V$2,0)))*G18))</f>
        <v/>
      </c>
      <c r="J18" s="336" t="str" cm="1">
        <f t="array" ref="J18">IF(OR($B18="",$C18="",$G18=""),"",INDEX('Emission factors'!$K$3:$V$276,MATCH($B18&amp;$C18&amp;$D18,'Emission factors'!$J$3:$J$276&amp;'Emission factors'!$K$3:$K$276&amp;'Emission factors'!$L$3:$L$276,0),MATCH('Business travel, commute, home'!J$7,'Emission factors'!$K$2:$V$2,0)))</f>
        <v/>
      </c>
      <c r="K18" s="336" t="str" cm="1">
        <f t="array" ref="K18">IF(OR(B18="",C18="",D18=""),"",INDEX('Emission factors'!$K$3:$V$276,MATCH($B18&amp;$C18&amp;$D18,'Emission factors'!$J$3:$J$276&amp;'Emission factors'!$K$3:$K$276&amp;'Emission factors'!$L$3:$L$276,0),MATCH('Business travel, commute, home'!K$7,'Emission factors'!$K$2:$V$2,0)))</f>
        <v/>
      </c>
      <c r="L18" s="333" t="str">
        <f>IF(OR(I18="",K18=""),"",SUM(BusinessTable[[#This Row],[Direct]:[Indirect WTT]]))</f>
        <v/>
      </c>
      <c r="M18" s="103"/>
      <c r="N18" s="247"/>
      <c r="O18" s="157" t="str" cm="1">
        <f t="array" ref="O18">IF(OR($C18="",$G18=""),"",(INDEX('Emission factors'!$K$3:$V$201,MATCH($B18&amp;$C18&amp;$D18,'Emission factors'!$J$3:$J$201&amp;'Emission factors'!$K$3:$K$201&amp;'Emission factors'!$L$3:$L$201,0),MATCH(O$7,'Emission factors'!$K$2:$V$2,0)))*$I18)</f>
        <v/>
      </c>
      <c r="P18" s="157" t="str" cm="1">
        <f t="array" ref="P18">IF(OR($C18="",$G18=""),"",(INDEX('Emission factors'!$K$3:$V$201,MATCH($B18&amp;$C18&amp;$D18,'Emission factors'!$J$3:$J$201&amp;'Emission factors'!$K$3:$K$201&amp;'Emission factors'!$L$3:$L$201,0),MATCH(P$7,'Emission factors'!$K$2:$V$2,0)))*$I18)</f>
        <v/>
      </c>
      <c r="Q18" s="157" t="str" cm="1">
        <f t="array" ref="Q18">IF(OR($C18="",$G18=""),"",(INDEX('Emission factors'!$K$3:$V$201,MATCH($B18&amp;$C18&amp;$D18,'Emission factors'!$J$3:$J$201&amp;'Emission factors'!$K$3:$K$201&amp;'Emission factors'!$L$3:$L$201,0),MATCH(Q$7,'Emission factors'!$K$2:$V$2,0)))*$I18)</f>
        <v/>
      </c>
      <c r="R18" s="157" t="str" cm="1">
        <f t="array" ref="R18">IF(OR($C18="",$G18=""),"",(INDEX('Emission factors'!$K$3:$V$201,MATCH($B18&amp;$C18&amp;$D18,'Emission factors'!$J$3:$J$201&amp;'Emission factors'!$K$3:$K$201&amp;'Emission factors'!$L$3:$L$201,0),MATCH(R$7,'Emission factors'!$K$2:$V$2,0)))*$I18)</f>
        <v/>
      </c>
      <c r="S18" s="157" t="str" cm="1">
        <f t="array" ref="S18">IF(OR($C18="",$G18=""),"",(INDEX('Emission factors'!$K$3:$V$201,MATCH($B18&amp;$C18&amp;$D18,'Emission factors'!$J$3:$J$201&amp;'Emission factors'!$K$3:$K$201&amp;'Emission factors'!$L$3:$L$201,0),MATCH(S$7,'Emission factors'!$K$2:$V$2,0)))*$I18)</f>
        <v/>
      </c>
      <c r="T18" s="158" t="str">
        <f t="shared" si="3"/>
        <v/>
      </c>
      <c r="U18" s="163" t="str">
        <f t="shared" si="4"/>
        <v/>
      </c>
      <c r="V18" s="158" t="str" cm="1">
        <f t="array" ref="V18">IF(OR($C18="",$G18=""),"",(INDEX('Emission factors'!$K$3:$V$201,MATCH($B18&amp;$C18&amp;$D18,'Emission factors'!$J$3:$J$201&amp;'Emission factors'!$K$3:$K$201&amp;'Emission factors'!$L$3:$L$201,0),MATCH(V$7,'Emission factors'!$K$2:$V$2,0)))*$I18)</f>
        <v/>
      </c>
      <c r="X18" s="1" cm="1">
        <f t="array" ref="X18">IF(OR(ISERROR(B18:V18)),1,0)</f>
        <v>0</v>
      </c>
      <c r="Y18" s="1">
        <f t="shared" si="2"/>
        <v>0</v>
      </c>
    </row>
    <row r="19" spans="1:25" ht="15" thickBot="1" x14ac:dyDescent="0.4">
      <c r="A19" s="18"/>
      <c r="B19" s="246"/>
      <c r="C19" s="247"/>
      <c r="D19" s="247"/>
      <c r="E19" s="247"/>
      <c r="F19" s="334" t="str">
        <f>IF(E19="","",INDEX(Lists!$BA$4:$BC$31,MATCH('Business travel, commute, home'!$B19,Lists!$AZ$4:$AZ$31,0),MATCH('Business travel, commute, home'!E19,Lists!$BA$3:$BC$3,0)))</f>
        <v/>
      </c>
      <c r="G19" s="117"/>
      <c r="H19" s="246"/>
      <c r="I19" s="335" t="str" cm="1">
        <f t="array" ref="I19">IF(OR($B19="",$C19="",$D19="",H19=""),"",IF(H19=J19,G19,(INDEX('Emission factors'!$K$3:$V$276,MATCH($B19&amp;$C19&amp;$D19,'Emission factors'!$J$3:$J$276&amp;'Emission factors'!$K$3:$K$276&amp;'Emission factors'!$L$3:$L$276,0),MATCH('Business travel, commute, home'!I$7,'Emission factors'!$K$2:$V$2,0)))*G19))</f>
        <v/>
      </c>
      <c r="J19" s="336" t="str" cm="1">
        <f t="array" ref="J19">IF(OR($B19="",$C19="",$G19=""),"",INDEX('Emission factors'!$K$3:$V$276,MATCH($B19&amp;$C19&amp;$D19,'Emission factors'!$J$3:$J$276&amp;'Emission factors'!$K$3:$K$276&amp;'Emission factors'!$L$3:$L$276,0),MATCH('Business travel, commute, home'!J$7,'Emission factors'!$K$2:$V$2,0)))</f>
        <v/>
      </c>
      <c r="K19" s="336" t="str" cm="1">
        <f t="array" ref="K19">IF(OR(B19="",C19="",D19=""),"",INDEX('Emission factors'!$K$3:$V$276,MATCH($B19&amp;$C19&amp;$D19,'Emission factors'!$J$3:$J$276&amp;'Emission factors'!$K$3:$K$276&amp;'Emission factors'!$L$3:$L$276,0),MATCH('Business travel, commute, home'!K$7,'Emission factors'!$K$2:$V$2,0)))</f>
        <v/>
      </c>
      <c r="L19" s="333" t="str">
        <f>IF(OR(I19="",K19=""),"",SUM(BusinessTable[[#This Row],[Direct]:[Indirect WTT]]))</f>
        <v/>
      </c>
      <c r="M19" s="103"/>
      <c r="N19" s="247"/>
      <c r="O19" s="157" t="str" cm="1">
        <f t="array" ref="O19">IF(OR($C19="",$G19=""),"",(INDEX('Emission factors'!$K$3:$V$201,MATCH($B19&amp;$C19&amp;$D19,'Emission factors'!$J$3:$J$201&amp;'Emission factors'!$K$3:$K$201&amp;'Emission factors'!$L$3:$L$201,0),MATCH(O$7,'Emission factors'!$K$2:$V$2,0)))*$I19)</f>
        <v/>
      </c>
      <c r="P19" s="157" t="str" cm="1">
        <f t="array" ref="P19">IF(OR($C19="",$G19=""),"",(INDEX('Emission factors'!$K$3:$V$201,MATCH($B19&amp;$C19&amp;$D19,'Emission factors'!$J$3:$J$201&amp;'Emission factors'!$K$3:$K$201&amp;'Emission factors'!$L$3:$L$201,0),MATCH(P$7,'Emission factors'!$K$2:$V$2,0)))*$I19)</f>
        <v/>
      </c>
      <c r="Q19" s="157" t="str" cm="1">
        <f t="array" ref="Q19">IF(OR($C19="",$G19=""),"",(INDEX('Emission factors'!$K$3:$V$201,MATCH($B19&amp;$C19&amp;$D19,'Emission factors'!$J$3:$J$201&amp;'Emission factors'!$K$3:$K$201&amp;'Emission factors'!$L$3:$L$201,0),MATCH(Q$7,'Emission factors'!$K$2:$V$2,0)))*$I19)</f>
        <v/>
      </c>
      <c r="R19" s="157" t="str" cm="1">
        <f t="array" ref="R19">IF(OR($C19="",$G19=""),"",(INDEX('Emission factors'!$K$3:$V$201,MATCH($B19&amp;$C19&amp;$D19,'Emission factors'!$J$3:$J$201&amp;'Emission factors'!$K$3:$K$201&amp;'Emission factors'!$L$3:$L$201,0),MATCH(R$7,'Emission factors'!$K$2:$V$2,0)))*$I19)</f>
        <v/>
      </c>
      <c r="S19" s="157" t="str" cm="1">
        <f t="array" ref="S19">IF(OR($C19="",$G19=""),"",(INDEX('Emission factors'!$K$3:$V$201,MATCH($B19&amp;$C19&amp;$D19,'Emission factors'!$J$3:$J$201&amp;'Emission factors'!$K$3:$K$201&amp;'Emission factors'!$L$3:$L$201,0),MATCH(S$7,'Emission factors'!$K$2:$V$2,0)))*$I19)</f>
        <v/>
      </c>
      <c r="T19" s="158" t="str">
        <f t="shared" si="3"/>
        <v/>
      </c>
      <c r="U19" s="163" t="str">
        <f t="shared" si="4"/>
        <v/>
      </c>
      <c r="V19" s="158" t="str" cm="1">
        <f t="array" ref="V19">IF(OR($C19="",$G19=""),"",(INDEX('Emission factors'!$K$3:$V$201,MATCH($B19&amp;$C19&amp;$D19,'Emission factors'!$J$3:$J$201&amp;'Emission factors'!$K$3:$K$201&amp;'Emission factors'!$L$3:$L$201,0),MATCH(V$7,'Emission factors'!$K$2:$V$2,0)))*$I19)</f>
        <v/>
      </c>
      <c r="X19" s="1" cm="1">
        <f t="array" ref="X19">IF(OR(ISERROR(B19:V19)),1,0)</f>
        <v>0</v>
      </c>
      <c r="Y19" s="1">
        <f t="shared" si="2"/>
        <v>0</v>
      </c>
    </row>
    <row r="20" spans="1:25" ht="15" thickBot="1" x14ac:dyDescent="0.4">
      <c r="A20" s="18"/>
      <c r="B20" s="100"/>
      <c r="C20" s="101"/>
      <c r="D20" s="101"/>
      <c r="E20" s="101"/>
      <c r="F20" s="331" t="str">
        <f>IF(E20="","",INDEX(Lists!$BA$4:$BC$31,MATCH('Business travel, commute, home'!$B20,Lists!$AZ$4:$AZ$31,0),MATCH('Business travel, commute, home'!E20,Lists!$BA$3:$BC$3,0)))</f>
        <v/>
      </c>
      <c r="G20" s="70"/>
      <c r="H20" s="101"/>
      <c r="I20" s="275" t="str" cm="1">
        <f t="array" ref="I20">IF(OR($B20="",$C20="",$D20="",H20=""),"",IF(H20=J20,G20,(INDEX('Emission factors'!$K$3:$V$276,MATCH($B20&amp;$C20&amp;$D20,'Emission factors'!$J$3:$J$276&amp;'Emission factors'!$K$3:$K$276&amp;'Emission factors'!$L$3:$L$276,0),MATCH('Business travel, commute, home'!I$7,'Emission factors'!$K$2:$V$2,0)))*G20))</f>
        <v/>
      </c>
      <c r="J20" s="332" t="str">
        <f t="array" ref="J20">IF(OR($B20="",$C20="",$G20=""),"",INDEX('Emission factors'!$K$3:$V$276,MATCH($B20&amp;$C20&amp;$D20,'Emission factors'!$J$3:$J$276&amp;'Emission factors'!$K$3:$K$276&amp;'Emission factors'!$L$3:$L$276,0),MATCH('Business travel, commute, home'!J$7,'Emission factors'!$K$2:$V$2,0)))</f>
        <v/>
      </c>
      <c r="K20" s="332" t="str">
        <f t="array" ref="K20">IF(OR(B20="",C20="",D20=""),"",INDEX('Emission factors'!$K$3:$V$276,MATCH($B20&amp;$C20&amp;$D20,'Emission factors'!$J$3:$J$276&amp;'Emission factors'!$K$3:$K$276&amp;'Emission factors'!$L$3:$L$276,0),MATCH('Business travel, commute, home'!K$7,'Emission factors'!$K$2:$V$2,0)))</f>
        <v/>
      </c>
      <c r="L20" s="333" t="str">
        <f>IF(OR(I20="",K20=""),"",SUM(BusinessTable[[#This Row],[Direct]:[Indirect WTT]]))</f>
        <v/>
      </c>
      <c r="M20" s="103"/>
      <c r="N20" s="101"/>
      <c r="O20" s="157" t="str" cm="1">
        <f t="array" ref="O20">IF(OR($C20="",$G20=""),"",(INDEX('Emission factors'!$K$3:$V$201,MATCH($B20&amp;$C20&amp;$D20,'Emission factors'!$J$3:$J$201&amp;'Emission factors'!$K$3:$K$201&amp;'Emission factors'!$L$3:$L$201,0),MATCH(O$7,'Emission factors'!$K$2:$V$2,0)))*$I20)</f>
        <v/>
      </c>
      <c r="P20" s="157" t="str" cm="1">
        <f t="array" ref="P20">IF(OR($C20="",$G20=""),"",(INDEX('Emission factors'!$K$3:$V$201,MATCH($B20&amp;$C20&amp;$D20,'Emission factors'!$J$3:$J$201&amp;'Emission factors'!$K$3:$K$201&amp;'Emission factors'!$L$3:$L$201,0),MATCH(P$7,'Emission factors'!$K$2:$V$2,0)))*$I20)</f>
        <v/>
      </c>
      <c r="Q20" s="157" t="str" cm="1">
        <f t="array" ref="Q20">IF(OR($C20="",$G20=""),"",(INDEX('Emission factors'!$K$3:$V$201,MATCH($B20&amp;$C20&amp;$D20,'Emission factors'!$J$3:$J$201&amp;'Emission factors'!$K$3:$K$201&amp;'Emission factors'!$L$3:$L$201,0),MATCH(Q$7,'Emission factors'!$K$2:$V$2,0)))*$I20)</f>
        <v/>
      </c>
      <c r="R20" s="157" t="str" cm="1">
        <f t="array" ref="R20">IF(OR($C20="",$G20=""),"",(INDEX('Emission factors'!$K$3:$V$201,MATCH($B20&amp;$C20&amp;$D20,'Emission factors'!$J$3:$J$201&amp;'Emission factors'!$K$3:$K$201&amp;'Emission factors'!$L$3:$L$201,0),MATCH(R$7,'Emission factors'!$K$2:$V$2,0)))*$I20)</f>
        <v/>
      </c>
      <c r="S20" s="157" t="str" cm="1">
        <f t="array" ref="S20">IF(OR($C20="",$G20=""),"",(INDEX('Emission factors'!$K$3:$V$201,MATCH($B20&amp;$C20&amp;$D20,'Emission factors'!$J$3:$J$201&amp;'Emission factors'!$K$3:$K$201&amp;'Emission factors'!$L$3:$L$201,0),MATCH(S$7,'Emission factors'!$K$2:$V$2,0)))*$I20)</f>
        <v/>
      </c>
      <c r="T20" s="158" t="str">
        <f t="shared" si="1"/>
        <v/>
      </c>
      <c r="U20" s="163" t="str">
        <f t="shared" si="0"/>
        <v/>
      </c>
      <c r="V20" s="158" t="str" cm="1">
        <f t="array" ref="V20">IF(OR($C20="",$G20=""),"",(INDEX('Emission factors'!$K$3:$V$201,MATCH($B20&amp;$C20&amp;$D20,'Emission factors'!$J$3:$J$201&amp;'Emission factors'!$K$3:$K$201&amp;'Emission factors'!$L$3:$L$201,0),MATCH(V$7,'Emission factors'!$K$2:$V$2,0)))*$I20)</f>
        <v/>
      </c>
      <c r="X20" s="1" cm="1">
        <f t="array" ref="X20">IF(OR(ISERROR(B20:V20)),1,0)</f>
        <v>0</v>
      </c>
      <c r="Y20" s="1">
        <f t="shared" si="2"/>
        <v>0</v>
      </c>
    </row>
    <row r="21" spans="1:25" ht="15" thickBot="1" x14ac:dyDescent="0.4">
      <c r="A21" s="18"/>
      <c r="B21" s="100"/>
      <c r="C21" s="101"/>
      <c r="D21" s="101"/>
      <c r="E21" s="101"/>
      <c r="F21" s="331" t="str">
        <f>IF(E21="","",INDEX(Lists!$BA$4:$BC$31,MATCH('Business travel, commute, home'!$B21,Lists!$AZ$4:$AZ$31,0),MATCH('Business travel, commute, home'!E21,Lists!$BA$3:$BC$3,0)))</f>
        <v/>
      </c>
      <c r="G21" s="70"/>
      <c r="H21" s="101"/>
      <c r="I21" s="275" t="str" cm="1">
        <f t="array" ref="I21">IF(OR($B21="",$C21="",$D21="",H21=""),"",IF(H21=J21,G21,(INDEX('Emission factors'!$K$3:$V$276,MATCH($B21&amp;$C21&amp;$D21,'Emission factors'!$J$3:$J$276&amp;'Emission factors'!$K$3:$K$276&amp;'Emission factors'!$L$3:$L$276,0),MATCH('Business travel, commute, home'!I$7,'Emission factors'!$K$2:$V$2,0)))*G21))</f>
        <v/>
      </c>
      <c r="J21" s="332" t="str">
        <f t="array" ref="J21">IF(OR($B21="",$C21="",$G21=""),"",INDEX('Emission factors'!$K$3:$V$276,MATCH($B21&amp;$C21&amp;$D21,'Emission factors'!$J$3:$J$276&amp;'Emission factors'!$K$3:$K$276&amp;'Emission factors'!$L$3:$L$276,0),MATCH('Business travel, commute, home'!J$7,'Emission factors'!$K$2:$V$2,0)))</f>
        <v/>
      </c>
      <c r="K21" s="332" t="str">
        <f t="array" ref="K21">IF(OR(B21="",C21="",D21=""),"",INDEX('Emission factors'!$K$3:$V$276,MATCH($B21&amp;$C21&amp;$D21,'Emission factors'!$J$3:$J$276&amp;'Emission factors'!$K$3:$K$276&amp;'Emission factors'!$L$3:$L$276,0),MATCH('Business travel, commute, home'!K$7,'Emission factors'!$K$2:$V$2,0)))</f>
        <v/>
      </c>
      <c r="L21" s="333" t="str">
        <f>IF(OR(I21="",K21=""),"",SUM(BusinessTable[[#This Row],[Direct]:[Indirect WTT]]))</f>
        <v/>
      </c>
      <c r="M21" s="103"/>
      <c r="N21" s="101"/>
      <c r="O21" s="157" t="str" cm="1">
        <f t="array" ref="O21">IF(OR($C21="",$G21=""),"",(INDEX('Emission factors'!$K$3:$V$201,MATCH($B21&amp;$C21&amp;$D21,'Emission factors'!$J$3:$J$201&amp;'Emission factors'!$K$3:$K$201&amp;'Emission factors'!$L$3:$L$201,0),MATCH(O$7,'Emission factors'!$K$2:$V$2,0)))*$I21)</f>
        <v/>
      </c>
      <c r="P21" s="157" t="str" cm="1">
        <f t="array" ref="P21">IF(OR($C21="",$G21=""),"",(INDEX('Emission factors'!$K$3:$V$201,MATCH($B21&amp;$C21&amp;$D21,'Emission factors'!$J$3:$J$201&amp;'Emission factors'!$K$3:$K$201&amp;'Emission factors'!$L$3:$L$201,0),MATCH(P$7,'Emission factors'!$K$2:$V$2,0)))*$I21)</f>
        <v/>
      </c>
      <c r="Q21" s="157" t="str" cm="1">
        <f t="array" ref="Q21">IF(OR($C21="",$G21=""),"",(INDEX('Emission factors'!$K$3:$V$201,MATCH($B21&amp;$C21&amp;$D21,'Emission factors'!$J$3:$J$201&amp;'Emission factors'!$K$3:$K$201&amp;'Emission factors'!$L$3:$L$201,0),MATCH(Q$7,'Emission factors'!$K$2:$V$2,0)))*$I21)</f>
        <v/>
      </c>
      <c r="R21" s="157" t="str" cm="1">
        <f t="array" ref="R21">IF(OR($C21="",$G21=""),"",(INDEX('Emission factors'!$K$3:$V$201,MATCH($B21&amp;$C21&amp;$D21,'Emission factors'!$J$3:$J$201&amp;'Emission factors'!$K$3:$K$201&amp;'Emission factors'!$L$3:$L$201,0),MATCH(R$7,'Emission factors'!$K$2:$V$2,0)))*$I21)</f>
        <v/>
      </c>
      <c r="S21" s="157" t="str" cm="1">
        <f t="array" ref="S21">IF(OR($C21="",$G21=""),"",(INDEX('Emission factors'!$K$3:$V$201,MATCH($B21&amp;$C21&amp;$D21,'Emission factors'!$J$3:$J$201&amp;'Emission factors'!$K$3:$K$201&amp;'Emission factors'!$L$3:$L$201,0),MATCH(S$7,'Emission factors'!$K$2:$V$2,0)))*$I21)</f>
        <v/>
      </c>
      <c r="T21" s="158" t="str">
        <f t="shared" si="1"/>
        <v/>
      </c>
      <c r="U21" s="163" t="str">
        <f t="shared" si="0"/>
        <v/>
      </c>
      <c r="V21" s="158" t="str" cm="1">
        <f t="array" ref="V21">IF(OR($C21="",$G21=""),"",(INDEX('Emission factors'!$K$3:$V$201,MATCH($B21&amp;$C21&amp;$D21,'Emission factors'!$J$3:$J$201&amp;'Emission factors'!$K$3:$K$201&amp;'Emission factors'!$L$3:$L$201,0),MATCH(V$7,'Emission factors'!$K$2:$V$2,0)))*$I21)</f>
        <v/>
      </c>
      <c r="X21" s="1" cm="1">
        <f t="array" ref="X21">IF(OR(ISERROR(B21:V21)),1,0)</f>
        <v>0</v>
      </c>
      <c r="Y21" s="1">
        <f t="shared" si="2"/>
        <v>0</v>
      </c>
    </row>
    <row r="22" spans="1:25" ht="15" thickBot="1" x14ac:dyDescent="0.4">
      <c r="A22" s="18"/>
      <c r="B22" s="100"/>
      <c r="C22" s="101"/>
      <c r="D22" s="101"/>
      <c r="E22" s="101"/>
      <c r="F22" s="337" t="str">
        <f>IF(E22="","",INDEX(Lists!$BA$4:$BC$31,MATCH('Business travel, commute, home'!$B22,Lists!$AZ$4:$AZ$31,0),MATCH('Business travel, commute, home'!E22,Lists!$BA$3:$BC$3,0)))</f>
        <v/>
      </c>
      <c r="G22" s="117"/>
      <c r="H22" s="100"/>
      <c r="I22" s="275" t="str" cm="1">
        <f t="array" ref="I22">IF(OR($B22="",$C22="",$D22="",H22=""),"",IF(H22=J22,G22,(INDEX('Emission factors'!$K$3:$V$276,MATCH($B22&amp;$C22&amp;$D22,'Emission factors'!$J$3:$J$276&amp;'Emission factors'!$K$3:$K$276&amp;'Emission factors'!$L$3:$L$276,0),MATCH('Business travel, commute, home'!I$7,'Emission factors'!$K$2:$V$2,0)))*G22))</f>
        <v/>
      </c>
      <c r="J22" s="332" t="str" cm="1">
        <f t="array" ref="J22">IF(OR($B22="",$C22="",$G22=""),"",INDEX('Emission factors'!$K$3:$V$276,MATCH($B22&amp;$C22&amp;$D22,'Emission factors'!$J$3:$J$276&amp;'Emission factors'!$K$3:$K$276&amp;'Emission factors'!$L$3:$L$276,0),MATCH('Business travel, commute, home'!J$7,'Emission factors'!$K$2:$V$2,0)))</f>
        <v/>
      </c>
      <c r="K22" s="332" t="str" cm="1">
        <f t="array" ref="K22">IF(OR(B22="",C22="",D22=""),"",INDEX('Emission factors'!$K$3:$V$276,MATCH($B22&amp;$C22&amp;$D22,'Emission factors'!$J$3:$J$276&amp;'Emission factors'!$K$3:$K$276&amp;'Emission factors'!$L$3:$L$276,0),MATCH('Business travel, commute, home'!K$7,'Emission factors'!$K$2:$V$2,0)))</f>
        <v/>
      </c>
      <c r="L22" s="333" t="str">
        <f>IF(OR(I22="",K22=""),"",SUM(BusinessTable[[#This Row],[Direct]:[Indirect WTT]]))</f>
        <v/>
      </c>
      <c r="M22" s="103"/>
      <c r="N22" s="101"/>
      <c r="O22" s="157" t="str" cm="1">
        <f t="array" ref="O22">IF(OR($C22="",$G22=""),"",(INDEX('Emission factors'!$K$3:$V$201,MATCH($B22&amp;$C22&amp;$D22,'Emission factors'!$J$3:$J$201&amp;'Emission factors'!$K$3:$K$201&amp;'Emission factors'!$L$3:$L$201,0),MATCH(O$7,'Emission factors'!$K$2:$V$2,0)))*$I22)</f>
        <v/>
      </c>
      <c r="P22" s="157" t="str" cm="1">
        <f t="array" ref="P22">IF(OR($C22="",$G22=""),"",(INDEX('Emission factors'!$K$3:$V$201,MATCH($B22&amp;$C22&amp;$D22,'Emission factors'!$J$3:$J$201&amp;'Emission factors'!$K$3:$K$201&amp;'Emission factors'!$L$3:$L$201,0),MATCH(P$7,'Emission factors'!$K$2:$V$2,0)))*$I22)</f>
        <v/>
      </c>
      <c r="Q22" s="157" t="str" cm="1">
        <f t="array" ref="Q22">IF(OR($C22="",$G22=""),"",(INDEX('Emission factors'!$K$3:$V$201,MATCH($B22&amp;$C22&amp;$D22,'Emission factors'!$J$3:$J$201&amp;'Emission factors'!$K$3:$K$201&amp;'Emission factors'!$L$3:$L$201,0),MATCH(Q$7,'Emission factors'!$K$2:$V$2,0)))*$I22)</f>
        <v/>
      </c>
      <c r="R22" s="157" t="str" cm="1">
        <f t="array" ref="R22">IF(OR($C22="",$G22=""),"",(INDEX('Emission factors'!$K$3:$V$201,MATCH($B22&amp;$C22&amp;$D22,'Emission factors'!$J$3:$J$201&amp;'Emission factors'!$K$3:$K$201&amp;'Emission factors'!$L$3:$L$201,0),MATCH(R$7,'Emission factors'!$K$2:$V$2,0)))*$I22)</f>
        <v/>
      </c>
      <c r="S22" s="157" t="str" cm="1">
        <f t="array" ref="S22">IF(OR($C22="",$G22=""),"",(INDEX('Emission factors'!$K$3:$V$201,MATCH($B22&amp;$C22&amp;$D22,'Emission factors'!$J$3:$J$201&amp;'Emission factors'!$K$3:$K$201&amp;'Emission factors'!$L$3:$L$201,0),MATCH(S$7,'Emission factors'!$K$2:$V$2,0)))*$I22)</f>
        <v/>
      </c>
      <c r="T22" s="158" t="str">
        <f t="shared" ref="T22:T26" si="5">IF(OR($L22="",$F22=""),"",$L22*(1+$F22))</f>
        <v/>
      </c>
      <c r="U22" s="163" t="str">
        <f t="shared" ref="U22:U26" si="6">IF(OR($L22="",$F22=""),"",$L22*(1-$F22))</f>
        <v/>
      </c>
      <c r="V22" s="158" t="str" cm="1">
        <f t="array" ref="V22">IF(OR($C22="",$G22=""),"",(INDEX('Emission factors'!$K$3:$V$201,MATCH($B22&amp;$C22&amp;$D22,'Emission factors'!$J$3:$J$201&amp;'Emission factors'!$K$3:$K$201&amp;'Emission factors'!$L$3:$L$201,0),MATCH(V$7,'Emission factors'!$K$2:$V$2,0)))*$I22)</f>
        <v/>
      </c>
      <c r="X22" s="1" cm="1">
        <f t="array" ref="X22">IF(OR(ISERROR(B22:V22)),1,0)</f>
        <v>0</v>
      </c>
      <c r="Y22" s="1">
        <f t="shared" si="2"/>
        <v>0</v>
      </c>
    </row>
    <row r="23" spans="1:25" ht="15" thickBot="1" x14ac:dyDescent="0.4">
      <c r="A23" s="18"/>
      <c r="B23" s="100"/>
      <c r="C23" s="101"/>
      <c r="D23" s="101"/>
      <c r="E23" s="101"/>
      <c r="F23" s="337" t="str">
        <f>IF(E23="","",INDEX(Lists!$BA$4:$BC$31,MATCH('Business travel, commute, home'!$B23,Lists!$AZ$4:$AZ$31,0),MATCH('Business travel, commute, home'!E23,Lists!$BA$3:$BC$3,0)))</f>
        <v/>
      </c>
      <c r="G23" s="117"/>
      <c r="H23" s="100"/>
      <c r="I23" s="275" t="str" cm="1">
        <f t="array" ref="I23">IF(OR($B23="",$C23="",$D23="",H23=""),"",IF(H23=J23,G23,(INDEX('Emission factors'!$K$3:$V$276,MATCH($B23&amp;$C23&amp;$D23,'Emission factors'!$J$3:$J$276&amp;'Emission factors'!$K$3:$K$276&amp;'Emission factors'!$L$3:$L$276,0),MATCH('Business travel, commute, home'!I$7,'Emission factors'!$K$2:$V$2,0)))*G23))</f>
        <v/>
      </c>
      <c r="J23" s="332" t="str" cm="1">
        <f t="array" ref="J23">IF(OR($B23="",$C23="",$G23=""),"",INDEX('Emission factors'!$K$3:$V$276,MATCH($B23&amp;$C23&amp;$D23,'Emission factors'!$J$3:$J$276&amp;'Emission factors'!$K$3:$K$276&amp;'Emission factors'!$L$3:$L$276,0),MATCH('Business travel, commute, home'!J$7,'Emission factors'!$K$2:$V$2,0)))</f>
        <v/>
      </c>
      <c r="K23" s="332" t="str" cm="1">
        <f t="array" ref="K23">IF(OR(B23="",C23="",D23=""),"",INDEX('Emission factors'!$K$3:$V$276,MATCH($B23&amp;$C23&amp;$D23,'Emission factors'!$J$3:$J$276&amp;'Emission factors'!$K$3:$K$276&amp;'Emission factors'!$L$3:$L$276,0),MATCH('Business travel, commute, home'!K$7,'Emission factors'!$K$2:$V$2,0)))</f>
        <v/>
      </c>
      <c r="L23" s="333" t="str">
        <f>IF(OR(I23="",K23=""),"",SUM(BusinessTable[[#This Row],[Direct]:[Indirect WTT]]))</f>
        <v/>
      </c>
      <c r="M23" s="103"/>
      <c r="N23" s="101"/>
      <c r="O23" s="157" t="str" cm="1">
        <f t="array" ref="O23">IF(OR($C23="",$G23=""),"",(INDEX('Emission factors'!$K$3:$V$201,MATCH($B23&amp;$C23&amp;$D23,'Emission factors'!$J$3:$J$201&amp;'Emission factors'!$K$3:$K$201&amp;'Emission factors'!$L$3:$L$201,0),MATCH(O$7,'Emission factors'!$K$2:$V$2,0)))*$I23)</f>
        <v/>
      </c>
      <c r="P23" s="157" t="str" cm="1">
        <f t="array" ref="P23">IF(OR($C23="",$G23=""),"",(INDEX('Emission factors'!$K$3:$V$201,MATCH($B23&amp;$C23&amp;$D23,'Emission factors'!$J$3:$J$201&amp;'Emission factors'!$K$3:$K$201&amp;'Emission factors'!$L$3:$L$201,0),MATCH(P$7,'Emission factors'!$K$2:$V$2,0)))*$I23)</f>
        <v/>
      </c>
      <c r="Q23" s="157" t="str" cm="1">
        <f t="array" ref="Q23">IF(OR($C23="",$G23=""),"",(INDEX('Emission factors'!$K$3:$V$201,MATCH($B23&amp;$C23&amp;$D23,'Emission factors'!$J$3:$J$201&amp;'Emission factors'!$K$3:$K$201&amp;'Emission factors'!$L$3:$L$201,0),MATCH(Q$7,'Emission factors'!$K$2:$V$2,0)))*$I23)</f>
        <v/>
      </c>
      <c r="R23" s="157" t="str" cm="1">
        <f t="array" ref="R23">IF(OR($C23="",$G23=""),"",(INDEX('Emission factors'!$K$3:$V$201,MATCH($B23&amp;$C23&amp;$D23,'Emission factors'!$J$3:$J$201&amp;'Emission factors'!$K$3:$K$201&amp;'Emission factors'!$L$3:$L$201,0),MATCH(R$7,'Emission factors'!$K$2:$V$2,0)))*$I23)</f>
        <v/>
      </c>
      <c r="S23" s="157" t="str" cm="1">
        <f t="array" ref="S23">IF(OR($C23="",$G23=""),"",(INDEX('Emission factors'!$K$3:$V$201,MATCH($B23&amp;$C23&amp;$D23,'Emission factors'!$J$3:$J$201&amp;'Emission factors'!$K$3:$K$201&amp;'Emission factors'!$L$3:$L$201,0),MATCH(S$7,'Emission factors'!$K$2:$V$2,0)))*$I23)</f>
        <v/>
      </c>
      <c r="T23" s="158" t="str">
        <f t="shared" si="5"/>
        <v/>
      </c>
      <c r="U23" s="163" t="str">
        <f t="shared" si="6"/>
        <v/>
      </c>
      <c r="V23" s="158" t="str" cm="1">
        <f t="array" ref="V23">IF(OR($C23="",$G23=""),"",(INDEX('Emission factors'!$K$3:$V$201,MATCH($B23&amp;$C23&amp;$D23,'Emission factors'!$J$3:$J$201&amp;'Emission factors'!$K$3:$K$201&amp;'Emission factors'!$L$3:$L$201,0),MATCH(V$7,'Emission factors'!$K$2:$V$2,0)))*$I23)</f>
        <v/>
      </c>
      <c r="X23" s="1" cm="1">
        <f t="array" ref="X23">IF(OR(ISERROR(B23:V23)),1,0)</f>
        <v>0</v>
      </c>
      <c r="Y23" s="1">
        <f t="shared" si="2"/>
        <v>0</v>
      </c>
    </row>
    <row r="24" spans="1:25" ht="15" thickBot="1" x14ac:dyDescent="0.4">
      <c r="A24" s="18"/>
      <c r="B24" s="100"/>
      <c r="C24" s="101"/>
      <c r="D24" s="101"/>
      <c r="E24" s="101"/>
      <c r="F24" s="337" t="str">
        <f>IF(E24="","",INDEX(Lists!$BA$4:$BC$31,MATCH('Business travel, commute, home'!$B24,Lists!$AZ$4:$AZ$31,0),MATCH('Business travel, commute, home'!E24,Lists!$BA$3:$BC$3,0)))</f>
        <v/>
      </c>
      <c r="G24" s="117"/>
      <c r="H24" s="100"/>
      <c r="I24" s="275" t="str" cm="1">
        <f t="array" ref="I24">IF(OR($B24="",$C24="",$D24="",H24=""),"",IF(H24=J24,G24,(INDEX('Emission factors'!$K$3:$V$276,MATCH($B24&amp;$C24&amp;$D24,'Emission factors'!$J$3:$J$276&amp;'Emission factors'!$K$3:$K$276&amp;'Emission factors'!$L$3:$L$276,0),MATCH('Business travel, commute, home'!I$7,'Emission factors'!$K$2:$V$2,0)))*G24))</f>
        <v/>
      </c>
      <c r="J24" s="332" t="str" cm="1">
        <f t="array" ref="J24">IF(OR($B24="",$C24="",$G24=""),"",INDEX('Emission factors'!$K$3:$V$276,MATCH($B24&amp;$C24&amp;$D24,'Emission factors'!$J$3:$J$276&amp;'Emission factors'!$K$3:$K$276&amp;'Emission factors'!$L$3:$L$276,0),MATCH('Business travel, commute, home'!J$7,'Emission factors'!$K$2:$V$2,0)))</f>
        <v/>
      </c>
      <c r="K24" s="332" t="str" cm="1">
        <f t="array" ref="K24">IF(OR(B24="",C24="",D24=""),"",INDEX('Emission factors'!$K$3:$V$276,MATCH($B24&amp;$C24&amp;$D24,'Emission factors'!$J$3:$J$276&amp;'Emission factors'!$K$3:$K$276&amp;'Emission factors'!$L$3:$L$276,0),MATCH('Business travel, commute, home'!K$7,'Emission factors'!$K$2:$V$2,0)))</f>
        <v/>
      </c>
      <c r="L24" s="333" t="str">
        <f>IF(OR(I24="",K24=""),"",SUM(BusinessTable[[#This Row],[Direct]:[Indirect WTT]]))</f>
        <v/>
      </c>
      <c r="M24" s="103"/>
      <c r="N24" s="101"/>
      <c r="O24" s="157" t="str" cm="1">
        <f t="array" ref="O24">IF(OR($C24="",$G24=""),"",(INDEX('Emission factors'!$K$3:$V$201,MATCH($B24&amp;$C24&amp;$D24,'Emission factors'!$J$3:$J$201&amp;'Emission factors'!$K$3:$K$201&amp;'Emission factors'!$L$3:$L$201,0),MATCH(O$7,'Emission factors'!$K$2:$V$2,0)))*$I24)</f>
        <v/>
      </c>
      <c r="P24" s="157" t="str" cm="1">
        <f t="array" ref="P24">IF(OR($C24="",$G24=""),"",(INDEX('Emission factors'!$K$3:$V$201,MATCH($B24&amp;$C24&amp;$D24,'Emission factors'!$J$3:$J$201&amp;'Emission factors'!$K$3:$K$201&amp;'Emission factors'!$L$3:$L$201,0),MATCH(P$7,'Emission factors'!$K$2:$V$2,0)))*$I24)</f>
        <v/>
      </c>
      <c r="Q24" s="157" t="str" cm="1">
        <f t="array" ref="Q24">IF(OR($C24="",$G24=""),"",(INDEX('Emission factors'!$K$3:$V$201,MATCH($B24&amp;$C24&amp;$D24,'Emission factors'!$J$3:$J$201&amp;'Emission factors'!$K$3:$K$201&amp;'Emission factors'!$L$3:$L$201,0),MATCH(Q$7,'Emission factors'!$K$2:$V$2,0)))*$I24)</f>
        <v/>
      </c>
      <c r="R24" s="157" t="str" cm="1">
        <f t="array" ref="R24">IF(OR($C24="",$G24=""),"",(INDEX('Emission factors'!$K$3:$V$201,MATCH($B24&amp;$C24&amp;$D24,'Emission factors'!$J$3:$J$201&amp;'Emission factors'!$K$3:$K$201&amp;'Emission factors'!$L$3:$L$201,0),MATCH(R$7,'Emission factors'!$K$2:$V$2,0)))*$I24)</f>
        <v/>
      </c>
      <c r="S24" s="157" t="str" cm="1">
        <f t="array" ref="S24">IF(OR($C24="",$G24=""),"",(INDEX('Emission factors'!$K$3:$V$201,MATCH($B24&amp;$C24&amp;$D24,'Emission factors'!$J$3:$J$201&amp;'Emission factors'!$K$3:$K$201&amp;'Emission factors'!$L$3:$L$201,0),MATCH(S$7,'Emission factors'!$K$2:$V$2,0)))*$I24)</f>
        <v/>
      </c>
      <c r="T24" s="158" t="str">
        <f t="shared" si="5"/>
        <v/>
      </c>
      <c r="U24" s="163" t="str">
        <f t="shared" si="6"/>
        <v/>
      </c>
      <c r="V24" s="158" t="str" cm="1">
        <f t="array" ref="V24">IF(OR($C24="",$G24=""),"",(INDEX('Emission factors'!$K$3:$V$201,MATCH($B24&amp;$C24&amp;$D24,'Emission factors'!$J$3:$J$201&amp;'Emission factors'!$K$3:$K$201&amp;'Emission factors'!$L$3:$L$201,0),MATCH(V$7,'Emission factors'!$K$2:$V$2,0)))*$I24)</f>
        <v/>
      </c>
      <c r="X24" s="1" cm="1">
        <f t="array" ref="X24">IF(OR(ISERROR(B24:V24)),1,0)</f>
        <v>0</v>
      </c>
      <c r="Y24" s="1">
        <f t="shared" si="2"/>
        <v>0</v>
      </c>
    </row>
    <row r="25" spans="1:25" ht="15" thickBot="1" x14ac:dyDescent="0.4">
      <c r="A25" s="18"/>
      <c r="B25" s="100"/>
      <c r="C25" s="101"/>
      <c r="D25" s="101"/>
      <c r="E25" s="101"/>
      <c r="F25" s="337" t="str">
        <f>IF(E25="","",INDEX(Lists!$BA$4:$BC$31,MATCH('Business travel, commute, home'!$B25,Lists!$AZ$4:$AZ$31,0),MATCH('Business travel, commute, home'!E25,Lists!$BA$3:$BC$3,0)))</f>
        <v/>
      </c>
      <c r="G25" s="117"/>
      <c r="H25" s="100"/>
      <c r="I25" s="275" t="str" cm="1">
        <f t="array" ref="I25">IF(OR($B25="",$C25="",$D25="",H25=""),"",IF(H25=J25,G25,(INDEX('Emission factors'!$K$3:$V$276,MATCH($B25&amp;$C25&amp;$D25,'Emission factors'!$J$3:$J$276&amp;'Emission factors'!$K$3:$K$276&amp;'Emission factors'!$L$3:$L$276,0),MATCH('Business travel, commute, home'!I$7,'Emission factors'!$K$2:$V$2,0)))*G25))</f>
        <v/>
      </c>
      <c r="J25" s="332" t="str" cm="1">
        <f t="array" ref="J25">IF(OR($B25="",$C25="",$G25=""),"",INDEX('Emission factors'!$K$3:$V$276,MATCH($B25&amp;$C25&amp;$D25,'Emission factors'!$J$3:$J$276&amp;'Emission factors'!$K$3:$K$276&amp;'Emission factors'!$L$3:$L$276,0),MATCH('Business travel, commute, home'!J$7,'Emission factors'!$K$2:$V$2,0)))</f>
        <v/>
      </c>
      <c r="K25" s="332" t="str" cm="1">
        <f t="array" ref="K25">IF(OR(B25="",C25="",D25=""),"",INDEX('Emission factors'!$K$3:$V$276,MATCH($B25&amp;$C25&amp;$D25,'Emission factors'!$J$3:$J$276&amp;'Emission factors'!$K$3:$K$276&amp;'Emission factors'!$L$3:$L$276,0),MATCH('Business travel, commute, home'!K$7,'Emission factors'!$K$2:$V$2,0)))</f>
        <v/>
      </c>
      <c r="L25" s="333" t="str">
        <f>IF(OR(I25="",K25=""),"",SUM(BusinessTable[[#This Row],[Direct]:[Indirect WTT]]))</f>
        <v/>
      </c>
      <c r="M25" s="103"/>
      <c r="N25" s="101"/>
      <c r="O25" s="157" t="str" cm="1">
        <f t="array" ref="O25">IF(OR($C25="",$G25=""),"",(INDEX('Emission factors'!$K$3:$V$201,MATCH($B25&amp;$C25&amp;$D25,'Emission factors'!$J$3:$J$201&amp;'Emission factors'!$K$3:$K$201&amp;'Emission factors'!$L$3:$L$201,0),MATCH(O$7,'Emission factors'!$K$2:$V$2,0)))*$I25)</f>
        <v/>
      </c>
      <c r="P25" s="157" t="str" cm="1">
        <f t="array" ref="P25">IF(OR($C25="",$G25=""),"",(INDEX('Emission factors'!$K$3:$V$201,MATCH($B25&amp;$C25&amp;$D25,'Emission factors'!$J$3:$J$201&amp;'Emission factors'!$K$3:$K$201&amp;'Emission factors'!$L$3:$L$201,0),MATCH(P$7,'Emission factors'!$K$2:$V$2,0)))*$I25)</f>
        <v/>
      </c>
      <c r="Q25" s="157" t="str" cm="1">
        <f t="array" ref="Q25">IF(OR($C25="",$G25=""),"",(INDEX('Emission factors'!$K$3:$V$201,MATCH($B25&amp;$C25&amp;$D25,'Emission factors'!$J$3:$J$201&amp;'Emission factors'!$K$3:$K$201&amp;'Emission factors'!$L$3:$L$201,0),MATCH(Q$7,'Emission factors'!$K$2:$V$2,0)))*$I25)</f>
        <v/>
      </c>
      <c r="R25" s="157" t="str" cm="1">
        <f t="array" ref="R25">IF(OR($C25="",$G25=""),"",(INDEX('Emission factors'!$K$3:$V$201,MATCH($B25&amp;$C25&amp;$D25,'Emission factors'!$J$3:$J$201&amp;'Emission factors'!$K$3:$K$201&amp;'Emission factors'!$L$3:$L$201,0),MATCH(R$7,'Emission factors'!$K$2:$V$2,0)))*$I25)</f>
        <v/>
      </c>
      <c r="S25" s="157" t="str" cm="1">
        <f t="array" ref="S25">IF(OR($C25="",$G25=""),"",(INDEX('Emission factors'!$K$3:$V$201,MATCH($B25&amp;$C25&amp;$D25,'Emission factors'!$J$3:$J$201&amp;'Emission factors'!$K$3:$K$201&amp;'Emission factors'!$L$3:$L$201,0),MATCH(S$7,'Emission factors'!$K$2:$V$2,0)))*$I25)</f>
        <v/>
      </c>
      <c r="T25" s="158" t="str">
        <f t="shared" si="5"/>
        <v/>
      </c>
      <c r="U25" s="163" t="str">
        <f t="shared" si="6"/>
        <v/>
      </c>
      <c r="V25" s="158" t="str" cm="1">
        <f t="array" ref="V25">IF(OR($C25="",$G25=""),"",(INDEX('Emission factors'!$K$3:$V$201,MATCH($B25&amp;$C25&amp;$D25,'Emission factors'!$J$3:$J$201&amp;'Emission factors'!$K$3:$K$201&amp;'Emission factors'!$L$3:$L$201,0),MATCH(V$7,'Emission factors'!$K$2:$V$2,0)))*$I25)</f>
        <v/>
      </c>
      <c r="X25" s="1" cm="1">
        <f t="array" ref="X25">IF(OR(ISERROR(B25:V25)),1,0)</f>
        <v>0</v>
      </c>
      <c r="Y25" s="1">
        <f t="shared" si="2"/>
        <v>0</v>
      </c>
    </row>
    <row r="26" spans="1:25" ht="15" thickBot="1" x14ac:dyDescent="0.4">
      <c r="A26" s="18"/>
      <c r="B26" s="100"/>
      <c r="C26" s="101"/>
      <c r="D26" s="101"/>
      <c r="E26" s="101"/>
      <c r="F26" s="337" t="str">
        <f>IF(E26="","",INDEX(Lists!$BA$4:$BC$31,MATCH('Business travel, commute, home'!$B26,Lists!$AZ$4:$AZ$31,0),MATCH('Business travel, commute, home'!E26,Lists!$BA$3:$BC$3,0)))</f>
        <v/>
      </c>
      <c r="G26" s="117"/>
      <c r="H26" s="100"/>
      <c r="I26" s="275" t="str" cm="1">
        <f t="array" ref="I26">IF(OR($B26="",$C26="",$D26="",H26=""),"",IF(H26=J26,G26,(INDEX('Emission factors'!$K$3:$V$276,MATCH($B26&amp;$C26&amp;$D26,'Emission factors'!$J$3:$J$276&amp;'Emission factors'!$K$3:$K$276&amp;'Emission factors'!$L$3:$L$276,0),MATCH('Business travel, commute, home'!I$7,'Emission factors'!$K$2:$V$2,0)))*G26))</f>
        <v/>
      </c>
      <c r="J26" s="332" t="str" cm="1">
        <f t="array" ref="J26">IF(OR($B26="",$C26="",$G26=""),"",INDEX('Emission factors'!$K$3:$V$276,MATCH($B26&amp;$C26&amp;$D26,'Emission factors'!$J$3:$J$276&amp;'Emission factors'!$K$3:$K$276&amp;'Emission factors'!$L$3:$L$276,0),MATCH('Business travel, commute, home'!J$7,'Emission factors'!$K$2:$V$2,0)))</f>
        <v/>
      </c>
      <c r="K26" s="332" t="str" cm="1">
        <f t="array" ref="K26">IF(OR(B26="",C26="",D26=""),"",INDEX('Emission factors'!$K$3:$V$276,MATCH($B26&amp;$C26&amp;$D26,'Emission factors'!$J$3:$J$276&amp;'Emission factors'!$K$3:$K$276&amp;'Emission factors'!$L$3:$L$276,0),MATCH('Business travel, commute, home'!K$7,'Emission factors'!$K$2:$V$2,0)))</f>
        <v/>
      </c>
      <c r="L26" s="333" t="str">
        <f>IF(OR(I26="",K26=""),"",SUM(BusinessTable[[#This Row],[Direct]:[Indirect WTT]]))</f>
        <v/>
      </c>
      <c r="M26" s="103"/>
      <c r="N26" s="101"/>
      <c r="O26" s="157" t="str" cm="1">
        <f t="array" ref="O26">IF(OR($C26="",$G26=""),"",(INDEX('Emission factors'!$K$3:$V$201,MATCH($B26&amp;$C26&amp;$D26,'Emission factors'!$J$3:$J$201&amp;'Emission factors'!$K$3:$K$201&amp;'Emission factors'!$L$3:$L$201,0),MATCH(O$7,'Emission factors'!$K$2:$V$2,0)))*$I26)</f>
        <v/>
      </c>
      <c r="P26" s="157" t="str" cm="1">
        <f t="array" ref="P26">IF(OR($C26="",$G26=""),"",(INDEX('Emission factors'!$K$3:$V$201,MATCH($B26&amp;$C26&amp;$D26,'Emission factors'!$J$3:$J$201&amp;'Emission factors'!$K$3:$K$201&amp;'Emission factors'!$L$3:$L$201,0),MATCH(P$7,'Emission factors'!$K$2:$V$2,0)))*$I26)</f>
        <v/>
      </c>
      <c r="Q26" s="157" t="str" cm="1">
        <f t="array" ref="Q26">IF(OR($C26="",$G26=""),"",(INDEX('Emission factors'!$K$3:$V$201,MATCH($B26&amp;$C26&amp;$D26,'Emission factors'!$J$3:$J$201&amp;'Emission factors'!$K$3:$K$201&amp;'Emission factors'!$L$3:$L$201,0),MATCH(Q$7,'Emission factors'!$K$2:$V$2,0)))*$I26)</f>
        <v/>
      </c>
      <c r="R26" s="157" t="str" cm="1">
        <f t="array" ref="R26">IF(OR($C26="",$G26=""),"",(INDEX('Emission factors'!$K$3:$V$201,MATCH($B26&amp;$C26&amp;$D26,'Emission factors'!$J$3:$J$201&amp;'Emission factors'!$K$3:$K$201&amp;'Emission factors'!$L$3:$L$201,0),MATCH(R$7,'Emission factors'!$K$2:$V$2,0)))*$I26)</f>
        <v/>
      </c>
      <c r="S26" s="157" t="str" cm="1">
        <f t="array" ref="S26">IF(OR($C26="",$G26=""),"",(INDEX('Emission factors'!$K$3:$V$201,MATCH($B26&amp;$C26&amp;$D26,'Emission factors'!$J$3:$J$201&amp;'Emission factors'!$K$3:$K$201&amp;'Emission factors'!$L$3:$L$201,0),MATCH(S$7,'Emission factors'!$K$2:$V$2,0)))*$I26)</f>
        <v/>
      </c>
      <c r="T26" s="158" t="str">
        <f t="shared" si="5"/>
        <v/>
      </c>
      <c r="U26" s="163" t="str">
        <f t="shared" si="6"/>
        <v/>
      </c>
      <c r="V26" s="158" t="str" cm="1">
        <f t="array" ref="V26">IF(OR($C26="",$G26=""),"",(INDEX('Emission factors'!$K$3:$V$201,MATCH($B26&amp;$C26&amp;$D26,'Emission factors'!$J$3:$J$201&amp;'Emission factors'!$K$3:$K$201&amp;'Emission factors'!$L$3:$L$201,0),MATCH(V$7,'Emission factors'!$K$2:$V$2,0)))*$I26)</f>
        <v/>
      </c>
      <c r="X26" s="1" cm="1">
        <f t="array" ref="X26">IF(OR(ISERROR(B26:V26)),1,0)</f>
        <v>0</v>
      </c>
      <c r="Y26" s="1">
        <f t="shared" si="2"/>
        <v>0</v>
      </c>
    </row>
    <row r="27" spans="1:25" ht="15" thickBot="1" x14ac:dyDescent="0.4">
      <c r="A27" s="18"/>
      <c r="B27" s="100"/>
      <c r="C27" s="101"/>
      <c r="D27" s="101"/>
      <c r="E27" s="101"/>
      <c r="F27" s="331" t="str">
        <f>IF(E27="","",INDEX(Lists!$BA$4:$BC$31,MATCH('Business travel, commute, home'!$B27,Lists!$AZ$4:$AZ$31,0),MATCH('Business travel, commute, home'!E27,Lists!$BA$3:$BC$3,0)))</f>
        <v/>
      </c>
      <c r="G27" s="70"/>
      <c r="H27" s="101"/>
      <c r="I27" s="275" t="str" cm="1">
        <f t="array" ref="I27">IF(OR($B27="",$C27="",$D27="",H27=""),"",IF(H27=J27,G27,(INDEX('Emission factors'!$K$3:$V$276,MATCH($B27&amp;$C27&amp;$D27,'Emission factors'!$J$3:$J$276&amp;'Emission factors'!$K$3:$K$276&amp;'Emission factors'!$L$3:$L$276,0),MATCH('Business travel, commute, home'!I$7,'Emission factors'!$K$2:$V$2,0)))*G27))</f>
        <v/>
      </c>
      <c r="J27" s="332" t="str">
        <f t="array" ref="J27">IF(OR($B27="",$C27="",$G27=""),"",INDEX('Emission factors'!$K$3:$V$276,MATCH($B27&amp;$C27&amp;$D27,'Emission factors'!$J$3:$J$276&amp;'Emission factors'!$K$3:$K$276&amp;'Emission factors'!$L$3:$L$276,0),MATCH('Business travel, commute, home'!J$7,'Emission factors'!$K$2:$V$2,0)))</f>
        <v/>
      </c>
      <c r="K27" s="332" t="str">
        <f t="array" ref="K27">IF(OR(B27="",C27="",D27=""),"",INDEX('Emission factors'!$K$3:$V$276,MATCH($B27&amp;$C27&amp;$D27,'Emission factors'!$J$3:$J$276&amp;'Emission factors'!$K$3:$K$276&amp;'Emission factors'!$L$3:$L$276,0),MATCH('Business travel, commute, home'!K$7,'Emission factors'!$K$2:$V$2,0)))</f>
        <v/>
      </c>
      <c r="L27" s="333" t="str">
        <f>IF(OR(I27="",K27=""),"",SUM(BusinessTable[[#This Row],[Direct]:[Indirect WTT]]))</f>
        <v/>
      </c>
      <c r="M27" s="103"/>
      <c r="N27" s="101"/>
      <c r="O27" s="157" t="str" cm="1">
        <f t="array" ref="O27">IF(OR($C27="",$G27=""),"",(INDEX('Emission factors'!$K$3:$V$201,MATCH($B27&amp;$C27&amp;$D27,'Emission factors'!$J$3:$J$201&amp;'Emission factors'!$K$3:$K$201&amp;'Emission factors'!$L$3:$L$201,0),MATCH(O$7,'Emission factors'!$K$2:$V$2,0)))*$I27)</f>
        <v/>
      </c>
      <c r="P27" s="157" t="str" cm="1">
        <f t="array" ref="P27">IF(OR($C27="",$G27=""),"",(INDEX('Emission factors'!$K$3:$V$201,MATCH($B27&amp;$C27&amp;$D27,'Emission factors'!$J$3:$J$201&amp;'Emission factors'!$K$3:$K$201&amp;'Emission factors'!$L$3:$L$201,0),MATCH(P$7,'Emission factors'!$K$2:$V$2,0)))*$I27)</f>
        <v/>
      </c>
      <c r="Q27" s="157" t="str" cm="1">
        <f t="array" ref="Q27">IF(OR($C27="",$G27=""),"",(INDEX('Emission factors'!$K$3:$V$201,MATCH($B27&amp;$C27&amp;$D27,'Emission factors'!$J$3:$J$201&amp;'Emission factors'!$K$3:$K$201&amp;'Emission factors'!$L$3:$L$201,0),MATCH(Q$7,'Emission factors'!$K$2:$V$2,0)))*$I27)</f>
        <v/>
      </c>
      <c r="R27" s="157" t="str" cm="1">
        <f t="array" ref="R27">IF(OR($C27="",$G27=""),"",(INDEX('Emission factors'!$K$3:$V$201,MATCH($B27&amp;$C27&amp;$D27,'Emission factors'!$J$3:$J$201&amp;'Emission factors'!$K$3:$K$201&amp;'Emission factors'!$L$3:$L$201,0),MATCH(R$7,'Emission factors'!$K$2:$V$2,0)))*$I27)</f>
        <v/>
      </c>
      <c r="S27" s="157" t="str" cm="1">
        <f t="array" ref="S27">IF(OR($C27="",$G27=""),"",(INDEX('Emission factors'!$K$3:$V$201,MATCH($B27&amp;$C27&amp;$D27,'Emission factors'!$J$3:$J$201&amp;'Emission factors'!$K$3:$K$201&amp;'Emission factors'!$L$3:$L$201,0),MATCH(S$7,'Emission factors'!$K$2:$V$2,0)))*$I27)</f>
        <v/>
      </c>
      <c r="T27" s="158" t="str">
        <f t="shared" si="1"/>
        <v/>
      </c>
      <c r="U27" s="163" t="str">
        <f t="shared" si="0"/>
        <v/>
      </c>
      <c r="V27" s="158" t="str" cm="1">
        <f t="array" ref="V27">IF(OR($C27="",$G27=""),"",(INDEX('Emission factors'!$K$3:$V$201,MATCH($B27&amp;$C27&amp;$D27,'Emission factors'!$J$3:$J$201&amp;'Emission factors'!$K$3:$K$201&amp;'Emission factors'!$L$3:$L$201,0),MATCH(V$7,'Emission factors'!$K$2:$V$2,0)))*$I27)</f>
        <v/>
      </c>
      <c r="X27" s="1" cm="1">
        <f t="array" ref="X27">IF(OR(ISERROR(B27:V27)),1,0)</f>
        <v>0</v>
      </c>
      <c r="Y27" s="1">
        <f t="shared" si="2"/>
        <v>0</v>
      </c>
    </row>
    <row r="28" spans="1:25" ht="15" thickBot="1" x14ac:dyDescent="0.4">
      <c r="A28" s="18"/>
      <c r="B28" s="100"/>
      <c r="C28" s="101"/>
      <c r="D28" s="101"/>
      <c r="E28" s="101"/>
      <c r="F28" s="331" t="str">
        <f>IF(E28="","",INDEX(Lists!$BA$4:$BC$31,MATCH('Business travel, commute, home'!$B28,Lists!$AZ$4:$AZ$31,0),MATCH('Business travel, commute, home'!E28,Lists!$BA$3:$BC$3,0)))</f>
        <v/>
      </c>
      <c r="G28" s="70"/>
      <c r="H28" s="101"/>
      <c r="I28" s="275" t="str" cm="1">
        <f t="array" ref="I28">IF(OR($B28="",$C28="",$D28="",H28=""),"",IF(H28=J28,G28,(INDEX('Emission factors'!$K$3:$V$276,MATCH($B28&amp;$C28&amp;$D28,'Emission factors'!$J$3:$J$276&amp;'Emission factors'!$K$3:$K$276&amp;'Emission factors'!$L$3:$L$276,0),MATCH('Business travel, commute, home'!I$7,'Emission factors'!$K$2:$V$2,0)))*G28))</f>
        <v/>
      </c>
      <c r="J28" s="332" t="str">
        <f t="array" ref="J28">IF(OR($B28="",$C28="",$G28=""),"",INDEX('Emission factors'!$K$3:$V$276,MATCH($B28&amp;$C28&amp;$D28,'Emission factors'!$J$3:$J$276&amp;'Emission factors'!$K$3:$K$276&amp;'Emission factors'!$L$3:$L$276,0),MATCH('Business travel, commute, home'!J$7,'Emission factors'!$K$2:$V$2,0)))</f>
        <v/>
      </c>
      <c r="K28" s="332" t="str">
        <f t="array" ref="K28">IF(OR(B28="",C28="",D28=""),"",INDEX('Emission factors'!$K$3:$V$276,MATCH($B28&amp;$C28&amp;$D28,'Emission factors'!$J$3:$J$276&amp;'Emission factors'!$K$3:$K$276&amp;'Emission factors'!$L$3:$L$276,0),MATCH('Business travel, commute, home'!K$7,'Emission factors'!$K$2:$V$2,0)))</f>
        <v/>
      </c>
      <c r="L28" s="333" t="str">
        <f>IF(OR(I28="",K28=""),"",SUM(BusinessTable[[#This Row],[Direct]:[Indirect WTT]]))</f>
        <v/>
      </c>
      <c r="M28" s="103"/>
      <c r="N28" s="101"/>
      <c r="O28" s="157" t="str" cm="1">
        <f t="array" ref="O28">IF(OR($C28="",$G28=""),"",(INDEX('Emission factors'!$K$3:$V$201,MATCH($B28&amp;$C28&amp;$D28,'Emission factors'!$J$3:$J$201&amp;'Emission factors'!$K$3:$K$201&amp;'Emission factors'!$L$3:$L$201,0),MATCH(O$7,'Emission factors'!$K$2:$V$2,0)))*$I28)</f>
        <v/>
      </c>
      <c r="P28" s="157" t="str" cm="1">
        <f t="array" ref="P28">IF(OR($C28="",$G28=""),"",(INDEX('Emission factors'!$K$3:$V$201,MATCH($B28&amp;$C28&amp;$D28,'Emission factors'!$J$3:$J$201&amp;'Emission factors'!$K$3:$K$201&amp;'Emission factors'!$L$3:$L$201,0),MATCH(P$7,'Emission factors'!$K$2:$V$2,0)))*$I28)</f>
        <v/>
      </c>
      <c r="Q28" s="157" t="str" cm="1">
        <f t="array" ref="Q28">IF(OR($C28="",$G28=""),"",(INDEX('Emission factors'!$K$3:$V$201,MATCH($B28&amp;$C28&amp;$D28,'Emission factors'!$J$3:$J$201&amp;'Emission factors'!$K$3:$K$201&amp;'Emission factors'!$L$3:$L$201,0),MATCH(Q$7,'Emission factors'!$K$2:$V$2,0)))*$I28)</f>
        <v/>
      </c>
      <c r="R28" s="157" t="str" cm="1">
        <f t="array" ref="R28">IF(OR($C28="",$G28=""),"",(INDEX('Emission factors'!$K$3:$V$201,MATCH($B28&amp;$C28&amp;$D28,'Emission factors'!$J$3:$J$201&amp;'Emission factors'!$K$3:$K$201&amp;'Emission factors'!$L$3:$L$201,0),MATCH(R$7,'Emission factors'!$K$2:$V$2,0)))*$I28)</f>
        <v/>
      </c>
      <c r="S28" s="157" t="str" cm="1">
        <f t="array" ref="S28">IF(OR($C28="",$G28=""),"",(INDEX('Emission factors'!$K$3:$V$201,MATCH($B28&amp;$C28&amp;$D28,'Emission factors'!$J$3:$J$201&amp;'Emission factors'!$K$3:$K$201&amp;'Emission factors'!$L$3:$L$201,0),MATCH(S$7,'Emission factors'!$K$2:$V$2,0)))*$I28)</f>
        <v/>
      </c>
      <c r="T28" s="158" t="str">
        <f t="shared" si="1"/>
        <v/>
      </c>
      <c r="U28" s="163" t="str">
        <f t="shared" si="0"/>
        <v/>
      </c>
      <c r="V28" s="158" t="str" cm="1">
        <f t="array" ref="V28">IF(OR($C28="",$G28=""),"",(INDEX('Emission factors'!$K$3:$V$201,MATCH($B28&amp;$C28&amp;$D28,'Emission factors'!$J$3:$J$201&amp;'Emission factors'!$K$3:$K$201&amp;'Emission factors'!$L$3:$L$201,0),MATCH(V$7,'Emission factors'!$K$2:$V$2,0)))*$I28)</f>
        <v/>
      </c>
      <c r="X28" s="1" cm="1">
        <f t="array" ref="X28">IF(OR(ISERROR(B28:V28)),1,0)</f>
        <v>0</v>
      </c>
      <c r="Y28" s="1">
        <f t="shared" si="2"/>
        <v>0</v>
      </c>
    </row>
    <row r="29" spans="1:25" ht="15" thickBot="1" x14ac:dyDescent="0.4">
      <c r="A29" s="18"/>
      <c r="B29" s="100"/>
      <c r="C29" s="101"/>
      <c r="D29" s="101"/>
      <c r="E29" s="101"/>
      <c r="F29" s="331" t="str">
        <f>IF(E29="","",INDEX(Lists!$BA$4:$BC$31,MATCH('Business travel, commute, home'!$B29,Lists!$AZ$4:$AZ$31,0),MATCH('Business travel, commute, home'!E29,Lists!$BA$3:$BC$3,0)))</f>
        <v/>
      </c>
      <c r="G29" s="70"/>
      <c r="H29" s="101"/>
      <c r="I29" s="275" t="str" cm="1">
        <f t="array" ref="I29">IF(OR($B29="",$C29="",$D29="",H29=""),"",IF(H29=J29,G29,(INDEX('Emission factors'!$K$3:$V$276,MATCH($B29&amp;$C29&amp;$D29,'Emission factors'!$J$3:$J$276&amp;'Emission factors'!$K$3:$K$276&amp;'Emission factors'!$L$3:$L$276,0),MATCH('Business travel, commute, home'!I$7,'Emission factors'!$K$2:$V$2,0)))*G29))</f>
        <v/>
      </c>
      <c r="J29" s="332" t="str">
        <f t="array" ref="J29">IF(OR($B29="",$C29="",$G29=""),"",INDEX('Emission factors'!$K$3:$V$276,MATCH($B29&amp;$C29&amp;$D29,'Emission factors'!$J$3:$J$276&amp;'Emission factors'!$K$3:$K$276&amp;'Emission factors'!$L$3:$L$276,0),MATCH('Business travel, commute, home'!J$7,'Emission factors'!$K$2:$V$2,0)))</f>
        <v/>
      </c>
      <c r="K29" s="332" t="str">
        <f t="array" ref="K29">IF(OR(B29="",C29="",D29=""),"",INDEX('Emission factors'!$K$3:$V$276,MATCH($B29&amp;$C29&amp;$D29,'Emission factors'!$J$3:$J$276&amp;'Emission factors'!$K$3:$K$276&amp;'Emission factors'!$L$3:$L$276,0),MATCH('Business travel, commute, home'!K$7,'Emission factors'!$K$2:$V$2,0)))</f>
        <v/>
      </c>
      <c r="L29" s="333" t="str">
        <f>IF(OR(I29="",K29=""),"",SUM(BusinessTable[[#This Row],[Direct]:[Indirect WTT]]))</f>
        <v/>
      </c>
      <c r="M29" s="103"/>
      <c r="N29" s="101"/>
      <c r="O29" s="157" t="str" cm="1">
        <f t="array" ref="O29">IF(OR($C29="",$G29=""),"",(INDEX('Emission factors'!$K$3:$V$201,MATCH($B29&amp;$C29&amp;$D29,'Emission factors'!$J$3:$J$201&amp;'Emission factors'!$K$3:$K$201&amp;'Emission factors'!$L$3:$L$201,0),MATCH(O$7,'Emission factors'!$K$2:$V$2,0)))*$I29)</f>
        <v/>
      </c>
      <c r="P29" s="157" t="str" cm="1">
        <f t="array" ref="P29">IF(OR($C29="",$G29=""),"",(INDEX('Emission factors'!$K$3:$V$201,MATCH($B29&amp;$C29&amp;$D29,'Emission factors'!$J$3:$J$201&amp;'Emission factors'!$K$3:$K$201&amp;'Emission factors'!$L$3:$L$201,0),MATCH(P$7,'Emission factors'!$K$2:$V$2,0)))*$I29)</f>
        <v/>
      </c>
      <c r="Q29" s="157" t="str" cm="1">
        <f t="array" ref="Q29">IF(OR($C29="",$G29=""),"",(INDEX('Emission factors'!$K$3:$V$201,MATCH($B29&amp;$C29&amp;$D29,'Emission factors'!$J$3:$J$201&amp;'Emission factors'!$K$3:$K$201&amp;'Emission factors'!$L$3:$L$201,0),MATCH(Q$7,'Emission factors'!$K$2:$V$2,0)))*$I29)</f>
        <v/>
      </c>
      <c r="R29" s="157" t="str" cm="1">
        <f t="array" ref="R29">IF(OR($C29="",$G29=""),"",(INDEX('Emission factors'!$K$3:$V$201,MATCH($B29&amp;$C29&amp;$D29,'Emission factors'!$J$3:$J$201&amp;'Emission factors'!$K$3:$K$201&amp;'Emission factors'!$L$3:$L$201,0),MATCH(R$7,'Emission factors'!$K$2:$V$2,0)))*$I29)</f>
        <v/>
      </c>
      <c r="S29" s="157" t="str" cm="1">
        <f t="array" ref="S29">IF(OR($C29="",$G29=""),"",(INDEX('Emission factors'!$K$3:$V$201,MATCH($B29&amp;$C29&amp;$D29,'Emission factors'!$J$3:$J$201&amp;'Emission factors'!$K$3:$K$201&amp;'Emission factors'!$L$3:$L$201,0),MATCH(S$7,'Emission factors'!$K$2:$V$2,0)))*$I29)</f>
        <v/>
      </c>
      <c r="T29" s="158" t="str">
        <f t="shared" si="1"/>
        <v/>
      </c>
      <c r="U29" s="163" t="str">
        <f t="shared" si="0"/>
        <v/>
      </c>
      <c r="V29" s="158" t="str" cm="1">
        <f t="array" ref="V29">IF(OR($C29="",$G29=""),"",(INDEX('Emission factors'!$K$3:$V$201,MATCH($B29&amp;$C29&amp;$D29,'Emission factors'!$J$3:$J$201&amp;'Emission factors'!$K$3:$K$201&amp;'Emission factors'!$L$3:$L$201,0),MATCH(V$7,'Emission factors'!$K$2:$V$2,0)))*$I29)</f>
        <v/>
      </c>
      <c r="X29" s="1" cm="1">
        <f t="array" ref="X29">IF(OR(ISERROR(B29:V29)),1,0)</f>
        <v>0</v>
      </c>
      <c r="Y29" s="1">
        <f t="shared" si="2"/>
        <v>0</v>
      </c>
    </row>
    <row r="30" spans="1:25" ht="15" thickBot="1" x14ac:dyDescent="0.4">
      <c r="A30" s="18"/>
      <c r="B30" s="100"/>
      <c r="C30" s="101"/>
      <c r="D30" s="101"/>
      <c r="E30" s="101"/>
      <c r="F30" s="331" t="str">
        <f>IF(E30="","",INDEX(Lists!$BA$4:$BC$31,MATCH('Business travel, commute, home'!$B30,Lists!$AZ$4:$AZ$31,0),MATCH('Business travel, commute, home'!E30,Lists!$BA$3:$BC$3,0)))</f>
        <v/>
      </c>
      <c r="G30" s="70"/>
      <c r="H30" s="101"/>
      <c r="I30" s="275" t="str" cm="1">
        <f t="array" ref="I30">IF(OR($B30="",$C30="",$D30="",H30=""),"",IF(H30=J30,G30,(INDEX('Emission factors'!$K$3:$V$276,MATCH($B30&amp;$C30&amp;$D30,'Emission factors'!$J$3:$J$276&amp;'Emission factors'!$K$3:$K$276&amp;'Emission factors'!$L$3:$L$276,0),MATCH('Business travel, commute, home'!I$7,'Emission factors'!$K$2:$V$2,0)))*G30))</f>
        <v/>
      </c>
      <c r="J30" s="332" t="str">
        <f t="array" ref="J30">IF(OR($B30="",$C30="",$G30=""),"",INDEX('Emission factors'!$K$3:$V$276,MATCH($B30&amp;$C30&amp;$D30,'Emission factors'!$J$3:$J$276&amp;'Emission factors'!$K$3:$K$276&amp;'Emission factors'!$L$3:$L$276,0),MATCH('Business travel, commute, home'!J$7,'Emission factors'!$K$2:$V$2,0)))</f>
        <v/>
      </c>
      <c r="K30" s="332" t="str">
        <f t="array" ref="K30">IF(OR(B30="",C30="",D30=""),"",INDEX('Emission factors'!$K$3:$V$276,MATCH($B30&amp;$C30&amp;$D30,'Emission factors'!$J$3:$J$276&amp;'Emission factors'!$K$3:$K$276&amp;'Emission factors'!$L$3:$L$276,0),MATCH('Business travel, commute, home'!K$7,'Emission factors'!$K$2:$V$2,0)))</f>
        <v/>
      </c>
      <c r="L30" s="333" t="str">
        <f>IF(OR(I30="",K30=""),"",SUM(BusinessTable[[#This Row],[Direct]:[Indirect WTT]]))</f>
        <v/>
      </c>
      <c r="M30" s="103"/>
      <c r="N30" s="101"/>
      <c r="O30" s="157" t="str" cm="1">
        <f t="array" ref="O30">IF(OR($C30="",$G30=""),"",(INDEX('Emission factors'!$K$3:$V$201,MATCH($B30&amp;$C30&amp;$D30,'Emission factors'!$J$3:$J$201&amp;'Emission factors'!$K$3:$K$201&amp;'Emission factors'!$L$3:$L$201,0),MATCH(O$7,'Emission factors'!$K$2:$V$2,0)))*$I30)</f>
        <v/>
      </c>
      <c r="P30" s="157" t="str" cm="1">
        <f t="array" ref="P30">IF(OR($C30="",$G30=""),"",(INDEX('Emission factors'!$K$3:$V$201,MATCH($B30&amp;$C30&amp;$D30,'Emission factors'!$J$3:$J$201&amp;'Emission factors'!$K$3:$K$201&amp;'Emission factors'!$L$3:$L$201,0),MATCH(P$7,'Emission factors'!$K$2:$V$2,0)))*$I30)</f>
        <v/>
      </c>
      <c r="Q30" s="157" t="str" cm="1">
        <f t="array" ref="Q30">IF(OR($C30="",$G30=""),"",(INDEX('Emission factors'!$K$3:$V$201,MATCH($B30&amp;$C30&amp;$D30,'Emission factors'!$J$3:$J$201&amp;'Emission factors'!$K$3:$K$201&amp;'Emission factors'!$L$3:$L$201,0),MATCH(Q$7,'Emission factors'!$K$2:$V$2,0)))*$I30)</f>
        <v/>
      </c>
      <c r="R30" s="157" t="str" cm="1">
        <f t="array" ref="R30">IF(OR($C30="",$G30=""),"",(INDEX('Emission factors'!$K$3:$V$201,MATCH($B30&amp;$C30&amp;$D30,'Emission factors'!$J$3:$J$201&amp;'Emission factors'!$K$3:$K$201&amp;'Emission factors'!$L$3:$L$201,0),MATCH(R$7,'Emission factors'!$K$2:$V$2,0)))*$I30)</f>
        <v/>
      </c>
      <c r="S30" s="157" t="str" cm="1">
        <f t="array" ref="S30">IF(OR($C30="",$G30=""),"",(INDEX('Emission factors'!$K$3:$V$201,MATCH($B30&amp;$C30&amp;$D30,'Emission factors'!$J$3:$J$201&amp;'Emission factors'!$K$3:$K$201&amp;'Emission factors'!$L$3:$L$201,0),MATCH(S$7,'Emission factors'!$K$2:$V$2,0)))*$I30)</f>
        <v/>
      </c>
      <c r="T30" s="158" t="str">
        <f t="shared" si="1"/>
        <v/>
      </c>
      <c r="U30" s="163" t="str">
        <f t="shared" si="0"/>
        <v/>
      </c>
      <c r="V30" s="158" t="str" cm="1">
        <f t="array" ref="V30">IF(OR($C30="",$G30=""),"",(INDEX('Emission factors'!$K$3:$V$201,MATCH($B30&amp;$C30&amp;$D30,'Emission factors'!$J$3:$J$201&amp;'Emission factors'!$K$3:$K$201&amp;'Emission factors'!$L$3:$L$201,0),MATCH(V$7,'Emission factors'!$K$2:$V$2,0)))*$I30)</f>
        <v/>
      </c>
      <c r="X30" s="1" cm="1">
        <f t="array" ref="X30">IF(OR(ISERROR(B30:V30)),1,0)</f>
        <v>0</v>
      </c>
      <c r="Y30" s="1">
        <f t="shared" si="2"/>
        <v>0</v>
      </c>
    </row>
    <row r="31" spans="1:25" ht="15" thickBot="1" x14ac:dyDescent="0.4">
      <c r="A31" s="18"/>
      <c r="B31" s="100"/>
      <c r="C31" s="101"/>
      <c r="D31" s="101"/>
      <c r="E31" s="101"/>
      <c r="F31" s="331" t="str">
        <f>IF(E31="","",INDEX(Lists!$BA$4:$BC$31,MATCH('Business travel, commute, home'!$B31,Lists!$AZ$4:$AZ$31,0),MATCH('Business travel, commute, home'!E31,Lists!$BA$3:$BC$3,0)))</f>
        <v/>
      </c>
      <c r="G31" s="70"/>
      <c r="H31" s="101"/>
      <c r="I31" s="275" t="str" cm="1">
        <f t="array" ref="I31">IF(OR($B31="",$C31="",$D31="",H31=""),"",IF(H31=J31,G31,(INDEX('Emission factors'!$K$3:$V$276,MATCH($B31&amp;$C31&amp;$D31,'Emission factors'!$J$3:$J$276&amp;'Emission factors'!$K$3:$K$276&amp;'Emission factors'!$L$3:$L$276,0),MATCH('Business travel, commute, home'!I$7,'Emission factors'!$K$2:$V$2,0)))*G31))</f>
        <v/>
      </c>
      <c r="J31" s="332" t="str">
        <f t="array" ref="J31">IF(OR($B31="",$C31="",$G31=""),"",INDEX('Emission factors'!$K$3:$V$276,MATCH($B31&amp;$C31&amp;$D31,'Emission factors'!$J$3:$J$276&amp;'Emission factors'!$K$3:$K$276&amp;'Emission factors'!$L$3:$L$276,0),MATCH('Business travel, commute, home'!J$7,'Emission factors'!$K$2:$V$2,0)))</f>
        <v/>
      </c>
      <c r="K31" s="332" t="str">
        <f t="array" ref="K31">IF(OR(B31="",C31="",D31=""),"",INDEX('Emission factors'!$K$3:$V$276,MATCH($B31&amp;$C31&amp;$D31,'Emission factors'!$J$3:$J$276&amp;'Emission factors'!$K$3:$K$276&amp;'Emission factors'!$L$3:$L$276,0),MATCH('Business travel, commute, home'!K$7,'Emission factors'!$K$2:$V$2,0)))</f>
        <v/>
      </c>
      <c r="L31" s="333" t="str">
        <f>IF(OR(I31="",K31=""),"",SUM(BusinessTable[[#This Row],[Direct]:[Indirect WTT]]))</f>
        <v/>
      </c>
      <c r="M31" s="103"/>
      <c r="N31" s="101"/>
      <c r="O31" s="157" t="str" cm="1">
        <f t="array" ref="O31">IF(OR($C31="",$G31=""),"",(INDEX('Emission factors'!$K$3:$V$201,MATCH($B31&amp;$C31&amp;$D31,'Emission factors'!$J$3:$J$201&amp;'Emission factors'!$K$3:$K$201&amp;'Emission factors'!$L$3:$L$201,0),MATCH(O$7,'Emission factors'!$K$2:$V$2,0)))*$I31)</f>
        <v/>
      </c>
      <c r="P31" s="157" t="str" cm="1">
        <f t="array" ref="P31">IF(OR($C31="",$G31=""),"",(INDEX('Emission factors'!$K$3:$V$201,MATCH($B31&amp;$C31&amp;$D31,'Emission factors'!$J$3:$J$201&amp;'Emission factors'!$K$3:$K$201&amp;'Emission factors'!$L$3:$L$201,0),MATCH(P$7,'Emission factors'!$K$2:$V$2,0)))*$I31)</f>
        <v/>
      </c>
      <c r="Q31" s="157" t="str" cm="1">
        <f t="array" ref="Q31">IF(OR($C31="",$G31=""),"",(INDEX('Emission factors'!$K$3:$V$201,MATCH($B31&amp;$C31&amp;$D31,'Emission factors'!$J$3:$J$201&amp;'Emission factors'!$K$3:$K$201&amp;'Emission factors'!$L$3:$L$201,0),MATCH(Q$7,'Emission factors'!$K$2:$V$2,0)))*$I31)</f>
        <v/>
      </c>
      <c r="R31" s="157" t="str" cm="1">
        <f t="array" ref="R31">IF(OR($C31="",$G31=""),"",(INDEX('Emission factors'!$K$3:$V$201,MATCH($B31&amp;$C31&amp;$D31,'Emission factors'!$J$3:$J$201&amp;'Emission factors'!$K$3:$K$201&amp;'Emission factors'!$L$3:$L$201,0),MATCH(R$7,'Emission factors'!$K$2:$V$2,0)))*$I31)</f>
        <v/>
      </c>
      <c r="S31" s="157" t="str" cm="1">
        <f t="array" ref="S31">IF(OR($C31="",$G31=""),"",(INDEX('Emission factors'!$K$3:$V$201,MATCH($B31&amp;$C31&amp;$D31,'Emission factors'!$J$3:$J$201&amp;'Emission factors'!$K$3:$K$201&amp;'Emission factors'!$L$3:$L$201,0),MATCH(S$7,'Emission factors'!$K$2:$V$2,0)))*$I31)</f>
        <v/>
      </c>
      <c r="T31" s="158" t="str">
        <f t="shared" si="1"/>
        <v/>
      </c>
      <c r="U31" s="163" t="str">
        <f t="shared" si="0"/>
        <v/>
      </c>
      <c r="V31" s="158" t="str" cm="1">
        <f t="array" ref="V31">IF(OR($C31="",$G31=""),"",(INDEX('Emission factors'!$K$3:$V$201,MATCH($B31&amp;$C31&amp;$D31,'Emission factors'!$J$3:$J$201&amp;'Emission factors'!$K$3:$K$201&amp;'Emission factors'!$L$3:$L$201,0),MATCH(V$7,'Emission factors'!$K$2:$V$2,0)))*$I31)</f>
        <v/>
      </c>
      <c r="X31" s="1" cm="1">
        <f t="array" ref="X31">IF(OR(ISERROR(B31:V31)),1,0)</f>
        <v>0</v>
      </c>
      <c r="Y31" s="1">
        <f t="shared" si="2"/>
        <v>0</v>
      </c>
    </row>
    <row r="32" spans="1:25" ht="15" thickBot="1" x14ac:dyDescent="0.4">
      <c r="A32" s="18"/>
      <c r="B32" s="100"/>
      <c r="C32" s="101"/>
      <c r="D32" s="101"/>
      <c r="E32" s="101"/>
      <c r="F32" s="331" t="str">
        <f>IF(E32="","",INDEX(Lists!$BA$4:$BC$31,MATCH('Business travel, commute, home'!$B32,Lists!$AZ$4:$AZ$31,0),MATCH('Business travel, commute, home'!E32,Lists!$BA$3:$BC$3,0)))</f>
        <v/>
      </c>
      <c r="G32" s="70"/>
      <c r="H32" s="101"/>
      <c r="I32" s="275" t="str" cm="1">
        <f t="array" ref="I32">IF(OR($B32="",$C32="",$D32="",H32=""),"",IF(H32=J32,G32,(INDEX('Emission factors'!$K$3:$V$276,MATCH($B32&amp;$C32&amp;$D32,'Emission factors'!$J$3:$J$276&amp;'Emission factors'!$K$3:$K$276&amp;'Emission factors'!$L$3:$L$276,0),MATCH('Business travel, commute, home'!I$7,'Emission factors'!$K$2:$V$2,0)))*G32))</f>
        <v/>
      </c>
      <c r="J32" s="332" t="str">
        <f t="array" ref="J32">IF(OR($B32="",$C32="",$G32=""),"",INDEX('Emission factors'!$K$3:$V$276,MATCH($B32&amp;$C32&amp;$D32,'Emission factors'!$J$3:$J$276&amp;'Emission factors'!$K$3:$K$276&amp;'Emission factors'!$L$3:$L$276,0),MATCH('Business travel, commute, home'!J$7,'Emission factors'!$K$2:$V$2,0)))</f>
        <v/>
      </c>
      <c r="K32" s="332" t="str">
        <f t="array" ref="K32">IF(OR(B32="",C32="",D32=""),"",INDEX('Emission factors'!$K$3:$V$276,MATCH($B32&amp;$C32&amp;$D32,'Emission factors'!$J$3:$J$276&amp;'Emission factors'!$K$3:$K$276&amp;'Emission factors'!$L$3:$L$276,0),MATCH('Business travel, commute, home'!K$7,'Emission factors'!$K$2:$V$2,0)))</f>
        <v/>
      </c>
      <c r="L32" s="333" t="str">
        <f>IF(OR(I32="",K32=""),"",SUM(BusinessTable[[#This Row],[Direct]:[Indirect WTT]]))</f>
        <v/>
      </c>
      <c r="M32" s="103"/>
      <c r="N32" s="101"/>
      <c r="O32" s="157" t="str" cm="1">
        <f t="array" ref="O32">IF(OR($C32="",$G32=""),"",(INDEX('Emission factors'!$K$3:$V$201,MATCH($B32&amp;$C32&amp;$D32,'Emission factors'!$J$3:$J$201&amp;'Emission factors'!$K$3:$K$201&amp;'Emission factors'!$L$3:$L$201,0),MATCH(O$7,'Emission factors'!$K$2:$V$2,0)))*$I32)</f>
        <v/>
      </c>
      <c r="P32" s="157" t="str" cm="1">
        <f t="array" ref="P32">IF(OR($C32="",$G32=""),"",(INDEX('Emission factors'!$K$3:$V$201,MATCH($B32&amp;$C32&amp;$D32,'Emission factors'!$J$3:$J$201&amp;'Emission factors'!$K$3:$K$201&amp;'Emission factors'!$L$3:$L$201,0),MATCH(P$7,'Emission factors'!$K$2:$V$2,0)))*$I32)</f>
        <v/>
      </c>
      <c r="Q32" s="157" t="str" cm="1">
        <f t="array" ref="Q32">IF(OR($C32="",$G32=""),"",(INDEX('Emission factors'!$K$3:$V$201,MATCH($B32&amp;$C32&amp;$D32,'Emission factors'!$J$3:$J$201&amp;'Emission factors'!$K$3:$K$201&amp;'Emission factors'!$L$3:$L$201,0),MATCH(Q$7,'Emission factors'!$K$2:$V$2,0)))*$I32)</f>
        <v/>
      </c>
      <c r="R32" s="157" t="str" cm="1">
        <f t="array" ref="R32">IF(OR($C32="",$G32=""),"",(INDEX('Emission factors'!$K$3:$V$201,MATCH($B32&amp;$C32&amp;$D32,'Emission factors'!$J$3:$J$201&amp;'Emission factors'!$K$3:$K$201&amp;'Emission factors'!$L$3:$L$201,0),MATCH(R$7,'Emission factors'!$K$2:$V$2,0)))*$I32)</f>
        <v/>
      </c>
      <c r="S32" s="157" t="str" cm="1">
        <f t="array" ref="S32">IF(OR($C32="",$G32=""),"",(INDEX('Emission factors'!$K$3:$V$201,MATCH($B32&amp;$C32&amp;$D32,'Emission factors'!$J$3:$J$201&amp;'Emission factors'!$K$3:$K$201&amp;'Emission factors'!$L$3:$L$201,0),MATCH(S$7,'Emission factors'!$K$2:$V$2,0)))*$I32)</f>
        <v/>
      </c>
      <c r="T32" s="158" t="str">
        <f t="shared" si="1"/>
        <v/>
      </c>
      <c r="U32" s="163" t="str">
        <f t="shared" si="0"/>
        <v/>
      </c>
      <c r="V32" s="158" t="str" cm="1">
        <f t="array" ref="V32">IF(OR($C32="",$G32=""),"",(INDEX('Emission factors'!$K$3:$V$201,MATCH($B32&amp;$C32&amp;$D32,'Emission factors'!$J$3:$J$201&amp;'Emission factors'!$K$3:$K$201&amp;'Emission factors'!$L$3:$L$201,0),MATCH(V$7,'Emission factors'!$K$2:$V$2,0)))*$I32)</f>
        <v/>
      </c>
      <c r="X32" s="1" cm="1">
        <f t="array" ref="X32">IF(OR(ISERROR(B32:V32)),1,0)</f>
        <v>0</v>
      </c>
      <c r="Y32" s="1">
        <f t="shared" si="2"/>
        <v>0</v>
      </c>
    </row>
    <row r="33" spans="1:25" ht="15" thickBot="1" x14ac:dyDescent="0.4">
      <c r="A33" s="18"/>
      <c r="B33" s="100"/>
      <c r="C33" s="101"/>
      <c r="D33" s="101"/>
      <c r="E33" s="101"/>
      <c r="F33" s="331" t="str">
        <f>IF(E33="","",INDEX(Lists!$BA$4:$BC$31,MATCH('Business travel, commute, home'!$B33,Lists!$AZ$4:$AZ$31,0),MATCH('Business travel, commute, home'!E33,Lists!$BA$3:$BC$3,0)))</f>
        <v/>
      </c>
      <c r="G33" s="70"/>
      <c r="H33" s="101"/>
      <c r="I33" s="275" t="str" cm="1">
        <f t="array" ref="I33">IF(OR($B33="",$C33="",$D33="",H33=""),"",IF(H33=J33,G33,(INDEX('Emission factors'!$K$3:$V$276,MATCH($B33&amp;$C33&amp;$D33,'Emission factors'!$J$3:$J$276&amp;'Emission factors'!$K$3:$K$276&amp;'Emission factors'!$L$3:$L$276,0),MATCH('Business travel, commute, home'!I$7,'Emission factors'!$K$2:$V$2,0)))*G33))</f>
        <v/>
      </c>
      <c r="J33" s="332" t="str">
        <f t="array" ref="J33">IF(OR($B33="",$C33="",$G33=""),"",INDEX('Emission factors'!$K$3:$V$276,MATCH($B33&amp;$C33&amp;$D33,'Emission factors'!$J$3:$J$276&amp;'Emission factors'!$K$3:$K$276&amp;'Emission factors'!$L$3:$L$276,0),MATCH('Business travel, commute, home'!J$7,'Emission factors'!$K$2:$V$2,0)))</f>
        <v/>
      </c>
      <c r="K33" s="332" t="str">
        <f t="array" ref="K33">IF(OR(B33="",C33="",D33=""),"",INDEX('Emission factors'!$K$3:$V$276,MATCH($B33&amp;$C33&amp;$D33,'Emission factors'!$J$3:$J$276&amp;'Emission factors'!$K$3:$K$276&amp;'Emission factors'!$L$3:$L$276,0),MATCH('Business travel, commute, home'!K$7,'Emission factors'!$K$2:$V$2,0)))</f>
        <v/>
      </c>
      <c r="L33" s="333" t="str">
        <f>IF(OR(I33="",K33=""),"",SUM(BusinessTable[[#This Row],[Direct]:[Indirect WTT]]))</f>
        <v/>
      </c>
      <c r="M33" s="103"/>
      <c r="N33" s="101"/>
      <c r="O33" s="157" t="str" cm="1">
        <f t="array" ref="O33">IF(OR($C33="",$G33=""),"",(INDEX('Emission factors'!$K$3:$V$201,MATCH($B33&amp;$C33&amp;$D33,'Emission factors'!$J$3:$J$201&amp;'Emission factors'!$K$3:$K$201&amp;'Emission factors'!$L$3:$L$201,0),MATCH(O$7,'Emission factors'!$K$2:$V$2,0)))*$I33)</f>
        <v/>
      </c>
      <c r="P33" s="157" t="str" cm="1">
        <f t="array" ref="P33">IF(OR($C33="",$G33=""),"",(INDEX('Emission factors'!$K$3:$V$201,MATCH($B33&amp;$C33&amp;$D33,'Emission factors'!$J$3:$J$201&amp;'Emission factors'!$K$3:$K$201&amp;'Emission factors'!$L$3:$L$201,0),MATCH(P$7,'Emission factors'!$K$2:$V$2,0)))*$I33)</f>
        <v/>
      </c>
      <c r="Q33" s="157" t="str" cm="1">
        <f t="array" ref="Q33">IF(OR($C33="",$G33=""),"",(INDEX('Emission factors'!$K$3:$V$201,MATCH($B33&amp;$C33&amp;$D33,'Emission factors'!$J$3:$J$201&amp;'Emission factors'!$K$3:$K$201&amp;'Emission factors'!$L$3:$L$201,0),MATCH(Q$7,'Emission factors'!$K$2:$V$2,0)))*$I33)</f>
        <v/>
      </c>
      <c r="R33" s="157" t="str" cm="1">
        <f t="array" ref="R33">IF(OR($C33="",$G33=""),"",(INDEX('Emission factors'!$K$3:$V$201,MATCH($B33&amp;$C33&amp;$D33,'Emission factors'!$J$3:$J$201&amp;'Emission factors'!$K$3:$K$201&amp;'Emission factors'!$L$3:$L$201,0),MATCH(R$7,'Emission factors'!$K$2:$V$2,0)))*$I33)</f>
        <v/>
      </c>
      <c r="S33" s="157" t="str" cm="1">
        <f t="array" ref="S33">IF(OR($C33="",$G33=""),"",(INDEX('Emission factors'!$K$3:$V$201,MATCH($B33&amp;$C33&amp;$D33,'Emission factors'!$J$3:$J$201&amp;'Emission factors'!$K$3:$K$201&amp;'Emission factors'!$L$3:$L$201,0),MATCH(S$7,'Emission factors'!$K$2:$V$2,0)))*$I33)</f>
        <v/>
      </c>
      <c r="T33" s="158" t="str">
        <f t="shared" si="1"/>
        <v/>
      </c>
      <c r="U33" s="163" t="str">
        <f t="shared" si="0"/>
        <v/>
      </c>
      <c r="V33" s="158" t="str" cm="1">
        <f t="array" ref="V33">IF(OR($C33="",$G33=""),"",(INDEX('Emission factors'!$K$3:$V$201,MATCH($B33&amp;$C33&amp;$D33,'Emission factors'!$J$3:$J$201&amp;'Emission factors'!$K$3:$K$201&amp;'Emission factors'!$L$3:$L$201,0),MATCH(V$7,'Emission factors'!$K$2:$V$2,0)))*$I33)</f>
        <v/>
      </c>
      <c r="X33" s="1" cm="1">
        <f t="array" ref="X33">IF(OR(ISERROR(B33:V33)),1,0)</f>
        <v>0</v>
      </c>
      <c r="Y33" s="1">
        <f t="shared" si="2"/>
        <v>0</v>
      </c>
    </row>
    <row r="34" spans="1:25" ht="15" thickBot="1" x14ac:dyDescent="0.4">
      <c r="A34" s="18"/>
      <c r="B34" s="100"/>
      <c r="C34" s="101"/>
      <c r="D34" s="101"/>
      <c r="E34" s="102"/>
      <c r="F34" s="338" t="str">
        <f>IF(E34="","",INDEX(Lists!$BA$4:$BC$31,MATCH('Business travel, commute, home'!$B34,Lists!$AZ$4:$AZ$31,0),MATCH('Business travel, commute, home'!E34,Lists!$BA$3:$BC$3,0)))</f>
        <v/>
      </c>
      <c r="G34" s="70"/>
      <c r="H34" s="101"/>
      <c r="I34" s="339" t="str" cm="1">
        <f t="array" ref="I34">IF(OR($B34="",$C34="",$D34="",H34=""),"",IF(H34=J34,G34,(INDEX('Emission factors'!$K$3:$V$276,MATCH($B34&amp;$C34&amp;$D34,'Emission factors'!$J$3:$J$276&amp;'Emission factors'!$K$3:$K$276&amp;'Emission factors'!$L$3:$L$276,0),MATCH('Business travel, commute, home'!I$7,'Emission factors'!$K$2:$V$2,0)))*G34))</f>
        <v/>
      </c>
      <c r="J34" s="340" t="str">
        <f t="array" ref="J34">IF(OR($B34="",$C34="",$G34=""),"",INDEX('Emission factors'!$K$3:$V$276,MATCH($B34&amp;$C34&amp;$D34,'Emission factors'!$J$3:$J$276&amp;'Emission factors'!$K$3:$K$276&amp;'Emission factors'!$L$3:$L$276,0),MATCH('Business travel, commute, home'!J$7,'Emission factors'!$K$2:$V$2,0)))</f>
        <v/>
      </c>
      <c r="K34" s="340" t="str">
        <f t="array" ref="K34">IF(OR(B34="",C34="",D34=""),"",INDEX('Emission factors'!$K$3:$V$276,MATCH($B34&amp;$C34&amp;$D34,'Emission factors'!$J$3:$J$276&amp;'Emission factors'!$K$3:$K$276&amp;'Emission factors'!$L$3:$L$276,0),MATCH('Business travel, commute, home'!K$7,'Emission factors'!$K$2:$V$2,0)))</f>
        <v/>
      </c>
      <c r="L34" s="333" t="str">
        <f>IF(OR(I34="",K34=""),"",SUM(BusinessTable[[#This Row],[Direct]:[Indirect WTT]]))</f>
        <v/>
      </c>
      <c r="M34" s="104"/>
      <c r="N34" s="102"/>
      <c r="O34" s="341" t="str" cm="1">
        <f t="array" ref="O34">IF(OR($C34="",$G34=""),"",(INDEX('Emission factors'!$K$3:$V$201,MATCH($B34&amp;$C34&amp;$D34,'Emission factors'!$J$3:$J$201&amp;'Emission factors'!$K$3:$K$201&amp;'Emission factors'!$L$3:$L$201,0),MATCH(O$7,'Emission factors'!$K$2:$V$2,0)))*$I34)</f>
        <v/>
      </c>
      <c r="P34" s="341" t="str" cm="1">
        <f t="array" ref="P34">IF(OR($C34="",$G34=""),"",(INDEX('Emission factors'!$K$3:$V$201,MATCH($B34&amp;$C34&amp;$D34,'Emission factors'!$J$3:$J$201&amp;'Emission factors'!$K$3:$K$201&amp;'Emission factors'!$L$3:$L$201,0),MATCH(P$7,'Emission factors'!$K$2:$V$2,0)))*$I34)</f>
        <v/>
      </c>
      <c r="Q34" s="341" t="str" cm="1">
        <f t="array" ref="Q34">IF(OR($C34="",$G34=""),"",(INDEX('Emission factors'!$K$3:$V$201,MATCH($B34&amp;$C34&amp;$D34,'Emission factors'!$J$3:$J$201&amp;'Emission factors'!$K$3:$K$201&amp;'Emission factors'!$L$3:$L$201,0),MATCH(Q$7,'Emission factors'!$K$2:$V$2,0)))*$I34)</f>
        <v/>
      </c>
      <c r="R34" s="341" t="str" cm="1">
        <f t="array" ref="R34">IF(OR($C34="",$G34=""),"",(INDEX('Emission factors'!$K$3:$V$201,MATCH($B34&amp;$C34&amp;$D34,'Emission factors'!$J$3:$J$201&amp;'Emission factors'!$K$3:$K$201&amp;'Emission factors'!$L$3:$L$201,0),MATCH(R$7,'Emission factors'!$K$2:$V$2,0)))*$I34)</f>
        <v/>
      </c>
      <c r="S34" s="341" t="str" cm="1">
        <f t="array" ref="S34">IF(OR($C34="",$G34=""),"",(INDEX('Emission factors'!$K$3:$V$201,MATCH($B34&amp;$C34&amp;$D34,'Emission factors'!$J$3:$J$201&amp;'Emission factors'!$K$3:$K$201&amp;'Emission factors'!$L$3:$L$201,0),MATCH(S$7,'Emission factors'!$K$2:$V$2,0)))*$I34)</f>
        <v/>
      </c>
      <c r="T34" s="342" t="str">
        <f t="shared" si="1"/>
        <v/>
      </c>
      <c r="U34" s="343" t="str">
        <f t="shared" si="0"/>
        <v/>
      </c>
      <c r="V34" s="342" t="str" cm="1">
        <f t="array" ref="V34">IF(OR($C34="",$G34=""),"",(INDEX('Emission factors'!$K$3:$V$201,MATCH($B34&amp;$C34&amp;$D34,'Emission factors'!$J$3:$J$201&amp;'Emission factors'!$K$3:$K$201&amp;'Emission factors'!$L$3:$L$201,0),MATCH(V$7,'Emission factors'!$K$2:$V$2,0)))*$I34)</f>
        <v/>
      </c>
      <c r="X34" s="1" cm="1">
        <f t="array" ref="X34">IF(OR(ISERROR(B34:V34)),1,0)</f>
        <v>0</v>
      </c>
      <c r="Y34" s="1">
        <f t="shared" si="2"/>
        <v>0</v>
      </c>
    </row>
    <row r="35" spans="1:25" x14ac:dyDescent="0.35">
      <c r="A35" s="26"/>
      <c r="B35" s="28"/>
      <c r="C35" s="28"/>
      <c r="D35" s="28"/>
      <c r="E35" s="19"/>
      <c r="F35" s="19"/>
      <c r="G35" s="19"/>
      <c r="H35" s="19"/>
      <c r="I35" s="19"/>
      <c r="J35" s="19"/>
      <c r="K35" s="19"/>
      <c r="L35" s="19"/>
      <c r="M35" s="19"/>
      <c r="N35" s="19"/>
      <c r="O35" s="19"/>
      <c r="P35" s="19"/>
      <c r="Q35" s="19"/>
      <c r="R35" s="19"/>
      <c r="S35" s="19"/>
      <c r="T35" s="19"/>
      <c r="U35" s="328"/>
      <c r="V35" s="62"/>
    </row>
    <row r="36" spans="1:25" ht="19" thickBot="1" x14ac:dyDescent="0.4">
      <c r="B36" s="20" t="s">
        <v>110</v>
      </c>
      <c r="H36" s="317" t="str">
        <f>IF($Y$37=0,"No data entered",IF($X$37=0,"No errors in this table","There are errors in this table see highlighted row(s)"))</f>
        <v>No data entered</v>
      </c>
      <c r="I36"/>
      <c r="O36" s="318" t="s">
        <v>227</v>
      </c>
      <c r="T36" s="26"/>
      <c r="U36" s="321"/>
      <c r="V36" s="30"/>
    </row>
    <row r="37" spans="1:25" ht="15" thickBot="1" x14ac:dyDescent="0.4">
      <c r="B37" s="330" t="s">
        <v>228</v>
      </c>
      <c r="C37" s="274" t="s">
        <v>179</v>
      </c>
      <c r="D37" s="274" t="s">
        <v>229</v>
      </c>
      <c r="E37" s="274" t="s">
        <v>230</v>
      </c>
      <c r="F37" s="274" t="s">
        <v>181</v>
      </c>
      <c r="G37" s="274" t="s">
        <v>182</v>
      </c>
      <c r="H37" s="274" t="s">
        <v>183</v>
      </c>
      <c r="I37" s="274" t="s">
        <v>184</v>
      </c>
      <c r="J37" s="274" t="s">
        <v>185</v>
      </c>
      <c r="K37" s="274" t="s">
        <v>231</v>
      </c>
      <c r="L37" s="274" t="s">
        <v>91</v>
      </c>
      <c r="M37" s="274" t="s">
        <v>188</v>
      </c>
      <c r="N37" s="274" t="s">
        <v>189</v>
      </c>
      <c r="O37" s="39" t="s">
        <v>92</v>
      </c>
      <c r="P37" s="39" t="s">
        <v>190</v>
      </c>
      <c r="Q37" s="39" t="s">
        <v>191</v>
      </c>
      <c r="R37" s="39" t="s">
        <v>192</v>
      </c>
      <c r="S37" s="39" t="s">
        <v>193</v>
      </c>
      <c r="T37" s="39" t="s">
        <v>100</v>
      </c>
      <c r="U37" s="322" t="s">
        <v>101</v>
      </c>
      <c r="V37" s="8" t="s">
        <v>96</v>
      </c>
      <c r="X37" s="9">
        <f>SUM(X38:X64)</f>
        <v>0</v>
      </c>
      <c r="Y37" s="9">
        <f>SUM(Y38:Y64)</f>
        <v>0</v>
      </c>
    </row>
    <row r="38" spans="1:25" ht="15" thickBot="1" x14ac:dyDescent="0.4">
      <c r="B38" s="100"/>
      <c r="C38" s="101"/>
      <c r="D38" s="101"/>
      <c r="E38" s="101"/>
      <c r="F38" s="331" t="str">
        <f>IF(E38="","",INDEX(Lists!$BA$4:$BC$31,MATCH('Business travel, commute, home'!$B38,Lists!$AZ$4:$AZ$31,0),MATCH('Business travel, commute, home'!E38,Lists!$BA$3:$BC$3,0)))</f>
        <v/>
      </c>
      <c r="G38" s="70"/>
      <c r="H38" s="101"/>
      <c r="I38" s="275" t="str" cm="1">
        <f t="array" ref="I38">IF(OR($B38="",$C38="",$D38="",H38=""),"",IF(H38=J38,G38,(INDEX('Emission factors'!$K$3:$V$276,MATCH($B38&amp;$C38&amp;$D38,'Emission factors'!$J$3:$J$276&amp;'Emission factors'!$K$3:$K$276&amp;'Emission factors'!$L$3:$L$276,0),MATCH('Business travel, commute, home'!I$7,'Emission factors'!$K$2:$V$2,0)))*G38))</f>
        <v/>
      </c>
      <c r="J38" s="332" t="str" cm="1">
        <f t="array" ref="J38">IF(OR($B38="",$C38="",$G38=""),"",INDEX('Emission factors'!$K$3:$V$276,MATCH($B38&amp;$C38&amp;$D38,'Emission factors'!$J$3:$J$276&amp;'Emission factors'!$K$3:$K$276&amp;'Emission factors'!$L$3:$L$276,0),MATCH('Business travel, commute, home'!J$7,'Emission factors'!$K$2:$V$2,0)))</f>
        <v/>
      </c>
      <c r="K38" s="332" t="str">
        <f t="array" ref="K38">IF(OR(B38="",C38="",D38=""),"",INDEX('Emission factors'!$K$3:$V$276,MATCH($B38&amp;$C38&amp;$D38,'Emission factors'!$J$3:$J$276&amp;'Emission factors'!$K$3:$K$276&amp;'Emission factors'!$L$3:$L$276,0),MATCH('Business travel, commute, home'!K$7,'Emission factors'!$K$2:$V$2,0)))</f>
        <v/>
      </c>
      <c r="L38" s="333" t="str">
        <f>IF(OR(I38="",K38=""),"",SUM(CommutingTable[[#This Row],[Direct]:[Indirect WTT]]))</f>
        <v/>
      </c>
      <c r="M38" s="103"/>
      <c r="N38" s="101"/>
      <c r="O38" s="157" t="str" cm="1">
        <f t="array" ref="O38">IF(OR($C38="",$G38="",CommutingTable[[#This Row],[Converted data]]=""),"",(INDEX('Emission factors'!$K$3:$V$201,MATCH($B38&amp;$C38&amp;$D38,'Emission factors'!$J$3:$J$201&amp;'Emission factors'!$K$3:$K$201&amp;'Emission factors'!$L$3:$L$201,0),MATCH(O$37,'Emission factors'!$K$2:$V$2,0)))*$I38)</f>
        <v/>
      </c>
      <c r="P38" s="157" t="str" cm="1">
        <f t="array" ref="P38">IF(OR($C38="",$G38="",CommutingTable[[#This Row],[Converted data]]=""),"",(INDEX('Emission factors'!$K$3:$V$201,MATCH($B38&amp;$C38&amp;$D38,'Emission factors'!$J$3:$J$201&amp;'Emission factors'!$K$3:$K$201&amp;'Emission factors'!$L$3:$L$201,0),MATCH(P$37,'Emission factors'!$K$2:$V$2,0)))*$I38)</f>
        <v/>
      </c>
      <c r="Q38" s="157" t="str" cm="1">
        <f t="array" ref="Q38">IF(OR($C38="",$G38="",CommutingTable[[#This Row],[Converted data]]=""),"",(INDEX('Emission factors'!$K$3:$V$201,MATCH($B38&amp;$C38&amp;$D38,'Emission factors'!$J$3:$J$201&amp;'Emission factors'!$K$3:$K$201&amp;'Emission factors'!$L$3:$L$201,0),MATCH(Q$37,'Emission factors'!$K$2:$V$2,0)))*$I38)</f>
        <v/>
      </c>
      <c r="R38" s="157" t="str" cm="1">
        <f t="array" ref="R38">IF(OR($C38="",$G38="",CommutingTable[[#This Row],[Converted data]]=""),"",(INDEX('Emission factors'!$K$3:$V$201,MATCH($B38&amp;$C38&amp;$D38,'Emission factors'!$J$3:$J$201&amp;'Emission factors'!$K$3:$K$201&amp;'Emission factors'!$L$3:$L$201,0),MATCH(R$37,'Emission factors'!$K$2:$V$2,0)))*$I38)</f>
        <v/>
      </c>
      <c r="S38" s="157" t="str" cm="1">
        <f t="array" ref="S38">IF(OR($C38="",$G38="",CommutingTable[[#This Row],[Converted data]]=""),"",(INDEX('Emission factors'!$K$3:$V$201,MATCH($B38&amp;$C38&amp;$D38,'Emission factors'!$J$3:$J$201&amp;'Emission factors'!$K$3:$K$201&amp;'Emission factors'!$L$3:$L$201,0),MATCH(S$37,'Emission factors'!$K$2:$V$2,0)))*$I38)</f>
        <v/>
      </c>
      <c r="T38" s="158" t="str">
        <f t="shared" ref="T38:T61" si="7">IF(OR($L38="",$F38=""),"",$L38*(1+$F38))</f>
        <v/>
      </c>
      <c r="U38" s="344" t="str">
        <f t="shared" ref="U38:U61" si="8">IF(OR($L38="",$F38=""),"",$L38*(1-$F38))</f>
        <v/>
      </c>
      <c r="V38" s="164" t="str" cm="1">
        <f t="array" ref="V38">IF(OR($C38="",$G38="",CommutingTable[[#This Row],[Converted data]]=""),"",(INDEX('Emission factors'!$K$3:$V$201,MATCH($B38&amp;$C38&amp;$D38,'Emission factors'!$J$3:$J$201&amp;'Emission factors'!$K$3:$K$201&amp;'Emission factors'!$L$3:$L$201,0),MATCH(V$37,'Emission factors'!$K$2:$V$2,0)))*$I38)</f>
        <v/>
      </c>
      <c r="X38" s="1" cm="1">
        <f t="array" ref="X38">IF(OR(ISERROR(B38:V38)),1,0)</f>
        <v>0</v>
      </c>
      <c r="Y38" s="1">
        <f>IF(AND(D38="",G38="",H38=""),0,1)</f>
        <v>0</v>
      </c>
    </row>
    <row r="39" spans="1:25" ht="15" thickBot="1" x14ac:dyDescent="0.4">
      <c r="B39" s="100"/>
      <c r="C39" s="101"/>
      <c r="D39" s="101"/>
      <c r="E39" s="101"/>
      <c r="F39" s="331" t="str">
        <f>IF(E39="","",INDEX(Lists!$BA$4:$BC$31,MATCH('Business travel, commute, home'!$B39,Lists!$AZ$4:$AZ$31,0),MATCH('Business travel, commute, home'!E39,Lists!$BA$3:$BC$3,0)))</f>
        <v/>
      </c>
      <c r="G39" s="70"/>
      <c r="H39" s="101"/>
      <c r="I39" s="275" t="str" cm="1">
        <f t="array" ref="I39">IF(OR($B39="",$C39="",$D39="",H39=""),"",IF(H39=J39,G39,(INDEX('Emission factors'!$K$3:$V$276,MATCH($B39&amp;$C39&amp;$D39,'Emission factors'!$J$3:$J$276&amp;'Emission factors'!$K$3:$K$276&amp;'Emission factors'!$L$3:$L$276,0),MATCH('Business travel, commute, home'!I$7,'Emission factors'!$K$2:$V$2,0)))*G39))</f>
        <v/>
      </c>
      <c r="J39" s="332" t="str" cm="1">
        <f t="array" ref="J39">IF(OR($B39="",$C39="",$G39=""),"",INDEX('Emission factors'!$K$3:$V$276,MATCH($B39&amp;$C39&amp;$D39,'Emission factors'!$J$3:$J$276&amp;'Emission factors'!$K$3:$K$276&amp;'Emission factors'!$L$3:$L$276,0),MATCH('Business travel, commute, home'!J$7,'Emission factors'!$K$2:$V$2,0)))</f>
        <v/>
      </c>
      <c r="K39" s="332" t="str">
        <f t="array" ref="K39">IF(OR(B39="",C39="",D39=""),"",INDEX('Emission factors'!$K$3:$V$276,MATCH($B39&amp;$C39&amp;$D39,'Emission factors'!$J$3:$J$276&amp;'Emission factors'!$K$3:$K$276&amp;'Emission factors'!$L$3:$L$276,0),MATCH('Business travel, commute, home'!K$7,'Emission factors'!$K$2:$V$2,0)))</f>
        <v/>
      </c>
      <c r="L39" s="333" t="str">
        <f>IF(OR(I39="",K39=""),"",SUM(CommutingTable[[#This Row],[Direct]:[Indirect WTT]]))</f>
        <v/>
      </c>
      <c r="M39" s="103"/>
      <c r="N39" s="101"/>
      <c r="O39" s="157" t="str" cm="1">
        <f t="array" ref="O39">IF(OR($C39="",$G39="",CommutingTable[[#This Row],[Converted data]]=""),"",(INDEX('Emission factors'!$K$3:$V$201,MATCH($B39&amp;$C39&amp;$D39,'Emission factors'!$J$3:$J$201&amp;'Emission factors'!$K$3:$K$201&amp;'Emission factors'!$L$3:$L$201,0),MATCH(O$37,'Emission factors'!$K$2:$V$2,0)))*$I39)</f>
        <v/>
      </c>
      <c r="P39" s="157" t="str" cm="1">
        <f t="array" ref="P39">IF(OR($C39="",$G39="",CommutingTable[[#This Row],[Converted data]]=""),"",(INDEX('Emission factors'!$K$3:$V$201,MATCH($B39&amp;$C39&amp;$D39,'Emission factors'!$J$3:$J$201&amp;'Emission factors'!$K$3:$K$201&amp;'Emission factors'!$L$3:$L$201,0),MATCH(P$37,'Emission factors'!$K$2:$V$2,0)))*$I39)</f>
        <v/>
      </c>
      <c r="Q39" s="157" t="str" cm="1">
        <f t="array" ref="Q39">IF(OR($C39="",$G39="",CommutingTable[[#This Row],[Converted data]]=""),"",(INDEX('Emission factors'!$K$3:$V$201,MATCH($B39&amp;$C39&amp;$D39,'Emission factors'!$J$3:$J$201&amp;'Emission factors'!$K$3:$K$201&amp;'Emission factors'!$L$3:$L$201,0),MATCH(Q$37,'Emission factors'!$K$2:$V$2,0)))*$I39)</f>
        <v/>
      </c>
      <c r="R39" s="157" t="str" cm="1">
        <f t="array" ref="R39">IF(OR($C39="",$G39="",CommutingTable[[#This Row],[Converted data]]=""),"",(INDEX('Emission factors'!$K$3:$V$201,MATCH($B39&amp;$C39&amp;$D39,'Emission factors'!$J$3:$J$201&amp;'Emission factors'!$K$3:$K$201&amp;'Emission factors'!$L$3:$L$201,0),MATCH(R$37,'Emission factors'!$K$2:$V$2,0)))*$I39)</f>
        <v/>
      </c>
      <c r="S39" s="157" t="str" cm="1">
        <f t="array" ref="S39">IF(OR($C39="",$G39="",CommutingTable[[#This Row],[Converted data]]=""),"",(INDEX('Emission factors'!$K$3:$V$201,MATCH($B39&amp;$C39&amp;$D39,'Emission factors'!$J$3:$J$201&amp;'Emission factors'!$K$3:$K$201&amp;'Emission factors'!$L$3:$L$201,0),MATCH(S$37,'Emission factors'!$K$2:$V$2,0)))*$I39)</f>
        <v/>
      </c>
      <c r="T39" s="158" t="str">
        <f t="shared" si="7"/>
        <v/>
      </c>
      <c r="U39" s="344" t="str">
        <f t="shared" si="8"/>
        <v/>
      </c>
      <c r="V39" s="164" t="str" cm="1">
        <f t="array" ref="V39">IF(OR($C39="",$G39="",CommutingTable[[#This Row],[Converted data]]=""),"",(INDEX('Emission factors'!$K$3:$V$201,MATCH($B39&amp;$C39&amp;$D39,'Emission factors'!$J$3:$J$201&amp;'Emission factors'!$K$3:$K$201&amp;'Emission factors'!$L$3:$L$201,0),MATCH(V$37,'Emission factors'!$K$2:$V$2,0)))*$I39)</f>
        <v/>
      </c>
      <c r="X39" s="1" cm="1">
        <f t="array" ref="X39">IF(OR(ISERROR(B39:V39)),1,0)</f>
        <v>0</v>
      </c>
      <c r="Y39" s="1">
        <f t="shared" ref="Y39:Y61" si="9">IF(AND(D39="",G39="",H39=""),0,1)</f>
        <v>0</v>
      </c>
    </row>
    <row r="40" spans="1:25" ht="15" thickBot="1" x14ac:dyDescent="0.4">
      <c r="B40" s="100"/>
      <c r="C40" s="101"/>
      <c r="D40" s="101"/>
      <c r="E40" s="101"/>
      <c r="F40" s="331" t="str">
        <f>IF(E40="","",INDEX(Lists!$BA$4:$BC$31,MATCH('Business travel, commute, home'!$B40,Lists!$AZ$4:$AZ$31,0),MATCH('Business travel, commute, home'!E40,Lists!$BA$3:$BC$3,0)))</f>
        <v/>
      </c>
      <c r="G40" s="70"/>
      <c r="H40" s="101"/>
      <c r="I40" s="275" t="str" cm="1">
        <f t="array" ref="I40">IF(OR($B40="",$C40="",$D40="",H40=""),"",IF(H40=J40,G40,(INDEX('Emission factors'!$K$3:$V$276,MATCH($B40&amp;$C40&amp;$D40,'Emission factors'!$J$3:$J$276&amp;'Emission factors'!$K$3:$K$276&amp;'Emission factors'!$L$3:$L$276,0),MATCH('Business travel, commute, home'!I$7,'Emission factors'!$K$2:$V$2,0)))*G40))</f>
        <v/>
      </c>
      <c r="J40" s="332" t="str" cm="1">
        <f t="array" ref="J40">IF(OR($B40="",$C40="",$G40=""),"",INDEX('Emission factors'!$K$3:$V$276,MATCH($B40&amp;$C40&amp;$D40,'Emission factors'!$J$3:$J$276&amp;'Emission factors'!$K$3:$K$276&amp;'Emission factors'!$L$3:$L$276,0),MATCH('Business travel, commute, home'!J$7,'Emission factors'!$K$2:$V$2,0)))</f>
        <v/>
      </c>
      <c r="K40" s="332" t="str">
        <f t="array" ref="K40">IF(OR(B40="",C40="",D40=""),"",INDEX('Emission factors'!$K$3:$V$276,MATCH($B40&amp;$C40&amp;$D40,'Emission factors'!$J$3:$J$276&amp;'Emission factors'!$K$3:$K$276&amp;'Emission factors'!$L$3:$L$276,0),MATCH('Business travel, commute, home'!K$7,'Emission factors'!$K$2:$V$2,0)))</f>
        <v/>
      </c>
      <c r="L40" s="333" t="str">
        <f>IF(OR(I40="",K40=""),"",SUM(CommutingTable[[#This Row],[Direct]:[Indirect WTT]]))</f>
        <v/>
      </c>
      <c r="M40" s="103"/>
      <c r="N40" s="101"/>
      <c r="O40" s="157" t="str" cm="1">
        <f t="array" ref="O40">IF(OR($C40="",$G40="",CommutingTable[[#This Row],[Converted data]]=""),"",(INDEX('Emission factors'!$K$3:$V$201,MATCH($B40&amp;$C40&amp;$D40,'Emission factors'!$J$3:$J$201&amp;'Emission factors'!$K$3:$K$201&amp;'Emission factors'!$L$3:$L$201,0),MATCH(O$37,'Emission factors'!$K$2:$V$2,0)))*$I40)</f>
        <v/>
      </c>
      <c r="P40" s="157" t="str" cm="1">
        <f t="array" ref="P40">IF(OR($C40="",$G40="",CommutingTable[[#This Row],[Converted data]]=""),"",(INDEX('Emission factors'!$K$3:$V$201,MATCH($B40&amp;$C40&amp;$D40,'Emission factors'!$J$3:$J$201&amp;'Emission factors'!$K$3:$K$201&amp;'Emission factors'!$L$3:$L$201,0),MATCH(P$37,'Emission factors'!$K$2:$V$2,0)))*$I40)</f>
        <v/>
      </c>
      <c r="Q40" s="157" t="str" cm="1">
        <f t="array" ref="Q40">IF(OR($C40="",$G40="",CommutingTable[[#This Row],[Converted data]]=""),"",(INDEX('Emission factors'!$K$3:$V$201,MATCH($B40&amp;$C40&amp;$D40,'Emission factors'!$J$3:$J$201&amp;'Emission factors'!$K$3:$K$201&amp;'Emission factors'!$L$3:$L$201,0),MATCH(Q$37,'Emission factors'!$K$2:$V$2,0)))*$I40)</f>
        <v/>
      </c>
      <c r="R40" s="157" t="str" cm="1">
        <f t="array" ref="R40">IF(OR($C40="",$G40="",CommutingTable[[#This Row],[Converted data]]=""),"",(INDEX('Emission factors'!$K$3:$V$201,MATCH($B40&amp;$C40&amp;$D40,'Emission factors'!$J$3:$J$201&amp;'Emission factors'!$K$3:$K$201&amp;'Emission factors'!$L$3:$L$201,0),MATCH(R$37,'Emission factors'!$K$2:$V$2,0)))*$I40)</f>
        <v/>
      </c>
      <c r="S40" s="157" t="str" cm="1">
        <f t="array" ref="S40">IF(OR($C40="",$G40="",CommutingTable[[#This Row],[Converted data]]=""),"",(INDEX('Emission factors'!$K$3:$V$201,MATCH($B40&amp;$C40&amp;$D40,'Emission factors'!$J$3:$J$201&amp;'Emission factors'!$K$3:$K$201&amp;'Emission factors'!$L$3:$L$201,0),MATCH(S$37,'Emission factors'!$K$2:$V$2,0)))*$I40)</f>
        <v/>
      </c>
      <c r="T40" s="158" t="str">
        <f t="shared" si="7"/>
        <v/>
      </c>
      <c r="U40" s="344" t="str">
        <f t="shared" si="8"/>
        <v/>
      </c>
      <c r="V40" s="164" t="str" cm="1">
        <f t="array" ref="V40">IF(OR($C40="",$G40="",CommutingTable[[#This Row],[Converted data]]=""),"",(INDEX('Emission factors'!$K$3:$V$201,MATCH($B40&amp;$C40&amp;$D40,'Emission factors'!$J$3:$J$201&amp;'Emission factors'!$K$3:$K$201&amp;'Emission factors'!$L$3:$L$201,0),MATCH(V$37,'Emission factors'!$K$2:$V$2,0)))*$I40)</f>
        <v/>
      </c>
      <c r="X40" s="1" cm="1">
        <f t="array" ref="X40">IF(OR(ISERROR(B40:V40)),1,0)</f>
        <v>0</v>
      </c>
      <c r="Y40" s="1">
        <f t="shared" si="9"/>
        <v>0</v>
      </c>
    </row>
    <row r="41" spans="1:25" ht="15" thickBot="1" x14ac:dyDescent="0.4">
      <c r="B41" s="100"/>
      <c r="C41" s="101"/>
      <c r="D41" s="101"/>
      <c r="E41" s="101"/>
      <c r="F41" s="331" t="str">
        <f>IF(E41="","",INDEX(Lists!$BA$4:$BC$31,MATCH('Business travel, commute, home'!$B41,Lists!$AZ$4:$AZ$31,0),MATCH('Business travel, commute, home'!E41,Lists!$BA$3:$BC$3,0)))</f>
        <v/>
      </c>
      <c r="G41" s="70"/>
      <c r="H41" s="101"/>
      <c r="I41" s="275" t="str" cm="1">
        <f t="array" ref="I41">IF(OR($B41="",$C41="",$D41="",H41=""),"",IF(H41=J41,G41,(INDEX('Emission factors'!$K$3:$V$276,MATCH($B41&amp;$C41&amp;$D41,'Emission factors'!$J$3:$J$276&amp;'Emission factors'!$K$3:$K$276&amp;'Emission factors'!$L$3:$L$276,0),MATCH('Business travel, commute, home'!I$7,'Emission factors'!$K$2:$V$2,0)))*G41))</f>
        <v/>
      </c>
      <c r="J41" s="332" t="str" cm="1">
        <f t="array" ref="J41">IF(OR($B41="",$C41="",$G41=""),"",INDEX('Emission factors'!$K$3:$V$276,MATCH($B41&amp;$C41&amp;$D41,'Emission factors'!$J$3:$J$276&amp;'Emission factors'!$K$3:$K$276&amp;'Emission factors'!$L$3:$L$276,0),MATCH('Business travel, commute, home'!J$7,'Emission factors'!$K$2:$V$2,0)))</f>
        <v/>
      </c>
      <c r="K41" s="332" t="str">
        <f t="array" ref="K41">IF(OR(B41="",C41="",D41=""),"",INDEX('Emission factors'!$K$3:$V$276,MATCH($B41&amp;$C41&amp;$D41,'Emission factors'!$J$3:$J$276&amp;'Emission factors'!$K$3:$K$276&amp;'Emission factors'!$L$3:$L$276,0),MATCH('Business travel, commute, home'!K$7,'Emission factors'!$K$2:$V$2,0)))</f>
        <v/>
      </c>
      <c r="L41" s="333" t="str">
        <f>IF(OR(I41="",K41=""),"",SUM(CommutingTable[[#This Row],[Direct]:[Indirect WTT]]))</f>
        <v/>
      </c>
      <c r="M41" s="103"/>
      <c r="N41" s="101"/>
      <c r="O41" s="157" t="str" cm="1">
        <f t="array" ref="O41">IF(OR($C41="",$G41="",CommutingTable[[#This Row],[Converted data]]=""),"",(INDEX('Emission factors'!$K$3:$V$201,MATCH($B41&amp;$C41&amp;$D41,'Emission factors'!$J$3:$J$201&amp;'Emission factors'!$K$3:$K$201&amp;'Emission factors'!$L$3:$L$201,0),MATCH(O$37,'Emission factors'!$K$2:$V$2,0)))*$I41)</f>
        <v/>
      </c>
      <c r="P41" s="157" t="str" cm="1">
        <f t="array" ref="P41">IF(OR($C41="",$G41="",CommutingTable[[#This Row],[Converted data]]=""),"",(INDEX('Emission factors'!$K$3:$V$201,MATCH($B41&amp;$C41&amp;$D41,'Emission factors'!$J$3:$J$201&amp;'Emission factors'!$K$3:$K$201&amp;'Emission factors'!$L$3:$L$201,0),MATCH(P$37,'Emission factors'!$K$2:$V$2,0)))*$I41)</f>
        <v/>
      </c>
      <c r="Q41" s="157" t="str" cm="1">
        <f t="array" ref="Q41">IF(OR($C41="",$G41="",CommutingTable[[#This Row],[Converted data]]=""),"",(INDEX('Emission factors'!$K$3:$V$201,MATCH($B41&amp;$C41&amp;$D41,'Emission factors'!$J$3:$J$201&amp;'Emission factors'!$K$3:$K$201&amp;'Emission factors'!$L$3:$L$201,0),MATCH(Q$37,'Emission factors'!$K$2:$V$2,0)))*$I41)</f>
        <v/>
      </c>
      <c r="R41" s="157" t="str" cm="1">
        <f t="array" ref="R41">IF(OR($C41="",$G41="",CommutingTable[[#This Row],[Converted data]]=""),"",(INDEX('Emission factors'!$K$3:$V$201,MATCH($B41&amp;$C41&amp;$D41,'Emission factors'!$J$3:$J$201&amp;'Emission factors'!$K$3:$K$201&amp;'Emission factors'!$L$3:$L$201,0),MATCH(R$37,'Emission factors'!$K$2:$V$2,0)))*$I41)</f>
        <v/>
      </c>
      <c r="S41" s="157" t="str" cm="1">
        <f t="array" ref="S41">IF(OR($C41="",$G41="",CommutingTable[[#This Row],[Converted data]]=""),"",(INDEX('Emission factors'!$K$3:$V$201,MATCH($B41&amp;$C41&amp;$D41,'Emission factors'!$J$3:$J$201&amp;'Emission factors'!$K$3:$K$201&amp;'Emission factors'!$L$3:$L$201,0),MATCH(S$37,'Emission factors'!$K$2:$V$2,0)))*$I41)</f>
        <v/>
      </c>
      <c r="T41" s="158" t="str">
        <f t="shared" si="7"/>
        <v/>
      </c>
      <c r="U41" s="344" t="str">
        <f t="shared" si="8"/>
        <v/>
      </c>
      <c r="V41" s="164" t="str" cm="1">
        <f t="array" ref="V41">IF(OR($C41="",$G41="",CommutingTable[[#This Row],[Converted data]]=""),"",(INDEX('Emission factors'!$K$3:$V$201,MATCH($B41&amp;$C41&amp;$D41,'Emission factors'!$J$3:$J$201&amp;'Emission factors'!$K$3:$K$201&amp;'Emission factors'!$L$3:$L$201,0),MATCH(V$37,'Emission factors'!$K$2:$V$2,0)))*$I41)</f>
        <v/>
      </c>
      <c r="X41" s="1" cm="1">
        <f t="array" ref="X41">IF(OR(ISERROR(B41:V41)),1,0)</f>
        <v>0</v>
      </c>
      <c r="Y41" s="1">
        <f t="shared" si="9"/>
        <v>0</v>
      </c>
    </row>
    <row r="42" spans="1:25" ht="15" thickBot="1" x14ac:dyDescent="0.4">
      <c r="B42" s="100"/>
      <c r="C42" s="101"/>
      <c r="D42" s="101"/>
      <c r="E42" s="101"/>
      <c r="F42" s="331" t="str">
        <f>IF(E42="","",INDEX(Lists!$BA$4:$BC$31,MATCH('Business travel, commute, home'!$B42,Lists!$AZ$4:$AZ$31,0),MATCH('Business travel, commute, home'!E42,Lists!$BA$3:$BC$3,0)))</f>
        <v/>
      </c>
      <c r="G42" s="70"/>
      <c r="H42" s="101"/>
      <c r="I42" s="275" t="str" cm="1">
        <f t="array" ref="I42">IF(OR($B42="",$C42="",$D42="",H42=""),"",IF(H42=J42,G42,(INDEX('Emission factors'!$K$3:$V$276,MATCH($B42&amp;$C42&amp;$D42,'Emission factors'!$J$3:$J$276&amp;'Emission factors'!$K$3:$K$276&amp;'Emission factors'!$L$3:$L$276,0),MATCH('Business travel, commute, home'!I$7,'Emission factors'!$K$2:$V$2,0)))*G42))</f>
        <v/>
      </c>
      <c r="J42" s="332" t="str" cm="1">
        <f t="array" ref="J42">IF(OR($B42="",$C42="",$G42=""),"",INDEX('Emission factors'!$K$3:$V$276,MATCH($B42&amp;$C42&amp;$D42,'Emission factors'!$J$3:$J$276&amp;'Emission factors'!$K$3:$K$276&amp;'Emission factors'!$L$3:$L$276,0),MATCH('Business travel, commute, home'!J$7,'Emission factors'!$K$2:$V$2,0)))</f>
        <v/>
      </c>
      <c r="K42" s="332" t="str">
        <f t="array" ref="K42">IF(OR(B42="",C42="",D42=""),"",INDEX('Emission factors'!$K$3:$V$276,MATCH($B42&amp;$C42&amp;$D42,'Emission factors'!$J$3:$J$276&amp;'Emission factors'!$K$3:$K$276&amp;'Emission factors'!$L$3:$L$276,0),MATCH('Business travel, commute, home'!K$7,'Emission factors'!$K$2:$V$2,0)))</f>
        <v/>
      </c>
      <c r="L42" s="333" t="str">
        <f>IF(OR(I42="",K42=""),"",SUM(CommutingTable[[#This Row],[Direct]:[Indirect WTT]]))</f>
        <v/>
      </c>
      <c r="M42" s="103"/>
      <c r="N42" s="101"/>
      <c r="O42" s="157" t="str" cm="1">
        <f t="array" ref="O42">IF(OR($C42="",$G42="",CommutingTable[[#This Row],[Converted data]]=""),"",(INDEX('Emission factors'!$K$3:$V$201,MATCH($B42&amp;$C42&amp;$D42,'Emission factors'!$J$3:$J$201&amp;'Emission factors'!$K$3:$K$201&amp;'Emission factors'!$L$3:$L$201,0),MATCH(O$37,'Emission factors'!$K$2:$V$2,0)))*$I42)</f>
        <v/>
      </c>
      <c r="P42" s="157" t="str" cm="1">
        <f t="array" ref="P42">IF(OR($C42="",$G42="",CommutingTable[[#This Row],[Converted data]]=""),"",(INDEX('Emission factors'!$K$3:$V$201,MATCH($B42&amp;$C42&amp;$D42,'Emission factors'!$J$3:$J$201&amp;'Emission factors'!$K$3:$K$201&amp;'Emission factors'!$L$3:$L$201,0),MATCH(P$37,'Emission factors'!$K$2:$V$2,0)))*$I42)</f>
        <v/>
      </c>
      <c r="Q42" s="157" t="str" cm="1">
        <f t="array" ref="Q42">IF(OR($C42="",$G42="",CommutingTable[[#This Row],[Converted data]]=""),"",(INDEX('Emission factors'!$K$3:$V$201,MATCH($B42&amp;$C42&amp;$D42,'Emission factors'!$J$3:$J$201&amp;'Emission factors'!$K$3:$K$201&amp;'Emission factors'!$L$3:$L$201,0),MATCH(Q$37,'Emission factors'!$K$2:$V$2,0)))*$I42)</f>
        <v/>
      </c>
      <c r="R42" s="157" t="str" cm="1">
        <f t="array" ref="R42">IF(OR($C42="",$G42="",CommutingTable[[#This Row],[Converted data]]=""),"",(INDEX('Emission factors'!$K$3:$V$201,MATCH($B42&amp;$C42&amp;$D42,'Emission factors'!$J$3:$J$201&amp;'Emission factors'!$K$3:$K$201&amp;'Emission factors'!$L$3:$L$201,0),MATCH(R$37,'Emission factors'!$K$2:$V$2,0)))*$I42)</f>
        <v/>
      </c>
      <c r="S42" s="157" t="str" cm="1">
        <f t="array" ref="S42">IF(OR($C42="",$G42="",CommutingTable[[#This Row],[Converted data]]=""),"",(INDEX('Emission factors'!$K$3:$V$201,MATCH($B42&amp;$C42&amp;$D42,'Emission factors'!$J$3:$J$201&amp;'Emission factors'!$K$3:$K$201&amp;'Emission factors'!$L$3:$L$201,0),MATCH(S$37,'Emission factors'!$K$2:$V$2,0)))*$I42)</f>
        <v/>
      </c>
      <c r="T42" s="158" t="str">
        <f t="shared" si="7"/>
        <v/>
      </c>
      <c r="U42" s="344" t="str">
        <f t="shared" si="8"/>
        <v/>
      </c>
      <c r="V42" s="164" t="str" cm="1">
        <f t="array" ref="V42">IF(OR($C42="",$G42="",CommutingTable[[#This Row],[Converted data]]=""),"",(INDEX('Emission factors'!$K$3:$V$201,MATCH($B42&amp;$C42&amp;$D42,'Emission factors'!$J$3:$J$201&amp;'Emission factors'!$K$3:$K$201&amp;'Emission factors'!$L$3:$L$201,0),MATCH(V$37,'Emission factors'!$K$2:$V$2,0)))*$I42)</f>
        <v/>
      </c>
      <c r="X42" s="1" cm="1">
        <f t="array" ref="X42">IF(OR(ISERROR(B42:V42)),1,0)</f>
        <v>0</v>
      </c>
      <c r="Y42" s="1">
        <f t="shared" si="9"/>
        <v>0</v>
      </c>
    </row>
    <row r="43" spans="1:25" ht="15" thickBot="1" x14ac:dyDescent="0.4">
      <c r="B43" s="100"/>
      <c r="C43" s="101"/>
      <c r="D43" s="101"/>
      <c r="E43" s="101"/>
      <c r="F43" s="331" t="str">
        <f>IF(E43="","",INDEX(Lists!$BA$4:$BC$31,MATCH('Business travel, commute, home'!$B43,Lists!$AZ$4:$AZ$31,0),MATCH('Business travel, commute, home'!E43,Lists!$BA$3:$BC$3,0)))</f>
        <v/>
      </c>
      <c r="G43" s="70"/>
      <c r="H43" s="101"/>
      <c r="I43" s="275" t="str" cm="1">
        <f t="array" ref="I43">IF(OR($B43="",$C43="",$D43="",H43=""),"",IF(H43=J43,G43,(INDEX('Emission factors'!$K$3:$V$276,MATCH($B43&amp;$C43&amp;$D43,'Emission factors'!$J$3:$J$276&amp;'Emission factors'!$K$3:$K$276&amp;'Emission factors'!$L$3:$L$276,0),MATCH('Business travel, commute, home'!I$7,'Emission factors'!$K$2:$V$2,0)))*G43))</f>
        <v/>
      </c>
      <c r="J43" s="332" t="str" cm="1">
        <f t="array" ref="J43">IF(OR($B43="",$C43="",$G43=""),"",INDEX('Emission factors'!$K$3:$V$276,MATCH($B43&amp;$C43&amp;$D43,'Emission factors'!$J$3:$J$276&amp;'Emission factors'!$K$3:$K$276&amp;'Emission factors'!$L$3:$L$276,0),MATCH('Business travel, commute, home'!J$7,'Emission factors'!$K$2:$V$2,0)))</f>
        <v/>
      </c>
      <c r="K43" s="332" t="str">
        <f t="array" ref="K43">IF(OR(B43="",C43="",D43=""),"",INDEX('Emission factors'!$K$3:$V$276,MATCH($B43&amp;$C43&amp;$D43,'Emission factors'!$J$3:$J$276&amp;'Emission factors'!$K$3:$K$276&amp;'Emission factors'!$L$3:$L$276,0),MATCH('Business travel, commute, home'!K$7,'Emission factors'!$K$2:$V$2,0)))</f>
        <v/>
      </c>
      <c r="L43" s="333" t="str">
        <f>IF(OR(I43="",K43=""),"",SUM(CommutingTable[[#This Row],[Direct]:[Indirect WTT]]))</f>
        <v/>
      </c>
      <c r="M43" s="103"/>
      <c r="N43" s="101"/>
      <c r="O43" s="157" t="str" cm="1">
        <f t="array" ref="O43">IF(OR($C43="",$G43="",CommutingTable[[#This Row],[Converted data]]=""),"",(INDEX('Emission factors'!$K$3:$V$201,MATCH($B43&amp;$C43&amp;$D43,'Emission factors'!$J$3:$J$201&amp;'Emission factors'!$K$3:$K$201&amp;'Emission factors'!$L$3:$L$201,0),MATCH(O$37,'Emission factors'!$K$2:$V$2,0)))*$I43)</f>
        <v/>
      </c>
      <c r="P43" s="157" t="str" cm="1">
        <f t="array" ref="P43">IF(OR($C43="",$G43="",CommutingTable[[#This Row],[Converted data]]=""),"",(INDEX('Emission factors'!$K$3:$V$201,MATCH($B43&amp;$C43&amp;$D43,'Emission factors'!$J$3:$J$201&amp;'Emission factors'!$K$3:$K$201&amp;'Emission factors'!$L$3:$L$201,0),MATCH(P$37,'Emission factors'!$K$2:$V$2,0)))*$I43)</f>
        <v/>
      </c>
      <c r="Q43" s="157" t="str" cm="1">
        <f t="array" ref="Q43">IF(OR($C43="",$G43="",CommutingTable[[#This Row],[Converted data]]=""),"",(INDEX('Emission factors'!$K$3:$V$201,MATCH($B43&amp;$C43&amp;$D43,'Emission factors'!$J$3:$J$201&amp;'Emission factors'!$K$3:$K$201&amp;'Emission factors'!$L$3:$L$201,0),MATCH(Q$37,'Emission factors'!$K$2:$V$2,0)))*$I43)</f>
        <v/>
      </c>
      <c r="R43" s="157" t="str" cm="1">
        <f t="array" ref="R43">IF(OR($C43="",$G43="",CommutingTable[[#This Row],[Converted data]]=""),"",(INDEX('Emission factors'!$K$3:$V$201,MATCH($B43&amp;$C43&amp;$D43,'Emission factors'!$J$3:$J$201&amp;'Emission factors'!$K$3:$K$201&amp;'Emission factors'!$L$3:$L$201,0),MATCH(R$37,'Emission factors'!$K$2:$V$2,0)))*$I43)</f>
        <v/>
      </c>
      <c r="S43" s="157" t="str" cm="1">
        <f t="array" ref="S43">IF(OR($C43="",$G43="",CommutingTable[[#This Row],[Converted data]]=""),"",(INDEX('Emission factors'!$K$3:$V$201,MATCH($B43&amp;$C43&amp;$D43,'Emission factors'!$J$3:$J$201&amp;'Emission factors'!$K$3:$K$201&amp;'Emission factors'!$L$3:$L$201,0),MATCH(S$37,'Emission factors'!$K$2:$V$2,0)))*$I43)</f>
        <v/>
      </c>
      <c r="T43" s="158" t="str">
        <f t="shared" si="7"/>
        <v/>
      </c>
      <c r="U43" s="344" t="str">
        <f t="shared" si="8"/>
        <v/>
      </c>
      <c r="V43" s="164" t="str" cm="1">
        <f t="array" ref="V43">IF(OR($C43="",$G43="",CommutingTable[[#This Row],[Converted data]]=""),"",(INDEX('Emission factors'!$K$3:$V$201,MATCH($B43&amp;$C43&amp;$D43,'Emission factors'!$J$3:$J$201&amp;'Emission factors'!$K$3:$K$201&amp;'Emission factors'!$L$3:$L$201,0),MATCH(V$37,'Emission factors'!$K$2:$V$2,0)))*$I43)</f>
        <v/>
      </c>
      <c r="X43" s="1" cm="1">
        <f t="array" ref="X43">IF(OR(ISERROR(B43:V43)),1,0)</f>
        <v>0</v>
      </c>
      <c r="Y43" s="1">
        <f t="shared" si="9"/>
        <v>0</v>
      </c>
    </row>
    <row r="44" spans="1:25" ht="15" thickBot="1" x14ac:dyDescent="0.4">
      <c r="B44" s="100"/>
      <c r="C44" s="101"/>
      <c r="D44" s="101"/>
      <c r="E44" s="101"/>
      <c r="F44" s="331" t="str">
        <f>IF(E44="","",INDEX(Lists!$BA$4:$BC$31,MATCH('Business travel, commute, home'!$B44,Lists!$AZ$4:$AZ$31,0),MATCH('Business travel, commute, home'!E44,Lists!$BA$3:$BC$3,0)))</f>
        <v/>
      </c>
      <c r="G44" s="70"/>
      <c r="H44" s="101"/>
      <c r="I44" s="275" t="str" cm="1">
        <f t="array" ref="I44">IF(OR($B44="",$C44="",$D44="",H44=""),"",IF(H44=J44,G44,(INDEX('Emission factors'!$K$3:$V$276,MATCH($B44&amp;$C44&amp;$D44,'Emission factors'!$J$3:$J$276&amp;'Emission factors'!$K$3:$K$276&amp;'Emission factors'!$L$3:$L$276,0),MATCH('Business travel, commute, home'!I$7,'Emission factors'!$K$2:$V$2,0)))*G44))</f>
        <v/>
      </c>
      <c r="J44" s="332" t="str" cm="1">
        <f t="array" ref="J44">IF(OR($B44="",$C44="",$G44=""),"",INDEX('Emission factors'!$K$3:$V$276,MATCH($B44&amp;$C44&amp;$D44,'Emission factors'!$J$3:$J$276&amp;'Emission factors'!$K$3:$K$276&amp;'Emission factors'!$L$3:$L$276,0),MATCH('Business travel, commute, home'!J$7,'Emission factors'!$K$2:$V$2,0)))</f>
        <v/>
      </c>
      <c r="K44" s="332" t="str" cm="1">
        <f t="array" ref="K44">IF(OR(B44="",C44="",D44=""),"",INDEX('Emission factors'!$K$3:$V$276,MATCH($B44&amp;$C44&amp;$D44,'Emission factors'!$J$3:$J$276&amp;'Emission factors'!$K$3:$K$276&amp;'Emission factors'!$L$3:$L$276,0),MATCH('Business travel, commute, home'!K$7,'Emission factors'!$K$2:$V$2,0)))</f>
        <v/>
      </c>
      <c r="L44" s="333" t="str">
        <f>IF(OR(I44="",K44=""),"",SUM(CommutingTable[[#This Row],[Direct]:[Indirect WTT]]))</f>
        <v/>
      </c>
      <c r="M44" s="103"/>
      <c r="N44" s="101"/>
      <c r="O44" s="157" t="str" cm="1">
        <f t="array" ref="O44">IF(OR($C44="",$G44="",CommutingTable[[#This Row],[Converted data]]=""),"",(INDEX('Emission factors'!$K$3:$V$201,MATCH($B44&amp;$C44&amp;$D44,'Emission factors'!$J$3:$J$201&amp;'Emission factors'!$K$3:$K$201&amp;'Emission factors'!$L$3:$L$201,0),MATCH(O$37,'Emission factors'!$K$2:$V$2,0)))*$I44)</f>
        <v/>
      </c>
      <c r="P44" s="157" t="str" cm="1">
        <f t="array" ref="P44">IF(OR($C44="",$G44="",CommutingTable[[#This Row],[Converted data]]=""),"",(INDEX('Emission factors'!$K$3:$V$201,MATCH($B44&amp;$C44&amp;$D44,'Emission factors'!$J$3:$J$201&amp;'Emission factors'!$K$3:$K$201&amp;'Emission factors'!$L$3:$L$201,0),MATCH(P$37,'Emission factors'!$K$2:$V$2,0)))*$I44)</f>
        <v/>
      </c>
      <c r="Q44" s="157" t="str" cm="1">
        <f t="array" ref="Q44">IF(OR($C44="",$G44="",CommutingTable[[#This Row],[Converted data]]=""),"",(INDEX('Emission factors'!$K$3:$V$201,MATCH($B44&amp;$C44&amp;$D44,'Emission factors'!$J$3:$J$201&amp;'Emission factors'!$K$3:$K$201&amp;'Emission factors'!$L$3:$L$201,0),MATCH(Q$37,'Emission factors'!$K$2:$V$2,0)))*$I44)</f>
        <v/>
      </c>
      <c r="R44" s="157" t="str" cm="1">
        <f t="array" ref="R44">IF(OR($C44="",$G44="",CommutingTable[[#This Row],[Converted data]]=""),"",(INDEX('Emission factors'!$K$3:$V$201,MATCH($B44&amp;$C44&amp;$D44,'Emission factors'!$J$3:$J$201&amp;'Emission factors'!$K$3:$K$201&amp;'Emission factors'!$L$3:$L$201,0),MATCH(R$37,'Emission factors'!$K$2:$V$2,0)))*$I44)</f>
        <v/>
      </c>
      <c r="S44" s="157" t="str" cm="1">
        <f t="array" ref="S44">IF(OR($C44="",$G44="",CommutingTable[[#This Row],[Converted data]]=""),"",(INDEX('Emission factors'!$K$3:$V$201,MATCH($B44&amp;$C44&amp;$D44,'Emission factors'!$J$3:$J$201&amp;'Emission factors'!$K$3:$K$201&amp;'Emission factors'!$L$3:$L$201,0),MATCH(S$37,'Emission factors'!$K$2:$V$2,0)))*$I44)</f>
        <v/>
      </c>
      <c r="T44" s="158" t="str">
        <f t="shared" si="7"/>
        <v/>
      </c>
      <c r="U44" s="344" t="str">
        <f t="shared" si="8"/>
        <v/>
      </c>
      <c r="V44" s="164" t="str" cm="1">
        <f t="array" ref="V44">IF(OR($C44="",$G44="",CommutingTable[[#This Row],[Converted data]]=""),"",(INDEX('Emission factors'!$K$3:$V$201,MATCH($B44&amp;$C44&amp;$D44,'Emission factors'!$J$3:$J$201&amp;'Emission factors'!$K$3:$K$201&amp;'Emission factors'!$L$3:$L$201,0),MATCH(V$37,'Emission factors'!$K$2:$V$2,0)))*$I44)</f>
        <v/>
      </c>
      <c r="X44" s="1" cm="1">
        <f t="array" ref="X44">IF(OR(ISERROR(B44:V44)),1,0)</f>
        <v>0</v>
      </c>
      <c r="Y44" s="1">
        <f t="shared" si="9"/>
        <v>0</v>
      </c>
    </row>
    <row r="45" spans="1:25" ht="15" thickBot="1" x14ac:dyDescent="0.4">
      <c r="B45" s="100"/>
      <c r="C45" s="101"/>
      <c r="D45" s="101"/>
      <c r="E45" s="101"/>
      <c r="F45" s="331" t="str">
        <f>IF(E45="","",INDEX(Lists!$BA$4:$BC$31,MATCH('Business travel, commute, home'!$B45,Lists!$AZ$4:$AZ$31,0),MATCH('Business travel, commute, home'!E45,Lists!$BA$3:$BC$3,0)))</f>
        <v/>
      </c>
      <c r="G45" s="70"/>
      <c r="H45" s="101"/>
      <c r="I45" s="275" t="str" cm="1">
        <f t="array" ref="I45">IF(OR($B45="",$C45="",$D45="",H45=""),"",IF(H45=J45,G45,(INDEX('Emission factors'!$K$3:$V$276,MATCH($B45&amp;$C45&amp;$D45,'Emission factors'!$J$3:$J$276&amp;'Emission factors'!$K$3:$K$276&amp;'Emission factors'!$L$3:$L$276,0),MATCH('Business travel, commute, home'!I$7,'Emission factors'!$K$2:$V$2,0)))*G45))</f>
        <v/>
      </c>
      <c r="J45" s="332" t="str" cm="1">
        <f t="array" ref="J45">IF(OR($B45="",$C45="",$G45=""),"",INDEX('Emission factors'!$K$3:$V$276,MATCH($B45&amp;$C45&amp;$D45,'Emission factors'!$J$3:$J$276&amp;'Emission factors'!$K$3:$K$276&amp;'Emission factors'!$L$3:$L$276,0),MATCH('Business travel, commute, home'!J$7,'Emission factors'!$K$2:$V$2,0)))</f>
        <v/>
      </c>
      <c r="K45" s="332" t="str" cm="1">
        <f t="array" ref="K45">IF(OR(B45="",C45="",D45=""),"",INDEX('Emission factors'!$K$3:$V$276,MATCH($B45&amp;$C45&amp;$D45,'Emission factors'!$J$3:$J$276&amp;'Emission factors'!$K$3:$K$276&amp;'Emission factors'!$L$3:$L$276,0),MATCH('Business travel, commute, home'!K$7,'Emission factors'!$K$2:$V$2,0)))</f>
        <v/>
      </c>
      <c r="L45" s="333" t="str">
        <f>IF(OR(I45="",K45=""),"",SUM(CommutingTable[[#This Row],[Direct]:[Indirect WTT]]))</f>
        <v/>
      </c>
      <c r="M45" s="103"/>
      <c r="N45" s="101"/>
      <c r="O45" s="157" t="str" cm="1">
        <f t="array" ref="O45">IF(OR($C45="",$G45="",CommutingTable[[#This Row],[Converted data]]=""),"",(INDEX('Emission factors'!$K$3:$V$201,MATCH($B45&amp;$C45&amp;$D45,'Emission factors'!$J$3:$J$201&amp;'Emission factors'!$K$3:$K$201&amp;'Emission factors'!$L$3:$L$201,0),MATCH(O$37,'Emission factors'!$K$2:$V$2,0)))*$I45)</f>
        <v/>
      </c>
      <c r="P45" s="157" t="str" cm="1">
        <f t="array" ref="P45">IF(OR($C45="",$G45="",CommutingTable[[#This Row],[Converted data]]=""),"",(INDEX('Emission factors'!$K$3:$V$201,MATCH($B45&amp;$C45&amp;$D45,'Emission factors'!$J$3:$J$201&amp;'Emission factors'!$K$3:$K$201&amp;'Emission factors'!$L$3:$L$201,0),MATCH(P$37,'Emission factors'!$K$2:$V$2,0)))*$I45)</f>
        <v/>
      </c>
      <c r="Q45" s="157" t="str" cm="1">
        <f t="array" ref="Q45">IF(OR($C45="",$G45="",CommutingTable[[#This Row],[Converted data]]=""),"",(INDEX('Emission factors'!$K$3:$V$201,MATCH($B45&amp;$C45&amp;$D45,'Emission factors'!$J$3:$J$201&amp;'Emission factors'!$K$3:$K$201&amp;'Emission factors'!$L$3:$L$201,0),MATCH(Q$37,'Emission factors'!$K$2:$V$2,0)))*$I45)</f>
        <v/>
      </c>
      <c r="R45" s="157" t="str" cm="1">
        <f t="array" ref="R45">IF(OR($C45="",$G45="",CommutingTable[[#This Row],[Converted data]]=""),"",(INDEX('Emission factors'!$K$3:$V$201,MATCH($B45&amp;$C45&amp;$D45,'Emission factors'!$J$3:$J$201&amp;'Emission factors'!$K$3:$K$201&amp;'Emission factors'!$L$3:$L$201,0),MATCH(R$37,'Emission factors'!$K$2:$V$2,0)))*$I45)</f>
        <v/>
      </c>
      <c r="S45" s="157" t="str" cm="1">
        <f t="array" ref="S45">IF(OR($C45="",$G45="",CommutingTable[[#This Row],[Converted data]]=""),"",(INDEX('Emission factors'!$K$3:$V$201,MATCH($B45&amp;$C45&amp;$D45,'Emission factors'!$J$3:$J$201&amp;'Emission factors'!$K$3:$K$201&amp;'Emission factors'!$L$3:$L$201,0),MATCH(S$37,'Emission factors'!$K$2:$V$2,0)))*$I45)</f>
        <v/>
      </c>
      <c r="T45" s="158" t="str">
        <f t="shared" si="7"/>
        <v/>
      </c>
      <c r="U45" s="344" t="str">
        <f t="shared" si="8"/>
        <v/>
      </c>
      <c r="V45" s="164" t="str" cm="1">
        <f t="array" ref="V45">IF(OR($C45="",$G45="",CommutingTable[[#This Row],[Converted data]]=""),"",(INDEX('Emission factors'!$K$3:$V$201,MATCH($B45&amp;$C45&amp;$D45,'Emission factors'!$J$3:$J$201&amp;'Emission factors'!$K$3:$K$201&amp;'Emission factors'!$L$3:$L$201,0),MATCH(V$37,'Emission factors'!$K$2:$V$2,0)))*$I45)</f>
        <v/>
      </c>
      <c r="X45" s="1" cm="1">
        <f t="array" ref="X45">IF(OR(ISERROR(B45:V45)),1,0)</f>
        <v>0</v>
      </c>
      <c r="Y45" s="1">
        <f t="shared" si="9"/>
        <v>0</v>
      </c>
    </row>
    <row r="46" spans="1:25" ht="15" thickBot="1" x14ac:dyDescent="0.4">
      <c r="B46" s="100"/>
      <c r="C46" s="101"/>
      <c r="D46" s="101"/>
      <c r="E46" s="101"/>
      <c r="F46" s="331" t="str">
        <f>IF(E46="","",INDEX(Lists!$BA$4:$BC$31,MATCH('Business travel, commute, home'!$B46,Lists!$AZ$4:$AZ$31,0),MATCH('Business travel, commute, home'!E46,Lists!$BA$3:$BC$3,0)))</f>
        <v/>
      </c>
      <c r="G46" s="70"/>
      <c r="H46" s="101"/>
      <c r="I46" s="275" t="str" cm="1">
        <f t="array" ref="I46">IF(OR($B46="",$C46="",$D46="",H46=""),"",IF(H46=J46,G46,(INDEX('Emission factors'!$K$3:$V$276,MATCH($B46&amp;$C46&amp;$D46,'Emission factors'!$J$3:$J$276&amp;'Emission factors'!$K$3:$K$276&amp;'Emission factors'!$L$3:$L$276,0),MATCH('Business travel, commute, home'!I$7,'Emission factors'!$K$2:$V$2,0)))*G46))</f>
        <v/>
      </c>
      <c r="J46" s="332" t="str" cm="1">
        <f t="array" ref="J46">IF(OR($B46="",$C46="",$G46=""),"",INDEX('Emission factors'!$K$3:$V$276,MATCH($B46&amp;$C46&amp;$D46,'Emission factors'!$J$3:$J$276&amp;'Emission factors'!$K$3:$K$276&amp;'Emission factors'!$L$3:$L$276,0),MATCH('Business travel, commute, home'!J$7,'Emission factors'!$K$2:$V$2,0)))</f>
        <v/>
      </c>
      <c r="K46" s="332" t="str" cm="1">
        <f t="array" ref="K46">IF(OR(B46="",C46="",D46=""),"",INDEX('Emission factors'!$K$3:$V$276,MATCH($B46&amp;$C46&amp;$D46,'Emission factors'!$J$3:$J$276&amp;'Emission factors'!$K$3:$K$276&amp;'Emission factors'!$L$3:$L$276,0),MATCH('Business travel, commute, home'!K$7,'Emission factors'!$K$2:$V$2,0)))</f>
        <v/>
      </c>
      <c r="L46" s="333" t="str">
        <f>IF(OR(I46="",K46=""),"",SUM(CommutingTable[[#This Row],[Direct]:[Indirect WTT]]))</f>
        <v/>
      </c>
      <c r="M46" s="103"/>
      <c r="N46" s="101"/>
      <c r="O46" s="157" t="str" cm="1">
        <f t="array" ref="O46">IF(OR($C46="",$G46="",CommutingTable[[#This Row],[Converted data]]=""),"",(INDEX('Emission factors'!$K$3:$V$201,MATCH($B46&amp;$C46&amp;$D46,'Emission factors'!$J$3:$J$201&amp;'Emission factors'!$K$3:$K$201&amp;'Emission factors'!$L$3:$L$201,0),MATCH(O$37,'Emission factors'!$K$2:$V$2,0)))*$I46)</f>
        <v/>
      </c>
      <c r="P46" s="157" t="str" cm="1">
        <f t="array" ref="P46">IF(OR($C46="",$G46="",CommutingTable[[#This Row],[Converted data]]=""),"",(INDEX('Emission factors'!$K$3:$V$201,MATCH($B46&amp;$C46&amp;$D46,'Emission factors'!$J$3:$J$201&amp;'Emission factors'!$K$3:$K$201&amp;'Emission factors'!$L$3:$L$201,0),MATCH(P$37,'Emission factors'!$K$2:$V$2,0)))*$I46)</f>
        <v/>
      </c>
      <c r="Q46" s="157" t="str" cm="1">
        <f t="array" ref="Q46">IF(OR($C46="",$G46="",CommutingTable[[#This Row],[Converted data]]=""),"",(INDEX('Emission factors'!$K$3:$V$201,MATCH($B46&amp;$C46&amp;$D46,'Emission factors'!$J$3:$J$201&amp;'Emission factors'!$K$3:$K$201&amp;'Emission factors'!$L$3:$L$201,0),MATCH(Q$37,'Emission factors'!$K$2:$V$2,0)))*$I46)</f>
        <v/>
      </c>
      <c r="R46" s="157" t="str" cm="1">
        <f t="array" ref="R46">IF(OR($C46="",$G46="",CommutingTable[[#This Row],[Converted data]]=""),"",(INDEX('Emission factors'!$K$3:$V$201,MATCH($B46&amp;$C46&amp;$D46,'Emission factors'!$J$3:$J$201&amp;'Emission factors'!$K$3:$K$201&amp;'Emission factors'!$L$3:$L$201,0),MATCH(R$37,'Emission factors'!$K$2:$V$2,0)))*$I46)</f>
        <v/>
      </c>
      <c r="S46" s="157" t="str" cm="1">
        <f t="array" ref="S46">IF(OR($C46="",$G46="",CommutingTable[[#This Row],[Converted data]]=""),"",(INDEX('Emission factors'!$K$3:$V$201,MATCH($B46&amp;$C46&amp;$D46,'Emission factors'!$J$3:$J$201&amp;'Emission factors'!$K$3:$K$201&amp;'Emission factors'!$L$3:$L$201,0),MATCH(S$37,'Emission factors'!$K$2:$V$2,0)))*$I46)</f>
        <v/>
      </c>
      <c r="T46" s="158" t="str">
        <f t="shared" si="7"/>
        <v/>
      </c>
      <c r="U46" s="344" t="str">
        <f t="shared" si="8"/>
        <v/>
      </c>
      <c r="V46" s="164" t="str" cm="1">
        <f t="array" ref="V46">IF(OR($C46="",$G46="",CommutingTable[[#This Row],[Converted data]]=""),"",(INDEX('Emission factors'!$K$3:$V$201,MATCH($B46&amp;$C46&amp;$D46,'Emission factors'!$J$3:$J$201&amp;'Emission factors'!$K$3:$K$201&amp;'Emission factors'!$L$3:$L$201,0),MATCH(V$37,'Emission factors'!$K$2:$V$2,0)))*$I46)</f>
        <v/>
      </c>
      <c r="X46" s="1" cm="1">
        <f t="array" ref="X46">IF(OR(ISERROR(B46:V46)),1,0)</f>
        <v>0</v>
      </c>
      <c r="Y46" s="1">
        <f t="shared" si="9"/>
        <v>0</v>
      </c>
    </row>
    <row r="47" spans="1:25" ht="15" thickBot="1" x14ac:dyDescent="0.4">
      <c r="B47" s="100"/>
      <c r="C47" s="101"/>
      <c r="D47" s="101"/>
      <c r="E47" s="101"/>
      <c r="F47" s="331" t="str">
        <f>IF(E47="","",INDEX(Lists!$BA$4:$BC$31,MATCH('Business travel, commute, home'!$B47,Lists!$AZ$4:$AZ$31,0),MATCH('Business travel, commute, home'!E47,Lists!$BA$3:$BC$3,0)))</f>
        <v/>
      </c>
      <c r="G47" s="70"/>
      <c r="H47" s="101"/>
      <c r="I47" s="275" t="str" cm="1">
        <f t="array" ref="I47">IF(OR($B47="",$C47="",$D47="",H47=""),"",IF(H47=J47,G47,(INDEX('Emission factors'!$K$3:$V$276,MATCH($B47&amp;$C47&amp;$D47,'Emission factors'!$J$3:$J$276&amp;'Emission factors'!$K$3:$K$276&amp;'Emission factors'!$L$3:$L$276,0),MATCH('Business travel, commute, home'!I$7,'Emission factors'!$K$2:$V$2,0)))*G47))</f>
        <v/>
      </c>
      <c r="J47" s="332" t="str" cm="1">
        <f t="array" ref="J47">IF(OR($B47="",$C47="",$G47=""),"",INDEX('Emission factors'!$K$3:$V$276,MATCH($B47&amp;$C47&amp;$D47,'Emission factors'!$J$3:$J$276&amp;'Emission factors'!$K$3:$K$276&amp;'Emission factors'!$L$3:$L$276,0),MATCH('Business travel, commute, home'!J$7,'Emission factors'!$K$2:$V$2,0)))</f>
        <v/>
      </c>
      <c r="K47" s="332" t="str" cm="1">
        <f t="array" ref="K47">IF(OR(B47="",C47="",D47=""),"",INDEX('Emission factors'!$K$3:$V$276,MATCH($B47&amp;$C47&amp;$D47,'Emission factors'!$J$3:$J$276&amp;'Emission factors'!$K$3:$K$276&amp;'Emission factors'!$L$3:$L$276,0),MATCH('Business travel, commute, home'!K$7,'Emission factors'!$K$2:$V$2,0)))</f>
        <v/>
      </c>
      <c r="L47" s="333" t="str">
        <f>IF(OR(I47="",K47=""),"",SUM(CommutingTable[[#This Row],[Direct]:[Indirect WTT]]))</f>
        <v/>
      </c>
      <c r="M47" s="103"/>
      <c r="N47" s="101"/>
      <c r="O47" s="157" t="str" cm="1">
        <f t="array" ref="O47">IF(OR($C47="",$G47="",CommutingTable[[#This Row],[Converted data]]=""),"",(INDEX('Emission factors'!$K$3:$V$201,MATCH($B47&amp;$C47&amp;$D47,'Emission factors'!$J$3:$J$201&amp;'Emission factors'!$K$3:$K$201&amp;'Emission factors'!$L$3:$L$201,0),MATCH(O$37,'Emission factors'!$K$2:$V$2,0)))*$I47)</f>
        <v/>
      </c>
      <c r="P47" s="157" t="str" cm="1">
        <f t="array" ref="P47">IF(OR($C47="",$G47="",CommutingTable[[#This Row],[Converted data]]=""),"",(INDEX('Emission factors'!$K$3:$V$201,MATCH($B47&amp;$C47&amp;$D47,'Emission factors'!$J$3:$J$201&amp;'Emission factors'!$K$3:$K$201&amp;'Emission factors'!$L$3:$L$201,0),MATCH(P$37,'Emission factors'!$K$2:$V$2,0)))*$I47)</f>
        <v/>
      </c>
      <c r="Q47" s="157" t="str" cm="1">
        <f t="array" ref="Q47">IF(OR($C47="",$G47="",CommutingTable[[#This Row],[Converted data]]=""),"",(INDEX('Emission factors'!$K$3:$V$201,MATCH($B47&amp;$C47&amp;$D47,'Emission factors'!$J$3:$J$201&amp;'Emission factors'!$K$3:$K$201&amp;'Emission factors'!$L$3:$L$201,0),MATCH(Q$37,'Emission factors'!$K$2:$V$2,0)))*$I47)</f>
        <v/>
      </c>
      <c r="R47" s="157" t="str" cm="1">
        <f t="array" ref="R47">IF(OR($C47="",$G47="",CommutingTable[[#This Row],[Converted data]]=""),"",(INDEX('Emission factors'!$K$3:$V$201,MATCH($B47&amp;$C47&amp;$D47,'Emission factors'!$J$3:$J$201&amp;'Emission factors'!$K$3:$K$201&amp;'Emission factors'!$L$3:$L$201,0),MATCH(R$37,'Emission factors'!$K$2:$V$2,0)))*$I47)</f>
        <v/>
      </c>
      <c r="S47" s="157" t="str" cm="1">
        <f t="array" ref="S47">IF(OR($C47="",$G47="",CommutingTable[[#This Row],[Converted data]]=""),"",(INDEX('Emission factors'!$K$3:$V$201,MATCH($B47&amp;$C47&amp;$D47,'Emission factors'!$J$3:$J$201&amp;'Emission factors'!$K$3:$K$201&amp;'Emission factors'!$L$3:$L$201,0),MATCH(S$37,'Emission factors'!$K$2:$V$2,0)))*$I47)</f>
        <v/>
      </c>
      <c r="T47" s="158" t="str">
        <f t="shared" si="7"/>
        <v/>
      </c>
      <c r="U47" s="344" t="str">
        <f t="shared" si="8"/>
        <v/>
      </c>
      <c r="V47" s="164" t="str" cm="1">
        <f t="array" ref="V47">IF(OR($C47="",$G47="",CommutingTable[[#This Row],[Converted data]]=""),"",(INDEX('Emission factors'!$K$3:$V$201,MATCH($B47&amp;$C47&amp;$D47,'Emission factors'!$J$3:$J$201&amp;'Emission factors'!$K$3:$K$201&amp;'Emission factors'!$L$3:$L$201,0),MATCH(V$37,'Emission factors'!$K$2:$V$2,0)))*$I47)</f>
        <v/>
      </c>
      <c r="X47" s="1" cm="1">
        <f t="array" ref="X47">IF(OR(ISERROR(B47:V47)),1,0)</f>
        <v>0</v>
      </c>
      <c r="Y47" s="1">
        <f t="shared" si="9"/>
        <v>0</v>
      </c>
    </row>
    <row r="48" spans="1:25" ht="15" thickBot="1" x14ac:dyDescent="0.4">
      <c r="B48" s="100"/>
      <c r="C48" s="101"/>
      <c r="D48" s="101"/>
      <c r="E48" s="101"/>
      <c r="F48" s="331" t="str">
        <f>IF(E48="","",INDEX(Lists!$BA$4:$BC$31,MATCH('Business travel, commute, home'!$B48,Lists!$AZ$4:$AZ$31,0),MATCH('Business travel, commute, home'!E48,Lists!$BA$3:$BC$3,0)))</f>
        <v/>
      </c>
      <c r="G48" s="70"/>
      <c r="H48" s="101"/>
      <c r="I48" s="275" t="str" cm="1">
        <f t="array" ref="I48">IF(OR($B48="",$C48="",$D48="",H48=""),"",IF(H48=J48,G48,(INDEX('Emission factors'!$K$3:$V$276,MATCH($B48&amp;$C48&amp;$D48,'Emission factors'!$J$3:$J$276&amp;'Emission factors'!$K$3:$K$276&amp;'Emission factors'!$L$3:$L$276,0),MATCH('Business travel, commute, home'!I$7,'Emission factors'!$K$2:$V$2,0)))*G48))</f>
        <v/>
      </c>
      <c r="J48" s="332" t="str" cm="1">
        <f t="array" ref="J48">IF(OR($B48="",$C48="",$G48=""),"",INDEX('Emission factors'!$K$3:$V$276,MATCH($B48&amp;$C48&amp;$D48,'Emission factors'!$J$3:$J$276&amp;'Emission factors'!$K$3:$K$276&amp;'Emission factors'!$L$3:$L$276,0),MATCH('Business travel, commute, home'!J$7,'Emission factors'!$K$2:$V$2,0)))</f>
        <v/>
      </c>
      <c r="K48" s="332" t="str" cm="1">
        <f t="array" ref="K48">IF(OR(B48="",C48="",D48=""),"",INDEX('Emission factors'!$K$3:$V$276,MATCH($B48&amp;$C48&amp;$D48,'Emission factors'!$J$3:$J$276&amp;'Emission factors'!$K$3:$K$276&amp;'Emission factors'!$L$3:$L$276,0),MATCH('Business travel, commute, home'!K$7,'Emission factors'!$K$2:$V$2,0)))</f>
        <v/>
      </c>
      <c r="L48" s="333" t="str">
        <f>IF(OR(I48="",K48=""),"",SUM(CommutingTable[[#This Row],[Direct]:[Indirect WTT]]))</f>
        <v/>
      </c>
      <c r="M48" s="103"/>
      <c r="N48" s="101"/>
      <c r="O48" s="157" t="str" cm="1">
        <f t="array" ref="O48">IF(OR($C48="",$G48="",CommutingTable[[#This Row],[Converted data]]=""),"",(INDEX('Emission factors'!$K$3:$V$201,MATCH($B48&amp;$C48&amp;$D48,'Emission factors'!$J$3:$J$201&amp;'Emission factors'!$K$3:$K$201&amp;'Emission factors'!$L$3:$L$201,0),MATCH(O$37,'Emission factors'!$K$2:$V$2,0)))*$I48)</f>
        <v/>
      </c>
      <c r="P48" s="157" t="str" cm="1">
        <f t="array" ref="P48">IF(OR($C48="",$G48="",CommutingTable[[#This Row],[Converted data]]=""),"",(INDEX('Emission factors'!$K$3:$V$201,MATCH($B48&amp;$C48&amp;$D48,'Emission factors'!$J$3:$J$201&amp;'Emission factors'!$K$3:$K$201&amp;'Emission factors'!$L$3:$L$201,0),MATCH(P$37,'Emission factors'!$K$2:$V$2,0)))*$I48)</f>
        <v/>
      </c>
      <c r="Q48" s="157" t="str" cm="1">
        <f t="array" ref="Q48">IF(OR($C48="",$G48="",CommutingTable[[#This Row],[Converted data]]=""),"",(INDEX('Emission factors'!$K$3:$V$201,MATCH($B48&amp;$C48&amp;$D48,'Emission factors'!$J$3:$J$201&amp;'Emission factors'!$K$3:$K$201&amp;'Emission factors'!$L$3:$L$201,0),MATCH(Q$37,'Emission factors'!$K$2:$V$2,0)))*$I48)</f>
        <v/>
      </c>
      <c r="R48" s="157" t="str" cm="1">
        <f t="array" ref="R48">IF(OR($C48="",$G48="",CommutingTable[[#This Row],[Converted data]]=""),"",(INDEX('Emission factors'!$K$3:$V$201,MATCH($B48&amp;$C48&amp;$D48,'Emission factors'!$J$3:$J$201&amp;'Emission factors'!$K$3:$K$201&amp;'Emission factors'!$L$3:$L$201,0),MATCH(R$37,'Emission factors'!$K$2:$V$2,0)))*$I48)</f>
        <v/>
      </c>
      <c r="S48" s="157" t="str" cm="1">
        <f t="array" ref="S48">IF(OR($C48="",$G48="",CommutingTable[[#This Row],[Converted data]]=""),"",(INDEX('Emission factors'!$K$3:$V$201,MATCH($B48&amp;$C48&amp;$D48,'Emission factors'!$J$3:$J$201&amp;'Emission factors'!$K$3:$K$201&amp;'Emission factors'!$L$3:$L$201,0),MATCH(S$37,'Emission factors'!$K$2:$V$2,0)))*$I48)</f>
        <v/>
      </c>
      <c r="T48" s="158" t="str">
        <f t="shared" si="7"/>
        <v/>
      </c>
      <c r="U48" s="344" t="str">
        <f t="shared" si="8"/>
        <v/>
      </c>
      <c r="V48" s="164" t="str" cm="1">
        <f t="array" ref="V48">IF(OR($C48="",$G48="",CommutingTable[[#This Row],[Converted data]]=""),"",(INDEX('Emission factors'!$K$3:$V$201,MATCH($B48&amp;$C48&amp;$D48,'Emission factors'!$J$3:$J$201&amp;'Emission factors'!$K$3:$K$201&amp;'Emission factors'!$L$3:$L$201,0),MATCH(V$37,'Emission factors'!$K$2:$V$2,0)))*$I48)</f>
        <v/>
      </c>
      <c r="X48" s="1" cm="1">
        <f t="array" ref="X48">IF(OR(ISERROR(B48:V48)),1,0)</f>
        <v>0</v>
      </c>
      <c r="Y48" s="1">
        <f t="shared" si="9"/>
        <v>0</v>
      </c>
    </row>
    <row r="49" spans="2:25" ht="15" thickBot="1" x14ac:dyDescent="0.4">
      <c r="B49" s="100"/>
      <c r="C49" s="101"/>
      <c r="D49" s="101"/>
      <c r="E49" s="101"/>
      <c r="F49" s="331" t="str">
        <f>IF(E49="","",INDEX(Lists!$BA$4:$BC$31,MATCH('Business travel, commute, home'!$B49,Lists!$AZ$4:$AZ$31,0),MATCH('Business travel, commute, home'!E49,Lists!$BA$3:$BC$3,0)))</f>
        <v/>
      </c>
      <c r="G49" s="70"/>
      <c r="H49" s="101"/>
      <c r="I49" s="275" t="str" cm="1">
        <f t="array" ref="I49">IF(OR($B49="",$C49="",$D49="",H49=""),"",IF(H49=J49,G49,(INDEX('Emission factors'!$K$3:$V$276,MATCH($B49&amp;$C49&amp;$D49,'Emission factors'!$J$3:$J$276&amp;'Emission factors'!$K$3:$K$276&amp;'Emission factors'!$L$3:$L$276,0),MATCH('Business travel, commute, home'!I$7,'Emission factors'!$K$2:$V$2,0)))*G49))</f>
        <v/>
      </c>
      <c r="J49" s="332" t="str" cm="1">
        <f t="array" ref="J49">IF(OR($B49="",$C49="",$G49=""),"",INDEX('Emission factors'!$K$3:$V$276,MATCH($B49&amp;$C49&amp;$D49,'Emission factors'!$J$3:$J$276&amp;'Emission factors'!$K$3:$K$276&amp;'Emission factors'!$L$3:$L$276,0),MATCH('Business travel, commute, home'!J$7,'Emission factors'!$K$2:$V$2,0)))</f>
        <v/>
      </c>
      <c r="K49" s="332" t="str">
        <f t="array" ref="K49">IF(OR(B49="",C49="",D49=""),"",INDEX('Emission factors'!$K$3:$V$276,MATCH($B49&amp;$C49&amp;$D49,'Emission factors'!$J$3:$J$276&amp;'Emission factors'!$K$3:$K$276&amp;'Emission factors'!$L$3:$L$276,0),MATCH('Business travel, commute, home'!K$7,'Emission factors'!$K$2:$V$2,0)))</f>
        <v/>
      </c>
      <c r="L49" s="333" t="str">
        <f>IF(OR(I49="",K49=""),"",SUM(CommutingTable[[#This Row],[Direct]:[Indirect WTT]]))</f>
        <v/>
      </c>
      <c r="M49" s="103"/>
      <c r="N49" s="101"/>
      <c r="O49" s="157" t="str" cm="1">
        <f t="array" ref="O49">IF(OR($C49="",$G49="",CommutingTable[[#This Row],[Converted data]]=""),"",(INDEX('Emission factors'!$K$3:$V$201,MATCH($B49&amp;$C49&amp;$D49,'Emission factors'!$J$3:$J$201&amp;'Emission factors'!$K$3:$K$201&amp;'Emission factors'!$L$3:$L$201,0),MATCH(O$37,'Emission factors'!$K$2:$V$2,0)))*$I49)</f>
        <v/>
      </c>
      <c r="P49" s="157" t="str" cm="1">
        <f t="array" ref="P49">IF(OR($C49="",$G49="",CommutingTable[[#This Row],[Converted data]]=""),"",(INDEX('Emission factors'!$K$3:$V$201,MATCH($B49&amp;$C49&amp;$D49,'Emission factors'!$J$3:$J$201&amp;'Emission factors'!$K$3:$K$201&amp;'Emission factors'!$L$3:$L$201,0),MATCH(P$37,'Emission factors'!$K$2:$V$2,0)))*$I49)</f>
        <v/>
      </c>
      <c r="Q49" s="157" t="str" cm="1">
        <f t="array" ref="Q49">IF(OR($C49="",$G49="",CommutingTable[[#This Row],[Converted data]]=""),"",(INDEX('Emission factors'!$K$3:$V$201,MATCH($B49&amp;$C49&amp;$D49,'Emission factors'!$J$3:$J$201&amp;'Emission factors'!$K$3:$K$201&amp;'Emission factors'!$L$3:$L$201,0),MATCH(Q$37,'Emission factors'!$K$2:$V$2,0)))*$I49)</f>
        <v/>
      </c>
      <c r="R49" s="157" t="str" cm="1">
        <f t="array" ref="R49">IF(OR($C49="",$G49="",CommutingTable[[#This Row],[Converted data]]=""),"",(INDEX('Emission factors'!$K$3:$V$201,MATCH($B49&amp;$C49&amp;$D49,'Emission factors'!$J$3:$J$201&amp;'Emission factors'!$K$3:$K$201&amp;'Emission factors'!$L$3:$L$201,0),MATCH(R$37,'Emission factors'!$K$2:$V$2,0)))*$I49)</f>
        <v/>
      </c>
      <c r="S49" s="157" t="str" cm="1">
        <f t="array" ref="S49">IF(OR($C49="",$G49="",CommutingTable[[#This Row],[Converted data]]=""),"",(INDEX('Emission factors'!$K$3:$V$201,MATCH($B49&amp;$C49&amp;$D49,'Emission factors'!$J$3:$J$201&amp;'Emission factors'!$K$3:$K$201&amp;'Emission factors'!$L$3:$L$201,0),MATCH(S$37,'Emission factors'!$K$2:$V$2,0)))*$I49)</f>
        <v/>
      </c>
      <c r="T49" s="158" t="str">
        <f t="shared" si="7"/>
        <v/>
      </c>
      <c r="U49" s="344" t="str">
        <f t="shared" si="8"/>
        <v/>
      </c>
      <c r="V49" s="164" t="str" cm="1">
        <f t="array" ref="V49">IF(OR($C49="",$G49="",CommutingTable[[#This Row],[Converted data]]=""),"",(INDEX('Emission factors'!$K$3:$V$201,MATCH($B49&amp;$C49&amp;$D49,'Emission factors'!$J$3:$J$201&amp;'Emission factors'!$K$3:$K$201&amp;'Emission factors'!$L$3:$L$201,0),MATCH(V$37,'Emission factors'!$K$2:$V$2,0)))*$I49)</f>
        <v/>
      </c>
      <c r="X49" s="1" cm="1">
        <f t="array" ref="X49">IF(OR(ISERROR(B49:V49)),1,0)</f>
        <v>0</v>
      </c>
      <c r="Y49" s="1">
        <f t="shared" si="9"/>
        <v>0</v>
      </c>
    </row>
    <row r="50" spans="2:25" ht="15" thickBot="1" x14ac:dyDescent="0.4">
      <c r="B50" s="100"/>
      <c r="C50" s="101"/>
      <c r="D50" s="101"/>
      <c r="E50" s="101"/>
      <c r="F50" s="331" t="str">
        <f>IF(E50="","",INDEX(Lists!$BA$4:$BC$31,MATCH('Business travel, commute, home'!$B50,Lists!$AZ$4:$AZ$31,0),MATCH('Business travel, commute, home'!E50,Lists!$BA$3:$BC$3,0)))</f>
        <v/>
      </c>
      <c r="G50" s="70"/>
      <c r="H50" s="101"/>
      <c r="I50" s="275" t="str" cm="1">
        <f t="array" ref="I50">IF(OR($B50="",$C50="",$D50="",H50=""),"",IF(H50=J50,G50,(INDEX('Emission factors'!$K$3:$V$276,MATCH($B50&amp;$C50&amp;$D50,'Emission factors'!$J$3:$J$276&amp;'Emission factors'!$K$3:$K$276&amp;'Emission factors'!$L$3:$L$276,0),MATCH('Business travel, commute, home'!I$7,'Emission factors'!$K$2:$V$2,0)))*G50))</f>
        <v/>
      </c>
      <c r="J50" s="332" t="str" cm="1">
        <f t="array" ref="J50">IF(OR($B50="",$C50="",$G50=""),"",INDEX('Emission factors'!$K$3:$V$276,MATCH($B50&amp;$C50&amp;$D50,'Emission factors'!$J$3:$J$276&amp;'Emission factors'!$K$3:$K$276&amp;'Emission factors'!$L$3:$L$276,0),MATCH('Business travel, commute, home'!J$7,'Emission factors'!$K$2:$V$2,0)))</f>
        <v/>
      </c>
      <c r="K50" s="332" t="str">
        <f t="array" ref="K50">IF(OR(B50="",C50="",D50=""),"",INDEX('Emission factors'!$K$3:$V$276,MATCH($B50&amp;$C50&amp;$D50,'Emission factors'!$J$3:$J$276&amp;'Emission factors'!$K$3:$K$276&amp;'Emission factors'!$L$3:$L$276,0),MATCH('Business travel, commute, home'!K$7,'Emission factors'!$K$2:$V$2,0)))</f>
        <v/>
      </c>
      <c r="L50" s="333" t="str">
        <f>IF(OR(I50="",K50=""),"",SUM(CommutingTable[[#This Row],[Direct]:[Indirect WTT]]))</f>
        <v/>
      </c>
      <c r="M50" s="103"/>
      <c r="N50" s="101"/>
      <c r="O50" s="157" t="str" cm="1">
        <f t="array" ref="O50">IF(OR($C50="",$G50="",CommutingTable[[#This Row],[Converted data]]=""),"",(INDEX('Emission factors'!$K$3:$V$201,MATCH($B50&amp;$C50&amp;$D50,'Emission factors'!$J$3:$J$201&amp;'Emission factors'!$K$3:$K$201&amp;'Emission factors'!$L$3:$L$201,0),MATCH(O$37,'Emission factors'!$K$2:$V$2,0)))*$I50)</f>
        <v/>
      </c>
      <c r="P50" s="157" t="str" cm="1">
        <f t="array" ref="P50">IF(OR($C50="",$G50="",CommutingTable[[#This Row],[Converted data]]=""),"",(INDEX('Emission factors'!$K$3:$V$201,MATCH($B50&amp;$C50&amp;$D50,'Emission factors'!$J$3:$J$201&amp;'Emission factors'!$K$3:$K$201&amp;'Emission factors'!$L$3:$L$201,0),MATCH(P$37,'Emission factors'!$K$2:$V$2,0)))*$I50)</f>
        <v/>
      </c>
      <c r="Q50" s="157" t="str" cm="1">
        <f t="array" ref="Q50">IF(OR($C50="",$G50="",CommutingTable[[#This Row],[Converted data]]=""),"",(INDEX('Emission factors'!$K$3:$V$201,MATCH($B50&amp;$C50&amp;$D50,'Emission factors'!$J$3:$J$201&amp;'Emission factors'!$K$3:$K$201&amp;'Emission factors'!$L$3:$L$201,0),MATCH(Q$37,'Emission factors'!$K$2:$V$2,0)))*$I50)</f>
        <v/>
      </c>
      <c r="R50" s="157" t="str" cm="1">
        <f t="array" ref="R50">IF(OR($C50="",$G50="",CommutingTable[[#This Row],[Converted data]]=""),"",(INDEX('Emission factors'!$K$3:$V$201,MATCH($B50&amp;$C50&amp;$D50,'Emission factors'!$J$3:$J$201&amp;'Emission factors'!$K$3:$K$201&amp;'Emission factors'!$L$3:$L$201,0),MATCH(R$37,'Emission factors'!$K$2:$V$2,0)))*$I50)</f>
        <v/>
      </c>
      <c r="S50" s="157" t="str" cm="1">
        <f t="array" ref="S50">IF(OR($C50="",$G50="",CommutingTable[[#This Row],[Converted data]]=""),"",(INDEX('Emission factors'!$K$3:$V$201,MATCH($B50&amp;$C50&amp;$D50,'Emission factors'!$J$3:$J$201&amp;'Emission factors'!$K$3:$K$201&amp;'Emission factors'!$L$3:$L$201,0),MATCH(S$37,'Emission factors'!$K$2:$V$2,0)))*$I50)</f>
        <v/>
      </c>
      <c r="T50" s="158" t="str">
        <f t="shared" si="7"/>
        <v/>
      </c>
      <c r="U50" s="344" t="str">
        <f t="shared" si="8"/>
        <v/>
      </c>
      <c r="V50" s="164" t="str" cm="1">
        <f t="array" ref="V50">IF(OR($C50="",$G50="",CommutingTable[[#This Row],[Converted data]]=""),"",(INDEX('Emission factors'!$K$3:$V$201,MATCH($B50&amp;$C50&amp;$D50,'Emission factors'!$J$3:$J$201&amp;'Emission factors'!$K$3:$K$201&amp;'Emission factors'!$L$3:$L$201,0),MATCH(V$37,'Emission factors'!$K$2:$V$2,0)))*$I50)</f>
        <v/>
      </c>
      <c r="X50" s="1" cm="1">
        <f t="array" ref="X50">IF(OR(ISERROR(B50:V50)),1,0)</f>
        <v>0</v>
      </c>
      <c r="Y50" s="1">
        <f t="shared" si="9"/>
        <v>0</v>
      </c>
    </row>
    <row r="51" spans="2:25" ht="15" thickBot="1" x14ac:dyDescent="0.4">
      <c r="B51" s="100"/>
      <c r="C51" s="101"/>
      <c r="D51" s="101"/>
      <c r="E51" s="101"/>
      <c r="F51" s="331" t="str">
        <f>IF(E51="","",INDEX(Lists!$BA$4:$BC$31,MATCH('Business travel, commute, home'!$B51,Lists!$AZ$4:$AZ$31,0),MATCH('Business travel, commute, home'!E51,Lists!$BA$3:$BC$3,0)))</f>
        <v/>
      </c>
      <c r="G51" s="70"/>
      <c r="H51" s="101"/>
      <c r="I51" s="275" t="str" cm="1">
        <f t="array" ref="I51">IF(OR($B51="",$C51="",$D51="",H51=""),"",IF(H51=J51,G51,(INDEX('Emission factors'!$K$3:$V$276,MATCH($B51&amp;$C51&amp;$D51,'Emission factors'!$J$3:$J$276&amp;'Emission factors'!$K$3:$K$276&amp;'Emission factors'!$L$3:$L$276,0),MATCH('Business travel, commute, home'!I$7,'Emission factors'!$K$2:$V$2,0)))*G51))</f>
        <v/>
      </c>
      <c r="J51" s="332" t="str" cm="1">
        <f t="array" ref="J51">IF(OR($B51="",$C51="",$G51=""),"",INDEX('Emission factors'!$K$3:$V$276,MATCH($B51&amp;$C51&amp;$D51,'Emission factors'!$J$3:$J$276&amp;'Emission factors'!$K$3:$K$276&amp;'Emission factors'!$L$3:$L$276,0),MATCH('Business travel, commute, home'!J$7,'Emission factors'!$K$2:$V$2,0)))</f>
        <v/>
      </c>
      <c r="K51" s="332" t="str">
        <f t="array" ref="K51">IF(OR(B51="",C51="",D51=""),"",INDEX('Emission factors'!$K$3:$V$276,MATCH($B51&amp;$C51&amp;$D51,'Emission factors'!$J$3:$J$276&amp;'Emission factors'!$K$3:$K$276&amp;'Emission factors'!$L$3:$L$276,0),MATCH('Business travel, commute, home'!K$7,'Emission factors'!$K$2:$V$2,0)))</f>
        <v/>
      </c>
      <c r="L51" s="333" t="str">
        <f>IF(OR(I51="",K51=""),"",SUM(CommutingTable[[#This Row],[Direct]:[Indirect WTT]]))</f>
        <v/>
      </c>
      <c r="M51" s="103"/>
      <c r="N51" s="101"/>
      <c r="O51" s="157" t="str" cm="1">
        <f t="array" ref="O51">IF(OR($C51="",$G51="",CommutingTable[[#This Row],[Converted data]]=""),"",(INDEX('Emission factors'!$K$3:$V$201,MATCH($B51&amp;$C51&amp;$D51,'Emission factors'!$J$3:$J$201&amp;'Emission factors'!$K$3:$K$201&amp;'Emission factors'!$L$3:$L$201,0),MATCH(O$37,'Emission factors'!$K$2:$V$2,0)))*$I51)</f>
        <v/>
      </c>
      <c r="P51" s="157" t="str" cm="1">
        <f t="array" ref="P51">IF(OR($C51="",$G51="",CommutingTable[[#This Row],[Converted data]]=""),"",(INDEX('Emission factors'!$K$3:$V$201,MATCH($B51&amp;$C51&amp;$D51,'Emission factors'!$J$3:$J$201&amp;'Emission factors'!$K$3:$K$201&amp;'Emission factors'!$L$3:$L$201,0),MATCH(P$37,'Emission factors'!$K$2:$V$2,0)))*$I51)</f>
        <v/>
      </c>
      <c r="Q51" s="157" t="str" cm="1">
        <f t="array" ref="Q51">IF(OR($C51="",$G51="",CommutingTable[[#This Row],[Converted data]]=""),"",(INDEX('Emission factors'!$K$3:$V$201,MATCH($B51&amp;$C51&amp;$D51,'Emission factors'!$J$3:$J$201&amp;'Emission factors'!$K$3:$K$201&amp;'Emission factors'!$L$3:$L$201,0),MATCH(Q$37,'Emission factors'!$K$2:$V$2,0)))*$I51)</f>
        <v/>
      </c>
      <c r="R51" s="157" t="str" cm="1">
        <f t="array" ref="R51">IF(OR($C51="",$G51="",CommutingTable[[#This Row],[Converted data]]=""),"",(INDEX('Emission factors'!$K$3:$V$201,MATCH($B51&amp;$C51&amp;$D51,'Emission factors'!$J$3:$J$201&amp;'Emission factors'!$K$3:$K$201&amp;'Emission factors'!$L$3:$L$201,0),MATCH(R$37,'Emission factors'!$K$2:$V$2,0)))*$I51)</f>
        <v/>
      </c>
      <c r="S51" s="157" t="str" cm="1">
        <f t="array" ref="S51">IF(OR($C51="",$G51="",CommutingTable[[#This Row],[Converted data]]=""),"",(INDEX('Emission factors'!$K$3:$V$201,MATCH($B51&amp;$C51&amp;$D51,'Emission factors'!$J$3:$J$201&amp;'Emission factors'!$K$3:$K$201&amp;'Emission factors'!$L$3:$L$201,0),MATCH(S$37,'Emission factors'!$K$2:$V$2,0)))*$I51)</f>
        <v/>
      </c>
      <c r="T51" s="158" t="str">
        <f t="shared" si="7"/>
        <v/>
      </c>
      <c r="U51" s="344" t="str">
        <f t="shared" si="8"/>
        <v/>
      </c>
      <c r="V51" s="164" t="str" cm="1">
        <f t="array" ref="V51">IF(OR($C51="",$G51="",CommutingTable[[#This Row],[Converted data]]=""),"",(INDEX('Emission factors'!$K$3:$V$201,MATCH($B51&amp;$C51&amp;$D51,'Emission factors'!$J$3:$J$201&amp;'Emission factors'!$K$3:$K$201&amp;'Emission factors'!$L$3:$L$201,0),MATCH(V$37,'Emission factors'!$K$2:$V$2,0)))*$I51)</f>
        <v/>
      </c>
      <c r="X51" s="1" cm="1">
        <f t="array" ref="X51">IF(OR(ISERROR(B51:V51)),1,0)</f>
        <v>0</v>
      </c>
      <c r="Y51" s="1">
        <f t="shared" si="9"/>
        <v>0</v>
      </c>
    </row>
    <row r="52" spans="2:25" ht="15" thickBot="1" x14ac:dyDescent="0.4">
      <c r="B52" s="100"/>
      <c r="C52" s="101"/>
      <c r="D52" s="101"/>
      <c r="E52" s="101"/>
      <c r="F52" s="331" t="str">
        <f>IF(E52="","",INDEX(Lists!$BA$4:$BC$31,MATCH('Business travel, commute, home'!$B52,Lists!$AZ$4:$AZ$31,0),MATCH('Business travel, commute, home'!E52,Lists!$BA$3:$BC$3,0)))</f>
        <v/>
      </c>
      <c r="G52" s="70"/>
      <c r="H52" s="101"/>
      <c r="I52" s="275" t="str" cm="1">
        <f t="array" ref="I52">IF(OR($B52="",$C52="",$D52="",H52=""),"",IF(H52=J52,G52,(INDEX('Emission factors'!$K$3:$V$276,MATCH($B52&amp;$C52&amp;$D52,'Emission factors'!$J$3:$J$276&amp;'Emission factors'!$K$3:$K$276&amp;'Emission factors'!$L$3:$L$276,0),MATCH('Business travel, commute, home'!I$7,'Emission factors'!$K$2:$V$2,0)))*G52))</f>
        <v/>
      </c>
      <c r="J52" s="332" t="str" cm="1">
        <f t="array" ref="J52">IF(OR($B52="",$C52="",$G52=""),"",INDEX('Emission factors'!$K$3:$V$276,MATCH($B52&amp;$C52&amp;$D52,'Emission factors'!$J$3:$J$276&amp;'Emission factors'!$K$3:$K$276&amp;'Emission factors'!$L$3:$L$276,0),MATCH('Business travel, commute, home'!J$7,'Emission factors'!$K$2:$V$2,0)))</f>
        <v/>
      </c>
      <c r="K52" s="332" t="str" cm="1">
        <f t="array" ref="K52">IF(OR(B52="",C52="",D52=""),"",INDEX('Emission factors'!$K$3:$V$276,MATCH($B52&amp;$C52&amp;$D52,'Emission factors'!$J$3:$J$276&amp;'Emission factors'!$K$3:$K$276&amp;'Emission factors'!$L$3:$L$276,0),MATCH('Business travel, commute, home'!K$7,'Emission factors'!$K$2:$V$2,0)))</f>
        <v/>
      </c>
      <c r="L52" s="333" t="str">
        <f>IF(OR(I52="",K52=""),"",SUM(CommutingTable[[#This Row],[Direct]:[Indirect WTT]]))</f>
        <v/>
      </c>
      <c r="M52" s="103"/>
      <c r="N52" s="101"/>
      <c r="O52" s="157" t="str" cm="1">
        <f t="array" ref="O52">IF(OR($C52="",$G52="",CommutingTable[[#This Row],[Converted data]]=""),"",(INDEX('Emission factors'!$K$3:$V$201,MATCH($B52&amp;$C52&amp;$D52,'Emission factors'!$J$3:$J$201&amp;'Emission factors'!$K$3:$K$201&amp;'Emission factors'!$L$3:$L$201,0),MATCH(O$37,'Emission factors'!$K$2:$V$2,0)))*$I52)</f>
        <v/>
      </c>
      <c r="P52" s="157" t="str" cm="1">
        <f t="array" ref="P52">IF(OR($C52="",$G52="",CommutingTable[[#This Row],[Converted data]]=""),"",(INDEX('Emission factors'!$K$3:$V$201,MATCH($B52&amp;$C52&amp;$D52,'Emission factors'!$J$3:$J$201&amp;'Emission factors'!$K$3:$K$201&amp;'Emission factors'!$L$3:$L$201,0),MATCH(P$37,'Emission factors'!$K$2:$V$2,0)))*$I52)</f>
        <v/>
      </c>
      <c r="Q52" s="157" t="str" cm="1">
        <f t="array" ref="Q52">IF(OR($C52="",$G52="",CommutingTable[[#This Row],[Converted data]]=""),"",(INDEX('Emission factors'!$K$3:$V$201,MATCH($B52&amp;$C52&amp;$D52,'Emission factors'!$J$3:$J$201&amp;'Emission factors'!$K$3:$K$201&amp;'Emission factors'!$L$3:$L$201,0),MATCH(Q$37,'Emission factors'!$K$2:$V$2,0)))*$I52)</f>
        <v/>
      </c>
      <c r="R52" s="157" t="str" cm="1">
        <f t="array" ref="R52">IF(OR($C52="",$G52="",CommutingTable[[#This Row],[Converted data]]=""),"",(INDEX('Emission factors'!$K$3:$V$201,MATCH($B52&amp;$C52&amp;$D52,'Emission factors'!$J$3:$J$201&amp;'Emission factors'!$K$3:$K$201&amp;'Emission factors'!$L$3:$L$201,0),MATCH(R$37,'Emission factors'!$K$2:$V$2,0)))*$I52)</f>
        <v/>
      </c>
      <c r="S52" s="157" t="str" cm="1">
        <f t="array" ref="S52">IF(OR($C52="",$G52="",CommutingTable[[#This Row],[Converted data]]=""),"",(INDEX('Emission factors'!$K$3:$V$201,MATCH($B52&amp;$C52&amp;$D52,'Emission factors'!$J$3:$J$201&amp;'Emission factors'!$K$3:$K$201&amp;'Emission factors'!$L$3:$L$201,0),MATCH(S$37,'Emission factors'!$K$2:$V$2,0)))*$I52)</f>
        <v/>
      </c>
      <c r="T52" s="158" t="str">
        <f t="shared" si="7"/>
        <v/>
      </c>
      <c r="U52" s="344" t="str">
        <f t="shared" si="8"/>
        <v/>
      </c>
      <c r="V52" s="164" t="str" cm="1">
        <f t="array" ref="V52">IF(OR($C52="",$G52="",CommutingTable[[#This Row],[Converted data]]=""),"",(INDEX('Emission factors'!$K$3:$V$201,MATCH($B52&amp;$C52&amp;$D52,'Emission factors'!$J$3:$J$201&amp;'Emission factors'!$K$3:$K$201&amp;'Emission factors'!$L$3:$L$201,0),MATCH(V$37,'Emission factors'!$K$2:$V$2,0)))*$I52)</f>
        <v/>
      </c>
      <c r="X52" s="1" cm="1">
        <f t="array" ref="X52">IF(OR(ISERROR(B52:V52)),1,0)</f>
        <v>0</v>
      </c>
      <c r="Y52" s="1">
        <f t="shared" si="9"/>
        <v>0</v>
      </c>
    </row>
    <row r="53" spans="2:25" ht="15" thickBot="1" x14ac:dyDescent="0.4">
      <c r="B53" s="100"/>
      <c r="C53" s="101"/>
      <c r="D53" s="101"/>
      <c r="E53" s="101"/>
      <c r="F53" s="331" t="str">
        <f>IF(E53="","",INDEX(Lists!$BA$4:$BC$31,MATCH('Business travel, commute, home'!$B53,Lists!$AZ$4:$AZ$31,0),MATCH('Business travel, commute, home'!E53,Lists!$BA$3:$BC$3,0)))</f>
        <v/>
      </c>
      <c r="G53" s="70"/>
      <c r="H53" s="101"/>
      <c r="I53" s="275" t="str" cm="1">
        <f t="array" ref="I53">IF(OR($B53="",$C53="",$D53="",H53=""),"",IF(H53=J53,G53,(INDEX('Emission factors'!$K$3:$V$276,MATCH($B53&amp;$C53&amp;$D53,'Emission factors'!$J$3:$J$276&amp;'Emission factors'!$K$3:$K$276&amp;'Emission factors'!$L$3:$L$276,0),MATCH('Business travel, commute, home'!I$7,'Emission factors'!$K$2:$V$2,0)))*G53))</f>
        <v/>
      </c>
      <c r="J53" s="332" t="str" cm="1">
        <f t="array" ref="J53">IF(OR($B53="",$C53="",$G53=""),"",INDEX('Emission factors'!$K$3:$V$276,MATCH($B53&amp;$C53&amp;$D53,'Emission factors'!$J$3:$J$276&amp;'Emission factors'!$K$3:$K$276&amp;'Emission factors'!$L$3:$L$276,0),MATCH('Business travel, commute, home'!J$7,'Emission factors'!$K$2:$V$2,0)))</f>
        <v/>
      </c>
      <c r="K53" s="332" t="str" cm="1">
        <f t="array" ref="K53">IF(OR(B53="",C53="",D53=""),"",INDEX('Emission factors'!$K$3:$V$276,MATCH($B53&amp;$C53&amp;$D53,'Emission factors'!$J$3:$J$276&amp;'Emission factors'!$K$3:$K$276&amp;'Emission factors'!$L$3:$L$276,0),MATCH('Business travel, commute, home'!K$7,'Emission factors'!$K$2:$V$2,0)))</f>
        <v/>
      </c>
      <c r="L53" s="333" t="str">
        <f>IF(OR(I53="",K53=""),"",SUM(CommutingTable[[#This Row],[Direct]:[Indirect WTT]]))</f>
        <v/>
      </c>
      <c r="M53" s="103"/>
      <c r="N53" s="101"/>
      <c r="O53" s="157" t="str" cm="1">
        <f t="array" ref="O53">IF(OR($C53="",$G53="",CommutingTable[[#This Row],[Converted data]]=""),"",(INDEX('Emission factors'!$K$3:$V$201,MATCH($B53&amp;$C53&amp;$D53,'Emission factors'!$J$3:$J$201&amp;'Emission factors'!$K$3:$K$201&amp;'Emission factors'!$L$3:$L$201,0),MATCH(O$37,'Emission factors'!$K$2:$V$2,0)))*$I53)</f>
        <v/>
      </c>
      <c r="P53" s="157" t="str" cm="1">
        <f t="array" ref="P53">IF(OR($C53="",$G53="",CommutingTable[[#This Row],[Converted data]]=""),"",(INDEX('Emission factors'!$K$3:$V$201,MATCH($B53&amp;$C53&amp;$D53,'Emission factors'!$J$3:$J$201&amp;'Emission factors'!$K$3:$K$201&amp;'Emission factors'!$L$3:$L$201,0),MATCH(P$37,'Emission factors'!$K$2:$V$2,0)))*$I53)</f>
        <v/>
      </c>
      <c r="Q53" s="157" t="str" cm="1">
        <f t="array" ref="Q53">IF(OR($C53="",$G53="",CommutingTable[[#This Row],[Converted data]]=""),"",(INDEX('Emission factors'!$K$3:$V$201,MATCH($B53&amp;$C53&amp;$D53,'Emission factors'!$J$3:$J$201&amp;'Emission factors'!$K$3:$K$201&amp;'Emission factors'!$L$3:$L$201,0),MATCH(Q$37,'Emission factors'!$K$2:$V$2,0)))*$I53)</f>
        <v/>
      </c>
      <c r="R53" s="157" t="str" cm="1">
        <f t="array" ref="R53">IF(OR($C53="",$G53="",CommutingTable[[#This Row],[Converted data]]=""),"",(INDEX('Emission factors'!$K$3:$V$201,MATCH($B53&amp;$C53&amp;$D53,'Emission factors'!$J$3:$J$201&amp;'Emission factors'!$K$3:$K$201&amp;'Emission factors'!$L$3:$L$201,0),MATCH(R$37,'Emission factors'!$K$2:$V$2,0)))*$I53)</f>
        <v/>
      </c>
      <c r="S53" s="157" t="str" cm="1">
        <f t="array" ref="S53">IF(OR($C53="",$G53="",CommutingTable[[#This Row],[Converted data]]=""),"",(INDEX('Emission factors'!$K$3:$V$201,MATCH($B53&amp;$C53&amp;$D53,'Emission factors'!$J$3:$J$201&amp;'Emission factors'!$K$3:$K$201&amp;'Emission factors'!$L$3:$L$201,0),MATCH(S$37,'Emission factors'!$K$2:$V$2,0)))*$I53)</f>
        <v/>
      </c>
      <c r="T53" s="158" t="str">
        <f t="shared" si="7"/>
        <v/>
      </c>
      <c r="U53" s="344" t="str">
        <f t="shared" si="8"/>
        <v/>
      </c>
      <c r="V53" s="164" t="str" cm="1">
        <f t="array" ref="V53">IF(OR($C53="",$G53="",CommutingTable[[#This Row],[Converted data]]=""),"",(INDEX('Emission factors'!$K$3:$V$201,MATCH($B53&amp;$C53&amp;$D53,'Emission factors'!$J$3:$J$201&amp;'Emission factors'!$K$3:$K$201&amp;'Emission factors'!$L$3:$L$201,0),MATCH(V$37,'Emission factors'!$K$2:$V$2,0)))*$I53)</f>
        <v/>
      </c>
      <c r="X53" s="1" cm="1">
        <f t="array" ref="X53">IF(OR(ISERROR(B53:V53)),1,0)</f>
        <v>0</v>
      </c>
      <c r="Y53" s="1">
        <f t="shared" si="9"/>
        <v>0</v>
      </c>
    </row>
    <row r="54" spans="2:25" ht="15" thickBot="1" x14ac:dyDescent="0.4">
      <c r="B54" s="100"/>
      <c r="C54" s="101"/>
      <c r="D54" s="101"/>
      <c r="E54" s="101"/>
      <c r="F54" s="331" t="str">
        <f>IF(E54="","",INDEX(Lists!$BA$4:$BC$31,MATCH('Business travel, commute, home'!$B54,Lists!$AZ$4:$AZ$31,0),MATCH('Business travel, commute, home'!E54,Lists!$BA$3:$BC$3,0)))</f>
        <v/>
      </c>
      <c r="G54" s="70"/>
      <c r="H54" s="101"/>
      <c r="I54" s="275" t="str" cm="1">
        <f t="array" ref="I54">IF(OR($B54="",$C54="",$D54="",H54=""),"",IF(H54=J54,G54,(INDEX('Emission factors'!$K$3:$V$276,MATCH($B54&amp;$C54&amp;$D54,'Emission factors'!$J$3:$J$276&amp;'Emission factors'!$K$3:$K$276&amp;'Emission factors'!$L$3:$L$276,0),MATCH('Business travel, commute, home'!I$7,'Emission factors'!$K$2:$V$2,0)))*G54))</f>
        <v/>
      </c>
      <c r="J54" s="332" t="str" cm="1">
        <f t="array" ref="J54">IF(OR($B54="",$C54="",$G54=""),"",INDEX('Emission factors'!$K$3:$V$276,MATCH($B54&amp;$C54&amp;$D54,'Emission factors'!$J$3:$J$276&amp;'Emission factors'!$K$3:$K$276&amp;'Emission factors'!$L$3:$L$276,0),MATCH('Business travel, commute, home'!J$7,'Emission factors'!$K$2:$V$2,0)))</f>
        <v/>
      </c>
      <c r="K54" s="332" t="str" cm="1">
        <f t="array" ref="K54">IF(OR(B54="",C54="",D54=""),"",INDEX('Emission factors'!$K$3:$V$276,MATCH($B54&amp;$C54&amp;$D54,'Emission factors'!$J$3:$J$276&amp;'Emission factors'!$K$3:$K$276&amp;'Emission factors'!$L$3:$L$276,0),MATCH('Business travel, commute, home'!K$7,'Emission factors'!$K$2:$V$2,0)))</f>
        <v/>
      </c>
      <c r="L54" s="333" t="str">
        <f>IF(OR(I54="",K54=""),"",SUM(CommutingTable[[#This Row],[Direct]:[Indirect WTT]]))</f>
        <v/>
      </c>
      <c r="M54" s="103"/>
      <c r="N54" s="101"/>
      <c r="O54" s="157" t="str" cm="1">
        <f t="array" ref="O54">IF(OR($C54="",$G54="",CommutingTable[[#This Row],[Converted data]]=""),"",(INDEX('Emission factors'!$K$3:$V$201,MATCH($B54&amp;$C54&amp;$D54,'Emission factors'!$J$3:$J$201&amp;'Emission factors'!$K$3:$K$201&amp;'Emission factors'!$L$3:$L$201,0),MATCH(O$37,'Emission factors'!$K$2:$V$2,0)))*$I54)</f>
        <v/>
      </c>
      <c r="P54" s="157" t="str" cm="1">
        <f t="array" ref="P54">IF(OR($C54="",$G54="",CommutingTable[[#This Row],[Converted data]]=""),"",(INDEX('Emission factors'!$K$3:$V$201,MATCH($B54&amp;$C54&amp;$D54,'Emission factors'!$J$3:$J$201&amp;'Emission factors'!$K$3:$K$201&amp;'Emission factors'!$L$3:$L$201,0),MATCH(P$37,'Emission factors'!$K$2:$V$2,0)))*$I54)</f>
        <v/>
      </c>
      <c r="Q54" s="157" t="str" cm="1">
        <f t="array" ref="Q54">IF(OR($C54="",$G54="",CommutingTable[[#This Row],[Converted data]]=""),"",(INDEX('Emission factors'!$K$3:$V$201,MATCH($B54&amp;$C54&amp;$D54,'Emission factors'!$J$3:$J$201&amp;'Emission factors'!$K$3:$K$201&amp;'Emission factors'!$L$3:$L$201,0),MATCH(Q$37,'Emission factors'!$K$2:$V$2,0)))*$I54)</f>
        <v/>
      </c>
      <c r="R54" s="157" t="str" cm="1">
        <f t="array" ref="R54">IF(OR($C54="",$G54="",CommutingTable[[#This Row],[Converted data]]=""),"",(INDEX('Emission factors'!$K$3:$V$201,MATCH($B54&amp;$C54&amp;$D54,'Emission factors'!$J$3:$J$201&amp;'Emission factors'!$K$3:$K$201&amp;'Emission factors'!$L$3:$L$201,0),MATCH(R$37,'Emission factors'!$K$2:$V$2,0)))*$I54)</f>
        <v/>
      </c>
      <c r="S54" s="157" t="str" cm="1">
        <f t="array" ref="S54">IF(OR($C54="",$G54="",CommutingTable[[#This Row],[Converted data]]=""),"",(INDEX('Emission factors'!$K$3:$V$201,MATCH($B54&amp;$C54&amp;$D54,'Emission factors'!$J$3:$J$201&amp;'Emission factors'!$K$3:$K$201&amp;'Emission factors'!$L$3:$L$201,0),MATCH(S$37,'Emission factors'!$K$2:$V$2,0)))*$I54)</f>
        <v/>
      </c>
      <c r="T54" s="158" t="str">
        <f t="shared" si="7"/>
        <v/>
      </c>
      <c r="U54" s="344" t="str">
        <f t="shared" si="8"/>
        <v/>
      </c>
      <c r="V54" s="164" t="str" cm="1">
        <f t="array" ref="V54">IF(OR($C54="",$G54="",CommutingTable[[#This Row],[Converted data]]=""),"",(INDEX('Emission factors'!$K$3:$V$201,MATCH($B54&amp;$C54&amp;$D54,'Emission factors'!$J$3:$J$201&amp;'Emission factors'!$K$3:$K$201&amp;'Emission factors'!$L$3:$L$201,0),MATCH(V$37,'Emission factors'!$K$2:$V$2,0)))*$I54)</f>
        <v/>
      </c>
      <c r="X54" s="1" cm="1">
        <f t="array" ref="X54">IF(OR(ISERROR(B54:V54)),1,0)</f>
        <v>0</v>
      </c>
      <c r="Y54" s="1">
        <f t="shared" si="9"/>
        <v>0</v>
      </c>
    </row>
    <row r="55" spans="2:25" ht="15" thickBot="1" x14ac:dyDescent="0.4">
      <c r="B55" s="100"/>
      <c r="C55" s="101"/>
      <c r="D55" s="101"/>
      <c r="E55" s="101"/>
      <c r="F55" s="331" t="str">
        <f>IF(E55="","",INDEX(Lists!$BA$4:$BC$31,MATCH('Business travel, commute, home'!$B55,Lists!$AZ$4:$AZ$31,0),MATCH('Business travel, commute, home'!E55,Lists!$BA$3:$BC$3,0)))</f>
        <v/>
      </c>
      <c r="G55" s="70"/>
      <c r="H55" s="101"/>
      <c r="I55" s="275" t="str" cm="1">
        <f t="array" ref="I55">IF(OR($B55="",$C55="",$D55="",H55=""),"",IF(H55=J55,G55,(INDEX('Emission factors'!$K$3:$V$276,MATCH($B55&amp;$C55&amp;$D55,'Emission factors'!$J$3:$J$276&amp;'Emission factors'!$K$3:$K$276&amp;'Emission factors'!$L$3:$L$276,0),MATCH('Business travel, commute, home'!I$7,'Emission factors'!$K$2:$V$2,0)))*G55))</f>
        <v/>
      </c>
      <c r="J55" s="332" t="str" cm="1">
        <f t="array" ref="J55">IF(OR($B55="",$C55="",$G55=""),"",INDEX('Emission factors'!$K$3:$V$276,MATCH($B55&amp;$C55&amp;$D55,'Emission factors'!$J$3:$J$276&amp;'Emission factors'!$K$3:$K$276&amp;'Emission factors'!$L$3:$L$276,0),MATCH('Business travel, commute, home'!J$7,'Emission factors'!$K$2:$V$2,0)))</f>
        <v/>
      </c>
      <c r="K55" s="332" t="str" cm="1">
        <f t="array" ref="K55">IF(OR(B55="",C55="",D55=""),"",INDEX('Emission factors'!$K$3:$V$276,MATCH($B55&amp;$C55&amp;$D55,'Emission factors'!$J$3:$J$276&amp;'Emission factors'!$K$3:$K$276&amp;'Emission factors'!$L$3:$L$276,0),MATCH('Business travel, commute, home'!K$7,'Emission factors'!$K$2:$V$2,0)))</f>
        <v/>
      </c>
      <c r="L55" s="333" t="str">
        <f>IF(OR(I55="",K55=""),"",SUM(CommutingTable[[#This Row],[Direct]:[Indirect WTT]]))</f>
        <v/>
      </c>
      <c r="M55" s="103"/>
      <c r="N55" s="101"/>
      <c r="O55" s="157" t="str" cm="1">
        <f t="array" ref="O55">IF(OR($C55="",$G55="",CommutingTable[[#This Row],[Converted data]]=""),"",(INDEX('Emission factors'!$K$3:$V$201,MATCH($B55&amp;$C55&amp;$D55,'Emission factors'!$J$3:$J$201&amp;'Emission factors'!$K$3:$K$201&amp;'Emission factors'!$L$3:$L$201,0),MATCH(O$37,'Emission factors'!$K$2:$V$2,0)))*$I55)</f>
        <v/>
      </c>
      <c r="P55" s="157" t="str" cm="1">
        <f t="array" ref="P55">IF(OR($C55="",$G55="",CommutingTable[[#This Row],[Converted data]]=""),"",(INDEX('Emission factors'!$K$3:$V$201,MATCH($B55&amp;$C55&amp;$D55,'Emission factors'!$J$3:$J$201&amp;'Emission factors'!$K$3:$K$201&amp;'Emission factors'!$L$3:$L$201,0),MATCH(P$37,'Emission factors'!$K$2:$V$2,0)))*$I55)</f>
        <v/>
      </c>
      <c r="Q55" s="157" t="str" cm="1">
        <f t="array" ref="Q55">IF(OR($C55="",$G55="",CommutingTable[[#This Row],[Converted data]]=""),"",(INDEX('Emission factors'!$K$3:$V$201,MATCH($B55&amp;$C55&amp;$D55,'Emission factors'!$J$3:$J$201&amp;'Emission factors'!$K$3:$K$201&amp;'Emission factors'!$L$3:$L$201,0),MATCH(Q$37,'Emission factors'!$K$2:$V$2,0)))*$I55)</f>
        <v/>
      </c>
      <c r="R55" s="157" t="str" cm="1">
        <f t="array" ref="R55">IF(OR($C55="",$G55="",CommutingTable[[#This Row],[Converted data]]=""),"",(INDEX('Emission factors'!$K$3:$V$201,MATCH($B55&amp;$C55&amp;$D55,'Emission factors'!$J$3:$J$201&amp;'Emission factors'!$K$3:$K$201&amp;'Emission factors'!$L$3:$L$201,0),MATCH(R$37,'Emission factors'!$K$2:$V$2,0)))*$I55)</f>
        <v/>
      </c>
      <c r="S55" s="157" t="str" cm="1">
        <f t="array" ref="S55">IF(OR($C55="",$G55="",CommutingTable[[#This Row],[Converted data]]=""),"",(INDEX('Emission factors'!$K$3:$V$201,MATCH($B55&amp;$C55&amp;$D55,'Emission factors'!$J$3:$J$201&amp;'Emission factors'!$K$3:$K$201&amp;'Emission factors'!$L$3:$L$201,0),MATCH(S$37,'Emission factors'!$K$2:$V$2,0)))*$I55)</f>
        <v/>
      </c>
      <c r="T55" s="158" t="str">
        <f t="shared" si="7"/>
        <v/>
      </c>
      <c r="U55" s="344" t="str">
        <f t="shared" si="8"/>
        <v/>
      </c>
      <c r="V55" s="164" t="str" cm="1">
        <f t="array" ref="V55">IF(OR($C55="",$G55="",CommutingTable[[#This Row],[Converted data]]=""),"",(INDEX('Emission factors'!$K$3:$V$201,MATCH($B55&amp;$C55&amp;$D55,'Emission factors'!$J$3:$J$201&amp;'Emission factors'!$K$3:$K$201&amp;'Emission factors'!$L$3:$L$201,0),MATCH(V$37,'Emission factors'!$K$2:$V$2,0)))*$I55)</f>
        <v/>
      </c>
      <c r="X55" s="1" cm="1">
        <f t="array" ref="X55">IF(OR(ISERROR(B55:V55)),1,0)</f>
        <v>0</v>
      </c>
      <c r="Y55" s="1">
        <f t="shared" si="9"/>
        <v>0</v>
      </c>
    </row>
    <row r="56" spans="2:25" ht="15" thickBot="1" x14ac:dyDescent="0.4">
      <c r="B56" s="100"/>
      <c r="C56" s="101"/>
      <c r="D56" s="101"/>
      <c r="E56" s="101"/>
      <c r="F56" s="331" t="str">
        <f>IF(E56="","",INDEX(Lists!$BA$4:$BC$31,MATCH('Business travel, commute, home'!$B56,Lists!$AZ$4:$AZ$31,0),MATCH('Business travel, commute, home'!E56,Lists!$BA$3:$BC$3,0)))</f>
        <v/>
      </c>
      <c r="G56" s="70"/>
      <c r="H56" s="101"/>
      <c r="I56" s="275" t="str" cm="1">
        <f t="array" ref="I56">IF(OR($B56="",$C56="",$D56="",H56=""),"",IF(H56=J56,G56,(INDEX('Emission factors'!$K$3:$V$276,MATCH($B56&amp;$C56&amp;$D56,'Emission factors'!$J$3:$J$276&amp;'Emission factors'!$K$3:$K$276&amp;'Emission factors'!$L$3:$L$276,0),MATCH('Business travel, commute, home'!I$7,'Emission factors'!$K$2:$V$2,0)))*G56))</f>
        <v/>
      </c>
      <c r="J56" s="332" t="str" cm="1">
        <f t="array" ref="J56">IF(OR($B56="",$C56="",$G56=""),"",INDEX('Emission factors'!$K$3:$V$276,MATCH($B56&amp;$C56&amp;$D56,'Emission factors'!$J$3:$J$276&amp;'Emission factors'!$K$3:$K$276&amp;'Emission factors'!$L$3:$L$276,0),MATCH('Business travel, commute, home'!J$7,'Emission factors'!$K$2:$V$2,0)))</f>
        <v/>
      </c>
      <c r="K56" s="332" t="str">
        <f t="array" ref="K56">IF(OR(B56="",C56="",D56=""),"",INDEX('Emission factors'!$K$3:$V$276,MATCH($B56&amp;$C56&amp;$D56,'Emission factors'!$J$3:$J$276&amp;'Emission factors'!$K$3:$K$276&amp;'Emission factors'!$L$3:$L$276,0),MATCH('Business travel, commute, home'!K$7,'Emission factors'!$K$2:$V$2,0)))</f>
        <v/>
      </c>
      <c r="L56" s="333" t="str">
        <f>IF(OR(I56="",K56=""),"",SUM(CommutingTable[[#This Row],[Direct]:[Indirect WTT]]))</f>
        <v/>
      </c>
      <c r="M56" s="103"/>
      <c r="N56" s="101"/>
      <c r="O56" s="157" t="str" cm="1">
        <f t="array" ref="O56">IF(OR($C56="",$G56="",CommutingTable[[#This Row],[Converted data]]=""),"",(INDEX('Emission factors'!$K$3:$V$201,MATCH($B56&amp;$C56&amp;$D56,'Emission factors'!$J$3:$J$201&amp;'Emission factors'!$K$3:$K$201&amp;'Emission factors'!$L$3:$L$201,0),MATCH(O$37,'Emission factors'!$K$2:$V$2,0)))*$I56)</f>
        <v/>
      </c>
      <c r="P56" s="157" t="str" cm="1">
        <f t="array" ref="P56">IF(OR($C56="",$G56="",CommutingTable[[#This Row],[Converted data]]=""),"",(INDEX('Emission factors'!$K$3:$V$201,MATCH($B56&amp;$C56&amp;$D56,'Emission factors'!$J$3:$J$201&amp;'Emission factors'!$K$3:$K$201&amp;'Emission factors'!$L$3:$L$201,0),MATCH(P$37,'Emission factors'!$K$2:$V$2,0)))*$I56)</f>
        <v/>
      </c>
      <c r="Q56" s="157" t="str" cm="1">
        <f t="array" ref="Q56">IF(OR($C56="",$G56="",CommutingTable[[#This Row],[Converted data]]=""),"",(INDEX('Emission factors'!$K$3:$V$201,MATCH($B56&amp;$C56&amp;$D56,'Emission factors'!$J$3:$J$201&amp;'Emission factors'!$K$3:$K$201&amp;'Emission factors'!$L$3:$L$201,0),MATCH(Q$37,'Emission factors'!$K$2:$V$2,0)))*$I56)</f>
        <v/>
      </c>
      <c r="R56" s="157" t="str" cm="1">
        <f t="array" ref="R56">IF(OR($C56="",$G56="",CommutingTable[[#This Row],[Converted data]]=""),"",(INDEX('Emission factors'!$K$3:$V$201,MATCH($B56&amp;$C56&amp;$D56,'Emission factors'!$J$3:$J$201&amp;'Emission factors'!$K$3:$K$201&amp;'Emission factors'!$L$3:$L$201,0),MATCH(R$37,'Emission factors'!$K$2:$V$2,0)))*$I56)</f>
        <v/>
      </c>
      <c r="S56" s="157" t="str" cm="1">
        <f t="array" ref="S56">IF(OR($C56="",$G56="",CommutingTable[[#This Row],[Converted data]]=""),"",(INDEX('Emission factors'!$K$3:$V$201,MATCH($B56&amp;$C56&amp;$D56,'Emission factors'!$J$3:$J$201&amp;'Emission factors'!$K$3:$K$201&amp;'Emission factors'!$L$3:$L$201,0),MATCH(S$37,'Emission factors'!$K$2:$V$2,0)))*$I56)</f>
        <v/>
      </c>
      <c r="T56" s="158" t="str">
        <f t="shared" si="7"/>
        <v/>
      </c>
      <c r="U56" s="344" t="str">
        <f t="shared" si="8"/>
        <v/>
      </c>
      <c r="V56" s="164" t="str" cm="1">
        <f t="array" ref="V56">IF(OR($C56="",$G56="",CommutingTable[[#This Row],[Converted data]]=""),"",(INDEX('Emission factors'!$K$3:$V$201,MATCH($B56&amp;$C56&amp;$D56,'Emission factors'!$J$3:$J$201&amp;'Emission factors'!$K$3:$K$201&amp;'Emission factors'!$L$3:$L$201,0),MATCH(V$37,'Emission factors'!$K$2:$V$2,0)))*$I56)</f>
        <v/>
      </c>
      <c r="X56" s="1" cm="1">
        <f t="array" ref="X56">IF(OR(ISERROR(B56:V56)),1,0)</f>
        <v>0</v>
      </c>
      <c r="Y56" s="1">
        <f t="shared" si="9"/>
        <v>0</v>
      </c>
    </row>
    <row r="57" spans="2:25" ht="15" thickBot="1" x14ac:dyDescent="0.4">
      <c r="B57" s="100"/>
      <c r="C57" s="101"/>
      <c r="D57" s="101"/>
      <c r="E57" s="101"/>
      <c r="F57" s="331" t="str">
        <f>IF(E57="","",INDEX(Lists!$BA$4:$BC$31,MATCH('Business travel, commute, home'!$B57,Lists!$AZ$4:$AZ$31,0),MATCH('Business travel, commute, home'!E57,Lists!$BA$3:$BC$3,0)))</f>
        <v/>
      </c>
      <c r="G57" s="70"/>
      <c r="H57" s="101"/>
      <c r="I57" s="275" t="str" cm="1">
        <f t="array" ref="I57">IF(OR($B57="",$C57="",$D57="",H57=""),"",IF(H57=J57,G57,(INDEX('Emission factors'!$K$3:$V$276,MATCH($B57&amp;$C57&amp;$D57,'Emission factors'!$J$3:$J$276&amp;'Emission factors'!$K$3:$K$276&amp;'Emission factors'!$L$3:$L$276,0),MATCH('Business travel, commute, home'!I$7,'Emission factors'!$K$2:$V$2,0)))*G57))</f>
        <v/>
      </c>
      <c r="J57" s="332" t="str" cm="1">
        <f t="array" ref="J57">IF(OR($B57="",$C57="",$G57=""),"",INDEX('Emission factors'!$K$3:$V$276,MATCH($B57&amp;$C57&amp;$D57,'Emission factors'!$J$3:$J$276&amp;'Emission factors'!$K$3:$K$276&amp;'Emission factors'!$L$3:$L$276,0),MATCH('Business travel, commute, home'!J$7,'Emission factors'!$K$2:$V$2,0)))</f>
        <v/>
      </c>
      <c r="K57" s="332" t="str">
        <f t="array" ref="K57">IF(OR(B57="",C57="",D57=""),"",INDEX('Emission factors'!$K$3:$V$276,MATCH($B57&amp;$C57&amp;$D57,'Emission factors'!$J$3:$J$276&amp;'Emission factors'!$K$3:$K$276&amp;'Emission factors'!$L$3:$L$276,0),MATCH('Business travel, commute, home'!K$7,'Emission factors'!$K$2:$V$2,0)))</f>
        <v/>
      </c>
      <c r="L57" s="333" t="str">
        <f>IF(OR(I57="",K57=""),"",SUM(CommutingTable[[#This Row],[Direct]:[Indirect WTT]]))</f>
        <v/>
      </c>
      <c r="M57" s="103"/>
      <c r="N57" s="101"/>
      <c r="O57" s="157" t="str" cm="1">
        <f t="array" ref="O57">IF(OR($C57="",$G57="",CommutingTable[[#This Row],[Converted data]]=""),"",(INDEX('Emission factors'!$K$3:$V$201,MATCH($B57&amp;$C57&amp;$D57,'Emission factors'!$J$3:$J$201&amp;'Emission factors'!$K$3:$K$201&amp;'Emission factors'!$L$3:$L$201,0),MATCH(O$37,'Emission factors'!$K$2:$V$2,0)))*$I57)</f>
        <v/>
      </c>
      <c r="P57" s="157" t="str" cm="1">
        <f t="array" ref="P57">IF(OR($C57="",$G57="",CommutingTable[[#This Row],[Converted data]]=""),"",(INDEX('Emission factors'!$K$3:$V$201,MATCH($B57&amp;$C57&amp;$D57,'Emission factors'!$J$3:$J$201&amp;'Emission factors'!$K$3:$K$201&amp;'Emission factors'!$L$3:$L$201,0),MATCH(P$37,'Emission factors'!$K$2:$V$2,0)))*$I57)</f>
        <v/>
      </c>
      <c r="Q57" s="157" t="str" cm="1">
        <f t="array" ref="Q57">IF(OR($C57="",$G57="",CommutingTable[[#This Row],[Converted data]]=""),"",(INDEX('Emission factors'!$K$3:$V$201,MATCH($B57&amp;$C57&amp;$D57,'Emission factors'!$J$3:$J$201&amp;'Emission factors'!$K$3:$K$201&amp;'Emission factors'!$L$3:$L$201,0),MATCH(Q$37,'Emission factors'!$K$2:$V$2,0)))*$I57)</f>
        <v/>
      </c>
      <c r="R57" s="157" t="str" cm="1">
        <f t="array" ref="R57">IF(OR($C57="",$G57="",CommutingTable[[#This Row],[Converted data]]=""),"",(INDEX('Emission factors'!$K$3:$V$201,MATCH($B57&amp;$C57&amp;$D57,'Emission factors'!$J$3:$J$201&amp;'Emission factors'!$K$3:$K$201&amp;'Emission factors'!$L$3:$L$201,0),MATCH(R$37,'Emission factors'!$K$2:$V$2,0)))*$I57)</f>
        <v/>
      </c>
      <c r="S57" s="157" t="str" cm="1">
        <f t="array" ref="S57">IF(OR($C57="",$G57="",CommutingTable[[#This Row],[Converted data]]=""),"",(INDEX('Emission factors'!$K$3:$V$201,MATCH($B57&amp;$C57&amp;$D57,'Emission factors'!$J$3:$J$201&amp;'Emission factors'!$K$3:$K$201&amp;'Emission factors'!$L$3:$L$201,0),MATCH(S$37,'Emission factors'!$K$2:$V$2,0)))*$I57)</f>
        <v/>
      </c>
      <c r="T57" s="158" t="str">
        <f t="shared" si="7"/>
        <v/>
      </c>
      <c r="U57" s="344" t="str">
        <f t="shared" si="8"/>
        <v/>
      </c>
      <c r="V57" s="164" t="str" cm="1">
        <f t="array" ref="V57">IF(OR($C57="",$G57="",CommutingTable[[#This Row],[Converted data]]=""),"",(INDEX('Emission factors'!$K$3:$V$201,MATCH($B57&amp;$C57&amp;$D57,'Emission factors'!$J$3:$J$201&amp;'Emission factors'!$K$3:$K$201&amp;'Emission factors'!$L$3:$L$201,0),MATCH(V$37,'Emission factors'!$K$2:$V$2,0)))*$I57)</f>
        <v/>
      </c>
      <c r="X57" s="1" cm="1">
        <f t="array" ref="X57">IF(OR(ISERROR(B57:V57)),1,0)</f>
        <v>0</v>
      </c>
      <c r="Y57" s="1">
        <f t="shared" si="9"/>
        <v>0</v>
      </c>
    </row>
    <row r="58" spans="2:25" ht="15" thickBot="1" x14ac:dyDescent="0.4">
      <c r="B58" s="100"/>
      <c r="C58" s="101"/>
      <c r="D58" s="101"/>
      <c r="E58" s="101"/>
      <c r="F58" s="331" t="str">
        <f>IF(E58="","",INDEX(Lists!$BA$4:$BC$31,MATCH('Business travel, commute, home'!$B58,Lists!$AZ$4:$AZ$31,0),MATCH('Business travel, commute, home'!E58,Lists!$BA$3:$BC$3,0)))</f>
        <v/>
      </c>
      <c r="G58" s="70"/>
      <c r="H58" s="101"/>
      <c r="I58" s="275" t="str" cm="1">
        <f t="array" ref="I58">IF(OR($B58="",$C58="",$D58="",H58=""),"",IF(H58=J58,G58,(INDEX('Emission factors'!$K$3:$V$276,MATCH($B58&amp;$C58&amp;$D58,'Emission factors'!$J$3:$J$276&amp;'Emission factors'!$K$3:$K$276&amp;'Emission factors'!$L$3:$L$276,0),MATCH('Business travel, commute, home'!I$7,'Emission factors'!$K$2:$V$2,0)))*G58))</f>
        <v/>
      </c>
      <c r="J58" s="332" t="str" cm="1">
        <f t="array" ref="J58">IF(OR($B58="",$C58="",$G58=""),"",INDEX('Emission factors'!$K$3:$V$276,MATCH($B58&amp;$C58&amp;$D58,'Emission factors'!$J$3:$J$276&amp;'Emission factors'!$K$3:$K$276&amp;'Emission factors'!$L$3:$L$276,0),MATCH('Business travel, commute, home'!J$7,'Emission factors'!$K$2:$V$2,0)))</f>
        <v/>
      </c>
      <c r="K58" s="332" t="str">
        <f t="array" ref="K58">IF(OR(B58="",C58="",D58=""),"",INDEX('Emission factors'!$K$3:$V$276,MATCH($B58&amp;$C58&amp;$D58,'Emission factors'!$J$3:$J$276&amp;'Emission factors'!$K$3:$K$276&amp;'Emission factors'!$L$3:$L$276,0),MATCH('Business travel, commute, home'!K$7,'Emission factors'!$K$2:$V$2,0)))</f>
        <v/>
      </c>
      <c r="L58" s="333" t="str">
        <f>IF(OR(I58="",K58=""),"",SUM(CommutingTable[[#This Row],[Direct]:[Indirect WTT]]))</f>
        <v/>
      </c>
      <c r="M58" s="103"/>
      <c r="N58" s="101"/>
      <c r="O58" s="157" t="str" cm="1">
        <f t="array" ref="O58">IF(OR($C58="",$G58="",CommutingTable[[#This Row],[Converted data]]=""),"",(INDEX('Emission factors'!$K$3:$V$201,MATCH($B58&amp;$C58&amp;$D58,'Emission factors'!$J$3:$J$201&amp;'Emission factors'!$K$3:$K$201&amp;'Emission factors'!$L$3:$L$201,0),MATCH(O$37,'Emission factors'!$K$2:$V$2,0)))*$I58)</f>
        <v/>
      </c>
      <c r="P58" s="157" t="str" cm="1">
        <f t="array" ref="P58">IF(OR($C58="",$G58="",CommutingTable[[#This Row],[Converted data]]=""),"",(INDEX('Emission factors'!$K$3:$V$201,MATCH($B58&amp;$C58&amp;$D58,'Emission factors'!$J$3:$J$201&amp;'Emission factors'!$K$3:$K$201&amp;'Emission factors'!$L$3:$L$201,0),MATCH(P$37,'Emission factors'!$K$2:$V$2,0)))*$I58)</f>
        <v/>
      </c>
      <c r="Q58" s="157" t="str" cm="1">
        <f t="array" ref="Q58">IF(OR($C58="",$G58="",CommutingTable[[#This Row],[Converted data]]=""),"",(INDEX('Emission factors'!$K$3:$V$201,MATCH($B58&amp;$C58&amp;$D58,'Emission factors'!$J$3:$J$201&amp;'Emission factors'!$K$3:$K$201&amp;'Emission factors'!$L$3:$L$201,0),MATCH(Q$37,'Emission factors'!$K$2:$V$2,0)))*$I58)</f>
        <v/>
      </c>
      <c r="R58" s="157" t="str" cm="1">
        <f t="array" ref="R58">IF(OR($C58="",$G58="",CommutingTable[[#This Row],[Converted data]]=""),"",(INDEX('Emission factors'!$K$3:$V$201,MATCH($B58&amp;$C58&amp;$D58,'Emission factors'!$J$3:$J$201&amp;'Emission factors'!$K$3:$K$201&amp;'Emission factors'!$L$3:$L$201,0),MATCH(R$37,'Emission factors'!$K$2:$V$2,0)))*$I58)</f>
        <v/>
      </c>
      <c r="S58" s="157" t="str" cm="1">
        <f t="array" ref="S58">IF(OR($C58="",$G58="",CommutingTable[[#This Row],[Converted data]]=""),"",(INDEX('Emission factors'!$K$3:$V$201,MATCH($B58&amp;$C58&amp;$D58,'Emission factors'!$J$3:$J$201&amp;'Emission factors'!$K$3:$K$201&amp;'Emission factors'!$L$3:$L$201,0),MATCH(S$37,'Emission factors'!$K$2:$V$2,0)))*$I58)</f>
        <v/>
      </c>
      <c r="T58" s="158" t="str">
        <f t="shared" si="7"/>
        <v/>
      </c>
      <c r="U58" s="344" t="str">
        <f t="shared" si="8"/>
        <v/>
      </c>
      <c r="V58" s="164" t="str" cm="1">
        <f t="array" ref="V58">IF(OR($C58="",$G58="",CommutingTable[[#This Row],[Converted data]]=""),"",(INDEX('Emission factors'!$K$3:$V$201,MATCH($B58&amp;$C58&amp;$D58,'Emission factors'!$J$3:$J$201&amp;'Emission factors'!$K$3:$K$201&amp;'Emission factors'!$L$3:$L$201,0),MATCH(V$37,'Emission factors'!$K$2:$V$2,0)))*$I58)</f>
        <v/>
      </c>
      <c r="X58" s="1" cm="1">
        <f t="array" ref="X58">IF(OR(ISERROR(B58:V58)),1,0)</f>
        <v>0</v>
      </c>
      <c r="Y58" s="1">
        <f t="shared" si="9"/>
        <v>0</v>
      </c>
    </row>
    <row r="59" spans="2:25" ht="15" thickBot="1" x14ac:dyDescent="0.4">
      <c r="B59" s="100"/>
      <c r="C59" s="101"/>
      <c r="D59" s="101"/>
      <c r="E59" s="101"/>
      <c r="F59" s="331" t="str">
        <f>IF(E59="","",INDEX(Lists!$BA$4:$BC$31,MATCH('Business travel, commute, home'!$B59,Lists!$AZ$4:$AZ$31,0),MATCH('Business travel, commute, home'!E59,Lists!$BA$3:$BC$3,0)))</f>
        <v/>
      </c>
      <c r="G59" s="70"/>
      <c r="H59" s="101"/>
      <c r="I59" s="275" t="str" cm="1">
        <f t="array" ref="I59">IF(OR($B59="",$C59="",$D59="",H59=""),"",IF(H59=J59,G59,(INDEX('Emission factors'!$K$3:$V$276,MATCH($B59&amp;$C59&amp;$D59,'Emission factors'!$J$3:$J$276&amp;'Emission factors'!$K$3:$K$276&amp;'Emission factors'!$L$3:$L$276,0),MATCH('Business travel, commute, home'!I$7,'Emission factors'!$K$2:$V$2,0)))*G59))</f>
        <v/>
      </c>
      <c r="J59" s="332" t="str" cm="1">
        <f t="array" ref="J59">IF(OR($B59="",$C59="",$G59=""),"",INDEX('Emission factors'!$K$3:$V$276,MATCH($B59&amp;$C59&amp;$D59,'Emission factors'!$J$3:$J$276&amp;'Emission factors'!$K$3:$K$276&amp;'Emission factors'!$L$3:$L$276,0),MATCH('Business travel, commute, home'!J$7,'Emission factors'!$K$2:$V$2,0)))</f>
        <v/>
      </c>
      <c r="K59" s="332" t="str">
        <f t="array" ref="K59">IF(OR(B59="",C59="",D59=""),"",INDEX('Emission factors'!$K$3:$V$276,MATCH($B59&amp;$C59&amp;$D59,'Emission factors'!$J$3:$J$276&amp;'Emission factors'!$K$3:$K$276&amp;'Emission factors'!$L$3:$L$276,0),MATCH('Business travel, commute, home'!K$7,'Emission factors'!$K$2:$V$2,0)))</f>
        <v/>
      </c>
      <c r="L59" s="333" t="str">
        <f>IF(OR(I59="",K59=""),"",SUM(CommutingTable[[#This Row],[Direct]:[Indirect WTT]]))</f>
        <v/>
      </c>
      <c r="M59" s="103"/>
      <c r="N59" s="101"/>
      <c r="O59" s="157" t="str" cm="1">
        <f t="array" ref="O59">IF(OR($C59="",$G59="",CommutingTable[[#This Row],[Converted data]]=""),"",(INDEX('Emission factors'!$K$3:$V$201,MATCH($B59&amp;$C59&amp;$D59,'Emission factors'!$J$3:$J$201&amp;'Emission factors'!$K$3:$K$201&amp;'Emission factors'!$L$3:$L$201,0),MATCH(O$37,'Emission factors'!$K$2:$V$2,0)))*$I59)</f>
        <v/>
      </c>
      <c r="P59" s="157" t="str" cm="1">
        <f t="array" ref="P59">IF(OR($C59="",$G59="",CommutingTable[[#This Row],[Converted data]]=""),"",(INDEX('Emission factors'!$K$3:$V$201,MATCH($B59&amp;$C59&amp;$D59,'Emission factors'!$J$3:$J$201&amp;'Emission factors'!$K$3:$K$201&amp;'Emission factors'!$L$3:$L$201,0),MATCH(P$37,'Emission factors'!$K$2:$V$2,0)))*$I59)</f>
        <v/>
      </c>
      <c r="Q59" s="157" t="str" cm="1">
        <f t="array" ref="Q59">IF(OR($C59="",$G59="",CommutingTable[[#This Row],[Converted data]]=""),"",(INDEX('Emission factors'!$K$3:$V$201,MATCH($B59&amp;$C59&amp;$D59,'Emission factors'!$J$3:$J$201&amp;'Emission factors'!$K$3:$K$201&amp;'Emission factors'!$L$3:$L$201,0),MATCH(Q$37,'Emission factors'!$K$2:$V$2,0)))*$I59)</f>
        <v/>
      </c>
      <c r="R59" s="157" t="str" cm="1">
        <f t="array" ref="R59">IF(OR($C59="",$G59="",CommutingTable[[#This Row],[Converted data]]=""),"",(INDEX('Emission factors'!$K$3:$V$201,MATCH($B59&amp;$C59&amp;$D59,'Emission factors'!$J$3:$J$201&amp;'Emission factors'!$K$3:$K$201&amp;'Emission factors'!$L$3:$L$201,0),MATCH(R$37,'Emission factors'!$K$2:$V$2,0)))*$I59)</f>
        <v/>
      </c>
      <c r="S59" s="157" t="str" cm="1">
        <f t="array" ref="S59">IF(OR($C59="",$G59="",CommutingTable[[#This Row],[Converted data]]=""),"",(INDEX('Emission factors'!$K$3:$V$201,MATCH($B59&amp;$C59&amp;$D59,'Emission factors'!$J$3:$J$201&amp;'Emission factors'!$K$3:$K$201&amp;'Emission factors'!$L$3:$L$201,0),MATCH(S$37,'Emission factors'!$K$2:$V$2,0)))*$I59)</f>
        <v/>
      </c>
      <c r="T59" s="158" t="str">
        <f t="shared" si="7"/>
        <v/>
      </c>
      <c r="U59" s="344" t="str">
        <f t="shared" si="8"/>
        <v/>
      </c>
      <c r="V59" s="164" t="str" cm="1">
        <f t="array" ref="V59">IF(OR($C59="",$G59="",CommutingTable[[#This Row],[Converted data]]=""),"",(INDEX('Emission factors'!$K$3:$V$201,MATCH($B59&amp;$C59&amp;$D59,'Emission factors'!$J$3:$J$201&amp;'Emission factors'!$K$3:$K$201&amp;'Emission factors'!$L$3:$L$201,0),MATCH(V$37,'Emission factors'!$K$2:$V$2,0)))*$I59)</f>
        <v/>
      </c>
      <c r="X59" s="1" cm="1">
        <f t="array" ref="X59">IF(OR(ISERROR(B59:V59)),1,0)</f>
        <v>0</v>
      </c>
      <c r="Y59" s="1">
        <f t="shared" si="9"/>
        <v>0</v>
      </c>
    </row>
    <row r="60" spans="2:25" ht="15" thickBot="1" x14ac:dyDescent="0.4">
      <c r="B60" s="100"/>
      <c r="C60" s="101"/>
      <c r="D60" s="101"/>
      <c r="E60" s="101"/>
      <c r="F60" s="331" t="str">
        <f>IF(E60="","",INDEX(Lists!$BA$4:$BC$31,MATCH('Business travel, commute, home'!$B60,Lists!$AZ$4:$AZ$31,0),MATCH('Business travel, commute, home'!E60,Lists!$BA$3:$BC$3,0)))</f>
        <v/>
      </c>
      <c r="G60" s="70"/>
      <c r="H60" s="101"/>
      <c r="I60" s="275" t="str" cm="1">
        <f t="array" ref="I60">IF(OR($B60="",$C60="",$D60="",H60=""),"",IF(H60=J60,G60,(INDEX('Emission factors'!$K$3:$V$276,MATCH($B60&amp;$C60&amp;$D60,'Emission factors'!$J$3:$J$276&amp;'Emission factors'!$K$3:$K$276&amp;'Emission factors'!$L$3:$L$276,0),MATCH('Business travel, commute, home'!I$7,'Emission factors'!$K$2:$V$2,0)))*G60))</f>
        <v/>
      </c>
      <c r="J60" s="332" t="str" cm="1">
        <f t="array" ref="J60">IF(OR($B60="",$C60="",$G60=""),"",INDEX('Emission factors'!$K$3:$V$276,MATCH($B60&amp;$C60&amp;$D60,'Emission factors'!$J$3:$J$276&amp;'Emission factors'!$K$3:$K$276&amp;'Emission factors'!$L$3:$L$276,0),MATCH('Business travel, commute, home'!J$7,'Emission factors'!$K$2:$V$2,0)))</f>
        <v/>
      </c>
      <c r="K60" s="332" t="str">
        <f t="array" ref="K60">IF(OR(B60="",C60="",D60=""),"",INDEX('Emission factors'!$K$3:$V$276,MATCH($B60&amp;$C60&amp;$D60,'Emission factors'!$J$3:$J$276&amp;'Emission factors'!$K$3:$K$276&amp;'Emission factors'!$L$3:$L$276,0),MATCH('Business travel, commute, home'!K$7,'Emission factors'!$K$2:$V$2,0)))</f>
        <v/>
      </c>
      <c r="L60" s="333" t="str">
        <f>IF(OR(I60="",K60=""),"",SUM(CommutingTable[[#This Row],[Direct]:[Indirect WTT]]))</f>
        <v/>
      </c>
      <c r="M60" s="103"/>
      <c r="N60" s="101"/>
      <c r="O60" s="157" t="str" cm="1">
        <f t="array" ref="O60">IF(OR($C60="",$G60="",CommutingTable[[#This Row],[Converted data]]=""),"",(INDEX('Emission factors'!$K$3:$V$201,MATCH($B60&amp;$C60&amp;$D60,'Emission factors'!$J$3:$J$201&amp;'Emission factors'!$K$3:$K$201&amp;'Emission factors'!$L$3:$L$201,0),MATCH(O$37,'Emission factors'!$K$2:$V$2,0)))*$I60)</f>
        <v/>
      </c>
      <c r="P60" s="157" t="str" cm="1">
        <f t="array" ref="P60">IF(OR($C60="",$G60="",CommutingTable[[#This Row],[Converted data]]=""),"",(INDEX('Emission factors'!$K$3:$V$201,MATCH($B60&amp;$C60&amp;$D60,'Emission factors'!$J$3:$J$201&amp;'Emission factors'!$K$3:$K$201&amp;'Emission factors'!$L$3:$L$201,0),MATCH(P$37,'Emission factors'!$K$2:$V$2,0)))*$I60)</f>
        <v/>
      </c>
      <c r="Q60" s="157" t="str" cm="1">
        <f t="array" ref="Q60">IF(OR($C60="",$G60="",CommutingTable[[#This Row],[Converted data]]=""),"",(INDEX('Emission factors'!$K$3:$V$201,MATCH($B60&amp;$C60&amp;$D60,'Emission factors'!$J$3:$J$201&amp;'Emission factors'!$K$3:$K$201&amp;'Emission factors'!$L$3:$L$201,0),MATCH(Q$37,'Emission factors'!$K$2:$V$2,0)))*$I60)</f>
        <v/>
      </c>
      <c r="R60" s="157" t="str" cm="1">
        <f t="array" ref="R60">IF(OR($C60="",$G60="",CommutingTable[[#This Row],[Converted data]]=""),"",(INDEX('Emission factors'!$K$3:$V$201,MATCH($B60&amp;$C60&amp;$D60,'Emission factors'!$J$3:$J$201&amp;'Emission factors'!$K$3:$K$201&amp;'Emission factors'!$L$3:$L$201,0),MATCH(R$37,'Emission factors'!$K$2:$V$2,0)))*$I60)</f>
        <v/>
      </c>
      <c r="S60" s="157" t="str" cm="1">
        <f t="array" ref="S60">IF(OR($C60="",$G60="",CommutingTable[[#This Row],[Converted data]]=""),"",(INDEX('Emission factors'!$K$3:$V$201,MATCH($B60&amp;$C60&amp;$D60,'Emission factors'!$J$3:$J$201&amp;'Emission factors'!$K$3:$K$201&amp;'Emission factors'!$L$3:$L$201,0),MATCH(S$37,'Emission factors'!$K$2:$V$2,0)))*$I60)</f>
        <v/>
      </c>
      <c r="T60" s="158" t="str">
        <f t="shared" si="7"/>
        <v/>
      </c>
      <c r="U60" s="344" t="str">
        <f t="shared" si="8"/>
        <v/>
      </c>
      <c r="V60" s="164" t="str" cm="1">
        <f t="array" ref="V60">IF(OR($C60="",$G60="",CommutingTable[[#This Row],[Converted data]]=""),"",(INDEX('Emission factors'!$K$3:$V$201,MATCH($B60&amp;$C60&amp;$D60,'Emission factors'!$J$3:$J$201&amp;'Emission factors'!$K$3:$K$201&amp;'Emission factors'!$L$3:$L$201,0),MATCH(V$37,'Emission factors'!$K$2:$V$2,0)))*$I60)</f>
        <v/>
      </c>
      <c r="X60" s="1" cm="1">
        <f t="array" ref="X60">IF(OR(ISERROR(B60:V60)),1,0)</f>
        <v>0</v>
      </c>
      <c r="Y60" s="1">
        <f t="shared" si="9"/>
        <v>0</v>
      </c>
    </row>
    <row r="61" spans="2:25" ht="15" thickBot="1" x14ac:dyDescent="0.4">
      <c r="B61" s="100"/>
      <c r="C61" s="101"/>
      <c r="D61" s="101"/>
      <c r="E61" s="101"/>
      <c r="F61" s="338" t="str">
        <f>IF(E61="","",INDEX(Lists!$BA$4:$BC$31,MATCH('Business travel, commute, home'!$B61,Lists!$AZ$4:$AZ$31,0),MATCH('Business travel, commute, home'!E61,Lists!$BA$3:$BC$3,0)))</f>
        <v/>
      </c>
      <c r="G61" s="70"/>
      <c r="H61" s="101"/>
      <c r="I61" s="339" t="str" cm="1">
        <f t="array" ref="I61">IF(OR($B61="",$C61="",$D61="",H61=""),"",IF(H61=J61,G61,(INDEX('Emission factors'!$K$3:$V$276,MATCH($B61&amp;$C61&amp;$D61,'Emission factors'!$J$3:$J$276&amp;'Emission factors'!$K$3:$K$276&amp;'Emission factors'!$L$3:$L$276,0),MATCH('Business travel, commute, home'!I$7,'Emission factors'!$K$2:$V$2,0)))*G61))</f>
        <v/>
      </c>
      <c r="J61" s="340" t="str" cm="1">
        <f t="array" ref="J61">IF(OR($B61="",$C61="",$G61=""),"",INDEX('Emission factors'!$K$3:$V$276,MATCH($B61&amp;$C61&amp;$D61,'Emission factors'!$J$3:$J$276&amp;'Emission factors'!$K$3:$K$276&amp;'Emission factors'!$L$3:$L$276,0),MATCH('Business travel, commute, home'!J$7,'Emission factors'!$K$2:$V$2,0)))</f>
        <v/>
      </c>
      <c r="K61" s="340" t="str">
        <f t="array" ref="K61">IF(OR(B61="",C61="",D61=""),"",INDEX('Emission factors'!$K$3:$V$276,MATCH($B61&amp;$C61&amp;$D61,'Emission factors'!$J$3:$J$276&amp;'Emission factors'!$K$3:$K$276&amp;'Emission factors'!$L$3:$L$276,0),MATCH('Business travel, commute, home'!K$7,'Emission factors'!$K$2:$V$2,0)))</f>
        <v/>
      </c>
      <c r="L61" s="333" t="str">
        <f>IF(OR(I61="",K61=""),"",SUM(CommutingTable[[#This Row],[Direct]:[Indirect WTT]]))</f>
        <v/>
      </c>
      <c r="M61" s="104"/>
      <c r="N61" s="102"/>
      <c r="O61" s="157" t="str" cm="1">
        <f t="array" ref="O61">IF(OR($C61="",$G61="",CommutingTable[[#This Row],[Converted data]]=""),"",(INDEX('Emission factors'!$K$3:$V$201,MATCH($B61&amp;$C61&amp;$D61,'Emission factors'!$J$3:$J$201&amp;'Emission factors'!$K$3:$K$201&amp;'Emission factors'!$L$3:$L$201,0),MATCH(O$37,'Emission factors'!$K$2:$V$2,0)))*$I61)</f>
        <v/>
      </c>
      <c r="P61" s="157" t="str" cm="1">
        <f t="array" ref="P61">IF(OR($C61="",$G61="",CommutingTable[[#This Row],[Converted data]]=""),"",(INDEX('Emission factors'!$K$3:$V$201,MATCH($B61&amp;$C61&amp;$D61,'Emission factors'!$J$3:$J$201&amp;'Emission factors'!$K$3:$K$201&amp;'Emission factors'!$L$3:$L$201,0),MATCH(P$37,'Emission factors'!$K$2:$V$2,0)))*$I61)</f>
        <v/>
      </c>
      <c r="Q61" s="157" t="str" cm="1">
        <f t="array" ref="Q61">IF(OR($C61="",$G61="",CommutingTable[[#This Row],[Converted data]]=""),"",(INDEX('Emission factors'!$K$3:$V$201,MATCH($B61&amp;$C61&amp;$D61,'Emission factors'!$J$3:$J$201&amp;'Emission factors'!$K$3:$K$201&amp;'Emission factors'!$L$3:$L$201,0),MATCH(Q$37,'Emission factors'!$K$2:$V$2,0)))*$I61)</f>
        <v/>
      </c>
      <c r="R61" s="157" t="str" cm="1">
        <f t="array" ref="R61">IF(OR($C61="",$G61="",CommutingTable[[#This Row],[Converted data]]=""),"",(INDEX('Emission factors'!$K$3:$V$201,MATCH($B61&amp;$C61&amp;$D61,'Emission factors'!$J$3:$J$201&amp;'Emission factors'!$K$3:$K$201&amp;'Emission factors'!$L$3:$L$201,0),MATCH(R$37,'Emission factors'!$K$2:$V$2,0)))*$I61)</f>
        <v/>
      </c>
      <c r="S61" s="157" t="str" cm="1">
        <f t="array" ref="S61">IF(OR($C61="",$G61="",CommutingTable[[#This Row],[Converted data]]=""),"",(INDEX('Emission factors'!$K$3:$V$201,MATCH($B61&amp;$C61&amp;$D61,'Emission factors'!$J$3:$J$201&amp;'Emission factors'!$K$3:$K$201&amp;'Emission factors'!$L$3:$L$201,0),MATCH(S$37,'Emission factors'!$K$2:$V$2,0)))*$I61)</f>
        <v/>
      </c>
      <c r="T61" s="158" t="str">
        <f t="shared" si="7"/>
        <v/>
      </c>
      <c r="U61" s="344" t="str">
        <f t="shared" si="8"/>
        <v/>
      </c>
      <c r="V61" s="164" t="str" cm="1">
        <f t="array" ref="V61">IF(OR($C61="",$G61="",CommutingTable[[#This Row],[Converted data]]=""),"",(INDEX('Emission factors'!$K$3:$V$201,MATCH($B61&amp;$C61&amp;$D61,'Emission factors'!$J$3:$J$201&amp;'Emission factors'!$K$3:$K$201&amp;'Emission factors'!$L$3:$L$201,0),MATCH(V$37,'Emission factors'!$K$2:$V$2,0)))*$I61)</f>
        <v/>
      </c>
      <c r="X61" s="1" cm="1">
        <f t="array" ref="X61">IF(OR(ISERROR(B61:V61)),1,0)</f>
        <v>0</v>
      </c>
      <c r="Y61" s="1">
        <f t="shared" si="9"/>
        <v>0</v>
      </c>
    </row>
    <row r="62" spans="2:25" x14ac:dyDescent="0.35">
      <c r="U62" s="321"/>
      <c r="V62" s="30"/>
    </row>
    <row r="63" spans="2:25" ht="19" thickBot="1" x14ac:dyDescent="0.4">
      <c r="B63" s="20" t="s">
        <v>111</v>
      </c>
      <c r="C63" s="345" t="str">
        <f>IFERROR(IF(SUM(HomeworkingTable[Number of FTE])&gt;Introduction!D14, "The number of FTEs entered here exceed the number of FTEs entered in the introduction sheet. Please review these numbers", "No error"),"Error present")</f>
        <v>No error</v>
      </c>
      <c r="H63" s="317" t="str">
        <f>IF($Y$64=0,"No data entered",IF($X$64=0,"No errors in this table","There are errors in this table see highlighted row(s)"))</f>
        <v>No data entered</v>
      </c>
      <c r="I63"/>
      <c r="O63" s="318" t="s">
        <v>227</v>
      </c>
      <c r="T63" s="26"/>
      <c r="U63" s="321"/>
      <c r="V63" s="30"/>
    </row>
    <row r="64" spans="2:25" ht="29.5" thickBot="1" x14ac:dyDescent="0.4">
      <c r="B64" s="330" t="s">
        <v>228</v>
      </c>
      <c r="C64" s="274" t="s">
        <v>232</v>
      </c>
      <c r="D64" s="274" t="s">
        <v>233</v>
      </c>
      <c r="E64" s="274" t="s">
        <v>230</v>
      </c>
      <c r="F64" s="274" t="s">
        <v>181</v>
      </c>
      <c r="G64" s="274" t="s">
        <v>182</v>
      </c>
      <c r="H64" s="274" t="s">
        <v>183</v>
      </c>
      <c r="I64" s="274" t="s">
        <v>184</v>
      </c>
      <c r="J64" s="274" t="s">
        <v>185</v>
      </c>
      <c r="K64" s="274" t="s">
        <v>231</v>
      </c>
      <c r="L64" s="274" t="s">
        <v>91</v>
      </c>
      <c r="M64" s="274" t="s">
        <v>188</v>
      </c>
      <c r="N64" s="274" t="s">
        <v>189</v>
      </c>
      <c r="O64" s="8" t="s">
        <v>92</v>
      </c>
      <c r="P64" s="8" t="s">
        <v>190</v>
      </c>
      <c r="Q64" s="8" t="s">
        <v>191</v>
      </c>
      <c r="R64" s="8" t="s">
        <v>192</v>
      </c>
      <c r="S64" s="8" t="s">
        <v>193</v>
      </c>
      <c r="T64" s="8" t="s">
        <v>100</v>
      </c>
      <c r="U64" s="322" t="s">
        <v>101</v>
      </c>
      <c r="V64" s="8" t="s">
        <v>96</v>
      </c>
      <c r="X64" s="9">
        <f>SUM(X65:X91)</f>
        <v>0</v>
      </c>
      <c r="Y64" s="9">
        <f>SUM(Y65:Y91)</f>
        <v>0</v>
      </c>
    </row>
    <row r="65" spans="2:25" ht="15" thickBot="1" x14ac:dyDescent="0.4">
      <c r="B65" s="100"/>
      <c r="C65" s="135"/>
      <c r="D65" s="136"/>
      <c r="E65" s="101"/>
      <c r="F65" s="346" t="str">
        <f>IF(E65="","",INDEX(Lists!$BA$4:$BC$31,MATCH('Business travel, commute, home'!$B65,Lists!$AZ$4:$AZ$31,0),MATCH('Business travel, commute, home'!E65,Lists!$BA$3:$BC$3,0)))</f>
        <v/>
      </c>
      <c r="G65" s="276">
        <f>HomeworkingTable[[#This Row],[Number of FTE]]*HomeworkingTable[[#This Row],[% working hours at home]]</f>
        <v>0</v>
      </c>
      <c r="H65" s="332" t="str">
        <f>IF(OR(HomeworkingTable[[#This Row],[Emission source]]="",HomeworkingTable[[#This Row],[Number of FTE]]="",HomeworkingTable[[#This Row],[% working hours at home]]=""),"","FTE years")</f>
        <v/>
      </c>
      <c r="I65" s="277" t="str">
        <f>IF(OR($B65="",$C65="",$D65="",H65=""),"",IF(H65=J65,G65,(INDEX('Emission factors'!$K$3:$V$276,MATCH($B65&amp;$C65&amp;$D65,'Emission factors'!$J$3:$J$276&amp;'Emission factors'!$K$3:$K$276&amp;'Emission factors'!$L$3:$L$276,0),MATCH('Business travel, commute, home'!I$7,'Emission factors'!$K$2:$V$2,0)))*G65))</f>
        <v/>
      </c>
      <c r="J65" s="332" t="str">
        <f>HomeworkingTable[[#This Row],[Units]]</f>
        <v/>
      </c>
      <c r="K65" s="347" t="str">
        <f>IF(OR(B65="",C65="",D65=""),"",INDEX('Emission factors'!$K$3:$V$276,MATCH($B65,'Emission factors'!$J$3:$J$276,0),MATCH('Business travel, commute, home'!K$7,'Emission factors'!$K$2:$V$2,0)))</f>
        <v/>
      </c>
      <c r="L65" s="333" t="str">
        <f>IF(OR(I65="",K65=""),"",SUM(HomeworkingTable[[#This Row],[Direct]:[Indirect WTT]]))</f>
        <v/>
      </c>
      <c r="M65" s="103"/>
      <c r="N65" s="101"/>
      <c r="O65" s="157" t="str">
        <f>IF(OR($C65="",$G65=""),"",(INDEX('Emission factors'!$K$3:$V$201,MATCH($B65,'Emission factors'!$J$3:$J$201,0),MATCH(O$64,'Emission factors'!$K$2:$V$2,0)))*$I65)</f>
        <v/>
      </c>
      <c r="P65" s="157" t="str">
        <f>IF(OR($C65="",$G65=""),"",(INDEX('Emission factors'!$K$3:$V$201,MATCH($B65,'Emission factors'!$J$3:$J$201,0),MATCH(P$64,'Emission factors'!$K$2:$V$2,0)))*$I65)</f>
        <v/>
      </c>
      <c r="Q65" s="157" t="str">
        <f>IF(OR($C65="",$G65=""),"",(INDEX('Emission factors'!$K$3:$V$201,MATCH($B65,'Emission factors'!$J$3:$J$201,0),MATCH(Q$64,'Emission factors'!$K$2:$V$2,0)))*$I65)</f>
        <v/>
      </c>
      <c r="R65" s="157" t="str">
        <f>IF(OR($C65="",$G65=""),"",(INDEX('Emission factors'!$K$3:$V$201,MATCH($B65,'Emission factors'!$J$3:$J$201,0),MATCH(R$64,'Emission factors'!$K$2:$V$2,0)))*$I65)</f>
        <v/>
      </c>
      <c r="S65" s="157" t="str">
        <f>IF(OR($C65="",$G65=""),"",(INDEX('Emission factors'!$K$3:$V$201,MATCH($B65,'Emission factors'!$J$3:$J$201,0),MATCH(S$64,'Emission factors'!$K$2:$V$2,0)))*$I65)</f>
        <v/>
      </c>
      <c r="T65" s="158" t="str">
        <f t="shared" ref="T65:T74" si="10">IF(OR($L65="",$F65=""),"",$L65*(1+$F65))</f>
        <v/>
      </c>
      <c r="U65" s="344" t="str">
        <f t="shared" ref="U65:U74" si="11">IF(OR($L65="",$F65=""),"",$L65*(1-$F65))</f>
        <v/>
      </c>
      <c r="V65" s="164" t="str">
        <f>IF(OR($C65="",$G65=""),"",(INDEX('Emission factors'!$K$3:$V$201,MATCH($B65,'Emission factors'!$J$3:$J$201,0),MATCH(V$64,'Emission factors'!$K$2:$V$2,0)))*$I65)</f>
        <v/>
      </c>
      <c r="X65" s="1" cm="1">
        <f t="array" ref="X65">IF(OR(ISERROR(B65:V65)),1,0)</f>
        <v>0</v>
      </c>
      <c r="Y65" s="1">
        <f>IF(AND(B65="",C65="",D65=""),0,1)</f>
        <v>0</v>
      </c>
    </row>
    <row r="66" spans="2:25" ht="15" thickBot="1" x14ac:dyDescent="0.4">
      <c r="B66" s="100"/>
      <c r="C66" s="135"/>
      <c r="D66" s="136"/>
      <c r="E66" s="101"/>
      <c r="F66" s="346" t="str">
        <f>IF(E66="","",INDEX(Lists!$BA$4:$BC$31,MATCH('Business travel, commute, home'!$B66,Lists!$AZ$4:$AZ$31,0),MATCH('Business travel, commute, home'!E66,Lists!$BA$3:$BC$3,0)))</f>
        <v/>
      </c>
      <c r="G66" s="276">
        <f>HomeworkingTable[[#This Row],[Number of FTE]]*HomeworkingTable[[#This Row],[% working hours at home]]</f>
        <v>0</v>
      </c>
      <c r="H66" s="332" t="str">
        <f>IF(OR(HomeworkingTable[[#This Row],[Emission source]]="",HomeworkingTable[[#This Row],[Number of FTE]]="",HomeworkingTable[[#This Row],[% working hours at home]]=""),"","FTE years")</f>
        <v/>
      </c>
      <c r="I66" s="277" t="str">
        <f>IF(OR($B66="",$C66="",$D66="",H66=""),"",IF(H66=J66,G66,(INDEX('Emission factors'!$K$3:$V$276,MATCH($B66&amp;$C66&amp;$D66,'Emission factors'!$J$3:$J$276&amp;'Emission factors'!$K$3:$K$276&amp;'Emission factors'!$L$3:$L$276,0),MATCH('Business travel, commute, home'!I$7,'Emission factors'!$K$2:$V$2,0)))*G66))</f>
        <v/>
      </c>
      <c r="J66" s="332" t="str">
        <f>HomeworkingTable[[#This Row],[Units]]</f>
        <v/>
      </c>
      <c r="K66" s="347" t="str">
        <f>IF(OR(B66="",C66="",D66=""),"",INDEX('Emission factors'!$K$3:$V$276,MATCH($B66,'Emission factors'!$J$3:$J$276,0),MATCH('Business travel, commute, home'!K$7,'Emission factors'!$K$2:$V$2,0)))</f>
        <v/>
      </c>
      <c r="L66" s="333" t="str">
        <f>IF(OR(I66="",K66=""),"",SUM(HomeworkingTable[[#This Row],[Direct]:[Indirect WTT]]))</f>
        <v/>
      </c>
      <c r="M66" s="103"/>
      <c r="N66" s="101"/>
      <c r="O66" s="157" t="str">
        <f>IF(OR($C66="",$G66=""),"",(INDEX('Emission factors'!$K$3:$V$201,MATCH($B66,'Emission factors'!$J$3:$J$201,0),MATCH(O$64,'Emission factors'!$K$2:$V$2,0)))*$I66)</f>
        <v/>
      </c>
      <c r="P66" s="157" t="str">
        <f>IF(OR($C66="",$G66=""),"",(INDEX('Emission factors'!$K$3:$V$201,MATCH($B66,'Emission factors'!$J$3:$J$201,0),MATCH(P$64,'Emission factors'!$K$2:$V$2,0)))*$I66)</f>
        <v/>
      </c>
      <c r="Q66" s="157" t="str">
        <f>IF(OR($C66="",$G66=""),"",(INDEX('Emission factors'!$K$3:$V$201,MATCH($B66,'Emission factors'!$J$3:$J$201,0),MATCH(Q$64,'Emission factors'!$K$2:$V$2,0)))*$I66)</f>
        <v/>
      </c>
      <c r="R66" s="157" t="str">
        <f>IF(OR($C66="",$G66=""),"",(INDEX('Emission factors'!$K$3:$V$201,MATCH($B66,'Emission factors'!$J$3:$J$201,0),MATCH(R$64,'Emission factors'!$K$2:$V$2,0)))*$I66)</f>
        <v/>
      </c>
      <c r="S66" s="157" t="str">
        <f>IF(OR($C66="",$G66=""),"",(INDEX('Emission factors'!$K$3:$V$201,MATCH($B66,'Emission factors'!$J$3:$J$201,0),MATCH(S$64,'Emission factors'!$K$2:$V$2,0)))*$I66)</f>
        <v/>
      </c>
      <c r="T66" s="158" t="str">
        <f t="shared" si="10"/>
        <v/>
      </c>
      <c r="U66" s="163" t="str">
        <f t="shared" si="11"/>
        <v/>
      </c>
      <c r="V66" s="158" t="str">
        <f>IF(OR($C66="",$G66=""),"",(INDEX('Emission factors'!$K$3:$V$201,MATCH($B66,'Emission factors'!$J$3:$J$201,0),MATCH(V$64,'Emission factors'!$K$2:$V$2,0)))*$I66)</f>
        <v/>
      </c>
      <c r="X66" s="1" cm="1">
        <f t="array" ref="X66">IF(OR(ISERROR(B66:V66)),1,0)</f>
        <v>0</v>
      </c>
      <c r="Y66" s="1">
        <f t="shared" ref="Y66:Y74" si="12">IF(AND(B66="",C66="",D66=""),0,1)</f>
        <v>0</v>
      </c>
    </row>
    <row r="67" spans="2:25" ht="15" thickBot="1" x14ac:dyDescent="0.4">
      <c r="B67" s="100"/>
      <c r="C67" s="135"/>
      <c r="D67" s="136"/>
      <c r="E67" s="101"/>
      <c r="F67" s="346" t="str">
        <f>IF(E67="","",INDEX(Lists!$BA$4:$BC$31,MATCH('Business travel, commute, home'!$B67,Lists!$AZ$4:$AZ$31,0),MATCH('Business travel, commute, home'!E67,Lists!$BA$3:$BC$3,0)))</f>
        <v/>
      </c>
      <c r="G67" s="276">
        <f>HomeworkingTable[[#This Row],[Number of FTE]]*HomeworkingTable[[#This Row],[% working hours at home]]</f>
        <v>0</v>
      </c>
      <c r="H67" s="332" t="str">
        <f>IF(OR(HomeworkingTable[[#This Row],[Emission source]]="",HomeworkingTable[[#This Row],[Number of FTE]]="",HomeworkingTable[[#This Row],[% working hours at home]]=""),"","FTE years")</f>
        <v/>
      </c>
      <c r="I67" s="275" t="str">
        <f>IF(OR($B67="",$C67="",$D67="",H67=""),"",IF(H67=J67,G67,(INDEX('Emission factors'!$K$3:$V$276,MATCH($B67&amp;$C67&amp;$D67,'Emission factors'!$J$3:$J$276&amp;'Emission factors'!$K$3:$K$276&amp;'Emission factors'!$L$3:$L$276,0),MATCH('Business travel, commute, home'!I$7,'Emission factors'!$K$2:$V$2,0)))*G67))</f>
        <v/>
      </c>
      <c r="J67" s="332" t="str">
        <f>HomeworkingTable[[#This Row],[Units]]</f>
        <v/>
      </c>
      <c r="K67" s="347" t="str">
        <f>IF(OR(B67="",C67="",D67=""),"",INDEX('Emission factors'!$K$3:$V$276,MATCH($B67,'Emission factors'!$J$3:$J$276,0),MATCH('Business travel, commute, home'!K$7,'Emission factors'!$K$2:$V$2,0)))</f>
        <v/>
      </c>
      <c r="L67" s="333" t="str">
        <f>IF(OR(I67="",K67=""),"",SUM(HomeworkingTable[[#This Row],[Direct]:[Indirect WTT]]))</f>
        <v/>
      </c>
      <c r="M67" s="103"/>
      <c r="N67" s="101"/>
      <c r="O67" s="157" t="str">
        <f>IF(OR($C67="",$G67=""),"",(INDEX('Emission factors'!$K$3:$V$201,MATCH($B67,'Emission factors'!$J$3:$J$201,0),MATCH(O$64,'Emission factors'!$K$2:$V$2,0)))*$I67)</f>
        <v/>
      </c>
      <c r="P67" s="157" t="str">
        <f>IF(OR($C67="",$G67=""),"",(INDEX('Emission factors'!$K$3:$V$201,MATCH($B67,'Emission factors'!$J$3:$J$201,0),MATCH(P$64,'Emission factors'!$K$2:$V$2,0)))*$I67)</f>
        <v/>
      </c>
      <c r="Q67" s="157" t="str">
        <f>IF(OR($C67="",$G67=""),"",(INDEX('Emission factors'!$K$3:$V$201,MATCH($B67,'Emission factors'!$J$3:$J$201,0),MATCH(Q$64,'Emission factors'!$K$2:$V$2,0)))*$I67)</f>
        <v/>
      </c>
      <c r="R67" s="157" t="str">
        <f>IF(OR($C67="",$G67=""),"",(INDEX('Emission factors'!$K$3:$V$201,MATCH($B67,'Emission factors'!$J$3:$J$201,0),MATCH(R$64,'Emission factors'!$K$2:$V$2,0)))*$I67)</f>
        <v/>
      </c>
      <c r="S67" s="157" t="str">
        <f>IF(OR($C67="",$G67=""),"",(INDEX('Emission factors'!$K$3:$V$201,MATCH($B67,'Emission factors'!$J$3:$J$201,0),MATCH(S$64,'Emission factors'!$K$2:$V$2,0)))*$I67)</f>
        <v/>
      </c>
      <c r="T67" s="158" t="str">
        <f t="shared" si="10"/>
        <v/>
      </c>
      <c r="U67" s="163" t="str">
        <f t="shared" si="11"/>
        <v/>
      </c>
      <c r="V67" s="158" t="str">
        <f>IF(OR($C67="",$G67=""),"",(INDEX('Emission factors'!$K$3:$V$201,MATCH($B67,'Emission factors'!$J$3:$J$201,0),MATCH(V$64,'Emission factors'!$K$2:$V$2,0)))*$I67)</f>
        <v/>
      </c>
      <c r="X67" s="1" cm="1">
        <f t="array" ref="X67">IF(OR(ISERROR(B67:V67)),1,0)</f>
        <v>0</v>
      </c>
      <c r="Y67" s="1">
        <f t="shared" si="12"/>
        <v>0</v>
      </c>
    </row>
    <row r="68" spans="2:25" ht="15" thickBot="1" x14ac:dyDescent="0.4">
      <c r="B68" s="100"/>
      <c r="C68" s="135"/>
      <c r="D68" s="136"/>
      <c r="E68" s="101"/>
      <c r="F68" s="346" t="str">
        <f>IF(E68="","",INDEX(Lists!$BA$4:$BC$31,MATCH('Business travel, commute, home'!$B68,Lists!$AZ$4:$AZ$31,0),MATCH('Business travel, commute, home'!E68,Lists!$BA$3:$BC$3,0)))</f>
        <v/>
      </c>
      <c r="G68" s="276">
        <f>HomeworkingTable[[#This Row],[Number of FTE]]*HomeworkingTable[[#This Row],[% working hours at home]]</f>
        <v>0</v>
      </c>
      <c r="H68" s="332" t="str">
        <f>IF(OR(HomeworkingTable[[#This Row],[Emission source]]="",HomeworkingTable[[#This Row],[Number of FTE]]="",HomeworkingTable[[#This Row],[% working hours at home]]=""),"","FTE years")</f>
        <v/>
      </c>
      <c r="I68" s="275" t="str">
        <f>IF(OR($B68="",$C68="",$D68="",H68=""),"",IF(H68=J68,G68,(INDEX('Emission factors'!$K$3:$V$276,MATCH($B68&amp;$C68&amp;$D68,'Emission factors'!$J$3:$J$276&amp;'Emission factors'!$K$3:$K$276&amp;'Emission factors'!$L$3:$L$276,0),MATCH('Business travel, commute, home'!I$7,'Emission factors'!$K$2:$V$2,0)))*G68))</f>
        <v/>
      </c>
      <c r="J68" s="332" t="str">
        <f>HomeworkingTable[[#This Row],[Units]]</f>
        <v/>
      </c>
      <c r="K68" s="347" t="str">
        <f>IF(OR(B68="",C68="",D68=""),"",INDEX('Emission factors'!$K$3:$V$276,MATCH($B68,'Emission factors'!$J$3:$J$276,0),MATCH('Business travel, commute, home'!K$7,'Emission factors'!$K$2:$V$2,0)))</f>
        <v/>
      </c>
      <c r="L68" s="333" t="str">
        <f>IF(OR(I68="",K68=""),"",SUM(HomeworkingTable[[#This Row],[Direct]:[Indirect WTT]]))</f>
        <v/>
      </c>
      <c r="M68" s="103"/>
      <c r="N68" s="101"/>
      <c r="O68" s="157" t="str">
        <f>IF(OR($C68="",$G68=""),"",(INDEX('Emission factors'!$K$3:$V$201,MATCH($B68,'Emission factors'!$J$3:$J$201,0),MATCH(O$64,'Emission factors'!$K$2:$V$2,0)))*$I68)</f>
        <v/>
      </c>
      <c r="P68" s="157" t="str">
        <f>IF(OR($C68="",$G68=""),"",(INDEX('Emission factors'!$K$3:$V$201,MATCH($B68,'Emission factors'!$J$3:$J$201,0),MATCH(P$64,'Emission factors'!$K$2:$V$2,0)))*$I68)</f>
        <v/>
      </c>
      <c r="Q68" s="157" t="str">
        <f>IF(OR($C68="",$G68=""),"",(INDEX('Emission factors'!$K$3:$V$201,MATCH($B68,'Emission factors'!$J$3:$J$201,0),MATCH(Q$64,'Emission factors'!$K$2:$V$2,0)))*$I68)</f>
        <v/>
      </c>
      <c r="R68" s="157" t="str">
        <f>IF(OR($C68="",$G68=""),"",(INDEX('Emission factors'!$K$3:$V$201,MATCH($B68,'Emission factors'!$J$3:$J$201,0),MATCH(R$64,'Emission factors'!$K$2:$V$2,0)))*$I68)</f>
        <v/>
      </c>
      <c r="S68" s="157" t="str">
        <f>IF(OR($C68="",$G68=""),"",(INDEX('Emission factors'!$K$3:$V$201,MATCH($B68,'Emission factors'!$J$3:$J$201,0),MATCH(S$64,'Emission factors'!$K$2:$V$2,0)))*$I68)</f>
        <v/>
      </c>
      <c r="T68" s="158" t="str">
        <f t="shared" si="10"/>
        <v/>
      </c>
      <c r="U68" s="163" t="str">
        <f t="shared" si="11"/>
        <v/>
      </c>
      <c r="V68" s="158" t="str">
        <f>IF(OR($C68="",$G68=""),"",(INDEX('Emission factors'!$K$3:$V$201,MATCH($B68,'Emission factors'!$J$3:$J$201,0),MATCH(V$64,'Emission factors'!$K$2:$V$2,0)))*$I68)</f>
        <v/>
      </c>
      <c r="X68" s="1" cm="1">
        <f t="array" ref="X68">IF(OR(ISERROR(B68:V68)),1,0)</f>
        <v>0</v>
      </c>
      <c r="Y68" s="1">
        <f t="shared" si="12"/>
        <v>0</v>
      </c>
    </row>
    <row r="69" spans="2:25" ht="15" thickBot="1" x14ac:dyDescent="0.4">
      <c r="B69" s="100"/>
      <c r="C69" s="135"/>
      <c r="D69" s="136"/>
      <c r="E69" s="101"/>
      <c r="F69" s="348" t="str">
        <f>IF(E69="","",INDEX(Lists!$BA$4:$BC$31,MATCH('Business travel, commute, home'!$B69,Lists!$AZ$4:$AZ$31,0),MATCH('Business travel, commute, home'!E69,Lists!$BA$3:$BC$3,0)))</f>
        <v/>
      </c>
      <c r="G69" s="276">
        <f>HomeworkingTable[[#This Row],[Number of FTE]]*HomeworkingTable[[#This Row],[% working hours at home]]</f>
        <v>0</v>
      </c>
      <c r="H69" s="332" t="str">
        <f>IF(OR(HomeworkingTable[[#This Row],[Emission source]]="",HomeworkingTable[[#This Row],[Number of FTE]]="",HomeworkingTable[[#This Row],[% working hours at home]]=""),"","FTE years")</f>
        <v/>
      </c>
      <c r="I69" s="275" t="str">
        <f>IF(OR($B69="",$C69="",$D69="",H69=""),"",IF(H69=J69,G69,(INDEX('Emission factors'!$K$3:$V$276,MATCH($B69&amp;$C69&amp;$D69,'Emission factors'!$J$3:$J$276&amp;'Emission factors'!$K$3:$K$276&amp;'Emission factors'!$L$3:$L$276,0),MATCH('Business travel, commute, home'!I$7,'Emission factors'!$K$2:$V$2,0)))*G69))</f>
        <v/>
      </c>
      <c r="J69" s="332" t="str">
        <f>HomeworkingTable[[#This Row],[Units]]</f>
        <v/>
      </c>
      <c r="K69" s="347" t="str">
        <f>IF(OR(B69="",C69="",D69=""),"",INDEX('Emission factors'!$K$3:$V$276,MATCH($B69,'Emission factors'!$J$3:$J$276,0),MATCH('Business travel, commute, home'!K$7,'Emission factors'!$K$2:$V$2,0)))</f>
        <v/>
      </c>
      <c r="L69" s="333" t="str">
        <f>IF(OR(I69="",K69=""),"",SUM(HomeworkingTable[[#This Row],[Direct]:[Indirect WTT]]))</f>
        <v/>
      </c>
      <c r="M69" s="103"/>
      <c r="N69" s="101"/>
      <c r="O69" s="157" t="str">
        <f>IF(OR($C69="",$G69=""),"",(INDEX('Emission factors'!$K$3:$V$201,MATCH($B69,'Emission factors'!$J$3:$J$201,0),MATCH(O$64,'Emission factors'!$K$2:$V$2,0)))*$I69)</f>
        <v/>
      </c>
      <c r="P69" s="157" t="str">
        <f>IF(OR($C69="",$G69=""),"",(INDEX('Emission factors'!$K$3:$V$201,MATCH($B69,'Emission factors'!$J$3:$J$201,0),MATCH(P$64,'Emission factors'!$K$2:$V$2,0)))*$I69)</f>
        <v/>
      </c>
      <c r="Q69" s="157" t="str">
        <f>IF(OR($C69="",$G69=""),"",(INDEX('Emission factors'!$K$3:$V$201,MATCH($B69,'Emission factors'!$J$3:$J$201,0),MATCH(Q$64,'Emission factors'!$K$2:$V$2,0)))*$I69)</f>
        <v/>
      </c>
      <c r="R69" s="157" t="str">
        <f>IF(OR($C69="",$G69=""),"",(INDEX('Emission factors'!$K$3:$V$201,MATCH($B69,'Emission factors'!$J$3:$J$201,0),MATCH(R$64,'Emission factors'!$K$2:$V$2,0)))*$I69)</f>
        <v/>
      </c>
      <c r="S69" s="157" t="str">
        <f>IF(OR($C69="",$G69=""),"",(INDEX('Emission factors'!$K$3:$V$201,MATCH($B69,'Emission factors'!$J$3:$J$201,0),MATCH(S$64,'Emission factors'!$K$2:$V$2,0)))*$I69)</f>
        <v/>
      </c>
      <c r="T69" s="158" t="str">
        <f t="shared" ref="T69:T70" si="13">IF(OR($L69="",$F69=""),"",$L69*(1+$F69))</f>
        <v/>
      </c>
      <c r="U69" s="163" t="str">
        <f t="shared" ref="U69:U70" si="14">IF(OR($L69="",$F69=""),"",$L69*(1-$F69))</f>
        <v/>
      </c>
      <c r="V69" s="158" t="str">
        <f>IF(OR($C69="",$G69=""),"",(INDEX('Emission factors'!$K$3:$V$201,MATCH($B69,'Emission factors'!$J$3:$J$201,0),MATCH(V$64,'Emission factors'!$K$2:$V$2,0)))*$I69)</f>
        <v/>
      </c>
      <c r="X69" s="1" cm="1">
        <f t="array" ref="X69">IF(OR(ISERROR(B69:V69)),1,0)</f>
        <v>0</v>
      </c>
      <c r="Y69" s="1">
        <f t="shared" si="12"/>
        <v>0</v>
      </c>
    </row>
    <row r="70" spans="2:25" ht="15" thickBot="1" x14ac:dyDescent="0.4">
      <c r="B70" s="100"/>
      <c r="C70" s="135"/>
      <c r="D70" s="136"/>
      <c r="E70" s="101"/>
      <c r="F70" s="348" t="str">
        <f>IF(E70="","",INDEX(Lists!$BA$4:$BC$31,MATCH('Business travel, commute, home'!$B70,Lists!$AZ$4:$AZ$31,0),MATCH('Business travel, commute, home'!E70,Lists!$BA$3:$BC$3,0)))</f>
        <v/>
      </c>
      <c r="G70" s="276">
        <f>HomeworkingTable[[#This Row],[Number of FTE]]*HomeworkingTable[[#This Row],[% working hours at home]]</f>
        <v>0</v>
      </c>
      <c r="H70" s="332" t="str">
        <f>IF(OR(HomeworkingTable[[#This Row],[Emission source]]="",HomeworkingTable[[#This Row],[Number of FTE]]="",HomeworkingTable[[#This Row],[% working hours at home]]=""),"","FTE years")</f>
        <v/>
      </c>
      <c r="I70" s="275" t="str">
        <f>IF(OR($B70="",$C70="",$D70="",H70=""),"",IF(H70=J70,G70,(INDEX('Emission factors'!$K$3:$V$276,MATCH($B70&amp;$C70&amp;$D70,'Emission factors'!$J$3:$J$276&amp;'Emission factors'!$K$3:$K$276&amp;'Emission factors'!$L$3:$L$276,0),MATCH('Business travel, commute, home'!I$7,'Emission factors'!$K$2:$V$2,0)))*G70))</f>
        <v/>
      </c>
      <c r="J70" s="332" t="str">
        <f>HomeworkingTable[[#This Row],[Units]]</f>
        <v/>
      </c>
      <c r="K70" s="347" t="str">
        <f>IF(OR(B70="",C70="",D70=""),"",INDEX('Emission factors'!$K$3:$V$276,MATCH($B70,'Emission factors'!$J$3:$J$276,0),MATCH('Business travel, commute, home'!K$7,'Emission factors'!$K$2:$V$2,0)))</f>
        <v/>
      </c>
      <c r="L70" s="333" t="str">
        <f>IF(OR(I70="",K70=""),"",SUM(HomeworkingTable[[#This Row],[Direct]:[Indirect WTT]]))</f>
        <v/>
      </c>
      <c r="M70" s="103"/>
      <c r="N70" s="101"/>
      <c r="O70" s="157" t="str">
        <f>IF(OR($C70="",$G70=""),"",(INDEX('Emission factors'!$K$3:$V$201,MATCH($B70,'Emission factors'!$J$3:$J$201,0),MATCH(O$64,'Emission factors'!$K$2:$V$2,0)))*$I70)</f>
        <v/>
      </c>
      <c r="P70" s="157" t="str">
        <f>IF(OR($C70="",$G70=""),"",(INDEX('Emission factors'!$K$3:$V$201,MATCH($B70,'Emission factors'!$J$3:$J$201,0),MATCH(P$64,'Emission factors'!$K$2:$V$2,0)))*$I70)</f>
        <v/>
      </c>
      <c r="Q70" s="157" t="str">
        <f>IF(OR($C70="",$G70=""),"",(INDEX('Emission factors'!$K$3:$V$201,MATCH($B70,'Emission factors'!$J$3:$J$201,0),MATCH(Q$64,'Emission factors'!$K$2:$V$2,0)))*$I70)</f>
        <v/>
      </c>
      <c r="R70" s="157" t="str">
        <f>IF(OR($C70="",$G70=""),"",(INDEX('Emission factors'!$K$3:$V$201,MATCH($B70,'Emission factors'!$J$3:$J$201,0),MATCH(R$64,'Emission factors'!$K$2:$V$2,0)))*$I70)</f>
        <v/>
      </c>
      <c r="S70" s="157" t="str">
        <f>IF(OR($C70="",$G70=""),"",(INDEX('Emission factors'!$K$3:$V$201,MATCH($B70,'Emission factors'!$J$3:$J$201,0),MATCH(S$64,'Emission factors'!$K$2:$V$2,0)))*$I70)</f>
        <v/>
      </c>
      <c r="T70" s="158" t="str">
        <f t="shared" si="13"/>
        <v/>
      </c>
      <c r="U70" s="163" t="str">
        <f t="shared" si="14"/>
        <v/>
      </c>
      <c r="V70" s="158" t="str">
        <f>IF(OR($C70="",$G70=""),"",(INDEX('Emission factors'!$K$3:$V$201,MATCH($B70,'Emission factors'!$J$3:$J$201,0),MATCH(V$64,'Emission factors'!$K$2:$V$2,0)))*$I70)</f>
        <v/>
      </c>
      <c r="X70" s="1" cm="1">
        <f t="array" ref="X70">IF(OR(ISERROR(B70:V70)),1,0)</f>
        <v>0</v>
      </c>
      <c r="Y70" s="1">
        <f t="shared" si="12"/>
        <v>0</v>
      </c>
    </row>
    <row r="71" spans="2:25" ht="15" thickBot="1" x14ac:dyDescent="0.4">
      <c r="B71" s="100"/>
      <c r="C71" s="135"/>
      <c r="D71" s="136"/>
      <c r="E71" s="101"/>
      <c r="F71" s="346" t="str">
        <f>IF(E71="","",INDEX(Lists!$BA$4:$BC$31,MATCH('Business travel, commute, home'!$B71,Lists!$AZ$4:$AZ$31,0),MATCH('Business travel, commute, home'!E71,Lists!$BA$3:$BC$3,0)))</f>
        <v/>
      </c>
      <c r="G71" s="276">
        <f>HomeworkingTable[[#This Row],[Number of FTE]]*HomeworkingTable[[#This Row],[% working hours at home]]</f>
        <v>0</v>
      </c>
      <c r="H71" s="332" t="str">
        <f>IF(OR(HomeworkingTable[[#This Row],[Emission source]]="",HomeworkingTable[[#This Row],[Number of FTE]]="",HomeworkingTable[[#This Row],[% working hours at home]]=""),"","FTE years")</f>
        <v/>
      </c>
      <c r="I71" s="275" t="str">
        <f>IF(OR($B71="",$C71="",$D71="",H71=""),"",IF(H71=J71,G71,(INDEX('Emission factors'!$K$3:$V$276,MATCH($B71&amp;$C71&amp;$D71,'Emission factors'!$J$3:$J$276&amp;'Emission factors'!$K$3:$K$276&amp;'Emission factors'!$L$3:$L$276,0),MATCH('Business travel, commute, home'!I$7,'Emission factors'!$K$2:$V$2,0)))*G71))</f>
        <v/>
      </c>
      <c r="J71" s="332" t="str">
        <f>HomeworkingTable[[#This Row],[Units]]</f>
        <v/>
      </c>
      <c r="K71" s="347" t="str">
        <f>IF(OR(B71="",C71="",D71=""),"",INDEX('Emission factors'!$K$3:$V$276,MATCH($B71,'Emission factors'!$J$3:$J$276,0),MATCH('Business travel, commute, home'!K$7,'Emission factors'!$K$2:$V$2,0)))</f>
        <v/>
      </c>
      <c r="L71" s="333" t="str">
        <f>IF(OR(I71="",K71=""),"",SUM(HomeworkingTable[[#This Row],[Direct]:[Indirect WTT]]))</f>
        <v/>
      </c>
      <c r="M71" s="103"/>
      <c r="N71" s="101"/>
      <c r="O71" s="157" t="str">
        <f>IF(OR($C71="",$G71=""),"",(INDEX('Emission factors'!$K$3:$V$201,MATCH($B71,'Emission factors'!$J$3:$J$201,0),MATCH(O$64,'Emission factors'!$K$2:$V$2,0)))*$I71)</f>
        <v/>
      </c>
      <c r="P71" s="157" t="str">
        <f>IF(OR($C71="",$G71=""),"",(INDEX('Emission factors'!$K$3:$V$201,MATCH($B71,'Emission factors'!$J$3:$J$201,0),MATCH(P$64,'Emission factors'!$K$2:$V$2,0)))*$I71)</f>
        <v/>
      </c>
      <c r="Q71" s="157" t="str">
        <f>IF(OR($C71="",$G71=""),"",(INDEX('Emission factors'!$K$3:$V$201,MATCH($B71,'Emission factors'!$J$3:$J$201,0),MATCH(Q$64,'Emission factors'!$K$2:$V$2,0)))*$I71)</f>
        <v/>
      </c>
      <c r="R71" s="157" t="str">
        <f>IF(OR($C71="",$G71=""),"",(INDEX('Emission factors'!$K$3:$V$201,MATCH($B71,'Emission factors'!$J$3:$J$201,0),MATCH(R$64,'Emission factors'!$K$2:$V$2,0)))*$I71)</f>
        <v/>
      </c>
      <c r="S71" s="157" t="str">
        <f>IF(OR($C71="",$G71=""),"",(INDEX('Emission factors'!$K$3:$V$201,MATCH($B71,'Emission factors'!$J$3:$J$201,0),MATCH(S$64,'Emission factors'!$K$2:$V$2,0)))*$I71)</f>
        <v/>
      </c>
      <c r="T71" s="158" t="str">
        <f t="shared" si="10"/>
        <v/>
      </c>
      <c r="U71" s="163" t="str">
        <f t="shared" si="11"/>
        <v/>
      </c>
      <c r="V71" s="158" t="str">
        <f>IF(OR($C71="",$G71=""),"",(INDEX('Emission factors'!$K$3:$V$201,MATCH($B71,'Emission factors'!$J$3:$J$201,0),MATCH(V$64,'Emission factors'!$K$2:$V$2,0)))*$I71)</f>
        <v/>
      </c>
      <c r="X71" s="1" cm="1">
        <f t="array" ref="X71">IF(OR(ISERROR(B71:V71)),1,0)</f>
        <v>0</v>
      </c>
      <c r="Y71" s="1">
        <f t="shared" si="12"/>
        <v>0</v>
      </c>
    </row>
    <row r="72" spans="2:25" ht="15" thickBot="1" x14ac:dyDescent="0.4">
      <c r="B72" s="100"/>
      <c r="C72" s="135"/>
      <c r="D72" s="136"/>
      <c r="E72" s="101"/>
      <c r="F72" s="346" t="str">
        <f>IF(E72="","",INDEX(Lists!$BA$4:$BC$31,MATCH('Business travel, commute, home'!$B72,Lists!$AZ$4:$AZ$31,0),MATCH('Business travel, commute, home'!E72,Lists!$BA$3:$BC$3,0)))</f>
        <v/>
      </c>
      <c r="G72" s="276">
        <f>HomeworkingTable[[#This Row],[Number of FTE]]*HomeworkingTable[[#This Row],[% working hours at home]]</f>
        <v>0</v>
      </c>
      <c r="H72" s="332" t="str">
        <f>IF(OR(HomeworkingTable[[#This Row],[Emission source]]="",HomeworkingTable[[#This Row],[Number of FTE]]="",HomeworkingTable[[#This Row],[% working hours at home]]=""),"","FTE years")</f>
        <v/>
      </c>
      <c r="I72" s="275" t="str">
        <f>IF(OR($B72="",$C72="",$D72="",H72=""),"",IF(H72=J72,G72,(INDEX('Emission factors'!$K$3:$V$276,MATCH($B72&amp;$C72&amp;$D72,'Emission factors'!$J$3:$J$276&amp;'Emission factors'!$K$3:$K$276&amp;'Emission factors'!$L$3:$L$276,0),MATCH('Business travel, commute, home'!I$7,'Emission factors'!$K$2:$V$2,0)))*G72))</f>
        <v/>
      </c>
      <c r="J72" s="332" t="str">
        <f>HomeworkingTable[[#This Row],[Units]]</f>
        <v/>
      </c>
      <c r="K72" s="347" t="str">
        <f>IF(OR(B72="",C72="",D72=""),"",INDEX('Emission factors'!$K$3:$V$276,MATCH($B72,'Emission factors'!$J$3:$J$276,0),MATCH('Business travel, commute, home'!K$7,'Emission factors'!$K$2:$V$2,0)))</f>
        <v/>
      </c>
      <c r="L72" s="333" t="str">
        <f>IF(OR(I72="",K72=""),"",SUM(HomeworkingTable[[#This Row],[Direct]:[Indirect WTT]]))</f>
        <v/>
      </c>
      <c r="M72" s="103"/>
      <c r="N72" s="101"/>
      <c r="O72" s="157" t="str">
        <f>IF(OR($C72="",$G72=""),"",(INDEX('Emission factors'!$K$3:$V$201,MATCH($B72,'Emission factors'!$J$3:$J$201,0),MATCH(O$64,'Emission factors'!$K$2:$V$2,0)))*$I72)</f>
        <v/>
      </c>
      <c r="P72" s="157" t="str">
        <f>IF(OR($C72="",$G72=""),"",(INDEX('Emission factors'!$K$3:$V$201,MATCH($B72,'Emission factors'!$J$3:$J$201,0),MATCH(P$64,'Emission factors'!$K$2:$V$2,0)))*$I72)</f>
        <v/>
      </c>
      <c r="Q72" s="157" t="str">
        <f>IF(OR($C72="",$G72=""),"",(INDEX('Emission factors'!$K$3:$V$201,MATCH($B72,'Emission factors'!$J$3:$J$201,0),MATCH(Q$64,'Emission factors'!$K$2:$V$2,0)))*$I72)</f>
        <v/>
      </c>
      <c r="R72" s="157" t="str">
        <f>IF(OR($C72="",$G72=""),"",(INDEX('Emission factors'!$K$3:$V$201,MATCH($B72,'Emission factors'!$J$3:$J$201,0),MATCH(R$64,'Emission factors'!$K$2:$V$2,0)))*$I72)</f>
        <v/>
      </c>
      <c r="S72" s="157" t="str">
        <f>IF(OR($C72="",$G72=""),"",(INDEX('Emission factors'!$K$3:$V$201,MATCH($B72,'Emission factors'!$J$3:$J$201,0),MATCH(S$64,'Emission factors'!$K$2:$V$2,0)))*$I72)</f>
        <v/>
      </c>
      <c r="T72" s="158" t="str">
        <f t="shared" si="10"/>
        <v/>
      </c>
      <c r="U72" s="163" t="str">
        <f t="shared" si="11"/>
        <v/>
      </c>
      <c r="V72" s="158" t="str">
        <f>IF(OR($C72="",$G72=""),"",(INDEX('Emission factors'!$K$3:$V$201,MATCH($B72,'Emission factors'!$J$3:$J$201,0),MATCH(V$64,'Emission factors'!$K$2:$V$2,0)))*$I72)</f>
        <v/>
      </c>
      <c r="X72" s="1" cm="1">
        <f t="array" ref="X72">IF(OR(ISERROR(B72:V72)),1,0)</f>
        <v>0</v>
      </c>
      <c r="Y72" s="1">
        <f t="shared" si="12"/>
        <v>0</v>
      </c>
    </row>
    <row r="73" spans="2:25" ht="15" thickBot="1" x14ac:dyDescent="0.4">
      <c r="B73" s="100"/>
      <c r="C73" s="135"/>
      <c r="D73" s="136"/>
      <c r="E73" s="101"/>
      <c r="F73" s="346" t="str">
        <f>IF(E73="","",INDEX(Lists!$BA$4:$BC$31,MATCH('Business travel, commute, home'!$B73,Lists!$AZ$4:$AZ$31,0),MATCH('Business travel, commute, home'!E73,Lists!$BA$3:$BC$3,0)))</f>
        <v/>
      </c>
      <c r="G73" s="276">
        <f>HomeworkingTable[[#This Row],[Number of FTE]]*HomeworkingTable[[#This Row],[% working hours at home]]</f>
        <v>0</v>
      </c>
      <c r="H73" s="332" t="str">
        <f>IF(OR(HomeworkingTable[[#This Row],[Emission source]]="",HomeworkingTable[[#This Row],[Number of FTE]]="",HomeworkingTable[[#This Row],[% working hours at home]]=""),"","FTE years")</f>
        <v/>
      </c>
      <c r="I73" s="275" t="str">
        <f>IF(OR($B73="",$C73="",$D73="",H73=""),"",IF(H73=J73,G73,(INDEX('Emission factors'!$K$3:$V$276,MATCH($B73&amp;$C73&amp;$D73,'Emission factors'!$J$3:$J$276&amp;'Emission factors'!$K$3:$K$276&amp;'Emission factors'!$L$3:$L$276,0),MATCH('Business travel, commute, home'!I$7,'Emission factors'!$K$2:$V$2,0)))*G73))</f>
        <v/>
      </c>
      <c r="J73" s="332" t="str">
        <f>HomeworkingTable[[#This Row],[Units]]</f>
        <v/>
      </c>
      <c r="K73" s="347" t="str">
        <f>IF(OR(B73="",C73="",D73=""),"",INDEX('Emission factors'!$K$3:$V$276,MATCH($B73,'Emission factors'!$J$3:$J$276,0),MATCH('Business travel, commute, home'!K$7,'Emission factors'!$K$2:$V$2,0)))</f>
        <v/>
      </c>
      <c r="L73" s="333" t="str">
        <f>IF(OR(I73="",K73=""),"",SUM(HomeworkingTable[[#This Row],[Direct]:[Indirect WTT]]))</f>
        <v/>
      </c>
      <c r="M73" s="103"/>
      <c r="N73" s="101"/>
      <c r="O73" s="157" t="str">
        <f>IF(OR($C73="",$G73=""),"",(INDEX('Emission factors'!$K$3:$V$201,MATCH($B73,'Emission factors'!$J$3:$J$201,0),MATCH(O$64,'Emission factors'!$K$2:$V$2,0)))*$I73)</f>
        <v/>
      </c>
      <c r="P73" s="157" t="str">
        <f>IF(OR($C73="",$G73=""),"",(INDEX('Emission factors'!$K$3:$V$201,MATCH($B73,'Emission factors'!$J$3:$J$201,0),MATCH(P$64,'Emission factors'!$K$2:$V$2,0)))*$I73)</f>
        <v/>
      </c>
      <c r="Q73" s="157" t="str">
        <f>IF(OR($C73="",$G73=""),"",(INDEX('Emission factors'!$K$3:$V$201,MATCH($B73,'Emission factors'!$J$3:$J$201,0),MATCH(Q$64,'Emission factors'!$K$2:$V$2,0)))*$I73)</f>
        <v/>
      </c>
      <c r="R73" s="157" t="str">
        <f>IF(OR($C73="",$G73=""),"",(INDEX('Emission factors'!$K$3:$V$201,MATCH($B73,'Emission factors'!$J$3:$J$201,0),MATCH(R$64,'Emission factors'!$K$2:$V$2,0)))*$I73)</f>
        <v/>
      </c>
      <c r="S73" s="157" t="str">
        <f>IF(OR($C73="",$G73=""),"",(INDEX('Emission factors'!$K$3:$V$201,MATCH($B73,'Emission factors'!$J$3:$J$201,0),MATCH(S$64,'Emission factors'!$K$2:$V$2,0)))*$I73)</f>
        <v/>
      </c>
      <c r="T73" s="158" t="str">
        <f t="shared" si="10"/>
        <v/>
      </c>
      <c r="U73" s="163" t="str">
        <f t="shared" si="11"/>
        <v/>
      </c>
      <c r="V73" s="158" t="str">
        <f>IF(OR($C73="",$G73=""),"",(INDEX('Emission factors'!$K$3:$V$201,MATCH($B73,'Emission factors'!$J$3:$J$201,0),MATCH(V$64,'Emission factors'!$K$2:$V$2,0)))*$I73)</f>
        <v/>
      </c>
      <c r="X73" s="1" cm="1">
        <f t="array" ref="X73">IF(OR(ISERROR(B73:V73)),1,0)</f>
        <v>0</v>
      </c>
      <c r="Y73" s="1">
        <f t="shared" si="12"/>
        <v>0</v>
      </c>
    </row>
    <row r="74" spans="2:25" ht="15" thickBot="1" x14ac:dyDescent="0.4">
      <c r="B74" s="137"/>
      <c r="C74" s="135"/>
      <c r="D74" s="138"/>
      <c r="E74" s="101"/>
      <c r="F74" s="346" t="str">
        <f>IF(E74="","",INDEX(Lists!$BA$4:$BC$31,MATCH('Business travel, commute, home'!$B74,Lists!$AZ$4:$AZ$31,0),MATCH('Business travel, commute, home'!E74,Lists!$BA$3:$BC$3,0)))</f>
        <v/>
      </c>
      <c r="G74" s="276">
        <f>HomeworkingTable[[#This Row],[Number of FTE]]*HomeworkingTable[[#This Row],[% working hours at home]]</f>
        <v>0</v>
      </c>
      <c r="H74" s="332" t="str">
        <f>IF(OR(HomeworkingTable[[#This Row],[Emission source]]="",HomeworkingTable[[#This Row],[Number of FTE]]="",HomeworkingTable[[#This Row],[% working hours at home]]=""),"","FTE years")</f>
        <v/>
      </c>
      <c r="I74" s="339" t="str">
        <f>IF(OR($B74="",$C74="",$D74="",H74=""),"",IF(H74=J74,G74,(INDEX('Emission factors'!$K$3:$V$276,MATCH($B74&amp;$C74&amp;$D74,'Emission factors'!$J$3:$J$276&amp;'Emission factors'!$K$3:$K$276&amp;'Emission factors'!$L$3:$L$276,0),MATCH('Business travel, commute, home'!I$7,'Emission factors'!$K$2:$V$2,0)))*G74))</f>
        <v/>
      </c>
      <c r="J74" s="340" t="str">
        <f>HomeworkingTable[[#This Row],[Units]]</f>
        <v/>
      </c>
      <c r="K74" s="347" t="str">
        <f>IF(OR(B74="",C74="",D74=""),"",INDEX('Emission factors'!$K$3:$V$276,MATCH($B74,'Emission factors'!$J$3:$J$276,0),MATCH('Business travel, commute, home'!K$7,'Emission factors'!$K$2:$V$2,0)))</f>
        <v/>
      </c>
      <c r="L74" s="333" t="str">
        <f>IF(OR(I74="",K74=""),"",SUM(HomeworkingTable[[#This Row],[Direct]:[Indirect WTT]]))</f>
        <v/>
      </c>
      <c r="M74" s="104"/>
      <c r="N74" s="102"/>
      <c r="O74" s="157" t="str">
        <f>IF(OR($C74="",$G74=""),"",(INDEX('Emission factors'!$K$3:$V$201,MATCH($B74,'Emission factors'!$J$3:$J$201,0),MATCH(O$64,'Emission factors'!$K$2:$V$2,0)))*$I74)</f>
        <v/>
      </c>
      <c r="P74" s="157" t="str">
        <f>IF(OR($C74="",$G74=""),"",(INDEX('Emission factors'!$K$3:$V$201,MATCH($B74,'Emission factors'!$J$3:$J$201,0),MATCH(P$64,'Emission factors'!$K$2:$V$2,0)))*$I74)</f>
        <v/>
      </c>
      <c r="Q74" s="157" t="str">
        <f>IF(OR($C74="",$G74=""),"",(INDEX('Emission factors'!$K$3:$V$201,MATCH($B74,'Emission factors'!$J$3:$J$201,0),MATCH(Q$64,'Emission factors'!$K$2:$V$2,0)))*$I74)</f>
        <v/>
      </c>
      <c r="R74" s="157" t="str">
        <f>IF(OR($C74="",$G74=""),"",(INDEX('Emission factors'!$K$3:$V$201,MATCH($B74,'Emission factors'!$J$3:$J$201,0),MATCH(R$64,'Emission factors'!$K$2:$V$2,0)))*$I74)</f>
        <v/>
      </c>
      <c r="S74" s="157" t="str">
        <f>IF(OR($C74="",$G74=""),"",(INDEX('Emission factors'!$K$3:$V$201,MATCH($B74,'Emission factors'!$J$3:$J$201,0),MATCH(S$64,'Emission factors'!$K$2:$V$2,0)))*$I74)</f>
        <v/>
      </c>
      <c r="T74" s="342" t="str">
        <f t="shared" si="10"/>
        <v/>
      </c>
      <c r="U74" s="343" t="str">
        <f t="shared" si="11"/>
        <v/>
      </c>
      <c r="V74" s="342" t="str">
        <f>IF(OR($C74="",$G74=""),"",(INDEX('Emission factors'!$K$3:$V$201,MATCH($B74,'Emission factors'!$J$3:$J$201,0),MATCH(V$64,'Emission factors'!$K$2:$V$2,0)))*$I74)</f>
        <v/>
      </c>
      <c r="X74" s="1" cm="1">
        <f t="array" ref="X74">IF(OR(ISERROR(B74:V74)),1,0)</f>
        <v>0</v>
      </c>
      <c r="Y74" s="1">
        <f t="shared" si="12"/>
        <v>0</v>
      </c>
    </row>
    <row r="75" spans="2:25" x14ac:dyDescent="0.35">
      <c r="U75" s="321"/>
      <c r="V75" s="30"/>
    </row>
  </sheetData>
  <sheetProtection algorithmName="SHA-512" hashValue="nz03hieDA+/q28cBaomnJ9CfHxgInuwUX6KZoK9bj1qSP467DUC/IA5rCI8ceBC3i5l3QYMY0W90Bw+nlIoP7g==" saltValue="v7c2AZ758CVzv8dO/ZksrA==" spinCount="100000" sheet="1" objects="1" scenarios="1"/>
  <mergeCells count="8">
    <mergeCell ref="O1:P1"/>
    <mergeCell ref="Q1:R1"/>
    <mergeCell ref="O2:P2"/>
    <mergeCell ref="Q2:R2"/>
    <mergeCell ref="B5:N5"/>
    <mergeCell ref="B2:M2"/>
    <mergeCell ref="B3:M3"/>
    <mergeCell ref="B4:J4"/>
  </mergeCells>
  <phoneticPr fontId="22" type="noConversion"/>
  <conditionalFormatting sqref="B8:V34 B38:V61 B65:V74">
    <cfRule type="expression" dxfId="42" priority="1">
      <formula>IF($X8=1,1,0)</formula>
    </cfRule>
  </conditionalFormatting>
  <conditionalFormatting sqref="H6">
    <cfRule type="containsText" dxfId="41" priority="7" operator="containsText" text="There are errors">
      <formula>NOT(ISERROR(SEARCH("There are errors",H6)))</formula>
    </cfRule>
    <cfRule type="containsText" dxfId="40" priority="8" operator="containsText" text="No errors in this table">
      <formula>NOT(ISERROR(SEARCH("No errors in this table",H6)))</formula>
    </cfRule>
  </conditionalFormatting>
  <conditionalFormatting sqref="H36">
    <cfRule type="containsText" dxfId="39" priority="5" operator="containsText" text="There are errors">
      <formula>NOT(ISERROR(SEARCH("There are errors",H36)))</formula>
    </cfRule>
    <cfRule type="containsText" dxfId="38" priority="6" operator="containsText" text="No errors in this table">
      <formula>NOT(ISERROR(SEARCH("No errors in this table",H36)))</formula>
    </cfRule>
  </conditionalFormatting>
  <conditionalFormatting sqref="H63">
    <cfRule type="containsText" dxfId="37" priority="3" operator="containsText" text="There are errors">
      <formula>NOT(ISERROR(SEARCH("There are errors",H63)))</formula>
    </cfRule>
    <cfRule type="containsText" dxfId="36" priority="4" operator="containsText" text="No errors in this table">
      <formula>NOT(ISERROR(SEARCH("No errors in this table",H63)))</formula>
    </cfRule>
  </conditionalFormatting>
  <dataValidations count="14">
    <dataValidation type="list" allowBlank="1" showInputMessage="1" showErrorMessage="1" sqref="N8:N34 N38:N61 N65:N74" xr:uid="{BD3AF124-1738-4938-AA23-FDFD42E2F06D}">
      <formula1>Ease</formula1>
    </dataValidation>
    <dataValidation type="list" allowBlank="1" showInputMessage="1" showErrorMessage="1" sqref="D20" xr:uid="{53E0D689-FC19-4751-B902-88B5304103F0}">
      <formula1>Methodologyall</formula1>
    </dataValidation>
    <dataValidation type="list" allowBlank="1" showInputMessage="1" showErrorMessage="1" sqref="B8:B34" xr:uid="{EB8EEA9B-A166-4F6A-808F-C3AAEFFD8C13}">
      <formula1>INDIRECT(SUBSTITUTE($B$6," ",""))</formula1>
    </dataValidation>
    <dataValidation type="list" allowBlank="1" showInputMessage="1" showErrorMessage="1" sqref="C8:C34" xr:uid="{951D5703-43BA-450E-A4CB-902DE2AD6E7C}">
      <formula1>INDIRECT(CONCATENATE(SUBSTITUTE(B8," ","")&amp;SUBSTITUTE(C$7," ","")))</formula1>
    </dataValidation>
    <dataValidation type="list" allowBlank="1" showInputMessage="1" showErrorMessage="1" sqref="B38:B61" xr:uid="{AD8A5DE6-E14C-4C25-9442-97B7F0F85CA5}">
      <formula1>INDIRECT(SUBSTITUTE($B$36," ",""))</formula1>
    </dataValidation>
    <dataValidation type="decimal" operator="greaterThan" allowBlank="1" showInputMessage="1" showErrorMessage="1" errorTitle="Numeric data" error="Please enter a number greater than zero" sqref="G8:G34 G38:G61" xr:uid="{B8DCA87A-C512-40A8-AAD2-86F267FD9046}">
      <formula1>0</formula1>
    </dataValidation>
    <dataValidation type="list" allowBlank="1" showInputMessage="1" showErrorMessage="1" sqref="B65:B74" xr:uid="{C85F9894-2F00-45E0-91DD-D4CDDBED159A}">
      <formula1>INDIRECT(SUBSTITUTE($B$63," ",""))</formula1>
    </dataValidation>
    <dataValidation type="list" allowBlank="1" showInputMessage="1" showErrorMessage="1" sqref="D38:D61 D8:D19 D21:D34" xr:uid="{9B3AAD76-817B-4F83-BEE3-0891A1258F56}">
      <formula1>INDIRECT(CONCATENATE(SUBSTITUTE(B8," ","")&amp;SUBSTITUTE(C8," ","")))</formula1>
    </dataValidation>
    <dataValidation type="list" allowBlank="1" showInputMessage="1" showErrorMessage="1" sqref="H8:H34" xr:uid="{A30723CD-8CC7-498F-A6B1-E6FF0DA1A7D3}">
      <formula1>INDIRECT(CONCATENATE(SUBSTITUTE($B8," ","")&amp;$H$7))</formula1>
    </dataValidation>
    <dataValidation type="list" allowBlank="1" showInputMessage="1" showErrorMessage="1" sqref="C38:C61" xr:uid="{0FBA0442-29DD-477E-AA15-636FB675279A}">
      <formula1>INDIRECT(CONCATENATE(SUBSTITUTE(B38," ","")&amp;SUBSTITUTE(C$37," ","")))</formula1>
    </dataValidation>
    <dataValidation type="list" allowBlank="1" showInputMessage="1" showErrorMessage="1" sqref="H38:H61" xr:uid="{5D53E5FD-90C2-4E35-8D96-F441E7FD16B7}">
      <formula1>INDIRECT(CONCATENATE(SUBSTITUTE($B38," ","")&amp;$H$37))</formula1>
    </dataValidation>
    <dataValidation type="list" allowBlank="1" showInputMessage="1" showErrorMessage="1" sqref="E65:E74" xr:uid="{5A516481-D2A1-4DF3-9813-377640323D16}">
      <formula1>Methdologytier2</formula1>
    </dataValidation>
    <dataValidation type="list" allowBlank="1" showInputMessage="1" showErrorMessage="1" sqref="E8:E34 E38:E61" xr:uid="{A6C395BE-BA85-462F-9358-D8864EF189B6}">
      <formula1>Methodologytier23</formula1>
    </dataValidation>
    <dataValidation type="decimal" operator="greaterThanOrEqual" allowBlank="1" showInputMessage="1" showErrorMessage="1" errorTitle="Numeric data" error="Please enter a number greater than zero" sqref="G65:G74" xr:uid="{5A0EB113-8584-4471-8108-DEC42B9FDFB1}">
      <formula1>0</formula1>
    </dataValidation>
  </dataValidations>
  <pageMargins left="0.7" right="0.7" top="0.75" bottom="0.75" header="0.3" footer="0.3"/>
  <pageSetup paperSize="9" orientation="portrait" r:id="rId1"/>
  <drawing r:id="rId2"/>
  <tableParts count="3">
    <tablePart r:id="rId3"/>
    <tablePart r:id="rId4"/>
    <tablePart r:id="rId5"/>
  </tableParts>
  <extLst>
    <ext xmlns:x14="http://schemas.microsoft.com/office/spreadsheetml/2009/9/main" uri="{CCE6A557-97BC-4b89-ADB6-D9C93CAAB3DF}">
      <x14:dataValidations xmlns:xm="http://schemas.microsoft.com/office/excel/2006/main" count="1">
        <x14:dataValidation type="whole" errorStyle="warning" allowBlank="1" showInputMessage="1" showErrorMessage="1" errorTitle="FTE " error="The number of FTE homeworkers cannot be more than the total FTE in the orgainsation" xr:uid="{B6BB2F04-81AC-4DEB-B725-8A4E29682F44}">
          <x14:formula1>
            <xm:f>0</xm:f>
          </x14:formula1>
          <x14:formula2>
            <xm:f>Introduction!$D$14</xm:f>
          </x14:formula2>
          <xm:sqref>C65:C74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tabColor rgb="FF27CCF9"/>
  </sheetPr>
  <dimension ref="A1:Y107"/>
  <sheetViews>
    <sheetView topLeftCell="B3" zoomScale="80" zoomScaleNormal="80" workbookViewId="0">
      <selection activeCell="X3" sqref="X1:Y1048576"/>
    </sheetView>
  </sheetViews>
  <sheetFormatPr defaultColWidth="8.54296875" defaultRowHeight="14.5" x14ac:dyDescent="0.35"/>
  <cols>
    <col min="1" max="1" width="3.6328125" style="1" customWidth="1"/>
    <col min="2" max="2" width="33.6328125" style="1" customWidth="1"/>
    <col min="3" max="3" width="30.36328125" style="1" customWidth="1"/>
    <col min="4" max="4" width="10.36328125" style="1" customWidth="1"/>
    <col min="5" max="5" width="14.36328125" style="1" customWidth="1"/>
    <col min="6" max="6" width="11.54296875" style="1" customWidth="1"/>
    <col min="7" max="7" width="15.453125" style="1" customWidth="1"/>
    <col min="8" max="8" width="15.54296875" style="1" customWidth="1"/>
    <col min="9" max="9" width="15" style="1" customWidth="1"/>
    <col min="10" max="10" width="22" style="1" customWidth="1"/>
    <col min="11" max="11" width="16" style="1" customWidth="1"/>
    <col min="12" max="12" width="11.6328125" style="1" customWidth="1"/>
    <col min="13" max="13" width="17.54296875" style="1" customWidth="1"/>
    <col min="14" max="14" width="12.6328125" style="1" customWidth="1"/>
    <col min="15" max="15" width="13.36328125" style="1" customWidth="1"/>
    <col min="16" max="20" width="12.6328125" style="1" customWidth="1"/>
    <col min="21" max="21" width="12.6328125" style="18" customWidth="1"/>
    <col min="22" max="22" width="8.54296875" style="351"/>
    <col min="23" max="23" width="8.54296875" style="30"/>
    <col min="24" max="25" width="8.54296875" style="1" hidden="1" customWidth="1"/>
    <col min="26" max="16384" width="8.54296875" style="1"/>
  </cols>
  <sheetData>
    <row r="1" spans="1:25" ht="15" thickBot="1" x14ac:dyDescent="0.4">
      <c r="M1" s="304" t="s">
        <v>155</v>
      </c>
      <c r="N1" s="580" t="s">
        <v>9</v>
      </c>
      <c r="O1" s="581"/>
      <c r="P1" s="582"/>
      <c r="Q1" s="556" t="s">
        <v>13</v>
      </c>
      <c r="R1" s="557"/>
      <c r="V1" s="349"/>
    </row>
    <row r="2" spans="1:25" ht="19" thickBot="1" x14ac:dyDescent="0.5">
      <c r="B2" s="583" t="s">
        <v>234</v>
      </c>
      <c r="C2" s="584"/>
      <c r="D2" s="584"/>
      <c r="E2" s="584"/>
      <c r="F2" s="585"/>
      <c r="G2" s="583"/>
      <c r="H2" s="584"/>
      <c r="I2" s="584"/>
      <c r="J2" s="584"/>
      <c r="K2" s="585"/>
      <c r="L2" s="350"/>
      <c r="M2" s="18"/>
      <c r="N2" s="577" t="s">
        <v>11</v>
      </c>
      <c r="O2" s="578"/>
      <c r="P2" s="579"/>
      <c r="Q2" s="560" t="s">
        <v>15</v>
      </c>
      <c r="R2" s="561"/>
    </row>
    <row r="3" spans="1:25" ht="156" customHeight="1" thickBot="1" x14ac:dyDescent="0.4">
      <c r="A3" s="18"/>
      <c r="B3" s="543" t="s">
        <v>235</v>
      </c>
      <c r="C3" s="566"/>
      <c r="D3" s="566"/>
      <c r="E3" s="566"/>
      <c r="F3" s="566"/>
      <c r="G3" s="566"/>
      <c r="H3" s="566"/>
      <c r="I3" s="566"/>
      <c r="J3" s="566"/>
      <c r="K3" s="566"/>
      <c r="L3" s="566"/>
      <c r="M3" s="18"/>
    </row>
    <row r="4" spans="1:25" ht="120" customHeight="1" x14ac:dyDescent="0.35">
      <c r="A4" s="18"/>
      <c r="B4" s="576" t="s">
        <v>236</v>
      </c>
      <c r="C4" s="566"/>
      <c r="D4" s="566"/>
      <c r="E4" s="566"/>
      <c r="F4" s="566"/>
      <c r="G4" s="566"/>
      <c r="H4" s="566"/>
      <c r="I4" s="566"/>
      <c r="J4" s="566"/>
      <c r="K4" s="566"/>
      <c r="L4" s="566"/>
      <c r="M4" s="18"/>
      <c r="N4" s="19"/>
    </row>
    <row r="5" spans="1:25" x14ac:dyDescent="0.35">
      <c r="B5" s="19"/>
      <c r="C5" s="19"/>
      <c r="D5" s="19"/>
      <c r="E5" s="19"/>
      <c r="F5" s="19"/>
      <c r="G5" s="19"/>
      <c r="H5" s="19"/>
      <c r="I5" s="19"/>
      <c r="J5" s="19"/>
      <c r="K5" s="19"/>
      <c r="L5" s="19"/>
    </row>
    <row r="6" spans="1:25" ht="19" thickBot="1" x14ac:dyDescent="0.4">
      <c r="B6" s="20" t="s">
        <v>114</v>
      </c>
      <c r="H6" s="317" t="str">
        <f>IF($Y$7=0,"No data entered",IF($X$7=0,"No errors in this table","There are errors in this table see highlighted row(s)"))</f>
        <v>No data entered</v>
      </c>
      <c r="N6" s="318" t="s">
        <v>227</v>
      </c>
      <c r="S6" s="26"/>
      <c r="U6" s="149"/>
      <c r="X6" s="9" t="s">
        <v>175</v>
      </c>
      <c r="Y6" s="9" t="s">
        <v>161</v>
      </c>
    </row>
    <row r="7" spans="1:25" ht="33" customHeight="1" thickBot="1" x14ac:dyDescent="0.4">
      <c r="B7" s="330" t="s">
        <v>237</v>
      </c>
      <c r="C7" s="274" t="s">
        <v>238</v>
      </c>
      <c r="D7" s="278" t="s">
        <v>19</v>
      </c>
      <c r="E7" s="274" t="s">
        <v>230</v>
      </c>
      <c r="F7" s="274" t="s">
        <v>181</v>
      </c>
      <c r="G7" s="274" t="s">
        <v>182</v>
      </c>
      <c r="H7" s="274" t="s">
        <v>183</v>
      </c>
      <c r="I7" s="274" t="s">
        <v>184</v>
      </c>
      <c r="J7" s="274" t="s">
        <v>185</v>
      </c>
      <c r="K7" s="274" t="s">
        <v>231</v>
      </c>
      <c r="L7" s="274" t="s">
        <v>91</v>
      </c>
      <c r="M7" s="274" t="s">
        <v>188</v>
      </c>
      <c r="N7" s="274" t="s">
        <v>189</v>
      </c>
      <c r="O7" s="8" t="s">
        <v>92</v>
      </c>
      <c r="P7" s="8" t="s">
        <v>190</v>
      </c>
      <c r="Q7" s="8" t="s">
        <v>191</v>
      </c>
      <c r="R7" s="8" t="s">
        <v>192</v>
      </c>
      <c r="S7" s="8" t="s">
        <v>193</v>
      </c>
      <c r="T7" s="8" t="s">
        <v>100</v>
      </c>
      <c r="U7" s="63" t="s">
        <v>101</v>
      </c>
      <c r="V7" s="192" t="s">
        <v>96</v>
      </c>
      <c r="W7" s="351"/>
      <c r="X7" s="9">
        <f>SUM(X8:X48)</f>
        <v>0</v>
      </c>
      <c r="Y7" s="9">
        <f>SUM(Y8:Y48)</f>
        <v>0</v>
      </c>
    </row>
    <row r="8" spans="1:25" x14ac:dyDescent="0.35">
      <c r="B8" s="100"/>
      <c r="C8" s="100"/>
      <c r="D8" s="6"/>
      <c r="E8" s="101"/>
      <c r="F8" s="352" t="str">
        <f>IF(E8="","",INDEX(Methodologytier,MATCH(B$50,Lists!$AZ$4:$AZ$32,0),MATCH(E8,Lists!$BA$3:$BC$3,0)))</f>
        <v/>
      </c>
      <c r="G8" s="70"/>
      <c r="H8" s="101"/>
      <c r="I8" s="333" t="str" cm="1">
        <f t="array" ref="I8">IF(OR($B8="",$C8="",H8=""),"",IF(H8=J8,G8,(INDEX('Emission factors'!$K$3:$V$381,MATCH($B8&amp;$C8,'Emission factors'!$K$3:$K$381&amp;'Emission factors'!$L$3:$L$381,0),MATCH($I$7,'Emission factors'!$K$2:$V$2,0)))*G8))</f>
        <v/>
      </c>
      <c r="J8" s="332" t="str" cm="1">
        <f t="array" ref="J8">IF(OR($B8="",$G8="",OrganisationalWasteTable[[#This Row],[Units]]=""),"",INDEX('Emission factors'!$K$3:$V$381,MATCH($B8&amp;$C8,'Emission factors'!$K$3:$K$381&amp;'Emission factors'!$L$3:$L$381,0),MATCH($J$7,'Emission factors'!$K$2:$V$2,0)))</f>
        <v/>
      </c>
      <c r="K8" s="353" t="str" cm="1">
        <f t="array" ref="K8">IF(OR(B8="",C8="",OrganisationalWasteTable[[#This Row],[Data]]=""),"",INDEX('Emission factors'!$K$3:$V$381,MATCH($B8&amp;$C8,'Emission factors'!$K$3:$K$381&amp;'Emission factors'!$L$3:$L$381,0),MATCH($K$7,'Emission factors'!$K$2:$V$2,0)))</f>
        <v/>
      </c>
      <c r="L8" s="333" t="str">
        <f>IF(OR(OrganisationalWasteTable[[#This Row],[Waste type]]="",OrganisationalWasteTable[[#This Row],[Converted data]]=""),"",SUM(OrganisationalWasteTable[[#This Row],[Direct]:[Indirect WTT]]))</f>
        <v/>
      </c>
      <c r="M8" s="103"/>
      <c r="N8" s="101"/>
      <c r="O8" s="161" t="str" cm="1">
        <f t="array" ref="O8">IF(OR($B8="",$G8="",$I8=""),"",(INDEX('Emission factors'!$K$3:$V$381,MATCH($B8&amp;$C8,'Emission factors'!$K$3:$K$381&amp;'Emission factors'!$L$3:$L$381,0),MATCH(O$7,'Emission factors'!$K$2:$V$2,0)))*$I8)</f>
        <v/>
      </c>
      <c r="P8" s="161" t="str" cm="1">
        <f t="array" ref="P8">IF(OR($B8="",$G8="",$I8=""),"",(INDEX('Emission factors'!$K$3:$V$381,MATCH($B8&amp;$C8,'Emission factors'!$K$3:$K$381&amp;'Emission factors'!$L$3:$L$381,0),MATCH(P$7,'Emission factors'!$K$2:$V$2,0)))*$I8)</f>
        <v/>
      </c>
      <c r="Q8" s="161" t="str" cm="1">
        <f t="array" ref="Q8">IF(OR($B8="",$G8="",$I8=""),"",(INDEX('Emission factors'!$K$3:$V$381,MATCH($B8&amp;$C8,'Emission factors'!$K$3:$K$381&amp;'Emission factors'!$L$3:$L$381,0),MATCH(Q$7,'Emission factors'!$K$2:$V$2,0)))*$I8)</f>
        <v/>
      </c>
      <c r="R8" s="161" t="str" cm="1">
        <f t="array" ref="R8">IF(OR($B8="",$G8="",$I8=""),"",(INDEX('Emission factors'!$K$3:$V$381,MATCH($B8&amp;$C8,'Emission factors'!$K$3:$K$381&amp;'Emission factors'!$L$3:$L$381,0),MATCH(R$7,'Emission factors'!$K$2:$V$2,0)))*$I8)</f>
        <v/>
      </c>
      <c r="S8" s="161" t="str" cm="1">
        <f t="array" ref="S8">IF(OR($B8="",$G8="",$I8=""),"",(INDEX('Emission factors'!$K$3:$V$381,MATCH($B8&amp;$C8,'Emission factors'!$K$3:$K$381&amp;'Emission factors'!$L$3:$L$381,0),MATCH(S$7,'Emission factors'!$K$2:$V$2,0)))*$I8)</f>
        <v/>
      </c>
      <c r="T8" s="354" t="str">
        <f t="shared" ref="T8:T48" si="0">IF(OR(F8="", L8=""), "", L8*(1+F8))</f>
        <v/>
      </c>
      <c r="U8" s="355" t="str">
        <f>IF(OR(OrganisationalWasteTable[[#This Row],[RSD]]="", OrganisationalWasteTable[[#This Row],[Total emissions]]=""), "", OrganisationalWasteTable[[#This Row],[Total emissions]]*(1-OrganisationalWasteTable[[#This Row],[RSD]]))</f>
        <v/>
      </c>
      <c r="V8" s="356" t="str" cm="1">
        <f t="array" ref="V8">IF(OR($B8="",$G8="",$I8=""),"",(INDEX('Emission factors'!$K$3:$V$381,MATCH($B8&amp;$C8,'Emission factors'!$K$3:$K$381&amp;'Emission factors'!$L$3:$L$381,0),MATCH(V$7,'Emission factors'!$K$2:$V$2,0)))*$I8)</f>
        <v/>
      </c>
      <c r="W8" s="351"/>
      <c r="X8" s="1" cm="1">
        <f t="array" ref="X8">IF(OR(ISERROR(B8:V8)),1,0)</f>
        <v>0</v>
      </c>
      <c r="Y8" s="1">
        <f>IF(AND(C8="",G8="",H8=""),0,1)</f>
        <v>0</v>
      </c>
    </row>
    <row r="9" spans="1:25" ht="15" thickBot="1" x14ac:dyDescent="0.4">
      <c r="B9" s="100"/>
      <c r="C9" s="101"/>
      <c r="D9" s="6"/>
      <c r="E9" s="101"/>
      <c r="F9" s="352" t="str">
        <f>IF(E9="","",INDEX(Methodologytier,MATCH(B$50,Lists!$AZ$4:$AZ$32,0),MATCH(E9,Lists!$BA$3:$BC$3,0)))</f>
        <v/>
      </c>
      <c r="G9" s="70"/>
      <c r="H9" s="101"/>
      <c r="I9" s="333" t="str" cm="1">
        <f t="array" ref="I9">IF(OR($B9="",$C9="",H9=""),"",IF(H9=J9,G9,(INDEX('Emission factors'!$K$3:$V$381,MATCH($B9&amp;$C9,'Emission factors'!$K$3:$K$381&amp;'Emission factors'!$L$3:$L$381,0),MATCH($I$7,'Emission factors'!$K$2:$V$2,0)))*G9))</f>
        <v/>
      </c>
      <c r="J9" s="332" t="str" cm="1">
        <f t="array" ref="J9">IF(OR($B9="",$G9="",OrganisationalWasteTable[[#This Row],[Units]]=""),"",INDEX('Emission factors'!$K$3:$V$381,MATCH($B9&amp;$C9,'Emission factors'!$K$3:$K$381&amp;'Emission factors'!$L$3:$L$381,0),MATCH($J$7,'Emission factors'!$K$2:$V$2,0)))</f>
        <v/>
      </c>
      <c r="K9" s="353" t="str" cm="1">
        <f t="array" ref="K9">IF(OR(B9="",C9="",OrganisationalWasteTable[[#This Row],[Data]]=""),"",INDEX('Emission factors'!$K$3:$V$381,MATCH($B9&amp;$C9,'Emission factors'!$K$3:$K$381&amp;'Emission factors'!$L$3:$L$381,0),MATCH($K$7,'Emission factors'!$K$2:$V$2,0)))</f>
        <v/>
      </c>
      <c r="L9" s="333" t="str">
        <f>IF(OR(OrganisationalWasteTable[[#This Row],[Waste type]]="",OrganisationalWasteTable[[#This Row],[Converted data]]=""),"",SUM(OrganisationalWasteTable[[#This Row],[Direct]:[Indirect WTT]]))</f>
        <v/>
      </c>
      <c r="M9" s="103"/>
      <c r="N9" s="101"/>
      <c r="O9" s="161" t="str" cm="1">
        <f t="array" ref="O9">IF(OR($B9="",$G9="",$I9=""),"",(INDEX('Emission factors'!$K$3:$V$381,MATCH($B9&amp;$C9,'Emission factors'!$K$3:$K$381&amp;'Emission factors'!$L$3:$L$381,0),MATCH(O$7,'Emission factors'!$K$2:$V$2,0)))*$I9)</f>
        <v/>
      </c>
      <c r="P9" s="161" t="str" cm="1">
        <f t="array" ref="P9">IF(OR($B9="",$G9="",$I9=""),"",(INDEX('Emission factors'!$K$3:$V$381,MATCH($B9&amp;$C9,'Emission factors'!$K$3:$K$381&amp;'Emission factors'!$L$3:$L$381,0),MATCH(P$7,'Emission factors'!$K$2:$V$2,0)))*$I9)</f>
        <v/>
      </c>
      <c r="Q9" s="161" t="str" cm="1">
        <f t="array" ref="Q9">IF(OR($B9="",$G9="",$I9=""),"",(INDEX('Emission factors'!$K$3:$V$381,MATCH($B9&amp;$C9,'Emission factors'!$K$3:$K$381&amp;'Emission factors'!$L$3:$L$381,0),MATCH(Q$7,'Emission factors'!$K$2:$V$2,0)))*$I9)</f>
        <v/>
      </c>
      <c r="R9" s="161" t="str" cm="1">
        <f t="array" ref="R9">IF(OR($B9="",$G9="",$I9=""),"",(INDEX('Emission factors'!$K$3:$V$381,MATCH($B9&amp;$C9,'Emission factors'!$K$3:$K$381&amp;'Emission factors'!$L$3:$L$381,0),MATCH(R$7,'Emission factors'!$K$2:$V$2,0)))*$I9)</f>
        <v/>
      </c>
      <c r="S9" s="161" t="str" cm="1">
        <f t="array" ref="S9">IF(OR($B9="",$G9="",$I9=""),"",(INDEX('Emission factors'!$K$3:$V$381,MATCH($B9&amp;$C9,'Emission factors'!$K$3:$K$381&amp;'Emission factors'!$L$3:$L$381,0),MATCH(S$7,'Emission factors'!$K$2:$V$2,0)))*$I9)</f>
        <v/>
      </c>
      <c r="T9" s="354" t="str">
        <f t="shared" si="0"/>
        <v/>
      </c>
      <c r="U9" s="357" t="str">
        <f>IF(OR(OrganisationalWasteTable[[#This Row],[RSD]]="", OrganisationalWasteTable[[#This Row],[Total emissions]]=""), "", OrganisationalWasteTable[[#This Row],[Total emissions]]*(1-OrganisationalWasteTable[[#This Row],[RSD]]))</f>
        <v/>
      </c>
      <c r="V9" s="356" t="str" cm="1">
        <f t="array" ref="V9">IF(OR($B9="",$G9="",$I9=""),"",(INDEX('Emission factors'!$K$3:$V$381,MATCH($B9&amp;$C9,'Emission factors'!$K$3:$K$381&amp;'Emission factors'!$L$3:$L$381,0),MATCH(V$7,'Emission factors'!$K$2:$V$2,0)))*$I9)</f>
        <v/>
      </c>
      <c r="W9" s="351"/>
      <c r="X9" s="1" cm="1">
        <f t="array" ref="X9">IF(OR(ISERROR(B9:V9)),1,0)</f>
        <v>0</v>
      </c>
      <c r="Y9" s="1">
        <f t="shared" ref="Y9:Y48" si="1">IF(AND(C9="",G9="",H9=""),0,1)</f>
        <v>0</v>
      </c>
    </row>
    <row r="10" spans="1:25" ht="15" thickBot="1" x14ac:dyDescent="0.4">
      <c r="B10" s="100"/>
      <c r="C10" s="101"/>
      <c r="D10" s="6"/>
      <c r="E10" s="101"/>
      <c r="F10" s="352" t="str">
        <f>IF(E10="","",INDEX(Methodologytier,MATCH(B$50,Lists!$AZ$4:$AZ$32,0),MATCH(E10,Lists!$BA$3:$BC$3,0)))</f>
        <v/>
      </c>
      <c r="G10" s="70"/>
      <c r="H10" s="101"/>
      <c r="I10" s="333" t="str" cm="1">
        <f t="array" ref="I10">IF(OR($B10="",$C10="",H10=""),"",IF(H10=J10,G10,(INDEX('Emission factors'!$K$3:$V$381,MATCH($B10&amp;$C10,'Emission factors'!$K$3:$K$381&amp;'Emission factors'!$L$3:$L$381,0),MATCH($I$7,'Emission factors'!$K$2:$V$2,0)))*G10))</f>
        <v/>
      </c>
      <c r="J10" s="332" t="str" cm="1">
        <f t="array" ref="J10">IF(OR($B10="",$G10="",OrganisationalWasteTable[[#This Row],[Units]]=""),"",INDEX('Emission factors'!$K$3:$V$381,MATCH($B10&amp;$C10,'Emission factors'!$K$3:$K$381&amp;'Emission factors'!$L$3:$L$381,0),MATCH($J$7,'Emission factors'!$K$2:$V$2,0)))</f>
        <v/>
      </c>
      <c r="K10" s="353" t="str" cm="1">
        <f t="array" ref="K10">IF(OR(B10="",C10="",OrganisationalWasteTable[[#This Row],[Data]]=""),"",INDEX('Emission factors'!$K$3:$V$381,MATCH($B10&amp;$C10,'Emission factors'!$K$3:$K$381&amp;'Emission factors'!$L$3:$L$381,0),MATCH($K$7,'Emission factors'!$K$2:$V$2,0)))</f>
        <v/>
      </c>
      <c r="L10" s="333" t="str">
        <f>IF(OR(OrganisationalWasteTable[[#This Row],[Waste type]]="",OrganisationalWasteTable[[#This Row],[Converted data]]=""),"",SUM(OrganisationalWasteTable[[#This Row],[Direct]:[Indirect WTT]]))</f>
        <v/>
      </c>
      <c r="M10" s="103"/>
      <c r="N10" s="101"/>
      <c r="O10" s="161" t="str" cm="1">
        <f t="array" ref="O10">IF(OR($B10="",$G10="",$I10=""),"",(INDEX('Emission factors'!$K$3:$V$381,MATCH($B10&amp;$C10,'Emission factors'!$K$3:$K$381&amp;'Emission factors'!$L$3:$L$381,0),MATCH(O$7,'Emission factors'!$K$2:$V$2,0)))*$I10)</f>
        <v/>
      </c>
      <c r="P10" s="161" t="str" cm="1">
        <f t="array" ref="P10">IF(OR($B10="",$G10="",$I10=""),"",(INDEX('Emission factors'!$K$3:$V$381,MATCH($B10&amp;$C10,'Emission factors'!$K$3:$K$381&amp;'Emission factors'!$L$3:$L$381,0),MATCH(P$7,'Emission factors'!$K$2:$V$2,0)))*$I10)</f>
        <v/>
      </c>
      <c r="Q10" s="161" t="str" cm="1">
        <f t="array" ref="Q10">IF(OR($B10="",$G10="",$I10=""),"",(INDEX('Emission factors'!$K$3:$V$381,MATCH($B10&amp;$C10,'Emission factors'!$K$3:$K$381&amp;'Emission factors'!$L$3:$L$381,0),MATCH(Q$7,'Emission factors'!$K$2:$V$2,0)))*$I10)</f>
        <v/>
      </c>
      <c r="R10" s="161" t="str" cm="1">
        <f t="array" ref="R10">IF(OR($B10="",$G10="",$I10=""),"",(INDEX('Emission factors'!$K$3:$V$381,MATCH($B10&amp;$C10,'Emission factors'!$K$3:$K$381&amp;'Emission factors'!$L$3:$L$381,0),MATCH(R$7,'Emission factors'!$K$2:$V$2,0)))*$I10)</f>
        <v/>
      </c>
      <c r="S10" s="161" t="str" cm="1">
        <f t="array" ref="S10">IF(OR($B10="",$G10="",$I10=""),"",(INDEX('Emission factors'!$K$3:$V$381,MATCH($B10&amp;$C10,'Emission factors'!$K$3:$K$381&amp;'Emission factors'!$L$3:$L$381,0),MATCH(S$7,'Emission factors'!$K$2:$V$2,0)))*$I10)</f>
        <v/>
      </c>
      <c r="T10" s="354" t="str">
        <f t="shared" si="0"/>
        <v/>
      </c>
      <c r="U10" s="357" t="str">
        <f>IF(OR(OrganisationalWasteTable[[#This Row],[RSD]]="", OrganisationalWasteTable[[#This Row],[Total emissions]]=""), "", OrganisationalWasteTable[[#This Row],[Total emissions]]*(1-OrganisationalWasteTable[[#This Row],[RSD]]))</f>
        <v/>
      </c>
      <c r="V10" s="356" t="str" cm="1">
        <f t="array" ref="V10">IF(OR($B10="",$G10="",$I10=""),"",(INDEX('Emission factors'!$K$3:$V$381,MATCH($B10&amp;$C10,'Emission factors'!$K$3:$K$381&amp;'Emission factors'!$L$3:$L$381,0),MATCH(V$7,'Emission factors'!$K$2:$V$2,0)))*$I10)</f>
        <v/>
      </c>
      <c r="W10" s="351"/>
      <c r="X10" s="1" cm="1">
        <f t="array" ref="X10">IF(OR(ISERROR(B10:V10)),1,0)</f>
        <v>0</v>
      </c>
      <c r="Y10" s="1">
        <f t="shared" si="1"/>
        <v>0</v>
      </c>
    </row>
    <row r="11" spans="1:25" ht="15" thickBot="1" x14ac:dyDescent="0.4">
      <c r="B11" s="100"/>
      <c r="C11" s="101"/>
      <c r="D11" s="6"/>
      <c r="E11" s="101"/>
      <c r="F11" s="352" t="str">
        <f>IF(E11="","",INDEX(Methodologytier,MATCH(B$50,Lists!$AZ$4:$AZ$32,0),MATCH(E11,Lists!$BA$3:$BC$3,0)))</f>
        <v/>
      </c>
      <c r="G11" s="70"/>
      <c r="H11" s="101"/>
      <c r="I11" s="333" t="str" cm="1">
        <f t="array" ref="I11">IF(OR($B11="",$C11="",H11=""),"",IF(H11=J11,G11,(INDEX('Emission factors'!$K$3:$V$381,MATCH($B11&amp;$C11,'Emission factors'!$K$3:$K$381&amp;'Emission factors'!$L$3:$L$381,0),MATCH($I$7,'Emission factors'!$K$2:$V$2,0)))*G11))</f>
        <v/>
      </c>
      <c r="J11" s="332" t="str" cm="1">
        <f t="array" ref="J11">IF(OR($B11="",$G11="",OrganisationalWasteTable[[#This Row],[Units]]=""),"",INDEX('Emission factors'!$K$3:$V$381,MATCH($B11&amp;$C11,'Emission factors'!$K$3:$K$381&amp;'Emission factors'!$L$3:$L$381,0),MATCH($J$7,'Emission factors'!$K$2:$V$2,0)))</f>
        <v/>
      </c>
      <c r="K11" s="353" t="str" cm="1">
        <f t="array" ref="K11">IF(OR(B11="",C11="",OrganisationalWasteTable[[#This Row],[Data]]=""),"",INDEX('Emission factors'!$K$3:$V$381,MATCH($B11&amp;$C11,'Emission factors'!$K$3:$K$381&amp;'Emission factors'!$L$3:$L$381,0),MATCH($K$7,'Emission factors'!$K$2:$V$2,0)))</f>
        <v/>
      </c>
      <c r="L11" s="333" t="str">
        <f>IF(OR(OrganisationalWasteTable[[#This Row],[Waste type]]="",OrganisationalWasteTable[[#This Row],[Converted data]]=""),"",SUM(OrganisationalWasteTable[[#This Row],[Direct]:[Indirect WTT]]))</f>
        <v/>
      </c>
      <c r="M11" s="103"/>
      <c r="N11" s="101"/>
      <c r="O11" s="161" t="str" cm="1">
        <f t="array" ref="O11">IF(OR($B11="",$G11="",$I11=""),"",(INDEX('Emission factors'!$K$3:$V$381,MATCH($B11&amp;$C11,'Emission factors'!$K$3:$K$381&amp;'Emission factors'!$L$3:$L$381,0),MATCH(O$7,'Emission factors'!$K$2:$V$2,0)))*$I11)</f>
        <v/>
      </c>
      <c r="P11" s="161" t="str" cm="1">
        <f t="array" ref="P11">IF(OR($B11="",$G11="",$I11=""),"",(INDEX('Emission factors'!$K$3:$V$381,MATCH($B11&amp;$C11,'Emission factors'!$K$3:$K$381&amp;'Emission factors'!$L$3:$L$381,0),MATCH(P$7,'Emission factors'!$K$2:$V$2,0)))*$I11)</f>
        <v/>
      </c>
      <c r="Q11" s="161" t="str" cm="1">
        <f t="array" ref="Q11">IF(OR($B11="",$G11="",$I11=""),"",(INDEX('Emission factors'!$K$3:$V$381,MATCH($B11&amp;$C11,'Emission factors'!$K$3:$K$381&amp;'Emission factors'!$L$3:$L$381,0),MATCH(Q$7,'Emission factors'!$K$2:$V$2,0)))*$I11)</f>
        <v/>
      </c>
      <c r="R11" s="161" t="str" cm="1">
        <f t="array" ref="R11">IF(OR($B11="",$G11="",$I11=""),"",(INDEX('Emission factors'!$K$3:$V$381,MATCH($B11&amp;$C11,'Emission factors'!$K$3:$K$381&amp;'Emission factors'!$L$3:$L$381,0),MATCH(R$7,'Emission factors'!$K$2:$V$2,0)))*$I11)</f>
        <v/>
      </c>
      <c r="S11" s="161" t="str" cm="1">
        <f t="array" ref="S11">IF(OR($B11="",$G11="",$I11=""),"",(INDEX('Emission factors'!$K$3:$V$381,MATCH($B11&amp;$C11,'Emission factors'!$K$3:$K$381&amp;'Emission factors'!$L$3:$L$381,0),MATCH(S$7,'Emission factors'!$K$2:$V$2,0)))*$I11)</f>
        <v/>
      </c>
      <c r="T11" s="354" t="str">
        <f t="shared" si="0"/>
        <v/>
      </c>
      <c r="U11" s="357" t="str">
        <f>IF(OR(OrganisationalWasteTable[[#This Row],[RSD]]="", OrganisationalWasteTable[[#This Row],[Total emissions]]=""), "", OrganisationalWasteTable[[#This Row],[Total emissions]]*(1-OrganisationalWasteTable[[#This Row],[RSD]]))</f>
        <v/>
      </c>
      <c r="V11" s="356" t="str" cm="1">
        <f t="array" ref="V11">IF(OR($B11="",$G11="",$I11=""),"",(INDEX('Emission factors'!$K$3:$V$381,MATCH($B11&amp;$C11,'Emission factors'!$K$3:$K$381&amp;'Emission factors'!$L$3:$L$381,0),MATCH(V$7,'Emission factors'!$K$2:$V$2,0)))*$I11)</f>
        <v/>
      </c>
      <c r="W11" s="351"/>
      <c r="X11" s="1" cm="1">
        <f t="array" ref="X11">IF(OR(ISERROR(B11:V11)),1,0)</f>
        <v>0</v>
      </c>
      <c r="Y11" s="1">
        <f t="shared" si="1"/>
        <v>0</v>
      </c>
    </row>
    <row r="12" spans="1:25" ht="15" thickBot="1" x14ac:dyDescent="0.4">
      <c r="B12" s="100"/>
      <c r="C12" s="101"/>
      <c r="D12" s="6"/>
      <c r="E12" s="101"/>
      <c r="F12" s="352" t="str">
        <f>IF(E12="","",INDEX(Methodologytier,MATCH(B$50,Lists!$AZ$4:$AZ$32,0),MATCH(E12,Lists!$BA$3:$BC$3,0)))</f>
        <v/>
      </c>
      <c r="G12" s="70"/>
      <c r="H12" s="101"/>
      <c r="I12" s="333" t="str" cm="1">
        <f t="array" ref="I12">IF(OR($B12="",$C12="",H12=""),"",IF(H12=J12,G12,(INDEX('Emission factors'!$K$3:$V$381,MATCH($B12&amp;$C12,'Emission factors'!$K$3:$K$381&amp;'Emission factors'!$L$3:$L$381,0),MATCH($I$7,'Emission factors'!$K$2:$V$2,0)))*G12))</f>
        <v/>
      </c>
      <c r="J12" s="332" t="str" cm="1">
        <f t="array" ref="J12">IF(OR($B12="",$G12="",OrganisationalWasteTable[[#This Row],[Units]]=""),"",INDEX('Emission factors'!$K$3:$V$381,MATCH($B12&amp;$C12,'Emission factors'!$K$3:$K$381&amp;'Emission factors'!$L$3:$L$381,0),MATCH($J$7,'Emission factors'!$K$2:$V$2,0)))</f>
        <v/>
      </c>
      <c r="K12" s="353" t="str" cm="1">
        <f t="array" ref="K12">IF(OR(B12="",C12="",OrganisationalWasteTable[[#This Row],[Data]]=""),"",INDEX('Emission factors'!$K$3:$V$381,MATCH($B12&amp;$C12,'Emission factors'!$K$3:$K$381&amp;'Emission factors'!$L$3:$L$381,0),MATCH($K$7,'Emission factors'!$K$2:$V$2,0)))</f>
        <v/>
      </c>
      <c r="L12" s="333" t="str">
        <f>IF(OR(OrganisationalWasteTable[[#This Row],[Waste type]]="",OrganisationalWasteTable[[#This Row],[Converted data]]=""),"",SUM(OrganisationalWasteTable[[#This Row],[Direct]:[Indirect WTT]]))</f>
        <v/>
      </c>
      <c r="M12" s="103"/>
      <c r="N12" s="101"/>
      <c r="O12" s="161" t="str" cm="1">
        <f t="array" ref="O12">IF(OR($B12="",$G12="",$I12=""),"",(INDEX('Emission factors'!$K$3:$V$381,MATCH($B12&amp;$C12,'Emission factors'!$K$3:$K$381&amp;'Emission factors'!$L$3:$L$381,0),MATCH(O$7,'Emission factors'!$K$2:$V$2,0)))*$I12)</f>
        <v/>
      </c>
      <c r="P12" s="161" t="str" cm="1">
        <f t="array" ref="P12">IF(OR($B12="",$G12="",$I12=""),"",(INDEX('Emission factors'!$K$3:$V$381,MATCH($B12&amp;$C12,'Emission factors'!$K$3:$K$381&amp;'Emission factors'!$L$3:$L$381,0),MATCH(P$7,'Emission factors'!$K$2:$V$2,0)))*$I12)</f>
        <v/>
      </c>
      <c r="Q12" s="161" t="str" cm="1">
        <f t="array" ref="Q12">IF(OR($B12="",$G12="",$I12=""),"",(INDEX('Emission factors'!$K$3:$V$381,MATCH($B12&amp;$C12,'Emission factors'!$K$3:$K$381&amp;'Emission factors'!$L$3:$L$381,0),MATCH(Q$7,'Emission factors'!$K$2:$V$2,0)))*$I12)</f>
        <v/>
      </c>
      <c r="R12" s="161" t="str" cm="1">
        <f t="array" ref="R12">IF(OR($B12="",$G12="",$I12=""),"",(INDEX('Emission factors'!$K$3:$V$381,MATCH($B12&amp;$C12,'Emission factors'!$K$3:$K$381&amp;'Emission factors'!$L$3:$L$381,0),MATCH(R$7,'Emission factors'!$K$2:$V$2,0)))*$I12)</f>
        <v/>
      </c>
      <c r="S12" s="161" t="str" cm="1">
        <f t="array" ref="S12">IF(OR($B12="",$G12="",$I12=""),"",(INDEX('Emission factors'!$K$3:$V$381,MATCH($B12&amp;$C12,'Emission factors'!$K$3:$K$381&amp;'Emission factors'!$L$3:$L$381,0),MATCH(S$7,'Emission factors'!$K$2:$V$2,0)))*$I12)</f>
        <v/>
      </c>
      <c r="T12" s="354" t="str">
        <f t="shared" si="0"/>
        <v/>
      </c>
      <c r="U12" s="357" t="str">
        <f>IF(OR(OrganisationalWasteTable[[#This Row],[RSD]]="", OrganisationalWasteTable[[#This Row],[Total emissions]]=""), "", OrganisationalWasteTable[[#This Row],[Total emissions]]*(1-OrganisationalWasteTable[[#This Row],[RSD]]))</f>
        <v/>
      </c>
      <c r="V12" s="356" t="str" cm="1">
        <f t="array" ref="V12">IF(OR($B12="",$G12="",$I12=""),"",(INDEX('Emission factors'!$K$3:$V$381,MATCH($B12&amp;$C12,'Emission factors'!$K$3:$K$381&amp;'Emission factors'!$L$3:$L$381,0),MATCH(V$7,'Emission factors'!$K$2:$V$2,0)))*$I12)</f>
        <v/>
      </c>
      <c r="W12" s="351"/>
      <c r="X12" s="1" cm="1">
        <f t="array" ref="X12">IF(OR(ISERROR(B12:V12)),1,0)</f>
        <v>0</v>
      </c>
      <c r="Y12" s="1">
        <f t="shared" si="1"/>
        <v>0</v>
      </c>
    </row>
    <row r="13" spans="1:25" ht="15" thickBot="1" x14ac:dyDescent="0.4">
      <c r="B13" s="100"/>
      <c r="C13" s="101"/>
      <c r="D13" s="6"/>
      <c r="E13" s="101"/>
      <c r="F13" s="352" t="str">
        <f>IF(E13="","",INDEX(Methodologytier,MATCH(B$50,Lists!$AZ$4:$AZ$32,0),MATCH(E13,Lists!$BA$3:$BC$3,0)))</f>
        <v/>
      </c>
      <c r="G13" s="70"/>
      <c r="H13" s="101"/>
      <c r="I13" s="333" t="str" cm="1">
        <f t="array" ref="I13">IF(OR($B13="",$C13="",H13=""),"",IF(H13=J13,G13,(INDEX('Emission factors'!$K$3:$V$381,MATCH($B13&amp;$C13,'Emission factors'!$K$3:$K$381&amp;'Emission factors'!$L$3:$L$381,0),MATCH($I$7,'Emission factors'!$K$2:$V$2,0)))*G13))</f>
        <v/>
      </c>
      <c r="J13" s="332" t="str" cm="1">
        <f t="array" ref="J13">IF(OR($B13="",$G13="",OrganisationalWasteTable[[#This Row],[Units]]=""),"",INDEX('Emission factors'!$K$3:$V$381,MATCH($B13&amp;$C13,'Emission factors'!$K$3:$K$381&amp;'Emission factors'!$L$3:$L$381,0),MATCH($J$7,'Emission factors'!$K$2:$V$2,0)))</f>
        <v/>
      </c>
      <c r="K13" s="353" t="str" cm="1">
        <f t="array" ref="K13">IF(OR(B13="",C13="",OrganisationalWasteTable[[#This Row],[Data]]=""),"",INDEX('Emission factors'!$K$3:$V$381,MATCH($B13&amp;$C13,'Emission factors'!$K$3:$K$381&amp;'Emission factors'!$L$3:$L$381,0),MATCH($K$7,'Emission factors'!$K$2:$V$2,0)))</f>
        <v/>
      </c>
      <c r="L13" s="333" t="str">
        <f>IF(OR(OrganisationalWasteTable[[#This Row],[Waste type]]="",OrganisationalWasteTable[[#This Row],[Converted data]]=""),"",SUM(OrganisationalWasteTable[[#This Row],[Direct]:[Indirect WTT]]))</f>
        <v/>
      </c>
      <c r="M13" s="103"/>
      <c r="N13" s="101"/>
      <c r="O13" s="161" t="str" cm="1">
        <f t="array" ref="O13">IF(OR($B13="",$G13="",$I13=""),"",(INDEX('Emission factors'!$K$3:$V$381,MATCH($B13&amp;$C13,'Emission factors'!$K$3:$K$381&amp;'Emission factors'!$L$3:$L$381,0),MATCH(O$7,'Emission factors'!$K$2:$V$2,0)))*$I13)</f>
        <v/>
      </c>
      <c r="P13" s="161" t="str" cm="1">
        <f t="array" ref="P13">IF(OR($B13="",$G13="",$I13=""),"",(INDEX('Emission factors'!$K$3:$V$381,MATCH($B13&amp;$C13,'Emission factors'!$K$3:$K$381&amp;'Emission factors'!$L$3:$L$381,0),MATCH(P$7,'Emission factors'!$K$2:$V$2,0)))*$I13)</f>
        <v/>
      </c>
      <c r="Q13" s="161" t="str" cm="1">
        <f t="array" ref="Q13">IF(OR($B13="",$G13="",$I13=""),"",(INDEX('Emission factors'!$K$3:$V$381,MATCH($B13&amp;$C13,'Emission factors'!$K$3:$K$381&amp;'Emission factors'!$L$3:$L$381,0),MATCH(Q$7,'Emission factors'!$K$2:$V$2,0)))*$I13)</f>
        <v/>
      </c>
      <c r="R13" s="161" t="str" cm="1">
        <f t="array" ref="R13">IF(OR($B13="",$G13="",$I13=""),"",(INDEX('Emission factors'!$K$3:$V$381,MATCH($B13&amp;$C13,'Emission factors'!$K$3:$K$381&amp;'Emission factors'!$L$3:$L$381,0),MATCH(R$7,'Emission factors'!$K$2:$V$2,0)))*$I13)</f>
        <v/>
      </c>
      <c r="S13" s="161" t="str" cm="1">
        <f t="array" ref="S13">IF(OR($B13="",$G13="",$I13=""),"",(INDEX('Emission factors'!$K$3:$V$381,MATCH($B13&amp;$C13,'Emission factors'!$K$3:$K$381&amp;'Emission factors'!$L$3:$L$381,0),MATCH(S$7,'Emission factors'!$K$2:$V$2,0)))*$I13)</f>
        <v/>
      </c>
      <c r="T13" s="354" t="str">
        <f t="shared" si="0"/>
        <v/>
      </c>
      <c r="U13" s="357" t="str">
        <f>IF(OR(OrganisationalWasteTable[[#This Row],[RSD]]="", OrganisationalWasteTable[[#This Row],[Total emissions]]=""), "", OrganisationalWasteTable[[#This Row],[Total emissions]]*(1-OrganisationalWasteTable[[#This Row],[RSD]]))</f>
        <v/>
      </c>
      <c r="V13" s="356" t="str" cm="1">
        <f t="array" ref="V13">IF(OR($B13="",$G13="",$I13=""),"",(INDEX('Emission factors'!$K$3:$V$381,MATCH($B13&amp;$C13,'Emission factors'!$K$3:$K$381&amp;'Emission factors'!$L$3:$L$381,0),MATCH(V$7,'Emission factors'!$K$2:$V$2,0)))*$I13)</f>
        <v/>
      </c>
      <c r="W13" s="351"/>
      <c r="X13" s="1" cm="1">
        <f t="array" ref="X13">IF(OR(ISERROR(B13:V13)),1,0)</f>
        <v>0</v>
      </c>
      <c r="Y13" s="1">
        <f t="shared" si="1"/>
        <v>0</v>
      </c>
    </row>
    <row r="14" spans="1:25" ht="15" thickBot="1" x14ac:dyDescent="0.4">
      <c r="B14" s="100"/>
      <c r="C14" s="101"/>
      <c r="D14" s="6"/>
      <c r="E14" s="101"/>
      <c r="F14" s="352" t="str">
        <f>IF(E14="","",INDEX(Methodologytier,MATCH(B$50,Lists!$AZ$4:$AZ$32,0),MATCH(E14,Lists!$BA$3:$BC$3,0)))</f>
        <v/>
      </c>
      <c r="G14" s="70"/>
      <c r="H14" s="101"/>
      <c r="I14" s="333" t="str" cm="1">
        <f t="array" ref="I14">IF(OR($B14="",$C14="",H14=""),"",IF(H14=J14,G14,(INDEX('Emission factors'!$K$3:$V$381,MATCH($B14&amp;$C14,'Emission factors'!$K$3:$K$381&amp;'Emission factors'!$L$3:$L$381,0),MATCH($I$7,'Emission factors'!$K$2:$V$2,0)))*G14))</f>
        <v/>
      </c>
      <c r="J14" s="332" t="str" cm="1">
        <f t="array" ref="J14">IF(OR($B14="",$G14="",OrganisationalWasteTable[[#This Row],[Units]]=""),"",INDEX('Emission factors'!$K$3:$V$381,MATCH($B14&amp;$C14,'Emission factors'!$K$3:$K$381&amp;'Emission factors'!$L$3:$L$381,0),MATCH($J$7,'Emission factors'!$K$2:$V$2,0)))</f>
        <v/>
      </c>
      <c r="K14" s="353" t="str" cm="1">
        <f t="array" ref="K14">IF(OR(B14="",C14="",OrganisationalWasteTable[[#This Row],[Data]]=""),"",INDEX('Emission factors'!$K$3:$V$381,MATCH($B14&amp;$C14,'Emission factors'!$K$3:$K$381&amp;'Emission factors'!$L$3:$L$381,0),MATCH($K$7,'Emission factors'!$K$2:$V$2,0)))</f>
        <v/>
      </c>
      <c r="L14" s="333" t="str">
        <f>IF(OR(OrganisationalWasteTable[[#This Row],[Waste type]]="",OrganisationalWasteTable[[#This Row],[Converted data]]=""),"",SUM(OrganisationalWasteTable[[#This Row],[Direct]:[Indirect WTT]]))</f>
        <v/>
      </c>
      <c r="M14" s="103"/>
      <c r="N14" s="101"/>
      <c r="O14" s="161" t="str" cm="1">
        <f t="array" ref="O14">IF(OR($B14="",$G14="",$I14=""),"",(INDEX('Emission factors'!$K$3:$V$381,MATCH($B14&amp;$C14,'Emission factors'!$K$3:$K$381&amp;'Emission factors'!$L$3:$L$381,0),MATCH(O$7,'Emission factors'!$K$2:$V$2,0)))*$I14)</f>
        <v/>
      </c>
      <c r="P14" s="161" t="str" cm="1">
        <f t="array" ref="P14">IF(OR($B14="",$G14="",$I14=""),"",(INDEX('Emission factors'!$K$3:$V$381,MATCH($B14&amp;$C14,'Emission factors'!$K$3:$K$381&amp;'Emission factors'!$L$3:$L$381,0),MATCH(P$7,'Emission factors'!$K$2:$V$2,0)))*$I14)</f>
        <v/>
      </c>
      <c r="Q14" s="161" t="str" cm="1">
        <f t="array" ref="Q14">IF(OR($B14="",$G14="",$I14=""),"",(INDEX('Emission factors'!$K$3:$V$381,MATCH($B14&amp;$C14,'Emission factors'!$K$3:$K$381&amp;'Emission factors'!$L$3:$L$381,0),MATCH(Q$7,'Emission factors'!$K$2:$V$2,0)))*$I14)</f>
        <v/>
      </c>
      <c r="R14" s="161" t="str" cm="1">
        <f t="array" ref="R14">IF(OR($B14="",$G14="",$I14=""),"",(INDEX('Emission factors'!$K$3:$V$381,MATCH($B14&amp;$C14,'Emission factors'!$K$3:$K$381&amp;'Emission factors'!$L$3:$L$381,0),MATCH(R$7,'Emission factors'!$K$2:$V$2,0)))*$I14)</f>
        <v/>
      </c>
      <c r="S14" s="161" t="str" cm="1">
        <f t="array" ref="S14">IF(OR($B14="",$G14="",$I14=""),"",(INDEX('Emission factors'!$K$3:$V$381,MATCH($B14&amp;$C14,'Emission factors'!$K$3:$K$381&amp;'Emission factors'!$L$3:$L$381,0),MATCH(S$7,'Emission factors'!$K$2:$V$2,0)))*$I14)</f>
        <v/>
      </c>
      <c r="T14" s="354" t="str">
        <f t="shared" si="0"/>
        <v/>
      </c>
      <c r="U14" s="357" t="str">
        <f>IF(OR(OrganisationalWasteTable[[#This Row],[RSD]]="", OrganisationalWasteTable[[#This Row],[Total emissions]]=""), "", OrganisationalWasteTable[[#This Row],[Total emissions]]*(1-OrganisationalWasteTable[[#This Row],[RSD]]))</f>
        <v/>
      </c>
      <c r="V14" s="356" t="str" cm="1">
        <f t="array" ref="V14">IF(OR($B14="",$G14="",$I14=""),"",(INDEX('Emission factors'!$K$3:$V$381,MATCH($B14&amp;$C14,'Emission factors'!$K$3:$K$381&amp;'Emission factors'!$L$3:$L$381,0),MATCH(V$7,'Emission factors'!$K$2:$V$2,0)))*$I14)</f>
        <v/>
      </c>
      <c r="W14" s="351"/>
      <c r="X14" s="1" cm="1">
        <f t="array" ref="X14">IF(OR(ISERROR(B14:V14)),1,0)</f>
        <v>0</v>
      </c>
      <c r="Y14" s="1">
        <f t="shared" si="1"/>
        <v>0</v>
      </c>
    </row>
    <row r="15" spans="1:25" ht="15" thickBot="1" x14ac:dyDescent="0.4">
      <c r="B15" s="100"/>
      <c r="C15" s="101"/>
      <c r="D15" s="6"/>
      <c r="E15" s="101"/>
      <c r="F15" s="352" t="str">
        <f>IF(E15="","",INDEX(Methodologytier,MATCH(B$50,Lists!$AZ$4:$AZ$32,0),MATCH(E15,Lists!$BA$3:$BC$3,0)))</f>
        <v/>
      </c>
      <c r="G15" s="70"/>
      <c r="H15" s="101"/>
      <c r="I15" s="333" t="str" cm="1">
        <f t="array" ref="I15">IF(OR($B15="",$C15="",H15=""),"",IF(H15=J15,G15,(INDEX('Emission factors'!$K$3:$V$381,MATCH($B15&amp;$C15,'Emission factors'!$K$3:$K$381&amp;'Emission factors'!$L$3:$L$381,0),MATCH($I$7,'Emission factors'!$K$2:$V$2,0)))*G15))</f>
        <v/>
      </c>
      <c r="J15" s="332" t="str" cm="1">
        <f t="array" ref="J15">IF(OR($B15="",$G15="",OrganisationalWasteTable[[#This Row],[Units]]=""),"",INDEX('Emission factors'!$K$3:$V$381,MATCH($B15&amp;$C15,'Emission factors'!$K$3:$K$381&amp;'Emission factors'!$L$3:$L$381,0),MATCH($J$7,'Emission factors'!$K$2:$V$2,0)))</f>
        <v/>
      </c>
      <c r="K15" s="353" t="str" cm="1">
        <f t="array" ref="K15">IF(OR(B15="",C15="",OrganisationalWasteTable[[#This Row],[Data]]=""),"",INDEX('Emission factors'!$K$3:$V$381,MATCH($B15&amp;$C15,'Emission factors'!$K$3:$K$381&amp;'Emission factors'!$L$3:$L$381,0),MATCH($K$7,'Emission factors'!$K$2:$V$2,0)))</f>
        <v/>
      </c>
      <c r="L15" s="333" t="str">
        <f>IF(OR(OrganisationalWasteTable[[#This Row],[Waste type]]="",OrganisationalWasteTable[[#This Row],[Converted data]]=""),"",SUM(OrganisationalWasteTable[[#This Row],[Direct]:[Indirect WTT]]))</f>
        <v/>
      </c>
      <c r="M15" s="103"/>
      <c r="N15" s="101"/>
      <c r="O15" s="161" t="str" cm="1">
        <f t="array" ref="O15">IF(OR($B15="",$G15="",$I15=""),"",(INDEX('Emission factors'!$K$3:$V$381,MATCH($B15&amp;$C15,'Emission factors'!$K$3:$K$381&amp;'Emission factors'!$L$3:$L$381,0),MATCH(O$7,'Emission factors'!$K$2:$V$2,0)))*$I15)</f>
        <v/>
      </c>
      <c r="P15" s="161" t="str" cm="1">
        <f t="array" ref="P15">IF(OR($B15="",$G15="",$I15=""),"",(INDEX('Emission factors'!$K$3:$V$381,MATCH($B15&amp;$C15,'Emission factors'!$K$3:$K$381&amp;'Emission factors'!$L$3:$L$381,0),MATCH(P$7,'Emission factors'!$K$2:$V$2,0)))*$I15)</f>
        <v/>
      </c>
      <c r="Q15" s="161" t="str" cm="1">
        <f t="array" ref="Q15">IF(OR($B15="",$G15="",$I15=""),"",(INDEX('Emission factors'!$K$3:$V$381,MATCH($B15&amp;$C15,'Emission factors'!$K$3:$K$381&amp;'Emission factors'!$L$3:$L$381,0),MATCH(Q$7,'Emission factors'!$K$2:$V$2,0)))*$I15)</f>
        <v/>
      </c>
      <c r="R15" s="161" t="str" cm="1">
        <f t="array" ref="R15">IF(OR($B15="",$G15="",$I15=""),"",(INDEX('Emission factors'!$K$3:$V$381,MATCH($B15&amp;$C15,'Emission factors'!$K$3:$K$381&amp;'Emission factors'!$L$3:$L$381,0),MATCH(R$7,'Emission factors'!$K$2:$V$2,0)))*$I15)</f>
        <v/>
      </c>
      <c r="S15" s="161" t="str" cm="1">
        <f t="array" ref="S15">IF(OR($B15="",$G15="",$I15=""),"",(INDEX('Emission factors'!$K$3:$V$381,MATCH($B15&amp;$C15,'Emission factors'!$K$3:$K$381&amp;'Emission factors'!$L$3:$L$381,0),MATCH(S$7,'Emission factors'!$K$2:$V$2,0)))*$I15)</f>
        <v/>
      </c>
      <c r="T15" s="354" t="str">
        <f t="shared" si="0"/>
        <v/>
      </c>
      <c r="U15" s="357" t="str">
        <f>IF(OR(OrganisationalWasteTable[[#This Row],[RSD]]="", OrganisationalWasteTable[[#This Row],[Total emissions]]=""), "", OrganisationalWasteTable[[#This Row],[Total emissions]]*(1-OrganisationalWasteTable[[#This Row],[RSD]]))</f>
        <v/>
      </c>
      <c r="V15" s="356" t="str" cm="1">
        <f t="array" ref="V15">IF(OR($B15="",$G15="",$I15=""),"",(INDEX('Emission factors'!$K$3:$V$381,MATCH($B15&amp;$C15,'Emission factors'!$K$3:$K$381&amp;'Emission factors'!$L$3:$L$381,0),MATCH(V$7,'Emission factors'!$K$2:$V$2,0)))*$I15)</f>
        <v/>
      </c>
      <c r="W15" s="351"/>
      <c r="X15" s="1" cm="1">
        <f t="array" ref="X15">IF(OR(ISERROR(B15:V15)),1,0)</f>
        <v>0</v>
      </c>
      <c r="Y15" s="1">
        <f t="shared" si="1"/>
        <v>0</v>
      </c>
    </row>
    <row r="16" spans="1:25" ht="15" thickBot="1" x14ac:dyDescent="0.4">
      <c r="B16" s="100"/>
      <c r="C16" s="101"/>
      <c r="D16" s="6"/>
      <c r="E16" s="101"/>
      <c r="F16" s="352" t="str">
        <f>IF(E16="","",INDEX(Methodologytier,MATCH(B$50,Lists!$AZ$4:$AZ$32,0),MATCH(E16,Lists!$BA$3:$BC$3,0)))</f>
        <v/>
      </c>
      <c r="G16" s="70"/>
      <c r="H16" s="101"/>
      <c r="I16" s="333" t="str" cm="1">
        <f t="array" ref="I16">IF(OR($B16="",$C16="",H16=""),"",IF(H16=J16,G16,(INDEX('Emission factors'!$K$3:$V$381,MATCH($B16&amp;$C16,'Emission factors'!$K$3:$K$381&amp;'Emission factors'!$L$3:$L$381,0),MATCH($I$7,'Emission factors'!$K$2:$V$2,0)))*G16))</f>
        <v/>
      </c>
      <c r="J16" s="332" t="str" cm="1">
        <f t="array" ref="J16">IF(OR($B16="",$G16="",OrganisationalWasteTable[[#This Row],[Units]]=""),"",INDEX('Emission factors'!$K$3:$V$381,MATCH($B16&amp;$C16,'Emission factors'!$K$3:$K$381&amp;'Emission factors'!$L$3:$L$381,0),MATCH($J$7,'Emission factors'!$K$2:$V$2,0)))</f>
        <v/>
      </c>
      <c r="K16" s="353" t="str" cm="1">
        <f t="array" ref="K16">IF(OR(B16="",C16="",OrganisationalWasteTable[[#This Row],[Data]]=""),"",INDEX('Emission factors'!$K$3:$V$381,MATCH($B16&amp;$C16,'Emission factors'!$K$3:$K$381&amp;'Emission factors'!$L$3:$L$381,0),MATCH($K$7,'Emission factors'!$K$2:$V$2,0)))</f>
        <v/>
      </c>
      <c r="L16" s="333" t="str">
        <f>IF(OR(OrganisationalWasteTable[[#This Row],[Waste type]]="",OrganisationalWasteTable[[#This Row],[Converted data]]=""),"",SUM(OrganisationalWasteTable[[#This Row],[Direct]:[Indirect WTT]]))</f>
        <v/>
      </c>
      <c r="M16" s="103"/>
      <c r="N16" s="101"/>
      <c r="O16" s="161" t="str" cm="1">
        <f t="array" ref="O16">IF(OR($B16="",$G16="",$I16=""),"",(INDEX('Emission factors'!$K$3:$V$381,MATCH($B16&amp;$C16,'Emission factors'!$K$3:$K$381&amp;'Emission factors'!$L$3:$L$381,0),MATCH(O$7,'Emission factors'!$K$2:$V$2,0)))*$I16)</f>
        <v/>
      </c>
      <c r="P16" s="161" t="str" cm="1">
        <f t="array" ref="P16">IF(OR($B16="",$G16="",$I16=""),"",(INDEX('Emission factors'!$K$3:$V$381,MATCH($B16&amp;$C16,'Emission factors'!$K$3:$K$381&amp;'Emission factors'!$L$3:$L$381,0),MATCH(P$7,'Emission factors'!$K$2:$V$2,0)))*$I16)</f>
        <v/>
      </c>
      <c r="Q16" s="161" t="str" cm="1">
        <f t="array" ref="Q16">IF(OR($B16="",$G16="",$I16=""),"",(INDEX('Emission factors'!$K$3:$V$381,MATCH($B16&amp;$C16,'Emission factors'!$K$3:$K$381&amp;'Emission factors'!$L$3:$L$381,0),MATCH(Q$7,'Emission factors'!$K$2:$V$2,0)))*$I16)</f>
        <v/>
      </c>
      <c r="R16" s="161" t="str" cm="1">
        <f t="array" ref="R16">IF(OR($B16="",$G16="",$I16=""),"",(INDEX('Emission factors'!$K$3:$V$381,MATCH($B16&amp;$C16,'Emission factors'!$K$3:$K$381&amp;'Emission factors'!$L$3:$L$381,0),MATCH(R$7,'Emission factors'!$K$2:$V$2,0)))*$I16)</f>
        <v/>
      </c>
      <c r="S16" s="161" t="str" cm="1">
        <f t="array" ref="S16">IF(OR($B16="",$G16="",$I16=""),"",(INDEX('Emission factors'!$K$3:$V$381,MATCH($B16&amp;$C16,'Emission factors'!$K$3:$K$381&amp;'Emission factors'!$L$3:$L$381,0),MATCH(S$7,'Emission factors'!$K$2:$V$2,0)))*$I16)</f>
        <v/>
      </c>
      <c r="T16" s="354" t="str">
        <f t="shared" si="0"/>
        <v/>
      </c>
      <c r="U16" s="357" t="str">
        <f>IF(OR(OrganisationalWasteTable[[#This Row],[RSD]]="", OrganisationalWasteTable[[#This Row],[Total emissions]]=""), "", OrganisationalWasteTable[[#This Row],[Total emissions]]*(1-OrganisationalWasteTable[[#This Row],[RSD]]))</f>
        <v/>
      </c>
      <c r="V16" s="356" t="str" cm="1">
        <f t="array" ref="V16">IF(OR($B16="",$G16="",$I16=""),"",(INDEX('Emission factors'!$K$3:$V$381,MATCH($B16&amp;$C16,'Emission factors'!$K$3:$K$381&amp;'Emission factors'!$L$3:$L$381,0),MATCH(V$7,'Emission factors'!$K$2:$V$2,0)))*$I16)</f>
        <v/>
      </c>
      <c r="W16" s="351"/>
      <c r="X16" s="1" cm="1">
        <f t="array" ref="X16">IF(OR(ISERROR(B16:V16)),1,0)</f>
        <v>0</v>
      </c>
      <c r="Y16" s="1">
        <f t="shared" si="1"/>
        <v>0</v>
      </c>
    </row>
    <row r="17" spans="2:25" ht="15" thickBot="1" x14ac:dyDescent="0.4">
      <c r="B17" s="100"/>
      <c r="C17" s="101"/>
      <c r="D17" s="6"/>
      <c r="E17" s="101"/>
      <c r="F17" s="352" t="str">
        <f>IF(E17="","",INDEX(Methodologytier,MATCH(B$50,Lists!$AZ$4:$AZ$32,0),MATCH(E17,Lists!$BA$3:$BC$3,0)))</f>
        <v/>
      </c>
      <c r="G17" s="70"/>
      <c r="H17" s="101"/>
      <c r="I17" s="333" t="str" cm="1">
        <f t="array" ref="I17">IF(OR($B17="",$C17="",H17=""),"",IF(H17=J17,G17,(INDEX('Emission factors'!$K$3:$V$381,MATCH($B17&amp;$C17,'Emission factors'!$K$3:$K$381&amp;'Emission factors'!$L$3:$L$381,0),MATCH($I$7,'Emission factors'!$K$2:$V$2,0)))*G17))</f>
        <v/>
      </c>
      <c r="J17" s="332" t="str" cm="1">
        <f t="array" ref="J17">IF(OR($B17="",$G17="",OrganisationalWasteTable[[#This Row],[Units]]=""),"",INDEX('Emission factors'!$K$3:$V$381,MATCH($B17&amp;$C17,'Emission factors'!$K$3:$K$381&amp;'Emission factors'!$L$3:$L$381,0),MATCH($J$7,'Emission factors'!$K$2:$V$2,0)))</f>
        <v/>
      </c>
      <c r="K17" s="353" t="str" cm="1">
        <f t="array" ref="K17">IF(OR(B17="",C17="",OrganisationalWasteTable[[#This Row],[Data]]=""),"",INDEX('Emission factors'!$K$3:$V$381,MATCH($B17&amp;$C17,'Emission factors'!$K$3:$K$381&amp;'Emission factors'!$L$3:$L$381,0),MATCH($K$7,'Emission factors'!$K$2:$V$2,0)))</f>
        <v/>
      </c>
      <c r="L17" s="333" t="str">
        <f>IF(OR(OrganisationalWasteTable[[#This Row],[Waste type]]="",OrganisationalWasteTable[[#This Row],[Converted data]]=""),"",SUM(OrganisationalWasteTable[[#This Row],[Direct]:[Indirect WTT]]))</f>
        <v/>
      </c>
      <c r="M17" s="103"/>
      <c r="N17" s="101"/>
      <c r="O17" s="161" t="str" cm="1">
        <f t="array" ref="O17">IF(OR($B17="",$G17="",$I17=""),"",(INDEX('Emission factors'!$K$3:$V$381,MATCH($B17&amp;$C17,'Emission factors'!$K$3:$K$381&amp;'Emission factors'!$L$3:$L$381,0),MATCH(O$7,'Emission factors'!$K$2:$V$2,0)))*$I17)</f>
        <v/>
      </c>
      <c r="P17" s="161" t="str" cm="1">
        <f t="array" ref="P17">IF(OR($B17="",$G17="",$I17=""),"",(INDEX('Emission factors'!$K$3:$V$381,MATCH($B17&amp;$C17,'Emission factors'!$K$3:$K$381&amp;'Emission factors'!$L$3:$L$381,0),MATCH(P$7,'Emission factors'!$K$2:$V$2,0)))*$I17)</f>
        <v/>
      </c>
      <c r="Q17" s="161" t="str" cm="1">
        <f t="array" ref="Q17">IF(OR($B17="",$G17="",$I17=""),"",(INDEX('Emission factors'!$K$3:$V$381,MATCH($B17&amp;$C17,'Emission factors'!$K$3:$K$381&amp;'Emission factors'!$L$3:$L$381,0),MATCH(Q$7,'Emission factors'!$K$2:$V$2,0)))*$I17)</f>
        <v/>
      </c>
      <c r="R17" s="161" t="str" cm="1">
        <f t="array" ref="R17">IF(OR($B17="",$G17="",$I17=""),"",(INDEX('Emission factors'!$K$3:$V$381,MATCH($B17&amp;$C17,'Emission factors'!$K$3:$K$381&amp;'Emission factors'!$L$3:$L$381,0),MATCH(R$7,'Emission factors'!$K$2:$V$2,0)))*$I17)</f>
        <v/>
      </c>
      <c r="S17" s="161" t="str" cm="1">
        <f t="array" ref="S17">IF(OR($B17="",$G17="",$I17=""),"",(INDEX('Emission factors'!$K$3:$V$381,MATCH($B17&amp;$C17,'Emission factors'!$K$3:$K$381&amp;'Emission factors'!$L$3:$L$381,0),MATCH(S$7,'Emission factors'!$K$2:$V$2,0)))*$I17)</f>
        <v/>
      </c>
      <c r="T17" s="354" t="str">
        <f t="shared" si="0"/>
        <v/>
      </c>
      <c r="U17" s="357" t="str">
        <f>IF(OR(OrganisationalWasteTable[[#This Row],[RSD]]="", OrganisationalWasteTable[[#This Row],[Total emissions]]=""), "", OrganisationalWasteTable[[#This Row],[Total emissions]]*(1-OrganisationalWasteTable[[#This Row],[RSD]]))</f>
        <v/>
      </c>
      <c r="V17" s="356" t="str" cm="1">
        <f t="array" ref="V17">IF(OR($B17="",$G17="",$I17=""),"",(INDEX('Emission factors'!$K$3:$V$381,MATCH($B17&amp;$C17,'Emission factors'!$K$3:$K$381&amp;'Emission factors'!$L$3:$L$381,0),MATCH(V$7,'Emission factors'!$K$2:$V$2,0)))*$I17)</f>
        <v/>
      </c>
      <c r="W17" s="351"/>
      <c r="X17" s="1" cm="1">
        <f t="array" ref="X17">IF(OR(ISERROR(B17:V17)),1,0)</f>
        <v>0</v>
      </c>
      <c r="Y17" s="1">
        <f t="shared" si="1"/>
        <v>0</v>
      </c>
    </row>
    <row r="18" spans="2:25" ht="15" thickBot="1" x14ac:dyDescent="0.4">
      <c r="B18" s="100"/>
      <c r="C18" s="101"/>
      <c r="D18" s="6"/>
      <c r="E18" s="101"/>
      <c r="F18" s="352" t="str">
        <f>IF(E18="","",INDEX(Methodologytier,MATCH(B$50,Lists!$AZ$4:$AZ$32,0),MATCH(E18,Lists!$BA$3:$BC$3,0)))</f>
        <v/>
      </c>
      <c r="G18" s="70"/>
      <c r="H18" s="101"/>
      <c r="I18" s="333" t="str" cm="1">
        <f t="array" ref="I18">IF(OR($B18="",$C18="",H18=""),"",IF(H18=J18,G18,(INDEX('Emission factors'!$K$3:$V$381,MATCH($B18&amp;$C18,'Emission factors'!$K$3:$K$381&amp;'Emission factors'!$L$3:$L$381,0),MATCH($I$7,'Emission factors'!$K$2:$V$2,0)))*G18))</f>
        <v/>
      </c>
      <c r="J18" s="332" t="str" cm="1">
        <f t="array" ref="J18">IF(OR($B18="",$G18="",OrganisationalWasteTable[[#This Row],[Units]]=""),"",INDEX('Emission factors'!$K$3:$V$381,MATCH($B18&amp;$C18,'Emission factors'!$K$3:$K$381&amp;'Emission factors'!$L$3:$L$381,0),MATCH($J$7,'Emission factors'!$K$2:$V$2,0)))</f>
        <v/>
      </c>
      <c r="K18" s="353" t="str" cm="1">
        <f t="array" ref="K18">IF(OR(B18="",C18="",OrganisationalWasteTable[[#This Row],[Data]]=""),"",INDEX('Emission factors'!$K$3:$V$381,MATCH($B18&amp;$C18,'Emission factors'!$K$3:$K$381&amp;'Emission factors'!$L$3:$L$381,0),MATCH($K$7,'Emission factors'!$K$2:$V$2,0)))</f>
        <v/>
      </c>
      <c r="L18" s="333" t="str">
        <f>IF(OR(OrganisationalWasteTable[[#This Row],[Waste type]]="",OrganisationalWasteTable[[#This Row],[Converted data]]=""),"",SUM(OrganisationalWasteTable[[#This Row],[Direct]:[Indirect WTT]]))</f>
        <v/>
      </c>
      <c r="M18" s="103"/>
      <c r="N18" s="101"/>
      <c r="O18" s="161" t="str" cm="1">
        <f t="array" ref="O18">IF(OR($B18="",$G18="",$I18=""),"",(INDEX('Emission factors'!$K$3:$V$381,MATCH($B18&amp;$C18,'Emission factors'!$K$3:$K$381&amp;'Emission factors'!$L$3:$L$381,0),MATCH(O$7,'Emission factors'!$K$2:$V$2,0)))*$I18)</f>
        <v/>
      </c>
      <c r="P18" s="161" t="str" cm="1">
        <f t="array" ref="P18">IF(OR($B18="",$G18="",$I18=""),"",(INDEX('Emission factors'!$K$3:$V$381,MATCH($B18&amp;$C18,'Emission factors'!$K$3:$K$381&amp;'Emission factors'!$L$3:$L$381,0),MATCH(P$7,'Emission factors'!$K$2:$V$2,0)))*$I18)</f>
        <v/>
      </c>
      <c r="Q18" s="161" t="str" cm="1">
        <f t="array" ref="Q18">IF(OR($B18="",$G18="",$I18=""),"",(INDEX('Emission factors'!$K$3:$V$381,MATCH($B18&amp;$C18,'Emission factors'!$K$3:$K$381&amp;'Emission factors'!$L$3:$L$381,0),MATCH(Q$7,'Emission factors'!$K$2:$V$2,0)))*$I18)</f>
        <v/>
      </c>
      <c r="R18" s="161" t="str" cm="1">
        <f t="array" ref="R18">IF(OR($B18="",$G18="",$I18=""),"",(INDEX('Emission factors'!$K$3:$V$381,MATCH($B18&amp;$C18,'Emission factors'!$K$3:$K$381&amp;'Emission factors'!$L$3:$L$381,0),MATCH(R$7,'Emission factors'!$K$2:$V$2,0)))*$I18)</f>
        <v/>
      </c>
      <c r="S18" s="161" t="str" cm="1">
        <f t="array" ref="S18">IF(OR($B18="",$G18="",$I18=""),"",(INDEX('Emission factors'!$K$3:$V$381,MATCH($B18&amp;$C18,'Emission factors'!$K$3:$K$381&amp;'Emission factors'!$L$3:$L$381,0),MATCH(S$7,'Emission factors'!$K$2:$V$2,0)))*$I18)</f>
        <v/>
      </c>
      <c r="T18" s="354" t="str">
        <f t="shared" si="0"/>
        <v/>
      </c>
      <c r="U18" s="357" t="str">
        <f>IF(OR(OrganisationalWasteTable[[#This Row],[RSD]]="", OrganisationalWasteTable[[#This Row],[Total emissions]]=""), "", OrganisationalWasteTable[[#This Row],[Total emissions]]*(1-OrganisationalWasteTable[[#This Row],[RSD]]))</f>
        <v/>
      </c>
      <c r="V18" s="356" t="str" cm="1">
        <f t="array" ref="V18">IF(OR($B18="",$G18="",$I18=""),"",(INDEX('Emission factors'!$K$3:$V$381,MATCH($B18&amp;$C18,'Emission factors'!$K$3:$K$381&amp;'Emission factors'!$L$3:$L$381,0),MATCH(V$7,'Emission factors'!$K$2:$V$2,0)))*$I18)</f>
        <v/>
      </c>
      <c r="W18" s="351"/>
      <c r="X18" s="1" cm="1">
        <f t="array" ref="X18">IF(OR(ISERROR(B18:V18)),1,0)</f>
        <v>0</v>
      </c>
      <c r="Y18" s="1">
        <f t="shared" si="1"/>
        <v>0</v>
      </c>
    </row>
    <row r="19" spans="2:25" ht="15" thickBot="1" x14ac:dyDescent="0.4">
      <c r="B19" s="100"/>
      <c r="C19" s="101"/>
      <c r="D19" s="6"/>
      <c r="E19" s="101"/>
      <c r="F19" s="352" t="str">
        <f>IF(E19="","",INDEX(Methodologytier,MATCH(B$50,Lists!$AZ$4:$AZ$32,0),MATCH(E19,Lists!$BA$3:$BC$3,0)))</f>
        <v/>
      </c>
      <c r="G19" s="70"/>
      <c r="H19" s="101"/>
      <c r="I19" s="333" t="str" cm="1">
        <f t="array" ref="I19">IF(OR($B19="",$C19="",H19=""),"",IF(H19=J19,G19,(INDEX('Emission factors'!$K$3:$V$381,MATCH($B19&amp;$C19,'Emission factors'!$K$3:$K$381&amp;'Emission factors'!$L$3:$L$381,0),MATCH($I$7,'Emission factors'!$K$2:$V$2,0)))*G19))</f>
        <v/>
      </c>
      <c r="J19" s="332" t="str" cm="1">
        <f t="array" ref="J19">IF(OR($B19="",$G19="",OrganisationalWasteTable[[#This Row],[Units]]=""),"",INDEX('Emission factors'!$K$3:$V$381,MATCH($B19&amp;$C19,'Emission factors'!$K$3:$K$381&amp;'Emission factors'!$L$3:$L$381,0),MATCH($J$7,'Emission factors'!$K$2:$V$2,0)))</f>
        <v/>
      </c>
      <c r="K19" s="353" t="str" cm="1">
        <f t="array" ref="K19">IF(OR(B19="",C19="",OrganisationalWasteTable[[#This Row],[Data]]=""),"",INDEX('Emission factors'!$K$3:$V$381,MATCH($B19&amp;$C19,'Emission factors'!$K$3:$K$381&amp;'Emission factors'!$L$3:$L$381,0),MATCH($K$7,'Emission factors'!$K$2:$V$2,0)))</f>
        <v/>
      </c>
      <c r="L19" s="333" t="str">
        <f>IF(OR(OrganisationalWasteTable[[#This Row],[Waste type]]="",OrganisationalWasteTable[[#This Row],[Converted data]]=""),"",SUM(OrganisationalWasteTable[[#This Row],[Direct]:[Indirect WTT]]))</f>
        <v/>
      </c>
      <c r="M19" s="103"/>
      <c r="N19" s="101"/>
      <c r="O19" s="161" t="str" cm="1">
        <f t="array" ref="O19">IF(OR($B19="",$G19="",$I19=""),"",(INDEX('Emission factors'!$K$3:$V$381,MATCH($B19&amp;$C19,'Emission factors'!$K$3:$K$381&amp;'Emission factors'!$L$3:$L$381,0),MATCH(O$7,'Emission factors'!$K$2:$V$2,0)))*$I19)</f>
        <v/>
      </c>
      <c r="P19" s="161" t="str" cm="1">
        <f t="array" ref="P19">IF(OR($B19="",$G19="",$I19=""),"",(INDEX('Emission factors'!$K$3:$V$381,MATCH($B19&amp;$C19,'Emission factors'!$K$3:$K$381&amp;'Emission factors'!$L$3:$L$381,0),MATCH(P$7,'Emission factors'!$K$2:$V$2,0)))*$I19)</f>
        <v/>
      </c>
      <c r="Q19" s="161" t="str" cm="1">
        <f t="array" ref="Q19">IF(OR($B19="",$G19="",$I19=""),"",(INDEX('Emission factors'!$K$3:$V$381,MATCH($B19&amp;$C19,'Emission factors'!$K$3:$K$381&amp;'Emission factors'!$L$3:$L$381,0),MATCH(Q$7,'Emission factors'!$K$2:$V$2,0)))*$I19)</f>
        <v/>
      </c>
      <c r="R19" s="161" t="str" cm="1">
        <f t="array" ref="R19">IF(OR($B19="",$G19="",$I19=""),"",(INDEX('Emission factors'!$K$3:$V$381,MATCH($B19&amp;$C19,'Emission factors'!$K$3:$K$381&amp;'Emission factors'!$L$3:$L$381,0),MATCH(R$7,'Emission factors'!$K$2:$V$2,0)))*$I19)</f>
        <v/>
      </c>
      <c r="S19" s="161" t="str" cm="1">
        <f t="array" ref="S19">IF(OR($B19="",$G19="",$I19=""),"",(INDEX('Emission factors'!$K$3:$V$381,MATCH($B19&amp;$C19,'Emission factors'!$K$3:$K$381&amp;'Emission factors'!$L$3:$L$381,0),MATCH(S$7,'Emission factors'!$K$2:$V$2,0)))*$I19)</f>
        <v/>
      </c>
      <c r="T19" s="354" t="str">
        <f t="shared" si="0"/>
        <v/>
      </c>
      <c r="U19" s="357" t="str">
        <f>IF(OR(OrganisationalWasteTable[[#This Row],[RSD]]="", OrganisationalWasteTable[[#This Row],[Total emissions]]=""), "", OrganisationalWasteTable[[#This Row],[Total emissions]]*(1-OrganisationalWasteTable[[#This Row],[RSD]]))</f>
        <v/>
      </c>
      <c r="V19" s="356" t="str" cm="1">
        <f t="array" ref="V19">IF(OR($B19="",$G19="",$I19=""),"",(INDEX('Emission factors'!$K$3:$V$381,MATCH($B19&amp;$C19,'Emission factors'!$K$3:$K$381&amp;'Emission factors'!$L$3:$L$381,0),MATCH(V$7,'Emission factors'!$K$2:$V$2,0)))*$I19)</f>
        <v/>
      </c>
      <c r="W19" s="351"/>
      <c r="X19" s="1" cm="1">
        <f t="array" ref="X19">IF(OR(ISERROR(B19:V19)),1,0)</f>
        <v>0</v>
      </c>
      <c r="Y19" s="1">
        <f t="shared" si="1"/>
        <v>0</v>
      </c>
    </row>
    <row r="20" spans="2:25" ht="15" thickBot="1" x14ac:dyDescent="0.4">
      <c r="B20" s="100"/>
      <c r="C20" s="101"/>
      <c r="D20" s="6"/>
      <c r="E20" s="101"/>
      <c r="F20" s="352" t="str">
        <f>IF(E20="","",INDEX(Methodologytier,MATCH(B$50,Lists!$AZ$4:$AZ$32,0),MATCH(E20,Lists!$BA$3:$BC$3,0)))</f>
        <v/>
      </c>
      <c r="G20" s="70"/>
      <c r="H20" s="101"/>
      <c r="I20" s="333" t="str" cm="1">
        <f t="array" ref="I20">IF(OR($B20="",$C20="",H20=""),"",IF(H20=J20,G20,(INDEX('Emission factors'!$K$3:$V$381,MATCH($B20&amp;$C20,'Emission factors'!$K$3:$K$381&amp;'Emission factors'!$L$3:$L$381,0),MATCH($I$7,'Emission factors'!$K$2:$V$2,0)))*G20))</f>
        <v/>
      </c>
      <c r="J20" s="332" t="str" cm="1">
        <f t="array" ref="J20">IF(OR($B20="",$G20="",OrganisationalWasteTable[[#This Row],[Units]]=""),"",INDEX('Emission factors'!$K$3:$V$381,MATCH($B20&amp;$C20,'Emission factors'!$K$3:$K$381&amp;'Emission factors'!$L$3:$L$381,0),MATCH($J$7,'Emission factors'!$K$2:$V$2,0)))</f>
        <v/>
      </c>
      <c r="K20" s="353" t="str" cm="1">
        <f t="array" ref="K20">IF(OR(B20="",C20="",OrganisationalWasteTable[[#This Row],[Data]]=""),"",INDEX('Emission factors'!$K$3:$V$381,MATCH($B20&amp;$C20,'Emission factors'!$K$3:$K$381&amp;'Emission factors'!$L$3:$L$381,0),MATCH($K$7,'Emission factors'!$K$2:$V$2,0)))</f>
        <v/>
      </c>
      <c r="L20" s="333" t="str">
        <f>IF(OR(OrganisationalWasteTable[[#This Row],[Waste type]]="",OrganisationalWasteTable[[#This Row],[Converted data]]=""),"",SUM(OrganisationalWasteTable[[#This Row],[Direct]:[Indirect WTT]]))</f>
        <v/>
      </c>
      <c r="M20" s="103"/>
      <c r="N20" s="101"/>
      <c r="O20" s="161" t="str" cm="1">
        <f t="array" ref="O20">IF(OR($B20="",$G20="",$I20=""),"",(INDEX('Emission factors'!$K$3:$V$381,MATCH($B20&amp;$C20,'Emission factors'!$K$3:$K$381&amp;'Emission factors'!$L$3:$L$381,0),MATCH(O$7,'Emission factors'!$K$2:$V$2,0)))*$I20)</f>
        <v/>
      </c>
      <c r="P20" s="161" t="str" cm="1">
        <f t="array" ref="P20">IF(OR($B20="",$G20="",$I20=""),"",(INDEX('Emission factors'!$K$3:$V$381,MATCH($B20&amp;$C20,'Emission factors'!$K$3:$K$381&amp;'Emission factors'!$L$3:$L$381,0),MATCH(P$7,'Emission factors'!$K$2:$V$2,0)))*$I20)</f>
        <v/>
      </c>
      <c r="Q20" s="161" t="str" cm="1">
        <f t="array" ref="Q20">IF(OR($B20="",$G20="",$I20=""),"",(INDEX('Emission factors'!$K$3:$V$381,MATCH($B20&amp;$C20,'Emission factors'!$K$3:$K$381&amp;'Emission factors'!$L$3:$L$381,0),MATCH(Q$7,'Emission factors'!$K$2:$V$2,0)))*$I20)</f>
        <v/>
      </c>
      <c r="R20" s="161" t="str" cm="1">
        <f t="array" ref="R20">IF(OR($B20="",$G20="",$I20=""),"",(INDEX('Emission factors'!$K$3:$V$381,MATCH($B20&amp;$C20,'Emission factors'!$K$3:$K$381&amp;'Emission factors'!$L$3:$L$381,0),MATCH(R$7,'Emission factors'!$K$2:$V$2,0)))*$I20)</f>
        <v/>
      </c>
      <c r="S20" s="161" t="str" cm="1">
        <f t="array" ref="S20">IF(OR($B20="",$G20="",$I20=""),"",(INDEX('Emission factors'!$K$3:$V$381,MATCH($B20&amp;$C20,'Emission factors'!$K$3:$K$381&amp;'Emission factors'!$L$3:$L$381,0),MATCH(S$7,'Emission factors'!$K$2:$V$2,0)))*$I20)</f>
        <v/>
      </c>
      <c r="T20" s="354" t="str">
        <f t="shared" si="0"/>
        <v/>
      </c>
      <c r="U20" s="357" t="str">
        <f>IF(OR(OrganisationalWasteTable[[#This Row],[RSD]]="", OrganisationalWasteTable[[#This Row],[Total emissions]]=""), "", OrganisationalWasteTable[[#This Row],[Total emissions]]*(1-OrganisationalWasteTable[[#This Row],[RSD]]))</f>
        <v/>
      </c>
      <c r="V20" s="356" t="str" cm="1">
        <f t="array" ref="V20">IF(OR($B20="",$G20="",$I20=""),"",(INDEX('Emission factors'!$K$3:$V$381,MATCH($B20&amp;$C20,'Emission factors'!$K$3:$K$381&amp;'Emission factors'!$L$3:$L$381,0),MATCH(V$7,'Emission factors'!$K$2:$V$2,0)))*$I20)</f>
        <v/>
      </c>
      <c r="W20" s="351"/>
      <c r="X20" s="1" cm="1">
        <f t="array" ref="X20">IF(OR(ISERROR(B20:V20)),1,0)</f>
        <v>0</v>
      </c>
      <c r="Y20" s="1">
        <f t="shared" si="1"/>
        <v>0</v>
      </c>
    </row>
    <row r="21" spans="2:25" ht="15" thickBot="1" x14ac:dyDescent="0.4">
      <c r="B21" s="100"/>
      <c r="C21" s="101"/>
      <c r="D21" s="6"/>
      <c r="E21" s="101"/>
      <c r="F21" s="352" t="str">
        <f>IF(E21="","",INDEX(Methodologytier,MATCH(B$50,Lists!$AZ$4:$AZ$32,0),MATCH(E21,Lists!$BA$3:$BC$3,0)))</f>
        <v/>
      </c>
      <c r="G21" s="70"/>
      <c r="H21" s="101"/>
      <c r="I21" s="333" t="str" cm="1">
        <f t="array" ref="I21">IF(OR($B21="",$C21="",H21=""),"",IF(H21=J21,G21,(INDEX('Emission factors'!$K$3:$V$381,MATCH($B21&amp;$C21,'Emission factors'!$K$3:$K$381&amp;'Emission factors'!$L$3:$L$381,0),MATCH($I$7,'Emission factors'!$K$2:$V$2,0)))*G21))</f>
        <v/>
      </c>
      <c r="J21" s="332" t="str" cm="1">
        <f t="array" ref="J21">IF(OR($B21="",$G21="",OrganisationalWasteTable[[#This Row],[Units]]=""),"",INDEX('Emission factors'!$K$3:$V$381,MATCH($B21&amp;$C21,'Emission factors'!$K$3:$K$381&amp;'Emission factors'!$L$3:$L$381,0),MATCH($J$7,'Emission factors'!$K$2:$V$2,0)))</f>
        <v/>
      </c>
      <c r="K21" s="353" t="str" cm="1">
        <f t="array" ref="K21">IF(OR(B21="",C21="",OrganisationalWasteTable[[#This Row],[Data]]=""),"",INDEX('Emission factors'!$K$3:$V$381,MATCH($B21&amp;$C21,'Emission factors'!$K$3:$K$381&amp;'Emission factors'!$L$3:$L$381,0),MATCH($K$7,'Emission factors'!$K$2:$V$2,0)))</f>
        <v/>
      </c>
      <c r="L21" s="333" t="str">
        <f>IF(OR(OrganisationalWasteTable[[#This Row],[Waste type]]="",OrganisationalWasteTable[[#This Row],[Converted data]]=""),"",SUM(OrganisationalWasteTable[[#This Row],[Direct]:[Indirect WTT]]))</f>
        <v/>
      </c>
      <c r="M21" s="103"/>
      <c r="N21" s="101"/>
      <c r="O21" s="161" t="str" cm="1">
        <f t="array" ref="O21">IF(OR($B21="",$G21="",$I21=""),"",(INDEX('Emission factors'!$K$3:$V$381,MATCH($B21&amp;$C21,'Emission factors'!$K$3:$K$381&amp;'Emission factors'!$L$3:$L$381,0),MATCH(O$7,'Emission factors'!$K$2:$V$2,0)))*$I21)</f>
        <v/>
      </c>
      <c r="P21" s="161" t="str" cm="1">
        <f t="array" ref="P21">IF(OR($B21="",$G21="",$I21=""),"",(INDEX('Emission factors'!$K$3:$V$381,MATCH($B21&amp;$C21,'Emission factors'!$K$3:$K$381&amp;'Emission factors'!$L$3:$L$381,0),MATCH(P$7,'Emission factors'!$K$2:$V$2,0)))*$I21)</f>
        <v/>
      </c>
      <c r="Q21" s="161" t="str" cm="1">
        <f t="array" ref="Q21">IF(OR($B21="",$G21="",$I21=""),"",(INDEX('Emission factors'!$K$3:$V$381,MATCH($B21&amp;$C21,'Emission factors'!$K$3:$K$381&amp;'Emission factors'!$L$3:$L$381,0),MATCH(Q$7,'Emission factors'!$K$2:$V$2,0)))*$I21)</f>
        <v/>
      </c>
      <c r="R21" s="161" t="str" cm="1">
        <f t="array" ref="R21">IF(OR($B21="",$G21="",$I21=""),"",(INDEX('Emission factors'!$K$3:$V$381,MATCH($B21&amp;$C21,'Emission factors'!$K$3:$K$381&amp;'Emission factors'!$L$3:$L$381,0),MATCH(R$7,'Emission factors'!$K$2:$V$2,0)))*$I21)</f>
        <v/>
      </c>
      <c r="S21" s="161" t="str" cm="1">
        <f t="array" ref="S21">IF(OR($B21="",$G21="",$I21=""),"",(INDEX('Emission factors'!$K$3:$V$381,MATCH($B21&amp;$C21,'Emission factors'!$K$3:$K$381&amp;'Emission factors'!$L$3:$L$381,0),MATCH(S$7,'Emission factors'!$K$2:$V$2,0)))*$I21)</f>
        <v/>
      </c>
      <c r="T21" s="354" t="str">
        <f t="shared" si="0"/>
        <v/>
      </c>
      <c r="U21" s="357" t="str">
        <f>IF(OR(OrganisationalWasteTable[[#This Row],[RSD]]="", OrganisationalWasteTable[[#This Row],[Total emissions]]=""), "", OrganisationalWasteTable[[#This Row],[Total emissions]]*(1-OrganisationalWasteTable[[#This Row],[RSD]]))</f>
        <v/>
      </c>
      <c r="V21" s="356" t="str" cm="1">
        <f t="array" ref="V21">IF(OR($B21="",$G21="",$I21=""),"",(INDEX('Emission factors'!$K$3:$V$381,MATCH($B21&amp;$C21,'Emission factors'!$K$3:$K$381&amp;'Emission factors'!$L$3:$L$381,0),MATCH(V$7,'Emission factors'!$K$2:$V$2,0)))*$I21)</f>
        <v/>
      </c>
      <c r="W21" s="351"/>
      <c r="X21" s="1" cm="1">
        <f t="array" ref="X21">IF(OR(ISERROR(B21:V21)),1,0)</f>
        <v>0</v>
      </c>
      <c r="Y21" s="1">
        <f t="shared" si="1"/>
        <v>0</v>
      </c>
    </row>
    <row r="22" spans="2:25" ht="15" thickBot="1" x14ac:dyDescent="0.4">
      <c r="B22" s="100"/>
      <c r="C22" s="101"/>
      <c r="D22" s="6"/>
      <c r="E22" s="101"/>
      <c r="F22" s="352" t="str">
        <f>IF(E22="","",INDEX(Methodologytier,MATCH(B$50,Lists!$AZ$4:$AZ$32,0),MATCH(E22,Lists!$BA$3:$BC$3,0)))</f>
        <v/>
      </c>
      <c r="G22" s="70"/>
      <c r="H22" s="101"/>
      <c r="I22" s="333" t="str" cm="1">
        <f t="array" ref="I22">IF(OR($B22="",$C22="",H22=""),"",IF(H22=J22,G22,(INDEX('Emission factors'!$K$3:$V$381,MATCH($B22&amp;$C22,'Emission factors'!$K$3:$K$381&amp;'Emission factors'!$L$3:$L$381,0),MATCH($I$7,'Emission factors'!$K$2:$V$2,0)))*G22))</f>
        <v/>
      </c>
      <c r="J22" s="332" t="str" cm="1">
        <f t="array" ref="J22">IF(OR($B22="",$G22="",OrganisationalWasteTable[[#This Row],[Units]]=""),"",INDEX('Emission factors'!$K$3:$V$381,MATCH($B22&amp;$C22,'Emission factors'!$K$3:$K$381&amp;'Emission factors'!$L$3:$L$381,0),MATCH($J$7,'Emission factors'!$K$2:$V$2,0)))</f>
        <v/>
      </c>
      <c r="K22" s="353" t="str" cm="1">
        <f t="array" ref="K22">IF(OR(B22="",C22="",OrganisationalWasteTable[[#This Row],[Data]]=""),"",INDEX('Emission factors'!$K$3:$V$381,MATCH($B22&amp;$C22,'Emission factors'!$K$3:$K$381&amp;'Emission factors'!$L$3:$L$381,0),MATCH($K$7,'Emission factors'!$K$2:$V$2,0)))</f>
        <v/>
      </c>
      <c r="L22" s="333" t="str">
        <f>IF(OR(OrganisationalWasteTable[[#This Row],[Waste type]]="",OrganisationalWasteTable[[#This Row],[Converted data]]=""),"",SUM(OrganisationalWasteTable[[#This Row],[Direct]:[Indirect WTT]]))</f>
        <v/>
      </c>
      <c r="M22" s="103"/>
      <c r="N22" s="101"/>
      <c r="O22" s="161" t="str" cm="1">
        <f t="array" ref="O22">IF(OR($B22="",$G22="",$I22=""),"",(INDEX('Emission factors'!$K$3:$V$381,MATCH($B22&amp;$C22,'Emission factors'!$K$3:$K$381&amp;'Emission factors'!$L$3:$L$381,0),MATCH(O$7,'Emission factors'!$K$2:$V$2,0)))*$I22)</f>
        <v/>
      </c>
      <c r="P22" s="161" t="str" cm="1">
        <f t="array" ref="P22">IF(OR($B22="",$G22="",$I22=""),"",(INDEX('Emission factors'!$K$3:$V$381,MATCH($B22&amp;$C22,'Emission factors'!$K$3:$K$381&amp;'Emission factors'!$L$3:$L$381,0),MATCH(P$7,'Emission factors'!$K$2:$V$2,0)))*$I22)</f>
        <v/>
      </c>
      <c r="Q22" s="161" t="str" cm="1">
        <f t="array" ref="Q22">IF(OR($B22="",$G22="",$I22=""),"",(INDEX('Emission factors'!$K$3:$V$381,MATCH($B22&amp;$C22,'Emission factors'!$K$3:$K$381&amp;'Emission factors'!$L$3:$L$381,0),MATCH(Q$7,'Emission factors'!$K$2:$V$2,0)))*$I22)</f>
        <v/>
      </c>
      <c r="R22" s="161" t="str" cm="1">
        <f t="array" ref="R22">IF(OR($B22="",$G22="",$I22=""),"",(INDEX('Emission factors'!$K$3:$V$381,MATCH($B22&amp;$C22,'Emission factors'!$K$3:$K$381&amp;'Emission factors'!$L$3:$L$381,0),MATCH(R$7,'Emission factors'!$K$2:$V$2,0)))*$I22)</f>
        <v/>
      </c>
      <c r="S22" s="161" t="str" cm="1">
        <f t="array" ref="S22">IF(OR($B22="",$G22="",$I22=""),"",(INDEX('Emission factors'!$K$3:$V$381,MATCH($B22&amp;$C22,'Emission factors'!$K$3:$K$381&amp;'Emission factors'!$L$3:$L$381,0),MATCH(S$7,'Emission factors'!$K$2:$V$2,0)))*$I22)</f>
        <v/>
      </c>
      <c r="T22" s="354" t="str">
        <f t="shared" si="0"/>
        <v/>
      </c>
      <c r="U22" s="357" t="str">
        <f>IF(OR(OrganisationalWasteTable[[#This Row],[RSD]]="", OrganisationalWasteTable[[#This Row],[Total emissions]]=""), "", OrganisationalWasteTable[[#This Row],[Total emissions]]*(1-OrganisationalWasteTable[[#This Row],[RSD]]))</f>
        <v/>
      </c>
      <c r="V22" s="356" t="str" cm="1">
        <f t="array" ref="V22">IF(OR($B22="",$G22="",$I22=""),"",(INDEX('Emission factors'!$K$3:$V$381,MATCH($B22&amp;$C22,'Emission factors'!$K$3:$K$381&amp;'Emission factors'!$L$3:$L$381,0),MATCH(V$7,'Emission factors'!$K$2:$V$2,0)))*$I22)</f>
        <v/>
      </c>
      <c r="W22" s="351"/>
      <c r="X22" s="1" cm="1">
        <f t="array" ref="X22">IF(OR(ISERROR(B22:V22)),1,0)</f>
        <v>0</v>
      </c>
      <c r="Y22" s="1">
        <f t="shared" si="1"/>
        <v>0</v>
      </c>
    </row>
    <row r="23" spans="2:25" ht="15" thickBot="1" x14ac:dyDescent="0.4">
      <c r="B23" s="100"/>
      <c r="C23" s="101"/>
      <c r="D23" s="6"/>
      <c r="E23" s="101"/>
      <c r="F23" s="352" t="str">
        <f>IF(E23="","",INDEX(Methodologytier,MATCH(B$50,Lists!$AZ$4:$AZ$32,0),MATCH(E23,Lists!$BA$3:$BC$3,0)))</f>
        <v/>
      </c>
      <c r="G23" s="70"/>
      <c r="H23" s="101"/>
      <c r="I23" s="333" t="str" cm="1">
        <f t="array" ref="I23">IF(OR($B23="",$C23="",H23=""),"",IF(H23=J23,G23,(INDEX('Emission factors'!$K$3:$V$381,MATCH($B23&amp;$C23,'Emission factors'!$K$3:$K$381&amp;'Emission factors'!$L$3:$L$381,0),MATCH($I$7,'Emission factors'!$K$2:$V$2,0)))*G23))</f>
        <v/>
      </c>
      <c r="J23" s="332" t="str" cm="1">
        <f t="array" ref="J23">IF(OR($B23="",$G23="",OrganisationalWasteTable[[#This Row],[Units]]=""),"",INDEX('Emission factors'!$K$3:$V$381,MATCH($B23&amp;$C23,'Emission factors'!$K$3:$K$381&amp;'Emission factors'!$L$3:$L$381,0),MATCH($J$7,'Emission factors'!$K$2:$V$2,0)))</f>
        <v/>
      </c>
      <c r="K23" s="353" t="str" cm="1">
        <f t="array" ref="K23">IF(OR(B23="",C23="",OrganisationalWasteTable[[#This Row],[Data]]=""),"",INDEX('Emission factors'!$K$3:$V$381,MATCH($B23&amp;$C23,'Emission factors'!$K$3:$K$381&amp;'Emission factors'!$L$3:$L$381,0),MATCH($K$7,'Emission factors'!$K$2:$V$2,0)))</f>
        <v/>
      </c>
      <c r="L23" s="333" t="str">
        <f>IF(OR(OrganisationalWasteTable[[#This Row],[Waste type]]="",OrganisationalWasteTable[[#This Row],[Converted data]]=""),"",SUM(OrganisationalWasteTable[[#This Row],[Direct]:[Indirect WTT]]))</f>
        <v/>
      </c>
      <c r="M23" s="103"/>
      <c r="N23" s="101"/>
      <c r="O23" s="161" t="str" cm="1">
        <f t="array" ref="O23">IF(OR($B23="",$G23="",$I23=""),"",(INDEX('Emission factors'!$K$3:$V$381,MATCH($B23&amp;$C23,'Emission factors'!$K$3:$K$381&amp;'Emission factors'!$L$3:$L$381,0),MATCH(O$7,'Emission factors'!$K$2:$V$2,0)))*$I23)</f>
        <v/>
      </c>
      <c r="P23" s="161" t="str" cm="1">
        <f t="array" ref="P23">IF(OR($B23="",$G23="",$I23=""),"",(INDEX('Emission factors'!$K$3:$V$381,MATCH($B23&amp;$C23,'Emission factors'!$K$3:$K$381&amp;'Emission factors'!$L$3:$L$381,0),MATCH(P$7,'Emission factors'!$K$2:$V$2,0)))*$I23)</f>
        <v/>
      </c>
      <c r="Q23" s="161" t="str" cm="1">
        <f t="array" ref="Q23">IF(OR($B23="",$G23="",$I23=""),"",(INDEX('Emission factors'!$K$3:$V$381,MATCH($B23&amp;$C23,'Emission factors'!$K$3:$K$381&amp;'Emission factors'!$L$3:$L$381,0),MATCH(Q$7,'Emission factors'!$K$2:$V$2,0)))*$I23)</f>
        <v/>
      </c>
      <c r="R23" s="161" t="str" cm="1">
        <f t="array" ref="R23">IF(OR($B23="",$G23="",$I23=""),"",(INDEX('Emission factors'!$K$3:$V$381,MATCH($B23&amp;$C23,'Emission factors'!$K$3:$K$381&amp;'Emission factors'!$L$3:$L$381,0),MATCH(R$7,'Emission factors'!$K$2:$V$2,0)))*$I23)</f>
        <v/>
      </c>
      <c r="S23" s="161" t="str" cm="1">
        <f t="array" ref="S23">IF(OR($B23="",$G23="",$I23=""),"",(INDEX('Emission factors'!$K$3:$V$381,MATCH($B23&amp;$C23,'Emission factors'!$K$3:$K$381&amp;'Emission factors'!$L$3:$L$381,0),MATCH(S$7,'Emission factors'!$K$2:$V$2,0)))*$I23)</f>
        <v/>
      </c>
      <c r="T23" s="354" t="str">
        <f t="shared" si="0"/>
        <v/>
      </c>
      <c r="U23" s="357" t="str">
        <f>IF(OR(OrganisationalWasteTable[[#This Row],[RSD]]="", OrganisationalWasteTable[[#This Row],[Total emissions]]=""), "", OrganisationalWasteTable[[#This Row],[Total emissions]]*(1-OrganisationalWasteTable[[#This Row],[RSD]]))</f>
        <v/>
      </c>
      <c r="V23" s="356" t="str" cm="1">
        <f t="array" ref="V23">IF(OR($B23="",$G23="",$I23=""),"",(INDEX('Emission factors'!$K$3:$V$381,MATCH($B23&amp;$C23,'Emission factors'!$K$3:$K$381&amp;'Emission factors'!$L$3:$L$381,0),MATCH(V$7,'Emission factors'!$K$2:$V$2,0)))*$I23)</f>
        <v/>
      </c>
      <c r="W23" s="351"/>
      <c r="X23" s="1" cm="1">
        <f t="array" ref="X23">IF(OR(ISERROR(B23:V23)),1,0)</f>
        <v>0</v>
      </c>
      <c r="Y23" s="1">
        <f t="shared" si="1"/>
        <v>0</v>
      </c>
    </row>
    <row r="24" spans="2:25" ht="15" thickBot="1" x14ac:dyDescent="0.4">
      <c r="B24" s="100"/>
      <c r="C24" s="101"/>
      <c r="D24" s="6"/>
      <c r="E24" s="101"/>
      <c r="F24" s="352" t="str">
        <f>IF(E24="","",INDEX(Methodologytier,MATCH(B$50,Lists!$AZ$4:$AZ$32,0),MATCH(E24,Lists!$BA$3:$BC$3,0)))</f>
        <v/>
      </c>
      <c r="G24" s="70"/>
      <c r="H24" s="101"/>
      <c r="I24" s="333" t="str" cm="1">
        <f t="array" ref="I24">IF(OR($B24="",$C24="",H24=""),"",IF(H24=J24,G24,(INDEX('Emission factors'!$K$3:$V$381,MATCH($B24&amp;$C24,'Emission factors'!$K$3:$K$381&amp;'Emission factors'!$L$3:$L$381,0),MATCH($I$7,'Emission factors'!$K$2:$V$2,0)))*G24))</f>
        <v/>
      </c>
      <c r="J24" s="332" t="str" cm="1">
        <f t="array" ref="J24">IF(OR($B24="",$G24="",OrganisationalWasteTable[[#This Row],[Units]]=""),"",INDEX('Emission factors'!$K$3:$V$381,MATCH($B24&amp;$C24,'Emission factors'!$K$3:$K$381&amp;'Emission factors'!$L$3:$L$381,0),MATCH($J$7,'Emission factors'!$K$2:$V$2,0)))</f>
        <v/>
      </c>
      <c r="K24" s="353" t="str" cm="1">
        <f t="array" ref="K24">IF(OR(B24="",C24="",OrganisationalWasteTable[[#This Row],[Data]]=""),"",INDEX('Emission factors'!$K$3:$V$381,MATCH($B24&amp;$C24,'Emission factors'!$K$3:$K$381&amp;'Emission factors'!$L$3:$L$381,0),MATCH($K$7,'Emission factors'!$K$2:$V$2,0)))</f>
        <v/>
      </c>
      <c r="L24" s="333" t="str">
        <f>IF(OR(OrganisationalWasteTable[[#This Row],[Waste type]]="",OrganisationalWasteTable[[#This Row],[Converted data]]=""),"",SUM(OrganisationalWasteTable[[#This Row],[Direct]:[Indirect WTT]]))</f>
        <v/>
      </c>
      <c r="M24" s="103"/>
      <c r="N24" s="101"/>
      <c r="O24" s="161" t="str" cm="1">
        <f t="array" ref="O24">IF(OR($B24="",$G24="",$I24=""),"",(INDEX('Emission factors'!$K$3:$V$381,MATCH($B24&amp;$C24,'Emission factors'!$K$3:$K$381&amp;'Emission factors'!$L$3:$L$381,0),MATCH(O$7,'Emission factors'!$K$2:$V$2,0)))*$I24)</f>
        <v/>
      </c>
      <c r="P24" s="161" t="str" cm="1">
        <f t="array" ref="P24">IF(OR($B24="",$G24="",$I24=""),"",(INDEX('Emission factors'!$K$3:$V$381,MATCH($B24&amp;$C24,'Emission factors'!$K$3:$K$381&amp;'Emission factors'!$L$3:$L$381,0),MATCH(P$7,'Emission factors'!$K$2:$V$2,0)))*$I24)</f>
        <v/>
      </c>
      <c r="Q24" s="161" t="str" cm="1">
        <f t="array" ref="Q24">IF(OR($B24="",$G24="",$I24=""),"",(INDEX('Emission factors'!$K$3:$V$381,MATCH($B24&amp;$C24,'Emission factors'!$K$3:$K$381&amp;'Emission factors'!$L$3:$L$381,0),MATCH(Q$7,'Emission factors'!$K$2:$V$2,0)))*$I24)</f>
        <v/>
      </c>
      <c r="R24" s="161" t="str" cm="1">
        <f t="array" ref="R24">IF(OR($B24="",$G24="",$I24=""),"",(INDEX('Emission factors'!$K$3:$V$381,MATCH($B24&amp;$C24,'Emission factors'!$K$3:$K$381&amp;'Emission factors'!$L$3:$L$381,0),MATCH(R$7,'Emission factors'!$K$2:$V$2,0)))*$I24)</f>
        <v/>
      </c>
      <c r="S24" s="161" t="str" cm="1">
        <f t="array" ref="S24">IF(OR($B24="",$G24="",$I24=""),"",(INDEX('Emission factors'!$K$3:$V$381,MATCH($B24&amp;$C24,'Emission factors'!$K$3:$K$381&amp;'Emission factors'!$L$3:$L$381,0),MATCH(S$7,'Emission factors'!$K$2:$V$2,0)))*$I24)</f>
        <v/>
      </c>
      <c r="T24" s="354" t="str">
        <f t="shared" si="0"/>
        <v/>
      </c>
      <c r="U24" s="357" t="str">
        <f>IF(OR(OrganisationalWasteTable[[#This Row],[RSD]]="", OrganisationalWasteTable[[#This Row],[Total emissions]]=""), "", OrganisationalWasteTable[[#This Row],[Total emissions]]*(1-OrganisationalWasteTable[[#This Row],[RSD]]))</f>
        <v/>
      </c>
      <c r="V24" s="356" t="str" cm="1">
        <f t="array" ref="V24">IF(OR($B24="",$G24="",$I24=""),"",(INDEX('Emission factors'!$K$3:$V$381,MATCH($B24&amp;$C24,'Emission factors'!$K$3:$K$381&amp;'Emission factors'!$L$3:$L$381,0),MATCH(V$7,'Emission factors'!$K$2:$V$2,0)))*$I24)</f>
        <v/>
      </c>
      <c r="W24" s="351"/>
      <c r="X24" s="1" cm="1">
        <f t="array" ref="X24">IF(OR(ISERROR(B24:V24)),1,0)</f>
        <v>0</v>
      </c>
      <c r="Y24" s="1">
        <f t="shared" si="1"/>
        <v>0</v>
      </c>
    </row>
    <row r="25" spans="2:25" ht="15" thickBot="1" x14ac:dyDescent="0.4">
      <c r="B25" s="100"/>
      <c r="C25" s="101"/>
      <c r="D25" s="6"/>
      <c r="E25" s="101"/>
      <c r="F25" s="352" t="str">
        <f>IF(E25="","",INDEX(Methodologytier,MATCH(B$50,Lists!$AZ$4:$AZ$32,0),MATCH(E25,Lists!$BA$3:$BC$3,0)))</f>
        <v/>
      </c>
      <c r="G25" s="70"/>
      <c r="H25" s="101"/>
      <c r="I25" s="333" t="str" cm="1">
        <f t="array" ref="I25">IF(OR($B25="",$C25="",H25=""),"",IF(H25=J25,G25,(INDEX('Emission factors'!$K$3:$V$381,MATCH($B25&amp;$C25,'Emission factors'!$K$3:$K$381&amp;'Emission factors'!$L$3:$L$381,0),MATCH($I$7,'Emission factors'!$K$2:$V$2,0)))*G25))</f>
        <v/>
      </c>
      <c r="J25" s="332" t="str" cm="1">
        <f t="array" ref="J25">IF(OR($B25="",$G25="",OrganisationalWasteTable[[#This Row],[Units]]=""),"",INDEX('Emission factors'!$K$3:$V$381,MATCH($B25&amp;$C25,'Emission factors'!$K$3:$K$381&amp;'Emission factors'!$L$3:$L$381,0),MATCH($J$7,'Emission factors'!$K$2:$V$2,0)))</f>
        <v/>
      </c>
      <c r="K25" s="353" t="str" cm="1">
        <f t="array" ref="K25">IF(OR(B25="",C25="",OrganisationalWasteTable[[#This Row],[Data]]=""),"",INDEX('Emission factors'!$K$3:$V$381,MATCH($B25&amp;$C25,'Emission factors'!$K$3:$K$381&amp;'Emission factors'!$L$3:$L$381,0),MATCH($K$7,'Emission factors'!$K$2:$V$2,0)))</f>
        <v/>
      </c>
      <c r="L25" s="333" t="str">
        <f>IF(OR(OrganisationalWasteTable[[#This Row],[Waste type]]="",OrganisationalWasteTable[[#This Row],[Converted data]]=""),"",SUM(OrganisationalWasteTable[[#This Row],[Direct]:[Indirect WTT]]))</f>
        <v/>
      </c>
      <c r="M25" s="103"/>
      <c r="N25" s="101"/>
      <c r="O25" s="161" t="str" cm="1">
        <f t="array" ref="O25">IF(OR($B25="",$G25="",$I25=""),"",(INDEX('Emission factors'!$K$3:$V$381,MATCH($B25&amp;$C25,'Emission factors'!$K$3:$K$381&amp;'Emission factors'!$L$3:$L$381,0),MATCH(O$7,'Emission factors'!$K$2:$V$2,0)))*$I25)</f>
        <v/>
      </c>
      <c r="P25" s="161" t="str" cm="1">
        <f t="array" ref="P25">IF(OR($B25="",$G25="",$I25=""),"",(INDEX('Emission factors'!$K$3:$V$381,MATCH($B25&amp;$C25,'Emission factors'!$K$3:$K$381&amp;'Emission factors'!$L$3:$L$381,0),MATCH(P$7,'Emission factors'!$K$2:$V$2,0)))*$I25)</f>
        <v/>
      </c>
      <c r="Q25" s="161" t="str" cm="1">
        <f t="array" ref="Q25">IF(OR($B25="",$G25="",$I25=""),"",(INDEX('Emission factors'!$K$3:$V$381,MATCH($B25&amp;$C25,'Emission factors'!$K$3:$K$381&amp;'Emission factors'!$L$3:$L$381,0),MATCH(Q$7,'Emission factors'!$K$2:$V$2,0)))*$I25)</f>
        <v/>
      </c>
      <c r="R25" s="161" t="str" cm="1">
        <f t="array" ref="R25">IF(OR($B25="",$G25="",$I25=""),"",(INDEX('Emission factors'!$K$3:$V$381,MATCH($B25&amp;$C25,'Emission factors'!$K$3:$K$381&amp;'Emission factors'!$L$3:$L$381,0),MATCH(R$7,'Emission factors'!$K$2:$V$2,0)))*$I25)</f>
        <v/>
      </c>
      <c r="S25" s="161" t="str" cm="1">
        <f t="array" ref="S25">IF(OR($B25="",$G25="",$I25=""),"",(INDEX('Emission factors'!$K$3:$V$381,MATCH($B25&amp;$C25,'Emission factors'!$K$3:$K$381&amp;'Emission factors'!$L$3:$L$381,0),MATCH(S$7,'Emission factors'!$K$2:$V$2,0)))*$I25)</f>
        <v/>
      </c>
      <c r="T25" s="354" t="str">
        <f t="shared" si="0"/>
        <v/>
      </c>
      <c r="U25" s="357" t="str">
        <f>IF(OR(OrganisationalWasteTable[[#This Row],[RSD]]="", OrganisationalWasteTable[[#This Row],[Total emissions]]=""), "", OrganisationalWasteTable[[#This Row],[Total emissions]]*(1-OrganisationalWasteTable[[#This Row],[RSD]]))</f>
        <v/>
      </c>
      <c r="V25" s="356" t="str" cm="1">
        <f t="array" ref="V25">IF(OR($B25="",$G25="",$I25=""),"",(INDEX('Emission factors'!$K$3:$V$381,MATCH($B25&amp;$C25,'Emission factors'!$K$3:$K$381&amp;'Emission factors'!$L$3:$L$381,0),MATCH(V$7,'Emission factors'!$K$2:$V$2,0)))*$I25)</f>
        <v/>
      </c>
      <c r="W25" s="351"/>
      <c r="X25" s="1" cm="1">
        <f t="array" ref="X25">IF(OR(ISERROR(B25:V25)),1,0)</f>
        <v>0</v>
      </c>
      <c r="Y25" s="1">
        <f t="shared" si="1"/>
        <v>0</v>
      </c>
    </row>
    <row r="26" spans="2:25" ht="15" thickBot="1" x14ac:dyDescent="0.4">
      <c r="B26" s="100"/>
      <c r="C26" s="101"/>
      <c r="D26" s="6"/>
      <c r="E26" s="101"/>
      <c r="F26" s="352" t="str">
        <f>IF(E26="","",INDEX(Methodologytier,MATCH(B$50,Lists!$AZ$4:$AZ$32,0),MATCH(E26,Lists!$BA$3:$BC$3,0)))</f>
        <v/>
      </c>
      <c r="G26" s="70"/>
      <c r="H26" s="101"/>
      <c r="I26" s="333" t="str" cm="1">
        <f t="array" ref="I26">IF(OR($B26="",$C26="",H26=""),"",IF(H26=J26,G26,(INDEX('Emission factors'!$K$3:$V$381,MATCH($B26&amp;$C26,'Emission factors'!$K$3:$K$381&amp;'Emission factors'!$L$3:$L$381,0),MATCH($I$7,'Emission factors'!$K$2:$V$2,0)))*G26))</f>
        <v/>
      </c>
      <c r="J26" s="332" t="str" cm="1">
        <f t="array" ref="J26">IF(OR($B26="",$G26="",OrganisationalWasteTable[[#This Row],[Units]]=""),"",INDEX('Emission factors'!$K$3:$V$381,MATCH($B26&amp;$C26,'Emission factors'!$K$3:$K$381&amp;'Emission factors'!$L$3:$L$381,0),MATCH($J$7,'Emission factors'!$K$2:$V$2,0)))</f>
        <v/>
      </c>
      <c r="K26" s="353" t="str" cm="1">
        <f t="array" ref="K26">IF(OR(B26="",C26="",OrganisationalWasteTable[[#This Row],[Data]]=""),"",INDEX('Emission factors'!$K$3:$V$381,MATCH($B26&amp;$C26,'Emission factors'!$K$3:$K$381&amp;'Emission factors'!$L$3:$L$381,0),MATCH($K$7,'Emission factors'!$K$2:$V$2,0)))</f>
        <v/>
      </c>
      <c r="L26" s="333" t="str">
        <f>IF(OR(OrganisationalWasteTable[[#This Row],[Waste type]]="",OrganisationalWasteTable[[#This Row],[Converted data]]=""),"",SUM(OrganisationalWasteTable[[#This Row],[Direct]:[Indirect WTT]]))</f>
        <v/>
      </c>
      <c r="M26" s="103"/>
      <c r="N26" s="101"/>
      <c r="O26" s="161" t="str" cm="1">
        <f t="array" ref="O26">IF(OR($B26="",$G26="",$I26=""),"",(INDEX('Emission factors'!$K$3:$V$381,MATCH($B26&amp;$C26,'Emission factors'!$K$3:$K$381&amp;'Emission factors'!$L$3:$L$381,0),MATCH(O$7,'Emission factors'!$K$2:$V$2,0)))*$I26)</f>
        <v/>
      </c>
      <c r="P26" s="161" t="str" cm="1">
        <f t="array" ref="P26">IF(OR($B26="",$G26="",$I26=""),"",(INDEX('Emission factors'!$K$3:$V$381,MATCH($B26&amp;$C26,'Emission factors'!$K$3:$K$381&amp;'Emission factors'!$L$3:$L$381,0),MATCH(P$7,'Emission factors'!$K$2:$V$2,0)))*$I26)</f>
        <v/>
      </c>
      <c r="Q26" s="161" t="str" cm="1">
        <f t="array" ref="Q26">IF(OR($B26="",$G26="",$I26=""),"",(INDEX('Emission factors'!$K$3:$V$381,MATCH($B26&amp;$C26,'Emission factors'!$K$3:$K$381&amp;'Emission factors'!$L$3:$L$381,0),MATCH(Q$7,'Emission factors'!$K$2:$V$2,0)))*$I26)</f>
        <v/>
      </c>
      <c r="R26" s="161" t="str" cm="1">
        <f t="array" ref="R26">IF(OR($B26="",$G26="",$I26=""),"",(INDEX('Emission factors'!$K$3:$V$381,MATCH($B26&amp;$C26,'Emission factors'!$K$3:$K$381&amp;'Emission factors'!$L$3:$L$381,0),MATCH(R$7,'Emission factors'!$K$2:$V$2,0)))*$I26)</f>
        <v/>
      </c>
      <c r="S26" s="161" t="str" cm="1">
        <f t="array" ref="S26">IF(OR($B26="",$G26="",$I26=""),"",(INDEX('Emission factors'!$K$3:$V$381,MATCH($B26&amp;$C26,'Emission factors'!$K$3:$K$381&amp;'Emission factors'!$L$3:$L$381,0),MATCH(S$7,'Emission factors'!$K$2:$V$2,0)))*$I26)</f>
        <v/>
      </c>
      <c r="T26" s="354" t="str">
        <f t="shared" si="0"/>
        <v/>
      </c>
      <c r="U26" s="357" t="str">
        <f>IF(OR(OrganisationalWasteTable[[#This Row],[RSD]]="", OrganisationalWasteTable[[#This Row],[Total emissions]]=""), "", OrganisationalWasteTable[[#This Row],[Total emissions]]*(1-OrganisationalWasteTable[[#This Row],[RSD]]))</f>
        <v/>
      </c>
      <c r="V26" s="356" t="str" cm="1">
        <f t="array" ref="V26">IF(OR($B26="",$G26="",$I26=""),"",(INDEX('Emission factors'!$K$3:$V$381,MATCH($B26&amp;$C26,'Emission factors'!$K$3:$K$381&amp;'Emission factors'!$L$3:$L$381,0),MATCH(V$7,'Emission factors'!$K$2:$V$2,0)))*$I26)</f>
        <v/>
      </c>
      <c r="W26" s="351"/>
      <c r="X26" s="1" cm="1">
        <f t="array" ref="X26">IF(OR(ISERROR(B26:V26)),1,0)</f>
        <v>0</v>
      </c>
      <c r="Y26" s="1">
        <f t="shared" si="1"/>
        <v>0</v>
      </c>
    </row>
    <row r="27" spans="2:25" ht="15" thickBot="1" x14ac:dyDescent="0.4">
      <c r="B27" s="100"/>
      <c r="C27" s="101"/>
      <c r="D27" s="6"/>
      <c r="E27" s="101"/>
      <c r="F27" s="352" t="str">
        <f>IF(E27="","",INDEX(Methodologytier,MATCH(B$50,Lists!$AZ$4:$AZ$32,0),MATCH(E27,Lists!$BA$3:$BC$3,0)))</f>
        <v/>
      </c>
      <c r="G27" s="70"/>
      <c r="H27" s="101"/>
      <c r="I27" s="333" t="str" cm="1">
        <f t="array" ref="I27">IF(OR($B27="",$C27="",H27=""),"",IF(H27=J27,G27,(INDEX('Emission factors'!$K$3:$V$381,MATCH($B27&amp;$C27,'Emission factors'!$K$3:$K$381&amp;'Emission factors'!$L$3:$L$381,0),MATCH($I$7,'Emission factors'!$K$2:$V$2,0)))*G27))</f>
        <v/>
      </c>
      <c r="J27" s="332" t="str" cm="1">
        <f t="array" ref="J27">IF(OR($B27="",$G27="",OrganisationalWasteTable[[#This Row],[Units]]=""),"",INDEX('Emission factors'!$K$3:$V$381,MATCH($B27&amp;$C27,'Emission factors'!$K$3:$K$381&amp;'Emission factors'!$L$3:$L$381,0),MATCH($J$7,'Emission factors'!$K$2:$V$2,0)))</f>
        <v/>
      </c>
      <c r="K27" s="353" t="str" cm="1">
        <f t="array" ref="K27">IF(OR(B27="",C27="",OrganisationalWasteTable[[#This Row],[Data]]=""),"",INDEX('Emission factors'!$K$3:$V$381,MATCH($B27&amp;$C27,'Emission factors'!$K$3:$K$381&amp;'Emission factors'!$L$3:$L$381,0),MATCH($K$7,'Emission factors'!$K$2:$V$2,0)))</f>
        <v/>
      </c>
      <c r="L27" s="333" t="str">
        <f>IF(OR(OrganisationalWasteTable[[#This Row],[Waste type]]="",OrganisationalWasteTable[[#This Row],[Converted data]]=""),"",SUM(OrganisationalWasteTable[[#This Row],[Direct]:[Indirect WTT]]))</f>
        <v/>
      </c>
      <c r="M27" s="103"/>
      <c r="N27" s="101"/>
      <c r="O27" s="161" t="str" cm="1">
        <f t="array" ref="O27">IF(OR($B27="",$G27="",$I27=""),"",(INDEX('Emission factors'!$K$3:$V$381,MATCH($B27&amp;$C27,'Emission factors'!$K$3:$K$381&amp;'Emission factors'!$L$3:$L$381,0),MATCH(O$7,'Emission factors'!$K$2:$V$2,0)))*$I27)</f>
        <v/>
      </c>
      <c r="P27" s="161" t="str" cm="1">
        <f t="array" ref="P27">IF(OR($B27="",$G27="",$I27=""),"",(INDEX('Emission factors'!$K$3:$V$381,MATCH($B27&amp;$C27,'Emission factors'!$K$3:$K$381&amp;'Emission factors'!$L$3:$L$381,0),MATCH(P$7,'Emission factors'!$K$2:$V$2,0)))*$I27)</f>
        <v/>
      </c>
      <c r="Q27" s="161" t="str" cm="1">
        <f t="array" ref="Q27">IF(OR($B27="",$G27="",$I27=""),"",(INDEX('Emission factors'!$K$3:$V$381,MATCH($B27&amp;$C27,'Emission factors'!$K$3:$K$381&amp;'Emission factors'!$L$3:$L$381,0),MATCH(Q$7,'Emission factors'!$K$2:$V$2,0)))*$I27)</f>
        <v/>
      </c>
      <c r="R27" s="161" t="str" cm="1">
        <f t="array" ref="R27">IF(OR($B27="",$G27="",$I27=""),"",(INDEX('Emission factors'!$K$3:$V$381,MATCH($B27&amp;$C27,'Emission factors'!$K$3:$K$381&amp;'Emission factors'!$L$3:$L$381,0),MATCH(R$7,'Emission factors'!$K$2:$V$2,0)))*$I27)</f>
        <v/>
      </c>
      <c r="S27" s="161" t="str" cm="1">
        <f t="array" ref="S27">IF(OR($B27="",$G27="",$I27=""),"",(INDEX('Emission factors'!$K$3:$V$381,MATCH($B27&amp;$C27,'Emission factors'!$K$3:$K$381&amp;'Emission factors'!$L$3:$L$381,0),MATCH(S$7,'Emission factors'!$K$2:$V$2,0)))*$I27)</f>
        <v/>
      </c>
      <c r="T27" s="354" t="str">
        <f t="shared" si="0"/>
        <v/>
      </c>
      <c r="U27" s="357" t="str">
        <f>IF(OR(OrganisationalWasteTable[[#This Row],[RSD]]="", OrganisationalWasteTable[[#This Row],[Total emissions]]=""), "", OrganisationalWasteTable[[#This Row],[Total emissions]]*(1-OrganisationalWasteTable[[#This Row],[RSD]]))</f>
        <v/>
      </c>
      <c r="V27" s="356" t="str" cm="1">
        <f t="array" ref="V27">IF(OR($B27="",$G27="",$I27=""),"",(INDEX('Emission factors'!$K$3:$V$381,MATCH($B27&amp;$C27,'Emission factors'!$K$3:$K$381&amp;'Emission factors'!$L$3:$L$381,0),MATCH(V$7,'Emission factors'!$K$2:$V$2,0)))*$I27)</f>
        <v/>
      </c>
      <c r="W27" s="351"/>
      <c r="X27" s="1" cm="1">
        <f t="array" ref="X27">IF(OR(ISERROR(B27:V27)),1,0)</f>
        <v>0</v>
      </c>
      <c r="Y27" s="1">
        <f t="shared" si="1"/>
        <v>0</v>
      </c>
    </row>
    <row r="28" spans="2:25" ht="15" thickBot="1" x14ac:dyDescent="0.4">
      <c r="B28" s="100"/>
      <c r="C28" s="101"/>
      <c r="D28" s="6"/>
      <c r="E28" s="101"/>
      <c r="F28" s="352" t="str">
        <f>IF(E28="","",INDEX(Methodologytier,MATCH(B$50,Lists!$AZ$4:$AZ$32,0),MATCH(E28,Lists!$BA$3:$BC$3,0)))</f>
        <v/>
      </c>
      <c r="G28" s="70"/>
      <c r="H28" s="101"/>
      <c r="I28" s="333" t="str" cm="1">
        <f t="array" ref="I28">IF(OR($B28="",$C28="",H28=""),"",IF(H28=J28,G28,(INDEX('Emission factors'!$K$3:$V$381,MATCH($B28&amp;$C28,'Emission factors'!$K$3:$K$381&amp;'Emission factors'!$L$3:$L$381,0),MATCH($I$7,'Emission factors'!$K$2:$V$2,0)))*G28))</f>
        <v/>
      </c>
      <c r="J28" s="332" t="str" cm="1">
        <f t="array" ref="J28">IF(OR($B28="",$G28="",OrganisationalWasteTable[[#This Row],[Units]]=""),"",INDEX('Emission factors'!$K$3:$V$381,MATCH($B28&amp;$C28,'Emission factors'!$K$3:$K$381&amp;'Emission factors'!$L$3:$L$381,0),MATCH($J$7,'Emission factors'!$K$2:$V$2,0)))</f>
        <v/>
      </c>
      <c r="K28" s="353" t="str" cm="1">
        <f t="array" ref="K28">IF(OR(B28="",C28="",OrganisationalWasteTable[[#This Row],[Data]]=""),"",INDEX('Emission factors'!$K$3:$V$381,MATCH($B28&amp;$C28,'Emission factors'!$K$3:$K$381&amp;'Emission factors'!$L$3:$L$381,0),MATCH($K$7,'Emission factors'!$K$2:$V$2,0)))</f>
        <v/>
      </c>
      <c r="L28" s="333" t="str">
        <f>IF(OR(OrganisationalWasteTable[[#This Row],[Waste type]]="",OrganisationalWasteTable[[#This Row],[Converted data]]=""),"",SUM(OrganisationalWasteTable[[#This Row],[Direct]:[Indirect WTT]]))</f>
        <v/>
      </c>
      <c r="M28" s="103"/>
      <c r="N28" s="101"/>
      <c r="O28" s="161" t="str" cm="1">
        <f t="array" ref="O28">IF(OR($B28="",$G28="",$I28=""),"",(INDEX('Emission factors'!$K$3:$V$381,MATCH($B28&amp;$C28,'Emission factors'!$K$3:$K$381&amp;'Emission factors'!$L$3:$L$381,0),MATCH(O$7,'Emission factors'!$K$2:$V$2,0)))*$I28)</f>
        <v/>
      </c>
      <c r="P28" s="161" t="str" cm="1">
        <f t="array" ref="P28">IF(OR($B28="",$G28="",$I28=""),"",(INDEX('Emission factors'!$K$3:$V$381,MATCH($B28&amp;$C28,'Emission factors'!$K$3:$K$381&amp;'Emission factors'!$L$3:$L$381,0),MATCH(P$7,'Emission factors'!$K$2:$V$2,0)))*$I28)</f>
        <v/>
      </c>
      <c r="Q28" s="161" t="str" cm="1">
        <f t="array" ref="Q28">IF(OR($B28="",$G28="",$I28=""),"",(INDEX('Emission factors'!$K$3:$V$381,MATCH($B28&amp;$C28,'Emission factors'!$K$3:$K$381&amp;'Emission factors'!$L$3:$L$381,0),MATCH(Q$7,'Emission factors'!$K$2:$V$2,0)))*$I28)</f>
        <v/>
      </c>
      <c r="R28" s="161" t="str" cm="1">
        <f t="array" ref="R28">IF(OR($B28="",$G28="",$I28=""),"",(INDEX('Emission factors'!$K$3:$V$381,MATCH($B28&amp;$C28,'Emission factors'!$K$3:$K$381&amp;'Emission factors'!$L$3:$L$381,0),MATCH(R$7,'Emission factors'!$K$2:$V$2,0)))*$I28)</f>
        <v/>
      </c>
      <c r="S28" s="161" t="str" cm="1">
        <f t="array" ref="S28">IF(OR($B28="",$G28="",$I28=""),"",(INDEX('Emission factors'!$K$3:$V$381,MATCH($B28&amp;$C28,'Emission factors'!$K$3:$K$381&amp;'Emission factors'!$L$3:$L$381,0),MATCH(S$7,'Emission factors'!$K$2:$V$2,0)))*$I28)</f>
        <v/>
      </c>
      <c r="T28" s="354" t="str">
        <f t="shared" si="0"/>
        <v/>
      </c>
      <c r="U28" s="357" t="str">
        <f>IF(OR(OrganisationalWasteTable[[#This Row],[RSD]]="", OrganisationalWasteTable[[#This Row],[Total emissions]]=""), "", OrganisationalWasteTable[[#This Row],[Total emissions]]*(1-OrganisationalWasteTable[[#This Row],[RSD]]))</f>
        <v/>
      </c>
      <c r="V28" s="356" t="str" cm="1">
        <f t="array" ref="V28">IF(OR($B28="",$G28="",$I28=""),"",(INDEX('Emission factors'!$K$3:$V$381,MATCH($B28&amp;$C28,'Emission factors'!$K$3:$K$381&amp;'Emission factors'!$L$3:$L$381,0),MATCH(V$7,'Emission factors'!$K$2:$V$2,0)))*$I28)</f>
        <v/>
      </c>
      <c r="W28" s="351"/>
      <c r="X28" s="1" cm="1">
        <f t="array" ref="X28">IF(OR(ISERROR(B28:V28)),1,0)</f>
        <v>0</v>
      </c>
      <c r="Y28" s="1">
        <f t="shared" si="1"/>
        <v>0</v>
      </c>
    </row>
    <row r="29" spans="2:25" ht="15" thickBot="1" x14ac:dyDescent="0.4">
      <c r="B29" s="100"/>
      <c r="C29" s="101"/>
      <c r="D29" s="6"/>
      <c r="E29" s="101"/>
      <c r="F29" s="352" t="str">
        <f>IF(E29="","",INDEX(Methodologytier,MATCH(B$50,Lists!$AZ$4:$AZ$32,0),MATCH(E29,Lists!$BA$3:$BC$3,0)))</f>
        <v/>
      </c>
      <c r="G29" s="70"/>
      <c r="H29" s="101"/>
      <c r="I29" s="333" t="str" cm="1">
        <f t="array" ref="I29">IF(OR($B29="",$C29="",H29=""),"",IF(H29=J29,G29,(INDEX('Emission factors'!$K$3:$V$381,MATCH($B29&amp;$C29,'Emission factors'!$K$3:$K$381&amp;'Emission factors'!$L$3:$L$381,0),MATCH($I$7,'Emission factors'!$K$2:$V$2,0)))*G29))</f>
        <v/>
      </c>
      <c r="J29" s="332" t="str" cm="1">
        <f t="array" ref="J29">IF(OR($B29="",$G29="",OrganisationalWasteTable[[#This Row],[Units]]=""),"",INDEX('Emission factors'!$K$3:$V$381,MATCH($B29&amp;$C29,'Emission factors'!$K$3:$K$381&amp;'Emission factors'!$L$3:$L$381,0),MATCH($J$7,'Emission factors'!$K$2:$V$2,0)))</f>
        <v/>
      </c>
      <c r="K29" s="353" t="str" cm="1">
        <f t="array" ref="K29">IF(OR(B29="",C29="",OrganisationalWasteTable[[#This Row],[Data]]=""),"",INDEX('Emission factors'!$K$3:$V$381,MATCH($B29&amp;$C29,'Emission factors'!$K$3:$K$381&amp;'Emission factors'!$L$3:$L$381,0),MATCH($K$7,'Emission factors'!$K$2:$V$2,0)))</f>
        <v/>
      </c>
      <c r="L29" s="333" t="str">
        <f>IF(OR(OrganisationalWasteTable[[#This Row],[Waste type]]="",OrganisationalWasteTable[[#This Row],[Converted data]]=""),"",SUM(OrganisationalWasteTable[[#This Row],[Direct]:[Indirect WTT]]))</f>
        <v/>
      </c>
      <c r="M29" s="103"/>
      <c r="N29" s="101"/>
      <c r="O29" s="161" t="str" cm="1">
        <f t="array" ref="O29">IF(OR($B29="",$G29="",$I29=""),"",(INDEX('Emission factors'!$K$3:$V$381,MATCH($B29&amp;$C29,'Emission factors'!$K$3:$K$381&amp;'Emission factors'!$L$3:$L$381,0),MATCH(O$7,'Emission factors'!$K$2:$V$2,0)))*$I29)</f>
        <v/>
      </c>
      <c r="P29" s="161" t="str" cm="1">
        <f t="array" ref="P29">IF(OR($B29="",$G29="",$I29=""),"",(INDEX('Emission factors'!$K$3:$V$381,MATCH($B29&amp;$C29,'Emission factors'!$K$3:$K$381&amp;'Emission factors'!$L$3:$L$381,0),MATCH(P$7,'Emission factors'!$K$2:$V$2,0)))*$I29)</f>
        <v/>
      </c>
      <c r="Q29" s="161" t="str" cm="1">
        <f t="array" ref="Q29">IF(OR($B29="",$G29="",$I29=""),"",(INDEX('Emission factors'!$K$3:$V$381,MATCH($B29&amp;$C29,'Emission factors'!$K$3:$K$381&amp;'Emission factors'!$L$3:$L$381,0),MATCH(Q$7,'Emission factors'!$K$2:$V$2,0)))*$I29)</f>
        <v/>
      </c>
      <c r="R29" s="161" t="str" cm="1">
        <f t="array" ref="R29">IF(OR($B29="",$G29="",$I29=""),"",(INDEX('Emission factors'!$K$3:$V$381,MATCH($B29&amp;$C29,'Emission factors'!$K$3:$K$381&amp;'Emission factors'!$L$3:$L$381,0),MATCH(R$7,'Emission factors'!$K$2:$V$2,0)))*$I29)</f>
        <v/>
      </c>
      <c r="S29" s="161" t="str" cm="1">
        <f t="array" ref="S29">IF(OR($B29="",$G29="",$I29=""),"",(INDEX('Emission factors'!$K$3:$V$381,MATCH($B29&amp;$C29,'Emission factors'!$K$3:$K$381&amp;'Emission factors'!$L$3:$L$381,0),MATCH(S$7,'Emission factors'!$K$2:$V$2,0)))*$I29)</f>
        <v/>
      </c>
      <c r="T29" s="354" t="str">
        <f t="shared" si="0"/>
        <v/>
      </c>
      <c r="U29" s="357" t="str">
        <f>IF(OR(OrganisationalWasteTable[[#This Row],[RSD]]="", OrganisationalWasteTable[[#This Row],[Total emissions]]=""), "", OrganisationalWasteTable[[#This Row],[Total emissions]]*(1-OrganisationalWasteTable[[#This Row],[RSD]]))</f>
        <v/>
      </c>
      <c r="V29" s="356" t="str" cm="1">
        <f t="array" ref="V29">IF(OR($B29="",$G29="",$I29=""),"",(INDEX('Emission factors'!$K$3:$V$381,MATCH($B29&amp;$C29,'Emission factors'!$K$3:$K$381&amp;'Emission factors'!$L$3:$L$381,0),MATCH(V$7,'Emission factors'!$K$2:$V$2,0)))*$I29)</f>
        <v/>
      </c>
      <c r="W29" s="351"/>
      <c r="X29" s="1" cm="1">
        <f t="array" ref="X29">IF(OR(ISERROR(B29:V29)),1,0)</f>
        <v>0</v>
      </c>
      <c r="Y29" s="1">
        <f t="shared" si="1"/>
        <v>0</v>
      </c>
    </row>
    <row r="30" spans="2:25" ht="15" thickBot="1" x14ac:dyDescent="0.4">
      <c r="B30" s="100"/>
      <c r="C30" s="101"/>
      <c r="D30" s="6"/>
      <c r="E30" s="101"/>
      <c r="F30" s="352" t="str">
        <f>IF(E30="","",INDEX(Methodologytier,MATCH(B$50,Lists!$AZ$4:$AZ$32,0),MATCH(E30,Lists!$BA$3:$BC$3,0)))</f>
        <v/>
      </c>
      <c r="G30" s="70"/>
      <c r="H30" s="101"/>
      <c r="I30" s="333" t="str" cm="1">
        <f t="array" ref="I30">IF(OR($B30="",$C30="",H30=""),"",IF(H30=J30,G30,(INDEX('Emission factors'!$K$3:$V$381,MATCH($B30&amp;$C30,'Emission factors'!$K$3:$K$381&amp;'Emission factors'!$L$3:$L$381,0),MATCH($I$7,'Emission factors'!$K$2:$V$2,0)))*G30))</f>
        <v/>
      </c>
      <c r="J30" s="332" t="str" cm="1">
        <f t="array" ref="J30">IF(OR($B30="",$G30="",OrganisationalWasteTable[[#This Row],[Units]]=""),"",INDEX('Emission factors'!$K$3:$V$381,MATCH($B30&amp;$C30,'Emission factors'!$K$3:$K$381&amp;'Emission factors'!$L$3:$L$381,0),MATCH($J$7,'Emission factors'!$K$2:$V$2,0)))</f>
        <v/>
      </c>
      <c r="K30" s="353" t="str" cm="1">
        <f t="array" ref="K30">IF(OR(B30="",C30="",OrganisationalWasteTable[[#This Row],[Data]]=""),"",INDEX('Emission factors'!$K$3:$V$381,MATCH($B30&amp;$C30,'Emission factors'!$K$3:$K$381&amp;'Emission factors'!$L$3:$L$381,0),MATCH($K$7,'Emission factors'!$K$2:$V$2,0)))</f>
        <v/>
      </c>
      <c r="L30" s="333" t="str">
        <f>IF(OR(OrganisationalWasteTable[[#This Row],[Waste type]]="",OrganisationalWasteTable[[#This Row],[Converted data]]=""),"",SUM(OrganisationalWasteTable[[#This Row],[Direct]:[Indirect WTT]]))</f>
        <v/>
      </c>
      <c r="M30" s="103"/>
      <c r="N30" s="101"/>
      <c r="O30" s="161" t="str" cm="1">
        <f t="array" ref="O30">IF(OR($B30="",$G30="",$I30=""),"",(INDEX('Emission factors'!$K$3:$V$381,MATCH($B30&amp;$C30,'Emission factors'!$K$3:$K$381&amp;'Emission factors'!$L$3:$L$381,0),MATCH(O$7,'Emission factors'!$K$2:$V$2,0)))*$I30)</f>
        <v/>
      </c>
      <c r="P30" s="161" t="str" cm="1">
        <f t="array" ref="P30">IF(OR($B30="",$G30="",$I30=""),"",(INDEX('Emission factors'!$K$3:$V$381,MATCH($B30&amp;$C30,'Emission factors'!$K$3:$K$381&amp;'Emission factors'!$L$3:$L$381,0),MATCH(P$7,'Emission factors'!$K$2:$V$2,0)))*$I30)</f>
        <v/>
      </c>
      <c r="Q30" s="161" t="str" cm="1">
        <f t="array" ref="Q30">IF(OR($B30="",$G30="",$I30=""),"",(INDEX('Emission factors'!$K$3:$V$381,MATCH($B30&amp;$C30,'Emission factors'!$K$3:$K$381&amp;'Emission factors'!$L$3:$L$381,0),MATCH(Q$7,'Emission factors'!$K$2:$V$2,0)))*$I30)</f>
        <v/>
      </c>
      <c r="R30" s="161" t="str" cm="1">
        <f t="array" ref="R30">IF(OR($B30="",$G30="",$I30=""),"",(INDEX('Emission factors'!$K$3:$V$381,MATCH($B30&amp;$C30,'Emission factors'!$K$3:$K$381&amp;'Emission factors'!$L$3:$L$381,0),MATCH(R$7,'Emission factors'!$K$2:$V$2,0)))*$I30)</f>
        <v/>
      </c>
      <c r="S30" s="161" t="str" cm="1">
        <f t="array" ref="S30">IF(OR($B30="",$G30="",$I30=""),"",(INDEX('Emission factors'!$K$3:$V$381,MATCH($B30&amp;$C30,'Emission factors'!$K$3:$K$381&amp;'Emission factors'!$L$3:$L$381,0),MATCH(S$7,'Emission factors'!$K$2:$V$2,0)))*$I30)</f>
        <v/>
      </c>
      <c r="T30" s="354" t="str">
        <f t="shared" si="0"/>
        <v/>
      </c>
      <c r="U30" s="357" t="str">
        <f>IF(OR(OrganisationalWasteTable[[#This Row],[RSD]]="", OrganisationalWasteTable[[#This Row],[Total emissions]]=""), "", OrganisationalWasteTable[[#This Row],[Total emissions]]*(1-OrganisationalWasteTable[[#This Row],[RSD]]))</f>
        <v/>
      </c>
      <c r="V30" s="356" t="str" cm="1">
        <f t="array" ref="V30">IF(OR($B30="",$G30="",$I30=""),"",(INDEX('Emission factors'!$K$3:$V$381,MATCH($B30&amp;$C30,'Emission factors'!$K$3:$K$381&amp;'Emission factors'!$L$3:$L$381,0),MATCH(V$7,'Emission factors'!$K$2:$V$2,0)))*$I30)</f>
        <v/>
      </c>
      <c r="W30" s="351"/>
      <c r="X30" s="1" cm="1">
        <f t="array" ref="X30">IF(OR(ISERROR(B30:V30)),1,0)</f>
        <v>0</v>
      </c>
      <c r="Y30" s="1">
        <f t="shared" si="1"/>
        <v>0</v>
      </c>
    </row>
    <row r="31" spans="2:25" ht="15" thickBot="1" x14ac:dyDescent="0.4">
      <c r="B31" s="100"/>
      <c r="C31" s="101"/>
      <c r="D31" s="6"/>
      <c r="E31" s="101"/>
      <c r="F31" s="352" t="str">
        <f>IF(E31="","",INDEX(Methodologytier,MATCH(B$50,Lists!$AZ$4:$AZ$32,0),MATCH(E31,Lists!$BA$3:$BC$3,0)))</f>
        <v/>
      </c>
      <c r="G31" s="70"/>
      <c r="H31" s="101"/>
      <c r="I31" s="333" t="str" cm="1">
        <f t="array" ref="I31">IF(OR($B31="",$C31="",H31=""),"",IF(H31=J31,G31,(INDEX('Emission factors'!$K$3:$V$381,MATCH($B31&amp;$C31,'Emission factors'!$K$3:$K$381&amp;'Emission factors'!$L$3:$L$381,0),MATCH($I$7,'Emission factors'!$K$2:$V$2,0)))*G31))</f>
        <v/>
      </c>
      <c r="J31" s="332" t="str" cm="1">
        <f t="array" ref="J31">IF(OR($B31="",$G31="",OrganisationalWasteTable[[#This Row],[Units]]=""),"",INDEX('Emission factors'!$K$3:$V$381,MATCH($B31&amp;$C31,'Emission factors'!$K$3:$K$381&amp;'Emission factors'!$L$3:$L$381,0),MATCH($J$7,'Emission factors'!$K$2:$V$2,0)))</f>
        <v/>
      </c>
      <c r="K31" s="353" t="str" cm="1">
        <f t="array" ref="K31">IF(OR(B31="",C31="",OrganisationalWasteTable[[#This Row],[Data]]=""),"",INDEX('Emission factors'!$K$3:$V$381,MATCH($B31&amp;$C31,'Emission factors'!$K$3:$K$381&amp;'Emission factors'!$L$3:$L$381,0),MATCH($K$7,'Emission factors'!$K$2:$V$2,0)))</f>
        <v/>
      </c>
      <c r="L31" s="333" t="str">
        <f>IF(OR(OrganisationalWasteTable[[#This Row],[Waste type]]="",OrganisationalWasteTable[[#This Row],[Converted data]]=""),"",SUM(OrganisationalWasteTable[[#This Row],[Direct]:[Indirect WTT]]))</f>
        <v/>
      </c>
      <c r="M31" s="103"/>
      <c r="N31" s="101"/>
      <c r="O31" s="161" t="str" cm="1">
        <f t="array" ref="O31">IF(OR($B31="",$G31="",$I31=""),"",(INDEX('Emission factors'!$K$3:$V$381,MATCH($B31&amp;$C31,'Emission factors'!$K$3:$K$381&amp;'Emission factors'!$L$3:$L$381,0),MATCH(O$7,'Emission factors'!$K$2:$V$2,0)))*$I31)</f>
        <v/>
      </c>
      <c r="P31" s="161" t="str" cm="1">
        <f t="array" ref="P31">IF(OR($B31="",$G31="",$I31=""),"",(INDEX('Emission factors'!$K$3:$V$381,MATCH($B31&amp;$C31,'Emission factors'!$K$3:$K$381&amp;'Emission factors'!$L$3:$L$381,0),MATCH(P$7,'Emission factors'!$K$2:$V$2,0)))*$I31)</f>
        <v/>
      </c>
      <c r="Q31" s="161" t="str" cm="1">
        <f t="array" ref="Q31">IF(OR($B31="",$G31="",$I31=""),"",(INDEX('Emission factors'!$K$3:$V$381,MATCH($B31&amp;$C31,'Emission factors'!$K$3:$K$381&amp;'Emission factors'!$L$3:$L$381,0),MATCH(Q$7,'Emission factors'!$K$2:$V$2,0)))*$I31)</f>
        <v/>
      </c>
      <c r="R31" s="161" t="str" cm="1">
        <f t="array" ref="R31">IF(OR($B31="",$G31="",$I31=""),"",(INDEX('Emission factors'!$K$3:$V$381,MATCH($B31&amp;$C31,'Emission factors'!$K$3:$K$381&amp;'Emission factors'!$L$3:$L$381,0),MATCH(R$7,'Emission factors'!$K$2:$V$2,0)))*$I31)</f>
        <v/>
      </c>
      <c r="S31" s="161" t="str" cm="1">
        <f t="array" ref="S31">IF(OR($B31="",$G31="",$I31=""),"",(INDEX('Emission factors'!$K$3:$V$381,MATCH($B31&amp;$C31,'Emission factors'!$K$3:$K$381&amp;'Emission factors'!$L$3:$L$381,0),MATCH(S$7,'Emission factors'!$K$2:$V$2,0)))*$I31)</f>
        <v/>
      </c>
      <c r="T31" s="354" t="str">
        <f t="shared" si="0"/>
        <v/>
      </c>
      <c r="U31" s="357" t="str">
        <f>IF(OR(OrganisationalWasteTable[[#This Row],[RSD]]="", OrganisationalWasteTable[[#This Row],[Total emissions]]=""), "", OrganisationalWasteTable[[#This Row],[Total emissions]]*(1-OrganisationalWasteTable[[#This Row],[RSD]]))</f>
        <v/>
      </c>
      <c r="V31" s="356" t="str" cm="1">
        <f t="array" ref="V31">IF(OR($B31="",$G31="",$I31=""),"",(INDEX('Emission factors'!$K$3:$V$381,MATCH($B31&amp;$C31,'Emission factors'!$K$3:$K$381&amp;'Emission factors'!$L$3:$L$381,0),MATCH(V$7,'Emission factors'!$K$2:$V$2,0)))*$I31)</f>
        <v/>
      </c>
      <c r="W31" s="351"/>
      <c r="X31" s="1" cm="1">
        <f t="array" ref="X31">IF(OR(ISERROR(B31:V31)),1,0)</f>
        <v>0</v>
      </c>
      <c r="Y31" s="1">
        <f t="shared" si="1"/>
        <v>0</v>
      </c>
    </row>
    <row r="32" spans="2:25" ht="15" thickBot="1" x14ac:dyDescent="0.4">
      <c r="B32" s="100"/>
      <c r="C32" s="101"/>
      <c r="D32" s="6"/>
      <c r="E32" s="101"/>
      <c r="F32" s="352" t="str">
        <f>IF(E32="","",INDEX(Methodologytier,MATCH(B$50,Lists!$AZ$4:$AZ$32,0),MATCH(E32,Lists!$BA$3:$BC$3,0)))</f>
        <v/>
      </c>
      <c r="G32" s="70"/>
      <c r="H32" s="101"/>
      <c r="I32" s="333" t="str" cm="1">
        <f t="array" ref="I32">IF(OR($B32="",$C32="",H32=""),"",IF(H32=J32,G32,(INDEX('Emission factors'!$K$3:$V$381,MATCH($B32&amp;$C32,'Emission factors'!$K$3:$K$381&amp;'Emission factors'!$L$3:$L$381,0),MATCH($I$7,'Emission factors'!$K$2:$V$2,0)))*G32))</f>
        <v/>
      </c>
      <c r="J32" s="332" t="str" cm="1">
        <f t="array" ref="J32">IF(OR($B32="",$G32="",OrganisationalWasteTable[[#This Row],[Units]]=""),"",INDEX('Emission factors'!$K$3:$V$381,MATCH($B32&amp;$C32,'Emission factors'!$K$3:$K$381&amp;'Emission factors'!$L$3:$L$381,0),MATCH($J$7,'Emission factors'!$K$2:$V$2,0)))</f>
        <v/>
      </c>
      <c r="K32" s="353" t="str" cm="1">
        <f t="array" ref="K32">IF(OR(B32="",C32="",OrganisationalWasteTable[[#This Row],[Data]]=""),"",INDEX('Emission factors'!$K$3:$V$381,MATCH($B32&amp;$C32,'Emission factors'!$K$3:$K$381&amp;'Emission factors'!$L$3:$L$381,0),MATCH($K$7,'Emission factors'!$K$2:$V$2,0)))</f>
        <v/>
      </c>
      <c r="L32" s="333" t="str">
        <f>IF(OR(OrganisationalWasteTable[[#This Row],[Waste type]]="",OrganisationalWasteTable[[#This Row],[Converted data]]=""),"",SUM(OrganisationalWasteTable[[#This Row],[Direct]:[Indirect WTT]]))</f>
        <v/>
      </c>
      <c r="M32" s="103"/>
      <c r="N32" s="101"/>
      <c r="O32" s="161" t="str" cm="1">
        <f t="array" ref="O32">IF(OR($B32="",$G32="",$I32=""),"",(INDEX('Emission factors'!$K$3:$V$381,MATCH($B32&amp;$C32,'Emission factors'!$K$3:$K$381&amp;'Emission factors'!$L$3:$L$381,0),MATCH(O$7,'Emission factors'!$K$2:$V$2,0)))*$I32)</f>
        <v/>
      </c>
      <c r="P32" s="161" t="str" cm="1">
        <f t="array" ref="P32">IF(OR($B32="",$G32="",$I32=""),"",(INDEX('Emission factors'!$K$3:$V$381,MATCH($B32&amp;$C32,'Emission factors'!$K$3:$K$381&amp;'Emission factors'!$L$3:$L$381,0),MATCH(P$7,'Emission factors'!$K$2:$V$2,0)))*$I32)</f>
        <v/>
      </c>
      <c r="Q32" s="161" t="str" cm="1">
        <f t="array" ref="Q32">IF(OR($B32="",$G32="",$I32=""),"",(INDEX('Emission factors'!$K$3:$V$381,MATCH($B32&amp;$C32,'Emission factors'!$K$3:$K$381&amp;'Emission factors'!$L$3:$L$381,0),MATCH(Q$7,'Emission factors'!$K$2:$V$2,0)))*$I32)</f>
        <v/>
      </c>
      <c r="R32" s="161" t="str" cm="1">
        <f t="array" ref="R32">IF(OR($B32="",$G32="",$I32=""),"",(INDEX('Emission factors'!$K$3:$V$381,MATCH($B32&amp;$C32,'Emission factors'!$K$3:$K$381&amp;'Emission factors'!$L$3:$L$381,0),MATCH(R$7,'Emission factors'!$K$2:$V$2,0)))*$I32)</f>
        <v/>
      </c>
      <c r="S32" s="161" t="str" cm="1">
        <f t="array" ref="S32">IF(OR($B32="",$G32="",$I32=""),"",(INDEX('Emission factors'!$K$3:$V$381,MATCH($B32&amp;$C32,'Emission factors'!$K$3:$K$381&amp;'Emission factors'!$L$3:$L$381,0),MATCH(S$7,'Emission factors'!$K$2:$V$2,0)))*$I32)</f>
        <v/>
      </c>
      <c r="T32" s="354" t="str">
        <f t="shared" si="0"/>
        <v/>
      </c>
      <c r="U32" s="357" t="str">
        <f>IF(OR(OrganisationalWasteTable[[#This Row],[RSD]]="", OrganisationalWasteTable[[#This Row],[Total emissions]]=""), "", OrganisationalWasteTable[[#This Row],[Total emissions]]*(1-OrganisationalWasteTable[[#This Row],[RSD]]))</f>
        <v/>
      </c>
      <c r="V32" s="356" t="str" cm="1">
        <f t="array" ref="V32">IF(OR($B32="",$G32="",$I32=""),"",(INDEX('Emission factors'!$K$3:$V$381,MATCH($B32&amp;$C32,'Emission factors'!$K$3:$K$381&amp;'Emission factors'!$L$3:$L$381,0),MATCH(V$7,'Emission factors'!$K$2:$V$2,0)))*$I32)</f>
        <v/>
      </c>
      <c r="W32" s="351"/>
      <c r="X32" s="1" cm="1">
        <f t="array" ref="X32">IF(OR(ISERROR(B32:V32)),1,0)</f>
        <v>0</v>
      </c>
      <c r="Y32" s="1">
        <f t="shared" si="1"/>
        <v>0</v>
      </c>
    </row>
    <row r="33" spans="2:25" ht="15" thickBot="1" x14ac:dyDescent="0.4">
      <c r="B33" s="100"/>
      <c r="C33" s="101"/>
      <c r="D33" s="6"/>
      <c r="E33" s="101"/>
      <c r="F33" s="352" t="str">
        <f>IF(E33="","",INDEX(Methodologytier,MATCH(B$50,Lists!$AZ$4:$AZ$32,0),MATCH(E33,Lists!$BA$3:$BC$3,0)))</f>
        <v/>
      </c>
      <c r="G33" s="70"/>
      <c r="H33" s="101"/>
      <c r="I33" s="333" t="str" cm="1">
        <f t="array" ref="I33">IF(OR($B33="",$C33="",H33=""),"",IF(H33=J33,G33,(INDEX('Emission factors'!$K$3:$V$381,MATCH($B33&amp;$C33,'Emission factors'!$K$3:$K$381&amp;'Emission factors'!$L$3:$L$381,0),MATCH($I$7,'Emission factors'!$K$2:$V$2,0)))*G33))</f>
        <v/>
      </c>
      <c r="J33" s="332" t="str" cm="1">
        <f t="array" ref="J33">IF(OR($B33="",$G33="",OrganisationalWasteTable[[#This Row],[Units]]=""),"",INDEX('Emission factors'!$K$3:$V$381,MATCH($B33&amp;$C33,'Emission factors'!$K$3:$K$381&amp;'Emission factors'!$L$3:$L$381,0),MATCH($J$7,'Emission factors'!$K$2:$V$2,0)))</f>
        <v/>
      </c>
      <c r="K33" s="353" t="str" cm="1">
        <f t="array" ref="K33">IF(OR(B33="",C33="",OrganisationalWasteTable[[#This Row],[Data]]=""),"",INDEX('Emission factors'!$K$3:$V$381,MATCH($B33&amp;$C33,'Emission factors'!$K$3:$K$381&amp;'Emission factors'!$L$3:$L$381,0),MATCH($K$7,'Emission factors'!$K$2:$V$2,0)))</f>
        <v/>
      </c>
      <c r="L33" s="333" t="str">
        <f>IF(OR(OrganisationalWasteTable[[#This Row],[Waste type]]="",OrganisationalWasteTable[[#This Row],[Converted data]]=""),"",SUM(OrganisationalWasteTable[[#This Row],[Direct]:[Indirect WTT]]))</f>
        <v/>
      </c>
      <c r="M33" s="103"/>
      <c r="N33" s="101"/>
      <c r="O33" s="161" t="str" cm="1">
        <f t="array" ref="O33">IF(OR($B33="",$G33="",$I33=""),"",(INDEX('Emission factors'!$K$3:$V$381,MATCH($B33&amp;$C33,'Emission factors'!$K$3:$K$381&amp;'Emission factors'!$L$3:$L$381,0),MATCH(O$7,'Emission factors'!$K$2:$V$2,0)))*$I33)</f>
        <v/>
      </c>
      <c r="P33" s="161" t="str" cm="1">
        <f t="array" ref="P33">IF(OR($B33="",$G33="",$I33=""),"",(INDEX('Emission factors'!$K$3:$V$381,MATCH($B33&amp;$C33,'Emission factors'!$K$3:$K$381&amp;'Emission factors'!$L$3:$L$381,0),MATCH(P$7,'Emission factors'!$K$2:$V$2,0)))*$I33)</f>
        <v/>
      </c>
      <c r="Q33" s="161" t="str" cm="1">
        <f t="array" ref="Q33">IF(OR($B33="",$G33="",$I33=""),"",(INDEX('Emission factors'!$K$3:$V$381,MATCH($B33&amp;$C33,'Emission factors'!$K$3:$K$381&amp;'Emission factors'!$L$3:$L$381,0),MATCH(Q$7,'Emission factors'!$K$2:$V$2,0)))*$I33)</f>
        <v/>
      </c>
      <c r="R33" s="161" t="str" cm="1">
        <f t="array" ref="R33">IF(OR($B33="",$G33="",$I33=""),"",(INDEX('Emission factors'!$K$3:$V$381,MATCH($B33&amp;$C33,'Emission factors'!$K$3:$K$381&amp;'Emission factors'!$L$3:$L$381,0),MATCH(R$7,'Emission factors'!$K$2:$V$2,0)))*$I33)</f>
        <v/>
      </c>
      <c r="S33" s="161" t="str" cm="1">
        <f t="array" ref="S33">IF(OR($B33="",$G33="",$I33=""),"",(INDEX('Emission factors'!$K$3:$V$381,MATCH($B33&amp;$C33,'Emission factors'!$K$3:$K$381&amp;'Emission factors'!$L$3:$L$381,0),MATCH(S$7,'Emission factors'!$K$2:$V$2,0)))*$I33)</f>
        <v/>
      </c>
      <c r="T33" s="354" t="str">
        <f t="shared" si="0"/>
        <v/>
      </c>
      <c r="U33" s="357" t="str">
        <f>IF(OR(OrganisationalWasteTable[[#This Row],[RSD]]="", OrganisationalWasteTable[[#This Row],[Total emissions]]=""), "", OrganisationalWasteTable[[#This Row],[Total emissions]]*(1-OrganisationalWasteTable[[#This Row],[RSD]]))</f>
        <v/>
      </c>
      <c r="V33" s="356" t="str" cm="1">
        <f t="array" ref="V33">IF(OR($B33="",$G33="",$I33=""),"",(INDEX('Emission factors'!$K$3:$V$381,MATCH($B33&amp;$C33,'Emission factors'!$K$3:$K$381&amp;'Emission factors'!$L$3:$L$381,0),MATCH(V$7,'Emission factors'!$K$2:$V$2,0)))*$I33)</f>
        <v/>
      </c>
      <c r="W33" s="351"/>
      <c r="X33" s="1" cm="1">
        <f t="array" ref="X33">IF(OR(ISERROR(B33:V33)),1,0)</f>
        <v>0</v>
      </c>
      <c r="Y33" s="1">
        <f t="shared" si="1"/>
        <v>0</v>
      </c>
    </row>
    <row r="34" spans="2:25" ht="15" thickBot="1" x14ac:dyDescent="0.4">
      <c r="B34" s="100"/>
      <c r="C34" s="101"/>
      <c r="D34" s="6"/>
      <c r="E34" s="101"/>
      <c r="F34" s="352" t="str">
        <f>IF(E34="","",INDEX(Methodologytier,MATCH(B$50,Lists!$AZ$4:$AZ$32,0),MATCH(E34,Lists!$BA$3:$BC$3,0)))</f>
        <v/>
      </c>
      <c r="G34" s="70"/>
      <c r="H34" s="101"/>
      <c r="I34" s="333" t="str" cm="1">
        <f t="array" ref="I34">IF(OR($B34="",$C34="",H34=""),"",IF(H34=J34,G34,(INDEX('Emission factors'!$K$3:$V$381,MATCH($B34&amp;$C34,'Emission factors'!$K$3:$K$381&amp;'Emission factors'!$L$3:$L$381,0),MATCH($I$7,'Emission factors'!$K$2:$V$2,0)))*G34))</f>
        <v/>
      </c>
      <c r="J34" s="332" t="str" cm="1">
        <f t="array" ref="J34">IF(OR($B34="",$G34="",OrganisationalWasteTable[[#This Row],[Units]]=""),"",INDEX('Emission factors'!$K$3:$V$381,MATCH($B34&amp;$C34,'Emission factors'!$K$3:$K$381&amp;'Emission factors'!$L$3:$L$381,0),MATCH($J$7,'Emission factors'!$K$2:$V$2,0)))</f>
        <v/>
      </c>
      <c r="K34" s="353" t="str" cm="1">
        <f t="array" ref="K34">IF(OR(B34="",C34="",OrganisationalWasteTable[[#This Row],[Data]]=""),"",INDEX('Emission factors'!$K$3:$V$381,MATCH($B34&amp;$C34,'Emission factors'!$K$3:$K$381&amp;'Emission factors'!$L$3:$L$381,0),MATCH($K$7,'Emission factors'!$K$2:$V$2,0)))</f>
        <v/>
      </c>
      <c r="L34" s="333" t="str">
        <f>IF(OR(OrganisationalWasteTable[[#This Row],[Waste type]]="",OrganisationalWasteTable[[#This Row],[Converted data]]=""),"",SUM(OrganisationalWasteTable[[#This Row],[Direct]:[Indirect WTT]]))</f>
        <v/>
      </c>
      <c r="M34" s="103"/>
      <c r="N34" s="101"/>
      <c r="O34" s="161" t="str" cm="1">
        <f t="array" ref="O34">IF(OR($B34="",$G34="",$I34=""),"",(INDEX('Emission factors'!$K$3:$V$381,MATCH($B34&amp;$C34,'Emission factors'!$K$3:$K$381&amp;'Emission factors'!$L$3:$L$381,0),MATCH(O$7,'Emission factors'!$K$2:$V$2,0)))*$I34)</f>
        <v/>
      </c>
      <c r="P34" s="161" t="str" cm="1">
        <f t="array" ref="P34">IF(OR($B34="",$G34="",$I34=""),"",(INDEX('Emission factors'!$K$3:$V$381,MATCH($B34&amp;$C34,'Emission factors'!$K$3:$K$381&amp;'Emission factors'!$L$3:$L$381,0),MATCH(P$7,'Emission factors'!$K$2:$V$2,0)))*$I34)</f>
        <v/>
      </c>
      <c r="Q34" s="161" t="str" cm="1">
        <f t="array" ref="Q34">IF(OR($B34="",$G34="",$I34=""),"",(INDEX('Emission factors'!$K$3:$V$381,MATCH($B34&amp;$C34,'Emission factors'!$K$3:$K$381&amp;'Emission factors'!$L$3:$L$381,0),MATCH(Q$7,'Emission factors'!$K$2:$V$2,0)))*$I34)</f>
        <v/>
      </c>
      <c r="R34" s="161" t="str" cm="1">
        <f t="array" ref="R34">IF(OR($B34="",$G34="",$I34=""),"",(INDEX('Emission factors'!$K$3:$V$381,MATCH($B34&amp;$C34,'Emission factors'!$K$3:$K$381&amp;'Emission factors'!$L$3:$L$381,0),MATCH(R$7,'Emission factors'!$K$2:$V$2,0)))*$I34)</f>
        <v/>
      </c>
      <c r="S34" s="161" t="str" cm="1">
        <f t="array" ref="S34">IF(OR($B34="",$G34="",$I34=""),"",(INDEX('Emission factors'!$K$3:$V$381,MATCH($B34&amp;$C34,'Emission factors'!$K$3:$K$381&amp;'Emission factors'!$L$3:$L$381,0),MATCH(S$7,'Emission factors'!$K$2:$V$2,0)))*$I34)</f>
        <v/>
      </c>
      <c r="T34" s="354" t="str">
        <f t="shared" si="0"/>
        <v/>
      </c>
      <c r="U34" s="357" t="str">
        <f>IF(OR(OrganisationalWasteTable[[#This Row],[RSD]]="", OrganisationalWasteTable[[#This Row],[Total emissions]]=""), "", OrganisationalWasteTable[[#This Row],[Total emissions]]*(1-OrganisationalWasteTable[[#This Row],[RSD]]))</f>
        <v/>
      </c>
      <c r="V34" s="356" t="str" cm="1">
        <f t="array" ref="V34">IF(OR($B34="",$G34="",$I34=""),"",(INDEX('Emission factors'!$K$3:$V$381,MATCH($B34&amp;$C34,'Emission factors'!$K$3:$K$381&amp;'Emission factors'!$L$3:$L$381,0),MATCH(V$7,'Emission factors'!$K$2:$V$2,0)))*$I34)</f>
        <v/>
      </c>
      <c r="W34" s="351"/>
      <c r="X34" s="1" cm="1">
        <f t="array" ref="X34">IF(OR(ISERROR(B34:V34)),1,0)</f>
        <v>0</v>
      </c>
      <c r="Y34" s="1">
        <f t="shared" si="1"/>
        <v>0</v>
      </c>
    </row>
    <row r="35" spans="2:25" ht="15" thickBot="1" x14ac:dyDescent="0.4">
      <c r="B35" s="100"/>
      <c r="C35" s="101"/>
      <c r="D35" s="6"/>
      <c r="E35" s="101"/>
      <c r="F35" s="352" t="str">
        <f>IF(E35="","",INDEX(Methodologytier,MATCH(B$50,Lists!$AZ$4:$AZ$32,0),MATCH(E35,Lists!$BA$3:$BC$3,0)))</f>
        <v/>
      </c>
      <c r="G35" s="70"/>
      <c r="H35" s="101"/>
      <c r="I35" s="333" t="str" cm="1">
        <f t="array" ref="I35">IF(OR($B35="",$C35="",H35=""),"",IF(H35=J35,G35,(INDEX('Emission factors'!$K$3:$V$381,MATCH($B35&amp;$C35,'Emission factors'!$K$3:$K$381&amp;'Emission factors'!$L$3:$L$381,0),MATCH($I$7,'Emission factors'!$K$2:$V$2,0)))*G35))</f>
        <v/>
      </c>
      <c r="J35" s="332" t="str" cm="1">
        <f t="array" ref="J35">IF(OR($B35="",$G35="",OrganisationalWasteTable[[#This Row],[Units]]=""),"",INDEX('Emission factors'!$K$3:$V$381,MATCH($B35&amp;$C35,'Emission factors'!$K$3:$K$381&amp;'Emission factors'!$L$3:$L$381,0),MATCH($J$7,'Emission factors'!$K$2:$V$2,0)))</f>
        <v/>
      </c>
      <c r="K35" s="353" t="str" cm="1">
        <f t="array" ref="K35">IF(OR(B35="",C35="",OrganisationalWasteTable[[#This Row],[Data]]=""),"",INDEX('Emission factors'!$K$3:$V$381,MATCH($B35&amp;$C35,'Emission factors'!$K$3:$K$381&amp;'Emission factors'!$L$3:$L$381,0),MATCH($K$7,'Emission factors'!$K$2:$V$2,0)))</f>
        <v/>
      </c>
      <c r="L35" s="333" t="str">
        <f>IF(OR(OrganisationalWasteTable[[#This Row],[Waste type]]="",OrganisationalWasteTable[[#This Row],[Converted data]]=""),"",SUM(OrganisationalWasteTable[[#This Row],[Direct]:[Indirect WTT]]))</f>
        <v/>
      </c>
      <c r="M35" s="103"/>
      <c r="N35" s="101"/>
      <c r="O35" s="161" t="str" cm="1">
        <f t="array" ref="O35">IF(OR($B35="",$G35="",$I35=""),"",(INDEX('Emission factors'!$K$3:$V$381,MATCH($B35&amp;$C35,'Emission factors'!$K$3:$K$381&amp;'Emission factors'!$L$3:$L$381,0),MATCH(O$7,'Emission factors'!$K$2:$V$2,0)))*$I35)</f>
        <v/>
      </c>
      <c r="P35" s="161" t="str" cm="1">
        <f t="array" ref="P35">IF(OR($B35="",$G35="",$I35=""),"",(INDEX('Emission factors'!$K$3:$V$381,MATCH($B35&amp;$C35,'Emission factors'!$K$3:$K$381&amp;'Emission factors'!$L$3:$L$381,0),MATCH(P$7,'Emission factors'!$K$2:$V$2,0)))*$I35)</f>
        <v/>
      </c>
      <c r="Q35" s="161" t="str" cm="1">
        <f t="array" ref="Q35">IF(OR($B35="",$G35="",$I35=""),"",(INDEX('Emission factors'!$K$3:$V$381,MATCH($B35&amp;$C35,'Emission factors'!$K$3:$K$381&amp;'Emission factors'!$L$3:$L$381,0),MATCH(Q$7,'Emission factors'!$K$2:$V$2,0)))*$I35)</f>
        <v/>
      </c>
      <c r="R35" s="161" t="str" cm="1">
        <f t="array" ref="R35">IF(OR($B35="",$G35="",$I35=""),"",(INDEX('Emission factors'!$K$3:$V$381,MATCH($B35&amp;$C35,'Emission factors'!$K$3:$K$381&amp;'Emission factors'!$L$3:$L$381,0),MATCH(R$7,'Emission factors'!$K$2:$V$2,0)))*$I35)</f>
        <v/>
      </c>
      <c r="S35" s="161" t="str" cm="1">
        <f t="array" ref="S35">IF(OR($B35="",$G35="",$I35=""),"",(INDEX('Emission factors'!$K$3:$V$381,MATCH($B35&amp;$C35,'Emission factors'!$K$3:$K$381&amp;'Emission factors'!$L$3:$L$381,0),MATCH(S$7,'Emission factors'!$K$2:$V$2,0)))*$I35)</f>
        <v/>
      </c>
      <c r="T35" s="354" t="str">
        <f t="shared" si="0"/>
        <v/>
      </c>
      <c r="U35" s="357" t="str">
        <f>IF(OR(OrganisationalWasteTable[[#This Row],[RSD]]="", OrganisationalWasteTable[[#This Row],[Total emissions]]=""), "", OrganisationalWasteTable[[#This Row],[Total emissions]]*(1-OrganisationalWasteTable[[#This Row],[RSD]]))</f>
        <v/>
      </c>
      <c r="V35" s="356" t="str" cm="1">
        <f t="array" ref="V35">IF(OR($B35="",$G35="",$I35=""),"",(INDEX('Emission factors'!$K$3:$V$381,MATCH($B35&amp;$C35,'Emission factors'!$K$3:$K$381&amp;'Emission factors'!$L$3:$L$381,0),MATCH(V$7,'Emission factors'!$K$2:$V$2,0)))*$I35)</f>
        <v/>
      </c>
      <c r="W35" s="351"/>
      <c r="X35" s="1" cm="1">
        <f t="array" ref="X35">IF(OR(ISERROR(B35:V35)),1,0)</f>
        <v>0</v>
      </c>
      <c r="Y35" s="1">
        <f t="shared" si="1"/>
        <v>0</v>
      </c>
    </row>
    <row r="36" spans="2:25" ht="15" thickBot="1" x14ac:dyDescent="0.4">
      <c r="B36" s="100"/>
      <c r="C36" s="101"/>
      <c r="D36" s="6"/>
      <c r="E36" s="101"/>
      <c r="F36" s="352" t="str">
        <f>IF(E36="","",INDEX(Methodologytier,MATCH(B$50,Lists!$AZ$4:$AZ$32,0),MATCH(E36,Lists!$BA$3:$BC$3,0)))</f>
        <v/>
      </c>
      <c r="G36" s="70"/>
      <c r="H36" s="101"/>
      <c r="I36" s="333" t="str" cm="1">
        <f t="array" ref="I36">IF(OR($B36="",$C36="",H36=""),"",IF(H36=J36,G36,(INDEX('Emission factors'!$K$3:$V$381,MATCH($B36&amp;$C36,'Emission factors'!$K$3:$K$381&amp;'Emission factors'!$L$3:$L$381,0),MATCH($I$7,'Emission factors'!$K$2:$V$2,0)))*G36))</f>
        <v/>
      </c>
      <c r="J36" s="332" t="str" cm="1">
        <f t="array" ref="J36">IF(OR($B36="",$G36="",OrganisationalWasteTable[[#This Row],[Units]]=""),"",INDEX('Emission factors'!$K$3:$V$381,MATCH($B36&amp;$C36,'Emission factors'!$K$3:$K$381&amp;'Emission factors'!$L$3:$L$381,0),MATCH($J$7,'Emission factors'!$K$2:$V$2,0)))</f>
        <v/>
      </c>
      <c r="K36" s="353" t="str" cm="1">
        <f t="array" ref="K36">IF(OR(B36="",C36="",OrganisationalWasteTable[[#This Row],[Data]]=""),"",INDEX('Emission factors'!$K$3:$V$381,MATCH($B36&amp;$C36,'Emission factors'!$K$3:$K$381&amp;'Emission factors'!$L$3:$L$381,0),MATCH($K$7,'Emission factors'!$K$2:$V$2,0)))</f>
        <v/>
      </c>
      <c r="L36" s="333" t="str">
        <f>IF(OR(OrganisationalWasteTable[[#This Row],[Waste type]]="",OrganisationalWasteTable[[#This Row],[Converted data]]=""),"",SUM(OrganisationalWasteTable[[#This Row],[Direct]:[Indirect WTT]]))</f>
        <v/>
      </c>
      <c r="M36" s="103"/>
      <c r="N36" s="101"/>
      <c r="O36" s="161" t="str" cm="1">
        <f t="array" ref="O36">IF(OR($B36="",$G36="",$I36=""),"",(INDEX('Emission factors'!$K$3:$V$381,MATCH($B36&amp;$C36,'Emission factors'!$K$3:$K$381&amp;'Emission factors'!$L$3:$L$381,0),MATCH(O$7,'Emission factors'!$K$2:$V$2,0)))*$I36)</f>
        <v/>
      </c>
      <c r="P36" s="161" t="str" cm="1">
        <f t="array" ref="P36">IF(OR($B36="",$G36="",$I36=""),"",(INDEX('Emission factors'!$K$3:$V$381,MATCH($B36&amp;$C36,'Emission factors'!$K$3:$K$381&amp;'Emission factors'!$L$3:$L$381,0),MATCH(P$7,'Emission factors'!$K$2:$V$2,0)))*$I36)</f>
        <v/>
      </c>
      <c r="Q36" s="161" t="str" cm="1">
        <f t="array" ref="Q36">IF(OR($B36="",$G36="",$I36=""),"",(INDEX('Emission factors'!$K$3:$V$381,MATCH($B36&amp;$C36,'Emission factors'!$K$3:$K$381&amp;'Emission factors'!$L$3:$L$381,0),MATCH(Q$7,'Emission factors'!$K$2:$V$2,0)))*$I36)</f>
        <v/>
      </c>
      <c r="R36" s="161" t="str" cm="1">
        <f t="array" ref="R36">IF(OR($B36="",$G36="",$I36=""),"",(INDEX('Emission factors'!$K$3:$V$381,MATCH($B36&amp;$C36,'Emission factors'!$K$3:$K$381&amp;'Emission factors'!$L$3:$L$381,0),MATCH(R$7,'Emission factors'!$K$2:$V$2,0)))*$I36)</f>
        <v/>
      </c>
      <c r="S36" s="161" t="str" cm="1">
        <f t="array" ref="S36">IF(OR($B36="",$G36="",$I36=""),"",(INDEX('Emission factors'!$K$3:$V$381,MATCH($B36&amp;$C36,'Emission factors'!$K$3:$K$381&amp;'Emission factors'!$L$3:$L$381,0),MATCH(S$7,'Emission factors'!$K$2:$V$2,0)))*$I36)</f>
        <v/>
      </c>
      <c r="T36" s="354" t="str">
        <f t="shared" si="0"/>
        <v/>
      </c>
      <c r="U36" s="357" t="str">
        <f>IF(OR(OrganisationalWasteTable[[#This Row],[RSD]]="", OrganisationalWasteTable[[#This Row],[Total emissions]]=""), "", OrganisationalWasteTable[[#This Row],[Total emissions]]*(1-OrganisationalWasteTable[[#This Row],[RSD]]))</f>
        <v/>
      </c>
      <c r="V36" s="356" t="str" cm="1">
        <f t="array" ref="V36">IF(OR($B36="",$G36="",$I36=""),"",(INDEX('Emission factors'!$K$3:$V$381,MATCH($B36&amp;$C36,'Emission factors'!$K$3:$K$381&amp;'Emission factors'!$L$3:$L$381,0),MATCH(V$7,'Emission factors'!$K$2:$V$2,0)))*$I36)</f>
        <v/>
      </c>
      <c r="W36" s="351"/>
      <c r="X36" s="1" cm="1">
        <f t="array" ref="X36">IF(OR(ISERROR(B36:V36)),1,0)</f>
        <v>0</v>
      </c>
      <c r="Y36" s="1">
        <f t="shared" si="1"/>
        <v>0</v>
      </c>
    </row>
    <row r="37" spans="2:25" ht="15" thickBot="1" x14ac:dyDescent="0.4">
      <c r="B37" s="100"/>
      <c r="C37" s="101"/>
      <c r="D37" s="6"/>
      <c r="E37" s="101"/>
      <c r="F37" s="352" t="str">
        <f>IF(E37="","",INDEX(Methodologytier,MATCH(B$50,Lists!$AZ$4:$AZ$32,0),MATCH(E37,Lists!$BA$3:$BC$3,0)))</f>
        <v/>
      </c>
      <c r="G37" s="70"/>
      <c r="H37" s="101"/>
      <c r="I37" s="333" t="str" cm="1">
        <f t="array" ref="I37">IF(OR($B37="",$C37="",H37=""),"",IF(H37=J37,G37,(INDEX('Emission factors'!$K$3:$V$381,MATCH($B37&amp;$C37,'Emission factors'!$K$3:$K$381&amp;'Emission factors'!$L$3:$L$381,0),MATCH($I$7,'Emission factors'!$K$2:$V$2,0)))*G37))</f>
        <v/>
      </c>
      <c r="J37" s="332" t="str" cm="1">
        <f t="array" ref="J37">IF(OR($B37="",$G37="",OrganisationalWasteTable[[#This Row],[Units]]=""),"",INDEX('Emission factors'!$K$3:$V$381,MATCH($B37&amp;$C37,'Emission factors'!$K$3:$K$381&amp;'Emission factors'!$L$3:$L$381,0),MATCH($J$7,'Emission factors'!$K$2:$V$2,0)))</f>
        <v/>
      </c>
      <c r="K37" s="353" t="str" cm="1">
        <f t="array" ref="K37">IF(OR(B37="",C37="",OrganisationalWasteTable[[#This Row],[Data]]=""),"",INDEX('Emission factors'!$K$3:$V$381,MATCH($B37&amp;$C37,'Emission factors'!$K$3:$K$381&amp;'Emission factors'!$L$3:$L$381,0),MATCH($K$7,'Emission factors'!$K$2:$V$2,0)))</f>
        <v/>
      </c>
      <c r="L37" s="333" t="str">
        <f>IF(OR(OrganisationalWasteTable[[#This Row],[Waste type]]="",OrganisationalWasteTable[[#This Row],[Converted data]]=""),"",SUM(OrganisationalWasteTable[[#This Row],[Direct]:[Indirect WTT]]))</f>
        <v/>
      </c>
      <c r="M37" s="103"/>
      <c r="N37" s="101"/>
      <c r="O37" s="161" t="str" cm="1">
        <f t="array" ref="O37">IF(OR($B37="",$G37="",$I37=""),"",(INDEX('Emission factors'!$K$3:$V$381,MATCH($B37&amp;$C37,'Emission factors'!$K$3:$K$381&amp;'Emission factors'!$L$3:$L$381,0),MATCH(O$7,'Emission factors'!$K$2:$V$2,0)))*$I37)</f>
        <v/>
      </c>
      <c r="P37" s="161" t="str" cm="1">
        <f t="array" ref="P37">IF(OR($B37="",$G37="",$I37=""),"",(INDEX('Emission factors'!$K$3:$V$381,MATCH($B37&amp;$C37,'Emission factors'!$K$3:$K$381&amp;'Emission factors'!$L$3:$L$381,0),MATCH(P$7,'Emission factors'!$K$2:$V$2,0)))*$I37)</f>
        <v/>
      </c>
      <c r="Q37" s="161" t="str" cm="1">
        <f t="array" ref="Q37">IF(OR($B37="",$G37="",$I37=""),"",(INDEX('Emission factors'!$K$3:$V$381,MATCH($B37&amp;$C37,'Emission factors'!$K$3:$K$381&amp;'Emission factors'!$L$3:$L$381,0),MATCH(Q$7,'Emission factors'!$K$2:$V$2,0)))*$I37)</f>
        <v/>
      </c>
      <c r="R37" s="161" t="str" cm="1">
        <f t="array" ref="R37">IF(OR($B37="",$G37="",$I37=""),"",(INDEX('Emission factors'!$K$3:$V$381,MATCH($B37&amp;$C37,'Emission factors'!$K$3:$K$381&amp;'Emission factors'!$L$3:$L$381,0),MATCH(R$7,'Emission factors'!$K$2:$V$2,0)))*$I37)</f>
        <v/>
      </c>
      <c r="S37" s="161" t="str" cm="1">
        <f t="array" ref="S37">IF(OR($B37="",$G37="",$I37=""),"",(INDEX('Emission factors'!$K$3:$V$381,MATCH($B37&amp;$C37,'Emission factors'!$K$3:$K$381&amp;'Emission factors'!$L$3:$L$381,0),MATCH(S$7,'Emission factors'!$K$2:$V$2,0)))*$I37)</f>
        <v/>
      </c>
      <c r="T37" s="354" t="str">
        <f t="shared" si="0"/>
        <v/>
      </c>
      <c r="U37" s="357" t="str">
        <f>IF(OR(OrganisationalWasteTable[[#This Row],[RSD]]="", OrganisationalWasteTable[[#This Row],[Total emissions]]=""), "", OrganisationalWasteTable[[#This Row],[Total emissions]]*(1-OrganisationalWasteTable[[#This Row],[RSD]]))</f>
        <v/>
      </c>
      <c r="V37" s="356" t="str" cm="1">
        <f t="array" ref="V37">IF(OR($B37="",$G37="",$I37=""),"",(INDEX('Emission factors'!$K$3:$V$381,MATCH($B37&amp;$C37,'Emission factors'!$K$3:$K$381&amp;'Emission factors'!$L$3:$L$381,0),MATCH(V$7,'Emission factors'!$K$2:$V$2,0)))*$I37)</f>
        <v/>
      </c>
      <c r="W37" s="351"/>
      <c r="X37" s="1" cm="1">
        <f t="array" ref="X37">IF(OR(ISERROR(B37:V37)),1,0)</f>
        <v>0</v>
      </c>
      <c r="Y37" s="1">
        <f t="shared" si="1"/>
        <v>0</v>
      </c>
    </row>
    <row r="38" spans="2:25" ht="15" thickBot="1" x14ac:dyDescent="0.4">
      <c r="B38" s="100"/>
      <c r="C38" s="101"/>
      <c r="D38" s="6"/>
      <c r="E38" s="101"/>
      <c r="F38" s="352" t="str">
        <f>IF(E38="","",INDEX(Methodologytier,MATCH(B$50,Lists!$AZ$4:$AZ$32,0),MATCH(E38,Lists!$BA$3:$BC$3,0)))</f>
        <v/>
      </c>
      <c r="G38" s="70"/>
      <c r="H38" s="101"/>
      <c r="I38" s="333" t="str" cm="1">
        <f t="array" ref="I38">IF(OR($B38="",$C38="",H38=""),"",IF(H38=J38,G38,(INDEX('Emission factors'!$K$3:$V$381,MATCH($B38&amp;$C38,'Emission factors'!$K$3:$K$381&amp;'Emission factors'!$L$3:$L$381,0),MATCH($I$7,'Emission factors'!$K$2:$V$2,0)))*G38))</f>
        <v/>
      </c>
      <c r="J38" s="332" t="str" cm="1">
        <f t="array" ref="J38">IF(OR($B38="",$G38="",OrganisationalWasteTable[[#This Row],[Units]]=""),"",INDEX('Emission factors'!$K$3:$V$381,MATCH($B38&amp;$C38,'Emission factors'!$K$3:$K$381&amp;'Emission factors'!$L$3:$L$381,0),MATCH($J$7,'Emission factors'!$K$2:$V$2,0)))</f>
        <v/>
      </c>
      <c r="K38" s="353" t="str" cm="1">
        <f t="array" ref="K38">IF(OR(B38="",C38="",OrganisationalWasteTable[[#This Row],[Data]]=""),"",INDEX('Emission factors'!$K$3:$V$381,MATCH($B38&amp;$C38,'Emission factors'!$K$3:$K$381&amp;'Emission factors'!$L$3:$L$381,0),MATCH($K$7,'Emission factors'!$K$2:$V$2,0)))</f>
        <v/>
      </c>
      <c r="L38" s="333" t="str">
        <f>IF(OR(OrganisationalWasteTable[[#This Row],[Waste type]]="",OrganisationalWasteTable[[#This Row],[Converted data]]=""),"",SUM(OrganisationalWasteTable[[#This Row],[Direct]:[Indirect WTT]]))</f>
        <v/>
      </c>
      <c r="M38" s="103"/>
      <c r="N38" s="101"/>
      <c r="O38" s="161" t="str" cm="1">
        <f t="array" ref="O38">IF(OR($B38="",$G38="",$I38=""),"",(INDEX('Emission factors'!$K$3:$V$381,MATCH($B38&amp;$C38,'Emission factors'!$K$3:$K$381&amp;'Emission factors'!$L$3:$L$381,0),MATCH(O$7,'Emission factors'!$K$2:$V$2,0)))*$I38)</f>
        <v/>
      </c>
      <c r="P38" s="161" t="str" cm="1">
        <f t="array" ref="P38">IF(OR($B38="",$G38="",$I38=""),"",(INDEX('Emission factors'!$K$3:$V$381,MATCH($B38&amp;$C38,'Emission factors'!$K$3:$K$381&amp;'Emission factors'!$L$3:$L$381,0),MATCH(P$7,'Emission factors'!$K$2:$V$2,0)))*$I38)</f>
        <v/>
      </c>
      <c r="Q38" s="161" t="str" cm="1">
        <f t="array" ref="Q38">IF(OR($B38="",$G38="",$I38=""),"",(INDEX('Emission factors'!$K$3:$V$381,MATCH($B38&amp;$C38,'Emission factors'!$K$3:$K$381&amp;'Emission factors'!$L$3:$L$381,0),MATCH(Q$7,'Emission factors'!$K$2:$V$2,0)))*$I38)</f>
        <v/>
      </c>
      <c r="R38" s="161" t="str" cm="1">
        <f t="array" ref="R38">IF(OR($B38="",$G38="",$I38=""),"",(INDEX('Emission factors'!$K$3:$V$381,MATCH($B38&amp;$C38,'Emission factors'!$K$3:$K$381&amp;'Emission factors'!$L$3:$L$381,0),MATCH(R$7,'Emission factors'!$K$2:$V$2,0)))*$I38)</f>
        <v/>
      </c>
      <c r="S38" s="161" t="str" cm="1">
        <f t="array" ref="S38">IF(OR($B38="",$G38="",$I38=""),"",(INDEX('Emission factors'!$K$3:$V$381,MATCH($B38&amp;$C38,'Emission factors'!$K$3:$K$381&amp;'Emission factors'!$L$3:$L$381,0),MATCH(S$7,'Emission factors'!$K$2:$V$2,0)))*$I38)</f>
        <v/>
      </c>
      <c r="T38" s="354" t="str">
        <f t="shared" si="0"/>
        <v/>
      </c>
      <c r="U38" s="357" t="str">
        <f>IF(OR(OrganisationalWasteTable[[#This Row],[RSD]]="", OrganisationalWasteTable[[#This Row],[Total emissions]]=""), "", OrganisationalWasteTable[[#This Row],[Total emissions]]*(1-OrganisationalWasteTable[[#This Row],[RSD]]))</f>
        <v/>
      </c>
      <c r="V38" s="356" t="str" cm="1">
        <f t="array" ref="V38">IF(OR($B38="",$G38="",$I38=""),"",(INDEX('Emission factors'!$K$3:$V$381,MATCH($B38&amp;$C38,'Emission factors'!$K$3:$K$381&amp;'Emission factors'!$L$3:$L$381,0),MATCH(V$7,'Emission factors'!$K$2:$V$2,0)))*$I38)</f>
        <v/>
      </c>
      <c r="W38" s="351"/>
      <c r="X38" s="1" cm="1">
        <f t="array" ref="X38">IF(OR(ISERROR(B38:V38)),1,0)</f>
        <v>0</v>
      </c>
      <c r="Y38" s="1">
        <f t="shared" si="1"/>
        <v>0</v>
      </c>
    </row>
    <row r="39" spans="2:25" ht="15" thickBot="1" x14ac:dyDescent="0.4">
      <c r="B39" s="100"/>
      <c r="C39" s="101"/>
      <c r="D39" s="6"/>
      <c r="E39" s="101"/>
      <c r="F39" s="352" t="str">
        <f>IF(E39="","",INDEX(Methodologytier,MATCH(B$50,Lists!$AZ$4:$AZ$32,0),MATCH(E39,Lists!$BA$3:$BC$3,0)))</f>
        <v/>
      </c>
      <c r="G39" s="70"/>
      <c r="H39" s="101"/>
      <c r="I39" s="333" t="str" cm="1">
        <f t="array" ref="I39">IF(OR($B39="",$C39="",H39=""),"",IF(H39=J39,G39,(INDEX('Emission factors'!$K$3:$V$381,MATCH($B39&amp;$C39,'Emission factors'!$K$3:$K$381&amp;'Emission factors'!$L$3:$L$381,0),MATCH($I$7,'Emission factors'!$K$2:$V$2,0)))*G39))</f>
        <v/>
      </c>
      <c r="J39" s="332" t="str" cm="1">
        <f t="array" ref="J39">IF(OR($B39="",$G39="",OrganisationalWasteTable[[#This Row],[Units]]=""),"",INDEX('Emission factors'!$K$3:$V$381,MATCH($B39&amp;$C39,'Emission factors'!$K$3:$K$381&amp;'Emission factors'!$L$3:$L$381,0),MATCH($J$7,'Emission factors'!$K$2:$V$2,0)))</f>
        <v/>
      </c>
      <c r="K39" s="353" t="str" cm="1">
        <f t="array" ref="K39">IF(OR(B39="",C39="",OrganisationalWasteTable[[#This Row],[Data]]=""),"",INDEX('Emission factors'!$K$3:$V$381,MATCH($B39&amp;$C39,'Emission factors'!$K$3:$K$381&amp;'Emission factors'!$L$3:$L$381,0),MATCH($K$7,'Emission factors'!$K$2:$V$2,0)))</f>
        <v/>
      </c>
      <c r="L39" s="333" t="str">
        <f>IF(OR(OrganisationalWasteTable[[#This Row],[Waste type]]="",OrganisationalWasteTable[[#This Row],[Converted data]]=""),"",SUM(OrganisationalWasteTable[[#This Row],[Direct]:[Indirect WTT]]))</f>
        <v/>
      </c>
      <c r="M39" s="103"/>
      <c r="N39" s="101"/>
      <c r="O39" s="161" t="str" cm="1">
        <f t="array" ref="O39">IF(OR($B39="",$G39="",$I39=""),"",(INDEX('Emission factors'!$K$3:$V$381,MATCH($B39&amp;$C39,'Emission factors'!$K$3:$K$381&amp;'Emission factors'!$L$3:$L$381,0),MATCH(O$7,'Emission factors'!$K$2:$V$2,0)))*$I39)</f>
        <v/>
      </c>
      <c r="P39" s="161" t="str" cm="1">
        <f t="array" ref="P39">IF(OR($B39="",$G39="",$I39=""),"",(INDEX('Emission factors'!$K$3:$V$381,MATCH($B39&amp;$C39,'Emission factors'!$K$3:$K$381&amp;'Emission factors'!$L$3:$L$381,0),MATCH(P$7,'Emission factors'!$K$2:$V$2,0)))*$I39)</f>
        <v/>
      </c>
      <c r="Q39" s="161" t="str" cm="1">
        <f t="array" ref="Q39">IF(OR($B39="",$G39="",$I39=""),"",(INDEX('Emission factors'!$K$3:$V$381,MATCH($B39&amp;$C39,'Emission factors'!$K$3:$K$381&amp;'Emission factors'!$L$3:$L$381,0),MATCH(Q$7,'Emission factors'!$K$2:$V$2,0)))*$I39)</f>
        <v/>
      </c>
      <c r="R39" s="161" t="str" cm="1">
        <f t="array" ref="R39">IF(OR($B39="",$G39="",$I39=""),"",(INDEX('Emission factors'!$K$3:$V$381,MATCH($B39&amp;$C39,'Emission factors'!$K$3:$K$381&amp;'Emission factors'!$L$3:$L$381,0),MATCH(R$7,'Emission factors'!$K$2:$V$2,0)))*$I39)</f>
        <v/>
      </c>
      <c r="S39" s="161" t="str" cm="1">
        <f t="array" ref="S39">IF(OR($B39="",$G39="",$I39=""),"",(INDEX('Emission factors'!$K$3:$V$381,MATCH($B39&amp;$C39,'Emission factors'!$K$3:$K$381&amp;'Emission factors'!$L$3:$L$381,0),MATCH(S$7,'Emission factors'!$K$2:$V$2,0)))*$I39)</f>
        <v/>
      </c>
      <c r="T39" s="354" t="str">
        <f t="shared" si="0"/>
        <v/>
      </c>
      <c r="U39" s="357" t="str">
        <f>IF(OR(OrganisationalWasteTable[[#This Row],[RSD]]="", OrganisationalWasteTable[[#This Row],[Total emissions]]=""), "", OrganisationalWasteTable[[#This Row],[Total emissions]]*(1-OrganisationalWasteTable[[#This Row],[RSD]]))</f>
        <v/>
      </c>
      <c r="V39" s="356" t="str" cm="1">
        <f t="array" ref="V39">IF(OR($B39="",$G39="",$I39=""),"",(INDEX('Emission factors'!$K$3:$V$381,MATCH($B39&amp;$C39,'Emission factors'!$K$3:$K$381&amp;'Emission factors'!$L$3:$L$381,0),MATCH(V$7,'Emission factors'!$K$2:$V$2,0)))*$I39)</f>
        <v/>
      </c>
      <c r="W39" s="351"/>
      <c r="X39" s="1" cm="1">
        <f t="array" ref="X39">IF(OR(ISERROR(B39:V39)),1,0)</f>
        <v>0</v>
      </c>
      <c r="Y39" s="1">
        <f t="shared" si="1"/>
        <v>0</v>
      </c>
    </row>
    <row r="40" spans="2:25" ht="15" thickBot="1" x14ac:dyDescent="0.4">
      <c r="B40" s="100"/>
      <c r="C40" s="101"/>
      <c r="D40" s="6"/>
      <c r="E40" s="101"/>
      <c r="F40" s="352" t="str">
        <f>IF(E40="","",INDEX(Methodologytier,MATCH(B$50,Lists!$AZ$4:$AZ$32,0),MATCH(E40,Lists!$BA$3:$BC$3,0)))</f>
        <v/>
      </c>
      <c r="G40" s="70"/>
      <c r="H40" s="101"/>
      <c r="I40" s="333" t="str" cm="1">
        <f t="array" ref="I40">IF(OR($B40="",$C40="",H40=""),"",IF(H40=J40,G40,(INDEX('Emission factors'!$K$3:$V$381,MATCH($B40&amp;$C40,'Emission factors'!$K$3:$K$381&amp;'Emission factors'!$L$3:$L$381,0),MATCH($I$7,'Emission factors'!$K$2:$V$2,0)))*G40))</f>
        <v/>
      </c>
      <c r="J40" s="332" t="str" cm="1">
        <f t="array" ref="J40">IF(OR($B40="",$G40="",OrganisationalWasteTable[[#This Row],[Units]]=""),"",INDEX('Emission factors'!$K$3:$V$381,MATCH($B40&amp;$C40,'Emission factors'!$K$3:$K$381&amp;'Emission factors'!$L$3:$L$381,0),MATCH($J$7,'Emission factors'!$K$2:$V$2,0)))</f>
        <v/>
      </c>
      <c r="K40" s="353" t="str" cm="1">
        <f t="array" ref="K40">IF(OR(B40="",C40="",OrganisationalWasteTable[[#This Row],[Data]]=""),"",INDEX('Emission factors'!$K$3:$V$381,MATCH($B40&amp;$C40,'Emission factors'!$K$3:$K$381&amp;'Emission factors'!$L$3:$L$381,0),MATCH($K$7,'Emission factors'!$K$2:$V$2,0)))</f>
        <v/>
      </c>
      <c r="L40" s="333" t="str">
        <f>IF(OR(OrganisationalWasteTable[[#This Row],[Waste type]]="",OrganisationalWasteTable[[#This Row],[Converted data]]=""),"",SUM(OrganisationalWasteTable[[#This Row],[Direct]:[Indirect WTT]]))</f>
        <v/>
      </c>
      <c r="M40" s="103"/>
      <c r="N40" s="101"/>
      <c r="O40" s="161" t="str" cm="1">
        <f t="array" ref="O40">IF(OR($B40="",$G40="",$I40=""),"",(INDEX('Emission factors'!$K$3:$V$381,MATCH($B40&amp;$C40,'Emission factors'!$K$3:$K$381&amp;'Emission factors'!$L$3:$L$381,0),MATCH(O$7,'Emission factors'!$K$2:$V$2,0)))*$I40)</f>
        <v/>
      </c>
      <c r="P40" s="161" t="str" cm="1">
        <f t="array" ref="P40">IF(OR($B40="",$G40="",$I40=""),"",(INDEX('Emission factors'!$K$3:$V$381,MATCH($B40&amp;$C40,'Emission factors'!$K$3:$K$381&amp;'Emission factors'!$L$3:$L$381,0),MATCH(P$7,'Emission factors'!$K$2:$V$2,0)))*$I40)</f>
        <v/>
      </c>
      <c r="Q40" s="161" t="str" cm="1">
        <f t="array" ref="Q40">IF(OR($B40="",$G40="",$I40=""),"",(INDEX('Emission factors'!$K$3:$V$381,MATCH($B40&amp;$C40,'Emission factors'!$K$3:$K$381&amp;'Emission factors'!$L$3:$L$381,0),MATCH(Q$7,'Emission factors'!$K$2:$V$2,0)))*$I40)</f>
        <v/>
      </c>
      <c r="R40" s="161" t="str" cm="1">
        <f t="array" ref="R40">IF(OR($B40="",$G40="",$I40=""),"",(INDEX('Emission factors'!$K$3:$V$381,MATCH($B40&amp;$C40,'Emission factors'!$K$3:$K$381&amp;'Emission factors'!$L$3:$L$381,0),MATCH(R$7,'Emission factors'!$K$2:$V$2,0)))*$I40)</f>
        <v/>
      </c>
      <c r="S40" s="161" t="str" cm="1">
        <f t="array" ref="S40">IF(OR($B40="",$G40="",$I40=""),"",(INDEX('Emission factors'!$K$3:$V$381,MATCH($B40&amp;$C40,'Emission factors'!$K$3:$K$381&amp;'Emission factors'!$L$3:$L$381,0),MATCH(S$7,'Emission factors'!$K$2:$V$2,0)))*$I40)</f>
        <v/>
      </c>
      <c r="T40" s="354" t="str">
        <f t="shared" si="0"/>
        <v/>
      </c>
      <c r="U40" s="357" t="str">
        <f>IF(OR(OrganisationalWasteTable[[#This Row],[RSD]]="", OrganisationalWasteTable[[#This Row],[Total emissions]]=""), "", OrganisationalWasteTable[[#This Row],[Total emissions]]*(1-OrganisationalWasteTable[[#This Row],[RSD]]))</f>
        <v/>
      </c>
      <c r="V40" s="356" t="str" cm="1">
        <f t="array" ref="V40">IF(OR($B40="",$G40="",$I40=""),"",(INDEX('Emission factors'!$K$3:$V$381,MATCH($B40&amp;$C40,'Emission factors'!$K$3:$K$381&amp;'Emission factors'!$L$3:$L$381,0),MATCH(V$7,'Emission factors'!$K$2:$V$2,0)))*$I40)</f>
        <v/>
      </c>
      <c r="W40" s="351"/>
      <c r="X40" s="1" cm="1">
        <f t="array" ref="X40">IF(OR(ISERROR(B40:V40)),1,0)</f>
        <v>0</v>
      </c>
      <c r="Y40" s="1">
        <f t="shared" si="1"/>
        <v>0</v>
      </c>
    </row>
    <row r="41" spans="2:25" ht="15" thickBot="1" x14ac:dyDescent="0.4">
      <c r="B41" s="100"/>
      <c r="C41" s="101"/>
      <c r="D41" s="6"/>
      <c r="E41" s="101"/>
      <c r="F41" s="352" t="str">
        <f>IF(E41="","",INDEX(Methodologytier,MATCH(B$50,Lists!$AZ$4:$AZ$32,0),MATCH(E41,Lists!$BA$3:$BC$3,0)))</f>
        <v/>
      </c>
      <c r="G41" s="70"/>
      <c r="H41" s="101"/>
      <c r="I41" s="333" t="str" cm="1">
        <f t="array" ref="I41">IF(OR($B41="",$C41="",H41=""),"",IF(H41=J41,G41,(INDEX('Emission factors'!$K$3:$V$381,MATCH($B41&amp;$C41,'Emission factors'!$K$3:$K$381&amp;'Emission factors'!$L$3:$L$381,0),MATCH($I$7,'Emission factors'!$K$2:$V$2,0)))*G41))</f>
        <v/>
      </c>
      <c r="J41" s="332" t="str" cm="1">
        <f t="array" ref="J41">IF(OR($B41="",$G41="",OrganisationalWasteTable[[#This Row],[Units]]=""),"",INDEX('Emission factors'!$K$3:$V$381,MATCH($B41&amp;$C41,'Emission factors'!$K$3:$K$381&amp;'Emission factors'!$L$3:$L$381,0),MATCH($J$7,'Emission factors'!$K$2:$V$2,0)))</f>
        <v/>
      </c>
      <c r="K41" s="353" t="str" cm="1">
        <f t="array" ref="K41">IF(OR(B41="",C41="",OrganisationalWasteTable[[#This Row],[Data]]=""),"",INDEX('Emission factors'!$K$3:$V$381,MATCH($B41&amp;$C41,'Emission factors'!$K$3:$K$381&amp;'Emission factors'!$L$3:$L$381,0),MATCH($K$7,'Emission factors'!$K$2:$V$2,0)))</f>
        <v/>
      </c>
      <c r="L41" s="333" t="str">
        <f>IF(OR(OrganisationalWasteTable[[#This Row],[Waste type]]="",OrganisationalWasteTable[[#This Row],[Converted data]]=""),"",SUM(OrganisationalWasteTable[[#This Row],[Direct]:[Indirect WTT]]))</f>
        <v/>
      </c>
      <c r="M41" s="103"/>
      <c r="N41" s="101"/>
      <c r="O41" s="161" t="str" cm="1">
        <f t="array" ref="O41">IF(OR($B41="",$G41="",$I41=""),"",(INDEX('Emission factors'!$K$3:$V$381,MATCH($B41&amp;$C41,'Emission factors'!$K$3:$K$381&amp;'Emission factors'!$L$3:$L$381,0),MATCH(O$7,'Emission factors'!$K$2:$V$2,0)))*$I41)</f>
        <v/>
      </c>
      <c r="P41" s="161" t="str" cm="1">
        <f t="array" ref="P41">IF(OR($B41="",$G41="",$I41=""),"",(INDEX('Emission factors'!$K$3:$V$381,MATCH($B41&amp;$C41,'Emission factors'!$K$3:$K$381&amp;'Emission factors'!$L$3:$L$381,0),MATCH(P$7,'Emission factors'!$K$2:$V$2,0)))*$I41)</f>
        <v/>
      </c>
      <c r="Q41" s="161" t="str" cm="1">
        <f t="array" ref="Q41">IF(OR($B41="",$G41="",$I41=""),"",(INDEX('Emission factors'!$K$3:$V$381,MATCH($B41&amp;$C41,'Emission factors'!$K$3:$K$381&amp;'Emission factors'!$L$3:$L$381,0),MATCH(Q$7,'Emission factors'!$K$2:$V$2,0)))*$I41)</f>
        <v/>
      </c>
      <c r="R41" s="161" t="str" cm="1">
        <f t="array" ref="R41">IF(OR($B41="",$G41="",$I41=""),"",(INDEX('Emission factors'!$K$3:$V$381,MATCH($B41&amp;$C41,'Emission factors'!$K$3:$K$381&amp;'Emission factors'!$L$3:$L$381,0),MATCH(R$7,'Emission factors'!$K$2:$V$2,0)))*$I41)</f>
        <v/>
      </c>
      <c r="S41" s="161" t="str" cm="1">
        <f t="array" ref="S41">IF(OR($B41="",$G41="",$I41=""),"",(INDEX('Emission factors'!$K$3:$V$381,MATCH($B41&amp;$C41,'Emission factors'!$K$3:$K$381&amp;'Emission factors'!$L$3:$L$381,0),MATCH(S$7,'Emission factors'!$K$2:$V$2,0)))*$I41)</f>
        <v/>
      </c>
      <c r="T41" s="354" t="str">
        <f t="shared" si="0"/>
        <v/>
      </c>
      <c r="U41" s="357" t="str">
        <f>IF(OR(OrganisationalWasteTable[[#This Row],[RSD]]="", OrganisationalWasteTable[[#This Row],[Total emissions]]=""), "", OrganisationalWasteTable[[#This Row],[Total emissions]]*(1-OrganisationalWasteTable[[#This Row],[RSD]]))</f>
        <v/>
      </c>
      <c r="V41" s="356" t="str" cm="1">
        <f t="array" ref="V41">IF(OR($B41="",$G41="",$I41=""),"",(INDEX('Emission factors'!$K$3:$V$381,MATCH($B41&amp;$C41,'Emission factors'!$K$3:$K$381&amp;'Emission factors'!$L$3:$L$381,0),MATCH(V$7,'Emission factors'!$K$2:$V$2,0)))*$I41)</f>
        <v/>
      </c>
      <c r="W41" s="351"/>
      <c r="X41" s="1" cm="1">
        <f t="array" ref="X41">IF(OR(ISERROR(B41:V41)),1,0)</f>
        <v>0</v>
      </c>
      <c r="Y41" s="1">
        <f t="shared" si="1"/>
        <v>0</v>
      </c>
    </row>
    <row r="42" spans="2:25" ht="15" thickBot="1" x14ac:dyDescent="0.4">
      <c r="B42" s="100"/>
      <c r="C42" s="101"/>
      <c r="D42" s="6"/>
      <c r="E42" s="101"/>
      <c r="F42" s="352" t="str">
        <f>IF(E42="","",INDEX(Methodologytier,MATCH(B$50,Lists!$AZ$4:$AZ$32,0),MATCH(E42,Lists!$BA$3:$BC$3,0)))</f>
        <v/>
      </c>
      <c r="G42" s="70"/>
      <c r="H42" s="101"/>
      <c r="I42" s="333" t="str" cm="1">
        <f t="array" ref="I42">IF(OR($B42="",$C42="",H42=""),"",IF(H42=J42,G42,(INDEX('Emission factors'!$K$3:$V$381,MATCH($B42&amp;$C42,'Emission factors'!$K$3:$K$381&amp;'Emission factors'!$L$3:$L$381,0),MATCH($I$7,'Emission factors'!$K$2:$V$2,0)))*G42))</f>
        <v/>
      </c>
      <c r="J42" s="332" t="str" cm="1">
        <f t="array" ref="J42">IF(OR($B42="",$G42="",OrganisationalWasteTable[[#This Row],[Units]]=""),"",INDEX('Emission factors'!$K$3:$V$381,MATCH($B42&amp;$C42,'Emission factors'!$K$3:$K$381&amp;'Emission factors'!$L$3:$L$381,0),MATCH($J$7,'Emission factors'!$K$2:$V$2,0)))</f>
        <v/>
      </c>
      <c r="K42" s="353" t="str" cm="1">
        <f t="array" ref="K42">IF(OR(B42="",C42="",OrganisationalWasteTable[[#This Row],[Data]]=""),"",INDEX('Emission factors'!$K$3:$V$381,MATCH($B42&amp;$C42,'Emission factors'!$K$3:$K$381&amp;'Emission factors'!$L$3:$L$381,0),MATCH($K$7,'Emission factors'!$K$2:$V$2,0)))</f>
        <v/>
      </c>
      <c r="L42" s="333" t="str">
        <f>IF(OR(OrganisationalWasteTable[[#This Row],[Waste type]]="",OrganisationalWasteTable[[#This Row],[Converted data]]=""),"",SUM(OrganisationalWasteTable[[#This Row],[Direct]:[Indirect WTT]]))</f>
        <v/>
      </c>
      <c r="M42" s="103"/>
      <c r="N42" s="101"/>
      <c r="O42" s="161" t="str" cm="1">
        <f t="array" ref="O42">IF(OR($B42="",$G42="",$I42=""),"",(INDEX('Emission factors'!$K$3:$V$381,MATCH($B42&amp;$C42,'Emission factors'!$K$3:$K$381&amp;'Emission factors'!$L$3:$L$381,0),MATCH(O$7,'Emission factors'!$K$2:$V$2,0)))*$I42)</f>
        <v/>
      </c>
      <c r="P42" s="161" t="str" cm="1">
        <f t="array" ref="P42">IF(OR($B42="",$G42="",$I42=""),"",(INDEX('Emission factors'!$K$3:$V$381,MATCH($B42&amp;$C42,'Emission factors'!$K$3:$K$381&amp;'Emission factors'!$L$3:$L$381,0),MATCH(P$7,'Emission factors'!$K$2:$V$2,0)))*$I42)</f>
        <v/>
      </c>
      <c r="Q42" s="161" t="str" cm="1">
        <f t="array" ref="Q42">IF(OR($B42="",$G42="",$I42=""),"",(INDEX('Emission factors'!$K$3:$V$381,MATCH($B42&amp;$C42,'Emission factors'!$K$3:$K$381&amp;'Emission factors'!$L$3:$L$381,0),MATCH(Q$7,'Emission factors'!$K$2:$V$2,0)))*$I42)</f>
        <v/>
      </c>
      <c r="R42" s="161" t="str" cm="1">
        <f t="array" ref="R42">IF(OR($B42="",$G42="",$I42=""),"",(INDEX('Emission factors'!$K$3:$V$381,MATCH($B42&amp;$C42,'Emission factors'!$K$3:$K$381&amp;'Emission factors'!$L$3:$L$381,0),MATCH(R$7,'Emission factors'!$K$2:$V$2,0)))*$I42)</f>
        <v/>
      </c>
      <c r="S42" s="161" t="str" cm="1">
        <f t="array" ref="S42">IF(OR($B42="",$G42="",$I42=""),"",(INDEX('Emission factors'!$K$3:$V$381,MATCH($B42&amp;$C42,'Emission factors'!$K$3:$K$381&amp;'Emission factors'!$L$3:$L$381,0),MATCH(S$7,'Emission factors'!$K$2:$V$2,0)))*$I42)</f>
        <v/>
      </c>
      <c r="T42" s="354" t="str">
        <f t="shared" si="0"/>
        <v/>
      </c>
      <c r="U42" s="357" t="str">
        <f>IF(OR(OrganisationalWasteTable[[#This Row],[RSD]]="", OrganisationalWasteTable[[#This Row],[Total emissions]]=""), "", OrganisationalWasteTable[[#This Row],[Total emissions]]*(1-OrganisationalWasteTable[[#This Row],[RSD]]))</f>
        <v/>
      </c>
      <c r="V42" s="356" t="str" cm="1">
        <f t="array" ref="V42">IF(OR($B42="",$G42="",$I42=""),"",(INDEX('Emission factors'!$K$3:$V$381,MATCH($B42&amp;$C42,'Emission factors'!$K$3:$K$381&amp;'Emission factors'!$L$3:$L$381,0),MATCH(V$7,'Emission factors'!$K$2:$V$2,0)))*$I42)</f>
        <v/>
      </c>
      <c r="W42" s="351"/>
      <c r="X42" s="1" cm="1">
        <f t="array" ref="X42">IF(OR(ISERROR(B42:V42)),1,0)</f>
        <v>0</v>
      </c>
      <c r="Y42" s="1">
        <f t="shared" si="1"/>
        <v>0</v>
      </c>
    </row>
    <row r="43" spans="2:25" ht="15" thickBot="1" x14ac:dyDescent="0.4">
      <c r="B43" s="100"/>
      <c r="C43" s="101"/>
      <c r="D43" s="6"/>
      <c r="E43" s="101"/>
      <c r="F43" s="352" t="str">
        <f>IF(E43="","",INDEX(Methodologytier,MATCH(B$50,Lists!$AZ$4:$AZ$32,0),MATCH(E43,Lists!$BA$3:$BC$3,0)))</f>
        <v/>
      </c>
      <c r="G43" s="70"/>
      <c r="H43" s="101"/>
      <c r="I43" s="333" t="str" cm="1">
        <f t="array" ref="I43">IF(OR($B43="",$C43="",H43=""),"",IF(H43=J43,G43,(INDEX('Emission factors'!$K$3:$V$381,MATCH($B43&amp;$C43,'Emission factors'!$K$3:$K$381&amp;'Emission factors'!$L$3:$L$381,0),MATCH($I$7,'Emission factors'!$K$2:$V$2,0)))*G43))</f>
        <v/>
      </c>
      <c r="J43" s="332" t="str" cm="1">
        <f t="array" ref="J43">IF(OR($B43="",$G43="",OrganisationalWasteTable[[#This Row],[Units]]=""),"",INDEX('Emission factors'!$K$3:$V$381,MATCH($B43&amp;$C43,'Emission factors'!$K$3:$K$381&amp;'Emission factors'!$L$3:$L$381,0),MATCH($J$7,'Emission factors'!$K$2:$V$2,0)))</f>
        <v/>
      </c>
      <c r="K43" s="353" t="str" cm="1">
        <f t="array" ref="K43">IF(OR(B43="",C43="",OrganisationalWasteTable[[#This Row],[Data]]=""),"",INDEX('Emission factors'!$K$3:$V$381,MATCH($B43&amp;$C43,'Emission factors'!$K$3:$K$381&amp;'Emission factors'!$L$3:$L$381,0),MATCH($K$7,'Emission factors'!$K$2:$V$2,0)))</f>
        <v/>
      </c>
      <c r="L43" s="333" t="str">
        <f>IF(OR(OrganisationalWasteTable[[#This Row],[Waste type]]="",OrganisationalWasteTable[[#This Row],[Converted data]]=""),"",SUM(OrganisationalWasteTable[[#This Row],[Direct]:[Indirect WTT]]))</f>
        <v/>
      </c>
      <c r="M43" s="103"/>
      <c r="N43" s="101"/>
      <c r="O43" s="161" t="str" cm="1">
        <f t="array" ref="O43">IF(OR($B43="",$G43="",$I43=""),"",(INDEX('Emission factors'!$K$3:$V$381,MATCH($B43&amp;$C43,'Emission factors'!$K$3:$K$381&amp;'Emission factors'!$L$3:$L$381,0),MATCH(O$7,'Emission factors'!$K$2:$V$2,0)))*$I43)</f>
        <v/>
      </c>
      <c r="P43" s="161" t="str" cm="1">
        <f t="array" ref="P43">IF(OR($B43="",$G43="",$I43=""),"",(INDEX('Emission factors'!$K$3:$V$381,MATCH($B43&amp;$C43,'Emission factors'!$K$3:$K$381&amp;'Emission factors'!$L$3:$L$381,0),MATCH(P$7,'Emission factors'!$K$2:$V$2,0)))*$I43)</f>
        <v/>
      </c>
      <c r="Q43" s="161" t="str" cm="1">
        <f t="array" ref="Q43">IF(OR($B43="",$G43="",$I43=""),"",(INDEX('Emission factors'!$K$3:$V$381,MATCH($B43&amp;$C43,'Emission factors'!$K$3:$K$381&amp;'Emission factors'!$L$3:$L$381,0),MATCH(Q$7,'Emission factors'!$K$2:$V$2,0)))*$I43)</f>
        <v/>
      </c>
      <c r="R43" s="161" t="str" cm="1">
        <f t="array" ref="R43">IF(OR($B43="",$G43="",$I43=""),"",(INDEX('Emission factors'!$K$3:$V$381,MATCH($B43&amp;$C43,'Emission factors'!$K$3:$K$381&amp;'Emission factors'!$L$3:$L$381,0),MATCH(R$7,'Emission factors'!$K$2:$V$2,0)))*$I43)</f>
        <v/>
      </c>
      <c r="S43" s="161" t="str" cm="1">
        <f t="array" ref="S43">IF(OR($B43="",$G43="",$I43=""),"",(INDEX('Emission factors'!$K$3:$V$381,MATCH($B43&amp;$C43,'Emission factors'!$K$3:$K$381&amp;'Emission factors'!$L$3:$L$381,0),MATCH(S$7,'Emission factors'!$K$2:$V$2,0)))*$I43)</f>
        <v/>
      </c>
      <c r="T43" s="354" t="str">
        <f t="shared" si="0"/>
        <v/>
      </c>
      <c r="U43" s="357" t="str">
        <f>IF(OR(OrganisationalWasteTable[[#This Row],[RSD]]="", OrganisationalWasteTable[[#This Row],[Total emissions]]=""), "", OrganisationalWasteTable[[#This Row],[Total emissions]]*(1-OrganisationalWasteTable[[#This Row],[RSD]]))</f>
        <v/>
      </c>
      <c r="V43" s="356" t="str" cm="1">
        <f t="array" ref="V43">IF(OR($B43="",$G43="",$I43=""),"",(INDEX('Emission factors'!$K$3:$V$381,MATCH($B43&amp;$C43,'Emission factors'!$K$3:$K$381&amp;'Emission factors'!$L$3:$L$381,0),MATCH(V$7,'Emission factors'!$K$2:$V$2,0)))*$I43)</f>
        <v/>
      </c>
      <c r="W43" s="351"/>
      <c r="X43" s="1" cm="1">
        <f t="array" ref="X43">IF(OR(ISERROR(B43:V43)),1,0)</f>
        <v>0</v>
      </c>
      <c r="Y43" s="1">
        <f t="shared" si="1"/>
        <v>0</v>
      </c>
    </row>
    <row r="44" spans="2:25" ht="15" thickBot="1" x14ac:dyDescent="0.4">
      <c r="B44" s="100"/>
      <c r="C44" s="101"/>
      <c r="D44" s="6"/>
      <c r="E44" s="101"/>
      <c r="F44" s="352" t="str">
        <f>IF(E44="","",INDEX(Methodologytier,MATCH(B$50,Lists!$AZ$4:$AZ$32,0),MATCH(E44,Lists!$BA$3:$BC$3,0)))</f>
        <v/>
      </c>
      <c r="G44" s="70"/>
      <c r="H44" s="101"/>
      <c r="I44" s="333" t="str" cm="1">
        <f t="array" ref="I44">IF(OR($B44="",$C44="",H44=""),"",IF(H44=J44,G44,(INDEX('Emission factors'!$K$3:$V$381,MATCH($B44&amp;$C44,'Emission factors'!$K$3:$K$381&amp;'Emission factors'!$L$3:$L$381,0),MATCH($I$7,'Emission factors'!$K$2:$V$2,0)))*G44))</f>
        <v/>
      </c>
      <c r="J44" s="332" t="str" cm="1">
        <f t="array" ref="J44">IF(OR($B44="",$G44="",OrganisationalWasteTable[[#This Row],[Units]]=""),"",INDEX('Emission factors'!$K$3:$V$381,MATCH($B44&amp;$C44,'Emission factors'!$K$3:$K$381&amp;'Emission factors'!$L$3:$L$381,0),MATCH($J$7,'Emission factors'!$K$2:$V$2,0)))</f>
        <v/>
      </c>
      <c r="K44" s="353" t="str" cm="1">
        <f t="array" ref="K44">IF(OR(B44="",C44="",OrganisationalWasteTable[[#This Row],[Data]]=""),"",INDEX('Emission factors'!$K$3:$V$381,MATCH($B44&amp;$C44,'Emission factors'!$K$3:$K$381&amp;'Emission factors'!$L$3:$L$381,0),MATCH($K$7,'Emission factors'!$K$2:$V$2,0)))</f>
        <v/>
      </c>
      <c r="L44" s="333" t="str">
        <f>IF(OR(OrganisationalWasteTable[[#This Row],[Waste type]]="",OrganisationalWasteTable[[#This Row],[Converted data]]=""),"",SUM(OrganisationalWasteTable[[#This Row],[Direct]:[Indirect WTT]]))</f>
        <v/>
      </c>
      <c r="M44" s="103"/>
      <c r="N44" s="101"/>
      <c r="O44" s="161" t="str" cm="1">
        <f t="array" ref="O44">IF(OR($B44="",$G44="",$I44=""),"",(INDEX('Emission factors'!$K$3:$V$381,MATCH($B44&amp;$C44,'Emission factors'!$K$3:$K$381&amp;'Emission factors'!$L$3:$L$381,0),MATCH(O$7,'Emission factors'!$K$2:$V$2,0)))*$I44)</f>
        <v/>
      </c>
      <c r="P44" s="161" t="str" cm="1">
        <f t="array" ref="P44">IF(OR($B44="",$G44="",$I44=""),"",(INDEX('Emission factors'!$K$3:$V$381,MATCH($B44&amp;$C44,'Emission factors'!$K$3:$K$381&amp;'Emission factors'!$L$3:$L$381,0),MATCH(P$7,'Emission factors'!$K$2:$V$2,0)))*$I44)</f>
        <v/>
      </c>
      <c r="Q44" s="161" t="str" cm="1">
        <f t="array" ref="Q44">IF(OR($B44="",$G44="",$I44=""),"",(INDEX('Emission factors'!$K$3:$V$381,MATCH($B44&amp;$C44,'Emission factors'!$K$3:$K$381&amp;'Emission factors'!$L$3:$L$381,0),MATCH(Q$7,'Emission factors'!$K$2:$V$2,0)))*$I44)</f>
        <v/>
      </c>
      <c r="R44" s="161" t="str" cm="1">
        <f t="array" ref="R44">IF(OR($B44="",$G44="",$I44=""),"",(INDEX('Emission factors'!$K$3:$V$381,MATCH($B44&amp;$C44,'Emission factors'!$K$3:$K$381&amp;'Emission factors'!$L$3:$L$381,0),MATCH(R$7,'Emission factors'!$K$2:$V$2,0)))*$I44)</f>
        <v/>
      </c>
      <c r="S44" s="161" t="str" cm="1">
        <f t="array" ref="S44">IF(OR($B44="",$G44="",$I44=""),"",(INDEX('Emission factors'!$K$3:$V$381,MATCH($B44&amp;$C44,'Emission factors'!$K$3:$K$381&amp;'Emission factors'!$L$3:$L$381,0),MATCH(S$7,'Emission factors'!$K$2:$V$2,0)))*$I44)</f>
        <v/>
      </c>
      <c r="T44" s="354" t="str">
        <f t="shared" si="0"/>
        <v/>
      </c>
      <c r="U44" s="357" t="str">
        <f>IF(OR(OrganisationalWasteTable[[#This Row],[RSD]]="", OrganisationalWasteTable[[#This Row],[Total emissions]]=""), "", OrganisationalWasteTable[[#This Row],[Total emissions]]*(1-OrganisationalWasteTable[[#This Row],[RSD]]))</f>
        <v/>
      </c>
      <c r="V44" s="356" t="str" cm="1">
        <f t="array" ref="V44">IF(OR($B44="",$G44="",$I44=""),"",(INDEX('Emission factors'!$K$3:$V$381,MATCH($B44&amp;$C44,'Emission factors'!$K$3:$K$381&amp;'Emission factors'!$L$3:$L$381,0),MATCH(V$7,'Emission factors'!$K$2:$V$2,0)))*$I44)</f>
        <v/>
      </c>
      <c r="W44" s="351"/>
      <c r="X44" s="1" cm="1">
        <f t="array" ref="X44">IF(OR(ISERROR(B44:V44)),1,0)</f>
        <v>0</v>
      </c>
      <c r="Y44" s="1">
        <f t="shared" si="1"/>
        <v>0</v>
      </c>
    </row>
    <row r="45" spans="2:25" ht="15" thickBot="1" x14ac:dyDescent="0.4">
      <c r="B45" s="100"/>
      <c r="C45" s="101"/>
      <c r="D45" s="6"/>
      <c r="E45" s="101"/>
      <c r="F45" s="352" t="str">
        <f>IF(E45="","",INDEX(Methodologytier,MATCH(B$50,Lists!$AZ$4:$AZ$32,0),MATCH(E45,Lists!$BA$3:$BC$3,0)))</f>
        <v/>
      </c>
      <c r="G45" s="70"/>
      <c r="H45" s="101"/>
      <c r="I45" s="333" t="str" cm="1">
        <f t="array" ref="I45">IF(OR($B45="",$C45="",H45=""),"",IF(H45=J45,G45,(INDEX('Emission factors'!$K$3:$V$381,MATCH($B45&amp;$C45,'Emission factors'!$K$3:$K$381&amp;'Emission factors'!$L$3:$L$381,0),MATCH($I$7,'Emission factors'!$K$2:$V$2,0)))*G45))</f>
        <v/>
      </c>
      <c r="J45" s="332" t="str" cm="1">
        <f t="array" ref="J45">IF(OR($B45="",$G45="",OrganisationalWasteTable[[#This Row],[Units]]=""),"",INDEX('Emission factors'!$K$3:$V$381,MATCH($B45&amp;$C45,'Emission factors'!$K$3:$K$381&amp;'Emission factors'!$L$3:$L$381,0),MATCH($J$7,'Emission factors'!$K$2:$V$2,0)))</f>
        <v/>
      </c>
      <c r="K45" s="353" t="str" cm="1">
        <f t="array" ref="K45">IF(OR(B45="",C45="",OrganisationalWasteTable[[#This Row],[Data]]=""),"",INDEX('Emission factors'!$K$3:$V$381,MATCH($B45&amp;$C45,'Emission factors'!$K$3:$K$381&amp;'Emission factors'!$L$3:$L$381,0),MATCH($K$7,'Emission factors'!$K$2:$V$2,0)))</f>
        <v/>
      </c>
      <c r="L45" s="333" t="str">
        <f>IF(OR(OrganisationalWasteTable[[#This Row],[Waste type]]="",OrganisationalWasteTable[[#This Row],[Converted data]]=""),"",SUM(OrganisationalWasteTable[[#This Row],[Direct]:[Indirect WTT]]))</f>
        <v/>
      </c>
      <c r="M45" s="103"/>
      <c r="N45" s="101"/>
      <c r="O45" s="161" t="str" cm="1">
        <f t="array" ref="O45">IF(OR($B45="",$G45="",$I45=""),"",(INDEX('Emission factors'!$K$3:$V$381,MATCH($B45&amp;$C45,'Emission factors'!$K$3:$K$381&amp;'Emission factors'!$L$3:$L$381,0),MATCH(O$7,'Emission factors'!$K$2:$V$2,0)))*$I45)</f>
        <v/>
      </c>
      <c r="P45" s="161" t="str" cm="1">
        <f t="array" ref="P45">IF(OR($B45="",$G45="",$I45=""),"",(INDEX('Emission factors'!$K$3:$V$381,MATCH($B45&amp;$C45,'Emission factors'!$K$3:$K$381&amp;'Emission factors'!$L$3:$L$381,0),MATCH(P$7,'Emission factors'!$K$2:$V$2,0)))*$I45)</f>
        <v/>
      </c>
      <c r="Q45" s="161" t="str" cm="1">
        <f t="array" ref="Q45">IF(OR($B45="",$G45="",$I45=""),"",(INDEX('Emission factors'!$K$3:$V$381,MATCH($B45&amp;$C45,'Emission factors'!$K$3:$K$381&amp;'Emission factors'!$L$3:$L$381,0),MATCH(Q$7,'Emission factors'!$K$2:$V$2,0)))*$I45)</f>
        <v/>
      </c>
      <c r="R45" s="161" t="str" cm="1">
        <f t="array" ref="R45">IF(OR($B45="",$G45="",$I45=""),"",(INDEX('Emission factors'!$K$3:$V$381,MATCH($B45&amp;$C45,'Emission factors'!$K$3:$K$381&amp;'Emission factors'!$L$3:$L$381,0),MATCH(R$7,'Emission factors'!$K$2:$V$2,0)))*$I45)</f>
        <v/>
      </c>
      <c r="S45" s="161" t="str" cm="1">
        <f t="array" ref="S45">IF(OR($B45="",$G45="",$I45=""),"",(INDEX('Emission factors'!$K$3:$V$381,MATCH($B45&amp;$C45,'Emission factors'!$K$3:$K$381&amp;'Emission factors'!$L$3:$L$381,0),MATCH(S$7,'Emission factors'!$K$2:$V$2,0)))*$I45)</f>
        <v/>
      </c>
      <c r="T45" s="354" t="str">
        <f t="shared" si="0"/>
        <v/>
      </c>
      <c r="U45" s="357" t="str">
        <f>IF(OR(OrganisationalWasteTable[[#This Row],[RSD]]="", OrganisationalWasteTable[[#This Row],[Total emissions]]=""), "", OrganisationalWasteTable[[#This Row],[Total emissions]]*(1-OrganisationalWasteTable[[#This Row],[RSD]]))</f>
        <v/>
      </c>
      <c r="V45" s="356" t="str" cm="1">
        <f t="array" ref="V45">IF(OR($B45="",$G45="",$I45=""),"",(INDEX('Emission factors'!$K$3:$V$381,MATCH($B45&amp;$C45,'Emission factors'!$K$3:$K$381&amp;'Emission factors'!$L$3:$L$381,0),MATCH(V$7,'Emission factors'!$K$2:$V$2,0)))*$I45)</f>
        <v/>
      </c>
      <c r="W45" s="351"/>
      <c r="X45" s="1" cm="1">
        <f t="array" ref="X45">IF(OR(ISERROR(B45:V45)),1,0)</f>
        <v>0</v>
      </c>
      <c r="Y45" s="1">
        <f t="shared" si="1"/>
        <v>0</v>
      </c>
    </row>
    <row r="46" spans="2:25" ht="15" thickBot="1" x14ac:dyDescent="0.4">
      <c r="B46" s="100"/>
      <c r="C46" s="101"/>
      <c r="D46" s="6"/>
      <c r="E46" s="101"/>
      <c r="F46" s="352" t="str">
        <f>IF(E46="","",INDEX(Methodologytier,MATCH(B$50,Lists!$AZ$4:$AZ$32,0),MATCH(E46,Lists!$BA$3:$BC$3,0)))</f>
        <v/>
      </c>
      <c r="G46" s="70"/>
      <c r="H46" s="101"/>
      <c r="I46" s="333" t="str" cm="1">
        <f t="array" ref="I46">IF(OR($B46="",$C46="",H46=""),"",IF(H46=J46,G46,(INDEX('Emission factors'!$K$3:$V$381,MATCH($B46&amp;$C46,'Emission factors'!$K$3:$K$381&amp;'Emission factors'!$L$3:$L$381,0),MATCH($I$7,'Emission factors'!$K$2:$V$2,0)))*G46))</f>
        <v/>
      </c>
      <c r="J46" s="332" t="str" cm="1">
        <f t="array" ref="J46">IF(OR($B46="",$G46="",OrganisationalWasteTable[[#This Row],[Units]]=""),"",INDEX('Emission factors'!$K$3:$V$381,MATCH($B46&amp;$C46,'Emission factors'!$K$3:$K$381&amp;'Emission factors'!$L$3:$L$381,0),MATCH($J$7,'Emission factors'!$K$2:$V$2,0)))</f>
        <v/>
      </c>
      <c r="K46" s="353" t="str" cm="1">
        <f t="array" ref="K46">IF(OR(B46="",C46="",OrganisationalWasteTable[[#This Row],[Data]]=""),"",INDEX('Emission factors'!$K$3:$V$381,MATCH($B46&amp;$C46,'Emission factors'!$K$3:$K$381&amp;'Emission factors'!$L$3:$L$381,0),MATCH($K$7,'Emission factors'!$K$2:$V$2,0)))</f>
        <v/>
      </c>
      <c r="L46" s="333" t="str">
        <f>IF(OR(OrganisationalWasteTable[[#This Row],[Waste type]]="",OrganisationalWasteTable[[#This Row],[Converted data]]=""),"",SUM(OrganisationalWasteTable[[#This Row],[Direct]:[Indirect WTT]]))</f>
        <v/>
      </c>
      <c r="M46" s="103"/>
      <c r="N46" s="101"/>
      <c r="O46" s="161" t="str" cm="1">
        <f t="array" ref="O46">IF(OR($B46="",$G46="",$I46=""),"",(INDEX('Emission factors'!$K$3:$V$381,MATCH($B46&amp;$C46,'Emission factors'!$K$3:$K$381&amp;'Emission factors'!$L$3:$L$381,0),MATCH(O$7,'Emission factors'!$K$2:$V$2,0)))*$I46)</f>
        <v/>
      </c>
      <c r="P46" s="161" t="str" cm="1">
        <f t="array" ref="P46">IF(OR($B46="",$G46="",$I46=""),"",(INDEX('Emission factors'!$K$3:$V$381,MATCH($B46&amp;$C46,'Emission factors'!$K$3:$K$381&amp;'Emission factors'!$L$3:$L$381,0),MATCH(P$7,'Emission factors'!$K$2:$V$2,0)))*$I46)</f>
        <v/>
      </c>
      <c r="Q46" s="161" t="str" cm="1">
        <f t="array" ref="Q46">IF(OR($B46="",$G46="",$I46=""),"",(INDEX('Emission factors'!$K$3:$V$381,MATCH($B46&amp;$C46,'Emission factors'!$K$3:$K$381&amp;'Emission factors'!$L$3:$L$381,0),MATCH(Q$7,'Emission factors'!$K$2:$V$2,0)))*$I46)</f>
        <v/>
      </c>
      <c r="R46" s="161" t="str" cm="1">
        <f t="array" ref="R46">IF(OR($B46="",$G46="",$I46=""),"",(INDEX('Emission factors'!$K$3:$V$381,MATCH($B46&amp;$C46,'Emission factors'!$K$3:$K$381&amp;'Emission factors'!$L$3:$L$381,0),MATCH(R$7,'Emission factors'!$K$2:$V$2,0)))*$I46)</f>
        <v/>
      </c>
      <c r="S46" s="161" t="str" cm="1">
        <f t="array" ref="S46">IF(OR($B46="",$G46="",$I46=""),"",(INDEX('Emission factors'!$K$3:$V$381,MATCH($B46&amp;$C46,'Emission factors'!$K$3:$K$381&amp;'Emission factors'!$L$3:$L$381,0),MATCH(S$7,'Emission factors'!$K$2:$V$2,0)))*$I46)</f>
        <v/>
      </c>
      <c r="T46" s="354" t="str">
        <f t="shared" si="0"/>
        <v/>
      </c>
      <c r="U46" s="357" t="str">
        <f>IF(OR(OrganisationalWasteTable[[#This Row],[RSD]]="", OrganisationalWasteTable[[#This Row],[Total emissions]]=""), "", OrganisationalWasteTable[[#This Row],[Total emissions]]*(1-OrganisationalWasteTable[[#This Row],[RSD]]))</f>
        <v/>
      </c>
      <c r="V46" s="356" t="str" cm="1">
        <f t="array" ref="V46">IF(OR($B46="",$G46="",$I46=""),"",(INDEX('Emission factors'!$K$3:$V$381,MATCH($B46&amp;$C46,'Emission factors'!$K$3:$K$381&amp;'Emission factors'!$L$3:$L$381,0),MATCH(V$7,'Emission factors'!$K$2:$V$2,0)))*$I46)</f>
        <v/>
      </c>
      <c r="W46" s="351"/>
      <c r="X46" s="1" cm="1">
        <f t="array" ref="X46">IF(OR(ISERROR(B46:V46)),1,0)</f>
        <v>0</v>
      </c>
      <c r="Y46" s="1">
        <f t="shared" si="1"/>
        <v>0</v>
      </c>
    </row>
    <row r="47" spans="2:25" ht="15" thickBot="1" x14ac:dyDescent="0.4">
      <c r="B47" s="100"/>
      <c r="C47" s="101"/>
      <c r="D47" s="6"/>
      <c r="E47" s="101"/>
      <c r="F47" s="352" t="str">
        <f>IF(E47="","",INDEX(Methodologytier,MATCH(B$50,Lists!$AZ$4:$AZ$32,0),MATCH(E47,Lists!$BA$3:$BC$3,0)))</f>
        <v/>
      </c>
      <c r="G47" s="70"/>
      <c r="H47" s="101"/>
      <c r="I47" s="333" t="str" cm="1">
        <f t="array" ref="I47">IF(OR($B47="",$C47="",H47=""),"",IF(H47=J47,G47,(INDEX('Emission factors'!$K$3:$V$381,MATCH($B47&amp;$C47,'Emission factors'!$K$3:$K$381&amp;'Emission factors'!$L$3:$L$381,0),MATCH($I$7,'Emission factors'!$K$2:$V$2,0)))*G47))</f>
        <v/>
      </c>
      <c r="J47" s="332" t="str" cm="1">
        <f t="array" ref="J47">IF(OR($B47="",$G47="",OrganisationalWasteTable[[#This Row],[Units]]=""),"",INDEX('Emission factors'!$K$3:$V$381,MATCH($B47&amp;$C47,'Emission factors'!$K$3:$K$381&amp;'Emission factors'!$L$3:$L$381,0),MATCH($J$7,'Emission factors'!$K$2:$V$2,0)))</f>
        <v/>
      </c>
      <c r="K47" s="353" t="str" cm="1">
        <f t="array" ref="K47">IF(OR(B47="",C47="",OrganisationalWasteTable[[#This Row],[Data]]=""),"",INDEX('Emission factors'!$K$3:$V$381,MATCH($B47&amp;$C47,'Emission factors'!$K$3:$K$381&amp;'Emission factors'!$L$3:$L$381,0),MATCH($K$7,'Emission factors'!$K$2:$V$2,0)))</f>
        <v/>
      </c>
      <c r="L47" s="333" t="str">
        <f>IF(OR(OrganisationalWasteTable[[#This Row],[Waste type]]="",OrganisationalWasteTable[[#This Row],[Converted data]]=""),"",SUM(OrganisationalWasteTable[[#This Row],[Direct]:[Indirect WTT]]))</f>
        <v/>
      </c>
      <c r="M47" s="103"/>
      <c r="N47" s="101"/>
      <c r="O47" s="161" t="str" cm="1">
        <f t="array" ref="O47">IF(OR($B47="",$G47="",$I47=""),"",(INDEX('Emission factors'!$K$3:$V$381,MATCH($B47&amp;$C47,'Emission factors'!$K$3:$K$381&amp;'Emission factors'!$L$3:$L$381,0),MATCH(O$7,'Emission factors'!$K$2:$V$2,0)))*$I47)</f>
        <v/>
      </c>
      <c r="P47" s="161" t="str" cm="1">
        <f t="array" ref="P47">IF(OR($B47="",$G47="",$I47=""),"",(INDEX('Emission factors'!$K$3:$V$381,MATCH($B47&amp;$C47,'Emission factors'!$K$3:$K$381&amp;'Emission factors'!$L$3:$L$381,0),MATCH(P$7,'Emission factors'!$K$2:$V$2,0)))*$I47)</f>
        <v/>
      </c>
      <c r="Q47" s="161" t="str" cm="1">
        <f t="array" ref="Q47">IF(OR($B47="",$G47="",$I47=""),"",(INDEX('Emission factors'!$K$3:$V$381,MATCH($B47&amp;$C47,'Emission factors'!$K$3:$K$381&amp;'Emission factors'!$L$3:$L$381,0),MATCH(Q$7,'Emission factors'!$K$2:$V$2,0)))*$I47)</f>
        <v/>
      </c>
      <c r="R47" s="161" t="str" cm="1">
        <f t="array" ref="R47">IF(OR($B47="",$G47="",$I47=""),"",(INDEX('Emission factors'!$K$3:$V$381,MATCH($B47&amp;$C47,'Emission factors'!$K$3:$K$381&amp;'Emission factors'!$L$3:$L$381,0),MATCH(R$7,'Emission factors'!$K$2:$V$2,0)))*$I47)</f>
        <v/>
      </c>
      <c r="S47" s="161" t="str" cm="1">
        <f t="array" ref="S47">IF(OR($B47="",$G47="",$I47=""),"",(INDEX('Emission factors'!$K$3:$V$381,MATCH($B47&amp;$C47,'Emission factors'!$K$3:$K$381&amp;'Emission factors'!$L$3:$L$381,0),MATCH(S$7,'Emission factors'!$K$2:$V$2,0)))*$I47)</f>
        <v/>
      </c>
      <c r="T47" s="354" t="str">
        <f t="shared" si="0"/>
        <v/>
      </c>
      <c r="U47" s="357" t="str">
        <f>IF(OR(OrganisationalWasteTable[[#This Row],[RSD]]="", OrganisationalWasteTable[[#This Row],[Total emissions]]=""), "", OrganisationalWasteTable[[#This Row],[Total emissions]]*(1-OrganisationalWasteTable[[#This Row],[RSD]]))</f>
        <v/>
      </c>
      <c r="V47" s="356" t="str" cm="1">
        <f t="array" ref="V47">IF(OR($B47="",$G47="",$I47=""),"",(INDEX('Emission factors'!$K$3:$V$381,MATCH($B47&amp;$C47,'Emission factors'!$K$3:$K$381&amp;'Emission factors'!$L$3:$L$381,0),MATCH(V$7,'Emission factors'!$K$2:$V$2,0)))*$I47)</f>
        <v/>
      </c>
      <c r="W47" s="351"/>
      <c r="X47" s="1" cm="1">
        <f t="array" ref="X47">IF(OR(ISERROR(B47:V47)),1,0)</f>
        <v>0</v>
      </c>
      <c r="Y47" s="1">
        <f t="shared" si="1"/>
        <v>0</v>
      </c>
    </row>
    <row r="48" spans="2:25" ht="15" thickBot="1" x14ac:dyDescent="0.4">
      <c r="B48" s="100"/>
      <c r="C48" s="102"/>
      <c r="D48" s="6"/>
      <c r="E48" s="102"/>
      <c r="F48" s="352" t="str">
        <f>IF(E48="","",INDEX(Methodologytier,MATCH(B$50,Lists!$AZ$4:$AZ$32,0),MATCH(E48,Lists!$BA$3:$BC$3,0)))</f>
        <v/>
      </c>
      <c r="G48" s="70"/>
      <c r="H48" s="102"/>
      <c r="I48" s="333" t="str" cm="1">
        <f t="array" ref="I48">IF(OR($B48="",$C48="",H48=""),"",IF(H48=J48,G48,(INDEX('Emission factors'!$K$3:$V$381,MATCH($B48&amp;$C48,'Emission factors'!$K$3:$K$381&amp;'Emission factors'!$L$3:$L$381,0),MATCH($I$7,'Emission factors'!$K$2:$V$2,0)))*G48))</f>
        <v/>
      </c>
      <c r="J48" s="332" t="str" cm="1">
        <f t="array" ref="J48">IF(OR($B48="",$G48="",OrganisationalWasteTable[[#This Row],[Units]]=""),"",INDEX('Emission factors'!$K$3:$V$381,MATCH($B48&amp;$C48,'Emission factors'!$K$3:$K$381&amp;'Emission factors'!$L$3:$L$381,0),MATCH($J$7,'Emission factors'!$K$2:$V$2,0)))</f>
        <v/>
      </c>
      <c r="K48" s="332" t="str" cm="1">
        <f t="array" ref="K48">IF(OR(B48="",C48="",OrganisationalWasteTable[[#This Row],[Data]]=""),"",INDEX('Emission factors'!$K$3:$V$381,MATCH($B48&amp;$C48,'Emission factors'!$K$3:$K$381&amp;'Emission factors'!$L$3:$L$381,0),MATCH($K$7,'Emission factors'!$K$2:$V$2,0)))</f>
        <v/>
      </c>
      <c r="L48" s="333" t="str">
        <f>IF(OR(OrganisationalWasteTable[[#This Row],[Waste type]]="",OrganisationalWasteTable[[#This Row],[Converted data]]=""),"",SUM(OrganisationalWasteTable[[#This Row],[Direct]:[Indirect WTT]]))</f>
        <v/>
      </c>
      <c r="M48" s="104"/>
      <c r="N48" s="102"/>
      <c r="O48" s="161" t="str" cm="1">
        <f t="array" ref="O48">IF(OR($B48="",$G48="",$I48=""),"",(INDEX('Emission factors'!$K$3:$V$381,MATCH($B48&amp;$C48,'Emission factors'!$K$3:$K$381&amp;'Emission factors'!$L$3:$L$381,0),MATCH(O$7,'Emission factors'!$K$2:$V$2,0)))*$I48)</f>
        <v/>
      </c>
      <c r="P48" s="161" t="str" cm="1">
        <f t="array" ref="P48">IF(OR($B48="",$G48="",$I48=""),"",(INDEX('Emission factors'!$K$3:$V$381,MATCH($B48&amp;$C48,'Emission factors'!$K$3:$K$381&amp;'Emission factors'!$L$3:$L$381,0),MATCH(P$7,'Emission factors'!$K$2:$V$2,0)))*$I48)</f>
        <v/>
      </c>
      <c r="Q48" s="161" t="str" cm="1">
        <f t="array" ref="Q48">IF(OR($B48="",$G48="",$I48=""),"",(INDEX('Emission factors'!$K$3:$V$381,MATCH($B48&amp;$C48,'Emission factors'!$K$3:$K$381&amp;'Emission factors'!$L$3:$L$381,0),MATCH(Q$7,'Emission factors'!$K$2:$V$2,0)))*$I48)</f>
        <v/>
      </c>
      <c r="R48" s="161" t="str" cm="1">
        <f t="array" ref="R48">IF(OR($B48="",$G48="",$I48=""),"",(INDEX('Emission factors'!$K$3:$V$381,MATCH($B48&amp;$C48,'Emission factors'!$K$3:$K$381&amp;'Emission factors'!$L$3:$L$381,0),MATCH(R$7,'Emission factors'!$K$2:$V$2,0)))*$I48)</f>
        <v/>
      </c>
      <c r="S48" s="161" t="str" cm="1">
        <f t="array" ref="S48">IF(OR($B48="",$G48="",$I48=""),"",(INDEX('Emission factors'!$K$3:$V$381,MATCH($B48&amp;$C48,'Emission factors'!$K$3:$K$381&amp;'Emission factors'!$L$3:$L$381,0),MATCH(S$7,'Emission factors'!$K$2:$V$2,0)))*$I48)</f>
        <v/>
      </c>
      <c r="T48" s="358" t="str">
        <f t="shared" si="0"/>
        <v/>
      </c>
      <c r="U48" s="359" t="str">
        <f>IF(OR(OrganisationalWasteTable[[#This Row],[RSD]]="", OrganisationalWasteTable[[#This Row],[Total emissions]]=""), "", OrganisationalWasteTable[[#This Row],[Total emissions]]*(1-OrganisationalWasteTable[[#This Row],[RSD]]))</f>
        <v/>
      </c>
      <c r="V48" s="356" t="str" cm="1">
        <f t="array" ref="V48">IF(OR($B48="",$G48="",$I48=""),"",(INDEX('Emission factors'!$K$3:$V$381,MATCH($B48&amp;$C48,'Emission factors'!$K$3:$K$381&amp;'Emission factors'!$L$3:$L$381,0),MATCH(V$7,'Emission factors'!$K$2:$V$2,0)))*$I48)</f>
        <v/>
      </c>
      <c r="W48" s="351"/>
      <c r="X48" s="1" cm="1">
        <f t="array" ref="X48">IF(OR(ISERROR(B48:V48)),1,0)</f>
        <v>0</v>
      </c>
      <c r="Y48" s="1">
        <f t="shared" si="1"/>
        <v>0</v>
      </c>
    </row>
    <row r="49" spans="2:25" x14ac:dyDescent="0.35">
      <c r="N49" s="360"/>
      <c r="O49" s="360"/>
      <c r="P49" s="360"/>
      <c r="Q49" s="360"/>
      <c r="R49" s="360"/>
      <c r="S49" s="361"/>
      <c r="T49" s="362"/>
      <c r="U49" s="363"/>
    </row>
    <row r="50" spans="2:25" ht="18" customHeight="1" thickBot="1" x14ac:dyDescent="0.4">
      <c r="B50" s="364" t="s">
        <v>115</v>
      </c>
      <c r="C50" s="29"/>
      <c r="E50" s="11"/>
      <c r="N50" s="318"/>
      <c r="S50" s="18"/>
      <c r="T50" s="365"/>
      <c r="U50" s="351"/>
    </row>
    <row r="51" spans="2:25" ht="43.5" customHeight="1" thickBot="1" x14ac:dyDescent="0.4">
      <c r="B51" s="366" t="s">
        <v>242</v>
      </c>
      <c r="C51" s="367" t="s">
        <v>243</v>
      </c>
      <c r="D51" s="368" t="s">
        <v>244</v>
      </c>
      <c r="E51" s="11"/>
      <c r="G51"/>
      <c r="H51" s="317" t="str">
        <f>IF($Y$52=0,"No data entered",IF($X$52=0,"No errors in this table","There are errors in this table see highlighted row(s)"))</f>
        <v>No data entered</v>
      </c>
      <c r="J51" s="323" t="str">
        <f>IF(C51="Y","Waste EF not including transport",IF(C51="N","Waste",""))</f>
        <v>Waste EF not including transport</v>
      </c>
      <c r="K51" s="11"/>
      <c r="N51" s="318" t="s">
        <v>227</v>
      </c>
      <c r="O51" s="369"/>
      <c r="P51" s="369"/>
      <c r="Q51" s="369"/>
      <c r="R51" s="369"/>
      <c r="S51" s="370"/>
      <c r="T51" s="371"/>
      <c r="U51" s="372"/>
      <c r="X51" s="9" t="s">
        <v>175</v>
      </c>
      <c r="Y51" s="9" t="s">
        <v>161</v>
      </c>
    </row>
    <row r="52" spans="2:25" s="19" customFormat="1" ht="29.75" customHeight="1" thickBot="1" x14ac:dyDescent="0.4">
      <c r="B52" s="39" t="s">
        <v>237</v>
      </c>
      <c r="C52" s="40" t="s">
        <v>238</v>
      </c>
      <c r="D52" s="274" t="s">
        <v>196</v>
      </c>
      <c r="E52" s="40" t="s">
        <v>230</v>
      </c>
      <c r="F52" s="40" t="s">
        <v>181</v>
      </c>
      <c r="G52" s="40" t="s">
        <v>182</v>
      </c>
      <c r="H52" s="40" t="s">
        <v>183</v>
      </c>
      <c r="I52" s="40" t="s">
        <v>184</v>
      </c>
      <c r="J52" s="40" t="s">
        <v>185</v>
      </c>
      <c r="K52" s="40" t="s">
        <v>231</v>
      </c>
      <c r="L52" s="40" t="s">
        <v>91</v>
      </c>
      <c r="M52" s="40" t="s">
        <v>188</v>
      </c>
      <c r="N52" s="40" t="s">
        <v>189</v>
      </c>
      <c r="O52" s="8" t="s">
        <v>92</v>
      </c>
      <c r="P52" s="8" t="s">
        <v>190</v>
      </c>
      <c r="Q52" s="8" t="s">
        <v>191</v>
      </c>
      <c r="R52" s="8" t="s">
        <v>192</v>
      </c>
      <c r="S52" s="8" t="s">
        <v>193</v>
      </c>
      <c r="T52" s="261" t="s">
        <v>100</v>
      </c>
      <c r="U52" s="373" t="s">
        <v>101</v>
      </c>
      <c r="V52" s="374" t="s">
        <v>96</v>
      </c>
      <c r="W52" s="375"/>
      <c r="X52" s="9">
        <f>SUM(X53:X80)</f>
        <v>0</v>
      </c>
      <c r="Y52" s="9">
        <f>SUM(Y53:Y80)</f>
        <v>0</v>
      </c>
    </row>
    <row r="53" spans="2:25" ht="15" thickBot="1" x14ac:dyDescent="0.4">
      <c r="B53" s="100"/>
      <c r="C53" s="101"/>
      <c r="D53" s="6"/>
      <c r="E53" s="101"/>
      <c r="F53" s="331" t="str">
        <f>IF(E53="","",INDEX(Methodologytier,MATCH(B$50,Lists!$AZ$4:$AZ$32,0),MATCH(E53,Lists!$BA$3:$BC$3,0)))</f>
        <v/>
      </c>
      <c r="G53" s="70"/>
      <c r="H53" s="101"/>
      <c r="I53" s="333" t="str" cm="1">
        <f t="array" ref="I53">IF(OR($B53="",$C53="",H53=""),"",IF(H53=J53,G53,(INDEX('Emission factors'!$K$3:$V$381,MATCH($B53&amp;$C53,'Emission factors'!$K$3:$K$381&amp;'Emission factors'!$L$3:$L$381,0),MATCH($I$52,'Emission factors'!$K$2:$V$2,0)))*G53))</f>
        <v/>
      </c>
      <c r="J53" s="332" t="str" cm="1">
        <f t="array" ref="J53">IF(OR($B53="",$G53="",MunicipalWasteTable[[#This Row],[Units]]=""),"",INDEX('Emission factors'!$K$3:$V$381,MATCH($B53&amp;$C53,'Emission factors'!$K$3:$K$381&amp;'Emission factors'!$L$3:$L$381,0),MATCH($J$52,'Emission factors'!$K$2:$V$2,0)))</f>
        <v/>
      </c>
      <c r="K53" s="332" t="str" cm="1">
        <f t="array" ref="K53">IF(OR(B53="",C53="",MunicipalWasteTable[[#This Row],[Data]]=""),"",INDEX('Emission factors'!$K$3:$V$381,MATCH($J$51&amp;$B53&amp;$C53,'Emission factors'!$J$3:$J$381&amp;'Emission factors'!$K$3:$K$381&amp;'Emission factors'!$L$3:$L$381,0),MATCH($K$52,'Emission factors'!$K$2:$V$2,0)))</f>
        <v/>
      </c>
      <c r="L53" s="333">
        <f>SUM(MunicipalWasteTable[[#This Row],[Direct]:[Indirect WTT]])</f>
        <v>0</v>
      </c>
      <c r="M53" s="103"/>
      <c r="N53" s="101"/>
      <c r="O53" s="376" t="str" cm="1">
        <f t="array" ref="O53">IF(OR($B53="",$G53="",$I53=""),"",(INDEX('Emission factors'!$K$3:$V$381,MATCH($J$51&amp;$B53&amp;$C53,'Emission factors'!$J$3:$J$381&amp;'Emission factors'!$K$3:$K$381&amp;'Emission factors'!$L$3:$L$381,0),MATCH(O$52,'Emission factors'!$K$2:$V$2,0)))*$I53)</f>
        <v/>
      </c>
      <c r="P53" s="376" t="str" cm="1">
        <f t="array" ref="P53">IF(OR($B53="",$G53="",$I53=""),"",(INDEX('Emission factors'!$K$3:$V$381,MATCH($J$51&amp;$B53&amp;$C53,'Emission factors'!$J$3:$J$381&amp;'Emission factors'!$K$3:$K$381&amp;'Emission factors'!$L$3:$L$381,0),MATCH(P$52,'Emission factors'!$K$2:$V$2,0)))*$I53)</f>
        <v/>
      </c>
      <c r="Q53" s="376" t="str" cm="1">
        <f t="array" ref="Q53">IF(OR($B53="",$G53="",$I53=""),"",(INDEX('Emission factors'!$K$3:$V$381,MATCH($J$51&amp;$B53&amp;$C53,'Emission factors'!$J$3:$J$381&amp;'Emission factors'!$K$3:$K$381&amp;'Emission factors'!$L$3:$L$381,0),MATCH(Q$52,'Emission factors'!$K$2:$V$2,0)))*$I53)</f>
        <v/>
      </c>
      <c r="R53" s="376" t="str" cm="1">
        <f t="array" ref="R53">IF(OR($B53="",$G53="",$I53=""),"",(INDEX('Emission factors'!$K$3:$V$381,MATCH($J$51&amp;$B53&amp;$C53,'Emission factors'!$J$3:$J$381&amp;'Emission factors'!$K$3:$K$381&amp;'Emission factors'!$L$3:$L$381,0),MATCH(R$52,'Emission factors'!$K$2:$V$2,0)))*$I53)</f>
        <v/>
      </c>
      <c r="S53" s="376" t="str" cm="1">
        <f t="array" ref="S53">IF(OR($B53="",$G53="",$I53=""),"",(INDEX('Emission factors'!$K$3:$V$381,MATCH($J$51&amp;$B53&amp;$C53,'Emission factors'!$J$3:$J$381&amp;'Emission factors'!$K$3:$K$381&amp;'Emission factors'!$L$3:$L$381,0),MATCH(S$52,'Emission factors'!$K$2:$V$2,0)))*$I53)</f>
        <v/>
      </c>
      <c r="T53" s="377" t="str">
        <f>IF(OR(MunicipalWasteTable[[#This Row],[RSD]]="", MunicipalWasteTable[[#This Row],[Total emissions]]=""),"",MunicipalWasteTable[[#This Row],[Total emissions]]*(1+MunicipalWasteTable[[#This Row],[RSD]]))</f>
        <v/>
      </c>
      <c r="U53" s="378" t="str">
        <f>IF(OR(MunicipalWasteTable[[#This Row],[RSD]]="",MunicipalWasteTable[[#This Row],[Total emissions]]=""),"",MunicipalWasteTable[[#This Row],[Total emissions]]*(1-MunicipalWasteTable[[#This Row],[RSD]]))</f>
        <v/>
      </c>
      <c r="V53" s="379" t="str" cm="1">
        <f t="array" ref="V53">IF(OR($B53="",$G53="",$I53=""),"",(INDEX('Emission factors'!$K$3:$V$381,MATCH($J$51&amp;$B53&amp;$C53,'Emission factors'!$J$3:$J$381&amp;'Emission factors'!$K$3:$K$381&amp;'Emission factors'!$L$3:$L$381,0),MATCH(V$52,'Emission factors'!$K$2:$V$2,0)))*$I53)</f>
        <v/>
      </c>
      <c r="W53" s="351"/>
      <c r="X53" s="1" cm="1">
        <f t="array" ref="X53">IF(OR(ISERROR(B53:V53)),1,0)</f>
        <v>0</v>
      </c>
      <c r="Y53" s="1">
        <f>IF(AND(C53="",G53="",H53=""),0,1)</f>
        <v>0</v>
      </c>
    </row>
    <row r="54" spans="2:25" ht="12.5" customHeight="1" thickBot="1" x14ac:dyDescent="0.4">
      <c r="B54" s="100"/>
      <c r="C54" s="101"/>
      <c r="D54" s="6"/>
      <c r="E54" s="101"/>
      <c r="F54" s="331" t="str">
        <f>IF(E54="","",INDEX(Methodologytier,MATCH(B$50,Lists!$AZ$4:$AZ$32,0),MATCH(E54,Lists!$BA$3:$BC$3,0)))</f>
        <v/>
      </c>
      <c r="G54" s="70"/>
      <c r="H54" s="101"/>
      <c r="I54" s="333" t="str" cm="1">
        <f t="array" ref="I54">IF(OR($B54="",$C54="",H54=""),"",IF(H54=J54,G54,(INDEX('Emission factors'!$K$3:$V$381,MATCH($B54&amp;$C54,'Emission factors'!$K$3:$K$381&amp;'Emission factors'!$L$3:$L$381,0),MATCH($I$52,'Emission factors'!$K$2:$V$2,0)))*G54))</f>
        <v/>
      </c>
      <c r="J54" s="332" t="str" cm="1">
        <f t="array" ref="J54">IF(OR($B54="",$G54="",MunicipalWasteTable[[#This Row],[Units]]=""),"",INDEX('Emission factors'!$K$3:$V$381,MATCH($B54&amp;$C54,'Emission factors'!$K$3:$K$381&amp;'Emission factors'!$L$3:$L$381,0),MATCH($J$52,'Emission factors'!$K$2:$V$2,0)))</f>
        <v/>
      </c>
      <c r="K54" s="332" t="str" cm="1">
        <f t="array" ref="K54">IF(OR(B54="",C54="",MunicipalWasteTable[[#This Row],[Data]]=""),"",INDEX('Emission factors'!$K$3:$V$381,MATCH($J$51&amp;$B54&amp;$C54,'Emission factors'!$J$3:$J$381&amp;'Emission factors'!$K$3:$K$381&amp;'Emission factors'!$L$3:$L$381,0),MATCH($K$52,'Emission factors'!$K$2:$V$2,0)))</f>
        <v/>
      </c>
      <c r="L54" s="333">
        <f>SUM(MunicipalWasteTable[[#This Row],[Direct]:[Indirect WTT]])</f>
        <v>0</v>
      </c>
      <c r="M54" s="103"/>
      <c r="N54" s="101"/>
      <c r="O54" s="376" t="str" cm="1">
        <f t="array" ref="O54">IF(OR($B54="",$G54="",$I54=""),"",(INDEX('Emission factors'!$K$3:$V$381,MATCH($J$51&amp;$B54&amp;$C54,'Emission factors'!$J$3:$J$381&amp;'Emission factors'!$K$3:$K$381&amp;'Emission factors'!$L$3:$L$381,0),MATCH(O$52,'Emission factors'!$K$2:$V$2,0)))*$I54)</f>
        <v/>
      </c>
      <c r="P54" s="376" t="str" cm="1">
        <f t="array" ref="P54">IF(OR($B54="",$G54="",$I54=""),"",(INDEX('Emission factors'!$K$3:$V$381,MATCH($J$51&amp;$B54&amp;$C54,'Emission factors'!$J$3:$J$381&amp;'Emission factors'!$K$3:$K$381&amp;'Emission factors'!$L$3:$L$381,0),MATCH(P$52,'Emission factors'!$K$2:$V$2,0)))*$I54)</f>
        <v/>
      </c>
      <c r="Q54" s="376" t="str" cm="1">
        <f t="array" ref="Q54">IF(OR($B54="",$G54="",$I54=""),"",(INDEX('Emission factors'!$K$3:$V$381,MATCH($J$51&amp;$B54&amp;$C54,'Emission factors'!$J$3:$J$381&amp;'Emission factors'!$K$3:$K$381&amp;'Emission factors'!$L$3:$L$381,0),MATCH(Q$52,'Emission factors'!$K$2:$V$2,0)))*$I54)</f>
        <v/>
      </c>
      <c r="R54" s="376" t="str" cm="1">
        <f t="array" ref="R54">IF(OR($B54="",$G54="",$I54=""),"",(INDEX('Emission factors'!$K$3:$V$381,MATCH($J$51&amp;$B54&amp;$C54,'Emission factors'!$J$3:$J$381&amp;'Emission factors'!$K$3:$K$381&amp;'Emission factors'!$L$3:$L$381,0),MATCH(R$52,'Emission factors'!$K$2:$V$2,0)))*$I54)</f>
        <v/>
      </c>
      <c r="S54" s="376" t="str" cm="1">
        <f t="array" ref="S54">IF(OR($B54="",$G54="",$I54=""),"",(INDEX('Emission factors'!$K$3:$V$381,MATCH($J$51&amp;$B54&amp;$C54,'Emission factors'!$J$3:$J$381&amp;'Emission factors'!$K$3:$K$381&amp;'Emission factors'!$L$3:$L$381,0),MATCH(S$52,'Emission factors'!$K$2:$V$2,0)))*$I54)</f>
        <v/>
      </c>
      <c r="T54" s="377" t="str">
        <f>IF(OR(MunicipalWasteTable[[#This Row],[RSD]]="", MunicipalWasteTable[[#This Row],[Total emissions]]=""),"",MunicipalWasteTable[[#This Row],[Total emissions]]*(1+MunicipalWasteTable[[#This Row],[RSD]]))</f>
        <v/>
      </c>
      <c r="U54" s="380" t="str">
        <f>IF(OR(MunicipalWasteTable[[#This Row],[RSD]]="",MunicipalWasteTable[[#This Row],[Total emissions]]=""),"",MunicipalWasteTable[[#This Row],[Total emissions]]*(1-MunicipalWasteTable[[#This Row],[RSD]]))</f>
        <v/>
      </c>
      <c r="V54" s="379" t="str" cm="1">
        <f t="array" ref="V54">IF(OR($B54="",$G54="",$I54=""),"",(INDEX('Emission factors'!$K$3:$V$381,MATCH($J$51&amp;$B54&amp;$C54,'Emission factors'!$J$3:$J$381&amp;'Emission factors'!$K$3:$K$381&amp;'Emission factors'!$L$3:$L$381,0),MATCH(V$52,'Emission factors'!$K$2:$V$2,0)))*$I54)</f>
        <v/>
      </c>
      <c r="W54" s="351"/>
      <c r="X54" s="1" cm="1">
        <f t="array" ref="X54">IF(OR(ISERROR(B54:V54)),1,0)</f>
        <v>0</v>
      </c>
      <c r="Y54" s="1">
        <f t="shared" ref="Y54:Y80" si="2">IF(AND(C54="",G54="",H54=""),0,1)</f>
        <v>0</v>
      </c>
    </row>
    <row r="55" spans="2:25" ht="12.5" customHeight="1" thickBot="1" x14ac:dyDescent="0.4">
      <c r="B55" s="100"/>
      <c r="C55" s="101"/>
      <c r="D55" s="6"/>
      <c r="E55" s="101"/>
      <c r="F55" s="331" t="str">
        <f>IF(E55="","",INDEX(Methodologytier,MATCH(B$50,Lists!$AZ$4:$AZ$32,0),MATCH(E55,Lists!$BA$3:$BC$3,0)))</f>
        <v/>
      </c>
      <c r="G55" s="70"/>
      <c r="H55" s="101"/>
      <c r="I55" s="333" t="str" cm="1">
        <f t="array" ref="I55">IF(OR($B55="",$C55="",H55=""),"",IF(H55=J55,G55,(INDEX('Emission factors'!$K$3:$V$381,MATCH($B55&amp;$C55,'Emission factors'!$K$3:$K$381&amp;'Emission factors'!$L$3:$L$381,0),MATCH($I$52,'Emission factors'!$K$2:$V$2,0)))*G55))</f>
        <v/>
      </c>
      <c r="J55" s="332" t="str" cm="1">
        <f t="array" ref="J55">IF(OR($B55="",$G55="",MunicipalWasteTable[[#This Row],[Units]]=""),"",INDEX('Emission factors'!$K$3:$V$381,MATCH($B55&amp;$C55,'Emission factors'!$K$3:$K$381&amp;'Emission factors'!$L$3:$L$381,0),MATCH($J$52,'Emission factors'!$K$2:$V$2,0)))</f>
        <v/>
      </c>
      <c r="K55" s="332" t="str" cm="1">
        <f t="array" ref="K55">IF(OR(B55="",C55="",MunicipalWasteTable[[#This Row],[Data]]=""),"",INDEX('Emission factors'!$K$3:$V$381,MATCH($J$51&amp;$B55&amp;$C55,'Emission factors'!$J$3:$J$381&amp;'Emission factors'!$K$3:$K$381&amp;'Emission factors'!$L$3:$L$381,0),MATCH($K$52,'Emission factors'!$K$2:$V$2,0)))</f>
        <v/>
      </c>
      <c r="L55" s="333">
        <f>SUM(MunicipalWasteTable[[#This Row],[Direct]:[Indirect WTT]])</f>
        <v>0</v>
      </c>
      <c r="M55" s="103"/>
      <c r="N55" s="101"/>
      <c r="O55" s="376" t="str" cm="1">
        <f t="array" ref="O55">IF(OR($B55="",$G55="",$I55=""),"",(INDEX('Emission factors'!$K$3:$V$381,MATCH($J$51&amp;$B55&amp;$C55,'Emission factors'!$J$3:$J$381&amp;'Emission factors'!$K$3:$K$381&amp;'Emission factors'!$L$3:$L$381,0),MATCH(O$52,'Emission factors'!$K$2:$V$2,0)))*$I55)</f>
        <v/>
      </c>
      <c r="P55" s="376" t="str" cm="1">
        <f t="array" ref="P55">IF(OR($B55="",$G55="",$I55=""),"",(INDEX('Emission factors'!$K$3:$V$381,MATCH($J$51&amp;$B55&amp;$C55,'Emission factors'!$J$3:$J$381&amp;'Emission factors'!$K$3:$K$381&amp;'Emission factors'!$L$3:$L$381,0),MATCH(P$52,'Emission factors'!$K$2:$V$2,0)))*$I55)</f>
        <v/>
      </c>
      <c r="Q55" s="376" t="str" cm="1">
        <f t="array" ref="Q55">IF(OR($B55="",$G55="",$I55=""),"",(INDEX('Emission factors'!$K$3:$V$381,MATCH($J$51&amp;$B55&amp;$C55,'Emission factors'!$J$3:$J$381&amp;'Emission factors'!$K$3:$K$381&amp;'Emission factors'!$L$3:$L$381,0),MATCH(Q$52,'Emission factors'!$K$2:$V$2,0)))*$I55)</f>
        <v/>
      </c>
      <c r="R55" s="376" t="str" cm="1">
        <f t="array" ref="R55">IF(OR($B55="",$G55="",$I55=""),"",(INDEX('Emission factors'!$K$3:$V$381,MATCH($J$51&amp;$B55&amp;$C55,'Emission factors'!$J$3:$J$381&amp;'Emission factors'!$K$3:$K$381&amp;'Emission factors'!$L$3:$L$381,0),MATCH(R$52,'Emission factors'!$K$2:$V$2,0)))*$I55)</f>
        <v/>
      </c>
      <c r="S55" s="376" t="str" cm="1">
        <f t="array" ref="S55">IF(OR($B55="",$G55="",$I55=""),"",(INDEX('Emission factors'!$K$3:$V$381,MATCH($J$51&amp;$B55&amp;$C55,'Emission factors'!$J$3:$J$381&amp;'Emission factors'!$K$3:$K$381&amp;'Emission factors'!$L$3:$L$381,0),MATCH(S$52,'Emission factors'!$K$2:$V$2,0)))*$I55)</f>
        <v/>
      </c>
      <c r="T55" s="381" t="str">
        <f>IF(OR(MunicipalWasteTable[[#This Row],[RSD]]="", MunicipalWasteTable[[#This Row],[Total emissions]]=""),"",MunicipalWasteTable[[#This Row],[Total emissions]]*(1+MunicipalWasteTable[[#This Row],[RSD]]))</f>
        <v/>
      </c>
      <c r="U55" s="380" t="str">
        <f>IF(OR(MunicipalWasteTable[[#This Row],[RSD]]="",MunicipalWasteTable[[#This Row],[Total emissions]]=""),"",MunicipalWasteTable[[#This Row],[Total emissions]]*(1-MunicipalWasteTable[[#This Row],[RSD]]))</f>
        <v/>
      </c>
      <c r="V55" s="379" t="str" cm="1">
        <f t="array" ref="V55">IF(OR($B55="",$G55="",$I55=""),"",(INDEX('Emission factors'!$K$3:$V$381,MATCH($J$51&amp;$B55&amp;$C55,'Emission factors'!$J$3:$J$381&amp;'Emission factors'!$K$3:$K$381&amp;'Emission factors'!$L$3:$L$381,0),MATCH(V$52,'Emission factors'!$K$2:$V$2,0)))*$I55)</f>
        <v/>
      </c>
      <c r="W55" s="351"/>
      <c r="X55" s="1" cm="1">
        <f t="array" ref="X55">IF(OR(ISERROR(B55:V55)),1,0)</f>
        <v>0</v>
      </c>
      <c r="Y55" s="1">
        <f t="shared" si="2"/>
        <v>0</v>
      </c>
    </row>
    <row r="56" spans="2:25" ht="12.5" customHeight="1" thickBot="1" x14ac:dyDescent="0.4">
      <c r="B56" s="100"/>
      <c r="C56" s="101"/>
      <c r="D56" s="6"/>
      <c r="E56" s="101"/>
      <c r="F56" s="331" t="str">
        <f>IF(E56="","",INDEX(Methodologytier,MATCH(B$50,Lists!$AZ$4:$AZ$32,0),MATCH(E56,Lists!$BA$3:$BC$3,0)))</f>
        <v/>
      </c>
      <c r="G56" s="70"/>
      <c r="H56" s="101"/>
      <c r="I56" s="333" t="str" cm="1">
        <f t="array" ref="I56">IF(OR($B56="",$C56="",H56=""),"",IF(H56=J56,G56,(INDEX('Emission factors'!$K$3:$V$381,MATCH($B56&amp;$C56,'Emission factors'!$K$3:$K$381&amp;'Emission factors'!$L$3:$L$381,0),MATCH($I$52,'Emission factors'!$K$2:$V$2,0)))*G56))</f>
        <v/>
      </c>
      <c r="J56" s="332" t="str" cm="1">
        <f t="array" ref="J56">IF(OR($B56="",$G56="",MunicipalWasteTable[[#This Row],[Units]]=""),"",INDEX('Emission factors'!$K$3:$V$381,MATCH($B56&amp;$C56,'Emission factors'!$K$3:$K$381&amp;'Emission factors'!$L$3:$L$381,0),MATCH($J$52,'Emission factors'!$K$2:$V$2,0)))</f>
        <v/>
      </c>
      <c r="K56" s="332" t="str" cm="1">
        <f t="array" ref="K56">IF(OR(B56="",C56="",MunicipalWasteTable[[#This Row],[Data]]=""),"",INDEX('Emission factors'!$K$3:$V$381,MATCH($J$51&amp;$B56&amp;$C56,'Emission factors'!$J$3:$J$381&amp;'Emission factors'!$K$3:$K$381&amp;'Emission factors'!$L$3:$L$381,0),MATCH($K$52,'Emission factors'!$K$2:$V$2,0)))</f>
        <v/>
      </c>
      <c r="L56" s="333">
        <f>SUM(MunicipalWasteTable[[#This Row],[Direct]:[Indirect WTT]])</f>
        <v>0</v>
      </c>
      <c r="M56" s="103"/>
      <c r="N56" s="101"/>
      <c r="O56" s="376" t="str" cm="1">
        <f t="array" ref="O56">IF(OR($B56="",$G56="",$I56=""),"",(INDEX('Emission factors'!$K$3:$V$381,MATCH($J$51&amp;$B56&amp;$C56,'Emission factors'!$J$3:$J$381&amp;'Emission factors'!$K$3:$K$381&amp;'Emission factors'!$L$3:$L$381,0),MATCH(O$52,'Emission factors'!$K$2:$V$2,0)))*$I56)</f>
        <v/>
      </c>
      <c r="P56" s="376" t="str" cm="1">
        <f t="array" ref="P56">IF(OR($B56="",$G56="",$I56=""),"",(INDEX('Emission factors'!$K$3:$V$381,MATCH($J$51&amp;$B56&amp;$C56,'Emission factors'!$J$3:$J$381&amp;'Emission factors'!$K$3:$K$381&amp;'Emission factors'!$L$3:$L$381,0),MATCH(P$52,'Emission factors'!$K$2:$V$2,0)))*$I56)</f>
        <v/>
      </c>
      <c r="Q56" s="376" t="str" cm="1">
        <f t="array" ref="Q56">IF(OR($B56="",$G56="",$I56=""),"",(INDEX('Emission factors'!$K$3:$V$381,MATCH($J$51&amp;$B56&amp;$C56,'Emission factors'!$J$3:$J$381&amp;'Emission factors'!$K$3:$K$381&amp;'Emission factors'!$L$3:$L$381,0),MATCH(Q$52,'Emission factors'!$K$2:$V$2,0)))*$I56)</f>
        <v/>
      </c>
      <c r="R56" s="376" t="str" cm="1">
        <f t="array" ref="R56">IF(OR($B56="",$G56="",$I56=""),"",(INDEX('Emission factors'!$K$3:$V$381,MATCH($J$51&amp;$B56&amp;$C56,'Emission factors'!$J$3:$J$381&amp;'Emission factors'!$K$3:$K$381&amp;'Emission factors'!$L$3:$L$381,0),MATCH(R$52,'Emission factors'!$K$2:$V$2,0)))*$I56)</f>
        <v/>
      </c>
      <c r="S56" s="376" t="str" cm="1">
        <f t="array" ref="S56">IF(OR($B56="",$G56="",$I56=""),"",(INDEX('Emission factors'!$K$3:$V$381,MATCH($J$51&amp;$B56&amp;$C56,'Emission factors'!$J$3:$J$381&amp;'Emission factors'!$K$3:$K$381&amp;'Emission factors'!$L$3:$L$381,0),MATCH(S$52,'Emission factors'!$K$2:$V$2,0)))*$I56)</f>
        <v/>
      </c>
      <c r="T56" s="381" t="str">
        <f>IF(OR(MunicipalWasteTable[[#This Row],[RSD]]="", MunicipalWasteTable[[#This Row],[Total emissions]]=""),"",MunicipalWasteTable[[#This Row],[Total emissions]]*(1+MunicipalWasteTable[[#This Row],[RSD]]))</f>
        <v/>
      </c>
      <c r="U56" s="380" t="str">
        <f>IF(OR(MunicipalWasteTable[[#This Row],[RSD]]="",MunicipalWasteTable[[#This Row],[Total emissions]]=""),"",MunicipalWasteTable[[#This Row],[Total emissions]]*(1-MunicipalWasteTable[[#This Row],[RSD]]))</f>
        <v/>
      </c>
      <c r="V56" s="379" t="str" cm="1">
        <f t="array" ref="V56">IF(OR($B56="",$G56="",$I56=""),"",(INDEX('Emission factors'!$K$3:$V$381,MATCH($J$51&amp;$B56&amp;$C56,'Emission factors'!$J$3:$J$381&amp;'Emission factors'!$K$3:$K$381&amp;'Emission factors'!$L$3:$L$381,0),MATCH(V$52,'Emission factors'!$K$2:$V$2,0)))*$I56)</f>
        <v/>
      </c>
      <c r="W56" s="351"/>
      <c r="X56" s="1" cm="1">
        <f t="array" ref="X56">IF(OR(ISERROR(B56:V56)),1,0)</f>
        <v>0</v>
      </c>
      <c r="Y56" s="1">
        <f t="shared" si="2"/>
        <v>0</v>
      </c>
    </row>
    <row r="57" spans="2:25" ht="12.5" customHeight="1" thickBot="1" x14ac:dyDescent="0.4">
      <c r="B57" s="100"/>
      <c r="C57" s="101"/>
      <c r="D57" s="6"/>
      <c r="E57" s="101"/>
      <c r="F57" s="331" t="str">
        <f>IF(E57="","",INDEX(Methodologytier,MATCH(B$50,Lists!$AZ$4:$AZ$32,0),MATCH(E57,Lists!$BA$3:$BC$3,0)))</f>
        <v/>
      </c>
      <c r="G57" s="70"/>
      <c r="H57" s="101"/>
      <c r="I57" s="333" t="str" cm="1">
        <f t="array" ref="I57">IF(OR($B57="",$C57="",H57=""),"",IF(H57=J57,G57,(INDEX('Emission factors'!$K$3:$V$381,MATCH($B57&amp;$C57,'Emission factors'!$K$3:$K$381&amp;'Emission factors'!$L$3:$L$381,0),MATCH($I$52,'Emission factors'!$K$2:$V$2,0)))*G57))</f>
        <v/>
      </c>
      <c r="J57" s="332" t="str" cm="1">
        <f t="array" ref="J57">IF(OR($B57="",$G57="",MunicipalWasteTable[[#This Row],[Units]]=""),"",INDEX('Emission factors'!$K$3:$V$381,MATCH($B57&amp;$C57,'Emission factors'!$K$3:$K$381&amp;'Emission factors'!$L$3:$L$381,0),MATCH($J$52,'Emission factors'!$K$2:$V$2,0)))</f>
        <v/>
      </c>
      <c r="K57" s="332" t="str" cm="1">
        <f t="array" ref="K57">IF(OR(B57="",C57="",MunicipalWasteTable[[#This Row],[Data]]=""),"",INDEX('Emission factors'!$K$3:$V$381,MATCH($J$51&amp;$B57&amp;$C57,'Emission factors'!$J$3:$J$381&amp;'Emission factors'!$K$3:$K$381&amp;'Emission factors'!$L$3:$L$381,0),MATCH($K$52,'Emission factors'!$K$2:$V$2,0)))</f>
        <v/>
      </c>
      <c r="L57" s="333">
        <f>SUM(MunicipalWasteTable[[#This Row],[Direct]:[Indirect WTT]])</f>
        <v>0</v>
      </c>
      <c r="M57" s="103"/>
      <c r="N57" s="101"/>
      <c r="O57" s="376" t="str" cm="1">
        <f t="array" ref="O57">IF(OR($B57="",$G57="",$I57=""),"",(INDEX('Emission factors'!$K$3:$V$381,MATCH($J$51&amp;$B57&amp;$C57,'Emission factors'!$J$3:$J$381&amp;'Emission factors'!$K$3:$K$381&amp;'Emission factors'!$L$3:$L$381,0),MATCH(O$52,'Emission factors'!$K$2:$V$2,0)))*$I57)</f>
        <v/>
      </c>
      <c r="P57" s="376" t="str" cm="1">
        <f t="array" ref="P57">IF(OR($B57="",$G57="",$I57=""),"",(INDEX('Emission factors'!$K$3:$V$381,MATCH($J$51&amp;$B57&amp;$C57,'Emission factors'!$J$3:$J$381&amp;'Emission factors'!$K$3:$K$381&amp;'Emission factors'!$L$3:$L$381,0),MATCH(P$52,'Emission factors'!$K$2:$V$2,0)))*$I57)</f>
        <v/>
      </c>
      <c r="Q57" s="376" t="str" cm="1">
        <f t="array" ref="Q57">IF(OR($B57="",$G57="",$I57=""),"",(INDEX('Emission factors'!$K$3:$V$381,MATCH($J$51&amp;$B57&amp;$C57,'Emission factors'!$J$3:$J$381&amp;'Emission factors'!$K$3:$K$381&amp;'Emission factors'!$L$3:$L$381,0),MATCH(Q$52,'Emission factors'!$K$2:$V$2,0)))*$I57)</f>
        <v/>
      </c>
      <c r="R57" s="376" t="str" cm="1">
        <f t="array" ref="R57">IF(OR($B57="",$G57="",$I57=""),"",(INDEX('Emission factors'!$K$3:$V$381,MATCH($J$51&amp;$B57&amp;$C57,'Emission factors'!$J$3:$J$381&amp;'Emission factors'!$K$3:$K$381&amp;'Emission factors'!$L$3:$L$381,0),MATCH(R$52,'Emission factors'!$K$2:$V$2,0)))*$I57)</f>
        <v/>
      </c>
      <c r="S57" s="376" t="str" cm="1">
        <f t="array" ref="S57">IF(OR($B57="",$G57="",$I57=""),"",(INDEX('Emission factors'!$K$3:$V$381,MATCH($J$51&amp;$B57&amp;$C57,'Emission factors'!$J$3:$J$381&amp;'Emission factors'!$K$3:$K$381&amp;'Emission factors'!$L$3:$L$381,0),MATCH(S$52,'Emission factors'!$K$2:$V$2,0)))*$I57)</f>
        <v/>
      </c>
      <c r="T57" s="381" t="str">
        <f>IF(OR(MunicipalWasteTable[[#This Row],[RSD]]="", MunicipalWasteTable[[#This Row],[Total emissions]]=""),"",MunicipalWasteTable[[#This Row],[Total emissions]]*(1+MunicipalWasteTable[[#This Row],[RSD]]))</f>
        <v/>
      </c>
      <c r="U57" s="380" t="str">
        <f>IF(OR(MunicipalWasteTable[[#This Row],[RSD]]="",MunicipalWasteTable[[#This Row],[Total emissions]]=""),"",MunicipalWasteTable[[#This Row],[Total emissions]]*(1-MunicipalWasteTable[[#This Row],[RSD]]))</f>
        <v/>
      </c>
      <c r="V57" s="379" t="str" cm="1">
        <f t="array" ref="V57">IF(OR($B57="",$G57="",$I57=""),"",(INDEX('Emission factors'!$K$3:$V$381,MATCH($J$51&amp;$B57&amp;$C57,'Emission factors'!$J$3:$J$381&amp;'Emission factors'!$K$3:$K$381&amp;'Emission factors'!$L$3:$L$381,0),MATCH(V$52,'Emission factors'!$K$2:$V$2,0)))*$I57)</f>
        <v/>
      </c>
      <c r="W57" s="351"/>
      <c r="X57" s="1" cm="1">
        <f t="array" ref="X57">IF(OR(ISERROR(B57:V57)),1,0)</f>
        <v>0</v>
      </c>
      <c r="Y57" s="1">
        <f t="shared" si="2"/>
        <v>0</v>
      </c>
    </row>
    <row r="58" spans="2:25" ht="12.5" customHeight="1" thickBot="1" x14ac:dyDescent="0.4">
      <c r="B58" s="100"/>
      <c r="C58" s="101"/>
      <c r="D58" s="6"/>
      <c r="E58" s="101"/>
      <c r="F58" s="331" t="str">
        <f>IF(E58="","",INDEX(Methodologytier,MATCH(B$50,Lists!$AZ$4:$AZ$32,0),MATCH(E58,Lists!$BA$3:$BC$3,0)))</f>
        <v/>
      </c>
      <c r="G58" s="70"/>
      <c r="H58" s="101"/>
      <c r="I58" s="333" t="str" cm="1">
        <f t="array" ref="I58">IF(OR($B58="",$C58="",H58=""),"",IF(H58=J58,G58,(INDEX('Emission factors'!$K$3:$V$381,MATCH($B58&amp;$C58,'Emission factors'!$K$3:$K$381&amp;'Emission factors'!$L$3:$L$381,0),MATCH($I$52,'Emission factors'!$K$2:$V$2,0)))*G58))</f>
        <v/>
      </c>
      <c r="J58" s="332" t="str" cm="1">
        <f t="array" ref="J58">IF(OR($B58="",$G58="",MunicipalWasteTable[[#This Row],[Units]]=""),"",INDEX('Emission factors'!$K$3:$V$381,MATCH($B58&amp;$C58,'Emission factors'!$K$3:$K$381&amp;'Emission factors'!$L$3:$L$381,0),MATCH($J$52,'Emission factors'!$K$2:$V$2,0)))</f>
        <v/>
      </c>
      <c r="K58" s="332" t="str" cm="1">
        <f t="array" ref="K58">IF(OR(B58="",C58="",MunicipalWasteTable[[#This Row],[Data]]=""),"",INDEX('Emission factors'!$K$3:$V$381,MATCH($J$51&amp;$B58&amp;$C58,'Emission factors'!$J$3:$J$381&amp;'Emission factors'!$K$3:$K$381&amp;'Emission factors'!$L$3:$L$381,0),MATCH($K$52,'Emission factors'!$K$2:$V$2,0)))</f>
        <v/>
      </c>
      <c r="L58" s="333">
        <f>SUM(MunicipalWasteTable[[#This Row],[Direct]:[Indirect WTT]])</f>
        <v>0</v>
      </c>
      <c r="M58" s="103"/>
      <c r="N58" s="101"/>
      <c r="O58" s="376" t="str" cm="1">
        <f t="array" ref="O58">IF(OR($B58="",$G58="",$I58=""),"",(INDEX('Emission factors'!$K$3:$V$381,MATCH($J$51&amp;$B58&amp;$C58,'Emission factors'!$J$3:$J$381&amp;'Emission factors'!$K$3:$K$381&amp;'Emission factors'!$L$3:$L$381,0),MATCH(O$52,'Emission factors'!$K$2:$V$2,0)))*$I58)</f>
        <v/>
      </c>
      <c r="P58" s="376" t="str" cm="1">
        <f t="array" ref="P58">IF(OR($B58="",$G58="",$I58=""),"",(INDEX('Emission factors'!$K$3:$V$381,MATCH($J$51&amp;$B58&amp;$C58,'Emission factors'!$J$3:$J$381&amp;'Emission factors'!$K$3:$K$381&amp;'Emission factors'!$L$3:$L$381,0),MATCH(P$52,'Emission factors'!$K$2:$V$2,0)))*$I58)</f>
        <v/>
      </c>
      <c r="Q58" s="376" t="str" cm="1">
        <f t="array" ref="Q58">IF(OR($B58="",$G58="",$I58=""),"",(INDEX('Emission factors'!$K$3:$V$381,MATCH($J$51&amp;$B58&amp;$C58,'Emission factors'!$J$3:$J$381&amp;'Emission factors'!$K$3:$K$381&amp;'Emission factors'!$L$3:$L$381,0),MATCH(Q$52,'Emission factors'!$K$2:$V$2,0)))*$I58)</f>
        <v/>
      </c>
      <c r="R58" s="376" t="str" cm="1">
        <f t="array" ref="R58">IF(OR($B58="",$G58="",$I58=""),"",(INDEX('Emission factors'!$K$3:$V$381,MATCH($J$51&amp;$B58&amp;$C58,'Emission factors'!$J$3:$J$381&amp;'Emission factors'!$K$3:$K$381&amp;'Emission factors'!$L$3:$L$381,0),MATCH(R$52,'Emission factors'!$K$2:$V$2,0)))*$I58)</f>
        <v/>
      </c>
      <c r="S58" s="376" t="str" cm="1">
        <f t="array" ref="S58">IF(OR($B58="",$G58="",$I58=""),"",(INDEX('Emission factors'!$K$3:$V$381,MATCH($J$51&amp;$B58&amp;$C58,'Emission factors'!$J$3:$J$381&amp;'Emission factors'!$K$3:$K$381&amp;'Emission factors'!$L$3:$L$381,0),MATCH(S$52,'Emission factors'!$K$2:$V$2,0)))*$I58)</f>
        <v/>
      </c>
      <c r="T58" s="381" t="str">
        <f>IF(OR(MunicipalWasteTable[[#This Row],[RSD]]="", MunicipalWasteTable[[#This Row],[Total emissions]]=""),"",MunicipalWasteTable[[#This Row],[Total emissions]]*(1+MunicipalWasteTable[[#This Row],[RSD]]))</f>
        <v/>
      </c>
      <c r="U58" s="380" t="str">
        <f>IF(OR(MunicipalWasteTable[[#This Row],[RSD]]="",MunicipalWasteTable[[#This Row],[Total emissions]]=""),"",MunicipalWasteTable[[#This Row],[Total emissions]]*(1-MunicipalWasteTable[[#This Row],[RSD]]))</f>
        <v/>
      </c>
      <c r="V58" s="379" t="str" cm="1">
        <f t="array" ref="V58">IF(OR($B58="",$G58="",$I58=""),"",(INDEX('Emission factors'!$K$3:$V$381,MATCH($J$51&amp;$B58&amp;$C58,'Emission factors'!$J$3:$J$381&amp;'Emission factors'!$K$3:$K$381&amp;'Emission factors'!$L$3:$L$381,0),MATCH(V$52,'Emission factors'!$K$2:$V$2,0)))*$I58)</f>
        <v/>
      </c>
      <c r="W58" s="351"/>
      <c r="X58" s="1" cm="1">
        <f t="array" ref="X58">IF(OR(ISERROR(B58:V58)),1,0)</f>
        <v>0</v>
      </c>
      <c r="Y58" s="1">
        <f t="shared" si="2"/>
        <v>0</v>
      </c>
    </row>
    <row r="59" spans="2:25" ht="12.5" customHeight="1" thickBot="1" x14ac:dyDescent="0.4">
      <c r="B59" s="100"/>
      <c r="C59" s="101"/>
      <c r="D59" s="6"/>
      <c r="E59" s="101"/>
      <c r="F59" s="331" t="str">
        <f>IF(E59="","",INDEX(Methodologytier,MATCH(B$50,Lists!$AZ$4:$AZ$32,0),MATCH(E59,Lists!$BA$3:$BC$3,0)))</f>
        <v/>
      </c>
      <c r="G59" s="70"/>
      <c r="H59" s="101"/>
      <c r="I59" s="333" t="str" cm="1">
        <f t="array" ref="I59">IF(OR($B59="",$C59="",H59=""),"",IF(H59=J59,G59,(INDEX('Emission factors'!$K$3:$V$381,MATCH($B59&amp;$C59,'Emission factors'!$K$3:$K$381&amp;'Emission factors'!$L$3:$L$381,0),MATCH($I$52,'Emission factors'!$K$2:$V$2,0)))*G59))</f>
        <v/>
      </c>
      <c r="J59" s="332" t="str" cm="1">
        <f t="array" ref="J59">IF(OR($B59="",$G59="",MunicipalWasteTable[[#This Row],[Units]]=""),"",INDEX('Emission factors'!$K$3:$V$381,MATCH($B59&amp;$C59,'Emission factors'!$K$3:$K$381&amp;'Emission factors'!$L$3:$L$381,0),MATCH($J$52,'Emission factors'!$K$2:$V$2,0)))</f>
        <v/>
      </c>
      <c r="K59" s="332" t="str" cm="1">
        <f t="array" ref="K59">IF(OR(B59="",C59="",MunicipalWasteTable[[#This Row],[Data]]=""),"",INDEX('Emission factors'!$K$3:$V$381,MATCH($J$51&amp;$B59&amp;$C59,'Emission factors'!$J$3:$J$381&amp;'Emission factors'!$K$3:$K$381&amp;'Emission factors'!$L$3:$L$381,0),MATCH($K$52,'Emission factors'!$K$2:$V$2,0)))</f>
        <v/>
      </c>
      <c r="L59" s="333">
        <f>SUM(MunicipalWasteTable[[#This Row],[Direct]:[Indirect WTT]])</f>
        <v>0</v>
      </c>
      <c r="M59" s="103"/>
      <c r="N59" s="101"/>
      <c r="O59" s="376" t="str" cm="1">
        <f t="array" ref="O59">IF(OR($B59="",$G59="",$I59=""),"",(INDEX('Emission factors'!$K$3:$V$381,MATCH($J$51&amp;$B59&amp;$C59,'Emission factors'!$J$3:$J$381&amp;'Emission factors'!$K$3:$K$381&amp;'Emission factors'!$L$3:$L$381,0),MATCH(O$52,'Emission factors'!$K$2:$V$2,0)))*$I59)</f>
        <v/>
      </c>
      <c r="P59" s="376" t="str" cm="1">
        <f t="array" ref="P59">IF(OR($B59="",$G59="",$I59=""),"",(INDEX('Emission factors'!$K$3:$V$381,MATCH($J$51&amp;$B59&amp;$C59,'Emission factors'!$J$3:$J$381&amp;'Emission factors'!$K$3:$K$381&amp;'Emission factors'!$L$3:$L$381,0),MATCH(P$52,'Emission factors'!$K$2:$V$2,0)))*$I59)</f>
        <v/>
      </c>
      <c r="Q59" s="376" t="str" cm="1">
        <f t="array" ref="Q59">IF(OR($B59="",$G59="",$I59=""),"",(INDEX('Emission factors'!$K$3:$V$381,MATCH($J$51&amp;$B59&amp;$C59,'Emission factors'!$J$3:$J$381&amp;'Emission factors'!$K$3:$K$381&amp;'Emission factors'!$L$3:$L$381,0),MATCH(Q$52,'Emission factors'!$K$2:$V$2,0)))*$I59)</f>
        <v/>
      </c>
      <c r="R59" s="376" t="str" cm="1">
        <f t="array" ref="R59">IF(OR($B59="",$G59="",$I59=""),"",(INDEX('Emission factors'!$K$3:$V$381,MATCH($J$51&amp;$B59&amp;$C59,'Emission factors'!$J$3:$J$381&amp;'Emission factors'!$K$3:$K$381&amp;'Emission factors'!$L$3:$L$381,0),MATCH(R$52,'Emission factors'!$K$2:$V$2,0)))*$I59)</f>
        <v/>
      </c>
      <c r="S59" s="376" t="str" cm="1">
        <f t="array" ref="S59">IF(OR($B59="",$G59="",$I59=""),"",(INDEX('Emission factors'!$K$3:$V$381,MATCH($J$51&amp;$B59&amp;$C59,'Emission factors'!$J$3:$J$381&amp;'Emission factors'!$K$3:$K$381&amp;'Emission factors'!$L$3:$L$381,0),MATCH(S$52,'Emission factors'!$K$2:$V$2,0)))*$I59)</f>
        <v/>
      </c>
      <c r="T59" s="381" t="str">
        <f>IF(OR(MunicipalWasteTable[[#This Row],[RSD]]="", MunicipalWasteTable[[#This Row],[Total emissions]]=""),"",MunicipalWasteTable[[#This Row],[Total emissions]]*(1+MunicipalWasteTable[[#This Row],[RSD]]))</f>
        <v/>
      </c>
      <c r="U59" s="380" t="str">
        <f>IF(OR(MunicipalWasteTable[[#This Row],[RSD]]="",MunicipalWasteTable[[#This Row],[Total emissions]]=""),"",MunicipalWasteTable[[#This Row],[Total emissions]]*(1-MunicipalWasteTable[[#This Row],[RSD]]))</f>
        <v/>
      </c>
      <c r="V59" s="379" t="str" cm="1">
        <f t="array" ref="V59">IF(OR($B59="",$G59="",$I59=""),"",(INDEX('Emission factors'!$K$3:$V$381,MATCH($J$51&amp;$B59&amp;$C59,'Emission factors'!$J$3:$J$381&amp;'Emission factors'!$K$3:$K$381&amp;'Emission factors'!$L$3:$L$381,0),MATCH(V$52,'Emission factors'!$K$2:$V$2,0)))*$I59)</f>
        <v/>
      </c>
      <c r="W59" s="351"/>
      <c r="X59" s="1" cm="1">
        <f t="array" ref="X59">IF(OR(ISERROR(B59:V59)),1,0)</f>
        <v>0</v>
      </c>
      <c r="Y59" s="1">
        <f t="shared" si="2"/>
        <v>0</v>
      </c>
    </row>
    <row r="60" spans="2:25" ht="12.5" customHeight="1" thickBot="1" x14ac:dyDescent="0.4">
      <c r="B60" s="100"/>
      <c r="C60" s="101"/>
      <c r="D60" s="6"/>
      <c r="E60" s="101"/>
      <c r="F60" s="331" t="str">
        <f>IF(E60="","",INDEX(Methodologytier,MATCH(B$50,Lists!$AZ$4:$AZ$32,0),MATCH(E60,Lists!$BA$3:$BC$3,0)))</f>
        <v/>
      </c>
      <c r="G60" s="70"/>
      <c r="H60" s="101"/>
      <c r="I60" s="333" t="str" cm="1">
        <f t="array" ref="I60">IF(OR($B60="",$C60="",H60=""),"",IF(H60=J60,G60,(INDEX('Emission factors'!$K$3:$V$381,MATCH($B60&amp;$C60,'Emission factors'!$K$3:$K$381&amp;'Emission factors'!$L$3:$L$381,0),MATCH($I$52,'Emission factors'!$K$2:$V$2,0)))*G60))</f>
        <v/>
      </c>
      <c r="J60" s="332" t="str" cm="1">
        <f t="array" ref="J60">IF(OR($B60="",$G60="",MunicipalWasteTable[[#This Row],[Units]]=""),"",INDEX('Emission factors'!$K$3:$V$381,MATCH($B60&amp;$C60,'Emission factors'!$K$3:$K$381&amp;'Emission factors'!$L$3:$L$381,0),MATCH($J$52,'Emission factors'!$K$2:$V$2,0)))</f>
        <v/>
      </c>
      <c r="K60" s="332" t="str" cm="1">
        <f t="array" ref="K60">IF(OR(B60="",C60="",MunicipalWasteTable[[#This Row],[Data]]=""),"",INDEX('Emission factors'!$K$3:$V$381,MATCH($J$51&amp;$B60&amp;$C60,'Emission factors'!$J$3:$J$381&amp;'Emission factors'!$K$3:$K$381&amp;'Emission factors'!$L$3:$L$381,0),MATCH($K$52,'Emission factors'!$K$2:$V$2,0)))</f>
        <v/>
      </c>
      <c r="L60" s="333">
        <f>SUM(MunicipalWasteTable[[#This Row],[Direct]:[Indirect WTT]])</f>
        <v>0</v>
      </c>
      <c r="M60" s="103"/>
      <c r="N60" s="101"/>
      <c r="O60" s="376" t="str" cm="1">
        <f t="array" ref="O60">IF(OR($B60="",$G60="",$I60=""),"",(INDEX('Emission factors'!$K$3:$V$381,MATCH($J$51&amp;$B60&amp;$C60,'Emission factors'!$J$3:$J$381&amp;'Emission factors'!$K$3:$K$381&amp;'Emission factors'!$L$3:$L$381,0),MATCH(O$52,'Emission factors'!$K$2:$V$2,0)))*$I60)</f>
        <v/>
      </c>
      <c r="P60" s="376" t="str" cm="1">
        <f t="array" ref="P60">IF(OR($B60="",$G60="",$I60=""),"",(INDEX('Emission factors'!$K$3:$V$381,MATCH($J$51&amp;$B60&amp;$C60,'Emission factors'!$J$3:$J$381&amp;'Emission factors'!$K$3:$K$381&amp;'Emission factors'!$L$3:$L$381,0),MATCH(P$52,'Emission factors'!$K$2:$V$2,0)))*$I60)</f>
        <v/>
      </c>
      <c r="Q60" s="376" t="str" cm="1">
        <f t="array" ref="Q60">IF(OR($B60="",$G60="",$I60=""),"",(INDEX('Emission factors'!$K$3:$V$381,MATCH($J$51&amp;$B60&amp;$C60,'Emission factors'!$J$3:$J$381&amp;'Emission factors'!$K$3:$K$381&amp;'Emission factors'!$L$3:$L$381,0),MATCH(Q$52,'Emission factors'!$K$2:$V$2,0)))*$I60)</f>
        <v/>
      </c>
      <c r="R60" s="376" t="str" cm="1">
        <f t="array" ref="R60">IF(OR($B60="",$G60="",$I60=""),"",(INDEX('Emission factors'!$K$3:$V$381,MATCH($J$51&amp;$B60&amp;$C60,'Emission factors'!$J$3:$J$381&amp;'Emission factors'!$K$3:$K$381&amp;'Emission factors'!$L$3:$L$381,0),MATCH(R$52,'Emission factors'!$K$2:$V$2,0)))*$I60)</f>
        <v/>
      </c>
      <c r="S60" s="376" t="str" cm="1">
        <f t="array" ref="S60">IF(OR($B60="",$G60="",$I60=""),"",(INDEX('Emission factors'!$K$3:$V$381,MATCH($J$51&amp;$B60&amp;$C60,'Emission factors'!$J$3:$J$381&amp;'Emission factors'!$K$3:$K$381&amp;'Emission factors'!$L$3:$L$381,0),MATCH(S$52,'Emission factors'!$K$2:$V$2,0)))*$I60)</f>
        <v/>
      </c>
      <c r="T60" s="381" t="str">
        <f>IF(OR(MunicipalWasteTable[[#This Row],[RSD]]="", MunicipalWasteTable[[#This Row],[Total emissions]]=""),"",MunicipalWasteTable[[#This Row],[Total emissions]]*(1+MunicipalWasteTable[[#This Row],[RSD]]))</f>
        <v/>
      </c>
      <c r="U60" s="380" t="str">
        <f>IF(OR(MunicipalWasteTable[[#This Row],[RSD]]="",MunicipalWasteTable[[#This Row],[Total emissions]]=""),"",MunicipalWasteTable[[#This Row],[Total emissions]]*(1-MunicipalWasteTable[[#This Row],[RSD]]))</f>
        <v/>
      </c>
      <c r="V60" s="379" t="str" cm="1">
        <f t="array" ref="V60">IF(OR($B60="",$G60="",$I60=""),"",(INDEX('Emission factors'!$K$3:$V$381,MATCH($J$51&amp;$B60&amp;$C60,'Emission factors'!$J$3:$J$381&amp;'Emission factors'!$K$3:$K$381&amp;'Emission factors'!$L$3:$L$381,0),MATCH(V$52,'Emission factors'!$K$2:$V$2,0)))*$I60)</f>
        <v/>
      </c>
      <c r="W60" s="351"/>
      <c r="X60" s="1" cm="1">
        <f t="array" ref="X60">IF(OR(ISERROR(B60:V60)),1,0)</f>
        <v>0</v>
      </c>
      <c r="Y60" s="1">
        <f t="shared" si="2"/>
        <v>0</v>
      </c>
    </row>
    <row r="61" spans="2:25" ht="12.5" customHeight="1" thickBot="1" x14ac:dyDescent="0.4">
      <c r="B61" s="100"/>
      <c r="C61" s="101"/>
      <c r="D61" s="6"/>
      <c r="E61" s="101"/>
      <c r="F61" s="331" t="str">
        <f>IF(E61="","",INDEX(Methodologytier,MATCH(B$50,Lists!$AZ$4:$AZ$32,0),MATCH(E61,Lists!$BA$3:$BC$3,0)))</f>
        <v/>
      </c>
      <c r="G61" s="70"/>
      <c r="H61" s="101"/>
      <c r="I61" s="333" t="str" cm="1">
        <f t="array" ref="I61">IF(OR($B61="",$C61="",H61=""),"",IF(H61=J61,G61,(INDEX('Emission factors'!$K$3:$V$381,MATCH($B61&amp;$C61,'Emission factors'!$K$3:$K$381&amp;'Emission factors'!$L$3:$L$381,0),MATCH($I$52,'Emission factors'!$K$2:$V$2,0)))*G61))</f>
        <v/>
      </c>
      <c r="J61" s="332" t="str" cm="1">
        <f t="array" ref="J61">IF(OR($B61="",$G61="",MunicipalWasteTable[[#This Row],[Units]]=""),"",INDEX('Emission factors'!$K$3:$V$381,MATCH($B61&amp;$C61,'Emission factors'!$K$3:$K$381&amp;'Emission factors'!$L$3:$L$381,0),MATCH($J$52,'Emission factors'!$K$2:$V$2,0)))</f>
        <v/>
      </c>
      <c r="K61" s="332" t="str" cm="1">
        <f t="array" ref="K61">IF(OR(B61="",C61="",MunicipalWasteTable[[#This Row],[Data]]=""),"",INDEX('Emission factors'!$K$3:$V$381,MATCH($J$51&amp;$B61&amp;$C61,'Emission factors'!$J$3:$J$381&amp;'Emission factors'!$K$3:$K$381&amp;'Emission factors'!$L$3:$L$381,0),MATCH($K$52,'Emission factors'!$K$2:$V$2,0)))</f>
        <v/>
      </c>
      <c r="L61" s="333">
        <f>SUM(MunicipalWasteTable[[#This Row],[Direct]:[Indirect WTT]])</f>
        <v>0</v>
      </c>
      <c r="M61" s="103"/>
      <c r="N61" s="101"/>
      <c r="O61" s="376" t="str" cm="1">
        <f t="array" ref="O61">IF(OR($B61="",$G61="",$I61=""),"",(INDEX('Emission factors'!$K$3:$V$381,MATCH($J$51&amp;$B61&amp;$C61,'Emission factors'!$J$3:$J$381&amp;'Emission factors'!$K$3:$K$381&amp;'Emission factors'!$L$3:$L$381,0),MATCH(O$52,'Emission factors'!$K$2:$V$2,0)))*$I61)</f>
        <v/>
      </c>
      <c r="P61" s="376" t="str" cm="1">
        <f t="array" ref="P61">IF(OR($B61="",$G61="",$I61=""),"",(INDEX('Emission factors'!$K$3:$V$381,MATCH($J$51&amp;$B61&amp;$C61,'Emission factors'!$J$3:$J$381&amp;'Emission factors'!$K$3:$K$381&amp;'Emission factors'!$L$3:$L$381,0),MATCH(P$52,'Emission factors'!$K$2:$V$2,0)))*$I61)</f>
        <v/>
      </c>
      <c r="Q61" s="376" t="str" cm="1">
        <f t="array" ref="Q61">IF(OR($B61="",$G61="",$I61=""),"",(INDEX('Emission factors'!$K$3:$V$381,MATCH($J$51&amp;$B61&amp;$C61,'Emission factors'!$J$3:$J$381&amp;'Emission factors'!$K$3:$K$381&amp;'Emission factors'!$L$3:$L$381,0),MATCH(Q$52,'Emission factors'!$K$2:$V$2,0)))*$I61)</f>
        <v/>
      </c>
      <c r="R61" s="376" t="str" cm="1">
        <f t="array" ref="R61">IF(OR($B61="",$G61="",$I61=""),"",(INDEX('Emission factors'!$K$3:$V$381,MATCH($J$51&amp;$B61&amp;$C61,'Emission factors'!$J$3:$J$381&amp;'Emission factors'!$K$3:$K$381&amp;'Emission factors'!$L$3:$L$381,0),MATCH(R$52,'Emission factors'!$K$2:$V$2,0)))*$I61)</f>
        <v/>
      </c>
      <c r="S61" s="376" t="str" cm="1">
        <f t="array" ref="S61">IF(OR($B61="",$G61="",$I61=""),"",(INDEX('Emission factors'!$K$3:$V$381,MATCH($J$51&amp;$B61&amp;$C61,'Emission factors'!$J$3:$J$381&amp;'Emission factors'!$K$3:$K$381&amp;'Emission factors'!$L$3:$L$381,0),MATCH(S$52,'Emission factors'!$K$2:$V$2,0)))*$I61)</f>
        <v/>
      </c>
      <c r="T61" s="381" t="str">
        <f>IF(OR(MunicipalWasteTable[[#This Row],[RSD]]="", MunicipalWasteTable[[#This Row],[Total emissions]]=""),"",MunicipalWasteTable[[#This Row],[Total emissions]]*(1+MunicipalWasteTable[[#This Row],[RSD]]))</f>
        <v/>
      </c>
      <c r="U61" s="380" t="str">
        <f>IF(OR(MunicipalWasteTable[[#This Row],[RSD]]="",MunicipalWasteTable[[#This Row],[Total emissions]]=""),"",MunicipalWasteTable[[#This Row],[Total emissions]]*(1-MunicipalWasteTable[[#This Row],[RSD]]))</f>
        <v/>
      </c>
      <c r="V61" s="379" t="str" cm="1">
        <f t="array" ref="V61">IF(OR($B61="",$G61="",$I61=""),"",(INDEX('Emission factors'!$K$3:$V$381,MATCH($J$51&amp;$B61&amp;$C61,'Emission factors'!$J$3:$J$381&amp;'Emission factors'!$K$3:$K$381&amp;'Emission factors'!$L$3:$L$381,0),MATCH(V$52,'Emission factors'!$K$2:$V$2,0)))*$I61)</f>
        <v/>
      </c>
      <c r="W61" s="351"/>
      <c r="X61" s="1" cm="1">
        <f t="array" ref="X61">IF(OR(ISERROR(B61:V61)),1,0)</f>
        <v>0</v>
      </c>
      <c r="Y61" s="1">
        <f t="shared" si="2"/>
        <v>0</v>
      </c>
    </row>
    <row r="62" spans="2:25" ht="12.5" customHeight="1" thickBot="1" x14ac:dyDescent="0.4">
      <c r="B62" s="100"/>
      <c r="C62" s="101"/>
      <c r="D62" s="6"/>
      <c r="E62" s="101"/>
      <c r="F62" s="331" t="str">
        <f>IF(E62="","",INDEX(Methodologytier,MATCH(B$50,Lists!$AZ$4:$AZ$32,0),MATCH(E62,Lists!$BA$3:$BC$3,0)))</f>
        <v/>
      </c>
      <c r="G62" s="70"/>
      <c r="H62" s="101"/>
      <c r="I62" s="333" t="str" cm="1">
        <f t="array" ref="I62">IF(OR($B62="",$C62="",H62=""),"",IF(H62=J62,G62,(INDEX('Emission factors'!$K$3:$V$381,MATCH($B62&amp;$C62,'Emission factors'!$K$3:$K$381&amp;'Emission factors'!$L$3:$L$381,0),MATCH($I$52,'Emission factors'!$K$2:$V$2,0)))*G62))</f>
        <v/>
      </c>
      <c r="J62" s="332" t="str" cm="1">
        <f t="array" ref="J62">IF(OR($B62="",$G62="",MunicipalWasteTable[[#This Row],[Units]]=""),"",INDEX('Emission factors'!$K$3:$V$381,MATCH($B62&amp;$C62,'Emission factors'!$K$3:$K$381&amp;'Emission factors'!$L$3:$L$381,0),MATCH($J$52,'Emission factors'!$K$2:$V$2,0)))</f>
        <v/>
      </c>
      <c r="K62" s="332" t="str" cm="1">
        <f t="array" ref="K62">IF(OR(B62="",C62="",MunicipalWasteTable[[#This Row],[Data]]=""),"",INDEX('Emission factors'!$K$3:$V$381,MATCH($J$51&amp;$B62&amp;$C62,'Emission factors'!$J$3:$J$381&amp;'Emission factors'!$K$3:$K$381&amp;'Emission factors'!$L$3:$L$381,0),MATCH($K$52,'Emission factors'!$K$2:$V$2,0)))</f>
        <v/>
      </c>
      <c r="L62" s="333">
        <f>SUM(MunicipalWasteTable[[#This Row],[Direct]:[Indirect WTT]])</f>
        <v>0</v>
      </c>
      <c r="M62" s="103"/>
      <c r="N62" s="101"/>
      <c r="O62" s="376" t="str" cm="1">
        <f t="array" ref="O62">IF(OR($B62="",$G62="",$I62=""),"",(INDEX('Emission factors'!$K$3:$V$381,MATCH($J$51&amp;$B62&amp;$C62,'Emission factors'!$J$3:$J$381&amp;'Emission factors'!$K$3:$K$381&amp;'Emission factors'!$L$3:$L$381,0),MATCH(O$52,'Emission factors'!$K$2:$V$2,0)))*$I62)</f>
        <v/>
      </c>
      <c r="P62" s="376" t="str" cm="1">
        <f t="array" ref="P62">IF(OR($B62="",$G62="",$I62=""),"",(INDEX('Emission factors'!$K$3:$V$381,MATCH($J$51&amp;$B62&amp;$C62,'Emission factors'!$J$3:$J$381&amp;'Emission factors'!$K$3:$K$381&amp;'Emission factors'!$L$3:$L$381,0),MATCH(P$52,'Emission factors'!$K$2:$V$2,0)))*$I62)</f>
        <v/>
      </c>
      <c r="Q62" s="376" t="str" cm="1">
        <f t="array" ref="Q62">IF(OR($B62="",$G62="",$I62=""),"",(INDEX('Emission factors'!$K$3:$V$381,MATCH($J$51&amp;$B62&amp;$C62,'Emission factors'!$J$3:$J$381&amp;'Emission factors'!$K$3:$K$381&amp;'Emission factors'!$L$3:$L$381,0),MATCH(Q$52,'Emission factors'!$K$2:$V$2,0)))*$I62)</f>
        <v/>
      </c>
      <c r="R62" s="376" t="str" cm="1">
        <f t="array" ref="R62">IF(OR($B62="",$G62="",$I62=""),"",(INDEX('Emission factors'!$K$3:$V$381,MATCH($J$51&amp;$B62&amp;$C62,'Emission factors'!$J$3:$J$381&amp;'Emission factors'!$K$3:$K$381&amp;'Emission factors'!$L$3:$L$381,0),MATCH(R$52,'Emission factors'!$K$2:$V$2,0)))*$I62)</f>
        <v/>
      </c>
      <c r="S62" s="376" t="str" cm="1">
        <f t="array" ref="S62">IF(OR($B62="",$G62="",$I62=""),"",(INDEX('Emission factors'!$K$3:$V$381,MATCH($J$51&amp;$B62&amp;$C62,'Emission factors'!$J$3:$J$381&amp;'Emission factors'!$K$3:$K$381&amp;'Emission factors'!$L$3:$L$381,0),MATCH(S$52,'Emission factors'!$K$2:$V$2,0)))*$I62)</f>
        <v/>
      </c>
      <c r="T62" s="381" t="str">
        <f>IF(OR(MunicipalWasteTable[[#This Row],[RSD]]="", MunicipalWasteTable[[#This Row],[Total emissions]]=""),"",MunicipalWasteTable[[#This Row],[Total emissions]]*(1+MunicipalWasteTable[[#This Row],[RSD]]))</f>
        <v/>
      </c>
      <c r="U62" s="380" t="str">
        <f>IF(OR(MunicipalWasteTable[[#This Row],[RSD]]="",MunicipalWasteTable[[#This Row],[Total emissions]]=""),"",MunicipalWasteTable[[#This Row],[Total emissions]]*(1-MunicipalWasteTable[[#This Row],[RSD]]))</f>
        <v/>
      </c>
      <c r="V62" s="379" t="str" cm="1">
        <f t="array" ref="V62">IF(OR($B62="",$G62="",$I62=""),"",(INDEX('Emission factors'!$K$3:$V$381,MATCH($J$51&amp;$B62&amp;$C62,'Emission factors'!$J$3:$J$381&amp;'Emission factors'!$K$3:$K$381&amp;'Emission factors'!$L$3:$L$381,0),MATCH(V$52,'Emission factors'!$K$2:$V$2,0)))*$I62)</f>
        <v/>
      </c>
      <c r="W62" s="351"/>
      <c r="X62" s="1" cm="1">
        <f t="array" ref="X62">IF(OR(ISERROR(B62:V62)),1,0)</f>
        <v>0</v>
      </c>
      <c r="Y62" s="1">
        <f t="shared" si="2"/>
        <v>0</v>
      </c>
    </row>
    <row r="63" spans="2:25" ht="12.5" customHeight="1" thickBot="1" x14ac:dyDescent="0.4">
      <c r="B63" s="100"/>
      <c r="C63" s="101"/>
      <c r="D63" s="6"/>
      <c r="E63" s="101"/>
      <c r="F63" s="331" t="str">
        <f>IF(E63="","",INDEX(Methodologytier,MATCH(B$50,Lists!$AZ$4:$AZ$32,0),MATCH(E63,Lists!$BA$3:$BC$3,0)))</f>
        <v/>
      </c>
      <c r="G63" s="70"/>
      <c r="H63" s="101"/>
      <c r="I63" s="333" t="str" cm="1">
        <f t="array" ref="I63">IF(OR($B63="",$C63="",H63=""),"",IF(H63=J63,G63,(INDEX('Emission factors'!$K$3:$V$381,MATCH($B63&amp;$C63,'Emission factors'!$K$3:$K$381&amp;'Emission factors'!$L$3:$L$381,0),MATCH($I$52,'Emission factors'!$K$2:$V$2,0)))*G63))</f>
        <v/>
      </c>
      <c r="J63" s="332" t="str" cm="1">
        <f t="array" ref="J63">IF(OR($B63="",$G63="",MunicipalWasteTable[[#This Row],[Units]]=""),"",INDEX('Emission factors'!$K$3:$V$381,MATCH($B63&amp;$C63,'Emission factors'!$K$3:$K$381&amp;'Emission factors'!$L$3:$L$381,0),MATCH($J$52,'Emission factors'!$K$2:$V$2,0)))</f>
        <v/>
      </c>
      <c r="K63" s="332" t="str" cm="1">
        <f t="array" ref="K63">IF(OR(B63="",C63="",MunicipalWasteTable[[#This Row],[Data]]=""),"",INDEX('Emission factors'!$K$3:$V$381,MATCH($J$51&amp;$B63&amp;$C63,'Emission factors'!$J$3:$J$381&amp;'Emission factors'!$K$3:$K$381&amp;'Emission factors'!$L$3:$L$381,0),MATCH($K$52,'Emission factors'!$K$2:$V$2,0)))</f>
        <v/>
      </c>
      <c r="L63" s="333">
        <f>SUM(MunicipalWasteTable[[#This Row],[Direct]:[Indirect WTT]])</f>
        <v>0</v>
      </c>
      <c r="M63" s="103"/>
      <c r="N63" s="101"/>
      <c r="O63" s="376" t="str" cm="1">
        <f t="array" ref="O63">IF(OR($B63="",$G63="",$I63=""),"",(INDEX('Emission factors'!$K$3:$V$381,MATCH($J$51&amp;$B63&amp;$C63,'Emission factors'!$J$3:$J$381&amp;'Emission factors'!$K$3:$K$381&amp;'Emission factors'!$L$3:$L$381,0),MATCH(O$52,'Emission factors'!$K$2:$V$2,0)))*$I63)</f>
        <v/>
      </c>
      <c r="P63" s="376" t="str" cm="1">
        <f t="array" ref="P63">IF(OR($B63="",$G63="",$I63=""),"",(INDEX('Emission factors'!$K$3:$V$381,MATCH($J$51&amp;$B63&amp;$C63,'Emission factors'!$J$3:$J$381&amp;'Emission factors'!$K$3:$K$381&amp;'Emission factors'!$L$3:$L$381,0),MATCH(P$52,'Emission factors'!$K$2:$V$2,0)))*$I63)</f>
        <v/>
      </c>
      <c r="Q63" s="376" t="str" cm="1">
        <f t="array" ref="Q63">IF(OR($B63="",$G63="",$I63=""),"",(INDEX('Emission factors'!$K$3:$V$381,MATCH($J$51&amp;$B63&amp;$C63,'Emission factors'!$J$3:$J$381&amp;'Emission factors'!$K$3:$K$381&amp;'Emission factors'!$L$3:$L$381,0),MATCH(Q$52,'Emission factors'!$K$2:$V$2,0)))*$I63)</f>
        <v/>
      </c>
      <c r="R63" s="376" t="str" cm="1">
        <f t="array" ref="R63">IF(OR($B63="",$G63="",$I63=""),"",(INDEX('Emission factors'!$K$3:$V$381,MATCH($J$51&amp;$B63&amp;$C63,'Emission factors'!$J$3:$J$381&amp;'Emission factors'!$K$3:$K$381&amp;'Emission factors'!$L$3:$L$381,0),MATCH(R$52,'Emission factors'!$K$2:$V$2,0)))*$I63)</f>
        <v/>
      </c>
      <c r="S63" s="376" t="str" cm="1">
        <f t="array" ref="S63">IF(OR($B63="",$G63="",$I63=""),"",(INDEX('Emission factors'!$K$3:$V$381,MATCH($J$51&amp;$B63&amp;$C63,'Emission factors'!$J$3:$J$381&amp;'Emission factors'!$K$3:$K$381&amp;'Emission factors'!$L$3:$L$381,0),MATCH(S$52,'Emission factors'!$K$2:$V$2,0)))*$I63)</f>
        <v/>
      </c>
      <c r="T63" s="381" t="str">
        <f>IF(OR(MunicipalWasteTable[[#This Row],[RSD]]="", MunicipalWasteTable[[#This Row],[Total emissions]]=""),"",MunicipalWasteTable[[#This Row],[Total emissions]]*(1+MunicipalWasteTable[[#This Row],[RSD]]))</f>
        <v/>
      </c>
      <c r="U63" s="380" t="str">
        <f>IF(OR(MunicipalWasteTable[[#This Row],[RSD]]="",MunicipalWasteTable[[#This Row],[Total emissions]]=""),"",MunicipalWasteTable[[#This Row],[Total emissions]]*(1-MunicipalWasteTable[[#This Row],[RSD]]))</f>
        <v/>
      </c>
      <c r="V63" s="379" t="str" cm="1">
        <f t="array" ref="V63">IF(OR($B63="",$G63="",$I63=""),"",(INDEX('Emission factors'!$K$3:$V$381,MATCH($J$51&amp;$B63&amp;$C63,'Emission factors'!$J$3:$J$381&amp;'Emission factors'!$K$3:$K$381&amp;'Emission factors'!$L$3:$L$381,0),MATCH(V$52,'Emission factors'!$K$2:$V$2,0)))*$I63)</f>
        <v/>
      </c>
      <c r="W63" s="351"/>
      <c r="X63" s="1" cm="1">
        <f t="array" ref="X63">IF(OR(ISERROR(B63:V63)),1,0)</f>
        <v>0</v>
      </c>
      <c r="Y63" s="1">
        <f t="shared" si="2"/>
        <v>0</v>
      </c>
    </row>
    <row r="64" spans="2:25" ht="12.5" customHeight="1" thickBot="1" x14ac:dyDescent="0.4">
      <c r="B64" s="100"/>
      <c r="C64" s="101"/>
      <c r="D64" s="6"/>
      <c r="E64" s="101"/>
      <c r="F64" s="331" t="str">
        <f>IF(E64="","",INDEX(Methodologytier,MATCH(B$50,Lists!$AZ$4:$AZ$32,0),MATCH(E64,Lists!$BA$3:$BC$3,0)))</f>
        <v/>
      </c>
      <c r="G64" s="70"/>
      <c r="H64" s="101"/>
      <c r="I64" s="333" t="str" cm="1">
        <f t="array" ref="I64">IF(OR($B64="",$C64="",H64=""),"",IF(H64=J64,G64,(INDEX('Emission factors'!$K$3:$V$381,MATCH($B64&amp;$C64,'Emission factors'!$K$3:$K$381&amp;'Emission factors'!$L$3:$L$381,0),MATCH($I$52,'Emission factors'!$K$2:$V$2,0)))*G64))</f>
        <v/>
      </c>
      <c r="J64" s="332" t="str" cm="1">
        <f t="array" ref="J64">IF(OR($B64="",$G64="",MunicipalWasteTable[[#This Row],[Units]]=""),"",INDEX('Emission factors'!$K$3:$V$381,MATCH($B64&amp;$C64,'Emission factors'!$K$3:$K$381&amp;'Emission factors'!$L$3:$L$381,0),MATCH($J$52,'Emission factors'!$K$2:$V$2,0)))</f>
        <v/>
      </c>
      <c r="K64" s="332" t="str" cm="1">
        <f t="array" ref="K64">IF(OR(B64="",C64="",MunicipalWasteTable[[#This Row],[Data]]=""),"",INDEX('Emission factors'!$K$3:$V$381,MATCH($J$51&amp;$B64&amp;$C64,'Emission factors'!$J$3:$J$381&amp;'Emission factors'!$K$3:$K$381&amp;'Emission factors'!$L$3:$L$381,0),MATCH($K$52,'Emission factors'!$K$2:$V$2,0)))</f>
        <v/>
      </c>
      <c r="L64" s="333">
        <f>SUM(MunicipalWasteTable[[#This Row],[Direct]:[Indirect WTT]])</f>
        <v>0</v>
      </c>
      <c r="M64" s="103"/>
      <c r="N64" s="101"/>
      <c r="O64" s="376" t="str" cm="1">
        <f t="array" ref="O64">IF(OR($B64="",$G64="",$I64=""),"",(INDEX('Emission factors'!$K$3:$V$381,MATCH($J$51&amp;$B64&amp;$C64,'Emission factors'!$J$3:$J$381&amp;'Emission factors'!$K$3:$K$381&amp;'Emission factors'!$L$3:$L$381,0),MATCH(O$52,'Emission factors'!$K$2:$V$2,0)))*$I64)</f>
        <v/>
      </c>
      <c r="P64" s="376" t="str" cm="1">
        <f t="array" ref="P64">IF(OR($B64="",$G64="",$I64=""),"",(INDEX('Emission factors'!$K$3:$V$381,MATCH($J$51&amp;$B64&amp;$C64,'Emission factors'!$J$3:$J$381&amp;'Emission factors'!$K$3:$K$381&amp;'Emission factors'!$L$3:$L$381,0),MATCH(P$52,'Emission factors'!$K$2:$V$2,0)))*$I64)</f>
        <v/>
      </c>
      <c r="Q64" s="376" t="str" cm="1">
        <f t="array" ref="Q64">IF(OR($B64="",$G64="",$I64=""),"",(INDEX('Emission factors'!$K$3:$V$381,MATCH($J$51&amp;$B64&amp;$C64,'Emission factors'!$J$3:$J$381&amp;'Emission factors'!$K$3:$K$381&amp;'Emission factors'!$L$3:$L$381,0),MATCH(Q$52,'Emission factors'!$K$2:$V$2,0)))*$I64)</f>
        <v/>
      </c>
      <c r="R64" s="376" t="str" cm="1">
        <f t="array" ref="R64">IF(OR($B64="",$G64="",$I64=""),"",(INDEX('Emission factors'!$K$3:$V$381,MATCH($J$51&amp;$B64&amp;$C64,'Emission factors'!$J$3:$J$381&amp;'Emission factors'!$K$3:$K$381&amp;'Emission factors'!$L$3:$L$381,0),MATCH(R$52,'Emission factors'!$K$2:$V$2,0)))*$I64)</f>
        <v/>
      </c>
      <c r="S64" s="376" t="str" cm="1">
        <f t="array" ref="S64">IF(OR($B64="",$G64="",$I64=""),"",(INDEX('Emission factors'!$K$3:$V$381,MATCH($J$51&amp;$B64&amp;$C64,'Emission factors'!$J$3:$J$381&amp;'Emission factors'!$K$3:$K$381&amp;'Emission factors'!$L$3:$L$381,0),MATCH(S$52,'Emission factors'!$K$2:$V$2,0)))*$I64)</f>
        <v/>
      </c>
      <c r="T64" s="381" t="str">
        <f>IF(OR(MunicipalWasteTable[[#This Row],[RSD]]="", MunicipalWasteTable[[#This Row],[Total emissions]]=""),"",MunicipalWasteTable[[#This Row],[Total emissions]]*(1+MunicipalWasteTable[[#This Row],[RSD]]))</f>
        <v/>
      </c>
      <c r="U64" s="380" t="str">
        <f>IF(OR(MunicipalWasteTable[[#This Row],[RSD]]="",MunicipalWasteTable[[#This Row],[Total emissions]]=""),"",MunicipalWasteTable[[#This Row],[Total emissions]]*(1-MunicipalWasteTable[[#This Row],[RSD]]))</f>
        <v/>
      </c>
      <c r="V64" s="379" t="str" cm="1">
        <f t="array" ref="V64">IF(OR($B64="",$G64="",$I64=""),"",(INDEX('Emission factors'!$K$3:$V$381,MATCH($J$51&amp;$B64&amp;$C64,'Emission factors'!$J$3:$J$381&amp;'Emission factors'!$K$3:$K$381&amp;'Emission factors'!$L$3:$L$381,0),MATCH(V$52,'Emission factors'!$K$2:$V$2,0)))*$I64)</f>
        <v/>
      </c>
      <c r="W64" s="351"/>
      <c r="X64" s="1" cm="1">
        <f t="array" ref="X64">IF(OR(ISERROR(B64:V64)),1,0)</f>
        <v>0</v>
      </c>
      <c r="Y64" s="1">
        <f t="shared" si="2"/>
        <v>0</v>
      </c>
    </row>
    <row r="65" spans="2:25" ht="12.5" customHeight="1" thickBot="1" x14ac:dyDescent="0.4">
      <c r="B65" s="100"/>
      <c r="C65" s="101"/>
      <c r="D65" s="6"/>
      <c r="E65" s="101"/>
      <c r="F65" s="331" t="str">
        <f>IF(E65="","",INDEX(Methodologytier,MATCH(B$50,Lists!$AZ$4:$AZ$32,0),MATCH(E65,Lists!$BA$3:$BC$3,0)))</f>
        <v/>
      </c>
      <c r="G65" s="70"/>
      <c r="H65" s="101"/>
      <c r="I65" s="333" t="str" cm="1">
        <f t="array" ref="I65">IF(OR($B65="",$C65="",H65=""),"",IF(H65=J65,G65,(INDEX('Emission factors'!$K$3:$V$381,MATCH($B65&amp;$C65,'Emission factors'!$K$3:$K$381&amp;'Emission factors'!$L$3:$L$381,0),MATCH($I$52,'Emission factors'!$K$2:$V$2,0)))*G65))</f>
        <v/>
      </c>
      <c r="J65" s="332" t="str" cm="1">
        <f t="array" ref="J65">IF(OR($B65="",$G65="",MunicipalWasteTable[[#This Row],[Units]]=""),"",INDEX('Emission factors'!$K$3:$V$381,MATCH($B65&amp;$C65,'Emission factors'!$K$3:$K$381&amp;'Emission factors'!$L$3:$L$381,0),MATCH($J$52,'Emission factors'!$K$2:$V$2,0)))</f>
        <v/>
      </c>
      <c r="K65" s="332" t="str" cm="1">
        <f t="array" ref="K65">IF(OR(B65="",C65="",MunicipalWasteTable[[#This Row],[Data]]=""),"",INDEX('Emission factors'!$K$3:$V$381,MATCH($J$51&amp;$B65&amp;$C65,'Emission factors'!$J$3:$J$381&amp;'Emission factors'!$K$3:$K$381&amp;'Emission factors'!$L$3:$L$381,0),MATCH($K$52,'Emission factors'!$K$2:$V$2,0)))</f>
        <v/>
      </c>
      <c r="L65" s="333">
        <f>SUM(MunicipalWasteTable[[#This Row],[Direct]:[Indirect WTT]])</f>
        <v>0</v>
      </c>
      <c r="M65" s="103"/>
      <c r="N65" s="101"/>
      <c r="O65" s="376" t="str" cm="1">
        <f t="array" ref="O65">IF(OR($B65="",$G65="",$I65=""),"",(INDEX('Emission factors'!$K$3:$V$381,MATCH($J$51&amp;$B65&amp;$C65,'Emission factors'!$J$3:$J$381&amp;'Emission factors'!$K$3:$K$381&amp;'Emission factors'!$L$3:$L$381,0),MATCH(O$52,'Emission factors'!$K$2:$V$2,0)))*$I65)</f>
        <v/>
      </c>
      <c r="P65" s="376" t="str" cm="1">
        <f t="array" ref="P65">IF(OR($B65="",$G65="",$I65=""),"",(INDEX('Emission factors'!$K$3:$V$381,MATCH($J$51&amp;$B65&amp;$C65,'Emission factors'!$J$3:$J$381&amp;'Emission factors'!$K$3:$K$381&amp;'Emission factors'!$L$3:$L$381,0),MATCH(P$52,'Emission factors'!$K$2:$V$2,0)))*$I65)</f>
        <v/>
      </c>
      <c r="Q65" s="376" t="str" cm="1">
        <f t="array" ref="Q65">IF(OR($B65="",$G65="",$I65=""),"",(INDEX('Emission factors'!$K$3:$V$381,MATCH($J$51&amp;$B65&amp;$C65,'Emission factors'!$J$3:$J$381&amp;'Emission factors'!$K$3:$K$381&amp;'Emission factors'!$L$3:$L$381,0),MATCH(Q$52,'Emission factors'!$K$2:$V$2,0)))*$I65)</f>
        <v/>
      </c>
      <c r="R65" s="376" t="str" cm="1">
        <f t="array" ref="R65">IF(OR($B65="",$G65="",$I65=""),"",(INDEX('Emission factors'!$K$3:$V$381,MATCH($J$51&amp;$B65&amp;$C65,'Emission factors'!$J$3:$J$381&amp;'Emission factors'!$K$3:$K$381&amp;'Emission factors'!$L$3:$L$381,0),MATCH(R$52,'Emission factors'!$K$2:$V$2,0)))*$I65)</f>
        <v/>
      </c>
      <c r="S65" s="376" t="str" cm="1">
        <f t="array" ref="S65">IF(OR($B65="",$G65="",$I65=""),"",(INDEX('Emission factors'!$K$3:$V$381,MATCH($J$51&amp;$B65&amp;$C65,'Emission factors'!$J$3:$J$381&amp;'Emission factors'!$K$3:$K$381&amp;'Emission factors'!$L$3:$L$381,0),MATCH(S$52,'Emission factors'!$K$2:$V$2,0)))*$I65)</f>
        <v/>
      </c>
      <c r="T65" s="381" t="str">
        <f>IF(OR(MunicipalWasteTable[[#This Row],[RSD]]="", MunicipalWasteTable[[#This Row],[Total emissions]]=""),"",MunicipalWasteTable[[#This Row],[Total emissions]]*(1+MunicipalWasteTable[[#This Row],[RSD]]))</f>
        <v/>
      </c>
      <c r="U65" s="380" t="str">
        <f>IF(OR(MunicipalWasteTable[[#This Row],[RSD]]="",MunicipalWasteTable[[#This Row],[Total emissions]]=""),"",MunicipalWasteTable[[#This Row],[Total emissions]]*(1-MunicipalWasteTable[[#This Row],[RSD]]))</f>
        <v/>
      </c>
      <c r="V65" s="379" t="str" cm="1">
        <f t="array" ref="V65">IF(OR($B65="",$G65="",$I65=""),"",(INDEX('Emission factors'!$K$3:$V$381,MATCH($J$51&amp;$B65&amp;$C65,'Emission factors'!$J$3:$J$381&amp;'Emission factors'!$K$3:$K$381&amp;'Emission factors'!$L$3:$L$381,0),MATCH(V$52,'Emission factors'!$K$2:$V$2,0)))*$I65)</f>
        <v/>
      </c>
      <c r="W65" s="351"/>
      <c r="X65" s="1" cm="1">
        <f t="array" ref="X65">IF(OR(ISERROR(B65:V65)),1,0)</f>
        <v>0</v>
      </c>
      <c r="Y65" s="1">
        <f t="shared" si="2"/>
        <v>0</v>
      </c>
    </row>
    <row r="66" spans="2:25" ht="15" thickBot="1" x14ac:dyDescent="0.4">
      <c r="B66" s="100"/>
      <c r="C66" s="101"/>
      <c r="D66" s="6"/>
      <c r="E66" s="101"/>
      <c r="F66" s="331" t="str">
        <f>IF(E66="","",INDEX(Methodologytier,MATCH(B$50,Lists!$AZ$4:$AZ$32,0),MATCH(E66,Lists!$BA$3:$BC$3,0)))</f>
        <v/>
      </c>
      <c r="G66" s="70"/>
      <c r="H66" s="101"/>
      <c r="I66" s="333" t="str" cm="1">
        <f t="array" ref="I66">IF(OR($B66="",$C66="",H66=""),"",IF(H66=J66,G66,(INDEX('Emission factors'!$K$3:$V$381,MATCH($B66&amp;$C66,'Emission factors'!$K$3:$K$381&amp;'Emission factors'!$L$3:$L$381,0),MATCH($I$52,'Emission factors'!$K$2:$V$2,0)))*G66))</f>
        <v/>
      </c>
      <c r="J66" s="332" t="str" cm="1">
        <f t="array" ref="J66">IF(OR($B66="",$G66="",MunicipalWasteTable[[#This Row],[Units]]=""),"",INDEX('Emission factors'!$K$3:$V$381,MATCH($B66&amp;$C66,'Emission factors'!$K$3:$K$381&amp;'Emission factors'!$L$3:$L$381,0),MATCH($J$52,'Emission factors'!$K$2:$V$2,0)))</f>
        <v/>
      </c>
      <c r="K66" s="332" t="str" cm="1">
        <f t="array" ref="K66">IF(OR(B66="",C66="",MunicipalWasteTable[[#This Row],[Data]]=""),"",INDEX('Emission factors'!$K$3:$V$381,MATCH($J$51&amp;$B66&amp;$C66,'Emission factors'!$J$3:$J$381&amp;'Emission factors'!$K$3:$K$381&amp;'Emission factors'!$L$3:$L$381,0),MATCH($K$52,'Emission factors'!$K$2:$V$2,0)))</f>
        <v/>
      </c>
      <c r="L66" s="333">
        <f>SUM(MunicipalWasteTable[[#This Row],[Direct]:[Indirect WTT]])</f>
        <v>0</v>
      </c>
      <c r="M66" s="103"/>
      <c r="N66" s="101"/>
      <c r="O66" s="376" t="str" cm="1">
        <f t="array" ref="O66">IF(OR($B66="",$G66="",$I66=""),"",(INDEX('Emission factors'!$K$3:$V$381,MATCH($J$51&amp;$B66&amp;$C66,'Emission factors'!$J$3:$J$381&amp;'Emission factors'!$K$3:$K$381&amp;'Emission factors'!$L$3:$L$381,0),MATCH(O$52,'Emission factors'!$K$2:$V$2,0)))*$I66)</f>
        <v/>
      </c>
      <c r="P66" s="376" t="str" cm="1">
        <f t="array" ref="P66">IF(OR($B66="",$G66="",$I66=""),"",(INDEX('Emission factors'!$K$3:$V$381,MATCH($J$51&amp;$B66&amp;$C66,'Emission factors'!$J$3:$J$381&amp;'Emission factors'!$K$3:$K$381&amp;'Emission factors'!$L$3:$L$381,0),MATCH(P$52,'Emission factors'!$K$2:$V$2,0)))*$I66)</f>
        <v/>
      </c>
      <c r="Q66" s="376" t="str" cm="1">
        <f t="array" ref="Q66">IF(OR($B66="",$G66="",$I66=""),"",(INDEX('Emission factors'!$K$3:$V$381,MATCH($J$51&amp;$B66&amp;$C66,'Emission factors'!$J$3:$J$381&amp;'Emission factors'!$K$3:$K$381&amp;'Emission factors'!$L$3:$L$381,0),MATCH(Q$52,'Emission factors'!$K$2:$V$2,0)))*$I66)</f>
        <v/>
      </c>
      <c r="R66" s="376" t="str" cm="1">
        <f t="array" ref="R66">IF(OR($B66="",$G66="",$I66=""),"",(INDEX('Emission factors'!$K$3:$V$381,MATCH($J$51&amp;$B66&amp;$C66,'Emission factors'!$J$3:$J$381&amp;'Emission factors'!$K$3:$K$381&amp;'Emission factors'!$L$3:$L$381,0),MATCH(R$52,'Emission factors'!$K$2:$V$2,0)))*$I66)</f>
        <v/>
      </c>
      <c r="S66" s="376" t="str" cm="1">
        <f t="array" ref="S66">IF(OR($B66="",$G66="",$I66=""),"",(INDEX('Emission factors'!$K$3:$V$381,MATCH($J$51&amp;$B66&amp;$C66,'Emission factors'!$J$3:$J$381&amp;'Emission factors'!$K$3:$K$381&amp;'Emission factors'!$L$3:$L$381,0),MATCH(S$52,'Emission factors'!$K$2:$V$2,0)))*$I66)</f>
        <v/>
      </c>
      <c r="T66" s="377" t="str">
        <f>IF(OR(MunicipalWasteTable[[#This Row],[RSD]]="", MunicipalWasteTable[[#This Row],[Total emissions]]=""),"",MunicipalWasteTable[[#This Row],[Total emissions]]*(1+MunicipalWasteTable[[#This Row],[RSD]]))</f>
        <v/>
      </c>
      <c r="U66" s="380" t="str">
        <f>IF(OR(MunicipalWasteTable[[#This Row],[RSD]]="",MunicipalWasteTable[[#This Row],[Total emissions]]=""),"",MunicipalWasteTable[[#This Row],[Total emissions]]*(1-MunicipalWasteTable[[#This Row],[RSD]]))</f>
        <v/>
      </c>
      <c r="V66" s="379" t="str" cm="1">
        <f t="array" ref="V66">IF(OR($B66="",$G66="",$I66=""),"",(INDEX('Emission factors'!$K$3:$V$381,MATCH($J$51&amp;$B66&amp;$C66,'Emission factors'!$J$3:$J$381&amp;'Emission factors'!$K$3:$K$381&amp;'Emission factors'!$L$3:$L$381,0),MATCH(V$52,'Emission factors'!$K$2:$V$2,0)))*$I66)</f>
        <v/>
      </c>
      <c r="W66" s="351"/>
      <c r="X66" s="1" cm="1">
        <f t="array" ref="X66">IF(OR(ISERROR(B66:V66)),1,0)</f>
        <v>0</v>
      </c>
      <c r="Y66" s="1">
        <f t="shared" si="2"/>
        <v>0</v>
      </c>
    </row>
    <row r="67" spans="2:25" ht="15" thickBot="1" x14ac:dyDescent="0.4">
      <c r="B67" s="100"/>
      <c r="C67" s="101"/>
      <c r="D67" s="6"/>
      <c r="E67" s="101"/>
      <c r="F67" s="331" t="str">
        <f>IF(E67="","",INDEX(Methodologytier,MATCH(B$50,Lists!$AZ$4:$AZ$32,0),MATCH(E67,Lists!$BA$3:$BC$3,0)))</f>
        <v/>
      </c>
      <c r="G67" s="70"/>
      <c r="H67" s="101"/>
      <c r="I67" s="333" t="str" cm="1">
        <f t="array" ref="I67">IF(OR($B67="",$C67="",H67=""),"",IF(H67=J67,G67,(INDEX('Emission factors'!$K$3:$V$381,MATCH($B67&amp;$C67,'Emission factors'!$K$3:$K$381&amp;'Emission factors'!$L$3:$L$381,0),MATCH($I$52,'Emission factors'!$K$2:$V$2,0)))*G67))</f>
        <v/>
      </c>
      <c r="J67" s="332" t="str" cm="1">
        <f t="array" ref="J67">IF(OR($B67="",$G67="",MunicipalWasteTable[[#This Row],[Units]]=""),"",INDEX('Emission factors'!$K$3:$V$381,MATCH($B67&amp;$C67,'Emission factors'!$K$3:$K$381&amp;'Emission factors'!$L$3:$L$381,0),MATCH($J$52,'Emission factors'!$K$2:$V$2,0)))</f>
        <v/>
      </c>
      <c r="K67" s="332" t="str" cm="1">
        <f t="array" ref="K67">IF(OR(B67="",C67="",MunicipalWasteTable[[#This Row],[Data]]=""),"",INDEX('Emission factors'!$K$3:$V$381,MATCH($J$51&amp;$B67&amp;$C67,'Emission factors'!$J$3:$J$381&amp;'Emission factors'!$K$3:$K$381&amp;'Emission factors'!$L$3:$L$381,0),MATCH($K$52,'Emission factors'!$K$2:$V$2,0)))</f>
        <v/>
      </c>
      <c r="L67" s="333">
        <f>SUM(MunicipalWasteTable[[#This Row],[Direct]:[Indirect WTT]])</f>
        <v>0</v>
      </c>
      <c r="M67" s="103"/>
      <c r="N67" s="101"/>
      <c r="O67" s="376" t="str" cm="1">
        <f t="array" ref="O67">IF(OR($B67="",$G67="",$I67=""),"",(INDEX('Emission factors'!$K$3:$V$381,MATCH($J$51&amp;$B67&amp;$C67,'Emission factors'!$J$3:$J$381&amp;'Emission factors'!$K$3:$K$381&amp;'Emission factors'!$L$3:$L$381,0),MATCH(O$52,'Emission factors'!$K$2:$V$2,0)))*$I67)</f>
        <v/>
      </c>
      <c r="P67" s="376" t="str" cm="1">
        <f t="array" ref="P67">IF(OR($B67="",$G67="",$I67=""),"",(INDEX('Emission factors'!$K$3:$V$381,MATCH($J$51&amp;$B67&amp;$C67,'Emission factors'!$J$3:$J$381&amp;'Emission factors'!$K$3:$K$381&amp;'Emission factors'!$L$3:$L$381,0),MATCH(P$52,'Emission factors'!$K$2:$V$2,0)))*$I67)</f>
        <v/>
      </c>
      <c r="Q67" s="376" t="str" cm="1">
        <f t="array" ref="Q67">IF(OR($B67="",$G67="",$I67=""),"",(INDEX('Emission factors'!$K$3:$V$381,MATCH($J$51&amp;$B67&amp;$C67,'Emission factors'!$J$3:$J$381&amp;'Emission factors'!$K$3:$K$381&amp;'Emission factors'!$L$3:$L$381,0),MATCH(Q$52,'Emission factors'!$K$2:$V$2,0)))*$I67)</f>
        <v/>
      </c>
      <c r="R67" s="376" t="str" cm="1">
        <f t="array" ref="R67">IF(OR($B67="",$G67="",$I67=""),"",(INDEX('Emission factors'!$K$3:$V$381,MATCH($J$51&amp;$B67&amp;$C67,'Emission factors'!$J$3:$J$381&amp;'Emission factors'!$K$3:$K$381&amp;'Emission factors'!$L$3:$L$381,0),MATCH(R$52,'Emission factors'!$K$2:$V$2,0)))*$I67)</f>
        <v/>
      </c>
      <c r="S67" s="376" t="str" cm="1">
        <f t="array" ref="S67">IF(OR($B67="",$G67="",$I67=""),"",(INDEX('Emission factors'!$K$3:$V$381,MATCH($J$51&amp;$B67&amp;$C67,'Emission factors'!$J$3:$J$381&amp;'Emission factors'!$K$3:$K$381&amp;'Emission factors'!$L$3:$L$381,0),MATCH(S$52,'Emission factors'!$K$2:$V$2,0)))*$I67)</f>
        <v/>
      </c>
      <c r="T67" s="377" t="str">
        <f>IF(OR(MunicipalWasteTable[[#This Row],[RSD]]="", MunicipalWasteTable[[#This Row],[Total emissions]]=""),"",MunicipalWasteTable[[#This Row],[Total emissions]]*(1+MunicipalWasteTable[[#This Row],[RSD]]))</f>
        <v/>
      </c>
      <c r="U67" s="380" t="str">
        <f>IF(OR(MunicipalWasteTable[[#This Row],[RSD]]="",MunicipalWasteTable[[#This Row],[Total emissions]]=""),"",MunicipalWasteTable[[#This Row],[Total emissions]]*(1-MunicipalWasteTable[[#This Row],[RSD]]))</f>
        <v/>
      </c>
      <c r="V67" s="379" t="str" cm="1">
        <f t="array" ref="V67">IF(OR($B67="",$G67="",$I67=""),"",(INDEX('Emission factors'!$K$3:$V$381,MATCH($J$51&amp;$B67&amp;$C67,'Emission factors'!$J$3:$J$381&amp;'Emission factors'!$K$3:$K$381&amp;'Emission factors'!$L$3:$L$381,0),MATCH(V$52,'Emission factors'!$K$2:$V$2,0)))*$I67)</f>
        <v/>
      </c>
      <c r="W67" s="351"/>
      <c r="X67" s="1" cm="1">
        <f t="array" ref="X67">IF(OR(ISERROR(B67:V67)),1,0)</f>
        <v>0</v>
      </c>
      <c r="Y67" s="1">
        <f t="shared" si="2"/>
        <v>0</v>
      </c>
    </row>
    <row r="68" spans="2:25" ht="15" thickBot="1" x14ac:dyDescent="0.4">
      <c r="B68" s="100"/>
      <c r="C68" s="101"/>
      <c r="D68" s="6"/>
      <c r="E68" s="101"/>
      <c r="F68" s="331" t="str">
        <f>IF(E68="","",INDEX(Methodologytier,MATCH(B$50,Lists!$AZ$4:$AZ$32,0),MATCH(E68,Lists!$BA$3:$BC$3,0)))</f>
        <v/>
      </c>
      <c r="G68" s="70"/>
      <c r="H68" s="101"/>
      <c r="I68" s="333" t="str" cm="1">
        <f t="array" ref="I68">IF(OR($B68="",$C68="",H68=""),"",IF(H68=J68,G68,(INDEX('Emission factors'!$K$3:$V$381,MATCH($B68&amp;$C68,'Emission factors'!$K$3:$K$381&amp;'Emission factors'!$L$3:$L$381,0),MATCH($I$52,'Emission factors'!$K$2:$V$2,0)))*G68))</f>
        <v/>
      </c>
      <c r="J68" s="332" t="str" cm="1">
        <f t="array" ref="J68">IF(OR($B68="",$G68="",MunicipalWasteTable[[#This Row],[Units]]=""),"",INDEX('Emission factors'!$K$3:$V$381,MATCH($B68&amp;$C68,'Emission factors'!$K$3:$K$381&amp;'Emission factors'!$L$3:$L$381,0),MATCH($J$52,'Emission factors'!$K$2:$V$2,0)))</f>
        <v/>
      </c>
      <c r="K68" s="332" t="str" cm="1">
        <f t="array" ref="K68">IF(OR(B68="",C68="",MunicipalWasteTable[[#This Row],[Data]]=""),"",INDEX('Emission factors'!$K$3:$V$381,MATCH($J$51&amp;$B68&amp;$C68,'Emission factors'!$J$3:$J$381&amp;'Emission factors'!$K$3:$K$381&amp;'Emission factors'!$L$3:$L$381,0),MATCH($K$52,'Emission factors'!$K$2:$V$2,0)))</f>
        <v/>
      </c>
      <c r="L68" s="333">
        <f>SUM(MunicipalWasteTable[[#This Row],[Direct]:[Indirect WTT]])</f>
        <v>0</v>
      </c>
      <c r="M68" s="103"/>
      <c r="N68" s="101"/>
      <c r="O68" s="376" t="str" cm="1">
        <f t="array" ref="O68">IF(OR($B68="",$G68="",$I68=""),"",(INDEX('Emission factors'!$K$3:$V$381,MATCH($J$51&amp;$B68&amp;$C68,'Emission factors'!$J$3:$J$381&amp;'Emission factors'!$K$3:$K$381&amp;'Emission factors'!$L$3:$L$381,0),MATCH(O$52,'Emission factors'!$K$2:$V$2,0)))*$I68)</f>
        <v/>
      </c>
      <c r="P68" s="376" t="str" cm="1">
        <f t="array" ref="P68">IF(OR($B68="",$G68="",$I68=""),"",(INDEX('Emission factors'!$K$3:$V$381,MATCH($J$51&amp;$B68&amp;$C68,'Emission factors'!$J$3:$J$381&amp;'Emission factors'!$K$3:$K$381&amp;'Emission factors'!$L$3:$L$381,0),MATCH(P$52,'Emission factors'!$K$2:$V$2,0)))*$I68)</f>
        <v/>
      </c>
      <c r="Q68" s="376" t="str" cm="1">
        <f t="array" ref="Q68">IF(OR($B68="",$G68="",$I68=""),"",(INDEX('Emission factors'!$K$3:$V$381,MATCH($J$51&amp;$B68&amp;$C68,'Emission factors'!$J$3:$J$381&amp;'Emission factors'!$K$3:$K$381&amp;'Emission factors'!$L$3:$L$381,0),MATCH(Q$52,'Emission factors'!$K$2:$V$2,0)))*$I68)</f>
        <v/>
      </c>
      <c r="R68" s="376" t="str" cm="1">
        <f t="array" ref="R68">IF(OR($B68="",$G68="",$I68=""),"",(INDEX('Emission factors'!$K$3:$V$381,MATCH($J$51&amp;$B68&amp;$C68,'Emission factors'!$J$3:$J$381&amp;'Emission factors'!$K$3:$K$381&amp;'Emission factors'!$L$3:$L$381,0),MATCH(R$52,'Emission factors'!$K$2:$V$2,0)))*$I68)</f>
        <v/>
      </c>
      <c r="S68" s="376" t="str" cm="1">
        <f t="array" ref="S68">IF(OR($B68="",$G68="",$I68=""),"",(INDEX('Emission factors'!$K$3:$V$381,MATCH($J$51&amp;$B68&amp;$C68,'Emission factors'!$J$3:$J$381&amp;'Emission factors'!$K$3:$K$381&amp;'Emission factors'!$L$3:$L$381,0),MATCH(S$52,'Emission factors'!$K$2:$V$2,0)))*$I68)</f>
        <v/>
      </c>
      <c r="T68" s="377" t="str">
        <f>IF(OR(MunicipalWasteTable[[#This Row],[RSD]]="", MunicipalWasteTable[[#This Row],[Total emissions]]=""),"",MunicipalWasteTable[[#This Row],[Total emissions]]*(1+MunicipalWasteTable[[#This Row],[RSD]]))</f>
        <v/>
      </c>
      <c r="U68" s="380" t="str">
        <f>IF(OR(MunicipalWasteTable[[#This Row],[RSD]]="",MunicipalWasteTable[[#This Row],[Total emissions]]=""),"",MunicipalWasteTable[[#This Row],[Total emissions]]*(1-MunicipalWasteTable[[#This Row],[RSD]]))</f>
        <v/>
      </c>
      <c r="V68" s="379" t="str" cm="1">
        <f t="array" ref="V68">IF(OR($B68="",$G68="",$I68=""),"",(INDEX('Emission factors'!$K$3:$V$381,MATCH($J$51&amp;$B68&amp;$C68,'Emission factors'!$J$3:$J$381&amp;'Emission factors'!$K$3:$K$381&amp;'Emission factors'!$L$3:$L$381,0),MATCH(V$52,'Emission factors'!$K$2:$V$2,0)))*$I68)</f>
        <v/>
      </c>
      <c r="W68" s="351"/>
      <c r="X68" s="1" cm="1">
        <f t="array" ref="X68">IF(OR(ISERROR(B68:V68)),1,0)</f>
        <v>0</v>
      </c>
      <c r="Y68" s="1">
        <f t="shared" si="2"/>
        <v>0</v>
      </c>
    </row>
    <row r="69" spans="2:25" ht="15" thickBot="1" x14ac:dyDescent="0.4">
      <c r="B69" s="100"/>
      <c r="C69" s="101"/>
      <c r="D69" s="6"/>
      <c r="E69" s="101"/>
      <c r="F69" s="331" t="str">
        <f>IF(E69="","",INDEX(Methodologytier,MATCH(B$50,Lists!$AZ$4:$AZ$32,0),MATCH(E69,Lists!$BA$3:$BC$3,0)))</f>
        <v/>
      </c>
      <c r="G69" s="70"/>
      <c r="H69" s="101"/>
      <c r="I69" s="333" t="str" cm="1">
        <f t="array" ref="I69">IF(OR($B69="",$C69="",H69=""),"",IF(H69=J69,G69,(INDEX('Emission factors'!$K$3:$V$381,MATCH($B69&amp;$C69,'Emission factors'!$K$3:$K$381&amp;'Emission factors'!$L$3:$L$381,0),MATCH($I$52,'Emission factors'!$K$2:$V$2,0)))*G69))</f>
        <v/>
      </c>
      <c r="J69" s="332" t="str" cm="1">
        <f t="array" ref="J69">IF(OR($B69="",$G69="",MunicipalWasteTable[[#This Row],[Units]]=""),"",INDEX('Emission factors'!$K$3:$V$381,MATCH($B69&amp;$C69,'Emission factors'!$K$3:$K$381&amp;'Emission factors'!$L$3:$L$381,0),MATCH($J$52,'Emission factors'!$K$2:$V$2,0)))</f>
        <v/>
      </c>
      <c r="K69" s="332" t="str" cm="1">
        <f t="array" ref="K69">IF(OR(B69="",C69="",MunicipalWasteTable[[#This Row],[Data]]=""),"",INDEX('Emission factors'!$K$3:$V$381,MATCH($J$51&amp;$B69&amp;$C69,'Emission factors'!$J$3:$J$381&amp;'Emission factors'!$K$3:$K$381&amp;'Emission factors'!$L$3:$L$381,0),MATCH($K$52,'Emission factors'!$K$2:$V$2,0)))</f>
        <v/>
      </c>
      <c r="L69" s="333">
        <f>SUM(MunicipalWasteTable[[#This Row],[Direct]:[Indirect WTT]])</f>
        <v>0</v>
      </c>
      <c r="M69" s="103"/>
      <c r="N69" s="101"/>
      <c r="O69" s="376" t="str" cm="1">
        <f t="array" ref="O69">IF(OR($B69="",$G69="",$I69=""),"",(INDEX('Emission factors'!$K$3:$V$381,MATCH($J$51&amp;$B69&amp;$C69,'Emission factors'!$J$3:$J$381&amp;'Emission factors'!$K$3:$K$381&amp;'Emission factors'!$L$3:$L$381,0),MATCH(O$52,'Emission factors'!$K$2:$V$2,0)))*$I69)</f>
        <v/>
      </c>
      <c r="P69" s="376" t="str" cm="1">
        <f t="array" ref="P69">IF(OR($B69="",$G69="",$I69=""),"",(INDEX('Emission factors'!$K$3:$V$381,MATCH($J$51&amp;$B69&amp;$C69,'Emission factors'!$J$3:$J$381&amp;'Emission factors'!$K$3:$K$381&amp;'Emission factors'!$L$3:$L$381,0),MATCH(P$52,'Emission factors'!$K$2:$V$2,0)))*$I69)</f>
        <v/>
      </c>
      <c r="Q69" s="376" t="str" cm="1">
        <f t="array" ref="Q69">IF(OR($B69="",$G69="",$I69=""),"",(INDEX('Emission factors'!$K$3:$V$381,MATCH($J$51&amp;$B69&amp;$C69,'Emission factors'!$J$3:$J$381&amp;'Emission factors'!$K$3:$K$381&amp;'Emission factors'!$L$3:$L$381,0),MATCH(Q$52,'Emission factors'!$K$2:$V$2,0)))*$I69)</f>
        <v/>
      </c>
      <c r="R69" s="376" t="str" cm="1">
        <f t="array" ref="R69">IF(OR($B69="",$G69="",$I69=""),"",(INDEX('Emission factors'!$K$3:$V$381,MATCH($J$51&amp;$B69&amp;$C69,'Emission factors'!$J$3:$J$381&amp;'Emission factors'!$K$3:$K$381&amp;'Emission factors'!$L$3:$L$381,0),MATCH(R$52,'Emission factors'!$K$2:$V$2,0)))*$I69)</f>
        <v/>
      </c>
      <c r="S69" s="376" t="str" cm="1">
        <f t="array" ref="S69">IF(OR($B69="",$G69="",$I69=""),"",(INDEX('Emission factors'!$K$3:$V$381,MATCH($J$51&amp;$B69&amp;$C69,'Emission factors'!$J$3:$J$381&amp;'Emission factors'!$K$3:$K$381&amp;'Emission factors'!$L$3:$L$381,0),MATCH(S$52,'Emission factors'!$K$2:$V$2,0)))*$I69)</f>
        <v/>
      </c>
      <c r="T69" s="377" t="str">
        <f>IF(OR(MunicipalWasteTable[[#This Row],[RSD]]="", MunicipalWasteTable[[#This Row],[Total emissions]]=""),"",MunicipalWasteTable[[#This Row],[Total emissions]]*(1+MunicipalWasteTable[[#This Row],[RSD]]))</f>
        <v/>
      </c>
      <c r="U69" s="380" t="str">
        <f>IF(OR(MunicipalWasteTable[[#This Row],[RSD]]="",MunicipalWasteTable[[#This Row],[Total emissions]]=""),"",MunicipalWasteTable[[#This Row],[Total emissions]]*(1-MunicipalWasteTable[[#This Row],[RSD]]))</f>
        <v/>
      </c>
      <c r="V69" s="379" t="str" cm="1">
        <f t="array" ref="V69">IF(OR($B69="",$G69="",$I69=""),"",(INDEX('Emission factors'!$K$3:$V$381,MATCH($J$51&amp;$B69&amp;$C69,'Emission factors'!$J$3:$J$381&amp;'Emission factors'!$K$3:$K$381&amp;'Emission factors'!$L$3:$L$381,0),MATCH(V$52,'Emission factors'!$K$2:$V$2,0)))*$I69)</f>
        <v/>
      </c>
      <c r="W69" s="351"/>
      <c r="X69" s="1" cm="1">
        <f t="array" ref="X69">IF(OR(ISERROR(B69:V69)),1,0)</f>
        <v>0</v>
      </c>
      <c r="Y69" s="1">
        <f t="shared" si="2"/>
        <v>0</v>
      </c>
    </row>
    <row r="70" spans="2:25" ht="15" thickBot="1" x14ac:dyDescent="0.4">
      <c r="B70" s="100"/>
      <c r="C70" s="101"/>
      <c r="D70" s="6"/>
      <c r="E70" s="101"/>
      <c r="F70" s="331" t="str">
        <f>IF(E70="","",INDEX(Methodologytier,MATCH(B$50,Lists!$AZ$4:$AZ$32,0),MATCH(E70,Lists!$BA$3:$BC$3,0)))</f>
        <v/>
      </c>
      <c r="G70" s="70"/>
      <c r="H70" s="101"/>
      <c r="I70" s="333" t="str" cm="1">
        <f t="array" ref="I70">IF(OR($B70="",$C70="",H70=""),"",IF(H70=J70,G70,(INDEX('Emission factors'!$K$3:$V$381,MATCH($B70&amp;$C70,'Emission factors'!$K$3:$K$381&amp;'Emission factors'!$L$3:$L$381,0),MATCH($I$52,'Emission factors'!$K$2:$V$2,0)))*G70))</f>
        <v/>
      </c>
      <c r="J70" s="332" t="str" cm="1">
        <f t="array" ref="J70">IF(OR($B70="",$G70="",MunicipalWasteTable[[#This Row],[Units]]=""),"",INDEX('Emission factors'!$K$3:$V$381,MATCH($B70&amp;$C70,'Emission factors'!$K$3:$K$381&amp;'Emission factors'!$L$3:$L$381,0),MATCH($J$52,'Emission factors'!$K$2:$V$2,0)))</f>
        <v/>
      </c>
      <c r="K70" s="332" t="str" cm="1">
        <f t="array" ref="K70">IF(OR(B70="",C70="",MunicipalWasteTable[[#This Row],[Data]]=""),"",INDEX('Emission factors'!$K$3:$V$381,MATCH($J$51&amp;$B70&amp;$C70,'Emission factors'!$J$3:$J$381&amp;'Emission factors'!$K$3:$K$381&amp;'Emission factors'!$L$3:$L$381,0),MATCH($K$52,'Emission factors'!$K$2:$V$2,0)))</f>
        <v/>
      </c>
      <c r="L70" s="333">
        <f>SUM(MunicipalWasteTable[[#This Row],[Direct]:[Indirect WTT]])</f>
        <v>0</v>
      </c>
      <c r="M70" s="103"/>
      <c r="N70" s="101"/>
      <c r="O70" s="376" t="str" cm="1">
        <f t="array" ref="O70">IF(OR($B70="",$G70="",$I70=""),"",(INDEX('Emission factors'!$K$3:$V$381,MATCH($J$51&amp;$B70&amp;$C70,'Emission factors'!$J$3:$J$381&amp;'Emission factors'!$K$3:$K$381&amp;'Emission factors'!$L$3:$L$381,0),MATCH(O$52,'Emission factors'!$K$2:$V$2,0)))*$I70)</f>
        <v/>
      </c>
      <c r="P70" s="376" t="str" cm="1">
        <f t="array" ref="P70">IF(OR($B70="",$G70="",$I70=""),"",(INDEX('Emission factors'!$K$3:$V$381,MATCH($J$51&amp;$B70&amp;$C70,'Emission factors'!$J$3:$J$381&amp;'Emission factors'!$K$3:$K$381&amp;'Emission factors'!$L$3:$L$381,0),MATCH(P$52,'Emission factors'!$K$2:$V$2,0)))*$I70)</f>
        <v/>
      </c>
      <c r="Q70" s="376" t="str" cm="1">
        <f t="array" ref="Q70">IF(OR($B70="",$G70="",$I70=""),"",(INDEX('Emission factors'!$K$3:$V$381,MATCH($J$51&amp;$B70&amp;$C70,'Emission factors'!$J$3:$J$381&amp;'Emission factors'!$K$3:$K$381&amp;'Emission factors'!$L$3:$L$381,0),MATCH(Q$52,'Emission factors'!$K$2:$V$2,0)))*$I70)</f>
        <v/>
      </c>
      <c r="R70" s="376" t="str" cm="1">
        <f t="array" ref="R70">IF(OR($B70="",$G70="",$I70=""),"",(INDEX('Emission factors'!$K$3:$V$381,MATCH($J$51&amp;$B70&amp;$C70,'Emission factors'!$J$3:$J$381&amp;'Emission factors'!$K$3:$K$381&amp;'Emission factors'!$L$3:$L$381,0),MATCH(R$52,'Emission factors'!$K$2:$V$2,0)))*$I70)</f>
        <v/>
      </c>
      <c r="S70" s="376" t="str" cm="1">
        <f t="array" ref="S70">IF(OR($B70="",$G70="",$I70=""),"",(INDEX('Emission factors'!$K$3:$V$381,MATCH($J$51&amp;$B70&amp;$C70,'Emission factors'!$J$3:$J$381&amp;'Emission factors'!$K$3:$K$381&amp;'Emission factors'!$L$3:$L$381,0),MATCH(S$52,'Emission factors'!$K$2:$V$2,0)))*$I70)</f>
        <v/>
      </c>
      <c r="T70" s="377" t="str">
        <f>IF(OR(MunicipalWasteTable[[#This Row],[RSD]]="", MunicipalWasteTable[[#This Row],[Total emissions]]=""),"",MunicipalWasteTable[[#This Row],[Total emissions]]*(1+MunicipalWasteTable[[#This Row],[RSD]]))</f>
        <v/>
      </c>
      <c r="U70" s="380" t="str">
        <f>IF(OR(MunicipalWasteTable[[#This Row],[RSD]]="",MunicipalWasteTable[[#This Row],[Total emissions]]=""),"",MunicipalWasteTable[[#This Row],[Total emissions]]*(1-MunicipalWasteTable[[#This Row],[RSD]]))</f>
        <v/>
      </c>
      <c r="V70" s="379" t="str" cm="1">
        <f t="array" ref="V70">IF(OR($B70="",$G70="",$I70=""),"",(INDEX('Emission factors'!$K$3:$V$381,MATCH($J$51&amp;$B70&amp;$C70,'Emission factors'!$J$3:$J$381&amp;'Emission factors'!$K$3:$K$381&amp;'Emission factors'!$L$3:$L$381,0),MATCH(V$52,'Emission factors'!$K$2:$V$2,0)))*$I70)</f>
        <v/>
      </c>
      <c r="W70" s="351"/>
      <c r="X70" s="1" cm="1">
        <f t="array" ref="X70">IF(OR(ISERROR(B70:V70)),1,0)</f>
        <v>0</v>
      </c>
      <c r="Y70" s="1">
        <f t="shared" si="2"/>
        <v>0</v>
      </c>
    </row>
    <row r="71" spans="2:25" ht="15" thickBot="1" x14ac:dyDescent="0.4">
      <c r="B71" s="100"/>
      <c r="C71" s="101"/>
      <c r="D71" s="6"/>
      <c r="E71" s="101"/>
      <c r="F71" s="331" t="str">
        <f>IF(E71="","",INDEX(Methodologytier,MATCH(B$50,Lists!$AZ$4:$AZ$32,0),MATCH(E71,Lists!$BA$3:$BC$3,0)))</f>
        <v/>
      </c>
      <c r="G71" s="70"/>
      <c r="H71" s="101"/>
      <c r="I71" s="333" t="str" cm="1">
        <f t="array" ref="I71">IF(OR($B71="",$C71="",H71=""),"",IF(H71=J71,G71,(INDEX('Emission factors'!$K$3:$V$381,MATCH($B71&amp;$C71,'Emission factors'!$K$3:$K$381&amp;'Emission factors'!$L$3:$L$381,0),MATCH($I$52,'Emission factors'!$K$2:$V$2,0)))*G71))</f>
        <v/>
      </c>
      <c r="J71" s="332" t="str" cm="1">
        <f t="array" ref="J71">IF(OR($B71="",$G71="",MunicipalWasteTable[[#This Row],[Units]]=""),"",INDEX('Emission factors'!$K$3:$V$381,MATCH($B71&amp;$C71,'Emission factors'!$K$3:$K$381&amp;'Emission factors'!$L$3:$L$381,0),MATCH($J$52,'Emission factors'!$K$2:$V$2,0)))</f>
        <v/>
      </c>
      <c r="K71" s="332" t="str" cm="1">
        <f t="array" ref="K71">IF(OR(B71="",C71="",MunicipalWasteTable[[#This Row],[Data]]=""),"",INDEX('Emission factors'!$K$3:$V$381,MATCH($J$51&amp;$B71&amp;$C71,'Emission factors'!$J$3:$J$381&amp;'Emission factors'!$K$3:$K$381&amp;'Emission factors'!$L$3:$L$381,0),MATCH($K$52,'Emission factors'!$K$2:$V$2,0)))</f>
        <v/>
      </c>
      <c r="L71" s="333">
        <f>SUM(MunicipalWasteTable[[#This Row],[Direct]:[Indirect WTT]])</f>
        <v>0</v>
      </c>
      <c r="M71" s="103"/>
      <c r="N71" s="101"/>
      <c r="O71" s="376" t="str" cm="1">
        <f t="array" ref="O71">IF(OR($B71="",$G71="",$I71=""),"",(INDEX('Emission factors'!$K$3:$V$381,MATCH($J$51&amp;$B71&amp;$C71,'Emission factors'!$J$3:$J$381&amp;'Emission factors'!$K$3:$K$381&amp;'Emission factors'!$L$3:$L$381,0),MATCH(O$52,'Emission factors'!$K$2:$V$2,0)))*$I71)</f>
        <v/>
      </c>
      <c r="P71" s="376" t="str" cm="1">
        <f t="array" ref="P71">IF(OR($B71="",$G71="",$I71=""),"",(INDEX('Emission factors'!$K$3:$V$381,MATCH($J$51&amp;$B71&amp;$C71,'Emission factors'!$J$3:$J$381&amp;'Emission factors'!$K$3:$K$381&amp;'Emission factors'!$L$3:$L$381,0),MATCH(P$52,'Emission factors'!$K$2:$V$2,0)))*$I71)</f>
        <v/>
      </c>
      <c r="Q71" s="376" t="str" cm="1">
        <f t="array" ref="Q71">IF(OR($B71="",$G71="",$I71=""),"",(INDEX('Emission factors'!$K$3:$V$381,MATCH($J$51&amp;$B71&amp;$C71,'Emission factors'!$J$3:$J$381&amp;'Emission factors'!$K$3:$K$381&amp;'Emission factors'!$L$3:$L$381,0),MATCH(Q$52,'Emission factors'!$K$2:$V$2,0)))*$I71)</f>
        <v/>
      </c>
      <c r="R71" s="376" t="str" cm="1">
        <f t="array" ref="R71">IF(OR($B71="",$G71="",$I71=""),"",(INDEX('Emission factors'!$K$3:$V$381,MATCH($J$51&amp;$B71&amp;$C71,'Emission factors'!$J$3:$J$381&amp;'Emission factors'!$K$3:$K$381&amp;'Emission factors'!$L$3:$L$381,0),MATCH(R$52,'Emission factors'!$K$2:$V$2,0)))*$I71)</f>
        <v/>
      </c>
      <c r="S71" s="376" t="str" cm="1">
        <f t="array" ref="S71">IF(OR($B71="",$G71="",$I71=""),"",(INDEX('Emission factors'!$K$3:$V$381,MATCH($J$51&amp;$B71&amp;$C71,'Emission factors'!$J$3:$J$381&amp;'Emission factors'!$K$3:$K$381&amp;'Emission factors'!$L$3:$L$381,0),MATCH(S$52,'Emission factors'!$K$2:$V$2,0)))*$I71)</f>
        <v/>
      </c>
      <c r="T71" s="377" t="str">
        <f>IF(OR(MunicipalWasteTable[[#This Row],[RSD]]="", MunicipalWasteTable[[#This Row],[Total emissions]]=""),"",MunicipalWasteTable[[#This Row],[Total emissions]]*(1+MunicipalWasteTable[[#This Row],[RSD]]))</f>
        <v/>
      </c>
      <c r="U71" s="380" t="str">
        <f>IF(OR(MunicipalWasteTable[[#This Row],[RSD]]="",MunicipalWasteTable[[#This Row],[Total emissions]]=""),"",MunicipalWasteTable[[#This Row],[Total emissions]]*(1-MunicipalWasteTable[[#This Row],[RSD]]))</f>
        <v/>
      </c>
      <c r="V71" s="379" t="str" cm="1">
        <f t="array" ref="V71">IF(OR($B71="",$G71="",$I71=""),"",(INDEX('Emission factors'!$K$3:$V$381,MATCH($J$51&amp;$B71&amp;$C71,'Emission factors'!$J$3:$J$381&amp;'Emission factors'!$K$3:$K$381&amp;'Emission factors'!$L$3:$L$381,0),MATCH(V$52,'Emission factors'!$K$2:$V$2,0)))*$I71)</f>
        <v/>
      </c>
      <c r="W71" s="351"/>
      <c r="X71" s="1" cm="1">
        <f t="array" ref="X71">IF(OR(ISERROR(B71:V71)),1,0)</f>
        <v>0</v>
      </c>
      <c r="Y71" s="1">
        <f t="shared" si="2"/>
        <v>0</v>
      </c>
    </row>
    <row r="72" spans="2:25" ht="15" thickBot="1" x14ac:dyDescent="0.4">
      <c r="B72" s="100"/>
      <c r="C72" s="101"/>
      <c r="D72" s="6"/>
      <c r="E72" s="101"/>
      <c r="F72" s="331" t="str">
        <f>IF(E72="","",INDEX(Methodologytier,MATCH(B$50,Lists!$AZ$4:$AZ$32,0),MATCH(E72,Lists!$BA$3:$BC$3,0)))</f>
        <v/>
      </c>
      <c r="G72" s="70"/>
      <c r="H72" s="101"/>
      <c r="I72" s="333" t="str" cm="1">
        <f t="array" ref="I72">IF(OR($B72="",$C72="",H72=""),"",IF(H72=J72,G72,(INDEX('Emission factors'!$K$3:$V$381,MATCH($B72&amp;$C72,'Emission factors'!$K$3:$K$381&amp;'Emission factors'!$L$3:$L$381,0),MATCH($I$52,'Emission factors'!$K$2:$V$2,0)))*G72))</f>
        <v/>
      </c>
      <c r="J72" s="332" t="str" cm="1">
        <f t="array" ref="J72">IF(OR($B72="",$G72="",MunicipalWasteTable[[#This Row],[Units]]=""),"",INDEX('Emission factors'!$K$3:$V$381,MATCH($B72&amp;$C72,'Emission factors'!$K$3:$K$381&amp;'Emission factors'!$L$3:$L$381,0),MATCH($J$52,'Emission factors'!$K$2:$V$2,0)))</f>
        <v/>
      </c>
      <c r="K72" s="332" t="str" cm="1">
        <f t="array" ref="K72">IF(OR(B72="",C72="",MunicipalWasteTable[[#This Row],[Data]]=""),"",INDEX('Emission factors'!$K$3:$V$381,MATCH($J$51&amp;$B72&amp;$C72,'Emission factors'!$J$3:$J$381&amp;'Emission factors'!$K$3:$K$381&amp;'Emission factors'!$L$3:$L$381,0),MATCH($K$52,'Emission factors'!$K$2:$V$2,0)))</f>
        <v/>
      </c>
      <c r="L72" s="333">
        <f>SUM(MunicipalWasteTable[[#This Row],[Direct]:[Indirect WTT]])</f>
        <v>0</v>
      </c>
      <c r="M72" s="103"/>
      <c r="N72" s="101"/>
      <c r="O72" s="376" t="str" cm="1">
        <f t="array" ref="O72">IF(OR($B72="",$G72="",$I72=""),"",(INDEX('Emission factors'!$K$3:$V$381,MATCH($J$51&amp;$B72&amp;$C72,'Emission factors'!$J$3:$J$381&amp;'Emission factors'!$K$3:$K$381&amp;'Emission factors'!$L$3:$L$381,0),MATCH(O$52,'Emission factors'!$K$2:$V$2,0)))*$I72)</f>
        <v/>
      </c>
      <c r="P72" s="376" t="str" cm="1">
        <f t="array" ref="P72">IF(OR($B72="",$G72="",$I72=""),"",(INDEX('Emission factors'!$K$3:$V$381,MATCH($J$51&amp;$B72&amp;$C72,'Emission factors'!$J$3:$J$381&amp;'Emission factors'!$K$3:$K$381&amp;'Emission factors'!$L$3:$L$381,0),MATCH(P$52,'Emission factors'!$K$2:$V$2,0)))*$I72)</f>
        <v/>
      </c>
      <c r="Q72" s="376" t="str" cm="1">
        <f t="array" ref="Q72">IF(OR($B72="",$G72="",$I72=""),"",(INDEX('Emission factors'!$K$3:$V$381,MATCH($J$51&amp;$B72&amp;$C72,'Emission factors'!$J$3:$J$381&amp;'Emission factors'!$K$3:$K$381&amp;'Emission factors'!$L$3:$L$381,0),MATCH(Q$52,'Emission factors'!$K$2:$V$2,0)))*$I72)</f>
        <v/>
      </c>
      <c r="R72" s="376" t="str" cm="1">
        <f t="array" ref="R72">IF(OR($B72="",$G72="",$I72=""),"",(INDEX('Emission factors'!$K$3:$V$381,MATCH($J$51&amp;$B72&amp;$C72,'Emission factors'!$J$3:$J$381&amp;'Emission factors'!$K$3:$K$381&amp;'Emission factors'!$L$3:$L$381,0),MATCH(R$52,'Emission factors'!$K$2:$V$2,0)))*$I72)</f>
        <v/>
      </c>
      <c r="S72" s="376" t="str" cm="1">
        <f t="array" ref="S72">IF(OR($B72="",$G72="",$I72=""),"",(INDEX('Emission factors'!$K$3:$V$381,MATCH($J$51&amp;$B72&amp;$C72,'Emission factors'!$J$3:$J$381&amp;'Emission factors'!$K$3:$K$381&amp;'Emission factors'!$L$3:$L$381,0),MATCH(S$52,'Emission factors'!$K$2:$V$2,0)))*$I72)</f>
        <v/>
      </c>
      <c r="T72" s="377" t="str">
        <f>IF(OR(MunicipalWasteTable[[#This Row],[RSD]]="", MunicipalWasteTable[[#This Row],[Total emissions]]=""),"",MunicipalWasteTable[[#This Row],[Total emissions]]*(1+MunicipalWasteTable[[#This Row],[RSD]]))</f>
        <v/>
      </c>
      <c r="U72" s="380" t="str">
        <f>IF(OR(MunicipalWasteTable[[#This Row],[RSD]]="",MunicipalWasteTable[[#This Row],[Total emissions]]=""),"",MunicipalWasteTable[[#This Row],[Total emissions]]*(1-MunicipalWasteTable[[#This Row],[RSD]]))</f>
        <v/>
      </c>
      <c r="V72" s="279" t="str" cm="1">
        <f t="array" ref="V72">IF(OR($B72="",$G72="",$I72=""),"",(INDEX('Emission factors'!$K$3:$V$381,MATCH($J$51&amp;$B72&amp;$C72,'Emission factors'!$J$3:$J$381&amp;'Emission factors'!$K$3:$K$381&amp;'Emission factors'!$L$3:$L$381,0),MATCH(V$52,'Emission factors'!$K$2:$V$2,0)))*$I72)</f>
        <v/>
      </c>
      <c r="W72" s="351"/>
      <c r="X72" s="1" cm="1">
        <f t="array" ref="X72">IF(OR(ISERROR(B72:V72)),1,0)</f>
        <v>0</v>
      </c>
      <c r="Y72" s="1">
        <f t="shared" si="2"/>
        <v>0</v>
      </c>
    </row>
    <row r="73" spans="2:25" ht="15" thickBot="1" x14ac:dyDescent="0.4">
      <c r="B73" s="100"/>
      <c r="C73" s="101"/>
      <c r="D73" s="6"/>
      <c r="E73" s="101"/>
      <c r="F73" s="331" t="str">
        <f>IF(E73="","",INDEX(Methodologytier,MATCH(B$50,Lists!$AZ$4:$AZ$32,0),MATCH(E73,Lists!$BA$3:$BC$3,0)))</f>
        <v/>
      </c>
      <c r="G73" s="70"/>
      <c r="H73" s="101"/>
      <c r="I73" s="333" t="str" cm="1">
        <f t="array" ref="I73">IF(OR($B73="",$C73="",H73=""),"",IF(H73=J73,G73,(INDEX('Emission factors'!$K$3:$V$381,MATCH($B73&amp;$C73,'Emission factors'!$K$3:$K$381&amp;'Emission factors'!$L$3:$L$381,0),MATCH($I$52,'Emission factors'!$K$2:$V$2,0)))*G73))</f>
        <v/>
      </c>
      <c r="J73" s="332" t="str" cm="1">
        <f t="array" ref="J73">IF(OR($B73="",$G73="",MunicipalWasteTable[[#This Row],[Units]]=""),"",INDEX('Emission factors'!$K$3:$V$381,MATCH($B73&amp;$C73,'Emission factors'!$K$3:$K$381&amp;'Emission factors'!$L$3:$L$381,0),MATCH($J$52,'Emission factors'!$K$2:$V$2,0)))</f>
        <v/>
      </c>
      <c r="K73" s="332" t="str" cm="1">
        <f t="array" ref="K73">IF(OR(B73="",C73="",MunicipalWasteTable[[#This Row],[Data]]=""),"",INDEX('Emission factors'!$K$3:$V$381,MATCH($J$51&amp;$B73&amp;$C73,'Emission factors'!$J$3:$J$381&amp;'Emission factors'!$K$3:$K$381&amp;'Emission factors'!$L$3:$L$381,0),MATCH($K$52,'Emission factors'!$K$2:$V$2,0)))</f>
        <v/>
      </c>
      <c r="L73" s="333">
        <f>SUM(MunicipalWasteTable[[#This Row],[Direct]:[Indirect WTT]])</f>
        <v>0</v>
      </c>
      <c r="M73" s="103"/>
      <c r="N73" s="101"/>
      <c r="O73" s="376" t="str" cm="1">
        <f t="array" ref="O73">IF(OR($B73="",$G73="",$I73=""),"",(INDEX('Emission factors'!$K$3:$V$381,MATCH($J$51&amp;$B73&amp;$C73,'Emission factors'!$J$3:$J$381&amp;'Emission factors'!$K$3:$K$381&amp;'Emission factors'!$L$3:$L$381,0),MATCH(O$52,'Emission factors'!$K$2:$V$2,0)))*$I73)</f>
        <v/>
      </c>
      <c r="P73" s="376" t="str" cm="1">
        <f t="array" ref="P73">IF(OR($B73="",$G73="",$I73=""),"",(INDEX('Emission factors'!$K$3:$V$381,MATCH($J$51&amp;$B73&amp;$C73,'Emission factors'!$J$3:$J$381&amp;'Emission factors'!$K$3:$K$381&amp;'Emission factors'!$L$3:$L$381,0),MATCH(P$52,'Emission factors'!$K$2:$V$2,0)))*$I73)</f>
        <v/>
      </c>
      <c r="Q73" s="376" t="str" cm="1">
        <f t="array" ref="Q73">IF(OR($B73="",$G73="",$I73=""),"",(INDEX('Emission factors'!$K$3:$V$381,MATCH($J$51&amp;$B73&amp;$C73,'Emission factors'!$J$3:$J$381&amp;'Emission factors'!$K$3:$K$381&amp;'Emission factors'!$L$3:$L$381,0),MATCH(Q$52,'Emission factors'!$K$2:$V$2,0)))*$I73)</f>
        <v/>
      </c>
      <c r="R73" s="376" t="str" cm="1">
        <f t="array" ref="R73">IF(OR($B73="",$G73="",$I73=""),"",(INDEX('Emission factors'!$K$3:$V$381,MATCH($J$51&amp;$B73&amp;$C73,'Emission factors'!$J$3:$J$381&amp;'Emission factors'!$K$3:$K$381&amp;'Emission factors'!$L$3:$L$381,0),MATCH(R$52,'Emission factors'!$K$2:$V$2,0)))*$I73)</f>
        <v/>
      </c>
      <c r="S73" s="376" t="str" cm="1">
        <f t="array" ref="S73">IF(OR($B73="",$G73="",$I73=""),"",(INDEX('Emission factors'!$K$3:$V$381,MATCH($J$51&amp;$B73&amp;$C73,'Emission factors'!$J$3:$J$381&amp;'Emission factors'!$K$3:$K$381&amp;'Emission factors'!$L$3:$L$381,0),MATCH(S$52,'Emission factors'!$K$2:$V$2,0)))*$I73)</f>
        <v/>
      </c>
      <c r="T73" s="377" t="str">
        <f>IF(OR(MunicipalWasteTable[[#This Row],[RSD]]="", MunicipalWasteTable[[#This Row],[Total emissions]]=""),"",MunicipalWasteTable[[#This Row],[Total emissions]]*(1+MunicipalWasteTable[[#This Row],[RSD]]))</f>
        <v/>
      </c>
      <c r="U73" s="380" t="str">
        <f>IF(OR(MunicipalWasteTable[[#This Row],[RSD]]="",MunicipalWasteTable[[#This Row],[Total emissions]]=""),"",MunicipalWasteTable[[#This Row],[Total emissions]]*(1-MunicipalWasteTable[[#This Row],[RSD]]))</f>
        <v/>
      </c>
      <c r="V73" s="279" t="str" cm="1">
        <f t="array" ref="V73">IF(OR($B73="",$G73="",$I73=""),"",(INDEX('Emission factors'!$K$3:$V$381,MATCH($J$51&amp;$B73&amp;$C73,'Emission factors'!$J$3:$J$381&amp;'Emission factors'!$K$3:$K$381&amp;'Emission factors'!$L$3:$L$381,0),MATCH(V$52,'Emission factors'!$K$2:$V$2,0)))*$I73)</f>
        <v/>
      </c>
      <c r="W73" s="351"/>
      <c r="X73" s="1" cm="1">
        <f t="array" ref="X73">IF(OR(ISERROR(B73:V73)),1,0)</f>
        <v>0</v>
      </c>
      <c r="Y73" s="1">
        <f t="shared" si="2"/>
        <v>0</v>
      </c>
    </row>
    <row r="74" spans="2:25" ht="15" thickBot="1" x14ac:dyDescent="0.4">
      <c r="B74" s="100"/>
      <c r="C74" s="101"/>
      <c r="D74" s="6"/>
      <c r="E74" s="101"/>
      <c r="F74" s="331" t="str">
        <f>IF(E74="","",INDEX(Methodologytier,MATCH(B$50,Lists!$AZ$4:$AZ$32,0),MATCH(E74,Lists!$BA$3:$BC$3,0)))</f>
        <v/>
      </c>
      <c r="G74" s="70"/>
      <c r="H74" s="101"/>
      <c r="I74" s="333" t="str" cm="1">
        <f t="array" ref="I74">IF(OR($B74="",$C74="",H74=""),"",IF(H74=J74,G74,(INDEX('Emission factors'!$K$3:$V$381,MATCH($B74&amp;$C74,'Emission factors'!$K$3:$K$381&amp;'Emission factors'!$L$3:$L$381,0),MATCH($I$52,'Emission factors'!$K$2:$V$2,0)))*G74))</f>
        <v/>
      </c>
      <c r="J74" s="332" t="str" cm="1">
        <f t="array" ref="J74">IF(OR($B74="",$G74="",MunicipalWasteTable[[#This Row],[Units]]=""),"",INDEX('Emission factors'!$K$3:$V$381,MATCH($B74&amp;$C74,'Emission factors'!$K$3:$K$381&amp;'Emission factors'!$L$3:$L$381,0),MATCH($J$52,'Emission factors'!$K$2:$V$2,0)))</f>
        <v/>
      </c>
      <c r="K74" s="332" t="str" cm="1">
        <f t="array" ref="K74">IF(OR(B74="",C74="",MunicipalWasteTable[[#This Row],[Data]]=""),"",INDEX('Emission factors'!$K$3:$V$381,MATCH($J$51&amp;$B74&amp;$C74,'Emission factors'!$J$3:$J$381&amp;'Emission factors'!$K$3:$K$381&amp;'Emission factors'!$L$3:$L$381,0),MATCH($K$52,'Emission factors'!$K$2:$V$2,0)))</f>
        <v/>
      </c>
      <c r="L74" s="333">
        <f>SUM(MunicipalWasteTable[[#This Row],[Direct]:[Indirect WTT]])</f>
        <v>0</v>
      </c>
      <c r="M74" s="103"/>
      <c r="N74" s="101"/>
      <c r="O74" s="376" t="str" cm="1">
        <f t="array" ref="O74">IF(OR($B74="",$G74="",$I74=""),"",(INDEX('Emission factors'!$K$3:$V$381,MATCH($J$51&amp;$B74&amp;$C74,'Emission factors'!$J$3:$J$381&amp;'Emission factors'!$K$3:$K$381&amp;'Emission factors'!$L$3:$L$381,0),MATCH(O$52,'Emission factors'!$K$2:$V$2,0)))*$I74)</f>
        <v/>
      </c>
      <c r="P74" s="376" t="str" cm="1">
        <f t="array" ref="P74">IF(OR($B74="",$G74="",$I74=""),"",(INDEX('Emission factors'!$K$3:$V$381,MATCH($J$51&amp;$B74&amp;$C74,'Emission factors'!$J$3:$J$381&amp;'Emission factors'!$K$3:$K$381&amp;'Emission factors'!$L$3:$L$381,0),MATCH(P$52,'Emission factors'!$K$2:$V$2,0)))*$I74)</f>
        <v/>
      </c>
      <c r="Q74" s="376" t="str" cm="1">
        <f t="array" ref="Q74">IF(OR($B74="",$G74="",$I74=""),"",(INDEX('Emission factors'!$K$3:$V$381,MATCH($J$51&amp;$B74&amp;$C74,'Emission factors'!$J$3:$J$381&amp;'Emission factors'!$K$3:$K$381&amp;'Emission factors'!$L$3:$L$381,0),MATCH(Q$52,'Emission factors'!$K$2:$V$2,0)))*$I74)</f>
        <v/>
      </c>
      <c r="R74" s="376" t="str" cm="1">
        <f t="array" ref="R74">IF(OR($B74="",$G74="",$I74=""),"",(INDEX('Emission factors'!$K$3:$V$381,MATCH($J$51&amp;$B74&amp;$C74,'Emission factors'!$J$3:$J$381&amp;'Emission factors'!$K$3:$K$381&amp;'Emission factors'!$L$3:$L$381,0),MATCH(R$52,'Emission factors'!$K$2:$V$2,0)))*$I74)</f>
        <v/>
      </c>
      <c r="S74" s="376" t="str" cm="1">
        <f t="array" ref="S74">IF(OR($B74="",$G74="",$I74=""),"",(INDEX('Emission factors'!$K$3:$V$381,MATCH($J$51&amp;$B74&amp;$C74,'Emission factors'!$J$3:$J$381&amp;'Emission factors'!$K$3:$K$381&amp;'Emission factors'!$L$3:$L$381,0),MATCH(S$52,'Emission factors'!$K$2:$V$2,0)))*$I74)</f>
        <v/>
      </c>
      <c r="T74" s="377" t="str">
        <f>IF(OR(MunicipalWasteTable[[#This Row],[RSD]]="", MunicipalWasteTable[[#This Row],[Total emissions]]=""),"",MunicipalWasteTable[[#This Row],[Total emissions]]*(1+MunicipalWasteTable[[#This Row],[RSD]]))</f>
        <v/>
      </c>
      <c r="U74" s="380" t="str">
        <f>IF(OR(MunicipalWasteTable[[#This Row],[RSD]]="",MunicipalWasteTable[[#This Row],[Total emissions]]=""),"",MunicipalWasteTable[[#This Row],[Total emissions]]*(1-MunicipalWasteTable[[#This Row],[RSD]]))</f>
        <v/>
      </c>
      <c r="V74" s="279" t="str" cm="1">
        <f t="array" ref="V74">IF(OR($B74="",$G74="",$I74=""),"",(INDEX('Emission factors'!$K$3:$V$381,MATCH($J$51&amp;$B74&amp;$C74,'Emission factors'!$J$3:$J$381&amp;'Emission factors'!$K$3:$K$381&amp;'Emission factors'!$L$3:$L$381,0),MATCH(V$52,'Emission factors'!$K$2:$V$2,0)))*$I74)</f>
        <v/>
      </c>
      <c r="W74" s="351"/>
      <c r="X74" s="1" cm="1">
        <f t="array" ref="X74">IF(OR(ISERROR(B74:V74)),1,0)</f>
        <v>0</v>
      </c>
      <c r="Y74" s="1">
        <f t="shared" si="2"/>
        <v>0</v>
      </c>
    </row>
    <row r="75" spans="2:25" ht="15" thickBot="1" x14ac:dyDescent="0.4">
      <c r="B75" s="100"/>
      <c r="C75" s="101"/>
      <c r="D75" s="6"/>
      <c r="E75" s="101"/>
      <c r="F75" s="331" t="str">
        <f>IF(E75="","",INDEX(Methodologytier,MATCH(B$50,Lists!$AZ$4:$AZ$32,0),MATCH(E75,Lists!$BA$3:$BC$3,0)))</f>
        <v/>
      </c>
      <c r="G75" s="70"/>
      <c r="H75" s="101"/>
      <c r="I75" s="333" t="str" cm="1">
        <f t="array" ref="I75">IF(OR($B75="",$C75="",H75=""),"",IF(H75=J75,G75,(INDEX('Emission factors'!$K$3:$V$381,MATCH($B75&amp;$C75,'Emission factors'!$K$3:$K$381&amp;'Emission factors'!$L$3:$L$381,0),MATCH($I$52,'Emission factors'!$K$2:$V$2,0)))*G75))</f>
        <v/>
      </c>
      <c r="J75" s="332" t="str" cm="1">
        <f t="array" ref="J75">IF(OR($B75="",$G75="",MunicipalWasteTable[[#This Row],[Units]]=""),"",INDEX('Emission factors'!$K$3:$V$381,MATCH($B75&amp;$C75,'Emission factors'!$K$3:$K$381&amp;'Emission factors'!$L$3:$L$381,0),MATCH($J$52,'Emission factors'!$K$2:$V$2,0)))</f>
        <v/>
      </c>
      <c r="K75" s="332" t="str" cm="1">
        <f t="array" ref="K75">IF(OR(B75="",C75="",MunicipalWasteTable[[#This Row],[Data]]=""),"",INDEX('Emission factors'!$K$3:$V$381,MATCH($J$51&amp;$B75&amp;$C75,'Emission factors'!$J$3:$J$381&amp;'Emission factors'!$K$3:$K$381&amp;'Emission factors'!$L$3:$L$381,0),MATCH($K$52,'Emission factors'!$K$2:$V$2,0)))</f>
        <v/>
      </c>
      <c r="L75" s="333">
        <f>SUM(MunicipalWasteTable[[#This Row],[Direct]:[Indirect WTT]])</f>
        <v>0</v>
      </c>
      <c r="M75" s="103"/>
      <c r="N75" s="101"/>
      <c r="O75" s="376" t="str" cm="1">
        <f t="array" ref="O75">IF(OR($B75="",$G75="",$I75=""),"",(INDEX('Emission factors'!$K$3:$V$381,MATCH($J$51&amp;$B75&amp;$C75,'Emission factors'!$J$3:$J$381&amp;'Emission factors'!$K$3:$K$381&amp;'Emission factors'!$L$3:$L$381,0),MATCH(O$52,'Emission factors'!$K$2:$V$2,0)))*$I75)</f>
        <v/>
      </c>
      <c r="P75" s="376" t="str" cm="1">
        <f t="array" ref="P75">IF(OR($B75="",$G75="",$I75=""),"",(INDEX('Emission factors'!$K$3:$V$381,MATCH($J$51&amp;$B75&amp;$C75,'Emission factors'!$J$3:$J$381&amp;'Emission factors'!$K$3:$K$381&amp;'Emission factors'!$L$3:$L$381,0),MATCH(P$52,'Emission factors'!$K$2:$V$2,0)))*$I75)</f>
        <v/>
      </c>
      <c r="Q75" s="376" t="str" cm="1">
        <f t="array" ref="Q75">IF(OR($B75="",$G75="",$I75=""),"",(INDEX('Emission factors'!$K$3:$V$381,MATCH($J$51&amp;$B75&amp;$C75,'Emission factors'!$J$3:$J$381&amp;'Emission factors'!$K$3:$K$381&amp;'Emission factors'!$L$3:$L$381,0),MATCH(Q$52,'Emission factors'!$K$2:$V$2,0)))*$I75)</f>
        <v/>
      </c>
      <c r="R75" s="376" t="str" cm="1">
        <f t="array" ref="R75">IF(OR($B75="",$G75="",$I75=""),"",(INDEX('Emission factors'!$K$3:$V$381,MATCH($J$51&amp;$B75&amp;$C75,'Emission factors'!$J$3:$J$381&amp;'Emission factors'!$K$3:$K$381&amp;'Emission factors'!$L$3:$L$381,0),MATCH(R$52,'Emission factors'!$K$2:$V$2,0)))*$I75)</f>
        <v/>
      </c>
      <c r="S75" s="376" t="str" cm="1">
        <f t="array" ref="S75">IF(OR($B75="",$G75="",$I75=""),"",(INDEX('Emission factors'!$K$3:$V$381,MATCH($J$51&amp;$B75&amp;$C75,'Emission factors'!$J$3:$J$381&amp;'Emission factors'!$K$3:$K$381&amp;'Emission factors'!$L$3:$L$381,0),MATCH(S$52,'Emission factors'!$K$2:$V$2,0)))*$I75)</f>
        <v/>
      </c>
      <c r="T75" s="377" t="str">
        <f>IF(OR(MunicipalWasteTable[[#This Row],[RSD]]="", MunicipalWasteTable[[#This Row],[Total emissions]]=""),"",MunicipalWasteTable[[#This Row],[Total emissions]]*(1+MunicipalWasteTable[[#This Row],[RSD]]))</f>
        <v/>
      </c>
      <c r="U75" s="380" t="str">
        <f>IF(OR(MunicipalWasteTable[[#This Row],[RSD]]="",MunicipalWasteTable[[#This Row],[Total emissions]]=""),"",MunicipalWasteTable[[#This Row],[Total emissions]]*(1-MunicipalWasteTable[[#This Row],[RSD]]))</f>
        <v/>
      </c>
      <c r="V75" s="279" t="str" cm="1">
        <f t="array" ref="V75">IF(OR($B75="",$G75="",$I75=""),"",(INDEX('Emission factors'!$K$3:$V$381,MATCH($J$51&amp;$B75&amp;$C75,'Emission factors'!$J$3:$J$381&amp;'Emission factors'!$K$3:$K$381&amp;'Emission factors'!$L$3:$L$381,0),MATCH(V$52,'Emission factors'!$K$2:$V$2,0)))*$I75)</f>
        <v/>
      </c>
      <c r="W75" s="351"/>
      <c r="X75" s="1" cm="1">
        <f t="array" ref="X75">IF(OR(ISERROR(B75:V75)),1,0)</f>
        <v>0</v>
      </c>
      <c r="Y75" s="1">
        <f t="shared" si="2"/>
        <v>0</v>
      </c>
    </row>
    <row r="76" spans="2:25" ht="15" thickBot="1" x14ac:dyDescent="0.4">
      <c r="B76" s="100"/>
      <c r="C76" s="101"/>
      <c r="D76" s="6"/>
      <c r="E76" s="101"/>
      <c r="F76" s="331" t="str">
        <f>IF(E76="","",INDEX(Methodologytier,MATCH(B$50,Lists!$AZ$4:$AZ$32,0),MATCH(E76,Lists!$BA$3:$BC$3,0)))</f>
        <v/>
      </c>
      <c r="G76" s="70"/>
      <c r="H76" s="101"/>
      <c r="I76" s="333" t="str" cm="1">
        <f t="array" ref="I76">IF(OR($B76="",$C76="",H76=""),"",IF(H76=J76,G76,(INDEX('Emission factors'!$K$3:$V$381,MATCH($B76&amp;$C76,'Emission factors'!$K$3:$K$381&amp;'Emission factors'!$L$3:$L$381,0),MATCH($I$52,'Emission factors'!$K$2:$V$2,0)))*G76))</f>
        <v/>
      </c>
      <c r="J76" s="332" t="str" cm="1">
        <f t="array" ref="J76">IF(OR($B76="",$G76="",MunicipalWasteTable[[#This Row],[Units]]=""),"",INDEX('Emission factors'!$K$3:$V$381,MATCH($B76&amp;$C76,'Emission factors'!$K$3:$K$381&amp;'Emission factors'!$L$3:$L$381,0),MATCH($J$52,'Emission factors'!$K$2:$V$2,0)))</f>
        <v/>
      </c>
      <c r="K76" s="332" t="str" cm="1">
        <f t="array" ref="K76">IF(OR(B76="",C76="",MunicipalWasteTable[[#This Row],[Data]]=""),"",INDEX('Emission factors'!$K$3:$V$381,MATCH($J$51&amp;$B76&amp;$C76,'Emission factors'!$J$3:$J$381&amp;'Emission factors'!$K$3:$K$381&amp;'Emission factors'!$L$3:$L$381,0),MATCH($K$52,'Emission factors'!$K$2:$V$2,0)))</f>
        <v/>
      </c>
      <c r="L76" s="333">
        <f>SUM(MunicipalWasteTable[[#This Row],[Direct]:[Indirect WTT]])</f>
        <v>0</v>
      </c>
      <c r="M76" s="103"/>
      <c r="N76" s="101"/>
      <c r="O76" s="376" t="str" cm="1">
        <f t="array" ref="O76">IF(OR($B76="",$G76="",$I76=""),"",(INDEX('Emission factors'!$K$3:$V$381,MATCH($J$51&amp;$B76&amp;$C76,'Emission factors'!$J$3:$J$381&amp;'Emission factors'!$K$3:$K$381&amp;'Emission factors'!$L$3:$L$381,0),MATCH(O$52,'Emission factors'!$K$2:$V$2,0)))*$I76)</f>
        <v/>
      </c>
      <c r="P76" s="376" t="str" cm="1">
        <f t="array" ref="P76">IF(OR($B76="",$G76="",$I76=""),"",(INDEX('Emission factors'!$K$3:$V$381,MATCH($J$51&amp;$B76&amp;$C76,'Emission factors'!$J$3:$J$381&amp;'Emission factors'!$K$3:$K$381&amp;'Emission factors'!$L$3:$L$381,0),MATCH(P$52,'Emission factors'!$K$2:$V$2,0)))*$I76)</f>
        <v/>
      </c>
      <c r="Q76" s="376" t="str" cm="1">
        <f t="array" ref="Q76">IF(OR($B76="",$G76="",$I76=""),"",(INDEX('Emission factors'!$K$3:$V$381,MATCH($J$51&amp;$B76&amp;$C76,'Emission factors'!$J$3:$J$381&amp;'Emission factors'!$K$3:$K$381&amp;'Emission factors'!$L$3:$L$381,0),MATCH(Q$52,'Emission factors'!$K$2:$V$2,0)))*$I76)</f>
        <v/>
      </c>
      <c r="R76" s="376" t="str" cm="1">
        <f t="array" ref="R76">IF(OR($B76="",$G76="",$I76=""),"",(INDEX('Emission factors'!$K$3:$V$381,MATCH($J$51&amp;$B76&amp;$C76,'Emission factors'!$J$3:$J$381&amp;'Emission factors'!$K$3:$K$381&amp;'Emission factors'!$L$3:$L$381,0),MATCH(R$52,'Emission factors'!$K$2:$V$2,0)))*$I76)</f>
        <v/>
      </c>
      <c r="S76" s="376" t="str" cm="1">
        <f t="array" ref="S76">IF(OR($B76="",$G76="",$I76=""),"",(INDEX('Emission factors'!$K$3:$V$381,MATCH($J$51&amp;$B76&amp;$C76,'Emission factors'!$J$3:$J$381&amp;'Emission factors'!$K$3:$K$381&amp;'Emission factors'!$L$3:$L$381,0),MATCH(S$52,'Emission factors'!$K$2:$V$2,0)))*$I76)</f>
        <v/>
      </c>
      <c r="T76" s="377" t="str">
        <f>IF(OR(MunicipalWasteTable[[#This Row],[RSD]]="", MunicipalWasteTable[[#This Row],[Total emissions]]=""),"",MunicipalWasteTable[[#This Row],[Total emissions]]*(1+MunicipalWasteTable[[#This Row],[RSD]]))</f>
        <v/>
      </c>
      <c r="U76" s="380" t="str">
        <f>IF(OR(MunicipalWasteTable[[#This Row],[RSD]]="",MunicipalWasteTable[[#This Row],[Total emissions]]=""),"",MunicipalWasteTable[[#This Row],[Total emissions]]*(1-MunicipalWasteTable[[#This Row],[RSD]]))</f>
        <v/>
      </c>
      <c r="V76" s="279" t="str" cm="1">
        <f t="array" ref="V76">IF(OR($B76="",$G76="",$I76=""),"",(INDEX('Emission factors'!$K$3:$V$381,MATCH($J$51&amp;$B76&amp;$C76,'Emission factors'!$J$3:$J$381&amp;'Emission factors'!$K$3:$K$381&amp;'Emission factors'!$L$3:$L$381,0),MATCH(V$52,'Emission factors'!$K$2:$V$2,0)))*$I76)</f>
        <v/>
      </c>
      <c r="W76" s="351"/>
      <c r="X76" s="1" cm="1">
        <f t="array" ref="X76">IF(OR(ISERROR(B76:V76)),1,0)</f>
        <v>0</v>
      </c>
      <c r="Y76" s="1">
        <f t="shared" si="2"/>
        <v>0</v>
      </c>
    </row>
    <row r="77" spans="2:25" ht="15" thickBot="1" x14ac:dyDescent="0.4">
      <c r="B77" s="100"/>
      <c r="C77" s="101"/>
      <c r="D77" s="6"/>
      <c r="E77" s="101"/>
      <c r="F77" s="331" t="str">
        <f>IF(E77="","",INDEX(Methodologytier,MATCH(B$50,Lists!$AZ$4:$AZ$32,0),MATCH(E77,Lists!$BA$3:$BC$3,0)))</f>
        <v/>
      </c>
      <c r="G77" s="70"/>
      <c r="H77" s="101"/>
      <c r="I77" s="333" t="str" cm="1">
        <f t="array" ref="I77">IF(OR($B77="",$C77="",H77=""),"",IF(H77=J77,G77,(INDEX('Emission factors'!$K$3:$V$381,MATCH($B77&amp;$C77,'Emission factors'!$K$3:$K$381&amp;'Emission factors'!$L$3:$L$381,0),MATCH($I$52,'Emission factors'!$K$2:$V$2,0)))*G77))</f>
        <v/>
      </c>
      <c r="J77" s="332" t="str" cm="1">
        <f t="array" ref="J77">IF(OR($B77="",$G77="",MunicipalWasteTable[[#This Row],[Units]]=""),"",INDEX('Emission factors'!$K$3:$V$381,MATCH($B77&amp;$C77,'Emission factors'!$K$3:$K$381&amp;'Emission factors'!$L$3:$L$381,0),MATCH($J$52,'Emission factors'!$K$2:$V$2,0)))</f>
        <v/>
      </c>
      <c r="K77" s="332" t="str" cm="1">
        <f t="array" ref="K77">IF(OR(B77="",C77="",MunicipalWasteTable[[#This Row],[Data]]=""),"",INDEX('Emission factors'!$K$3:$V$381,MATCH($J$51&amp;$B77&amp;$C77,'Emission factors'!$J$3:$J$381&amp;'Emission factors'!$K$3:$K$381&amp;'Emission factors'!$L$3:$L$381,0),MATCH($K$52,'Emission factors'!$K$2:$V$2,0)))</f>
        <v/>
      </c>
      <c r="L77" s="333">
        <f>SUM(MunicipalWasteTable[[#This Row],[Direct]:[Indirect WTT]])</f>
        <v>0</v>
      </c>
      <c r="M77" s="103"/>
      <c r="N77" s="101"/>
      <c r="O77" s="376" t="str" cm="1">
        <f t="array" ref="O77">IF(OR($B77="",$G77="",$I77=""),"",(INDEX('Emission factors'!$K$3:$V$381,MATCH($J$51&amp;$B77&amp;$C77,'Emission factors'!$J$3:$J$381&amp;'Emission factors'!$K$3:$K$381&amp;'Emission factors'!$L$3:$L$381,0),MATCH(O$52,'Emission factors'!$K$2:$V$2,0)))*$I77)</f>
        <v/>
      </c>
      <c r="P77" s="376" t="str" cm="1">
        <f t="array" ref="P77">IF(OR($B77="",$G77="",$I77=""),"",(INDEX('Emission factors'!$K$3:$V$381,MATCH($J$51&amp;$B77&amp;$C77,'Emission factors'!$J$3:$J$381&amp;'Emission factors'!$K$3:$K$381&amp;'Emission factors'!$L$3:$L$381,0),MATCH(P$52,'Emission factors'!$K$2:$V$2,0)))*$I77)</f>
        <v/>
      </c>
      <c r="Q77" s="376" t="str" cm="1">
        <f t="array" ref="Q77">IF(OR($B77="",$G77="",$I77=""),"",(INDEX('Emission factors'!$K$3:$V$381,MATCH($J$51&amp;$B77&amp;$C77,'Emission factors'!$J$3:$J$381&amp;'Emission factors'!$K$3:$K$381&amp;'Emission factors'!$L$3:$L$381,0),MATCH(Q$52,'Emission factors'!$K$2:$V$2,0)))*$I77)</f>
        <v/>
      </c>
      <c r="R77" s="376" t="str" cm="1">
        <f t="array" ref="R77">IF(OR($B77="",$G77="",$I77=""),"",(INDEX('Emission factors'!$K$3:$V$381,MATCH($J$51&amp;$B77&amp;$C77,'Emission factors'!$J$3:$J$381&amp;'Emission factors'!$K$3:$K$381&amp;'Emission factors'!$L$3:$L$381,0),MATCH(R$52,'Emission factors'!$K$2:$V$2,0)))*$I77)</f>
        <v/>
      </c>
      <c r="S77" s="376" t="str" cm="1">
        <f t="array" ref="S77">IF(OR($B77="",$G77="",$I77=""),"",(INDEX('Emission factors'!$K$3:$V$381,MATCH($J$51&amp;$B77&amp;$C77,'Emission factors'!$J$3:$J$381&amp;'Emission factors'!$K$3:$K$381&amp;'Emission factors'!$L$3:$L$381,0),MATCH(S$52,'Emission factors'!$K$2:$V$2,0)))*$I77)</f>
        <v/>
      </c>
      <c r="T77" s="377" t="str">
        <f>IF(OR(MunicipalWasteTable[[#This Row],[RSD]]="", MunicipalWasteTable[[#This Row],[Total emissions]]=""),"",MunicipalWasteTable[[#This Row],[Total emissions]]*(1+MunicipalWasteTable[[#This Row],[RSD]]))</f>
        <v/>
      </c>
      <c r="U77" s="380" t="str">
        <f>IF(OR(MunicipalWasteTable[[#This Row],[RSD]]="",MunicipalWasteTable[[#This Row],[Total emissions]]=""),"",MunicipalWasteTable[[#This Row],[Total emissions]]*(1-MunicipalWasteTable[[#This Row],[RSD]]))</f>
        <v/>
      </c>
      <c r="V77" s="279" t="str" cm="1">
        <f t="array" ref="V77">IF(OR($B77="",$G77="",$I77=""),"",(INDEX('Emission factors'!$K$3:$V$381,MATCH($J$51&amp;$B77&amp;$C77,'Emission factors'!$J$3:$J$381&amp;'Emission factors'!$K$3:$K$381&amp;'Emission factors'!$L$3:$L$381,0),MATCH(V$52,'Emission factors'!$K$2:$V$2,0)))*$I77)</f>
        <v/>
      </c>
      <c r="W77" s="351"/>
      <c r="X77" s="1" cm="1">
        <f t="array" ref="X77">IF(OR(ISERROR(B77:V77)),1,0)</f>
        <v>0</v>
      </c>
      <c r="Y77" s="1">
        <f t="shared" si="2"/>
        <v>0</v>
      </c>
    </row>
    <row r="78" spans="2:25" ht="15" thickBot="1" x14ac:dyDescent="0.4">
      <c r="B78" s="100"/>
      <c r="C78" s="101"/>
      <c r="D78" s="6"/>
      <c r="E78" s="101"/>
      <c r="F78" s="331" t="str">
        <f>IF(E78="","",INDEX(Methodologytier,MATCH(B$50,Lists!$AZ$4:$AZ$32,0),MATCH(E78,Lists!$BA$3:$BC$3,0)))</f>
        <v/>
      </c>
      <c r="G78" s="70"/>
      <c r="H78" s="101"/>
      <c r="I78" s="333" t="str" cm="1">
        <f t="array" ref="I78">IF(OR($B78="",$C78="",H78=""),"",IF(H78=J78,G78,(INDEX('Emission factors'!$K$3:$V$381,MATCH($B78&amp;$C78,'Emission factors'!$K$3:$K$381&amp;'Emission factors'!$L$3:$L$381,0),MATCH($I$52,'Emission factors'!$K$2:$V$2,0)))*G78))</f>
        <v/>
      </c>
      <c r="J78" s="332" t="str" cm="1">
        <f t="array" ref="J78">IF(OR($B78="",$G78="",MunicipalWasteTable[[#This Row],[Units]]=""),"",INDEX('Emission factors'!$K$3:$V$381,MATCH($B78&amp;$C78,'Emission factors'!$K$3:$K$381&amp;'Emission factors'!$L$3:$L$381,0),MATCH($J$52,'Emission factors'!$K$2:$V$2,0)))</f>
        <v/>
      </c>
      <c r="K78" s="332" t="str" cm="1">
        <f t="array" ref="K78">IF(OR(B78="",C78="",MunicipalWasteTable[[#This Row],[Data]]=""),"",INDEX('Emission factors'!$K$3:$V$381,MATCH($J$51&amp;$B78&amp;$C78,'Emission factors'!$J$3:$J$381&amp;'Emission factors'!$K$3:$K$381&amp;'Emission factors'!$L$3:$L$381,0),MATCH($K$52,'Emission factors'!$K$2:$V$2,0)))</f>
        <v/>
      </c>
      <c r="L78" s="333">
        <f>SUM(MunicipalWasteTable[[#This Row],[Direct]:[Indirect WTT]])</f>
        <v>0</v>
      </c>
      <c r="M78" s="103"/>
      <c r="N78" s="101"/>
      <c r="O78" s="376" t="str" cm="1">
        <f t="array" ref="O78">IF(OR($B78="",$G78="",$I78=""),"",(INDEX('Emission factors'!$K$3:$V$381,MATCH($J$51&amp;$B78&amp;$C78,'Emission factors'!$J$3:$J$381&amp;'Emission factors'!$K$3:$K$381&amp;'Emission factors'!$L$3:$L$381,0),MATCH(O$52,'Emission factors'!$K$2:$V$2,0)))*$I78)</f>
        <v/>
      </c>
      <c r="P78" s="376" t="str" cm="1">
        <f t="array" ref="P78">IF(OR($B78="",$G78="",$I78=""),"",(INDEX('Emission factors'!$K$3:$V$381,MATCH($J$51&amp;$B78&amp;$C78,'Emission factors'!$J$3:$J$381&amp;'Emission factors'!$K$3:$K$381&amp;'Emission factors'!$L$3:$L$381,0),MATCH(P$52,'Emission factors'!$K$2:$V$2,0)))*$I78)</f>
        <v/>
      </c>
      <c r="Q78" s="376" t="str" cm="1">
        <f t="array" ref="Q78">IF(OR($B78="",$G78="",$I78=""),"",(INDEX('Emission factors'!$K$3:$V$381,MATCH($J$51&amp;$B78&amp;$C78,'Emission factors'!$J$3:$J$381&amp;'Emission factors'!$K$3:$K$381&amp;'Emission factors'!$L$3:$L$381,0),MATCH(Q$52,'Emission factors'!$K$2:$V$2,0)))*$I78)</f>
        <v/>
      </c>
      <c r="R78" s="376" t="str" cm="1">
        <f t="array" ref="R78">IF(OR($B78="",$G78="",$I78=""),"",(INDEX('Emission factors'!$K$3:$V$381,MATCH($J$51&amp;$B78&amp;$C78,'Emission factors'!$J$3:$J$381&amp;'Emission factors'!$K$3:$K$381&amp;'Emission factors'!$L$3:$L$381,0),MATCH(R$52,'Emission factors'!$K$2:$V$2,0)))*$I78)</f>
        <v/>
      </c>
      <c r="S78" s="376" t="str" cm="1">
        <f t="array" ref="S78">IF(OR($B78="",$G78="",$I78=""),"",(INDEX('Emission factors'!$K$3:$V$381,MATCH($J$51&amp;$B78&amp;$C78,'Emission factors'!$J$3:$J$381&amp;'Emission factors'!$K$3:$K$381&amp;'Emission factors'!$L$3:$L$381,0),MATCH(S$52,'Emission factors'!$K$2:$V$2,0)))*$I78)</f>
        <v/>
      </c>
      <c r="T78" s="377" t="str">
        <f>IF(OR(MunicipalWasteTable[[#This Row],[RSD]]="", MunicipalWasteTable[[#This Row],[Total emissions]]=""),"",MunicipalWasteTable[[#This Row],[Total emissions]]*(1+MunicipalWasteTable[[#This Row],[RSD]]))</f>
        <v/>
      </c>
      <c r="U78" s="380" t="str">
        <f>IF(OR(MunicipalWasteTable[[#This Row],[RSD]]="",MunicipalWasteTable[[#This Row],[Total emissions]]=""),"",MunicipalWasteTable[[#This Row],[Total emissions]]*(1-MunicipalWasteTable[[#This Row],[RSD]]))</f>
        <v/>
      </c>
      <c r="V78" s="279" t="str" cm="1">
        <f t="array" ref="V78">IF(OR($B78="",$G78="",$I78=""),"",(INDEX('Emission factors'!$K$3:$V$381,MATCH($J$51&amp;$B78&amp;$C78,'Emission factors'!$J$3:$J$381&amp;'Emission factors'!$K$3:$K$381&amp;'Emission factors'!$L$3:$L$381,0),MATCH(V$52,'Emission factors'!$K$2:$V$2,0)))*$I78)</f>
        <v/>
      </c>
      <c r="W78" s="351"/>
      <c r="X78" s="1" cm="1">
        <f t="array" ref="X78">IF(OR(ISERROR(B78:V78)),1,0)</f>
        <v>0</v>
      </c>
      <c r="Y78" s="1">
        <f t="shared" si="2"/>
        <v>0</v>
      </c>
    </row>
    <row r="79" spans="2:25" ht="15" thickBot="1" x14ac:dyDescent="0.4">
      <c r="B79" s="100"/>
      <c r="C79" s="101"/>
      <c r="D79" s="6"/>
      <c r="E79" s="101"/>
      <c r="F79" s="331" t="str">
        <f>IF(E79="","",INDEX(Methodologytier,MATCH(B$50,Lists!$AZ$4:$AZ$32,0),MATCH(E79,Lists!$BA$3:$BC$3,0)))</f>
        <v/>
      </c>
      <c r="G79" s="70"/>
      <c r="H79" s="101"/>
      <c r="I79" s="333" t="str" cm="1">
        <f t="array" ref="I79">IF(OR($B79="",$C79="",H79=""),"",IF(H79=J79,G79,(INDEX('Emission factors'!$K$3:$V$381,MATCH($B79&amp;$C79,'Emission factors'!$K$3:$K$381&amp;'Emission factors'!$L$3:$L$381,0),MATCH($I$52,'Emission factors'!$K$2:$V$2,0)))*G79))</f>
        <v/>
      </c>
      <c r="J79" s="332" t="str" cm="1">
        <f t="array" ref="J79">IF(OR($B79="",$G79="",MunicipalWasteTable[[#This Row],[Units]]=""),"",INDEX('Emission factors'!$K$3:$V$381,MATCH($B79&amp;$C79,'Emission factors'!$K$3:$K$381&amp;'Emission factors'!$L$3:$L$381,0),MATCH($J$52,'Emission factors'!$K$2:$V$2,0)))</f>
        <v/>
      </c>
      <c r="K79" s="332" t="str" cm="1">
        <f t="array" ref="K79">IF(OR(B79="",C79="",MunicipalWasteTable[[#This Row],[Data]]=""),"",INDEX('Emission factors'!$K$3:$V$381,MATCH($J$51&amp;$B79&amp;$C79,'Emission factors'!$J$3:$J$381&amp;'Emission factors'!$K$3:$K$381&amp;'Emission factors'!$L$3:$L$381,0),MATCH($K$52,'Emission factors'!$K$2:$V$2,0)))</f>
        <v/>
      </c>
      <c r="L79" s="333">
        <f>SUM(MunicipalWasteTable[[#This Row],[Direct]:[Indirect WTT]])</f>
        <v>0</v>
      </c>
      <c r="M79" s="103"/>
      <c r="N79" s="101"/>
      <c r="O79" s="376" t="str" cm="1">
        <f t="array" ref="O79">IF(OR($B79="",$G79="",$I79=""),"",(INDEX('Emission factors'!$K$3:$V$381,MATCH($J$51&amp;$B79&amp;$C79,'Emission factors'!$J$3:$J$381&amp;'Emission factors'!$K$3:$K$381&amp;'Emission factors'!$L$3:$L$381,0),MATCH(O$52,'Emission factors'!$K$2:$V$2,0)))*$I79)</f>
        <v/>
      </c>
      <c r="P79" s="376" t="str" cm="1">
        <f t="array" ref="P79">IF(OR($B79="",$G79="",$I79=""),"",(INDEX('Emission factors'!$K$3:$V$381,MATCH($J$51&amp;$B79&amp;$C79,'Emission factors'!$J$3:$J$381&amp;'Emission factors'!$K$3:$K$381&amp;'Emission factors'!$L$3:$L$381,0),MATCH(P$52,'Emission factors'!$K$2:$V$2,0)))*$I79)</f>
        <v/>
      </c>
      <c r="Q79" s="376" t="str" cm="1">
        <f t="array" ref="Q79">IF(OR($B79="",$G79="",$I79=""),"",(INDEX('Emission factors'!$K$3:$V$381,MATCH($J$51&amp;$B79&amp;$C79,'Emission factors'!$J$3:$J$381&amp;'Emission factors'!$K$3:$K$381&amp;'Emission factors'!$L$3:$L$381,0),MATCH(Q$52,'Emission factors'!$K$2:$V$2,0)))*$I79)</f>
        <v/>
      </c>
      <c r="R79" s="376" t="str" cm="1">
        <f t="array" ref="R79">IF(OR($B79="",$G79="",$I79=""),"",(INDEX('Emission factors'!$K$3:$V$381,MATCH($J$51&amp;$B79&amp;$C79,'Emission factors'!$J$3:$J$381&amp;'Emission factors'!$K$3:$K$381&amp;'Emission factors'!$L$3:$L$381,0),MATCH(R$52,'Emission factors'!$K$2:$V$2,0)))*$I79)</f>
        <v/>
      </c>
      <c r="S79" s="376" t="str" cm="1">
        <f t="array" ref="S79">IF(OR($B79="",$G79="",$I79=""),"",(INDEX('Emission factors'!$K$3:$V$381,MATCH($J$51&amp;$B79&amp;$C79,'Emission factors'!$J$3:$J$381&amp;'Emission factors'!$K$3:$K$381&amp;'Emission factors'!$L$3:$L$381,0),MATCH(S$52,'Emission factors'!$K$2:$V$2,0)))*$I79)</f>
        <v/>
      </c>
      <c r="T79" s="377" t="str">
        <f>IF(OR(MunicipalWasteTable[[#This Row],[RSD]]="", MunicipalWasteTable[[#This Row],[Total emissions]]=""),"",MunicipalWasteTable[[#This Row],[Total emissions]]*(1+MunicipalWasteTable[[#This Row],[RSD]]))</f>
        <v/>
      </c>
      <c r="U79" s="380" t="str">
        <f>IF(OR(MunicipalWasteTable[[#This Row],[RSD]]="",MunicipalWasteTable[[#This Row],[Total emissions]]=""),"",MunicipalWasteTable[[#This Row],[Total emissions]]*(1-MunicipalWasteTable[[#This Row],[RSD]]))</f>
        <v/>
      </c>
      <c r="V79" s="279" t="str" cm="1">
        <f t="array" ref="V79">IF(OR($B79="",$G79="",$I79=""),"",(INDEX('Emission factors'!$K$3:$V$381,MATCH($J$51&amp;$B79&amp;$C79,'Emission factors'!$J$3:$J$381&amp;'Emission factors'!$K$3:$K$381&amp;'Emission factors'!$L$3:$L$381,0),MATCH(V$52,'Emission factors'!$K$2:$V$2,0)))*$I79)</f>
        <v/>
      </c>
      <c r="W79" s="351"/>
      <c r="X79" s="1" cm="1">
        <f t="array" ref="X79">IF(OR(ISERROR(B79:V79)),1,0)</f>
        <v>0</v>
      </c>
      <c r="Y79" s="1">
        <f t="shared" si="2"/>
        <v>0</v>
      </c>
    </row>
    <row r="80" spans="2:25" ht="15" thickBot="1" x14ac:dyDescent="0.4">
      <c r="B80" s="100"/>
      <c r="C80" s="101"/>
      <c r="D80" s="6"/>
      <c r="E80" s="101"/>
      <c r="F80" s="331" t="str">
        <f>IF(E80="","",INDEX(Methodologytier,MATCH(B$50,Lists!$AZ$4:$AZ$32,0),MATCH(E80,Lists!$BA$3:$BC$3,0)))</f>
        <v/>
      </c>
      <c r="G80" s="70"/>
      <c r="H80" s="101"/>
      <c r="I80" s="333" t="str" cm="1">
        <f t="array" ref="I80">IF(OR($B80="",$C80="",H80=""),"",IF(H80=J80,G80,(INDEX('Emission factors'!$K$3:$V$381,MATCH($B80&amp;$C80,'Emission factors'!$K$3:$K$381&amp;'Emission factors'!$L$3:$L$381,0),MATCH($I$52,'Emission factors'!$K$2:$V$2,0)))*G80))</f>
        <v/>
      </c>
      <c r="J80" s="332" t="str" cm="1">
        <f t="array" ref="J80">IF(OR($B80="",$G80="",MunicipalWasteTable[[#This Row],[Units]]=""),"",INDEX('Emission factors'!$K$3:$V$381,MATCH($B80&amp;$C80,'Emission factors'!$K$3:$K$381&amp;'Emission factors'!$L$3:$L$381,0),MATCH($J$52,'Emission factors'!$K$2:$V$2,0)))</f>
        <v/>
      </c>
      <c r="K80" s="332" t="str" cm="1">
        <f t="array" ref="K80">IF(OR(B80="",C80="",MunicipalWasteTable[[#This Row],[Data]]=""),"",INDEX('Emission factors'!$K$3:$V$381,MATCH($J$51&amp;$B80&amp;$C80,'Emission factors'!$J$3:$J$381&amp;'Emission factors'!$K$3:$K$381&amp;'Emission factors'!$L$3:$L$381,0),MATCH($K$52,'Emission factors'!$K$2:$V$2,0)))</f>
        <v/>
      </c>
      <c r="L80" s="333">
        <f>SUM(MunicipalWasteTable[[#This Row],[Direct]:[Indirect WTT]])</f>
        <v>0</v>
      </c>
      <c r="M80" s="104"/>
      <c r="N80" s="102"/>
      <c r="O80" s="376" t="str" cm="1">
        <f t="array" ref="O80">IF(OR($B80="",$G80="",$I80=""),"",(INDEX('Emission factors'!$K$3:$V$381,MATCH($J$51&amp;$B80&amp;$C80,'Emission factors'!$J$3:$J$381&amp;'Emission factors'!$K$3:$K$381&amp;'Emission factors'!$L$3:$L$381,0),MATCH(O$52,'Emission factors'!$K$2:$V$2,0)))*$I80)</f>
        <v/>
      </c>
      <c r="P80" s="376" t="str" cm="1">
        <f t="array" ref="P80">IF(OR($B80="",$G80="",$I80=""),"",(INDEX('Emission factors'!$K$3:$V$381,MATCH($J$51&amp;$B80&amp;$C80,'Emission factors'!$J$3:$J$381&amp;'Emission factors'!$K$3:$K$381&amp;'Emission factors'!$L$3:$L$381,0),MATCH(P$52,'Emission factors'!$K$2:$V$2,0)))*$I80)</f>
        <v/>
      </c>
      <c r="Q80" s="376" t="str" cm="1">
        <f t="array" ref="Q80">IF(OR($B80="",$G80="",$I80=""),"",(INDEX('Emission factors'!$K$3:$V$381,MATCH($J$51&amp;$B80&amp;$C80,'Emission factors'!$J$3:$J$381&amp;'Emission factors'!$K$3:$K$381&amp;'Emission factors'!$L$3:$L$381,0),MATCH(Q$52,'Emission factors'!$K$2:$V$2,0)))*$I80)</f>
        <v/>
      </c>
      <c r="R80" s="376" t="str" cm="1">
        <f t="array" ref="R80">IF(OR($B80="",$G80="",$I80=""),"",(INDEX('Emission factors'!$K$3:$V$381,MATCH($J$51&amp;$B80&amp;$C80,'Emission factors'!$J$3:$J$381&amp;'Emission factors'!$K$3:$K$381&amp;'Emission factors'!$L$3:$L$381,0),MATCH(R$52,'Emission factors'!$K$2:$V$2,0)))*$I80)</f>
        <v/>
      </c>
      <c r="S80" s="376" t="str" cm="1">
        <f t="array" ref="S80">IF(OR($B80="",$G80="",$I80=""),"",(INDEX('Emission factors'!$K$3:$V$381,MATCH($J$51&amp;$B80&amp;$C80,'Emission factors'!$J$3:$J$381&amp;'Emission factors'!$K$3:$K$381&amp;'Emission factors'!$L$3:$L$381,0),MATCH(S$52,'Emission factors'!$K$2:$V$2,0)))*$I80)</f>
        <v/>
      </c>
      <c r="T80" s="377" t="str">
        <f>IF(OR(MunicipalWasteTable[[#This Row],[RSD]]="", MunicipalWasteTable[[#This Row],[Total emissions]]=""),"",MunicipalWasteTable[[#This Row],[Total emissions]]*(1+MunicipalWasteTable[[#This Row],[RSD]]))</f>
        <v/>
      </c>
      <c r="U80" s="382" t="str">
        <f>IF(OR(MunicipalWasteTable[[#This Row],[RSD]]="",MunicipalWasteTable[[#This Row],[Total emissions]]=""),"",MunicipalWasteTable[[#This Row],[Total emissions]]*(1-MunicipalWasteTable[[#This Row],[RSD]]))</f>
        <v/>
      </c>
      <c r="V80" s="383" t="str" cm="1">
        <f t="array" ref="V80">IF(OR($B80="",$G80="",$I80=""),"",(INDEX('Emission factors'!$K$3:$V$381,MATCH($J$51&amp;$B80&amp;$C80,'Emission factors'!$J$3:$J$381&amp;'Emission factors'!$K$3:$K$381&amp;'Emission factors'!$L$3:$L$381,0),MATCH(V$52,'Emission factors'!$K$2:$V$2,0)))*$I80)</f>
        <v/>
      </c>
      <c r="W80" s="351"/>
      <c r="X80" s="1" cm="1">
        <f t="array" ref="X80">IF(OR(ISERROR(B80:V80)),1,0)</f>
        <v>0</v>
      </c>
      <c r="Y80" s="1">
        <f t="shared" si="2"/>
        <v>0</v>
      </c>
    </row>
    <row r="81" spans="2:25" x14ac:dyDescent="0.35">
      <c r="N81" s="384"/>
      <c r="O81" s="384"/>
      <c r="P81" s="384"/>
      <c r="Q81" s="384"/>
      <c r="R81" s="384"/>
      <c r="S81" s="385"/>
      <c r="T81" s="386"/>
      <c r="U81" s="387"/>
    </row>
    <row r="82" spans="2:25" ht="30" customHeight="1" thickBot="1" x14ac:dyDescent="0.4">
      <c r="B82" s="20" t="s">
        <v>116</v>
      </c>
      <c r="C82" s="11"/>
      <c r="E82" s="11"/>
      <c r="H82" s="317" t="str">
        <f>IF($Y$83=0,"No data entered",IF($X$83=0,"No errors in this table","There are errors in this table see highlighted row(s)"))</f>
        <v>No data entered</v>
      </c>
      <c r="N82" s="318" t="s">
        <v>227</v>
      </c>
      <c r="S82" s="370"/>
      <c r="T82" s="365"/>
      <c r="U82" s="351"/>
      <c r="X82" s="9" t="s">
        <v>175</v>
      </c>
      <c r="Y82" s="9" t="s">
        <v>161</v>
      </c>
    </row>
    <row r="83" spans="2:25" ht="28.25" customHeight="1" thickBot="1" x14ac:dyDescent="0.4">
      <c r="B83" s="330" t="s">
        <v>237</v>
      </c>
      <c r="C83" s="274" t="s">
        <v>238</v>
      </c>
      <c r="D83" s="274" t="s">
        <v>196</v>
      </c>
      <c r="E83" s="274" t="s">
        <v>230</v>
      </c>
      <c r="F83" s="274" t="s">
        <v>181</v>
      </c>
      <c r="G83" s="274" t="s">
        <v>182</v>
      </c>
      <c r="H83" s="274" t="s">
        <v>183</v>
      </c>
      <c r="I83" s="274" t="s">
        <v>184</v>
      </c>
      <c r="J83" s="274" t="s">
        <v>185</v>
      </c>
      <c r="K83" s="274" t="s">
        <v>231</v>
      </c>
      <c r="L83" s="274" t="s">
        <v>91</v>
      </c>
      <c r="M83" s="274" t="s">
        <v>188</v>
      </c>
      <c r="N83" s="274" t="s">
        <v>189</v>
      </c>
      <c r="O83" s="8" t="s">
        <v>92</v>
      </c>
      <c r="P83" s="8" t="s">
        <v>190</v>
      </c>
      <c r="Q83" s="8" t="s">
        <v>191</v>
      </c>
      <c r="R83" s="8" t="s">
        <v>192</v>
      </c>
      <c r="S83" s="8" t="s">
        <v>193</v>
      </c>
      <c r="T83" s="261" t="s">
        <v>100</v>
      </c>
      <c r="U83" s="373" t="s">
        <v>101</v>
      </c>
      <c r="V83" s="374" t="s">
        <v>96</v>
      </c>
      <c r="W83" s="351"/>
      <c r="X83" s="9">
        <f>SUM(X84:X105)</f>
        <v>0</v>
      </c>
      <c r="Y83" s="9">
        <f>SUM(Y84:Y105)</f>
        <v>0</v>
      </c>
    </row>
    <row r="84" spans="2:25" ht="15" thickBot="1" x14ac:dyDescent="0.4">
      <c r="B84" s="100"/>
      <c r="C84" s="101"/>
      <c r="D84" s="6"/>
      <c r="E84" s="101"/>
      <c r="F84" s="352" t="str">
        <f>IF(E84="","",INDEX(Methodologytier,MATCH(B$82,Lists!$AZ$4:$AZ$32,0),MATCH(E84,Lists!$BA$3:$BC$3,0)))</f>
        <v/>
      </c>
      <c r="G84" s="70"/>
      <c r="H84" s="101"/>
      <c r="I84" s="333" t="str" cm="1">
        <f t="array" ref="I84">IF(OR($B84="",$C84="",H84=""),"",IF(H84=J84,G84,(INDEX('Emission factors'!$K$3:$V$381,MATCH($B84&amp;$C84,'Emission factors'!$K$3:$K$381&amp;'Emission factors'!$L$3:$L$381,0),MATCH($I$52,'Emission factors'!$K$2:$V$2,0)))*G84))</f>
        <v/>
      </c>
      <c r="J84" s="332" t="str" cm="1">
        <f t="array" ref="J84">IF(OR($B84="",$C84="",ProjectWasteTable[[#Headers],[Units]]=""),"",INDEX('Emission factors'!$K$3:$V$381,MATCH($B84&amp;$C84,'Emission factors'!$K$3:$K$381&amp;'Emission factors'!$L$3:$L$381,0),MATCH($J$83,'Emission factors'!$K$2:$V$2,0)))</f>
        <v/>
      </c>
      <c r="K84" s="332" t="str" cm="1">
        <f t="array" ref="K84">IF(OR(B84="",C84="",ProjectWasteTable[[#This Row],[Data]]=""),"",INDEX('Emission factors'!$K$3:$V$381,MATCH($B84&amp;$C84,'Emission factors'!$K$3:$K$381&amp;'Emission factors'!$L$3:$L$381,0),MATCH($K$52,'Emission factors'!$K$2:$V$2,0)))</f>
        <v/>
      </c>
      <c r="L84" s="333">
        <f>SUM(ProjectWasteTable[[#This Row],[Direct]:[Indirect WTT]])</f>
        <v>0</v>
      </c>
      <c r="M84" s="103"/>
      <c r="N84" s="101"/>
      <c r="O84" s="388" t="str" cm="1">
        <f t="array" ref="O84">IF(OR($B84="",$G84="",ProjectWasteTable[Converted data]=""),"",(INDEX('Emission factors'!$K$3:$V$381,MATCH($B84&amp;$C84,'Emission factors'!$K$3:$K$381&amp;'Emission factors'!$L$3:$L$381,0),MATCH(O$52,'Emission factors'!$K$2:$V$2,0)))*$I84)</f>
        <v/>
      </c>
      <c r="P84" s="388" t="str" cm="1">
        <f t="array" ref="P84">IF(OR($B84="",$G84="",ProjectWasteTable[[#This Row],[Converted data]]=""),"",(INDEX('Emission factors'!$K$3:$V$381,MATCH($B84&amp;$C84,'Emission factors'!$K$3:$K$381&amp;'Emission factors'!$L$3:$L$381,0),MATCH(P$52,'Emission factors'!$K$2:$V$2,0)))*$I84)</f>
        <v/>
      </c>
      <c r="Q84" s="388" t="str" cm="1">
        <f t="array" ref="Q84">IF(OR($B84="",$G84="",ProjectWasteTable[[#This Row],[Converted data]]=""),"",(INDEX('Emission factors'!$K$3:$V$381,MATCH($B84&amp;$C84,'Emission factors'!$K$3:$K$381&amp;'Emission factors'!$L$3:$L$381,0),MATCH(Q$52,'Emission factors'!$K$2:$V$2,0)))*$I84)</f>
        <v/>
      </c>
      <c r="R84" s="388" t="str" cm="1">
        <f t="array" ref="R84">IF(OR($B84="",$G84="",ProjectWasteTable[[#This Row],[Converted data]]=""),"",(INDEX('Emission factors'!$K$3:$V$381,MATCH($B84&amp;$C84,'Emission factors'!$K$3:$K$381&amp;'Emission factors'!$L$3:$L$381,0),MATCH(R$52,'Emission factors'!$K$2:$V$2,0)))*$I84)</f>
        <v/>
      </c>
      <c r="S84" s="388" t="str" cm="1">
        <f t="array" ref="S84">IF(OR($B84="",$G84="",ProjectWasteTable[[#This Row],[Converted data]]=""),"",(INDEX('Emission factors'!$K$3:$V$381,MATCH($B84&amp;$C84,'Emission factors'!$K$3:$K$381&amp;'Emission factors'!$L$3:$L$381,0),MATCH(S$52,'Emission factors'!$K$2:$V$2,0)))*$I84)</f>
        <v/>
      </c>
      <c r="T84" s="389" t="str">
        <f>IF(OR(ProjectWasteTable[[#This Row],[RSD]]="",ProjectWasteTable[[#This Row],[Total emissions]]=""),"",ProjectWasteTable[[#This Row],[Total emissions]]*(1+ProjectWasteTable[[#This Row],[RSD]]))</f>
        <v/>
      </c>
      <c r="U84" s="390" t="str">
        <f>IF(OR(ProjectWasteTable[[#This Row],[RSD]]="",ProjectWasteTable[[#This Row],[Total emissions]]=""), "",ProjectWasteTable[[#This Row],[Total emissions]]*(1-ProjectWasteTable[[#This Row],[RSD]]))</f>
        <v/>
      </c>
      <c r="V84" s="391" t="str" cm="1">
        <f t="array" ref="V84">IF(OR($B84="",$G84="",ProjectWasteTable[[#This Row],[Converted data]]=""),"",(INDEX('Emission factors'!$K$3:$V$381,MATCH($B84&amp;$C84,'Emission factors'!$K$3:$K$381&amp;'Emission factors'!$L$3:$L$381,0),MATCH(V$52,'Emission factors'!$K$2:$V$2,0)))*$I84)</f>
        <v/>
      </c>
      <c r="W84" s="351"/>
      <c r="X84" s="1" cm="1">
        <f t="array" ref="X84">IF(OR(ISERROR(B84:V84)),1,0)</f>
        <v>0</v>
      </c>
      <c r="Y84" s="1">
        <f>IF(AND(C84="",G84="",H84=""),0,1)</f>
        <v>0</v>
      </c>
    </row>
    <row r="85" spans="2:25" ht="15" thickBot="1" x14ac:dyDescent="0.4">
      <c r="B85" s="100"/>
      <c r="C85" s="101"/>
      <c r="D85" s="6"/>
      <c r="E85" s="101"/>
      <c r="F85" s="352" t="str">
        <f>IF(E85="","",INDEX(Methodologytier,MATCH(B$82,Lists!$AZ$4:$AZ$32,0),MATCH(E85,Lists!$BA$3:$BC$3,0)))</f>
        <v/>
      </c>
      <c r="G85" s="70"/>
      <c r="H85" s="101"/>
      <c r="I85" s="333" t="str" cm="1">
        <f t="array" ref="I85">IF(OR($B85="",$C85="",H85=""),"",IF(H85=J85,G85,(INDEX('Emission factors'!$K$3:$V$381,MATCH($B85&amp;$C85,'Emission factors'!$K$3:$K$381&amp;'Emission factors'!$L$3:$L$381,0),MATCH($I$52,'Emission factors'!$K$2:$V$2,0)))*G85))</f>
        <v/>
      </c>
      <c r="J85" s="332" t="str" cm="1">
        <f t="array" ref="J85">IF(OR($B85="",$C85="",ProjectWasteTable[[#Headers],[Units]]=""),"",INDEX('Emission factors'!$K$3:$V$381,MATCH($B85&amp;$C85,'Emission factors'!$K$3:$K$381&amp;'Emission factors'!$L$3:$L$381,0),MATCH($J$83,'Emission factors'!$K$2:$V$2,0)))</f>
        <v/>
      </c>
      <c r="K85" s="332" t="str" cm="1">
        <f t="array" ref="K85">IF(OR(B85="",C85="",ProjectWasteTable[[#This Row],[Data]]=""),"",INDEX('Emission factors'!$K$3:$V$381,MATCH($B85&amp;$C85,'Emission factors'!$K$3:$K$381&amp;'Emission factors'!$L$3:$L$381,0),MATCH($K$52,'Emission factors'!$K$2:$V$2,0)))</f>
        <v/>
      </c>
      <c r="L85" s="333">
        <f>SUM(ProjectWasteTable[[#This Row],[Direct]:[Indirect WTT]])</f>
        <v>0</v>
      </c>
      <c r="M85" s="103"/>
      <c r="N85" s="101"/>
      <c r="O85" s="388" t="str" cm="1">
        <f t="array" ref="O85">IF(OR($B85="",$G85="",ProjectWasteTable[Converted data]=""),"",(INDEX('Emission factors'!$K$3:$V$381,MATCH($B85&amp;$C85,'Emission factors'!$K$3:$K$381&amp;'Emission factors'!$L$3:$L$381,0),MATCH(O$52,'Emission factors'!$K$2:$V$2,0)))*$I85)</f>
        <v/>
      </c>
      <c r="P85" s="388" t="str" cm="1">
        <f t="array" ref="P85">IF(OR($B85="",$G85="",ProjectWasteTable[[#This Row],[Converted data]]=""),"",(INDEX('Emission factors'!$K$3:$V$381,MATCH($B85&amp;$C85,'Emission factors'!$K$3:$K$381&amp;'Emission factors'!$L$3:$L$381,0),MATCH(P$52,'Emission factors'!$K$2:$V$2,0)))*$I85)</f>
        <v/>
      </c>
      <c r="Q85" s="388" t="str" cm="1">
        <f t="array" ref="Q85">IF(OR($B85="",$G85="",ProjectWasteTable[[#This Row],[Converted data]]=""),"",(INDEX('Emission factors'!$K$3:$V$381,MATCH($B85&amp;$C85,'Emission factors'!$K$3:$K$381&amp;'Emission factors'!$L$3:$L$381,0),MATCH(Q$52,'Emission factors'!$K$2:$V$2,0)))*$I85)</f>
        <v/>
      </c>
      <c r="R85" s="388" t="str" cm="1">
        <f t="array" ref="R85">IF(OR($B85="",$G85="",ProjectWasteTable[[#This Row],[Converted data]]=""),"",(INDEX('Emission factors'!$K$3:$V$381,MATCH($B85&amp;$C85,'Emission factors'!$K$3:$K$381&amp;'Emission factors'!$L$3:$L$381,0),MATCH(R$52,'Emission factors'!$K$2:$V$2,0)))*$I85)</f>
        <v/>
      </c>
      <c r="S85" s="388" t="str" cm="1">
        <f t="array" ref="S85">IF(OR($B85="",$G85="",ProjectWasteTable[[#This Row],[Converted data]]=""),"",(INDEX('Emission factors'!$K$3:$V$381,MATCH($B85&amp;$C85,'Emission factors'!$K$3:$K$381&amp;'Emission factors'!$L$3:$L$381,0),MATCH(S$52,'Emission factors'!$K$2:$V$2,0)))*$I85)</f>
        <v/>
      </c>
      <c r="T85" s="392" t="str">
        <f>IF(OR(ProjectWasteTable[[#This Row],[RSD]]="",ProjectWasteTable[[#This Row],[Total emissions]]=""),"",ProjectWasteTable[[#This Row],[Total emissions]]*(1+ProjectWasteTable[[#This Row],[RSD]]))</f>
        <v/>
      </c>
      <c r="U85" s="393" t="str">
        <f>IF(OR(ProjectWasteTable[[#This Row],[RSD]]="",ProjectWasteTable[[#This Row],[Total emissions]]=""), "",ProjectWasteTable[[#This Row],[Total emissions]]*(1-ProjectWasteTable[[#This Row],[RSD]]))</f>
        <v/>
      </c>
      <c r="V85" s="394" t="str" cm="1">
        <f t="array" ref="V85">IF(OR($B85="",$G85="",ProjectWasteTable[[#This Row],[Converted data]]=""),"",(INDEX('Emission factors'!$K$3:$V$381,MATCH($B85&amp;$C85,'Emission factors'!$K$3:$K$381&amp;'Emission factors'!$L$3:$L$381,0),MATCH(V$52,'Emission factors'!$K$2:$V$2,0)))*$I85)</f>
        <v/>
      </c>
      <c r="W85" s="351"/>
      <c r="X85" s="1" cm="1">
        <f t="array" ref="X85">IF(OR(ISERROR(B85:V85)),1,0)</f>
        <v>0</v>
      </c>
      <c r="Y85" s="1">
        <f t="shared" ref="Y85:Y105" si="3">IF(AND(C85="",G85="",H85=""),0,1)</f>
        <v>0</v>
      </c>
    </row>
    <row r="86" spans="2:25" ht="15" thickBot="1" x14ac:dyDescent="0.4">
      <c r="B86" s="100"/>
      <c r="C86" s="101"/>
      <c r="D86" s="6"/>
      <c r="E86" s="101"/>
      <c r="F86" s="352" t="str">
        <f>IF(E86="","",INDEX(Methodologytier,MATCH(B$82,Lists!$AZ$4:$AZ$32,0),MATCH(E86,Lists!$BA$3:$BC$3,0)))</f>
        <v/>
      </c>
      <c r="G86" s="70"/>
      <c r="H86" s="101"/>
      <c r="I86" s="333" t="str" cm="1">
        <f t="array" ref="I86">IF(OR($B86="",$C86="",H86=""),"",IF(H86=J86,G86,(INDEX('Emission factors'!$K$3:$V$381,MATCH($B86&amp;$C86,'Emission factors'!$K$3:$K$381&amp;'Emission factors'!$L$3:$L$381,0),MATCH($I$52,'Emission factors'!$K$2:$V$2,0)))*G86))</f>
        <v/>
      </c>
      <c r="J86" s="332" t="str" cm="1">
        <f t="array" ref="J86">IF(OR($B86="",$C86="",ProjectWasteTable[[#Headers],[Units]]=""),"",INDEX('Emission factors'!$K$3:$V$381,MATCH($B86&amp;$C86,'Emission factors'!$K$3:$K$381&amp;'Emission factors'!$L$3:$L$381,0),MATCH($J$83,'Emission factors'!$K$2:$V$2,0)))</f>
        <v/>
      </c>
      <c r="K86" s="332" t="str" cm="1">
        <f t="array" ref="K86">IF(OR(B86="",C86="",ProjectWasteTable[[#This Row],[Data]]=""),"",INDEX('Emission factors'!$K$3:$V$381,MATCH($B86&amp;$C86,'Emission factors'!$K$3:$K$381&amp;'Emission factors'!$L$3:$L$381,0),MATCH($K$52,'Emission factors'!$K$2:$V$2,0)))</f>
        <v/>
      </c>
      <c r="L86" s="333">
        <f>SUM(ProjectWasteTable[[#This Row],[Direct]:[Indirect WTT]])</f>
        <v>0</v>
      </c>
      <c r="M86" s="103"/>
      <c r="N86" s="101"/>
      <c r="O86" s="388" t="str" cm="1">
        <f t="array" ref="O86">IF(OR($B86="",$G86="",ProjectWasteTable[Converted data]=""),"",(INDEX('Emission factors'!$K$3:$V$381,MATCH($B86&amp;$C86,'Emission factors'!$K$3:$K$381&amp;'Emission factors'!$L$3:$L$381,0),MATCH(O$52,'Emission factors'!$K$2:$V$2,0)))*$I86)</f>
        <v/>
      </c>
      <c r="P86" s="388" t="str" cm="1">
        <f t="array" ref="P86">IF(OR($B86="",$G86="",ProjectWasteTable[[#This Row],[Converted data]]=""),"",(INDEX('Emission factors'!$K$3:$V$381,MATCH($B86&amp;$C86,'Emission factors'!$K$3:$K$381&amp;'Emission factors'!$L$3:$L$381,0),MATCH(P$52,'Emission factors'!$K$2:$V$2,0)))*$I86)</f>
        <v/>
      </c>
      <c r="Q86" s="388" t="str" cm="1">
        <f t="array" ref="Q86">IF(OR($B86="",$G86="",ProjectWasteTable[[#This Row],[Converted data]]=""),"",(INDEX('Emission factors'!$K$3:$V$381,MATCH($B86&amp;$C86,'Emission factors'!$K$3:$K$381&amp;'Emission factors'!$L$3:$L$381,0),MATCH(Q$52,'Emission factors'!$K$2:$V$2,0)))*$I86)</f>
        <v/>
      </c>
      <c r="R86" s="388" t="str" cm="1">
        <f t="array" ref="R86">IF(OR($B86="",$G86="",ProjectWasteTable[[#This Row],[Converted data]]=""),"",(INDEX('Emission factors'!$K$3:$V$381,MATCH($B86&amp;$C86,'Emission factors'!$K$3:$K$381&amp;'Emission factors'!$L$3:$L$381,0),MATCH(R$52,'Emission factors'!$K$2:$V$2,0)))*$I86)</f>
        <v/>
      </c>
      <c r="S86" s="388" t="str" cm="1">
        <f t="array" ref="S86">IF(OR($B86="",$G86="",ProjectWasteTable[[#This Row],[Converted data]]=""),"",(INDEX('Emission factors'!$K$3:$V$381,MATCH($B86&amp;$C86,'Emission factors'!$K$3:$K$381&amp;'Emission factors'!$L$3:$L$381,0),MATCH(S$52,'Emission factors'!$K$2:$V$2,0)))*$I86)</f>
        <v/>
      </c>
      <c r="T86" s="392" t="str">
        <f>IF(OR(ProjectWasteTable[[#This Row],[RSD]]="",ProjectWasteTable[[#This Row],[Total emissions]]=""),"",ProjectWasteTable[[#This Row],[Total emissions]]*(1+ProjectWasteTable[[#This Row],[RSD]]))</f>
        <v/>
      </c>
      <c r="U86" s="393" t="str">
        <f>IF(OR(ProjectWasteTable[[#This Row],[RSD]]="",ProjectWasteTable[[#This Row],[Total emissions]]=""), "",ProjectWasteTable[[#This Row],[Total emissions]]*(1-ProjectWasteTable[[#This Row],[RSD]]))</f>
        <v/>
      </c>
      <c r="V86" s="394" t="str" cm="1">
        <f t="array" ref="V86">IF(OR($B86="",$G86="",ProjectWasteTable[[#This Row],[Converted data]]=""),"",(INDEX('Emission factors'!$K$3:$V$381,MATCH($B86&amp;$C86,'Emission factors'!$K$3:$K$381&amp;'Emission factors'!$L$3:$L$381,0),MATCH(V$52,'Emission factors'!$K$2:$V$2,0)))*$I86)</f>
        <v/>
      </c>
      <c r="W86" s="351"/>
      <c r="X86" s="1" cm="1">
        <f t="array" ref="X86">IF(OR(ISERROR(B86:V86)),1,0)</f>
        <v>0</v>
      </c>
      <c r="Y86" s="1">
        <f t="shared" si="3"/>
        <v>0</v>
      </c>
    </row>
    <row r="87" spans="2:25" ht="15" thickBot="1" x14ac:dyDescent="0.4">
      <c r="B87" s="100"/>
      <c r="C87" s="101"/>
      <c r="D87" s="6"/>
      <c r="E87" s="101"/>
      <c r="F87" s="352" t="str">
        <f>IF(E87="","",INDEX(Methodologytier,MATCH(B$82,Lists!$AZ$4:$AZ$32,0),MATCH(E87,Lists!$BA$3:$BC$3,0)))</f>
        <v/>
      </c>
      <c r="G87" s="70"/>
      <c r="H87" s="101"/>
      <c r="I87" s="333" t="str" cm="1">
        <f t="array" ref="I87">IF(OR($B87="",$C87="",H87=""),"",IF(H87=J87,G87,(INDEX('Emission factors'!$K$3:$V$381,MATCH($B87&amp;$C87,'Emission factors'!$K$3:$K$381&amp;'Emission factors'!$L$3:$L$381,0),MATCH($I$52,'Emission factors'!$K$2:$V$2,0)))*G87))</f>
        <v/>
      </c>
      <c r="J87" s="332" t="str" cm="1">
        <f t="array" ref="J87">IF(OR($B87="",$C87="",ProjectWasteTable[[#Headers],[Units]]=""),"",INDEX('Emission factors'!$K$3:$V$381,MATCH($B87&amp;$C87,'Emission factors'!$K$3:$K$381&amp;'Emission factors'!$L$3:$L$381,0),MATCH($J$83,'Emission factors'!$K$2:$V$2,0)))</f>
        <v/>
      </c>
      <c r="K87" s="332" t="str" cm="1">
        <f t="array" ref="K87">IF(OR(B87="",C87="",ProjectWasteTable[[#This Row],[Data]]=""),"",INDEX('Emission factors'!$K$3:$V$381,MATCH($B87&amp;$C87,'Emission factors'!$K$3:$K$381&amp;'Emission factors'!$L$3:$L$381,0),MATCH($K$52,'Emission factors'!$K$2:$V$2,0)))</f>
        <v/>
      </c>
      <c r="L87" s="333">
        <f>SUM(ProjectWasteTable[[#This Row],[Direct]:[Indirect WTT]])</f>
        <v>0</v>
      </c>
      <c r="M87" s="103"/>
      <c r="N87" s="101"/>
      <c r="O87" s="388" t="str" cm="1">
        <f t="array" ref="O87">IF(OR($B87="",$G87="",ProjectWasteTable[Converted data]=""),"",(INDEX('Emission factors'!$K$3:$V$381,MATCH($B87&amp;$C87,'Emission factors'!$K$3:$K$381&amp;'Emission factors'!$L$3:$L$381,0),MATCH(O$52,'Emission factors'!$K$2:$V$2,0)))*$I87)</f>
        <v/>
      </c>
      <c r="P87" s="388" t="str" cm="1">
        <f t="array" ref="P87">IF(OR($B87="",$G87="",ProjectWasteTable[[#This Row],[Converted data]]=""),"",(INDEX('Emission factors'!$K$3:$V$381,MATCH($B87&amp;$C87,'Emission factors'!$K$3:$K$381&amp;'Emission factors'!$L$3:$L$381,0),MATCH(P$52,'Emission factors'!$K$2:$V$2,0)))*$I87)</f>
        <v/>
      </c>
      <c r="Q87" s="388" t="str" cm="1">
        <f t="array" ref="Q87">IF(OR($B87="",$G87="",ProjectWasteTable[[#This Row],[Converted data]]=""),"",(INDEX('Emission factors'!$K$3:$V$381,MATCH($B87&amp;$C87,'Emission factors'!$K$3:$K$381&amp;'Emission factors'!$L$3:$L$381,0),MATCH(Q$52,'Emission factors'!$K$2:$V$2,0)))*$I87)</f>
        <v/>
      </c>
      <c r="R87" s="388" t="str" cm="1">
        <f t="array" ref="R87">IF(OR($B87="",$G87="",ProjectWasteTable[[#This Row],[Converted data]]=""),"",(INDEX('Emission factors'!$K$3:$V$381,MATCH($B87&amp;$C87,'Emission factors'!$K$3:$K$381&amp;'Emission factors'!$L$3:$L$381,0),MATCH(R$52,'Emission factors'!$K$2:$V$2,0)))*$I87)</f>
        <v/>
      </c>
      <c r="S87" s="388" t="str" cm="1">
        <f t="array" ref="S87">IF(OR($B87="",$G87="",ProjectWasteTable[[#This Row],[Converted data]]=""),"",(INDEX('Emission factors'!$K$3:$V$381,MATCH($B87&amp;$C87,'Emission factors'!$K$3:$K$381&amp;'Emission factors'!$L$3:$L$381,0),MATCH(S$52,'Emission factors'!$K$2:$V$2,0)))*$I87)</f>
        <v/>
      </c>
      <c r="T87" s="392" t="str">
        <f>IF(OR(ProjectWasteTable[[#This Row],[RSD]]="",ProjectWasteTable[[#This Row],[Total emissions]]=""),"",ProjectWasteTable[[#This Row],[Total emissions]]*(1+ProjectWasteTable[[#This Row],[RSD]]))</f>
        <v/>
      </c>
      <c r="U87" s="393" t="str">
        <f>IF(OR(ProjectWasteTable[[#This Row],[RSD]]="",ProjectWasteTable[[#This Row],[Total emissions]]=""), "",ProjectWasteTable[[#This Row],[Total emissions]]*(1-ProjectWasteTable[[#This Row],[RSD]]))</f>
        <v/>
      </c>
      <c r="V87" s="394" t="str" cm="1">
        <f t="array" ref="V87">IF(OR($B87="",$G87="",ProjectWasteTable[[#This Row],[Converted data]]=""),"",(INDEX('Emission factors'!$K$3:$V$381,MATCH($B87&amp;$C87,'Emission factors'!$K$3:$K$381&amp;'Emission factors'!$L$3:$L$381,0),MATCH(V$52,'Emission factors'!$K$2:$V$2,0)))*$I87)</f>
        <v/>
      </c>
      <c r="W87" s="351"/>
      <c r="X87" s="1" cm="1">
        <f t="array" ref="X87">IF(OR(ISERROR(B87:V87)),1,0)</f>
        <v>0</v>
      </c>
      <c r="Y87" s="1">
        <f t="shared" si="3"/>
        <v>0</v>
      </c>
    </row>
    <row r="88" spans="2:25" ht="15" thickBot="1" x14ac:dyDescent="0.4">
      <c r="B88" s="100"/>
      <c r="C88" s="101"/>
      <c r="D88" s="6"/>
      <c r="E88" s="101"/>
      <c r="F88" s="352" t="str">
        <f>IF(E88="","",INDEX(Methodologytier,MATCH(B$82,Lists!$AZ$4:$AZ$32,0),MATCH(E88,Lists!$BA$3:$BC$3,0)))</f>
        <v/>
      </c>
      <c r="G88" s="70"/>
      <c r="H88" s="101"/>
      <c r="I88" s="333" t="str" cm="1">
        <f t="array" ref="I88">IF(OR($B88="",$C88="",H88=""),"",IF(H88=J88,G88,(INDEX('Emission factors'!$K$3:$V$381,MATCH($B88&amp;$C88,'Emission factors'!$K$3:$K$381&amp;'Emission factors'!$L$3:$L$381,0),MATCH($I$52,'Emission factors'!$K$2:$V$2,0)))*G88))</f>
        <v/>
      </c>
      <c r="J88" s="332" t="str" cm="1">
        <f t="array" ref="J88">IF(OR($B88="",$C88="",ProjectWasteTable[[#Headers],[Units]]=""),"",INDEX('Emission factors'!$K$3:$V$381,MATCH($B88&amp;$C88,'Emission factors'!$K$3:$K$381&amp;'Emission factors'!$L$3:$L$381,0),MATCH($J$83,'Emission factors'!$K$2:$V$2,0)))</f>
        <v/>
      </c>
      <c r="K88" s="332" t="str" cm="1">
        <f t="array" ref="K88">IF(OR(B88="",C88="",ProjectWasteTable[[#This Row],[Data]]=""),"",INDEX('Emission factors'!$K$3:$V$381,MATCH($B88&amp;$C88,'Emission factors'!$K$3:$K$381&amp;'Emission factors'!$L$3:$L$381,0),MATCH($K$52,'Emission factors'!$K$2:$V$2,0)))</f>
        <v/>
      </c>
      <c r="L88" s="333">
        <f>SUM(ProjectWasteTable[[#This Row],[Direct]:[Indirect WTT]])</f>
        <v>0</v>
      </c>
      <c r="M88" s="103"/>
      <c r="N88" s="101"/>
      <c r="O88" s="388" t="str" cm="1">
        <f t="array" ref="O88">IF(OR($B88="",$G88="",ProjectWasteTable[Converted data]=""),"",(INDEX('Emission factors'!$K$3:$V$381,MATCH($B88&amp;$C88,'Emission factors'!$K$3:$K$381&amp;'Emission factors'!$L$3:$L$381,0),MATCH(O$52,'Emission factors'!$K$2:$V$2,0)))*$I88)</f>
        <v/>
      </c>
      <c r="P88" s="388" t="str" cm="1">
        <f t="array" ref="P88">IF(OR($B88="",$G88="",ProjectWasteTable[[#This Row],[Converted data]]=""),"",(INDEX('Emission factors'!$K$3:$V$381,MATCH($B88&amp;$C88,'Emission factors'!$K$3:$K$381&amp;'Emission factors'!$L$3:$L$381,0),MATCH(P$52,'Emission factors'!$K$2:$V$2,0)))*$I88)</f>
        <v/>
      </c>
      <c r="Q88" s="388" t="str" cm="1">
        <f t="array" ref="Q88">IF(OR($B88="",$G88="",ProjectWasteTable[[#This Row],[Converted data]]=""),"",(INDEX('Emission factors'!$K$3:$V$381,MATCH($B88&amp;$C88,'Emission factors'!$K$3:$K$381&amp;'Emission factors'!$L$3:$L$381,0),MATCH(Q$52,'Emission factors'!$K$2:$V$2,0)))*$I88)</f>
        <v/>
      </c>
      <c r="R88" s="388" t="str" cm="1">
        <f t="array" ref="R88">IF(OR($B88="",$G88="",ProjectWasteTable[[#This Row],[Converted data]]=""),"",(INDEX('Emission factors'!$K$3:$V$381,MATCH($B88&amp;$C88,'Emission factors'!$K$3:$K$381&amp;'Emission factors'!$L$3:$L$381,0),MATCH(R$52,'Emission factors'!$K$2:$V$2,0)))*$I88)</f>
        <v/>
      </c>
      <c r="S88" s="388" t="str" cm="1">
        <f t="array" ref="S88">IF(OR($B88="",$G88="",ProjectWasteTable[[#This Row],[Converted data]]=""),"",(INDEX('Emission factors'!$K$3:$V$381,MATCH($B88&amp;$C88,'Emission factors'!$K$3:$K$381&amp;'Emission factors'!$L$3:$L$381,0),MATCH(S$52,'Emission factors'!$K$2:$V$2,0)))*$I88)</f>
        <v/>
      </c>
      <c r="T88" s="392" t="str">
        <f>IF(OR(ProjectWasteTable[[#This Row],[RSD]]="",ProjectWasteTable[[#This Row],[Total emissions]]=""),"",ProjectWasteTable[[#This Row],[Total emissions]]*(1+ProjectWasteTable[[#This Row],[RSD]]))</f>
        <v/>
      </c>
      <c r="U88" s="393" t="str">
        <f>IF(OR(ProjectWasteTable[[#This Row],[RSD]]="",ProjectWasteTable[[#This Row],[Total emissions]]=""), "",ProjectWasteTable[[#This Row],[Total emissions]]*(1-ProjectWasteTable[[#This Row],[RSD]]))</f>
        <v/>
      </c>
      <c r="V88" s="394" t="str" cm="1">
        <f t="array" ref="V88">IF(OR($B88="",$G88="",ProjectWasteTable[[#This Row],[Converted data]]=""),"",(INDEX('Emission factors'!$K$3:$V$381,MATCH($B88&amp;$C88,'Emission factors'!$K$3:$K$381&amp;'Emission factors'!$L$3:$L$381,0),MATCH(V$52,'Emission factors'!$K$2:$V$2,0)))*$I88)</f>
        <v/>
      </c>
      <c r="W88" s="351"/>
      <c r="X88" s="1" cm="1">
        <f t="array" ref="X88">IF(OR(ISERROR(B88:V88)),1,0)</f>
        <v>0</v>
      </c>
      <c r="Y88" s="1">
        <f t="shared" si="3"/>
        <v>0</v>
      </c>
    </row>
    <row r="89" spans="2:25" ht="15" thickBot="1" x14ac:dyDescent="0.4">
      <c r="B89" s="100"/>
      <c r="C89" s="101"/>
      <c r="D89" s="6"/>
      <c r="E89" s="101"/>
      <c r="F89" s="352" t="str">
        <f>IF(E89="","",INDEX(Methodologytier,MATCH(B$82,Lists!$AZ$4:$AZ$32,0),MATCH(E89,Lists!$BA$3:$BC$3,0)))</f>
        <v/>
      </c>
      <c r="G89" s="70"/>
      <c r="H89" s="101"/>
      <c r="I89" s="333" t="str" cm="1">
        <f t="array" ref="I89">IF(OR($B89="",$C89="",H89=""),"",IF(H89=J89,G89,(INDEX('Emission factors'!$K$3:$V$381,MATCH($B89&amp;$C89,'Emission factors'!$K$3:$K$381&amp;'Emission factors'!$L$3:$L$381,0),MATCH($I$52,'Emission factors'!$K$2:$V$2,0)))*G89))</f>
        <v/>
      </c>
      <c r="J89" s="332" t="str" cm="1">
        <f t="array" ref="J89">IF(OR($B89="",$C89="",ProjectWasteTable[[#Headers],[Units]]=""),"",INDEX('Emission factors'!$K$3:$V$381,MATCH($B89&amp;$C89,'Emission factors'!$K$3:$K$381&amp;'Emission factors'!$L$3:$L$381,0),MATCH($J$83,'Emission factors'!$K$2:$V$2,0)))</f>
        <v/>
      </c>
      <c r="K89" s="332" t="str" cm="1">
        <f t="array" ref="K89">IF(OR(B89="",C89="",ProjectWasteTable[[#This Row],[Data]]=""),"",INDEX('Emission factors'!$K$3:$V$381,MATCH($B89&amp;$C89,'Emission factors'!$K$3:$K$381&amp;'Emission factors'!$L$3:$L$381,0),MATCH($K$52,'Emission factors'!$K$2:$V$2,0)))</f>
        <v/>
      </c>
      <c r="L89" s="333">
        <f>SUM(ProjectWasteTable[[#This Row],[Direct]:[Indirect WTT]])</f>
        <v>0</v>
      </c>
      <c r="M89" s="103"/>
      <c r="N89" s="101"/>
      <c r="O89" s="388" t="str" cm="1">
        <f t="array" ref="O89">IF(OR($B89="",$G89="",ProjectWasteTable[Converted data]=""),"",(INDEX('Emission factors'!$K$3:$V$381,MATCH($B89&amp;$C89,'Emission factors'!$K$3:$K$381&amp;'Emission factors'!$L$3:$L$381,0),MATCH(O$52,'Emission factors'!$K$2:$V$2,0)))*$I89)</f>
        <v/>
      </c>
      <c r="P89" s="388" t="str" cm="1">
        <f t="array" ref="P89">IF(OR($B89="",$G89="",ProjectWasteTable[[#This Row],[Converted data]]=""),"",(INDEX('Emission factors'!$K$3:$V$381,MATCH($B89&amp;$C89,'Emission factors'!$K$3:$K$381&amp;'Emission factors'!$L$3:$L$381,0),MATCH(P$52,'Emission factors'!$K$2:$V$2,0)))*$I89)</f>
        <v/>
      </c>
      <c r="Q89" s="388" t="str" cm="1">
        <f t="array" ref="Q89">IF(OR($B89="",$G89="",ProjectWasteTable[[#This Row],[Converted data]]=""),"",(INDEX('Emission factors'!$K$3:$V$381,MATCH($B89&amp;$C89,'Emission factors'!$K$3:$K$381&amp;'Emission factors'!$L$3:$L$381,0),MATCH(Q$52,'Emission factors'!$K$2:$V$2,0)))*$I89)</f>
        <v/>
      </c>
      <c r="R89" s="388" t="str" cm="1">
        <f t="array" ref="R89">IF(OR($B89="",$G89="",ProjectWasteTable[[#This Row],[Converted data]]=""),"",(INDEX('Emission factors'!$K$3:$V$381,MATCH($B89&amp;$C89,'Emission factors'!$K$3:$K$381&amp;'Emission factors'!$L$3:$L$381,0),MATCH(R$52,'Emission factors'!$K$2:$V$2,0)))*$I89)</f>
        <v/>
      </c>
      <c r="S89" s="388" t="str" cm="1">
        <f t="array" ref="S89">IF(OR($B89="",$G89="",ProjectWasteTable[[#This Row],[Converted data]]=""),"",(INDEX('Emission factors'!$K$3:$V$381,MATCH($B89&amp;$C89,'Emission factors'!$K$3:$K$381&amp;'Emission factors'!$L$3:$L$381,0),MATCH(S$52,'Emission factors'!$K$2:$V$2,0)))*$I89)</f>
        <v/>
      </c>
      <c r="T89" s="392" t="str">
        <f>IF(OR(ProjectWasteTable[[#This Row],[RSD]]="",ProjectWasteTable[[#This Row],[Total emissions]]=""),"",ProjectWasteTable[[#This Row],[Total emissions]]*(1+ProjectWasteTable[[#This Row],[RSD]]))</f>
        <v/>
      </c>
      <c r="U89" s="393" t="str">
        <f>IF(OR(ProjectWasteTable[[#This Row],[RSD]]="",ProjectWasteTable[[#This Row],[Total emissions]]=""), "",ProjectWasteTable[[#This Row],[Total emissions]]*(1-ProjectWasteTable[[#This Row],[RSD]]))</f>
        <v/>
      </c>
      <c r="V89" s="394" t="str" cm="1">
        <f t="array" ref="V89">IF(OR($B89="",$G89="",ProjectWasteTable[[#This Row],[Converted data]]=""),"",(INDEX('Emission factors'!$K$3:$V$381,MATCH($B89&amp;$C89,'Emission factors'!$K$3:$K$381&amp;'Emission factors'!$L$3:$L$381,0),MATCH(V$52,'Emission factors'!$K$2:$V$2,0)))*$I89)</f>
        <v/>
      </c>
      <c r="W89" s="351"/>
      <c r="X89" s="1" cm="1">
        <f t="array" ref="X89">IF(OR(ISERROR(B89:V89)),1,0)</f>
        <v>0</v>
      </c>
      <c r="Y89" s="1">
        <f t="shared" si="3"/>
        <v>0</v>
      </c>
    </row>
    <row r="90" spans="2:25" ht="15" thickBot="1" x14ac:dyDescent="0.4">
      <c r="B90" s="100"/>
      <c r="C90" s="101"/>
      <c r="D90" s="6"/>
      <c r="E90" s="101"/>
      <c r="F90" s="352" t="str">
        <f>IF(E90="","",INDEX(Methodologytier,MATCH(B$82,Lists!$AZ$4:$AZ$32,0),MATCH(E90,Lists!$BA$3:$BC$3,0)))</f>
        <v/>
      </c>
      <c r="G90" s="70"/>
      <c r="H90" s="101"/>
      <c r="I90" s="333" t="str" cm="1">
        <f t="array" ref="I90">IF(OR($B90="",$C90="",H90=""),"",IF(H90=J90,G90,(INDEX('Emission factors'!$K$3:$V$381,MATCH($B90&amp;$C90,'Emission factors'!$K$3:$K$381&amp;'Emission factors'!$L$3:$L$381,0),MATCH($I$52,'Emission factors'!$K$2:$V$2,0)))*G90))</f>
        <v/>
      </c>
      <c r="J90" s="332" t="str" cm="1">
        <f t="array" ref="J90">IF(OR($B90="",$C90="",ProjectWasteTable[[#Headers],[Units]]=""),"",INDEX('Emission factors'!$K$3:$V$381,MATCH($B90&amp;$C90,'Emission factors'!$K$3:$K$381&amp;'Emission factors'!$L$3:$L$381,0),MATCH($J$83,'Emission factors'!$K$2:$V$2,0)))</f>
        <v/>
      </c>
      <c r="K90" s="332" t="str" cm="1">
        <f t="array" ref="K90">IF(OR(B90="",C90="",ProjectWasteTable[[#This Row],[Data]]=""),"",INDEX('Emission factors'!$K$3:$V$381,MATCH($B90&amp;$C90,'Emission factors'!$K$3:$K$381&amp;'Emission factors'!$L$3:$L$381,0),MATCH($K$52,'Emission factors'!$K$2:$V$2,0)))</f>
        <v/>
      </c>
      <c r="L90" s="333">
        <f>SUM(ProjectWasteTable[[#This Row],[Direct]:[Indirect WTT]])</f>
        <v>0</v>
      </c>
      <c r="M90" s="103"/>
      <c r="N90" s="101"/>
      <c r="O90" s="388" t="str" cm="1">
        <f t="array" ref="O90">IF(OR($B90="",$G90="",ProjectWasteTable[Converted data]=""),"",(INDEX('Emission factors'!$K$3:$V$381,MATCH($B90&amp;$C90,'Emission factors'!$K$3:$K$381&amp;'Emission factors'!$L$3:$L$381,0),MATCH(O$52,'Emission factors'!$K$2:$V$2,0)))*$I90)</f>
        <v/>
      </c>
      <c r="P90" s="388" t="str" cm="1">
        <f t="array" ref="P90">IF(OR($B90="",$G90="",ProjectWasteTable[[#This Row],[Converted data]]=""),"",(INDEX('Emission factors'!$K$3:$V$381,MATCH($B90&amp;$C90,'Emission factors'!$K$3:$K$381&amp;'Emission factors'!$L$3:$L$381,0),MATCH(P$52,'Emission factors'!$K$2:$V$2,0)))*$I90)</f>
        <v/>
      </c>
      <c r="Q90" s="388" t="str" cm="1">
        <f t="array" ref="Q90">IF(OR($B90="",$G90="",ProjectWasteTable[[#This Row],[Converted data]]=""),"",(INDEX('Emission factors'!$K$3:$V$381,MATCH($B90&amp;$C90,'Emission factors'!$K$3:$K$381&amp;'Emission factors'!$L$3:$L$381,0),MATCH(Q$52,'Emission factors'!$K$2:$V$2,0)))*$I90)</f>
        <v/>
      </c>
      <c r="R90" s="388" t="str" cm="1">
        <f t="array" ref="R90">IF(OR($B90="",$G90="",ProjectWasteTable[[#This Row],[Converted data]]=""),"",(INDEX('Emission factors'!$K$3:$V$381,MATCH($B90&amp;$C90,'Emission factors'!$K$3:$K$381&amp;'Emission factors'!$L$3:$L$381,0),MATCH(R$52,'Emission factors'!$K$2:$V$2,0)))*$I90)</f>
        <v/>
      </c>
      <c r="S90" s="388" t="str" cm="1">
        <f t="array" ref="S90">IF(OR($B90="",$G90="",ProjectWasteTable[[#This Row],[Converted data]]=""),"",(INDEX('Emission factors'!$K$3:$V$381,MATCH($B90&amp;$C90,'Emission factors'!$K$3:$K$381&amp;'Emission factors'!$L$3:$L$381,0),MATCH(S$52,'Emission factors'!$K$2:$V$2,0)))*$I90)</f>
        <v/>
      </c>
      <c r="T90" s="389" t="str">
        <f>IF(OR(ProjectWasteTable[[#This Row],[RSD]]="",ProjectWasteTable[[#This Row],[Total emissions]]=""),"",ProjectWasteTable[[#This Row],[Total emissions]]*(1+ProjectWasteTable[[#This Row],[RSD]]))</f>
        <v/>
      </c>
      <c r="U90" s="393" t="str">
        <f>IF(OR(ProjectWasteTable[[#This Row],[RSD]]="",ProjectWasteTable[[#This Row],[Total emissions]]=""), "",ProjectWasteTable[[#This Row],[Total emissions]]*(1-ProjectWasteTable[[#This Row],[RSD]]))</f>
        <v/>
      </c>
      <c r="V90" s="394" t="str" cm="1">
        <f t="array" ref="V90">IF(OR($B90="",$G90="",ProjectWasteTable[[#This Row],[Converted data]]=""),"",(INDEX('Emission factors'!$K$3:$V$381,MATCH($B90&amp;$C90,'Emission factors'!$K$3:$K$381&amp;'Emission factors'!$L$3:$L$381,0),MATCH(V$52,'Emission factors'!$K$2:$V$2,0)))*$I90)</f>
        <v/>
      </c>
      <c r="W90" s="351"/>
      <c r="X90" s="1" cm="1">
        <f t="array" ref="X90">IF(OR(ISERROR(B90:V90)),1,0)</f>
        <v>0</v>
      </c>
      <c r="Y90" s="1">
        <f t="shared" si="3"/>
        <v>0</v>
      </c>
    </row>
    <row r="91" spans="2:25" ht="15" thickBot="1" x14ac:dyDescent="0.4">
      <c r="B91" s="100"/>
      <c r="C91" s="101"/>
      <c r="D91" s="6"/>
      <c r="E91" s="101"/>
      <c r="F91" s="352" t="str">
        <f>IF(E91="","",INDEX(Methodologytier,MATCH(B$82,Lists!$AZ$4:$AZ$32,0),MATCH(E91,Lists!$BA$3:$BC$3,0)))</f>
        <v/>
      </c>
      <c r="G91" s="70"/>
      <c r="H91" s="101"/>
      <c r="I91" s="333" t="str" cm="1">
        <f t="array" ref="I91">IF(OR($B91="",$C91="",H91=""),"",IF(H91=J91,G91,(INDEX('Emission factors'!$K$3:$V$381,MATCH($B91&amp;$C91,'Emission factors'!$K$3:$K$381&amp;'Emission factors'!$L$3:$L$381,0),MATCH($I$52,'Emission factors'!$K$2:$V$2,0)))*G91))</f>
        <v/>
      </c>
      <c r="J91" s="332" t="str" cm="1">
        <f t="array" ref="J91">IF(OR($B91="",$C91="",ProjectWasteTable[[#Headers],[Units]]=""),"",INDEX('Emission factors'!$K$3:$V$381,MATCH($B91&amp;$C91,'Emission factors'!$K$3:$K$381&amp;'Emission factors'!$L$3:$L$381,0),MATCH($J$83,'Emission factors'!$K$2:$V$2,0)))</f>
        <v/>
      </c>
      <c r="K91" s="332" t="str" cm="1">
        <f t="array" ref="K91">IF(OR(B91="",C91="",ProjectWasteTable[[#This Row],[Data]]=""),"",INDEX('Emission factors'!$K$3:$V$381,MATCH($B91&amp;$C91,'Emission factors'!$K$3:$K$381&amp;'Emission factors'!$L$3:$L$381,0),MATCH($K$52,'Emission factors'!$K$2:$V$2,0)))</f>
        <v/>
      </c>
      <c r="L91" s="333">
        <f>SUM(ProjectWasteTable[[#This Row],[Direct]:[Indirect WTT]])</f>
        <v>0</v>
      </c>
      <c r="M91" s="103"/>
      <c r="N91" s="101"/>
      <c r="O91" s="388" t="str" cm="1">
        <f t="array" ref="O91">IF(OR($B91="",$G91="",ProjectWasteTable[Converted data]=""),"",(INDEX('Emission factors'!$K$3:$V$381,MATCH($B91&amp;$C91,'Emission factors'!$K$3:$K$381&amp;'Emission factors'!$L$3:$L$381,0),MATCH(O$52,'Emission factors'!$K$2:$V$2,0)))*$I91)</f>
        <v/>
      </c>
      <c r="P91" s="388" t="str" cm="1">
        <f t="array" ref="P91">IF(OR($B91="",$G91="",ProjectWasteTable[[#This Row],[Converted data]]=""),"",(INDEX('Emission factors'!$K$3:$V$381,MATCH($B91&amp;$C91,'Emission factors'!$K$3:$K$381&amp;'Emission factors'!$L$3:$L$381,0),MATCH(P$52,'Emission factors'!$K$2:$V$2,0)))*$I91)</f>
        <v/>
      </c>
      <c r="Q91" s="388" t="str" cm="1">
        <f t="array" ref="Q91">IF(OR($B91="",$G91="",ProjectWasteTable[[#This Row],[Converted data]]=""),"",(INDEX('Emission factors'!$K$3:$V$381,MATCH($B91&amp;$C91,'Emission factors'!$K$3:$K$381&amp;'Emission factors'!$L$3:$L$381,0),MATCH(Q$52,'Emission factors'!$K$2:$V$2,0)))*$I91)</f>
        <v/>
      </c>
      <c r="R91" s="388" t="str" cm="1">
        <f t="array" ref="R91">IF(OR($B91="",$G91="",ProjectWasteTable[[#This Row],[Converted data]]=""),"",(INDEX('Emission factors'!$K$3:$V$381,MATCH($B91&amp;$C91,'Emission factors'!$K$3:$K$381&amp;'Emission factors'!$L$3:$L$381,0),MATCH(R$52,'Emission factors'!$K$2:$V$2,0)))*$I91)</f>
        <v/>
      </c>
      <c r="S91" s="388" t="str" cm="1">
        <f t="array" ref="S91">IF(OR($B91="",$G91="",ProjectWasteTable[[#This Row],[Converted data]]=""),"",(INDEX('Emission factors'!$K$3:$V$381,MATCH($B91&amp;$C91,'Emission factors'!$K$3:$K$381&amp;'Emission factors'!$L$3:$L$381,0),MATCH(S$52,'Emission factors'!$K$2:$V$2,0)))*$I91)</f>
        <v/>
      </c>
      <c r="T91" s="389" t="str">
        <f>IF(OR(ProjectWasteTable[[#This Row],[RSD]]="",ProjectWasteTable[[#This Row],[Total emissions]]=""),"",ProjectWasteTable[[#This Row],[Total emissions]]*(1+ProjectWasteTable[[#This Row],[RSD]]))</f>
        <v/>
      </c>
      <c r="U91" s="393" t="str">
        <f>IF(OR(ProjectWasteTable[[#This Row],[RSD]]="",ProjectWasteTable[[#This Row],[Total emissions]]=""), "",ProjectWasteTable[[#This Row],[Total emissions]]*(1-ProjectWasteTable[[#This Row],[RSD]]))</f>
        <v/>
      </c>
      <c r="V91" s="394" t="str" cm="1">
        <f t="array" ref="V91">IF(OR($B91="",$G91="",ProjectWasteTable[[#This Row],[Converted data]]=""),"",(INDEX('Emission factors'!$K$3:$V$381,MATCH($B91&amp;$C91,'Emission factors'!$K$3:$K$381&amp;'Emission factors'!$L$3:$L$381,0),MATCH(V$52,'Emission factors'!$K$2:$V$2,0)))*$I91)</f>
        <v/>
      </c>
      <c r="W91" s="351"/>
      <c r="X91" s="1" cm="1">
        <f t="array" ref="X91">IF(OR(ISERROR(B91:V91)),1,0)</f>
        <v>0</v>
      </c>
      <c r="Y91" s="1">
        <f t="shared" si="3"/>
        <v>0</v>
      </c>
    </row>
    <row r="92" spans="2:25" ht="15" thickBot="1" x14ac:dyDescent="0.4">
      <c r="B92" s="100"/>
      <c r="C92" s="101"/>
      <c r="D92" s="6"/>
      <c r="E92" s="101"/>
      <c r="F92" s="352" t="str">
        <f>IF(E92="","",INDEX(Methodologytier,MATCH(B$82,Lists!$AZ$4:$AZ$32,0),MATCH(E92,Lists!$BA$3:$BC$3,0)))</f>
        <v/>
      </c>
      <c r="G92" s="70"/>
      <c r="H92" s="101"/>
      <c r="I92" s="333" t="str" cm="1">
        <f t="array" ref="I92">IF(OR($B92="",$C92="",H92=""),"",IF(H92=J92,G92,(INDEX('Emission factors'!$K$3:$V$381,MATCH($B92&amp;$C92,'Emission factors'!$K$3:$K$381&amp;'Emission factors'!$L$3:$L$381,0),MATCH($I$52,'Emission factors'!$K$2:$V$2,0)))*G92))</f>
        <v/>
      </c>
      <c r="J92" s="332" t="str" cm="1">
        <f t="array" ref="J92">IF(OR($B92="",$C92="",ProjectWasteTable[[#Headers],[Units]]=""),"",INDEX('Emission factors'!$K$3:$V$381,MATCH($B92&amp;$C92,'Emission factors'!$K$3:$K$381&amp;'Emission factors'!$L$3:$L$381,0),MATCH($J$83,'Emission factors'!$K$2:$V$2,0)))</f>
        <v/>
      </c>
      <c r="K92" s="332" t="str" cm="1">
        <f t="array" ref="K92">IF(OR(B92="",C92="",ProjectWasteTable[[#This Row],[Data]]=""),"",INDEX('Emission factors'!$K$3:$V$381,MATCH($B92&amp;$C92,'Emission factors'!$K$3:$K$381&amp;'Emission factors'!$L$3:$L$381,0),MATCH($K$52,'Emission factors'!$K$2:$V$2,0)))</f>
        <v/>
      </c>
      <c r="L92" s="333">
        <f>SUM(ProjectWasteTable[[#This Row],[Direct]:[Indirect WTT]])</f>
        <v>0</v>
      </c>
      <c r="M92" s="103"/>
      <c r="N92" s="101"/>
      <c r="O92" s="388" t="str" cm="1">
        <f t="array" ref="O92">IF(OR($B92="",$G92="",ProjectWasteTable[Converted data]=""),"",(INDEX('Emission factors'!$K$3:$V$381,MATCH($B92&amp;$C92,'Emission factors'!$K$3:$K$381&amp;'Emission factors'!$L$3:$L$381,0),MATCH(O$52,'Emission factors'!$K$2:$V$2,0)))*$I92)</f>
        <v/>
      </c>
      <c r="P92" s="388" t="str" cm="1">
        <f t="array" ref="P92">IF(OR($B92="",$G92="",ProjectWasteTable[[#This Row],[Converted data]]=""),"",(INDEX('Emission factors'!$K$3:$V$381,MATCH($B92&amp;$C92,'Emission factors'!$K$3:$K$381&amp;'Emission factors'!$L$3:$L$381,0),MATCH(P$52,'Emission factors'!$K$2:$V$2,0)))*$I92)</f>
        <v/>
      </c>
      <c r="Q92" s="388" t="str" cm="1">
        <f t="array" ref="Q92">IF(OR($B92="",$G92="",ProjectWasteTable[[#This Row],[Converted data]]=""),"",(INDEX('Emission factors'!$K$3:$V$381,MATCH($B92&amp;$C92,'Emission factors'!$K$3:$K$381&amp;'Emission factors'!$L$3:$L$381,0),MATCH(Q$52,'Emission factors'!$K$2:$V$2,0)))*$I92)</f>
        <v/>
      </c>
      <c r="R92" s="388" t="str" cm="1">
        <f t="array" ref="R92">IF(OR($B92="",$G92="",ProjectWasteTable[[#This Row],[Converted data]]=""),"",(INDEX('Emission factors'!$K$3:$V$381,MATCH($B92&amp;$C92,'Emission factors'!$K$3:$K$381&amp;'Emission factors'!$L$3:$L$381,0),MATCH(R$52,'Emission factors'!$K$2:$V$2,0)))*$I92)</f>
        <v/>
      </c>
      <c r="S92" s="388" t="str" cm="1">
        <f t="array" ref="S92">IF(OR($B92="",$G92="",ProjectWasteTable[[#This Row],[Converted data]]=""),"",(INDEX('Emission factors'!$K$3:$V$381,MATCH($B92&amp;$C92,'Emission factors'!$K$3:$K$381&amp;'Emission factors'!$L$3:$L$381,0),MATCH(S$52,'Emission factors'!$K$2:$V$2,0)))*$I92)</f>
        <v/>
      </c>
      <c r="T92" s="389" t="str">
        <f>IF(OR(ProjectWasteTable[[#This Row],[RSD]]="",ProjectWasteTable[[#This Row],[Total emissions]]=""),"",ProjectWasteTable[[#This Row],[Total emissions]]*(1+ProjectWasteTable[[#This Row],[RSD]]))</f>
        <v/>
      </c>
      <c r="U92" s="393" t="str">
        <f>IF(OR(ProjectWasteTable[[#This Row],[RSD]]="",ProjectWasteTable[[#This Row],[Total emissions]]=""), "",ProjectWasteTable[[#This Row],[Total emissions]]*(1-ProjectWasteTable[[#This Row],[RSD]]))</f>
        <v/>
      </c>
      <c r="V92" s="394" t="str" cm="1">
        <f t="array" ref="V92">IF(OR($B92="",$G92="",ProjectWasteTable[[#This Row],[Converted data]]=""),"",(INDEX('Emission factors'!$K$3:$V$381,MATCH($B92&amp;$C92,'Emission factors'!$K$3:$K$381&amp;'Emission factors'!$L$3:$L$381,0),MATCH(V$52,'Emission factors'!$K$2:$V$2,0)))*$I92)</f>
        <v/>
      </c>
      <c r="W92" s="351"/>
      <c r="X92" s="1" cm="1">
        <f t="array" ref="X92">IF(OR(ISERROR(B92:V92)),1,0)</f>
        <v>0</v>
      </c>
      <c r="Y92" s="1">
        <f t="shared" si="3"/>
        <v>0</v>
      </c>
    </row>
    <row r="93" spans="2:25" ht="15" thickBot="1" x14ac:dyDescent="0.4">
      <c r="B93" s="100"/>
      <c r="C93" s="101"/>
      <c r="D93" s="6"/>
      <c r="E93" s="101"/>
      <c r="F93" s="352" t="str">
        <f>IF(E93="","",INDEX(Methodologytier,MATCH(B$82,Lists!$AZ$4:$AZ$32,0),MATCH(E93,Lists!$BA$3:$BC$3,0)))</f>
        <v/>
      </c>
      <c r="G93" s="70"/>
      <c r="H93" s="101"/>
      <c r="I93" s="333" t="str" cm="1">
        <f t="array" ref="I93">IF(OR($B93="",$C93="",H93=""),"",IF(H93=J93,G93,(INDEX('Emission factors'!$K$3:$V$381,MATCH($B93&amp;$C93,'Emission factors'!$K$3:$K$381&amp;'Emission factors'!$L$3:$L$381,0),MATCH($I$52,'Emission factors'!$K$2:$V$2,0)))*G93))</f>
        <v/>
      </c>
      <c r="J93" s="332" t="str" cm="1">
        <f t="array" ref="J93">IF(OR($B93="",$C93="",ProjectWasteTable[[#Headers],[Units]]=""),"",INDEX('Emission factors'!$K$3:$V$381,MATCH($B93&amp;$C93,'Emission factors'!$K$3:$K$381&amp;'Emission factors'!$L$3:$L$381,0),MATCH($J$83,'Emission factors'!$K$2:$V$2,0)))</f>
        <v/>
      </c>
      <c r="K93" s="332" t="str" cm="1">
        <f t="array" ref="K93">IF(OR(B93="",C93="",ProjectWasteTable[[#This Row],[Data]]=""),"",INDEX('Emission factors'!$K$3:$V$381,MATCH($B93&amp;$C93,'Emission factors'!$K$3:$K$381&amp;'Emission factors'!$L$3:$L$381,0),MATCH($K$52,'Emission factors'!$K$2:$V$2,0)))</f>
        <v/>
      </c>
      <c r="L93" s="333">
        <f>SUM(ProjectWasteTable[[#This Row],[Direct]:[Indirect WTT]])</f>
        <v>0</v>
      </c>
      <c r="M93" s="103"/>
      <c r="N93" s="101"/>
      <c r="O93" s="388" t="str" cm="1">
        <f t="array" ref="O93">IF(OR($B93="",$G93="",ProjectWasteTable[Converted data]=""),"",(INDEX('Emission factors'!$K$3:$V$381,MATCH($B93&amp;$C93,'Emission factors'!$K$3:$K$381&amp;'Emission factors'!$L$3:$L$381,0),MATCH(O$52,'Emission factors'!$K$2:$V$2,0)))*$I93)</f>
        <v/>
      </c>
      <c r="P93" s="388" t="str" cm="1">
        <f t="array" ref="P93">IF(OR($B93="",$G93="",ProjectWasteTable[[#This Row],[Converted data]]=""),"",(INDEX('Emission factors'!$K$3:$V$381,MATCH($B93&amp;$C93,'Emission factors'!$K$3:$K$381&amp;'Emission factors'!$L$3:$L$381,0),MATCH(P$52,'Emission factors'!$K$2:$V$2,0)))*$I93)</f>
        <v/>
      </c>
      <c r="Q93" s="388" t="str" cm="1">
        <f t="array" ref="Q93">IF(OR($B93="",$G93="",ProjectWasteTable[[#This Row],[Converted data]]=""),"",(INDEX('Emission factors'!$K$3:$V$381,MATCH($B93&amp;$C93,'Emission factors'!$K$3:$K$381&amp;'Emission factors'!$L$3:$L$381,0),MATCH(Q$52,'Emission factors'!$K$2:$V$2,0)))*$I93)</f>
        <v/>
      </c>
      <c r="R93" s="388" t="str" cm="1">
        <f t="array" ref="R93">IF(OR($B93="",$G93="",ProjectWasteTable[[#This Row],[Converted data]]=""),"",(INDEX('Emission factors'!$K$3:$V$381,MATCH($B93&amp;$C93,'Emission factors'!$K$3:$K$381&amp;'Emission factors'!$L$3:$L$381,0),MATCH(R$52,'Emission factors'!$K$2:$V$2,0)))*$I93)</f>
        <v/>
      </c>
      <c r="S93" s="388" t="str" cm="1">
        <f t="array" ref="S93">IF(OR($B93="",$G93="",ProjectWasteTable[[#This Row],[Converted data]]=""),"",(INDEX('Emission factors'!$K$3:$V$381,MATCH($B93&amp;$C93,'Emission factors'!$K$3:$K$381&amp;'Emission factors'!$L$3:$L$381,0),MATCH(S$52,'Emission factors'!$K$2:$V$2,0)))*$I93)</f>
        <v/>
      </c>
      <c r="T93" s="389" t="str">
        <f>IF(OR(ProjectWasteTable[[#This Row],[RSD]]="",ProjectWasteTable[[#This Row],[Total emissions]]=""),"",ProjectWasteTable[[#This Row],[Total emissions]]*(1+ProjectWasteTable[[#This Row],[RSD]]))</f>
        <v/>
      </c>
      <c r="U93" s="393" t="str">
        <f>IF(OR(ProjectWasteTable[[#This Row],[RSD]]="",ProjectWasteTable[[#This Row],[Total emissions]]=""), "",ProjectWasteTable[[#This Row],[Total emissions]]*(1-ProjectWasteTable[[#This Row],[RSD]]))</f>
        <v/>
      </c>
      <c r="V93" s="394" t="str" cm="1">
        <f t="array" ref="V93">IF(OR($B93="",$G93="",ProjectWasteTable[[#This Row],[Converted data]]=""),"",(INDEX('Emission factors'!$K$3:$V$381,MATCH($B93&amp;$C93,'Emission factors'!$K$3:$K$381&amp;'Emission factors'!$L$3:$L$381,0),MATCH(V$52,'Emission factors'!$K$2:$V$2,0)))*$I93)</f>
        <v/>
      </c>
      <c r="W93" s="351"/>
      <c r="X93" s="1" cm="1">
        <f t="array" ref="X93">IF(OR(ISERROR(B93:V93)),1,0)</f>
        <v>0</v>
      </c>
      <c r="Y93" s="1">
        <f t="shared" si="3"/>
        <v>0</v>
      </c>
    </row>
    <row r="94" spans="2:25" ht="15" thickBot="1" x14ac:dyDescent="0.4">
      <c r="B94" s="100"/>
      <c r="C94" s="101"/>
      <c r="D94" s="6"/>
      <c r="E94" s="101"/>
      <c r="F94" s="352" t="str">
        <f>IF(E94="","",INDEX(Methodologytier,MATCH(B$82,Lists!$AZ$4:$AZ$32,0),MATCH(E94,Lists!$BA$3:$BC$3,0)))</f>
        <v/>
      </c>
      <c r="G94" s="70"/>
      <c r="H94" s="101"/>
      <c r="I94" s="333" t="str" cm="1">
        <f t="array" ref="I94">IF(OR($B94="",$C94="",H94=""),"",IF(H94=J94,G94,(INDEX('Emission factors'!$K$3:$V$381,MATCH($B94&amp;$C94,'Emission factors'!$K$3:$K$381&amp;'Emission factors'!$L$3:$L$381,0),MATCH($I$52,'Emission factors'!$K$2:$V$2,0)))*G94))</f>
        <v/>
      </c>
      <c r="J94" s="332" t="str" cm="1">
        <f t="array" ref="J94">IF(OR($B94="",$C94="",ProjectWasteTable[[#Headers],[Units]]=""),"",INDEX('Emission factors'!$K$3:$V$381,MATCH($B94&amp;$C94,'Emission factors'!$K$3:$K$381&amp;'Emission factors'!$L$3:$L$381,0),MATCH($J$83,'Emission factors'!$K$2:$V$2,0)))</f>
        <v/>
      </c>
      <c r="K94" s="332" t="str" cm="1">
        <f t="array" ref="K94">IF(OR(B94="",C94="",ProjectWasteTable[[#This Row],[Data]]=""),"",INDEX('Emission factors'!$K$3:$V$381,MATCH($B94&amp;$C94,'Emission factors'!$K$3:$K$381&amp;'Emission factors'!$L$3:$L$381,0),MATCH($K$52,'Emission factors'!$K$2:$V$2,0)))</f>
        <v/>
      </c>
      <c r="L94" s="333">
        <f>SUM(ProjectWasteTable[[#This Row],[Direct]:[Indirect WTT]])</f>
        <v>0</v>
      </c>
      <c r="M94" s="103"/>
      <c r="N94" s="101"/>
      <c r="O94" s="388" t="str" cm="1">
        <f t="array" ref="O94">IF(OR($B94="",$G94="",ProjectWasteTable[Converted data]=""),"",(INDEX('Emission factors'!$K$3:$V$381,MATCH($B94&amp;$C94,'Emission factors'!$K$3:$K$381&amp;'Emission factors'!$L$3:$L$381,0),MATCH(O$52,'Emission factors'!$K$2:$V$2,0)))*$I94)</f>
        <v/>
      </c>
      <c r="P94" s="388" t="str" cm="1">
        <f t="array" ref="P94">IF(OR($B94="",$G94="",ProjectWasteTable[[#This Row],[Converted data]]=""),"",(INDEX('Emission factors'!$K$3:$V$381,MATCH($B94&amp;$C94,'Emission factors'!$K$3:$K$381&amp;'Emission factors'!$L$3:$L$381,0),MATCH(P$52,'Emission factors'!$K$2:$V$2,0)))*$I94)</f>
        <v/>
      </c>
      <c r="Q94" s="388" t="str" cm="1">
        <f t="array" ref="Q94">IF(OR($B94="",$G94="",ProjectWasteTable[[#This Row],[Converted data]]=""),"",(INDEX('Emission factors'!$K$3:$V$381,MATCH($B94&amp;$C94,'Emission factors'!$K$3:$K$381&amp;'Emission factors'!$L$3:$L$381,0),MATCH(Q$52,'Emission factors'!$K$2:$V$2,0)))*$I94)</f>
        <v/>
      </c>
      <c r="R94" s="388" t="str" cm="1">
        <f t="array" ref="R94">IF(OR($B94="",$G94="",ProjectWasteTable[[#This Row],[Converted data]]=""),"",(INDEX('Emission factors'!$K$3:$V$381,MATCH($B94&amp;$C94,'Emission factors'!$K$3:$K$381&amp;'Emission factors'!$L$3:$L$381,0),MATCH(R$52,'Emission factors'!$K$2:$V$2,0)))*$I94)</f>
        <v/>
      </c>
      <c r="S94" s="388" t="str" cm="1">
        <f t="array" ref="S94">IF(OR($B94="",$G94="",ProjectWasteTable[[#This Row],[Converted data]]=""),"",(INDEX('Emission factors'!$K$3:$V$381,MATCH($B94&amp;$C94,'Emission factors'!$K$3:$K$381&amp;'Emission factors'!$L$3:$L$381,0),MATCH(S$52,'Emission factors'!$K$2:$V$2,0)))*$I94)</f>
        <v/>
      </c>
      <c r="T94" s="389" t="str">
        <f>IF(OR(ProjectWasteTable[[#This Row],[RSD]]="",ProjectWasteTable[[#This Row],[Total emissions]]=""),"",ProjectWasteTable[[#This Row],[Total emissions]]*(1+ProjectWasteTable[[#This Row],[RSD]]))</f>
        <v/>
      </c>
      <c r="U94" s="393" t="str">
        <f>IF(OR(ProjectWasteTable[[#This Row],[RSD]]="",ProjectWasteTable[[#This Row],[Total emissions]]=""), "",ProjectWasteTable[[#This Row],[Total emissions]]*(1-ProjectWasteTable[[#This Row],[RSD]]))</f>
        <v/>
      </c>
      <c r="V94" s="394" t="str" cm="1">
        <f t="array" ref="V94">IF(OR($B94="",$G94="",ProjectWasteTable[[#This Row],[Converted data]]=""),"",(INDEX('Emission factors'!$K$3:$V$381,MATCH($B94&amp;$C94,'Emission factors'!$K$3:$K$381&amp;'Emission factors'!$L$3:$L$381,0),MATCH(V$52,'Emission factors'!$K$2:$V$2,0)))*$I94)</f>
        <v/>
      </c>
      <c r="W94" s="351"/>
      <c r="X94" s="1" cm="1">
        <f t="array" ref="X94">IF(OR(ISERROR(B94:V94)),1,0)</f>
        <v>0</v>
      </c>
      <c r="Y94" s="1">
        <f t="shared" si="3"/>
        <v>0</v>
      </c>
    </row>
    <row r="95" spans="2:25" ht="15" thickBot="1" x14ac:dyDescent="0.4">
      <c r="B95" s="100"/>
      <c r="C95" s="101"/>
      <c r="D95" s="6"/>
      <c r="E95" s="101"/>
      <c r="F95" s="352" t="str">
        <f>IF(E95="","",INDEX(Methodologytier,MATCH(B$82,Lists!$AZ$4:$AZ$32,0),MATCH(E95,Lists!$BA$3:$BC$3,0)))</f>
        <v/>
      </c>
      <c r="G95" s="70"/>
      <c r="H95" s="101"/>
      <c r="I95" s="333" t="str" cm="1">
        <f t="array" ref="I95">IF(OR($B95="",$C95="",H95=""),"",IF(H95=J95,G95,(INDEX('Emission factors'!$K$3:$V$381,MATCH($B95&amp;$C95,'Emission factors'!$K$3:$K$381&amp;'Emission factors'!$L$3:$L$381,0),MATCH($I$52,'Emission factors'!$K$2:$V$2,0)))*G95))</f>
        <v/>
      </c>
      <c r="J95" s="332" t="str" cm="1">
        <f t="array" ref="J95">IF(OR($B95="",$C95="",ProjectWasteTable[[#Headers],[Units]]=""),"",INDEX('Emission factors'!$K$3:$V$381,MATCH($B95&amp;$C95,'Emission factors'!$K$3:$K$381&amp;'Emission factors'!$L$3:$L$381,0),MATCH($J$83,'Emission factors'!$K$2:$V$2,0)))</f>
        <v/>
      </c>
      <c r="K95" s="332" t="str" cm="1">
        <f t="array" ref="K95">IF(OR(B95="",C95="",ProjectWasteTable[[#This Row],[Data]]=""),"",INDEX('Emission factors'!$K$3:$V$381,MATCH($B95&amp;$C95,'Emission factors'!$K$3:$K$381&amp;'Emission factors'!$L$3:$L$381,0),MATCH($K$52,'Emission factors'!$K$2:$V$2,0)))</f>
        <v/>
      </c>
      <c r="L95" s="333">
        <f>SUM(ProjectWasteTable[[#This Row],[Direct]:[Indirect WTT]])</f>
        <v>0</v>
      </c>
      <c r="M95" s="103"/>
      <c r="N95" s="101"/>
      <c r="O95" s="388" t="str" cm="1">
        <f t="array" ref="O95">IF(OR($B95="",$G95="",ProjectWasteTable[Converted data]=""),"",(INDEX('Emission factors'!$K$3:$V$381,MATCH($B95&amp;$C95,'Emission factors'!$K$3:$K$381&amp;'Emission factors'!$L$3:$L$381,0),MATCH(O$52,'Emission factors'!$K$2:$V$2,0)))*$I95)</f>
        <v/>
      </c>
      <c r="P95" s="388" t="str" cm="1">
        <f t="array" ref="P95">IF(OR($B95="",$G95="",ProjectWasteTable[[#This Row],[Converted data]]=""),"",(INDEX('Emission factors'!$K$3:$V$381,MATCH($B95&amp;$C95,'Emission factors'!$K$3:$K$381&amp;'Emission factors'!$L$3:$L$381,0),MATCH(P$52,'Emission factors'!$K$2:$V$2,0)))*$I95)</f>
        <v/>
      </c>
      <c r="Q95" s="388" t="str" cm="1">
        <f t="array" ref="Q95">IF(OR($B95="",$G95="",ProjectWasteTable[[#This Row],[Converted data]]=""),"",(INDEX('Emission factors'!$K$3:$V$381,MATCH($B95&amp;$C95,'Emission factors'!$K$3:$K$381&amp;'Emission factors'!$L$3:$L$381,0),MATCH(Q$52,'Emission factors'!$K$2:$V$2,0)))*$I95)</f>
        <v/>
      </c>
      <c r="R95" s="388" t="str" cm="1">
        <f t="array" ref="R95">IF(OR($B95="",$G95="",ProjectWasteTable[[#This Row],[Converted data]]=""),"",(INDEX('Emission factors'!$K$3:$V$381,MATCH($B95&amp;$C95,'Emission factors'!$K$3:$K$381&amp;'Emission factors'!$L$3:$L$381,0),MATCH(R$52,'Emission factors'!$K$2:$V$2,0)))*$I95)</f>
        <v/>
      </c>
      <c r="S95" s="388" t="str" cm="1">
        <f t="array" ref="S95">IF(OR($B95="",$G95="",ProjectWasteTable[[#This Row],[Converted data]]=""),"",(INDEX('Emission factors'!$K$3:$V$381,MATCH($B95&amp;$C95,'Emission factors'!$K$3:$K$381&amp;'Emission factors'!$L$3:$L$381,0),MATCH(S$52,'Emission factors'!$K$2:$V$2,0)))*$I95)</f>
        <v/>
      </c>
      <c r="T95" s="389" t="str">
        <f>IF(OR(ProjectWasteTable[[#This Row],[RSD]]="",ProjectWasteTable[[#This Row],[Total emissions]]=""),"",ProjectWasteTable[[#This Row],[Total emissions]]*(1+ProjectWasteTable[[#This Row],[RSD]]))</f>
        <v/>
      </c>
      <c r="U95" s="393" t="str">
        <f>IF(OR(ProjectWasteTable[[#This Row],[RSD]]="",ProjectWasteTable[[#This Row],[Total emissions]]=""), "",ProjectWasteTable[[#This Row],[Total emissions]]*(1-ProjectWasteTable[[#This Row],[RSD]]))</f>
        <v/>
      </c>
      <c r="V95" s="394" t="str" cm="1">
        <f t="array" ref="V95">IF(OR($B95="",$G95="",ProjectWasteTable[[#This Row],[Converted data]]=""),"",(INDEX('Emission factors'!$K$3:$V$381,MATCH($B95&amp;$C95,'Emission factors'!$K$3:$K$381&amp;'Emission factors'!$L$3:$L$381,0),MATCH(V$52,'Emission factors'!$K$2:$V$2,0)))*$I95)</f>
        <v/>
      </c>
      <c r="W95" s="351"/>
      <c r="X95" s="1" cm="1">
        <f t="array" ref="X95">IF(OR(ISERROR(B95:V95)),1,0)</f>
        <v>0</v>
      </c>
      <c r="Y95" s="1">
        <f t="shared" si="3"/>
        <v>0</v>
      </c>
    </row>
    <row r="96" spans="2:25" ht="15" thickBot="1" x14ac:dyDescent="0.4">
      <c r="B96" s="100"/>
      <c r="C96" s="101"/>
      <c r="D96" s="6"/>
      <c r="E96" s="101"/>
      <c r="F96" s="352" t="str">
        <f>IF(E96="","",INDEX(Methodologytier,MATCH(B$82,Lists!$AZ$4:$AZ$32,0),MATCH(E96,Lists!$BA$3:$BC$3,0)))</f>
        <v/>
      </c>
      <c r="G96" s="70"/>
      <c r="H96" s="101"/>
      <c r="I96" s="333" t="str" cm="1">
        <f t="array" ref="I96">IF(OR($B96="",$C96="",H96=""),"",IF(H96=J96,G96,(INDEX('Emission factors'!$K$3:$V$381,MATCH($B96&amp;$C96,'Emission factors'!$K$3:$K$381&amp;'Emission factors'!$L$3:$L$381,0),MATCH($I$52,'Emission factors'!$K$2:$V$2,0)))*G96))</f>
        <v/>
      </c>
      <c r="J96" s="332" t="str" cm="1">
        <f t="array" ref="J96">IF(OR($B96="",$C96="",ProjectWasteTable[[#Headers],[Units]]=""),"",INDEX('Emission factors'!$K$3:$V$381,MATCH($B96&amp;$C96,'Emission factors'!$K$3:$K$381&amp;'Emission factors'!$L$3:$L$381,0),MATCH($J$83,'Emission factors'!$K$2:$V$2,0)))</f>
        <v/>
      </c>
      <c r="K96" s="332" t="str" cm="1">
        <f t="array" ref="K96">IF(OR(B96="",C96="",ProjectWasteTable[[#This Row],[Data]]=""),"",INDEX('Emission factors'!$K$3:$V$381,MATCH($B96&amp;$C96,'Emission factors'!$K$3:$K$381&amp;'Emission factors'!$L$3:$L$381,0),MATCH($K$52,'Emission factors'!$K$2:$V$2,0)))</f>
        <v/>
      </c>
      <c r="L96" s="333">
        <f>SUM(ProjectWasteTable[[#This Row],[Direct]:[Indirect WTT]])</f>
        <v>0</v>
      </c>
      <c r="M96" s="103"/>
      <c r="N96" s="101"/>
      <c r="O96" s="388" t="str" cm="1">
        <f t="array" ref="O96">IF(OR($B96="",$G96="",ProjectWasteTable[Converted data]=""),"",(INDEX('Emission factors'!$K$3:$V$381,MATCH($B96&amp;$C96,'Emission factors'!$K$3:$K$381&amp;'Emission factors'!$L$3:$L$381,0),MATCH(O$52,'Emission factors'!$K$2:$V$2,0)))*$I96)</f>
        <v/>
      </c>
      <c r="P96" s="388" t="str" cm="1">
        <f t="array" ref="P96">IF(OR($B96="",$G96="",ProjectWasteTable[[#This Row],[Converted data]]=""),"",(INDEX('Emission factors'!$K$3:$V$381,MATCH($B96&amp;$C96,'Emission factors'!$K$3:$K$381&amp;'Emission factors'!$L$3:$L$381,0),MATCH(P$52,'Emission factors'!$K$2:$V$2,0)))*$I96)</f>
        <v/>
      </c>
      <c r="Q96" s="388" t="str" cm="1">
        <f t="array" ref="Q96">IF(OR($B96="",$G96="",ProjectWasteTable[[#This Row],[Converted data]]=""),"",(INDEX('Emission factors'!$K$3:$V$381,MATCH($B96&amp;$C96,'Emission factors'!$K$3:$K$381&amp;'Emission factors'!$L$3:$L$381,0),MATCH(Q$52,'Emission factors'!$K$2:$V$2,0)))*$I96)</f>
        <v/>
      </c>
      <c r="R96" s="388" t="str" cm="1">
        <f t="array" ref="R96">IF(OR($B96="",$G96="",ProjectWasteTable[[#This Row],[Converted data]]=""),"",(INDEX('Emission factors'!$K$3:$V$381,MATCH($B96&amp;$C96,'Emission factors'!$K$3:$K$381&amp;'Emission factors'!$L$3:$L$381,0),MATCH(R$52,'Emission factors'!$K$2:$V$2,0)))*$I96)</f>
        <v/>
      </c>
      <c r="S96" s="388" t="str" cm="1">
        <f t="array" ref="S96">IF(OR($B96="",$G96="",ProjectWasteTable[[#This Row],[Converted data]]=""),"",(INDEX('Emission factors'!$K$3:$V$381,MATCH($B96&amp;$C96,'Emission factors'!$K$3:$K$381&amp;'Emission factors'!$L$3:$L$381,0),MATCH(S$52,'Emission factors'!$K$2:$V$2,0)))*$I96)</f>
        <v/>
      </c>
      <c r="T96" s="389" t="str">
        <f>IF(OR(ProjectWasteTable[[#This Row],[RSD]]="",ProjectWasteTable[[#This Row],[Total emissions]]=""),"",ProjectWasteTable[[#This Row],[Total emissions]]*(1+ProjectWasteTable[[#This Row],[RSD]]))</f>
        <v/>
      </c>
      <c r="U96" s="393" t="str">
        <f>IF(OR(ProjectWasteTable[[#This Row],[RSD]]="",ProjectWasteTable[[#This Row],[Total emissions]]=""), "",ProjectWasteTable[[#This Row],[Total emissions]]*(1-ProjectWasteTable[[#This Row],[RSD]]))</f>
        <v/>
      </c>
      <c r="V96" s="394" t="str" cm="1">
        <f t="array" ref="V96">IF(OR($B96="",$G96="",ProjectWasteTable[[#This Row],[Converted data]]=""),"",(INDEX('Emission factors'!$K$3:$V$381,MATCH($B96&amp;$C96,'Emission factors'!$K$3:$K$381&amp;'Emission factors'!$L$3:$L$381,0),MATCH(V$52,'Emission factors'!$K$2:$V$2,0)))*$I96)</f>
        <v/>
      </c>
      <c r="W96" s="351"/>
      <c r="X96" s="1" cm="1">
        <f t="array" ref="X96">IF(OR(ISERROR(B96:V96)),1,0)</f>
        <v>0</v>
      </c>
      <c r="Y96" s="1">
        <f t="shared" si="3"/>
        <v>0</v>
      </c>
    </row>
    <row r="97" spans="2:25" ht="15" thickBot="1" x14ac:dyDescent="0.4">
      <c r="B97" s="100"/>
      <c r="C97" s="101"/>
      <c r="D97" s="6"/>
      <c r="E97" s="101"/>
      <c r="F97" s="352" t="str">
        <f>IF(E97="","",INDEX(Methodologytier,MATCH(B$82,Lists!$AZ$4:$AZ$32,0),MATCH(E97,Lists!$BA$3:$BC$3,0)))</f>
        <v/>
      </c>
      <c r="G97" s="70"/>
      <c r="H97" s="101"/>
      <c r="I97" s="333" t="str" cm="1">
        <f t="array" ref="I97">IF(OR($B97="",$C97="",H97=""),"",IF(H97=J97,G97,(INDEX('Emission factors'!$K$3:$V$381,MATCH($B97&amp;$C97,'Emission factors'!$K$3:$K$381&amp;'Emission factors'!$L$3:$L$381,0),MATCH($I$52,'Emission factors'!$K$2:$V$2,0)))*G97))</f>
        <v/>
      </c>
      <c r="J97" s="332" t="str" cm="1">
        <f t="array" ref="J97">IF(OR($B97="",$C97="",ProjectWasteTable[[#Headers],[Units]]=""),"",INDEX('Emission factors'!$K$3:$V$381,MATCH($B97&amp;$C97,'Emission factors'!$K$3:$K$381&amp;'Emission factors'!$L$3:$L$381,0),MATCH($J$83,'Emission factors'!$K$2:$V$2,0)))</f>
        <v/>
      </c>
      <c r="K97" s="332" t="str" cm="1">
        <f t="array" ref="K97">IF(OR(B97="",C97="",ProjectWasteTable[[#This Row],[Data]]=""),"",INDEX('Emission factors'!$K$3:$V$381,MATCH($B97&amp;$C97,'Emission factors'!$K$3:$K$381&amp;'Emission factors'!$L$3:$L$381,0),MATCH($K$52,'Emission factors'!$K$2:$V$2,0)))</f>
        <v/>
      </c>
      <c r="L97" s="333">
        <f>SUM(ProjectWasteTable[[#This Row],[Direct]:[Indirect WTT]])</f>
        <v>0</v>
      </c>
      <c r="M97" s="103"/>
      <c r="N97" s="101"/>
      <c r="O97" s="388" t="str" cm="1">
        <f t="array" ref="O97">IF(OR($B97="",$G97="",ProjectWasteTable[Converted data]=""),"",(INDEX('Emission factors'!$K$3:$V$381,MATCH($B97&amp;$C97,'Emission factors'!$K$3:$K$381&amp;'Emission factors'!$L$3:$L$381,0),MATCH(O$52,'Emission factors'!$K$2:$V$2,0)))*$I97)</f>
        <v/>
      </c>
      <c r="P97" s="388" t="str" cm="1">
        <f t="array" ref="P97">IF(OR($B97="",$G97="",ProjectWasteTable[[#This Row],[Converted data]]=""),"",(INDEX('Emission factors'!$K$3:$V$381,MATCH($B97&amp;$C97,'Emission factors'!$K$3:$K$381&amp;'Emission factors'!$L$3:$L$381,0),MATCH(P$52,'Emission factors'!$K$2:$V$2,0)))*$I97)</f>
        <v/>
      </c>
      <c r="Q97" s="388" t="str" cm="1">
        <f t="array" ref="Q97">IF(OR($B97="",$G97="",ProjectWasteTable[[#This Row],[Converted data]]=""),"",(INDEX('Emission factors'!$K$3:$V$381,MATCH($B97&amp;$C97,'Emission factors'!$K$3:$K$381&amp;'Emission factors'!$L$3:$L$381,0),MATCH(Q$52,'Emission factors'!$K$2:$V$2,0)))*$I97)</f>
        <v/>
      </c>
      <c r="R97" s="388" t="str" cm="1">
        <f t="array" ref="R97">IF(OR($B97="",$G97="",ProjectWasteTable[[#This Row],[Converted data]]=""),"",(INDEX('Emission factors'!$K$3:$V$381,MATCH($B97&amp;$C97,'Emission factors'!$K$3:$K$381&amp;'Emission factors'!$L$3:$L$381,0),MATCH(R$52,'Emission factors'!$K$2:$V$2,0)))*$I97)</f>
        <v/>
      </c>
      <c r="S97" s="388" t="str" cm="1">
        <f t="array" ref="S97">IF(OR($B97="",$G97="",ProjectWasteTable[[#This Row],[Converted data]]=""),"",(INDEX('Emission factors'!$K$3:$V$381,MATCH($B97&amp;$C97,'Emission factors'!$K$3:$K$381&amp;'Emission factors'!$L$3:$L$381,0),MATCH(S$52,'Emission factors'!$K$2:$V$2,0)))*$I97)</f>
        <v/>
      </c>
      <c r="T97" s="389" t="str">
        <f>IF(OR(ProjectWasteTable[[#This Row],[RSD]]="",ProjectWasteTable[[#This Row],[Total emissions]]=""),"",ProjectWasteTable[[#This Row],[Total emissions]]*(1+ProjectWasteTable[[#This Row],[RSD]]))</f>
        <v/>
      </c>
      <c r="U97" s="393" t="str">
        <f>IF(OR(ProjectWasteTable[[#This Row],[RSD]]="",ProjectWasteTable[[#This Row],[Total emissions]]=""), "",ProjectWasteTable[[#This Row],[Total emissions]]*(1-ProjectWasteTable[[#This Row],[RSD]]))</f>
        <v/>
      </c>
      <c r="V97" s="394" t="str" cm="1">
        <f t="array" ref="V97">IF(OR($B97="",$G97="",ProjectWasteTable[[#This Row],[Converted data]]=""),"",(INDEX('Emission factors'!$K$3:$V$381,MATCH($B97&amp;$C97,'Emission factors'!$K$3:$K$381&amp;'Emission factors'!$L$3:$L$381,0),MATCH(V$52,'Emission factors'!$K$2:$V$2,0)))*$I97)</f>
        <v/>
      </c>
      <c r="W97" s="351"/>
      <c r="X97" s="1" cm="1">
        <f t="array" ref="X97">IF(OR(ISERROR(B97:V97)),1,0)</f>
        <v>0</v>
      </c>
      <c r="Y97" s="1">
        <f t="shared" si="3"/>
        <v>0</v>
      </c>
    </row>
    <row r="98" spans="2:25" ht="15" thickBot="1" x14ac:dyDescent="0.4">
      <c r="B98" s="100"/>
      <c r="C98" s="101"/>
      <c r="D98" s="6"/>
      <c r="E98" s="101"/>
      <c r="F98" s="352" t="str">
        <f>IF(E98="","",INDEX(Methodologytier,MATCH(B$82,Lists!$AZ$4:$AZ$32,0),MATCH(E98,Lists!$BA$3:$BC$3,0)))</f>
        <v/>
      </c>
      <c r="G98" s="70"/>
      <c r="H98" s="101"/>
      <c r="I98" s="333" t="str" cm="1">
        <f t="array" ref="I98">IF(OR($B98="",$C98="",H98=""),"",IF(H98=J98,G98,(INDEX('Emission factors'!$K$3:$V$381,MATCH($B98&amp;$C98,'Emission factors'!$K$3:$K$381&amp;'Emission factors'!$L$3:$L$381,0),MATCH($I$52,'Emission factors'!$K$2:$V$2,0)))*G98))</f>
        <v/>
      </c>
      <c r="J98" s="332" t="str" cm="1">
        <f t="array" ref="J98">IF(OR($B98="",$C98="",ProjectWasteTable[[#Headers],[Units]]=""),"",INDEX('Emission factors'!$K$3:$V$381,MATCH($B98&amp;$C98,'Emission factors'!$K$3:$K$381&amp;'Emission factors'!$L$3:$L$381,0),MATCH($J$83,'Emission factors'!$K$2:$V$2,0)))</f>
        <v/>
      </c>
      <c r="K98" s="332" t="str" cm="1">
        <f t="array" ref="K98">IF(OR(B98="",C98="",ProjectWasteTable[[#This Row],[Data]]=""),"",INDEX('Emission factors'!$K$3:$V$381,MATCH($B98&amp;$C98,'Emission factors'!$K$3:$K$381&amp;'Emission factors'!$L$3:$L$381,0),MATCH($K$52,'Emission factors'!$K$2:$V$2,0)))</f>
        <v/>
      </c>
      <c r="L98" s="333">
        <f>SUM(ProjectWasteTable[[#This Row],[Direct]:[Indirect WTT]])</f>
        <v>0</v>
      </c>
      <c r="M98" s="103"/>
      <c r="N98" s="101"/>
      <c r="O98" s="388" t="str" cm="1">
        <f t="array" ref="O98">IF(OR($B98="",$G98="",ProjectWasteTable[Converted data]=""),"",(INDEX('Emission factors'!$K$3:$V$381,MATCH($B98&amp;$C98,'Emission factors'!$K$3:$K$381&amp;'Emission factors'!$L$3:$L$381,0),MATCH(O$52,'Emission factors'!$K$2:$V$2,0)))*$I98)</f>
        <v/>
      </c>
      <c r="P98" s="388" t="str" cm="1">
        <f t="array" ref="P98">IF(OR($B98="",$G98="",ProjectWasteTable[[#This Row],[Converted data]]=""),"",(INDEX('Emission factors'!$K$3:$V$381,MATCH($B98&amp;$C98,'Emission factors'!$K$3:$K$381&amp;'Emission factors'!$L$3:$L$381,0),MATCH(P$52,'Emission factors'!$K$2:$V$2,0)))*$I98)</f>
        <v/>
      </c>
      <c r="Q98" s="388" t="str" cm="1">
        <f t="array" ref="Q98">IF(OR($B98="",$G98="",ProjectWasteTable[[#This Row],[Converted data]]=""),"",(INDEX('Emission factors'!$K$3:$V$381,MATCH($B98&amp;$C98,'Emission factors'!$K$3:$K$381&amp;'Emission factors'!$L$3:$L$381,0),MATCH(Q$52,'Emission factors'!$K$2:$V$2,0)))*$I98)</f>
        <v/>
      </c>
      <c r="R98" s="388" t="str" cm="1">
        <f t="array" ref="R98">IF(OR($B98="",$G98="",ProjectWasteTable[[#This Row],[Converted data]]=""),"",(INDEX('Emission factors'!$K$3:$V$381,MATCH($B98&amp;$C98,'Emission factors'!$K$3:$K$381&amp;'Emission factors'!$L$3:$L$381,0),MATCH(R$52,'Emission factors'!$K$2:$V$2,0)))*$I98)</f>
        <v/>
      </c>
      <c r="S98" s="388" t="str" cm="1">
        <f t="array" ref="S98">IF(OR($B98="",$G98="",ProjectWasteTable[[#This Row],[Converted data]]=""),"",(INDEX('Emission factors'!$K$3:$V$381,MATCH($B98&amp;$C98,'Emission factors'!$K$3:$K$381&amp;'Emission factors'!$L$3:$L$381,0),MATCH(S$52,'Emission factors'!$K$2:$V$2,0)))*$I98)</f>
        <v/>
      </c>
      <c r="T98" s="389" t="str">
        <f>IF(OR(ProjectWasteTable[[#This Row],[RSD]]="",ProjectWasteTable[[#This Row],[Total emissions]]=""),"",ProjectWasteTable[[#This Row],[Total emissions]]*(1+ProjectWasteTable[[#This Row],[RSD]]))</f>
        <v/>
      </c>
      <c r="U98" s="393" t="str">
        <f>IF(OR(ProjectWasteTable[[#This Row],[RSD]]="",ProjectWasteTable[[#This Row],[Total emissions]]=""), "",ProjectWasteTable[[#This Row],[Total emissions]]*(1-ProjectWasteTable[[#This Row],[RSD]]))</f>
        <v/>
      </c>
      <c r="V98" s="394" t="str" cm="1">
        <f t="array" ref="V98">IF(OR($B98="",$G98="",ProjectWasteTable[[#This Row],[Converted data]]=""),"",(INDEX('Emission factors'!$K$3:$V$381,MATCH($B98&amp;$C98,'Emission factors'!$K$3:$K$381&amp;'Emission factors'!$L$3:$L$381,0),MATCH(V$52,'Emission factors'!$K$2:$V$2,0)))*$I98)</f>
        <v/>
      </c>
      <c r="W98" s="351"/>
      <c r="X98" s="1" cm="1">
        <f t="array" ref="X98">IF(OR(ISERROR(B98:V98)),1,0)</f>
        <v>0</v>
      </c>
      <c r="Y98" s="1">
        <f t="shared" si="3"/>
        <v>0</v>
      </c>
    </row>
    <row r="99" spans="2:25" ht="15" thickBot="1" x14ac:dyDescent="0.4">
      <c r="B99" s="100"/>
      <c r="C99" s="101"/>
      <c r="D99" s="6"/>
      <c r="E99" s="101"/>
      <c r="F99" s="352" t="str">
        <f>IF(E99="","",INDEX(Methodologytier,MATCH(B$82,Lists!$AZ$4:$AZ$32,0),MATCH(E99,Lists!$BA$3:$BC$3,0)))</f>
        <v/>
      </c>
      <c r="G99" s="70"/>
      <c r="H99" s="101"/>
      <c r="I99" s="333" t="str" cm="1">
        <f t="array" ref="I99">IF(OR($B99="",$C99="",H99=""),"",IF(H99=J99,G99,(INDEX('Emission factors'!$K$3:$V$381,MATCH($B99&amp;$C99,'Emission factors'!$K$3:$K$381&amp;'Emission factors'!$L$3:$L$381,0),MATCH($I$52,'Emission factors'!$K$2:$V$2,0)))*G99))</f>
        <v/>
      </c>
      <c r="J99" s="332" t="str" cm="1">
        <f t="array" ref="J99">IF(OR($B99="",$C99="",ProjectWasteTable[[#Headers],[Units]]=""),"",INDEX('Emission factors'!$K$3:$V$381,MATCH($B99&amp;$C99,'Emission factors'!$K$3:$K$381&amp;'Emission factors'!$L$3:$L$381,0),MATCH($J$83,'Emission factors'!$K$2:$V$2,0)))</f>
        <v/>
      </c>
      <c r="K99" s="332" t="str" cm="1">
        <f t="array" ref="K99">IF(OR(B99="",C99="",ProjectWasteTable[[#This Row],[Data]]=""),"",INDEX('Emission factors'!$K$3:$V$381,MATCH($B99&amp;$C99,'Emission factors'!$K$3:$K$381&amp;'Emission factors'!$L$3:$L$381,0),MATCH($K$52,'Emission factors'!$K$2:$V$2,0)))</f>
        <v/>
      </c>
      <c r="L99" s="333">
        <f>SUM(ProjectWasteTable[[#This Row],[Direct]:[Indirect WTT]])</f>
        <v>0</v>
      </c>
      <c r="M99" s="103"/>
      <c r="N99" s="101"/>
      <c r="O99" s="388" t="str" cm="1">
        <f t="array" ref="O99">IF(OR($B99="",$G99="",ProjectWasteTable[Converted data]=""),"",(INDEX('Emission factors'!$K$3:$V$381,MATCH($B99&amp;$C99,'Emission factors'!$K$3:$K$381&amp;'Emission factors'!$L$3:$L$381,0),MATCH(O$52,'Emission factors'!$K$2:$V$2,0)))*$I99)</f>
        <v/>
      </c>
      <c r="P99" s="388" t="str" cm="1">
        <f t="array" ref="P99">IF(OR($B99="",$G99="",ProjectWasteTable[[#This Row],[Converted data]]=""),"",(INDEX('Emission factors'!$K$3:$V$381,MATCH($B99&amp;$C99,'Emission factors'!$K$3:$K$381&amp;'Emission factors'!$L$3:$L$381,0),MATCH(P$52,'Emission factors'!$K$2:$V$2,0)))*$I99)</f>
        <v/>
      </c>
      <c r="Q99" s="388" t="str" cm="1">
        <f t="array" ref="Q99">IF(OR($B99="",$G99="",ProjectWasteTable[[#This Row],[Converted data]]=""),"",(INDEX('Emission factors'!$K$3:$V$381,MATCH($B99&amp;$C99,'Emission factors'!$K$3:$K$381&amp;'Emission factors'!$L$3:$L$381,0),MATCH(Q$52,'Emission factors'!$K$2:$V$2,0)))*$I99)</f>
        <v/>
      </c>
      <c r="R99" s="388" t="str" cm="1">
        <f t="array" ref="R99">IF(OR($B99="",$G99="",ProjectWasteTable[[#This Row],[Converted data]]=""),"",(INDEX('Emission factors'!$K$3:$V$381,MATCH($B99&amp;$C99,'Emission factors'!$K$3:$K$381&amp;'Emission factors'!$L$3:$L$381,0),MATCH(R$52,'Emission factors'!$K$2:$V$2,0)))*$I99)</f>
        <v/>
      </c>
      <c r="S99" s="388" t="str" cm="1">
        <f t="array" ref="S99">IF(OR($B99="",$G99="",ProjectWasteTable[[#This Row],[Converted data]]=""),"",(INDEX('Emission factors'!$K$3:$V$381,MATCH($B99&amp;$C99,'Emission factors'!$K$3:$K$381&amp;'Emission factors'!$L$3:$L$381,0),MATCH(S$52,'Emission factors'!$K$2:$V$2,0)))*$I99)</f>
        <v/>
      </c>
      <c r="T99" s="389" t="str">
        <f>IF(OR(ProjectWasteTable[[#This Row],[RSD]]="",ProjectWasteTable[[#This Row],[Total emissions]]=""),"",ProjectWasteTable[[#This Row],[Total emissions]]*(1+ProjectWasteTable[[#This Row],[RSD]]))</f>
        <v/>
      </c>
      <c r="U99" s="393" t="str">
        <f>IF(OR(ProjectWasteTable[[#This Row],[RSD]]="",ProjectWasteTable[[#This Row],[Total emissions]]=""), "",ProjectWasteTable[[#This Row],[Total emissions]]*(1-ProjectWasteTable[[#This Row],[RSD]]))</f>
        <v/>
      </c>
      <c r="V99" s="394" t="str" cm="1">
        <f t="array" ref="V99">IF(OR($B99="",$G99="",ProjectWasteTable[[#This Row],[Converted data]]=""),"",(INDEX('Emission factors'!$K$3:$V$381,MATCH($B99&amp;$C99,'Emission factors'!$K$3:$K$381&amp;'Emission factors'!$L$3:$L$381,0),MATCH(V$52,'Emission factors'!$K$2:$V$2,0)))*$I99)</f>
        <v/>
      </c>
      <c r="W99" s="351"/>
      <c r="X99" s="1" cm="1">
        <f t="array" ref="X99">IF(OR(ISERROR(B99:V99)),1,0)</f>
        <v>0</v>
      </c>
      <c r="Y99" s="1">
        <f t="shared" si="3"/>
        <v>0</v>
      </c>
    </row>
    <row r="100" spans="2:25" ht="15" thickBot="1" x14ac:dyDescent="0.4">
      <c r="B100" s="100"/>
      <c r="C100" s="101"/>
      <c r="D100" s="6"/>
      <c r="E100" s="101"/>
      <c r="F100" s="352" t="str">
        <f>IF(E100="","",INDEX(Methodologytier,MATCH(B$82,Lists!$AZ$4:$AZ$32,0),MATCH(E100,Lists!$BA$3:$BC$3,0)))</f>
        <v/>
      </c>
      <c r="G100" s="70"/>
      <c r="H100" s="101"/>
      <c r="I100" s="333" t="str" cm="1">
        <f t="array" ref="I100">IF(OR($B100="",$C100="",H100=""),"",IF(H100=J100,G100,(INDEX('Emission factors'!$K$3:$V$381,MATCH($B100&amp;$C100,'Emission factors'!$K$3:$K$381&amp;'Emission factors'!$L$3:$L$381,0),MATCH($I$52,'Emission factors'!$K$2:$V$2,0)))*G100))</f>
        <v/>
      </c>
      <c r="J100" s="332" t="str" cm="1">
        <f t="array" ref="J100">IF(OR($B100="",$C100="",ProjectWasteTable[[#Headers],[Units]]=""),"",INDEX('Emission factors'!$K$3:$V$381,MATCH($B100&amp;$C100,'Emission factors'!$K$3:$K$381&amp;'Emission factors'!$L$3:$L$381,0),MATCH($J$83,'Emission factors'!$K$2:$V$2,0)))</f>
        <v/>
      </c>
      <c r="K100" s="332" t="str" cm="1">
        <f t="array" ref="K100">IF(OR(B100="",C100="",ProjectWasteTable[[#This Row],[Data]]=""),"",INDEX('Emission factors'!$K$3:$V$381,MATCH($B100&amp;$C100,'Emission factors'!$K$3:$K$381&amp;'Emission factors'!$L$3:$L$381,0),MATCH($K$52,'Emission factors'!$K$2:$V$2,0)))</f>
        <v/>
      </c>
      <c r="L100" s="333">
        <f>SUM(ProjectWasteTable[[#This Row],[Direct]:[Indirect WTT]])</f>
        <v>0</v>
      </c>
      <c r="M100" s="103"/>
      <c r="N100" s="101"/>
      <c r="O100" s="388" t="str" cm="1">
        <f t="array" ref="O100">IF(OR($B100="",$G100="",ProjectWasteTable[Converted data]=""),"",(INDEX('Emission factors'!$K$3:$V$381,MATCH($B100&amp;$C100,'Emission factors'!$K$3:$K$381&amp;'Emission factors'!$L$3:$L$381,0),MATCH(O$52,'Emission factors'!$K$2:$V$2,0)))*$I100)</f>
        <v/>
      </c>
      <c r="P100" s="388" t="str" cm="1">
        <f t="array" ref="P100">IF(OR($B100="",$G100="",ProjectWasteTable[[#This Row],[Converted data]]=""),"",(INDEX('Emission factors'!$K$3:$V$381,MATCH($B100&amp;$C100,'Emission factors'!$K$3:$K$381&amp;'Emission factors'!$L$3:$L$381,0),MATCH(P$52,'Emission factors'!$K$2:$V$2,0)))*$I100)</f>
        <v/>
      </c>
      <c r="Q100" s="388" t="str" cm="1">
        <f t="array" ref="Q100">IF(OR($B100="",$G100="",ProjectWasteTable[[#This Row],[Converted data]]=""),"",(INDEX('Emission factors'!$K$3:$V$381,MATCH($B100&amp;$C100,'Emission factors'!$K$3:$K$381&amp;'Emission factors'!$L$3:$L$381,0),MATCH(Q$52,'Emission factors'!$K$2:$V$2,0)))*$I100)</f>
        <v/>
      </c>
      <c r="R100" s="388" t="str" cm="1">
        <f t="array" ref="R100">IF(OR($B100="",$G100="",ProjectWasteTable[[#This Row],[Converted data]]=""),"",(INDEX('Emission factors'!$K$3:$V$381,MATCH($B100&amp;$C100,'Emission factors'!$K$3:$K$381&amp;'Emission factors'!$L$3:$L$381,0),MATCH(R$52,'Emission factors'!$K$2:$V$2,0)))*$I100)</f>
        <v/>
      </c>
      <c r="S100" s="388" t="str" cm="1">
        <f t="array" ref="S100">IF(OR($B100="",$G100="",ProjectWasteTable[[#This Row],[Converted data]]=""),"",(INDEX('Emission factors'!$K$3:$V$381,MATCH($B100&amp;$C100,'Emission factors'!$K$3:$K$381&amp;'Emission factors'!$L$3:$L$381,0),MATCH(S$52,'Emission factors'!$K$2:$V$2,0)))*$I100)</f>
        <v/>
      </c>
      <c r="T100" s="389" t="str">
        <f>IF(OR(ProjectWasteTable[[#This Row],[RSD]]="",ProjectWasteTable[[#This Row],[Total emissions]]=""),"",ProjectWasteTable[[#This Row],[Total emissions]]*(1+ProjectWasteTable[[#This Row],[RSD]]))</f>
        <v/>
      </c>
      <c r="U100" s="393" t="str">
        <f>IF(OR(ProjectWasteTable[[#This Row],[RSD]]="",ProjectWasteTable[[#This Row],[Total emissions]]=""), "",ProjectWasteTable[[#This Row],[Total emissions]]*(1-ProjectWasteTable[[#This Row],[RSD]]))</f>
        <v/>
      </c>
      <c r="V100" s="394" t="str" cm="1">
        <f t="array" ref="V100">IF(OR($B100="",$G100="",ProjectWasteTable[[#This Row],[Converted data]]=""),"",(INDEX('Emission factors'!$K$3:$V$381,MATCH($B100&amp;$C100,'Emission factors'!$K$3:$K$381&amp;'Emission factors'!$L$3:$L$381,0),MATCH(V$52,'Emission factors'!$K$2:$V$2,0)))*$I100)</f>
        <v/>
      </c>
      <c r="W100" s="351"/>
      <c r="X100" s="1" cm="1">
        <f t="array" ref="X100">IF(OR(ISERROR(B100:V100)),1,0)</f>
        <v>0</v>
      </c>
      <c r="Y100" s="1">
        <f t="shared" si="3"/>
        <v>0</v>
      </c>
    </row>
    <row r="101" spans="2:25" ht="15" thickBot="1" x14ac:dyDescent="0.4">
      <c r="B101" s="100"/>
      <c r="C101" s="101"/>
      <c r="D101" s="6"/>
      <c r="E101" s="101"/>
      <c r="F101" s="352" t="str">
        <f>IF(E101="","",INDEX(Methodologytier,MATCH(B$82,Lists!$AZ$4:$AZ$32,0),MATCH(E101,Lists!$BA$3:$BC$3,0)))</f>
        <v/>
      </c>
      <c r="G101" s="70"/>
      <c r="H101" s="101"/>
      <c r="I101" s="333" t="str" cm="1">
        <f t="array" ref="I101">IF(OR($B101="",$C101="",H101=""),"",IF(H101=J101,G101,(INDEX('Emission factors'!$K$3:$V$381,MATCH($B101&amp;$C101,'Emission factors'!$K$3:$K$381&amp;'Emission factors'!$L$3:$L$381,0),MATCH($I$52,'Emission factors'!$K$2:$V$2,0)))*G101))</f>
        <v/>
      </c>
      <c r="J101" s="332" t="str" cm="1">
        <f t="array" ref="J101">IF(OR($B101="",$C101="",ProjectWasteTable[[#Headers],[Units]]=""),"",INDEX('Emission factors'!$K$3:$V$381,MATCH($B101&amp;$C101,'Emission factors'!$K$3:$K$381&amp;'Emission factors'!$L$3:$L$381,0),MATCH($J$83,'Emission factors'!$K$2:$V$2,0)))</f>
        <v/>
      </c>
      <c r="K101" s="332" t="str" cm="1">
        <f t="array" ref="K101">IF(OR(B101="",C101="",ProjectWasteTable[[#This Row],[Data]]=""),"",INDEX('Emission factors'!$K$3:$V$381,MATCH($B101&amp;$C101,'Emission factors'!$K$3:$K$381&amp;'Emission factors'!$L$3:$L$381,0),MATCH($K$52,'Emission factors'!$K$2:$V$2,0)))</f>
        <v/>
      </c>
      <c r="L101" s="333">
        <f>SUM(ProjectWasteTable[[#This Row],[Direct]:[Indirect WTT]])</f>
        <v>0</v>
      </c>
      <c r="M101" s="103"/>
      <c r="N101" s="101"/>
      <c r="O101" s="388" t="str" cm="1">
        <f t="array" ref="O101">IF(OR($B101="",$G101="",ProjectWasteTable[Converted data]=""),"",(INDEX('Emission factors'!$K$3:$V$381,MATCH($B101&amp;$C101,'Emission factors'!$K$3:$K$381&amp;'Emission factors'!$L$3:$L$381,0),MATCH(O$52,'Emission factors'!$K$2:$V$2,0)))*$I101)</f>
        <v/>
      </c>
      <c r="P101" s="388" t="str" cm="1">
        <f t="array" ref="P101">IF(OR($B101="",$G101="",ProjectWasteTable[[#This Row],[Converted data]]=""),"",(INDEX('Emission factors'!$K$3:$V$381,MATCH($B101&amp;$C101,'Emission factors'!$K$3:$K$381&amp;'Emission factors'!$L$3:$L$381,0),MATCH(P$52,'Emission factors'!$K$2:$V$2,0)))*$I101)</f>
        <v/>
      </c>
      <c r="Q101" s="388" t="str" cm="1">
        <f t="array" ref="Q101">IF(OR($B101="",$G101="",ProjectWasteTable[[#This Row],[Converted data]]=""),"",(INDEX('Emission factors'!$K$3:$V$381,MATCH($B101&amp;$C101,'Emission factors'!$K$3:$K$381&amp;'Emission factors'!$L$3:$L$381,0),MATCH(Q$52,'Emission factors'!$K$2:$V$2,0)))*$I101)</f>
        <v/>
      </c>
      <c r="R101" s="388" t="str" cm="1">
        <f t="array" ref="R101">IF(OR($B101="",$G101="",ProjectWasteTable[[#This Row],[Converted data]]=""),"",(INDEX('Emission factors'!$K$3:$V$381,MATCH($B101&amp;$C101,'Emission factors'!$K$3:$K$381&amp;'Emission factors'!$L$3:$L$381,0),MATCH(R$52,'Emission factors'!$K$2:$V$2,0)))*$I101)</f>
        <v/>
      </c>
      <c r="S101" s="388" t="str" cm="1">
        <f t="array" ref="S101">IF(OR($B101="",$G101="",ProjectWasteTable[[#This Row],[Converted data]]=""),"",(INDEX('Emission factors'!$K$3:$V$381,MATCH($B101&amp;$C101,'Emission factors'!$K$3:$K$381&amp;'Emission factors'!$L$3:$L$381,0),MATCH(S$52,'Emission factors'!$K$2:$V$2,0)))*$I101)</f>
        <v/>
      </c>
      <c r="T101" s="389" t="str">
        <f>IF(OR(ProjectWasteTable[[#This Row],[RSD]]="",ProjectWasteTable[[#This Row],[Total emissions]]=""),"",ProjectWasteTable[[#This Row],[Total emissions]]*(1+ProjectWasteTable[[#This Row],[RSD]]))</f>
        <v/>
      </c>
      <c r="U101" s="393" t="str">
        <f>IF(OR(ProjectWasteTable[[#This Row],[RSD]]="",ProjectWasteTable[[#This Row],[Total emissions]]=""), "",ProjectWasteTable[[#This Row],[Total emissions]]*(1-ProjectWasteTable[[#This Row],[RSD]]))</f>
        <v/>
      </c>
      <c r="V101" s="394" t="str" cm="1">
        <f t="array" ref="V101">IF(OR($B101="",$G101="",ProjectWasteTable[[#This Row],[Converted data]]=""),"",(INDEX('Emission factors'!$K$3:$V$381,MATCH($B101&amp;$C101,'Emission factors'!$K$3:$K$381&amp;'Emission factors'!$L$3:$L$381,0),MATCH(V$52,'Emission factors'!$K$2:$V$2,0)))*$I101)</f>
        <v/>
      </c>
      <c r="W101" s="351"/>
      <c r="X101" s="1" cm="1">
        <f t="array" ref="X101">IF(OR(ISERROR(B101:V101)),1,0)</f>
        <v>0</v>
      </c>
      <c r="Y101" s="1">
        <f t="shared" si="3"/>
        <v>0</v>
      </c>
    </row>
    <row r="102" spans="2:25" ht="15" thickBot="1" x14ac:dyDescent="0.4">
      <c r="B102" s="100"/>
      <c r="C102" s="101"/>
      <c r="D102" s="6"/>
      <c r="E102" s="101"/>
      <c r="F102" s="352" t="str">
        <f>IF(E102="","",INDEX(Methodologytier,MATCH(B$82,Lists!$AZ$4:$AZ$32,0),MATCH(E102,Lists!$BA$3:$BC$3,0)))</f>
        <v/>
      </c>
      <c r="G102" s="70"/>
      <c r="H102" s="101"/>
      <c r="I102" s="333" t="str" cm="1">
        <f t="array" ref="I102">IF(OR($B102="",$C102="",H102=""),"",IF(H102=J102,G102,(INDEX('Emission factors'!$K$3:$V$381,MATCH($B102&amp;$C102,'Emission factors'!$K$3:$K$381&amp;'Emission factors'!$L$3:$L$381,0),MATCH($I$52,'Emission factors'!$K$2:$V$2,0)))*G102))</f>
        <v/>
      </c>
      <c r="J102" s="332" t="str" cm="1">
        <f t="array" ref="J102">IF(OR($B102="",$C102="",ProjectWasteTable[[#Headers],[Units]]=""),"",INDEX('Emission factors'!$K$3:$V$381,MATCH($B102&amp;$C102,'Emission factors'!$K$3:$K$381&amp;'Emission factors'!$L$3:$L$381,0),MATCH($J$83,'Emission factors'!$K$2:$V$2,0)))</f>
        <v/>
      </c>
      <c r="K102" s="332" t="str" cm="1">
        <f t="array" ref="K102">IF(OR(B102="",C102="",ProjectWasteTable[[#This Row],[Data]]=""),"",INDEX('Emission factors'!$K$3:$V$381,MATCH($B102&amp;$C102,'Emission factors'!$K$3:$K$381&amp;'Emission factors'!$L$3:$L$381,0),MATCH($K$52,'Emission factors'!$K$2:$V$2,0)))</f>
        <v/>
      </c>
      <c r="L102" s="333">
        <f>SUM(ProjectWasteTable[[#This Row],[Direct]:[Indirect WTT]])</f>
        <v>0</v>
      </c>
      <c r="M102" s="103"/>
      <c r="N102" s="101"/>
      <c r="O102" s="388" t="str" cm="1">
        <f t="array" ref="O102">IF(OR($B102="",$G102="",ProjectWasteTable[Converted data]=""),"",(INDEX('Emission factors'!$K$3:$V$381,MATCH($B102&amp;$C102,'Emission factors'!$K$3:$K$381&amp;'Emission factors'!$L$3:$L$381,0),MATCH(O$52,'Emission factors'!$K$2:$V$2,0)))*$I102)</f>
        <v/>
      </c>
      <c r="P102" s="388" t="str" cm="1">
        <f t="array" ref="P102">IF(OR($B102="",$G102="",ProjectWasteTable[[#This Row],[Converted data]]=""),"",(INDEX('Emission factors'!$K$3:$V$381,MATCH($B102&amp;$C102,'Emission factors'!$K$3:$K$381&amp;'Emission factors'!$L$3:$L$381,0),MATCH(P$52,'Emission factors'!$K$2:$V$2,0)))*$I102)</f>
        <v/>
      </c>
      <c r="Q102" s="388" t="str" cm="1">
        <f t="array" ref="Q102">IF(OR($B102="",$G102="",ProjectWasteTable[[#This Row],[Converted data]]=""),"",(INDEX('Emission factors'!$K$3:$V$381,MATCH($B102&amp;$C102,'Emission factors'!$K$3:$K$381&amp;'Emission factors'!$L$3:$L$381,0),MATCH(Q$52,'Emission factors'!$K$2:$V$2,0)))*$I102)</f>
        <v/>
      </c>
      <c r="R102" s="388" t="str" cm="1">
        <f t="array" ref="R102">IF(OR($B102="",$G102="",ProjectWasteTable[[#This Row],[Converted data]]=""),"",(INDEX('Emission factors'!$K$3:$V$381,MATCH($B102&amp;$C102,'Emission factors'!$K$3:$K$381&amp;'Emission factors'!$L$3:$L$381,0),MATCH(R$52,'Emission factors'!$K$2:$V$2,0)))*$I102)</f>
        <v/>
      </c>
      <c r="S102" s="388" t="str" cm="1">
        <f t="array" ref="S102">IF(OR($B102="",$G102="",ProjectWasteTable[[#This Row],[Converted data]]=""),"",(INDEX('Emission factors'!$K$3:$V$381,MATCH($B102&amp;$C102,'Emission factors'!$K$3:$K$381&amp;'Emission factors'!$L$3:$L$381,0),MATCH(S$52,'Emission factors'!$K$2:$V$2,0)))*$I102)</f>
        <v/>
      </c>
      <c r="T102" s="389" t="str">
        <f>IF(OR(ProjectWasteTable[[#This Row],[RSD]]="",ProjectWasteTable[[#This Row],[Total emissions]]=""),"",ProjectWasteTable[[#This Row],[Total emissions]]*(1+ProjectWasteTable[[#This Row],[RSD]]))</f>
        <v/>
      </c>
      <c r="U102" s="393" t="str">
        <f>IF(OR(ProjectWasteTable[[#This Row],[RSD]]="",ProjectWasteTable[[#This Row],[Total emissions]]=""), "",ProjectWasteTable[[#This Row],[Total emissions]]*(1-ProjectWasteTable[[#This Row],[RSD]]))</f>
        <v/>
      </c>
      <c r="V102" s="394" t="str" cm="1">
        <f t="array" ref="V102">IF(OR($B102="",$G102="",ProjectWasteTable[[#This Row],[Converted data]]=""),"",(INDEX('Emission factors'!$K$3:$V$381,MATCH($B102&amp;$C102,'Emission factors'!$K$3:$K$381&amp;'Emission factors'!$L$3:$L$381,0),MATCH(V$52,'Emission factors'!$K$2:$V$2,0)))*$I102)</f>
        <v/>
      </c>
      <c r="W102" s="351"/>
      <c r="X102" s="1" cm="1">
        <f t="array" ref="X102">IF(OR(ISERROR(B102:V102)),1,0)</f>
        <v>0</v>
      </c>
      <c r="Y102" s="1">
        <f t="shared" si="3"/>
        <v>0</v>
      </c>
    </row>
    <row r="103" spans="2:25" ht="15" thickBot="1" x14ac:dyDescent="0.4">
      <c r="B103" s="100"/>
      <c r="C103" s="101"/>
      <c r="D103" s="6"/>
      <c r="E103" s="101"/>
      <c r="F103" s="352" t="str">
        <f>IF(E103="","",INDEX(Methodologytier,MATCH(B$82,Lists!$AZ$4:$AZ$32,0),MATCH(E103,Lists!$BA$3:$BC$3,0)))</f>
        <v/>
      </c>
      <c r="G103" s="70"/>
      <c r="H103" s="101"/>
      <c r="I103" s="333" t="str" cm="1">
        <f t="array" ref="I103">IF(OR($B103="",$C103="",H103=""),"",IF(H103=J103,G103,(INDEX('Emission factors'!$K$3:$V$381,MATCH($B103&amp;$C103,'Emission factors'!$K$3:$K$381&amp;'Emission factors'!$L$3:$L$381,0),MATCH($I$52,'Emission factors'!$K$2:$V$2,0)))*G103))</f>
        <v/>
      </c>
      <c r="J103" s="332" t="str" cm="1">
        <f t="array" ref="J103">IF(OR($B103="",$C103="",ProjectWasteTable[[#Headers],[Units]]=""),"",INDEX('Emission factors'!$K$3:$V$381,MATCH($B103&amp;$C103,'Emission factors'!$K$3:$K$381&amp;'Emission factors'!$L$3:$L$381,0),MATCH($J$83,'Emission factors'!$K$2:$V$2,0)))</f>
        <v/>
      </c>
      <c r="K103" s="332" t="str" cm="1">
        <f t="array" ref="K103">IF(OR(B103="",C103="",ProjectWasteTable[[#This Row],[Data]]=""),"",INDEX('Emission factors'!$K$3:$V$381,MATCH($B103&amp;$C103,'Emission factors'!$K$3:$K$381&amp;'Emission factors'!$L$3:$L$381,0),MATCH($K$52,'Emission factors'!$K$2:$V$2,0)))</f>
        <v/>
      </c>
      <c r="L103" s="333">
        <f>SUM(ProjectWasteTable[[#This Row],[Direct]:[Indirect WTT]])</f>
        <v>0</v>
      </c>
      <c r="M103" s="103"/>
      <c r="N103" s="101"/>
      <c r="O103" s="388" t="str" cm="1">
        <f t="array" ref="O103">IF(OR($B103="",$G103="",ProjectWasteTable[Converted data]=""),"",(INDEX('Emission factors'!$K$3:$V$381,MATCH($B103&amp;$C103,'Emission factors'!$K$3:$K$381&amp;'Emission factors'!$L$3:$L$381,0),MATCH(O$52,'Emission factors'!$K$2:$V$2,0)))*$I103)</f>
        <v/>
      </c>
      <c r="P103" s="388" t="str" cm="1">
        <f t="array" ref="P103">IF(OR($B103="",$G103="",ProjectWasteTable[[#This Row],[Converted data]]=""),"",(INDEX('Emission factors'!$K$3:$V$381,MATCH($B103&amp;$C103,'Emission factors'!$K$3:$K$381&amp;'Emission factors'!$L$3:$L$381,0),MATCH(P$52,'Emission factors'!$K$2:$V$2,0)))*$I103)</f>
        <v/>
      </c>
      <c r="Q103" s="388" t="str" cm="1">
        <f t="array" ref="Q103">IF(OR($B103="",$G103="",ProjectWasteTable[[#This Row],[Converted data]]=""),"",(INDEX('Emission factors'!$K$3:$V$381,MATCH($B103&amp;$C103,'Emission factors'!$K$3:$K$381&amp;'Emission factors'!$L$3:$L$381,0),MATCH(Q$52,'Emission factors'!$K$2:$V$2,0)))*$I103)</f>
        <v/>
      </c>
      <c r="R103" s="388" t="str" cm="1">
        <f t="array" ref="R103">IF(OR($B103="",$G103="",ProjectWasteTable[[#This Row],[Converted data]]=""),"",(INDEX('Emission factors'!$K$3:$V$381,MATCH($B103&amp;$C103,'Emission factors'!$K$3:$K$381&amp;'Emission factors'!$L$3:$L$381,0),MATCH(R$52,'Emission factors'!$K$2:$V$2,0)))*$I103)</f>
        <v/>
      </c>
      <c r="S103" s="388" t="str" cm="1">
        <f t="array" ref="S103">IF(OR($B103="",$G103="",ProjectWasteTable[[#This Row],[Converted data]]=""),"",(INDEX('Emission factors'!$K$3:$V$381,MATCH($B103&amp;$C103,'Emission factors'!$K$3:$K$381&amp;'Emission factors'!$L$3:$L$381,0),MATCH(S$52,'Emission factors'!$K$2:$V$2,0)))*$I103)</f>
        <v/>
      </c>
      <c r="T103" s="389" t="str">
        <f>IF(OR(ProjectWasteTable[[#This Row],[RSD]]="",ProjectWasteTable[[#This Row],[Total emissions]]=""),"",ProjectWasteTable[[#This Row],[Total emissions]]*(1+ProjectWasteTable[[#This Row],[RSD]]))</f>
        <v/>
      </c>
      <c r="U103" s="393" t="str">
        <f>IF(OR(ProjectWasteTable[[#This Row],[RSD]]="",ProjectWasteTable[[#This Row],[Total emissions]]=""), "",ProjectWasteTable[[#This Row],[Total emissions]]*(1-ProjectWasteTable[[#This Row],[RSD]]))</f>
        <v/>
      </c>
      <c r="V103" s="394" t="str" cm="1">
        <f t="array" ref="V103">IF(OR($B103="",$G103="",ProjectWasteTable[[#This Row],[Converted data]]=""),"",(INDEX('Emission factors'!$K$3:$V$381,MATCH($B103&amp;$C103,'Emission factors'!$K$3:$K$381&amp;'Emission factors'!$L$3:$L$381,0),MATCH(V$52,'Emission factors'!$K$2:$V$2,0)))*$I103)</f>
        <v/>
      </c>
      <c r="W103" s="351"/>
      <c r="X103" s="1" cm="1">
        <f t="array" ref="X103">IF(OR(ISERROR(B103:V103)),1,0)</f>
        <v>0</v>
      </c>
      <c r="Y103" s="1">
        <f t="shared" si="3"/>
        <v>0</v>
      </c>
    </row>
    <row r="104" spans="2:25" ht="15" thickBot="1" x14ac:dyDescent="0.4">
      <c r="B104" s="100"/>
      <c r="C104" s="101"/>
      <c r="D104" s="6"/>
      <c r="E104" s="101"/>
      <c r="F104" s="352" t="str">
        <f>IF(E104="","",INDEX(Methodologytier,MATCH(B$82,Lists!$AZ$4:$AZ$32,0),MATCH(E104,Lists!$BA$3:$BC$3,0)))</f>
        <v/>
      </c>
      <c r="G104" s="70"/>
      <c r="H104" s="101"/>
      <c r="I104" s="333" t="str" cm="1">
        <f t="array" ref="I104">IF(OR($B104="",$C104="",H104=""),"",IF(H104=J104,G104,(INDEX('Emission factors'!$K$3:$V$381,MATCH($B104&amp;$C104,'Emission factors'!$K$3:$K$381&amp;'Emission factors'!$L$3:$L$381,0),MATCH($I$52,'Emission factors'!$K$2:$V$2,0)))*G104))</f>
        <v/>
      </c>
      <c r="J104" s="332" t="str" cm="1">
        <f t="array" ref="J104">IF(OR($B104="",$C104="",ProjectWasteTable[[#Headers],[Units]]=""),"",INDEX('Emission factors'!$K$3:$V$381,MATCH($B104&amp;$C104,'Emission factors'!$K$3:$K$381&amp;'Emission factors'!$L$3:$L$381,0),MATCH($J$83,'Emission factors'!$K$2:$V$2,0)))</f>
        <v/>
      </c>
      <c r="K104" s="332" t="str" cm="1">
        <f t="array" ref="K104">IF(OR(B104="",C104="",ProjectWasteTable[[#This Row],[Data]]=""),"",INDEX('Emission factors'!$K$3:$V$381,MATCH($B104&amp;$C104,'Emission factors'!$K$3:$K$381&amp;'Emission factors'!$L$3:$L$381,0),MATCH($K$52,'Emission factors'!$K$2:$V$2,0)))</f>
        <v/>
      </c>
      <c r="L104" s="333">
        <f>SUM(ProjectWasteTable[[#This Row],[Direct]:[Indirect WTT]])</f>
        <v>0</v>
      </c>
      <c r="M104" s="103"/>
      <c r="N104" s="101"/>
      <c r="O104" s="388" t="str" cm="1">
        <f t="array" ref="O104">IF(OR($B104="",$G104="",ProjectWasteTable[Converted data]=""),"",(INDEX('Emission factors'!$K$3:$V$381,MATCH($B104&amp;$C104,'Emission factors'!$K$3:$K$381&amp;'Emission factors'!$L$3:$L$381,0),MATCH(O$52,'Emission factors'!$K$2:$V$2,0)))*$I104)</f>
        <v/>
      </c>
      <c r="P104" s="388" t="str" cm="1">
        <f t="array" ref="P104">IF(OR($B104="",$G104="",ProjectWasteTable[[#This Row],[Converted data]]=""),"",(INDEX('Emission factors'!$K$3:$V$381,MATCH($B104&amp;$C104,'Emission factors'!$K$3:$K$381&amp;'Emission factors'!$L$3:$L$381,0),MATCH(P$52,'Emission factors'!$K$2:$V$2,0)))*$I104)</f>
        <v/>
      </c>
      <c r="Q104" s="388" t="str" cm="1">
        <f t="array" ref="Q104">IF(OR($B104="",$G104="",ProjectWasteTable[[#This Row],[Converted data]]=""),"",(INDEX('Emission factors'!$K$3:$V$381,MATCH($B104&amp;$C104,'Emission factors'!$K$3:$K$381&amp;'Emission factors'!$L$3:$L$381,0),MATCH(Q$52,'Emission factors'!$K$2:$V$2,0)))*$I104)</f>
        <v/>
      </c>
      <c r="R104" s="388" t="str" cm="1">
        <f t="array" ref="R104">IF(OR($B104="",$G104="",ProjectWasteTable[[#This Row],[Converted data]]=""),"",(INDEX('Emission factors'!$K$3:$V$381,MATCH($B104&amp;$C104,'Emission factors'!$K$3:$K$381&amp;'Emission factors'!$L$3:$L$381,0),MATCH(R$52,'Emission factors'!$K$2:$V$2,0)))*$I104)</f>
        <v/>
      </c>
      <c r="S104" s="388" t="str" cm="1">
        <f t="array" ref="S104">IF(OR($B104="",$G104="",ProjectWasteTable[[#This Row],[Converted data]]=""),"",(INDEX('Emission factors'!$K$3:$V$381,MATCH($B104&amp;$C104,'Emission factors'!$K$3:$K$381&amp;'Emission factors'!$L$3:$L$381,0),MATCH(S$52,'Emission factors'!$K$2:$V$2,0)))*$I104)</f>
        <v/>
      </c>
      <c r="T104" s="389" t="str">
        <f>IF(OR(ProjectWasteTable[[#This Row],[RSD]]="",ProjectWasteTable[[#This Row],[Total emissions]]=""),"",ProjectWasteTable[[#This Row],[Total emissions]]*(1+ProjectWasteTable[[#This Row],[RSD]]))</f>
        <v/>
      </c>
      <c r="U104" s="393" t="str">
        <f>IF(OR(ProjectWasteTable[[#This Row],[RSD]]="",ProjectWasteTable[[#This Row],[Total emissions]]=""), "",ProjectWasteTable[[#This Row],[Total emissions]]*(1-ProjectWasteTable[[#This Row],[RSD]]))</f>
        <v/>
      </c>
      <c r="V104" s="394" t="str" cm="1">
        <f t="array" ref="V104">IF(OR($B104="",$G104="",ProjectWasteTable[[#This Row],[Converted data]]=""),"",(INDEX('Emission factors'!$K$3:$V$381,MATCH($B104&amp;$C104,'Emission factors'!$K$3:$K$381&amp;'Emission factors'!$L$3:$L$381,0),MATCH(V$52,'Emission factors'!$K$2:$V$2,0)))*$I104)</f>
        <v/>
      </c>
      <c r="W104" s="351"/>
      <c r="X104" s="1" cm="1">
        <f t="array" ref="X104">IF(OR(ISERROR(B104:V104)),1,0)</f>
        <v>0</v>
      </c>
      <c r="Y104" s="1">
        <f t="shared" si="3"/>
        <v>0</v>
      </c>
    </row>
    <row r="105" spans="2:25" ht="15" thickBot="1" x14ac:dyDescent="0.4">
      <c r="B105" s="100"/>
      <c r="C105" s="101"/>
      <c r="D105" s="6"/>
      <c r="E105" s="102"/>
      <c r="F105" s="352" t="str">
        <f>IF(E105="","",INDEX(Methodologytier,MATCH(B$82,Lists!$AZ$4:$AZ$32,0),MATCH(E105,Lists!$BA$3:$BC$3,0)))</f>
        <v/>
      </c>
      <c r="G105" s="70"/>
      <c r="H105" s="102"/>
      <c r="I105" s="333" t="str" cm="1">
        <f t="array" ref="I105">IF(OR($B105="",$C105="",H105=""),"",IF(H105=J105,G105,(INDEX('Emission factors'!$K$3:$V$381,MATCH($B105&amp;$C105,'Emission factors'!$K$3:$K$381&amp;'Emission factors'!$L$3:$L$381,0),MATCH($I$52,'Emission factors'!$K$2:$V$2,0)))*G105))</f>
        <v/>
      </c>
      <c r="J105" s="332" t="str" cm="1">
        <f t="array" ref="J105">IF(OR($B105="",$C105="",ProjectWasteTable[[#Headers],[Units]]=""),"",INDEX('Emission factors'!$K$3:$V$381,MATCH($B105&amp;$C105,'Emission factors'!$K$3:$K$381&amp;'Emission factors'!$L$3:$L$381,0),MATCH($J$83,'Emission factors'!$K$2:$V$2,0)))</f>
        <v/>
      </c>
      <c r="K105" s="332" t="str" cm="1">
        <f t="array" ref="K105">IF(OR(B105="",C105="",ProjectWasteTable[[#This Row],[Data]]=""),"",INDEX('Emission factors'!$K$3:$V$381,MATCH($B105&amp;$C105,'Emission factors'!$K$3:$K$381&amp;'Emission factors'!$L$3:$L$381,0),MATCH($K$52,'Emission factors'!$K$2:$V$2,0)))</f>
        <v/>
      </c>
      <c r="L105" s="333">
        <f>SUM(ProjectWasteTable[[#This Row],[Direct]:[Indirect WTT]])</f>
        <v>0</v>
      </c>
      <c r="M105" s="104"/>
      <c r="N105" s="102"/>
      <c r="O105" s="388" t="str" cm="1">
        <f t="array" ref="O105">IF(OR($B105="",$G105="",ProjectWasteTable[Converted data]=""),"",(INDEX('Emission factors'!$K$3:$V$381,MATCH($B105&amp;$C105,'Emission factors'!$K$3:$K$381&amp;'Emission factors'!$L$3:$L$381,0),MATCH(O$52,'Emission factors'!$K$2:$V$2,0)))*$I105)</f>
        <v/>
      </c>
      <c r="P105" s="388" t="str" cm="1">
        <f t="array" ref="P105">IF(OR($B105="",$G105="",ProjectWasteTable[[#This Row],[Converted data]]=""),"",(INDEX('Emission factors'!$K$3:$V$381,MATCH($B105&amp;$C105,'Emission factors'!$K$3:$K$381&amp;'Emission factors'!$L$3:$L$381,0),MATCH(P$52,'Emission factors'!$K$2:$V$2,0)))*$I105)</f>
        <v/>
      </c>
      <c r="Q105" s="388" t="str" cm="1">
        <f t="array" ref="Q105">IF(OR($B105="",$G105="",ProjectWasteTable[[#This Row],[Converted data]]=""),"",(INDEX('Emission factors'!$K$3:$V$381,MATCH($B105&amp;$C105,'Emission factors'!$K$3:$K$381&amp;'Emission factors'!$L$3:$L$381,0),MATCH(Q$52,'Emission factors'!$K$2:$V$2,0)))*$I105)</f>
        <v/>
      </c>
      <c r="R105" s="388" t="str" cm="1">
        <f t="array" ref="R105">IF(OR($B105="",$G105="",ProjectWasteTable[[#This Row],[Converted data]]=""),"",(INDEX('Emission factors'!$K$3:$V$381,MATCH($B105&amp;$C105,'Emission factors'!$K$3:$K$381&amp;'Emission factors'!$L$3:$L$381,0),MATCH(R$52,'Emission factors'!$K$2:$V$2,0)))*$I105)</f>
        <v/>
      </c>
      <c r="S105" s="388" t="str" cm="1">
        <f t="array" ref="S105">IF(OR($B105="",$G105="",ProjectWasteTable[[#This Row],[Converted data]]=""),"",(INDEX('Emission factors'!$K$3:$V$381,MATCH($B105&amp;$C105,'Emission factors'!$K$3:$K$381&amp;'Emission factors'!$L$3:$L$381,0),MATCH(S$52,'Emission factors'!$K$2:$V$2,0)))*$I105)</f>
        <v/>
      </c>
      <c r="T105" s="389" t="str">
        <f>IF(OR(ProjectWasteTable[[#This Row],[RSD]]="",ProjectWasteTable[[#This Row],[Total emissions]]=""),"",ProjectWasteTable[[#This Row],[Total emissions]]*(1+ProjectWasteTable[[#This Row],[RSD]]))</f>
        <v/>
      </c>
      <c r="U105" s="395" t="str">
        <f>IF(OR(ProjectWasteTable[[#This Row],[RSD]]="",ProjectWasteTable[[#This Row],[Total emissions]]=""), "",ProjectWasteTable[[#This Row],[Total emissions]]*(1-ProjectWasteTable[[#This Row],[RSD]]))</f>
        <v/>
      </c>
      <c r="V105" s="396" t="str" cm="1">
        <f t="array" ref="V105">IF(OR($B105="",$G105="",ProjectWasteTable[[#This Row],[Converted data]]=""),"",(INDEX('Emission factors'!$K$3:$V$381,MATCH($B105&amp;$C105,'Emission factors'!$K$3:$K$381&amp;'Emission factors'!$L$3:$L$381,0),MATCH(V$52,'Emission factors'!$K$2:$V$2,0)))*$I105)</f>
        <v/>
      </c>
      <c r="W105" s="351"/>
      <c r="X105" s="1" cm="1">
        <f t="array" ref="X105">IF(OR(ISERROR(B105:V105)),1,0)</f>
        <v>0</v>
      </c>
      <c r="Y105" s="1">
        <f t="shared" si="3"/>
        <v>0</v>
      </c>
    </row>
    <row r="106" spans="2:25" x14ac:dyDescent="0.35">
      <c r="T106" s="19"/>
      <c r="U106" s="150"/>
    </row>
    <row r="107" spans="2:25" x14ac:dyDescent="0.35">
      <c r="B107" s="11"/>
    </row>
  </sheetData>
  <sheetProtection algorithmName="SHA-512" hashValue="xzdvK0azSrsEFxLBLRnDtOtUrdYnKLlwbOvjZS42pZzVr8FfByKzlGswARQTR/cEOaNn+yvXHqPaALD6PrzhFA==" saltValue="Ct0d3ihUH63ymYIYtRcF6w==" spinCount="100000" sheet="1" objects="1" scenarios="1"/>
  <mergeCells count="8">
    <mergeCell ref="B4:L4"/>
    <mergeCell ref="B3:L3"/>
    <mergeCell ref="Q1:R1"/>
    <mergeCell ref="Q2:R2"/>
    <mergeCell ref="N2:P2"/>
    <mergeCell ref="N1:P1"/>
    <mergeCell ref="B2:F2"/>
    <mergeCell ref="G2:K2"/>
  </mergeCells>
  <conditionalFormatting sqref="B8:V48 B53:V80 B84:V105">
    <cfRule type="expression" dxfId="35" priority="2">
      <formula>IF($X8=1,1,0)</formula>
    </cfRule>
  </conditionalFormatting>
  <conditionalFormatting sqref="C51">
    <cfRule type="expression" dxfId="34" priority="1">
      <formula>IF(AND($C$51="",$Y$52&gt;0),1,0)</formula>
    </cfRule>
  </conditionalFormatting>
  <conditionalFormatting sqref="H6">
    <cfRule type="containsText" dxfId="33" priority="7" operator="containsText" text="There are errors">
      <formula>NOT(ISERROR(SEARCH("There are errors",H6)))</formula>
    </cfRule>
    <cfRule type="containsText" dxfId="32" priority="8" operator="containsText" text="No errors in this table">
      <formula>NOT(ISERROR(SEARCH("No errors in this table",H6)))</formula>
    </cfRule>
  </conditionalFormatting>
  <conditionalFormatting sqref="H51">
    <cfRule type="containsText" dxfId="31" priority="5" operator="containsText" text="There are errors">
      <formula>NOT(ISERROR(SEARCH("There are errors",H51)))</formula>
    </cfRule>
    <cfRule type="containsText" dxfId="30" priority="6" operator="containsText" text="No errors in this table">
      <formula>NOT(ISERROR(SEARCH("No errors in this table",H51)))</formula>
    </cfRule>
  </conditionalFormatting>
  <conditionalFormatting sqref="H82">
    <cfRule type="containsText" dxfId="29" priority="3" operator="containsText" text="There are errors">
      <formula>NOT(ISERROR(SEARCH("There are errors",H82)))</formula>
    </cfRule>
    <cfRule type="containsText" dxfId="28" priority="4" operator="containsText" text="No errors in this table">
      <formula>NOT(ISERROR(SEARCH("No errors in this table",H82)))</formula>
    </cfRule>
  </conditionalFormatting>
  <dataValidations count="10">
    <dataValidation type="list" allowBlank="1" showInputMessage="1" showErrorMessage="1" sqref="B53:B80" xr:uid="{00000000-0002-0000-0500-000000000000}">
      <formula1>INDIRECT(SUBSTITUTE($B$50," ",""))</formula1>
    </dataValidation>
    <dataValidation type="list" allowBlank="1" showInputMessage="1" showErrorMessage="1" sqref="E8:E48 E96:E105" xr:uid="{00000000-0002-0000-0500-000001000000}">
      <formula1>Methodologyall</formula1>
    </dataValidation>
    <dataValidation type="list" allowBlank="1" showInputMessage="1" showErrorMessage="1" sqref="N8:N48 N53:N80 N84:N105" xr:uid="{00000000-0002-0000-0500-000002000000}">
      <formula1>Ease</formula1>
    </dataValidation>
    <dataValidation type="list" allowBlank="1" showInputMessage="1" showErrorMessage="1" sqref="H8:H48 H84:H105 H53:H80" xr:uid="{00000000-0002-0000-0500-000003000000}">
      <formula1>Wasteunits</formula1>
    </dataValidation>
    <dataValidation type="list" allowBlank="1" showInputMessage="1" showErrorMessage="1" sqref="C8:C48 C53:C80 C84:C105" xr:uid="{00000000-0002-0000-0500-000004000000}">
      <formula1>INDIRECT(SUBSTITUTE(B8," ",""))</formula1>
    </dataValidation>
    <dataValidation type="decimal" operator="greaterThan" allowBlank="1" showInputMessage="1" showErrorMessage="1" errorTitle="Numeric data" error="Please enter a number greater than zero" sqref="G8:G48 G53:G80 G84:G105" xr:uid="{00000000-0002-0000-0500-000005000000}">
      <formula1>0</formula1>
    </dataValidation>
    <dataValidation type="list" allowBlank="1" showInputMessage="1" showErrorMessage="1" sqref="B8:B48" xr:uid="{00000000-0002-0000-0500-000006000000}">
      <formula1>INDIRECT(SUBSTITUTE($B$6," ",""))</formula1>
    </dataValidation>
    <dataValidation type="list" allowBlank="1" showInputMessage="1" showErrorMessage="1" sqref="B84:B105" xr:uid="{00000000-0002-0000-0500-000007000000}">
      <formula1>INDIRECT(SUBSTITUTE($B$82," ",""))</formula1>
    </dataValidation>
    <dataValidation type="list" allowBlank="1" showInputMessage="1" showErrorMessage="1" sqref="C51" xr:uid="{04FB5FCC-EAC6-487C-819F-F35D18128655}">
      <formula1>Yesno</formula1>
    </dataValidation>
    <dataValidation type="list" allowBlank="1" showInputMessage="1" showErrorMessage="1" sqref="E53:E80 E84:E95" xr:uid="{3A84C8F8-E101-4045-9F47-F5F050335718}">
      <formula1>"Tier 3"</formula1>
    </dataValidation>
  </dataValidations>
  <pageMargins left="0.7" right="0.7" top="0.75" bottom="0.75" header="0.3" footer="0.3"/>
  <pageSetup paperSize="9" orientation="portrait" r:id="rId1"/>
  <tableParts count="3">
    <tablePart r:id="rId2"/>
    <tablePart r:id="rId3"/>
    <tablePart r:id="rId4"/>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tabColor rgb="FF27CCF9"/>
  </sheetPr>
  <dimension ref="A1:AB329"/>
  <sheetViews>
    <sheetView showGridLines="0" topLeftCell="F106" zoomScale="80" zoomScaleNormal="80" workbookViewId="0">
      <selection activeCell="Z5" sqref="Z1:AA1048576"/>
    </sheetView>
  </sheetViews>
  <sheetFormatPr defaultColWidth="8.54296875" defaultRowHeight="14.5" x14ac:dyDescent="0.35"/>
  <cols>
    <col min="1" max="1" width="2.453125" style="1" customWidth="1"/>
    <col min="2" max="2" width="28.36328125" style="1" customWidth="1"/>
    <col min="3" max="3" width="18" style="1" customWidth="1"/>
    <col min="4" max="4" width="40.36328125" style="1" customWidth="1"/>
    <col min="5" max="5" width="13.6328125" style="1" customWidth="1"/>
    <col min="6" max="6" width="14.36328125" style="1" customWidth="1"/>
    <col min="7" max="7" width="19.36328125" style="1" customWidth="1"/>
    <col min="8" max="8" width="22.6328125" style="1" customWidth="1"/>
    <col min="9" max="9" width="27.453125" style="1" hidden="1" customWidth="1"/>
    <col min="10" max="10" width="11.453125" style="1" hidden="1" customWidth="1"/>
    <col min="11" max="11" width="19.6328125" style="1" bestFit="1" customWidth="1"/>
    <col min="12" max="12" width="25.36328125" style="1" bestFit="1" customWidth="1"/>
    <col min="13" max="13" width="22.36328125" style="1" bestFit="1" customWidth="1"/>
    <col min="14" max="14" width="12" style="1" customWidth="1"/>
    <col min="15" max="15" width="10.36328125" style="1" bestFit="1" customWidth="1"/>
    <col min="16" max="16" width="14" style="1" bestFit="1" customWidth="1"/>
    <col min="17" max="19" width="11.54296875" style="1" bestFit="1" customWidth="1"/>
    <col min="20" max="21" width="10.453125" style="1" bestFit="1" customWidth="1"/>
    <col min="22" max="25" width="8.54296875" style="1"/>
    <col min="26" max="27" width="8.54296875" style="1" hidden="1" customWidth="1"/>
    <col min="28" max="16384" width="8.54296875" style="1"/>
  </cols>
  <sheetData>
    <row r="1" spans="2:28" ht="15" thickBot="1" x14ac:dyDescent="0.4">
      <c r="G1" s="304" t="s">
        <v>155</v>
      </c>
      <c r="K1" s="80" t="s">
        <v>9</v>
      </c>
      <c r="L1" s="81" t="s">
        <v>13</v>
      </c>
    </row>
    <row r="2" spans="2:28" ht="19" thickBot="1" x14ac:dyDescent="0.5">
      <c r="B2" s="397" t="s">
        <v>245</v>
      </c>
      <c r="C2" s="398"/>
      <c r="D2" s="398"/>
      <c r="E2" s="398"/>
      <c r="F2" s="399"/>
      <c r="K2" s="79" t="s">
        <v>11</v>
      </c>
      <c r="L2" s="82" t="s">
        <v>15</v>
      </c>
    </row>
    <row r="3" spans="2:28" ht="50" customHeight="1" thickBot="1" x14ac:dyDescent="0.4">
      <c r="B3" s="573" t="s">
        <v>246</v>
      </c>
      <c r="C3" s="574"/>
      <c r="D3" s="574"/>
      <c r="E3" s="574"/>
      <c r="F3" s="574"/>
      <c r="G3" s="574"/>
      <c r="H3" s="574"/>
      <c r="I3" s="575"/>
    </row>
    <row r="4" spans="2:28" ht="110" customHeight="1" x14ac:dyDescent="0.35">
      <c r="B4" s="526" t="s">
        <v>247</v>
      </c>
      <c r="C4" s="527"/>
      <c r="D4" s="527"/>
      <c r="E4" s="527"/>
      <c r="F4" s="527"/>
      <c r="G4" s="527"/>
      <c r="H4" s="527"/>
      <c r="I4" s="527"/>
      <c r="J4" s="527"/>
      <c r="K4" s="527"/>
      <c r="L4" s="592"/>
    </row>
    <row r="5" spans="2:28" ht="120.65" customHeight="1" x14ac:dyDescent="0.35">
      <c r="B5" s="568" t="s">
        <v>248</v>
      </c>
      <c r="C5" s="569"/>
      <c r="D5" s="569"/>
      <c r="E5" s="569"/>
      <c r="F5" s="569"/>
      <c r="G5" s="569"/>
      <c r="H5" s="569"/>
      <c r="I5" s="569"/>
      <c r="J5" s="569"/>
      <c r="K5" s="569"/>
      <c r="L5" s="570"/>
      <c r="M5" s="7"/>
      <c r="N5" s="7"/>
      <c r="O5" s="400"/>
    </row>
    <row r="6" spans="2:28" ht="19" thickBot="1" x14ac:dyDescent="0.4">
      <c r="B6" s="20" t="s">
        <v>249</v>
      </c>
      <c r="D6"/>
      <c r="E6"/>
      <c r="K6" s="7"/>
      <c r="L6" s="317" t="str">
        <f>IF($AA$7=0,"No data entered",IF($Z$7=0,"No errors in this table","There are errors in this table see highlighted row(s)"))</f>
        <v>No data entered</v>
      </c>
      <c r="M6" s="401"/>
      <c r="O6" s="30"/>
      <c r="P6" s="30"/>
      <c r="Y6" s="402" t="s">
        <v>250</v>
      </c>
      <c r="Z6" s="9" t="s">
        <v>175</v>
      </c>
      <c r="AA6" s="9" t="s">
        <v>161</v>
      </c>
    </row>
    <row r="7" spans="2:28" ht="41.15" customHeight="1" thickBot="1" x14ac:dyDescent="0.4">
      <c r="B7" s="3" t="s">
        <v>251</v>
      </c>
      <c r="C7" s="280" t="s">
        <v>252</v>
      </c>
      <c r="D7" s="281" t="s">
        <v>253</v>
      </c>
      <c r="E7" s="12" t="s">
        <v>180</v>
      </c>
      <c r="F7" s="282" t="s">
        <v>181</v>
      </c>
      <c r="G7" s="12" t="s">
        <v>254</v>
      </c>
      <c r="H7" s="12" t="s">
        <v>183</v>
      </c>
      <c r="I7" s="12" t="s">
        <v>255</v>
      </c>
      <c r="J7" s="12" t="s">
        <v>256</v>
      </c>
      <c r="K7" s="283" t="s">
        <v>257</v>
      </c>
      <c r="L7" s="284" t="s">
        <v>258</v>
      </c>
      <c r="M7" s="285" t="s">
        <v>259</v>
      </c>
      <c r="N7" s="403" t="s">
        <v>189</v>
      </c>
      <c r="O7" s="403" t="s">
        <v>92</v>
      </c>
      <c r="P7" s="403" t="s">
        <v>190</v>
      </c>
      <c r="Q7" s="403" t="s">
        <v>191</v>
      </c>
      <c r="R7" s="403" t="s">
        <v>192</v>
      </c>
      <c r="S7" s="403" t="s">
        <v>193</v>
      </c>
      <c r="T7" s="403" t="s">
        <v>100</v>
      </c>
      <c r="U7" s="403" t="s">
        <v>101</v>
      </c>
      <c r="V7" s="404" t="s">
        <v>96</v>
      </c>
      <c r="W7" s="589"/>
      <c r="X7" s="590"/>
      <c r="Y7" s="591"/>
      <c r="Z7" s="9">
        <f>SUM(Z8:Z117)</f>
        <v>0</v>
      </c>
      <c r="AA7" s="9">
        <f>SUM(AA8:AA117)</f>
        <v>0</v>
      </c>
      <c r="AB7" s="405"/>
    </row>
    <row r="8" spans="2:28" ht="26.5" thickBot="1" x14ac:dyDescent="0.4">
      <c r="B8" s="406" t="s">
        <v>118</v>
      </c>
      <c r="C8" s="407" t="s">
        <v>260</v>
      </c>
      <c r="D8" s="408" t="s">
        <v>261</v>
      </c>
      <c r="E8" s="409" t="s">
        <v>262</v>
      </c>
      <c r="F8" s="187">
        <v>0.25</v>
      </c>
      <c r="G8" s="111"/>
      <c r="H8" s="187" t="s">
        <v>263</v>
      </c>
      <c r="I8" s="410">
        <f>SupplyChainTier1[[#This Row],[Amount spent by product category (£)]]</f>
        <v>0</v>
      </c>
      <c r="J8" s="410" t="s">
        <v>263</v>
      </c>
      <c r="K8" s="411">
        <v>2.3145437037563501</v>
      </c>
      <c r="L8" s="185" t="str">
        <f t="shared" ref="L8:L39" si="0">IF(ISBLANK(G8),"",G8*K8)</f>
        <v/>
      </c>
      <c r="M8" s="103"/>
      <c r="N8" s="101"/>
      <c r="O8" s="286">
        <v>0</v>
      </c>
      <c r="P8" s="286">
        <v>0</v>
      </c>
      <c r="Q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 s="286">
        <v>0</v>
      </c>
      <c r="S8" s="286">
        <v>0</v>
      </c>
      <c r="T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 s="286">
        <v>0</v>
      </c>
      <c r="W8"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 s="587"/>
      <c r="Y8" s="588"/>
      <c r="Z8" s="1" cm="1">
        <f t="array" ref="Z8">IF(OR(ISERROR(B8:V8)),1,0)</f>
        <v>0</v>
      </c>
      <c r="AA8" s="1">
        <f>IF(AND(G8=""),0,1)</f>
        <v>0</v>
      </c>
      <c r="AB8" s="412"/>
    </row>
    <row r="9" spans="2:28" ht="33.5" customHeight="1" thickBot="1" x14ac:dyDescent="0.4">
      <c r="B9" s="406" t="s">
        <v>118</v>
      </c>
      <c r="C9" s="407" t="s">
        <v>264</v>
      </c>
      <c r="D9" s="408" t="s">
        <v>265</v>
      </c>
      <c r="E9" s="409" t="s">
        <v>262</v>
      </c>
      <c r="F9" s="187">
        <v>0.25</v>
      </c>
      <c r="G9" s="111"/>
      <c r="H9" s="187" t="s">
        <v>263</v>
      </c>
      <c r="I9" s="410">
        <f>SupplyChainTier1[[#This Row],[Amount spent by product category (£)]]</f>
        <v>0</v>
      </c>
      <c r="J9" s="410" t="s">
        <v>263</v>
      </c>
      <c r="K9" s="411">
        <v>0.32782378524106681</v>
      </c>
      <c r="L9" s="185" t="str">
        <f t="shared" si="0"/>
        <v/>
      </c>
      <c r="M9" s="103"/>
      <c r="N9" s="101"/>
      <c r="O9" s="286">
        <v>0</v>
      </c>
      <c r="P9" s="286">
        <v>0</v>
      </c>
      <c r="Q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 s="286">
        <v>0</v>
      </c>
      <c r="S9" s="286">
        <v>0</v>
      </c>
      <c r="T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 s="286">
        <v>0</v>
      </c>
      <c r="W9"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 s="587"/>
      <c r="Y9" s="588"/>
      <c r="Z9" s="1" cm="1">
        <f t="array" ref="Z9">IF(OR(ISERROR(B9:V9)),1,0)</f>
        <v>0</v>
      </c>
      <c r="AA9" s="1">
        <f t="shared" ref="AA9:AA72" si="1">IF(AND(G9=""),0,1)</f>
        <v>0</v>
      </c>
      <c r="AB9" s="412"/>
    </row>
    <row r="10" spans="2:28" ht="26.5" thickBot="1" x14ac:dyDescent="0.4">
      <c r="B10" s="406" t="s">
        <v>118</v>
      </c>
      <c r="C10" s="407" t="s">
        <v>266</v>
      </c>
      <c r="D10" s="413" t="s">
        <v>267</v>
      </c>
      <c r="E10" s="409" t="s">
        <v>262</v>
      </c>
      <c r="F10" s="187">
        <v>0.25</v>
      </c>
      <c r="G10" s="218"/>
      <c r="H10" s="187" t="s">
        <v>263</v>
      </c>
      <c r="I10" s="410">
        <f>SupplyChainTier1[[#This Row],[Amount spent by product category (£)]]</f>
        <v>0</v>
      </c>
      <c r="J10" s="410" t="s">
        <v>263</v>
      </c>
      <c r="K10" s="411">
        <v>0.75956996090477358</v>
      </c>
      <c r="L10" s="185" t="str">
        <f t="shared" si="0"/>
        <v/>
      </c>
      <c r="M10" s="103"/>
      <c r="N10" s="101"/>
      <c r="O10" s="286">
        <v>0</v>
      </c>
      <c r="P10" s="286">
        <v>0</v>
      </c>
      <c r="Q1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 s="286">
        <v>0</v>
      </c>
      <c r="S10" s="286">
        <v>0</v>
      </c>
      <c r="T1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 s="286">
        <v>0</v>
      </c>
      <c r="W10"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 s="587"/>
      <c r="Y10" s="588"/>
      <c r="Z10" s="1" cm="1">
        <f t="array" ref="Z10">IF(OR(ISERROR(B10:V10)),1,0)</f>
        <v>0</v>
      </c>
      <c r="AA10" s="1">
        <f t="shared" si="1"/>
        <v>0</v>
      </c>
      <c r="AB10" s="412"/>
    </row>
    <row r="11" spans="2:28" ht="15" thickBot="1" x14ac:dyDescent="0.4">
      <c r="B11" s="406" t="s">
        <v>119</v>
      </c>
      <c r="C11" s="414" t="s">
        <v>268</v>
      </c>
      <c r="D11" s="287" t="s">
        <v>269</v>
      </c>
      <c r="E11" s="409" t="s">
        <v>262</v>
      </c>
      <c r="F11" s="415">
        <v>0.25</v>
      </c>
      <c r="G11" s="220"/>
      <c r="H11" s="187" t="s">
        <v>263</v>
      </c>
      <c r="I11" s="410">
        <f>SupplyChainTier1[[#This Row],[Amount spent by product category (£)]]</f>
        <v>0</v>
      </c>
      <c r="J11" s="410" t="s">
        <v>263</v>
      </c>
      <c r="K11" s="411">
        <v>1.5975075642370109</v>
      </c>
      <c r="L11" s="185" t="str">
        <f t="shared" si="0"/>
        <v/>
      </c>
      <c r="M11" s="103"/>
      <c r="N11" s="101"/>
      <c r="O11" s="286">
        <v>0</v>
      </c>
      <c r="P11" s="286">
        <v>0</v>
      </c>
      <c r="Q1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 s="286">
        <v>0</v>
      </c>
      <c r="S11" s="286">
        <v>0</v>
      </c>
      <c r="T1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 s="286">
        <v>0</v>
      </c>
      <c r="W11"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 s="587"/>
      <c r="Y11" s="588"/>
      <c r="Z11" s="1" cm="1">
        <f t="array" ref="Z11">IF(OR(ISERROR(B11:V11)),1,0)</f>
        <v>0</v>
      </c>
      <c r="AA11" s="1">
        <f t="shared" si="1"/>
        <v>0</v>
      </c>
      <c r="AB11" s="412"/>
    </row>
    <row r="12" spans="2:28" ht="15" thickBot="1" x14ac:dyDescent="0.4">
      <c r="B12" s="406" t="s">
        <v>119</v>
      </c>
      <c r="C12" s="414" t="s">
        <v>270</v>
      </c>
      <c r="D12" s="287" t="s">
        <v>271</v>
      </c>
      <c r="E12" s="409" t="s">
        <v>262</v>
      </c>
      <c r="F12" s="415">
        <v>0.25</v>
      </c>
      <c r="G12" s="220"/>
      <c r="H12" s="187" t="s">
        <v>263</v>
      </c>
      <c r="I12" s="410">
        <f>SupplyChainTier1[[#This Row],[Amount spent by product category (£)]]</f>
        <v>0</v>
      </c>
      <c r="J12" s="410" t="s">
        <v>263</v>
      </c>
      <c r="K12" s="411">
        <v>1.4710168420185299</v>
      </c>
      <c r="L12" s="185" t="str">
        <f t="shared" si="0"/>
        <v/>
      </c>
      <c r="M12" s="103"/>
      <c r="N12" s="101"/>
      <c r="O12" s="286">
        <v>0</v>
      </c>
      <c r="P12" s="286">
        <v>0</v>
      </c>
      <c r="Q1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2" s="286">
        <v>0</v>
      </c>
      <c r="S12" s="286">
        <v>0</v>
      </c>
      <c r="T1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2" s="286">
        <v>0</v>
      </c>
      <c r="W12"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2" s="587"/>
      <c r="Y12" s="588"/>
      <c r="Z12" s="1" cm="1">
        <f t="array" ref="Z12">IF(OR(ISERROR(B12:V12)),1,0)</f>
        <v>0</v>
      </c>
      <c r="AA12" s="1">
        <f t="shared" si="1"/>
        <v>0</v>
      </c>
      <c r="AB12" s="412"/>
    </row>
    <row r="13" spans="2:28" ht="23.75" customHeight="1" thickBot="1" x14ac:dyDescent="0.4">
      <c r="B13" s="406" t="s">
        <v>119</v>
      </c>
      <c r="C13" s="407" t="s">
        <v>272</v>
      </c>
      <c r="D13" s="408" t="s">
        <v>273</v>
      </c>
      <c r="E13" s="409" t="s">
        <v>262</v>
      </c>
      <c r="F13" s="187">
        <v>0.25</v>
      </c>
      <c r="G13" s="219"/>
      <c r="H13" s="187" t="s">
        <v>263</v>
      </c>
      <c r="I13" s="410">
        <f>SupplyChainTier1[[#This Row],[Amount spent by product category (£)]]</f>
        <v>0</v>
      </c>
      <c r="J13" s="410" t="s">
        <v>263</v>
      </c>
      <c r="K13" s="411">
        <v>0.75644399070910817</v>
      </c>
      <c r="L13" s="185" t="str">
        <f t="shared" si="0"/>
        <v/>
      </c>
      <c r="M13" s="103"/>
      <c r="N13" s="101"/>
      <c r="O13" s="286">
        <v>0</v>
      </c>
      <c r="P13" s="286">
        <v>0</v>
      </c>
      <c r="Q1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3" s="286">
        <v>0</v>
      </c>
      <c r="S13" s="286">
        <v>0</v>
      </c>
      <c r="T1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3" s="286">
        <v>0</v>
      </c>
      <c r="W13"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3" s="587"/>
      <c r="Y13" s="588"/>
      <c r="Z13" s="1" cm="1">
        <f t="array" ref="Z13">IF(OR(ISERROR(B13:V13)),1,0)</f>
        <v>0</v>
      </c>
      <c r="AA13" s="1">
        <f t="shared" si="1"/>
        <v>0</v>
      </c>
      <c r="AB13" s="412"/>
    </row>
    <row r="14" spans="2:28" ht="15" thickBot="1" x14ac:dyDescent="0.4">
      <c r="B14" s="406" t="s">
        <v>119</v>
      </c>
      <c r="C14" s="407" t="s">
        <v>274</v>
      </c>
      <c r="D14" s="408" t="s">
        <v>275</v>
      </c>
      <c r="E14" s="409" t="s">
        <v>262</v>
      </c>
      <c r="F14" s="187">
        <v>0.25</v>
      </c>
      <c r="G14" s="111"/>
      <c r="H14" s="187" t="s">
        <v>263</v>
      </c>
      <c r="I14" s="410">
        <f>SupplyChainTier1[[#This Row],[Amount spent by product category (£)]]</f>
        <v>0</v>
      </c>
      <c r="J14" s="410" t="s">
        <v>263</v>
      </c>
      <c r="K14" s="411">
        <v>1.9045035843150839</v>
      </c>
      <c r="L14" s="185" t="str">
        <f t="shared" si="0"/>
        <v/>
      </c>
      <c r="M14" s="103"/>
      <c r="N14" s="101"/>
      <c r="O14" s="286">
        <v>0</v>
      </c>
      <c r="P14" s="286">
        <v>0</v>
      </c>
      <c r="Q1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4" s="286">
        <v>0</v>
      </c>
      <c r="S14" s="286">
        <v>0</v>
      </c>
      <c r="T1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4" s="286">
        <v>0</v>
      </c>
      <c r="W14"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4" s="587"/>
      <c r="Y14" s="588"/>
      <c r="Z14" s="1" cm="1">
        <f t="array" ref="Z14">IF(OR(ISERROR(B14:V14)),1,0)</f>
        <v>0</v>
      </c>
      <c r="AA14" s="1">
        <f t="shared" si="1"/>
        <v>0</v>
      </c>
      <c r="AB14" s="412"/>
    </row>
    <row r="15" spans="2:28" ht="15" thickBot="1" x14ac:dyDescent="0.4">
      <c r="B15" s="406" t="s">
        <v>120</v>
      </c>
      <c r="C15" s="407" t="s">
        <v>276</v>
      </c>
      <c r="D15" s="408" t="s">
        <v>277</v>
      </c>
      <c r="E15" s="409" t="s">
        <v>262</v>
      </c>
      <c r="F15" s="187">
        <v>0.25</v>
      </c>
      <c r="G15" s="111"/>
      <c r="H15" s="187" t="s">
        <v>263</v>
      </c>
      <c r="I15" s="410">
        <f>SupplyChainTier1[[#This Row],[Amount spent by product category (£)]]</f>
        <v>0</v>
      </c>
      <c r="J15" s="410" t="s">
        <v>263</v>
      </c>
      <c r="K15" s="411">
        <v>0.81693468564356375</v>
      </c>
      <c r="L15" s="185" t="str">
        <f t="shared" si="0"/>
        <v/>
      </c>
      <c r="M15" s="103"/>
      <c r="N15" s="101"/>
      <c r="O15" s="286">
        <v>0</v>
      </c>
      <c r="P15" s="286">
        <v>0</v>
      </c>
      <c r="Q1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5" s="286">
        <v>0</v>
      </c>
      <c r="S15" s="286">
        <v>0</v>
      </c>
      <c r="T1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5" s="286">
        <v>0</v>
      </c>
      <c r="W15"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5" s="587"/>
      <c r="Y15" s="588"/>
      <c r="Z15" s="1" cm="1">
        <f t="array" ref="Z15">IF(OR(ISERROR(B15:V15)),1,0)</f>
        <v>0</v>
      </c>
      <c r="AA15" s="1">
        <f t="shared" si="1"/>
        <v>0</v>
      </c>
      <c r="AB15" s="412"/>
    </row>
    <row r="16" spans="2:28" ht="26.5" thickBot="1" x14ac:dyDescent="0.4">
      <c r="B16" s="406" t="s">
        <v>120</v>
      </c>
      <c r="C16" s="407" t="s">
        <v>278</v>
      </c>
      <c r="D16" s="408" t="s">
        <v>279</v>
      </c>
      <c r="E16" s="409" t="s">
        <v>262</v>
      </c>
      <c r="F16" s="187">
        <v>0.25</v>
      </c>
      <c r="G16" s="111"/>
      <c r="H16" s="187" t="s">
        <v>263</v>
      </c>
      <c r="I16" s="410">
        <f>SupplyChainTier1[[#This Row],[Amount spent by product category (£)]]</f>
        <v>0</v>
      </c>
      <c r="J16" s="410" t="s">
        <v>263</v>
      </c>
      <c r="K16" s="411">
        <v>0.74540943133531734</v>
      </c>
      <c r="L16" s="185" t="str">
        <f t="shared" si="0"/>
        <v/>
      </c>
      <c r="M16" s="103"/>
      <c r="N16" s="101"/>
      <c r="O16" s="286">
        <v>0</v>
      </c>
      <c r="P16" s="286">
        <v>0</v>
      </c>
      <c r="Q1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6" s="286">
        <v>0</v>
      </c>
      <c r="S16" s="286">
        <v>0</v>
      </c>
      <c r="T1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6" s="286">
        <v>0</v>
      </c>
      <c r="W16"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6" s="587"/>
      <c r="Y16" s="588"/>
      <c r="Z16" s="1" cm="1">
        <f t="array" ref="Z16">IF(OR(ISERROR(B16:V16)),1,0)</f>
        <v>0</v>
      </c>
      <c r="AA16" s="1">
        <f t="shared" si="1"/>
        <v>0</v>
      </c>
      <c r="AB16" s="412"/>
    </row>
    <row r="17" spans="2:28" ht="15" thickBot="1" x14ac:dyDescent="0.4">
      <c r="B17" s="406" t="s">
        <v>120</v>
      </c>
      <c r="C17" s="407" t="s">
        <v>280</v>
      </c>
      <c r="D17" s="408" t="s">
        <v>281</v>
      </c>
      <c r="E17" s="409" t="s">
        <v>262</v>
      </c>
      <c r="F17" s="187">
        <v>0.25</v>
      </c>
      <c r="G17" s="111"/>
      <c r="H17" s="187" t="s">
        <v>263</v>
      </c>
      <c r="I17" s="410">
        <f>SupplyChainTier1[[#This Row],[Amount spent by product category (£)]]</f>
        <v>0</v>
      </c>
      <c r="J17" s="410" t="s">
        <v>263</v>
      </c>
      <c r="K17" s="411">
        <v>0.95975691012945652</v>
      </c>
      <c r="L17" s="185" t="str">
        <f t="shared" si="0"/>
        <v/>
      </c>
      <c r="M17" s="103"/>
      <c r="N17" s="101"/>
      <c r="O17" s="286">
        <v>0</v>
      </c>
      <c r="P17" s="286">
        <v>0</v>
      </c>
      <c r="Q1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7" s="286">
        <v>0</v>
      </c>
      <c r="S17" s="286">
        <v>0</v>
      </c>
      <c r="T1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7" s="286">
        <v>0</v>
      </c>
      <c r="W17"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7" s="587"/>
      <c r="Y17" s="588"/>
      <c r="Z17" s="1" cm="1">
        <f t="array" ref="Z17">IF(OR(ISERROR(B17:V17)),1,0)</f>
        <v>0</v>
      </c>
      <c r="AA17" s="1">
        <f t="shared" si="1"/>
        <v>0</v>
      </c>
      <c r="AB17" s="412"/>
    </row>
    <row r="18" spans="2:28" ht="15" thickBot="1" x14ac:dyDescent="0.4">
      <c r="B18" s="406" t="s">
        <v>120</v>
      </c>
      <c r="C18" s="407" t="s">
        <v>282</v>
      </c>
      <c r="D18" s="408" t="s">
        <v>283</v>
      </c>
      <c r="E18" s="409" t="s">
        <v>262</v>
      </c>
      <c r="F18" s="187">
        <v>0.25</v>
      </c>
      <c r="G18" s="111"/>
      <c r="H18" s="187" t="s">
        <v>263</v>
      </c>
      <c r="I18" s="410">
        <f>SupplyChainTier1[[#This Row],[Amount spent by product category (£)]]</f>
        <v>0</v>
      </c>
      <c r="J18" s="410" t="s">
        <v>263</v>
      </c>
      <c r="K18" s="411">
        <v>0.96896280664553336</v>
      </c>
      <c r="L18" s="185" t="str">
        <f t="shared" si="0"/>
        <v/>
      </c>
      <c r="M18" s="103"/>
      <c r="N18" s="101"/>
      <c r="O18" s="286">
        <v>0</v>
      </c>
      <c r="P18" s="286">
        <v>0</v>
      </c>
      <c r="Q1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8" s="286">
        <v>0</v>
      </c>
      <c r="S18" s="286">
        <v>0</v>
      </c>
      <c r="T1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8" s="286">
        <v>0</v>
      </c>
      <c r="W18"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8" s="587"/>
      <c r="Y18" s="588"/>
      <c r="Z18" s="1" cm="1">
        <f t="array" ref="Z18">IF(OR(ISERROR(B18:V18)),1,0)</f>
        <v>0</v>
      </c>
      <c r="AA18" s="1">
        <f t="shared" si="1"/>
        <v>0</v>
      </c>
      <c r="AB18" s="412"/>
    </row>
    <row r="19" spans="2:28" ht="15" thickBot="1" x14ac:dyDescent="0.4">
      <c r="B19" s="406" t="s">
        <v>120</v>
      </c>
      <c r="C19" s="407" t="s">
        <v>284</v>
      </c>
      <c r="D19" s="408" t="s">
        <v>285</v>
      </c>
      <c r="E19" s="409" t="s">
        <v>262</v>
      </c>
      <c r="F19" s="187">
        <v>0.25</v>
      </c>
      <c r="G19" s="111"/>
      <c r="H19" s="187" t="s">
        <v>263</v>
      </c>
      <c r="I19" s="410">
        <f>SupplyChainTier1[[#This Row],[Amount spent by product category (£)]]</f>
        <v>0</v>
      </c>
      <c r="J19" s="410" t="s">
        <v>263</v>
      </c>
      <c r="K19" s="411">
        <v>0.93933273884136026</v>
      </c>
      <c r="L19" s="185" t="str">
        <f t="shared" si="0"/>
        <v/>
      </c>
      <c r="M19" s="103"/>
      <c r="N19" s="101"/>
      <c r="O19" s="286">
        <v>0</v>
      </c>
      <c r="P19" s="286">
        <v>0</v>
      </c>
      <c r="Q1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9" s="286">
        <v>0</v>
      </c>
      <c r="S19" s="286">
        <v>0</v>
      </c>
      <c r="T1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9" s="286">
        <v>0</v>
      </c>
      <c r="W19"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9" s="587"/>
      <c r="Y19" s="588"/>
      <c r="Z19" s="1" cm="1">
        <f t="array" ref="Z19">IF(OR(ISERROR(B19:V19)),1,0)</f>
        <v>0</v>
      </c>
      <c r="AA19" s="1">
        <f t="shared" si="1"/>
        <v>0</v>
      </c>
      <c r="AB19" s="412"/>
    </row>
    <row r="20" spans="2:28" ht="15" thickBot="1" x14ac:dyDescent="0.4">
      <c r="B20" s="406" t="s">
        <v>120</v>
      </c>
      <c r="C20" s="407" t="s">
        <v>286</v>
      </c>
      <c r="D20" s="408" t="s">
        <v>287</v>
      </c>
      <c r="E20" s="409" t="s">
        <v>262</v>
      </c>
      <c r="F20" s="187">
        <v>0.25</v>
      </c>
      <c r="G20" s="111"/>
      <c r="H20" s="187" t="s">
        <v>263</v>
      </c>
      <c r="I20" s="410">
        <f>SupplyChainTier1[[#This Row],[Amount spent by product category (£)]]</f>
        <v>0</v>
      </c>
      <c r="J20" s="410" t="s">
        <v>263</v>
      </c>
      <c r="K20" s="411">
        <v>0.5666158351932542</v>
      </c>
      <c r="L20" s="185" t="str">
        <f t="shared" si="0"/>
        <v/>
      </c>
      <c r="M20" s="103"/>
      <c r="N20" s="101"/>
      <c r="O20" s="286">
        <v>0</v>
      </c>
      <c r="P20" s="286">
        <v>0</v>
      </c>
      <c r="Q2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0" s="286">
        <v>0</v>
      </c>
      <c r="S20" s="286">
        <v>0</v>
      </c>
      <c r="T2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0" s="286">
        <v>0</v>
      </c>
      <c r="W20"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0" s="587"/>
      <c r="Y20" s="588"/>
      <c r="Z20" s="1" cm="1">
        <f t="array" ref="Z20">IF(OR(ISERROR(B20:V20)),1,0)</f>
        <v>0</v>
      </c>
      <c r="AA20" s="1">
        <f t="shared" si="1"/>
        <v>0</v>
      </c>
      <c r="AB20" s="412"/>
    </row>
    <row r="21" spans="2:28" ht="15" thickBot="1" x14ac:dyDescent="0.4">
      <c r="B21" s="406" t="s">
        <v>120</v>
      </c>
      <c r="C21" s="407" t="s">
        <v>288</v>
      </c>
      <c r="D21" s="408" t="s">
        <v>289</v>
      </c>
      <c r="E21" s="409" t="s">
        <v>262</v>
      </c>
      <c r="F21" s="187">
        <v>0.25</v>
      </c>
      <c r="G21" s="111"/>
      <c r="H21" s="187" t="s">
        <v>263</v>
      </c>
      <c r="I21" s="410">
        <f>SupplyChainTier1[[#This Row],[Amount spent by product category (£)]]</f>
        <v>0</v>
      </c>
      <c r="J21" s="410" t="s">
        <v>263</v>
      </c>
      <c r="K21" s="411">
        <v>0.72536236540686461</v>
      </c>
      <c r="L21" s="185" t="str">
        <f t="shared" si="0"/>
        <v/>
      </c>
      <c r="M21" s="103"/>
      <c r="N21" s="101"/>
      <c r="O21" s="286">
        <v>0</v>
      </c>
      <c r="P21" s="286">
        <v>0</v>
      </c>
      <c r="Q2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1" s="286">
        <v>0</v>
      </c>
      <c r="S21" s="286">
        <v>0</v>
      </c>
      <c r="T2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1" s="286">
        <v>0</v>
      </c>
      <c r="W21"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1" s="587"/>
      <c r="Y21" s="588"/>
      <c r="Z21" s="1" cm="1">
        <f t="array" ref="Z21">IF(OR(ISERROR(B21:V21)),1,0)</f>
        <v>0</v>
      </c>
      <c r="AA21" s="1">
        <f t="shared" si="1"/>
        <v>0</v>
      </c>
      <c r="AB21" s="412"/>
    </row>
    <row r="22" spans="2:28" ht="15" thickBot="1" x14ac:dyDescent="0.4">
      <c r="B22" s="406" t="s">
        <v>120</v>
      </c>
      <c r="C22" s="407">
        <v>10.9</v>
      </c>
      <c r="D22" s="408" t="s">
        <v>290</v>
      </c>
      <c r="E22" s="409" t="s">
        <v>262</v>
      </c>
      <c r="F22" s="187">
        <v>0.25</v>
      </c>
      <c r="G22" s="111"/>
      <c r="H22" s="187" t="s">
        <v>263</v>
      </c>
      <c r="I22" s="410">
        <f>SupplyChainTier1[[#This Row],[Amount spent by product category (£)]]</f>
        <v>0</v>
      </c>
      <c r="J22" s="410" t="s">
        <v>263</v>
      </c>
      <c r="K22" s="411">
        <v>0.92487748421242821</v>
      </c>
      <c r="L22" s="185" t="str">
        <f t="shared" si="0"/>
        <v/>
      </c>
      <c r="M22" s="103"/>
      <c r="N22" s="101"/>
      <c r="O22" s="286">
        <v>0</v>
      </c>
      <c r="P22" s="286">
        <v>0</v>
      </c>
      <c r="Q2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2" s="286">
        <v>0</v>
      </c>
      <c r="S22" s="286">
        <v>0</v>
      </c>
      <c r="T2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2" s="286">
        <v>0</v>
      </c>
      <c r="W22"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2" s="587"/>
      <c r="Y22" s="588"/>
      <c r="Z22" s="1" cm="1">
        <f t="array" ref="Z22">IF(OR(ISERROR(B22:V22)),1,0)</f>
        <v>0</v>
      </c>
      <c r="AA22" s="1">
        <f t="shared" si="1"/>
        <v>0</v>
      </c>
      <c r="AB22" s="412"/>
    </row>
    <row r="23" spans="2:28" ht="15" thickBot="1" x14ac:dyDescent="0.4">
      <c r="B23" s="406" t="s">
        <v>120</v>
      </c>
      <c r="C23" s="407" t="s">
        <v>291</v>
      </c>
      <c r="D23" s="408" t="s">
        <v>292</v>
      </c>
      <c r="E23" s="409" t="s">
        <v>262</v>
      </c>
      <c r="F23" s="187">
        <v>0.25</v>
      </c>
      <c r="G23" s="111"/>
      <c r="H23" s="187" t="s">
        <v>263</v>
      </c>
      <c r="I23" s="410">
        <f>SupplyChainTier1[[#This Row],[Amount spent by product category (£)]]</f>
        <v>0</v>
      </c>
      <c r="J23" s="410" t="s">
        <v>263</v>
      </c>
      <c r="K23" s="411">
        <v>0.72794647493950315</v>
      </c>
      <c r="L23" s="185" t="str">
        <f t="shared" si="0"/>
        <v/>
      </c>
      <c r="M23" s="103"/>
      <c r="N23" s="101"/>
      <c r="O23" s="286">
        <v>0</v>
      </c>
      <c r="P23" s="286">
        <v>0</v>
      </c>
      <c r="Q2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3" s="286">
        <v>0</v>
      </c>
      <c r="S23" s="286">
        <v>0</v>
      </c>
      <c r="T2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3" s="286">
        <v>0</v>
      </c>
      <c r="W23"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3" s="587"/>
      <c r="Y23" s="588"/>
      <c r="Z23" s="1" cm="1">
        <f t="array" ref="Z23">IF(OR(ISERROR(B23:V23)),1,0)</f>
        <v>0</v>
      </c>
      <c r="AA23" s="1">
        <f t="shared" si="1"/>
        <v>0</v>
      </c>
      <c r="AB23" s="412"/>
    </row>
    <row r="24" spans="2:28" ht="15" thickBot="1" x14ac:dyDescent="0.4">
      <c r="B24" s="406" t="s">
        <v>120</v>
      </c>
      <c r="C24" s="407">
        <v>11.07</v>
      </c>
      <c r="D24" s="408" t="s">
        <v>293</v>
      </c>
      <c r="E24" s="409" t="s">
        <v>262</v>
      </c>
      <c r="F24" s="187">
        <v>0.25</v>
      </c>
      <c r="G24" s="111"/>
      <c r="H24" s="187" t="s">
        <v>263</v>
      </c>
      <c r="I24" s="410">
        <f>SupplyChainTier1[[#This Row],[Amount spent by product category (£)]]</f>
        <v>0</v>
      </c>
      <c r="J24" s="410" t="s">
        <v>263</v>
      </c>
      <c r="K24" s="411">
        <v>0.42134006554537878</v>
      </c>
      <c r="L24" s="185" t="str">
        <f t="shared" si="0"/>
        <v/>
      </c>
      <c r="M24" s="103"/>
      <c r="N24" s="101"/>
      <c r="O24" s="286">
        <v>0</v>
      </c>
      <c r="P24" s="286">
        <v>0</v>
      </c>
      <c r="Q2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4" s="286">
        <v>0</v>
      </c>
      <c r="S24" s="286">
        <v>0</v>
      </c>
      <c r="T2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4" s="286">
        <v>0</v>
      </c>
      <c r="W24"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4" s="587"/>
      <c r="Y24" s="588"/>
      <c r="Z24" s="1" cm="1">
        <f t="array" ref="Z24">IF(OR(ISERROR(B24:V24)),1,0)</f>
        <v>0</v>
      </c>
      <c r="AA24" s="1">
        <f t="shared" si="1"/>
        <v>0</v>
      </c>
      <c r="AB24" s="412"/>
    </row>
    <row r="25" spans="2:28" ht="15" thickBot="1" x14ac:dyDescent="0.4">
      <c r="B25" s="406" t="s">
        <v>120</v>
      </c>
      <c r="C25" s="407">
        <v>12</v>
      </c>
      <c r="D25" s="408" t="s">
        <v>294</v>
      </c>
      <c r="E25" s="409" t="s">
        <v>262</v>
      </c>
      <c r="F25" s="187">
        <v>0.25</v>
      </c>
      <c r="G25" s="111"/>
      <c r="H25" s="187" t="s">
        <v>263</v>
      </c>
      <c r="I25" s="410">
        <f>SupplyChainTier1[[#This Row],[Amount spent by product category (£)]]</f>
        <v>0</v>
      </c>
      <c r="J25" s="410" t="s">
        <v>263</v>
      </c>
      <c r="K25" s="411">
        <v>1.036254666066273</v>
      </c>
      <c r="L25" s="185" t="str">
        <f t="shared" si="0"/>
        <v/>
      </c>
      <c r="M25" s="103"/>
      <c r="N25" s="101"/>
      <c r="O25" s="286">
        <v>0</v>
      </c>
      <c r="P25" s="286">
        <v>0</v>
      </c>
      <c r="Q2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5" s="286">
        <v>0</v>
      </c>
      <c r="S25" s="286">
        <v>0</v>
      </c>
      <c r="T2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5" s="286">
        <v>0</v>
      </c>
      <c r="W25"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5" s="587"/>
      <c r="Y25" s="588"/>
      <c r="Z25" s="1" cm="1">
        <f t="array" ref="Z25">IF(OR(ISERROR(B25:V25)),1,0)</f>
        <v>0</v>
      </c>
      <c r="AA25" s="1">
        <f t="shared" si="1"/>
        <v>0</v>
      </c>
      <c r="AB25" s="412"/>
    </row>
    <row r="26" spans="2:28" ht="15" thickBot="1" x14ac:dyDescent="0.4">
      <c r="B26" s="406" t="s">
        <v>120</v>
      </c>
      <c r="C26" s="407">
        <v>13</v>
      </c>
      <c r="D26" s="408" t="s">
        <v>295</v>
      </c>
      <c r="E26" s="409" t="s">
        <v>262</v>
      </c>
      <c r="F26" s="187">
        <v>0.25</v>
      </c>
      <c r="G26" s="111"/>
      <c r="H26" s="187" t="s">
        <v>263</v>
      </c>
      <c r="I26" s="410">
        <f>SupplyChainTier1[[#This Row],[Amount spent by product category (£)]]</f>
        <v>0</v>
      </c>
      <c r="J26" s="410" t="s">
        <v>263</v>
      </c>
      <c r="K26" s="411">
        <v>0.80493046168599958</v>
      </c>
      <c r="L26" s="185" t="str">
        <f t="shared" si="0"/>
        <v/>
      </c>
      <c r="M26" s="103"/>
      <c r="N26" s="101"/>
      <c r="O26" s="286">
        <v>0</v>
      </c>
      <c r="P26" s="286">
        <v>0</v>
      </c>
      <c r="Q2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6" s="286">
        <v>0</v>
      </c>
      <c r="S26" s="286">
        <v>0</v>
      </c>
      <c r="T2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6" s="286">
        <v>0</v>
      </c>
      <c r="W26"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6" s="587"/>
      <c r="Y26" s="588"/>
      <c r="Z26" s="1" cm="1">
        <f t="array" ref="Z26">IF(OR(ISERROR(B26:V26)),1,0)</f>
        <v>0</v>
      </c>
      <c r="AA26" s="1">
        <f t="shared" si="1"/>
        <v>0</v>
      </c>
      <c r="AB26" s="412"/>
    </row>
    <row r="27" spans="2:28" ht="15" thickBot="1" x14ac:dyDescent="0.4">
      <c r="B27" s="406" t="s">
        <v>120</v>
      </c>
      <c r="C27" s="407">
        <v>14</v>
      </c>
      <c r="D27" s="408" t="s">
        <v>296</v>
      </c>
      <c r="E27" s="409" t="s">
        <v>262</v>
      </c>
      <c r="F27" s="187">
        <v>0.25</v>
      </c>
      <c r="G27" s="111"/>
      <c r="H27" s="187" t="s">
        <v>263</v>
      </c>
      <c r="I27" s="410">
        <f>SupplyChainTier1[[#This Row],[Amount spent by product category (£)]]</f>
        <v>0</v>
      </c>
      <c r="J27" s="410" t="s">
        <v>263</v>
      </c>
      <c r="K27" s="411">
        <v>0.73847216519147829</v>
      </c>
      <c r="L27" s="185" t="str">
        <f t="shared" si="0"/>
        <v/>
      </c>
      <c r="M27" s="103"/>
      <c r="N27" s="101"/>
      <c r="O27" s="286">
        <v>0</v>
      </c>
      <c r="P27" s="286">
        <v>0</v>
      </c>
      <c r="Q2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7" s="286">
        <v>0</v>
      </c>
      <c r="S27" s="286">
        <v>0</v>
      </c>
      <c r="T2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7" s="286">
        <v>0</v>
      </c>
      <c r="W27"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7" s="587"/>
      <c r="Y27" s="588"/>
      <c r="Z27" s="1" cm="1">
        <f t="array" ref="Z27">IF(OR(ISERROR(B27:V27)),1,0)</f>
        <v>0</v>
      </c>
      <c r="AA27" s="1">
        <f t="shared" si="1"/>
        <v>0</v>
      </c>
      <c r="AB27" s="416"/>
    </row>
    <row r="28" spans="2:28" ht="15" thickBot="1" x14ac:dyDescent="0.4">
      <c r="B28" s="406" t="s">
        <v>120</v>
      </c>
      <c r="C28" s="407">
        <v>15</v>
      </c>
      <c r="D28" s="408" t="s">
        <v>297</v>
      </c>
      <c r="E28" s="409" t="s">
        <v>262</v>
      </c>
      <c r="F28" s="187">
        <v>0.25</v>
      </c>
      <c r="G28" s="111"/>
      <c r="H28" s="187" t="s">
        <v>263</v>
      </c>
      <c r="I28" s="410">
        <f>SupplyChainTier1[[#This Row],[Amount spent by product category (£)]]</f>
        <v>0</v>
      </c>
      <c r="J28" s="410" t="s">
        <v>263</v>
      </c>
      <c r="K28" s="411">
        <v>0.71166281824802102</v>
      </c>
      <c r="L28" s="185" t="str">
        <f t="shared" si="0"/>
        <v/>
      </c>
      <c r="M28" s="103"/>
      <c r="N28" s="101"/>
      <c r="O28" s="286">
        <v>0</v>
      </c>
      <c r="P28" s="286">
        <v>0</v>
      </c>
      <c r="Q2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8" s="286">
        <v>0</v>
      </c>
      <c r="S28" s="286">
        <v>0</v>
      </c>
      <c r="T2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8" s="286">
        <v>0</v>
      </c>
      <c r="W28"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8" s="587"/>
      <c r="Y28" s="588"/>
      <c r="Z28" s="1" cm="1">
        <f t="array" ref="Z28">IF(OR(ISERROR(B28:V28)),1,0)</f>
        <v>0</v>
      </c>
      <c r="AA28" s="1">
        <f t="shared" si="1"/>
        <v>0</v>
      </c>
      <c r="AB28" s="417"/>
    </row>
    <row r="29" spans="2:28" ht="26.5" thickBot="1" x14ac:dyDescent="0.4">
      <c r="B29" s="406" t="s">
        <v>120</v>
      </c>
      <c r="C29" s="407">
        <v>16</v>
      </c>
      <c r="D29" s="408" t="s">
        <v>298</v>
      </c>
      <c r="E29" s="409" t="s">
        <v>262</v>
      </c>
      <c r="F29" s="187">
        <v>0.25</v>
      </c>
      <c r="G29" s="111"/>
      <c r="H29" s="187" t="s">
        <v>263</v>
      </c>
      <c r="I29" s="410">
        <f>SupplyChainTier1[[#This Row],[Amount spent by product category (£)]]</f>
        <v>0</v>
      </c>
      <c r="J29" s="410" t="s">
        <v>263</v>
      </c>
      <c r="K29" s="411">
        <v>0.54452788103299998</v>
      </c>
      <c r="L29" s="185" t="str">
        <f t="shared" si="0"/>
        <v/>
      </c>
      <c r="M29" s="103"/>
      <c r="N29" s="101"/>
      <c r="O29" s="286">
        <v>0</v>
      </c>
      <c r="P29" s="286">
        <v>0</v>
      </c>
      <c r="Q2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29" s="286">
        <v>0</v>
      </c>
      <c r="S29" s="286">
        <v>0</v>
      </c>
      <c r="T2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2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29" s="286">
        <v>0</v>
      </c>
      <c r="W29"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29" s="587"/>
      <c r="Y29" s="588"/>
      <c r="Z29" s="1" cm="1">
        <f t="array" ref="Z29">IF(OR(ISERROR(B29:V29)),1,0)</f>
        <v>0</v>
      </c>
      <c r="AA29" s="1">
        <f t="shared" si="1"/>
        <v>0</v>
      </c>
    </row>
    <row r="30" spans="2:28" ht="15" thickBot="1" x14ac:dyDescent="0.4">
      <c r="B30" s="406" t="s">
        <v>120</v>
      </c>
      <c r="C30" s="407">
        <v>17</v>
      </c>
      <c r="D30" s="408" t="s">
        <v>299</v>
      </c>
      <c r="E30" s="409" t="s">
        <v>262</v>
      </c>
      <c r="F30" s="187">
        <v>0.25</v>
      </c>
      <c r="G30" s="111"/>
      <c r="H30" s="187" t="s">
        <v>263</v>
      </c>
      <c r="I30" s="410">
        <f>SupplyChainTier1[[#This Row],[Amount spent by product category (£)]]</f>
        <v>0</v>
      </c>
      <c r="J30" s="410" t="s">
        <v>263</v>
      </c>
      <c r="K30" s="411">
        <v>0.75557952255461125</v>
      </c>
      <c r="L30" s="185" t="str">
        <f t="shared" si="0"/>
        <v/>
      </c>
      <c r="M30" s="103"/>
      <c r="N30" s="101"/>
      <c r="O30" s="286">
        <v>0</v>
      </c>
      <c r="P30" s="286">
        <v>0</v>
      </c>
      <c r="Q3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0" s="286">
        <v>0</v>
      </c>
      <c r="S30" s="286">
        <v>0</v>
      </c>
      <c r="T3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0" s="286">
        <v>0</v>
      </c>
      <c r="W30"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0" s="587"/>
      <c r="Y30" s="588"/>
      <c r="Z30" s="1" cm="1">
        <f t="array" ref="Z30">IF(OR(ISERROR(B30:V30)),1,0)</f>
        <v>0</v>
      </c>
      <c r="AA30" s="1">
        <f t="shared" si="1"/>
        <v>0</v>
      </c>
    </row>
    <row r="31" spans="2:28" ht="15" thickBot="1" x14ac:dyDescent="0.4">
      <c r="B31" s="406" t="s">
        <v>120</v>
      </c>
      <c r="C31" s="407">
        <v>18</v>
      </c>
      <c r="D31" s="413" t="s">
        <v>300</v>
      </c>
      <c r="E31" s="409" t="s">
        <v>262</v>
      </c>
      <c r="F31" s="187">
        <v>0.25</v>
      </c>
      <c r="G31" s="218"/>
      <c r="H31" s="187" t="s">
        <v>263</v>
      </c>
      <c r="I31" s="410">
        <f>SupplyChainTier1[[#This Row],[Amount spent by product category (£)]]</f>
        <v>0</v>
      </c>
      <c r="J31" s="410" t="s">
        <v>263</v>
      </c>
      <c r="K31" s="411">
        <v>0.43371268543150959</v>
      </c>
      <c r="L31" s="185" t="str">
        <f t="shared" si="0"/>
        <v/>
      </c>
      <c r="M31" s="103"/>
      <c r="N31" s="101"/>
      <c r="O31" s="286">
        <v>0</v>
      </c>
      <c r="P31" s="286">
        <v>0</v>
      </c>
      <c r="Q3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1" s="286">
        <v>0</v>
      </c>
      <c r="S31" s="286">
        <v>0</v>
      </c>
      <c r="T3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1" s="286">
        <v>0</v>
      </c>
      <c r="W31"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1" s="587"/>
      <c r="Y31" s="588"/>
      <c r="Z31" s="1" cm="1">
        <f t="array" ref="Z31">IF(OR(ISERROR(B31:V31)),1,0)</f>
        <v>0</v>
      </c>
      <c r="AA31" s="1">
        <f t="shared" si="1"/>
        <v>0</v>
      </c>
    </row>
    <row r="32" spans="2:28" ht="15" thickBot="1" x14ac:dyDescent="0.4">
      <c r="B32" s="406" t="s">
        <v>120</v>
      </c>
      <c r="C32" s="414">
        <v>19</v>
      </c>
      <c r="D32" s="287" t="s">
        <v>301</v>
      </c>
      <c r="E32" s="409" t="s">
        <v>262</v>
      </c>
      <c r="F32" s="415">
        <v>0.25</v>
      </c>
      <c r="G32" s="220"/>
      <c r="H32" s="187" t="s">
        <v>263</v>
      </c>
      <c r="I32" s="410">
        <f>SupplyChainTier1[[#This Row],[Amount spent by product category (£)]]</f>
        <v>0</v>
      </c>
      <c r="J32" s="410" t="s">
        <v>263</v>
      </c>
      <c r="K32" s="411">
        <v>1.865964554423549</v>
      </c>
      <c r="L32" s="185" t="str">
        <f t="shared" si="0"/>
        <v/>
      </c>
      <c r="M32" s="103"/>
      <c r="N32" s="101"/>
      <c r="O32" s="286">
        <v>0</v>
      </c>
      <c r="P32" s="286">
        <v>0</v>
      </c>
      <c r="Q3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2" s="286">
        <v>0</v>
      </c>
      <c r="S32" s="286">
        <v>0</v>
      </c>
      <c r="T3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2" s="286">
        <v>0</v>
      </c>
      <c r="W32"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2" s="587"/>
      <c r="Y32" s="588"/>
      <c r="Z32" s="1" cm="1">
        <f t="array" ref="Z32">IF(OR(ISERROR(B32:V32)),1,0)</f>
        <v>0</v>
      </c>
      <c r="AA32" s="1">
        <f t="shared" si="1"/>
        <v>0</v>
      </c>
    </row>
    <row r="33" spans="2:27" ht="26.5" thickBot="1" x14ac:dyDescent="0.4">
      <c r="B33" s="406" t="s">
        <v>120</v>
      </c>
      <c r="C33" s="407">
        <v>20.3</v>
      </c>
      <c r="D33" s="408" t="s">
        <v>302</v>
      </c>
      <c r="E33" s="409" t="s">
        <v>262</v>
      </c>
      <c r="F33" s="187">
        <v>0.25</v>
      </c>
      <c r="G33" s="219"/>
      <c r="H33" s="187" t="s">
        <v>263</v>
      </c>
      <c r="I33" s="410">
        <f>SupplyChainTier1[[#This Row],[Amount spent by product category (£)]]</f>
        <v>0</v>
      </c>
      <c r="J33" s="410" t="s">
        <v>263</v>
      </c>
      <c r="K33" s="411">
        <v>1.0483918380121009</v>
      </c>
      <c r="L33" s="185" t="str">
        <f t="shared" si="0"/>
        <v/>
      </c>
      <c r="M33" s="103"/>
      <c r="N33" s="101"/>
      <c r="O33" s="286">
        <v>0</v>
      </c>
      <c r="P33" s="286">
        <v>0</v>
      </c>
      <c r="Q3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3" s="286">
        <v>0</v>
      </c>
      <c r="S33" s="286">
        <v>0</v>
      </c>
      <c r="T3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3" s="286">
        <v>0</v>
      </c>
      <c r="W33"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3" s="587"/>
      <c r="Y33" s="588"/>
      <c r="Z33" s="1" cm="1">
        <f t="array" ref="Z33">IF(OR(ISERROR(B33:V33)),1,0)</f>
        <v>0</v>
      </c>
      <c r="AA33" s="1">
        <f t="shared" si="1"/>
        <v>0</v>
      </c>
    </row>
    <row r="34" spans="2:27" ht="26.5" thickBot="1" x14ac:dyDescent="0.4">
      <c r="B34" s="406" t="s">
        <v>120</v>
      </c>
      <c r="C34" s="407">
        <v>20.399999999999999</v>
      </c>
      <c r="D34" s="408" t="s">
        <v>303</v>
      </c>
      <c r="E34" s="409" t="s">
        <v>262</v>
      </c>
      <c r="F34" s="187">
        <v>0.25</v>
      </c>
      <c r="G34" s="111"/>
      <c r="H34" s="187" t="s">
        <v>263</v>
      </c>
      <c r="I34" s="410">
        <f>SupplyChainTier1[[#This Row],[Amount spent by product category (£)]]</f>
        <v>0</v>
      </c>
      <c r="J34" s="410" t="s">
        <v>263</v>
      </c>
      <c r="K34" s="411">
        <v>0.83658404757177618</v>
      </c>
      <c r="L34" s="185" t="str">
        <f t="shared" si="0"/>
        <v/>
      </c>
      <c r="M34" s="103"/>
      <c r="N34" s="101"/>
      <c r="O34" s="286">
        <v>0</v>
      </c>
      <c r="P34" s="286">
        <v>0</v>
      </c>
      <c r="Q3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4" s="286">
        <v>0</v>
      </c>
      <c r="S34" s="286">
        <v>0</v>
      </c>
      <c r="T3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4" s="286">
        <v>0</v>
      </c>
      <c r="W34"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4" s="587"/>
      <c r="Y34" s="588"/>
      <c r="Z34" s="1" cm="1">
        <f t="array" ref="Z34">IF(OR(ISERROR(B34:V34)),1,0)</f>
        <v>0</v>
      </c>
      <c r="AA34" s="1">
        <f t="shared" si="1"/>
        <v>0</v>
      </c>
    </row>
    <row r="35" spans="2:27" ht="15" thickBot="1" x14ac:dyDescent="0.4">
      <c r="B35" s="406" t="s">
        <v>120</v>
      </c>
      <c r="C35" s="407">
        <v>20.5</v>
      </c>
      <c r="D35" s="408" t="s">
        <v>304</v>
      </c>
      <c r="E35" s="409" t="s">
        <v>262</v>
      </c>
      <c r="F35" s="187">
        <v>0.25</v>
      </c>
      <c r="G35" s="111"/>
      <c r="H35" s="187" t="s">
        <v>263</v>
      </c>
      <c r="I35" s="410">
        <f>SupplyChainTier1[[#This Row],[Amount spent by product category (£)]]</f>
        <v>0</v>
      </c>
      <c r="J35" s="410" t="s">
        <v>263</v>
      </c>
      <c r="K35" s="411">
        <v>1.3378098052116341</v>
      </c>
      <c r="L35" s="185" t="str">
        <f t="shared" si="0"/>
        <v/>
      </c>
      <c r="M35" s="103"/>
      <c r="N35" s="101"/>
      <c r="O35" s="286">
        <v>0</v>
      </c>
      <c r="P35" s="286">
        <v>0</v>
      </c>
      <c r="Q3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5" s="286">
        <v>0</v>
      </c>
      <c r="S35" s="286">
        <v>0</v>
      </c>
      <c r="T3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5" s="286">
        <v>0</v>
      </c>
      <c r="W35"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5" s="587"/>
      <c r="Y35" s="588"/>
      <c r="Z35" s="1" cm="1">
        <f t="array" ref="Z35">IF(OR(ISERROR(B35:V35)),1,0)</f>
        <v>0</v>
      </c>
      <c r="AA35" s="1">
        <f t="shared" si="1"/>
        <v>0</v>
      </c>
    </row>
    <row r="36" spans="2:27" ht="26.5" thickBot="1" x14ac:dyDescent="0.4">
      <c r="B36" s="406" t="s">
        <v>120</v>
      </c>
      <c r="C36" s="407" t="s">
        <v>305</v>
      </c>
      <c r="D36" s="408" t="s">
        <v>306</v>
      </c>
      <c r="E36" s="409" t="s">
        <v>262</v>
      </c>
      <c r="F36" s="187">
        <v>0.25</v>
      </c>
      <c r="G36" s="111"/>
      <c r="H36" s="187" t="s">
        <v>263</v>
      </c>
      <c r="I36" s="410">
        <f>SupplyChainTier1[[#This Row],[Amount spent by product category (£)]]</f>
        <v>0</v>
      </c>
      <c r="J36" s="410" t="s">
        <v>263</v>
      </c>
      <c r="K36" s="411">
        <v>1.3907169875212491</v>
      </c>
      <c r="L36" s="185" t="str">
        <f t="shared" si="0"/>
        <v/>
      </c>
      <c r="M36" s="103"/>
      <c r="N36" s="101"/>
      <c r="O36" s="286">
        <v>0</v>
      </c>
      <c r="P36" s="286">
        <v>0</v>
      </c>
      <c r="Q3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6" s="286">
        <v>0</v>
      </c>
      <c r="S36" s="286">
        <v>0</v>
      </c>
      <c r="T3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6" s="286">
        <v>0</v>
      </c>
      <c r="W36"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6" s="587"/>
      <c r="Y36" s="588"/>
      <c r="Z36" s="1" cm="1">
        <f t="array" ref="Z36">IF(OR(ISERROR(B36:V36)),1,0)</f>
        <v>0</v>
      </c>
      <c r="AA36" s="1">
        <f t="shared" si="1"/>
        <v>0</v>
      </c>
    </row>
    <row r="37" spans="2:27" ht="15" thickBot="1" x14ac:dyDescent="0.4">
      <c r="B37" s="406" t="s">
        <v>120</v>
      </c>
      <c r="C37" s="407" t="s">
        <v>307</v>
      </c>
      <c r="D37" s="408" t="s">
        <v>308</v>
      </c>
      <c r="E37" s="409" t="s">
        <v>262</v>
      </c>
      <c r="F37" s="187">
        <v>0.25</v>
      </c>
      <c r="G37" s="111"/>
      <c r="H37" s="187" t="s">
        <v>263</v>
      </c>
      <c r="I37" s="410">
        <f>SupplyChainTier1[[#This Row],[Amount spent by product category (£)]]</f>
        <v>0</v>
      </c>
      <c r="J37" s="410" t="s">
        <v>263</v>
      </c>
      <c r="K37" s="411">
        <v>1.500200091067837</v>
      </c>
      <c r="L37" s="185" t="str">
        <f t="shared" si="0"/>
        <v/>
      </c>
      <c r="M37" s="103"/>
      <c r="N37" s="101"/>
      <c r="O37" s="286">
        <v>0</v>
      </c>
      <c r="P37" s="286">
        <v>0</v>
      </c>
      <c r="Q3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7" s="286">
        <v>0</v>
      </c>
      <c r="S37" s="286">
        <v>0</v>
      </c>
      <c r="T3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7" s="286">
        <v>0</v>
      </c>
      <c r="W37"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7" s="587"/>
      <c r="Y37" s="588"/>
      <c r="Z37" s="1" cm="1">
        <f t="array" ref="Z37">IF(OR(ISERROR(B37:V37)),1,0)</f>
        <v>0</v>
      </c>
      <c r="AA37" s="1">
        <f t="shared" si="1"/>
        <v>0</v>
      </c>
    </row>
    <row r="38" spans="2:27" ht="15" thickBot="1" x14ac:dyDescent="0.4">
      <c r="B38" s="406" t="s">
        <v>120</v>
      </c>
      <c r="C38" s="407" t="s">
        <v>309</v>
      </c>
      <c r="D38" s="408" t="s">
        <v>310</v>
      </c>
      <c r="E38" s="409" t="s">
        <v>262</v>
      </c>
      <c r="F38" s="187">
        <v>0.25</v>
      </c>
      <c r="G38" s="111"/>
      <c r="H38" s="187" t="s">
        <v>263</v>
      </c>
      <c r="I38" s="410">
        <f>SupplyChainTier1[[#This Row],[Amount spent by product category (£)]]</f>
        <v>0</v>
      </c>
      <c r="J38" s="410" t="s">
        <v>263</v>
      </c>
      <c r="K38" s="411">
        <v>1.231753772851345</v>
      </c>
      <c r="L38" s="185" t="str">
        <f t="shared" si="0"/>
        <v/>
      </c>
      <c r="M38" s="103"/>
      <c r="N38" s="101"/>
      <c r="O38" s="286">
        <v>0</v>
      </c>
      <c r="P38" s="286">
        <v>0</v>
      </c>
      <c r="Q3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8" s="286">
        <v>0</v>
      </c>
      <c r="S38" s="286">
        <v>0</v>
      </c>
      <c r="T3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8" s="286">
        <v>0</v>
      </c>
      <c r="W38"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8" s="587"/>
      <c r="Y38" s="588"/>
      <c r="Z38" s="1" cm="1">
        <f t="array" ref="Z38">IF(OR(ISERROR(B38:V38)),1,0)</f>
        <v>0</v>
      </c>
      <c r="AA38" s="1">
        <f t="shared" si="1"/>
        <v>0</v>
      </c>
    </row>
    <row r="39" spans="2:27" ht="26.5" thickBot="1" x14ac:dyDescent="0.4">
      <c r="B39" s="406" t="s">
        <v>120</v>
      </c>
      <c r="C39" s="407">
        <v>21</v>
      </c>
      <c r="D39" s="408" t="s">
        <v>311</v>
      </c>
      <c r="E39" s="409" t="s">
        <v>262</v>
      </c>
      <c r="F39" s="187">
        <v>0.25</v>
      </c>
      <c r="G39" s="111"/>
      <c r="H39" s="187" t="s">
        <v>263</v>
      </c>
      <c r="I39" s="410">
        <f>SupplyChainTier1[[#This Row],[Amount spent by product category (£)]]</f>
        <v>0</v>
      </c>
      <c r="J39" s="410" t="s">
        <v>263</v>
      </c>
      <c r="K39" s="411">
        <v>0.58124369452901692</v>
      </c>
      <c r="L39" s="185" t="str">
        <f t="shared" si="0"/>
        <v/>
      </c>
      <c r="M39" s="103"/>
      <c r="N39" s="101"/>
      <c r="O39" s="286">
        <v>0</v>
      </c>
      <c r="P39" s="286">
        <v>0</v>
      </c>
      <c r="Q3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39" s="286">
        <v>0</v>
      </c>
      <c r="S39" s="286">
        <v>0</v>
      </c>
      <c r="T3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3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39" s="286">
        <v>0</v>
      </c>
      <c r="W39"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39" s="587"/>
      <c r="Y39" s="588"/>
      <c r="Z39" s="1" cm="1">
        <f t="array" ref="Z39">IF(OR(ISERROR(B39:V39)),1,0)</f>
        <v>0</v>
      </c>
      <c r="AA39" s="1">
        <f t="shared" si="1"/>
        <v>0</v>
      </c>
    </row>
    <row r="40" spans="2:27" ht="15" thickBot="1" x14ac:dyDescent="0.4">
      <c r="B40" s="406" t="s">
        <v>120</v>
      </c>
      <c r="C40" s="407">
        <v>22</v>
      </c>
      <c r="D40" s="408" t="s">
        <v>312</v>
      </c>
      <c r="E40" s="409" t="s">
        <v>262</v>
      </c>
      <c r="F40" s="187">
        <v>0.25</v>
      </c>
      <c r="G40" s="111"/>
      <c r="H40" s="187" t="s">
        <v>263</v>
      </c>
      <c r="I40" s="410">
        <f>SupplyChainTier1[[#This Row],[Amount spent by product category (£)]]</f>
        <v>0</v>
      </c>
      <c r="J40" s="410" t="s">
        <v>263</v>
      </c>
      <c r="K40" s="411">
        <v>0.63376124906788212</v>
      </c>
      <c r="L40" s="185" t="str">
        <f t="shared" ref="L40:L71" si="2">IF(ISBLANK(G40),"",G40*K40)</f>
        <v/>
      </c>
      <c r="M40" s="103"/>
      <c r="N40" s="101"/>
      <c r="O40" s="286">
        <v>0</v>
      </c>
      <c r="P40" s="286">
        <v>0</v>
      </c>
      <c r="Q4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0" s="286">
        <v>0</v>
      </c>
      <c r="S40" s="286">
        <v>0</v>
      </c>
      <c r="T4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0" s="286">
        <v>0</v>
      </c>
      <c r="W40"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0" s="587"/>
      <c r="Y40" s="588"/>
      <c r="Z40" s="1" cm="1">
        <f t="array" ref="Z40">IF(OR(ISERROR(B40:V40)),1,0)</f>
        <v>0</v>
      </c>
      <c r="AA40" s="1">
        <f t="shared" si="1"/>
        <v>0</v>
      </c>
    </row>
    <row r="41" spans="2:27" ht="26.5" thickBot="1" x14ac:dyDescent="0.4">
      <c r="B41" s="406" t="s">
        <v>120</v>
      </c>
      <c r="C41" s="407" t="s">
        <v>313</v>
      </c>
      <c r="D41" s="408" t="s">
        <v>314</v>
      </c>
      <c r="E41" s="409" t="s">
        <v>262</v>
      </c>
      <c r="F41" s="187">
        <v>0.25</v>
      </c>
      <c r="G41" s="111"/>
      <c r="H41" s="187" t="s">
        <v>263</v>
      </c>
      <c r="I41" s="410">
        <f>SupplyChainTier1[[#This Row],[Amount spent by product category (£)]]</f>
        <v>0</v>
      </c>
      <c r="J41" s="410" t="s">
        <v>263</v>
      </c>
      <c r="K41" s="411">
        <v>0.98192437291325474</v>
      </c>
      <c r="L41" s="185" t="str">
        <f t="shared" si="2"/>
        <v/>
      </c>
      <c r="M41" s="103"/>
      <c r="N41" s="101"/>
      <c r="O41" s="286">
        <v>0</v>
      </c>
      <c r="P41" s="286">
        <v>0</v>
      </c>
      <c r="Q4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1" s="286">
        <v>0</v>
      </c>
      <c r="S41" s="286">
        <v>0</v>
      </c>
      <c r="T4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1" s="286">
        <v>0</v>
      </c>
      <c r="W41"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1" s="587"/>
      <c r="Y41" s="588"/>
      <c r="Z41" s="1" cm="1">
        <f t="array" ref="Z41">IF(OR(ISERROR(B41:V41)),1,0)</f>
        <v>0</v>
      </c>
      <c r="AA41" s="1">
        <f t="shared" si="1"/>
        <v>0</v>
      </c>
    </row>
    <row r="42" spans="2:27" ht="26.5" thickBot="1" x14ac:dyDescent="0.4">
      <c r="B42" s="406" t="s">
        <v>120</v>
      </c>
      <c r="C42" s="407" t="s">
        <v>315</v>
      </c>
      <c r="D42" s="408" t="s">
        <v>316</v>
      </c>
      <c r="E42" s="409" t="s">
        <v>262</v>
      </c>
      <c r="F42" s="187">
        <v>0.25</v>
      </c>
      <c r="G42" s="111"/>
      <c r="H42" s="187" t="s">
        <v>263</v>
      </c>
      <c r="I42" s="410">
        <f>SupplyChainTier1[[#This Row],[Amount spent by product category (£)]]</f>
        <v>0</v>
      </c>
      <c r="J42" s="410" t="s">
        <v>263</v>
      </c>
      <c r="K42" s="411">
        <v>1.310257890723352</v>
      </c>
      <c r="L42" s="185" t="str">
        <f t="shared" si="2"/>
        <v/>
      </c>
      <c r="M42" s="103"/>
      <c r="N42" s="101"/>
      <c r="O42" s="286">
        <v>0</v>
      </c>
      <c r="P42" s="286">
        <v>0</v>
      </c>
      <c r="Q4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2" s="286">
        <v>0</v>
      </c>
      <c r="S42" s="286">
        <v>0</v>
      </c>
      <c r="T4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2" s="286">
        <v>0</v>
      </c>
      <c r="W42"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2" s="587"/>
      <c r="Y42" s="588"/>
      <c r="Z42" s="1" cm="1">
        <f t="array" ref="Z42">IF(OR(ISERROR(B42:V42)),1,0)</f>
        <v>0</v>
      </c>
      <c r="AA42" s="1">
        <f t="shared" si="1"/>
        <v>0</v>
      </c>
    </row>
    <row r="43" spans="2:27" ht="15" thickBot="1" x14ac:dyDescent="0.4">
      <c r="B43" s="406" t="s">
        <v>120</v>
      </c>
      <c r="C43" s="407" t="s">
        <v>317</v>
      </c>
      <c r="D43" s="408" t="s">
        <v>318</v>
      </c>
      <c r="E43" s="409" t="s">
        <v>262</v>
      </c>
      <c r="F43" s="187">
        <v>0.25</v>
      </c>
      <c r="G43" s="111"/>
      <c r="H43" s="187" t="s">
        <v>263</v>
      </c>
      <c r="I43" s="410">
        <f>SupplyChainTier1[[#This Row],[Amount spent by product category (£)]]</f>
        <v>0</v>
      </c>
      <c r="J43" s="410" t="s">
        <v>263</v>
      </c>
      <c r="K43" s="411">
        <v>1.7920180949871889</v>
      </c>
      <c r="L43" s="185" t="str">
        <f t="shared" si="2"/>
        <v/>
      </c>
      <c r="M43" s="103"/>
      <c r="N43" s="101"/>
      <c r="O43" s="286">
        <v>0</v>
      </c>
      <c r="P43" s="286">
        <v>0</v>
      </c>
      <c r="Q4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3" s="286">
        <v>0</v>
      </c>
      <c r="S43" s="286">
        <v>0</v>
      </c>
      <c r="T4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3" s="286">
        <v>0</v>
      </c>
      <c r="W43"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3" s="587"/>
      <c r="Y43" s="588"/>
      <c r="Z43" s="1" cm="1">
        <f t="array" ref="Z43">IF(OR(ISERROR(B43:V43)),1,0)</f>
        <v>0</v>
      </c>
      <c r="AA43" s="1">
        <f t="shared" si="1"/>
        <v>0</v>
      </c>
    </row>
    <row r="44" spans="2:27" ht="15" thickBot="1" x14ac:dyDescent="0.4">
      <c r="B44" s="406" t="s">
        <v>120</v>
      </c>
      <c r="C44" s="407" t="s">
        <v>319</v>
      </c>
      <c r="D44" s="408" t="s">
        <v>320</v>
      </c>
      <c r="E44" s="409" t="s">
        <v>262</v>
      </c>
      <c r="F44" s="187">
        <v>0.25</v>
      </c>
      <c r="G44" s="111"/>
      <c r="H44" s="187" t="s">
        <v>263</v>
      </c>
      <c r="I44" s="410">
        <f>SupplyChainTier1[[#This Row],[Amount spent by product category (£)]]</f>
        <v>0</v>
      </c>
      <c r="J44" s="410" t="s">
        <v>263</v>
      </c>
      <c r="K44" s="411">
        <v>0.109791804656414</v>
      </c>
      <c r="L44" s="185" t="str">
        <f t="shared" si="2"/>
        <v/>
      </c>
      <c r="M44" s="103"/>
      <c r="N44" s="101"/>
      <c r="O44" s="286">
        <v>0</v>
      </c>
      <c r="P44" s="286">
        <v>0</v>
      </c>
      <c r="Q4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4" s="286">
        <v>0</v>
      </c>
      <c r="S44" s="286">
        <v>0</v>
      </c>
      <c r="T4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4" s="286">
        <v>0</v>
      </c>
      <c r="W44"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4" s="587"/>
      <c r="Y44" s="588"/>
      <c r="Z44" s="1" cm="1">
        <f t="array" ref="Z44">IF(OR(ISERROR(B44:V44)),1,0)</f>
        <v>0</v>
      </c>
      <c r="AA44" s="1">
        <f t="shared" si="1"/>
        <v>0</v>
      </c>
    </row>
    <row r="45" spans="2:27" ht="15" thickBot="1" x14ac:dyDescent="0.4">
      <c r="B45" s="406" t="s">
        <v>120</v>
      </c>
      <c r="C45" s="407">
        <v>25.4</v>
      </c>
      <c r="D45" s="408" t="s">
        <v>321</v>
      </c>
      <c r="E45" s="409" t="s">
        <v>262</v>
      </c>
      <c r="F45" s="187">
        <v>0.25</v>
      </c>
      <c r="G45" s="111"/>
      <c r="H45" s="187" t="s">
        <v>263</v>
      </c>
      <c r="I45" s="410">
        <f>SupplyChainTier1[[#This Row],[Amount spent by product category (£)]]</f>
        <v>0</v>
      </c>
      <c r="J45" s="410" t="s">
        <v>263</v>
      </c>
      <c r="K45" s="411">
        <v>0.46870158232564191</v>
      </c>
      <c r="L45" s="185" t="str">
        <f t="shared" si="2"/>
        <v/>
      </c>
      <c r="M45" s="103"/>
      <c r="N45" s="101"/>
      <c r="O45" s="286">
        <v>0</v>
      </c>
      <c r="P45" s="286">
        <v>0</v>
      </c>
      <c r="Q4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5" s="286">
        <v>0</v>
      </c>
      <c r="S45" s="286">
        <v>0</v>
      </c>
      <c r="T4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5" s="286">
        <v>0</v>
      </c>
      <c r="W45"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5" s="587"/>
      <c r="Y45" s="588"/>
      <c r="Z45" s="1" cm="1">
        <f t="array" ref="Z45">IF(OR(ISERROR(B45:V45)),1,0)</f>
        <v>0</v>
      </c>
      <c r="AA45" s="1">
        <f t="shared" si="1"/>
        <v>0</v>
      </c>
    </row>
    <row r="46" spans="2:27" ht="39.5" thickBot="1" x14ac:dyDescent="0.4">
      <c r="B46" s="406" t="s">
        <v>120</v>
      </c>
      <c r="C46" s="407" t="s">
        <v>322</v>
      </c>
      <c r="D46" s="408" t="s">
        <v>323</v>
      </c>
      <c r="E46" s="409" t="s">
        <v>262</v>
      </c>
      <c r="F46" s="187">
        <v>0.25</v>
      </c>
      <c r="G46" s="111"/>
      <c r="H46" s="187" t="s">
        <v>263</v>
      </c>
      <c r="I46" s="410">
        <f>SupplyChainTier1[[#This Row],[Amount spent by product category (£)]]</f>
        <v>0</v>
      </c>
      <c r="J46" s="410" t="s">
        <v>263</v>
      </c>
      <c r="K46" s="411">
        <v>0.57534498868529693</v>
      </c>
      <c r="L46" s="185" t="str">
        <f t="shared" si="2"/>
        <v/>
      </c>
      <c r="M46" s="103"/>
      <c r="N46" s="101"/>
      <c r="O46" s="286">
        <v>0</v>
      </c>
      <c r="P46" s="286">
        <v>0</v>
      </c>
      <c r="Q4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6" s="286">
        <v>0</v>
      </c>
      <c r="S46" s="286">
        <v>0</v>
      </c>
      <c r="T4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6" s="286">
        <v>0</v>
      </c>
      <c r="W46"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6" s="587"/>
      <c r="Y46" s="588"/>
      <c r="Z46" s="1" cm="1">
        <f t="array" ref="Z46">IF(OR(ISERROR(B46:V46)),1,0)</f>
        <v>0</v>
      </c>
      <c r="AA46" s="1">
        <f t="shared" si="1"/>
        <v>0</v>
      </c>
    </row>
    <row r="47" spans="2:27" ht="15" thickBot="1" x14ac:dyDescent="0.4">
      <c r="B47" s="406" t="s">
        <v>120</v>
      </c>
      <c r="C47" s="407">
        <v>26</v>
      </c>
      <c r="D47" s="408" t="s">
        <v>324</v>
      </c>
      <c r="E47" s="409" t="s">
        <v>262</v>
      </c>
      <c r="F47" s="187">
        <v>0.25</v>
      </c>
      <c r="G47" s="111"/>
      <c r="H47" s="187" t="s">
        <v>263</v>
      </c>
      <c r="I47" s="410">
        <f>SupplyChainTier1[[#This Row],[Amount spent by product category (£)]]</f>
        <v>0</v>
      </c>
      <c r="J47" s="410" t="s">
        <v>263</v>
      </c>
      <c r="K47" s="411">
        <v>0.40382257169492702</v>
      </c>
      <c r="L47" s="185" t="str">
        <f t="shared" si="2"/>
        <v/>
      </c>
      <c r="M47" s="103"/>
      <c r="N47" s="101"/>
      <c r="O47" s="286">
        <v>0</v>
      </c>
      <c r="P47" s="286">
        <v>0</v>
      </c>
      <c r="Q4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7" s="286">
        <v>0</v>
      </c>
      <c r="S47" s="286">
        <v>0</v>
      </c>
      <c r="T4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7" s="286">
        <v>0</v>
      </c>
      <c r="W47"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7" s="587"/>
      <c r="Y47" s="588"/>
      <c r="Z47" s="1" cm="1">
        <f t="array" ref="Z47">IF(OR(ISERROR(B47:V47)),1,0)</f>
        <v>0</v>
      </c>
      <c r="AA47" s="1">
        <f t="shared" si="1"/>
        <v>0</v>
      </c>
    </row>
    <row r="48" spans="2:27" ht="15" thickBot="1" x14ac:dyDescent="0.4">
      <c r="B48" s="406" t="s">
        <v>120</v>
      </c>
      <c r="C48" s="407">
        <v>27</v>
      </c>
      <c r="D48" s="408" t="s">
        <v>325</v>
      </c>
      <c r="E48" s="409" t="s">
        <v>262</v>
      </c>
      <c r="F48" s="187">
        <v>0.25</v>
      </c>
      <c r="G48" s="111"/>
      <c r="H48" s="187" t="s">
        <v>263</v>
      </c>
      <c r="I48" s="410">
        <f>SupplyChainTier1[[#This Row],[Amount spent by product category (£)]]</f>
        <v>0</v>
      </c>
      <c r="J48" s="410" t="s">
        <v>263</v>
      </c>
      <c r="K48" s="411">
        <v>0.43780857510374321</v>
      </c>
      <c r="L48" s="185" t="str">
        <f t="shared" si="2"/>
        <v/>
      </c>
      <c r="M48" s="103"/>
      <c r="N48" s="101"/>
      <c r="O48" s="286">
        <v>0</v>
      </c>
      <c r="P48" s="286">
        <v>0</v>
      </c>
      <c r="Q4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8" s="286">
        <v>0</v>
      </c>
      <c r="S48" s="286">
        <v>0</v>
      </c>
      <c r="T4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8" s="286">
        <v>0</v>
      </c>
      <c r="W48"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8" s="587"/>
      <c r="Y48" s="588"/>
      <c r="Z48" s="1" cm="1">
        <f t="array" ref="Z48">IF(OR(ISERROR(B48:V48)),1,0)</f>
        <v>0</v>
      </c>
      <c r="AA48" s="1">
        <f t="shared" si="1"/>
        <v>0</v>
      </c>
    </row>
    <row r="49" spans="2:27" ht="15" thickBot="1" x14ac:dyDescent="0.4">
      <c r="B49" s="406" t="s">
        <v>120</v>
      </c>
      <c r="C49" s="407">
        <v>28</v>
      </c>
      <c r="D49" s="408" t="s">
        <v>326</v>
      </c>
      <c r="E49" s="409" t="s">
        <v>262</v>
      </c>
      <c r="F49" s="187">
        <v>0.25</v>
      </c>
      <c r="G49" s="111"/>
      <c r="H49" s="187" t="s">
        <v>263</v>
      </c>
      <c r="I49" s="410">
        <f>SupplyChainTier1[[#This Row],[Amount spent by product category (£)]]</f>
        <v>0</v>
      </c>
      <c r="J49" s="410" t="s">
        <v>263</v>
      </c>
      <c r="K49" s="411">
        <v>0.44526769078096418</v>
      </c>
      <c r="L49" s="185" t="str">
        <f t="shared" si="2"/>
        <v/>
      </c>
      <c r="M49" s="103"/>
      <c r="N49" s="101"/>
      <c r="O49" s="286">
        <v>0</v>
      </c>
      <c r="P49" s="286">
        <v>0</v>
      </c>
      <c r="Q4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49" s="286">
        <v>0</v>
      </c>
      <c r="S49" s="286">
        <v>0</v>
      </c>
      <c r="T4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4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49" s="286">
        <v>0</v>
      </c>
      <c r="W49"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49" s="587"/>
      <c r="Y49" s="588"/>
      <c r="Z49" s="1" cm="1">
        <f t="array" ref="Z49">IF(OR(ISERROR(B49:V49)),1,0)</f>
        <v>0</v>
      </c>
      <c r="AA49" s="1">
        <f t="shared" si="1"/>
        <v>0</v>
      </c>
    </row>
    <row r="50" spans="2:27" ht="15" thickBot="1" x14ac:dyDescent="0.4">
      <c r="B50" s="406" t="s">
        <v>120</v>
      </c>
      <c r="C50" s="407">
        <v>29</v>
      </c>
      <c r="D50" s="408" t="s">
        <v>327</v>
      </c>
      <c r="E50" s="409" t="s">
        <v>262</v>
      </c>
      <c r="F50" s="187">
        <v>0.25</v>
      </c>
      <c r="G50" s="111"/>
      <c r="H50" s="187" t="s">
        <v>263</v>
      </c>
      <c r="I50" s="410">
        <f>SupplyChainTier1[[#This Row],[Amount spent by product category (£)]]</f>
        <v>0</v>
      </c>
      <c r="J50" s="410" t="s">
        <v>263</v>
      </c>
      <c r="K50" s="411">
        <v>0.41640097039291529</v>
      </c>
      <c r="L50" s="185" t="str">
        <f t="shared" si="2"/>
        <v/>
      </c>
      <c r="M50" s="103"/>
      <c r="N50" s="101"/>
      <c r="O50" s="286">
        <v>0</v>
      </c>
      <c r="P50" s="286">
        <v>0</v>
      </c>
      <c r="Q5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0" s="286">
        <v>0</v>
      </c>
      <c r="S50" s="286">
        <v>0</v>
      </c>
      <c r="T5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0" s="286">
        <v>0</v>
      </c>
      <c r="W50"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0" s="587"/>
      <c r="Y50" s="588"/>
      <c r="Z50" s="1" cm="1">
        <f t="array" ref="Z50">IF(OR(ISERROR(B50:V50)),1,0)</f>
        <v>0</v>
      </c>
      <c r="AA50" s="1">
        <f t="shared" si="1"/>
        <v>0</v>
      </c>
    </row>
    <row r="51" spans="2:27" ht="15" thickBot="1" x14ac:dyDescent="0.4">
      <c r="B51" s="406" t="s">
        <v>120</v>
      </c>
      <c r="C51" s="407">
        <v>30.1</v>
      </c>
      <c r="D51" s="408" t="s">
        <v>328</v>
      </c>
      <c r="E51" s="409" t="s">
        <v>262</v>
      </c>
      <c r="F51" s="187">
        <v>0.25</v>
      </c>
      <c r="G51" s="111"/>
      <c r="H51" s="187" t="s">
        <v>263</v>
      </c>
      <c r="I51" s="410">
        <f>SupplyChainTier1[[#This Row],[Amount spent by product category (£)]]</f>
        <v>0</v>
      </c>
      <c r="J51" s="410" t="s">
        <v>263</v>
      </c>
      <c r="K51" s="411">
        <v>0.30260577091272051</v>
      </c>
      <c r="L51" s="185" t="str">
        <f t="shared" si="2"/>
        <v/>
      </c>
      <c r="M51" s="103"/>
      <c r="N51" s="101"/>
      <c r="O51" s="286">
        <v>0</v>
      </c>
      <c r="P51" s="286">
        <v>0</v>
      </c>
      <c r="Q5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1" s="286">
        <v>0</v>
      </c>
      <c r="S51" s="286">
        <v>0</v>
      </c>
      <c r="T5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1" s="286">
        <v>0</v>
      </c>
      <c r="W51"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1" s="587"/>
      <c r="Y51" s="588"/>
      <c r="Z51" s="1" cm="1">
        <f t="array" ref="Z51">IF(OR(ISERROR(B51:V51)),1,0)</f>
        <v>0</v>
      </c>
      <c r="AA51" s="1">
        <f t="shared" si="1"/>
        <v>0</v>
      </c>
    </row>
    <row r="52" spans="2:27" ht="15" thickBot="1" x14ac:dyDescent="0.4">
      <c r="B52" s="406" t="s">
        <v>120</v>
      </c>
      <c r="C52" s="407">
        <v>30.3</v>
      </c>
      <c r="D52" s="408" t="s">
        <v>329</v>
      </c>
      <c r="E52" s="409" t="s">
        <v>262</v>
      </c>
      <c r="F52" s="187">
        <v>0.25</v>
      </c>
      <c r="G52" s="111"/>
      <c r="H52" s="187" t="s">
        <v>263</v>
      </c>
      <c r="I52" s="410">
        <f>SupplyChainTier1[[#This Row],[Amount spent by product category (£)]]</f>
        <v>0</v>
      </c>
      <c r="J52" s="410" t="s">
        <v>263</v>
      </c>
      <c r="K52" s="411">
        <v>0.42651050718342648</v>
      </c>
      <c r="L52" s="185" t="str">
        <f t="shared" si="2"/>
        <v/>
      </c>
      <c r="M52" s="103"/>
      <c r="N52" s="101"/>
      <c r="O52" s="286">
        <v>0</v>
      </c>
      <c r="P52" s="286">
        <v>0</v>
      </c>
      <c r="Q5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2" s="286">
        <v>0</v>
      </c>
      <c r="S52" s="286">
        <v>0</v>
      </c>
      <c r="T5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2" s="286">
        <v>0</v>
      </c>
      <c r="W52"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2" s="587"/>
      <c r="Y52" s="588"/>
      <c r="Z52" s="1" cm="1">
        <f t="array" ref="Z52">IF(OR(ISERROR(B52:V52)),1,0)</f>
        <v>0</v>
      </c>
      <c r="AA52" s="1">
        <f t="shared" si="1"/>
        <v>0</v>
      </c>
    </row>
    <row r="53" spans="2:27" ht="15" thickBot="1" x14ac:dyDescent="0.4">
      <c r="B53" s="406" t="s">
        <v>120</v>
      </c>
      <c r="C53" s="407" t="s">
        <v>330</v>
      </c>
      <c r="D53" s="408" t="s">
        <v>331</v>
      </c>
      <c r="E53" s="409" t="s">
        <v>262</v>
      </c>
      <c r="F53" s="187">
        <v>0.25</v>
      </c>
      <c r="G53" s="111"/>
      <c r="H53" s="187" t="s">
        <v>263</v>
      </c>
      <c r="I53" s="410">
        <f>SupplyChainTier1[[#This Row],[Amount spent by product category (£)]]</f>
        <v>0</v>
      </c>
      <c r="J53" s="410" t="s">
        <v>263</v>
      </c>
      <c r="K53" s="411">
        <v>0.33606028914104491</v>
      </c>
      <c r="L53" s="185" t="str">
        <f t="shared" si="2"/>
        <v/>
      </c>
      <c r="M53" s="103"/>
      <c r="N53" s="101"/>
      <c r="O53" s="286">
        <v>0</v>
      </c>
      <c r="P53" s="286">
        <v>0</v>
      </c>
      <c r="Q5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3" s="286">
        <v>0</v>
      </c>
      <c r="S53" s="286">
        <v>0</v>
      </c>
      <c r="T5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3" s="286">
        <v>0</v>
      </c>
      <c r="W53"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3" s="587"/>
      <c r="Y53" s="588"/>
      <c r="Z53" s="1" cm="1">
        <f t="array" ref="Z53">IF(OR(ISERROR(B53:V53)),1,0)</f>
        <v>0</v>
      </c>
      <c r="AA53" s="1">
        <f t="shared" si="1"/>
        <v>0</v>
      </c>
    </row>
    <row r="54" spans="2:27" ht="15" thickBot="1" x14ac:dyDescent="0.4">
      <c r="B54" s="406" t="s">
        <v>120</v>
      </c>
      <c r="C54" s="407">
        <v>31</v>
      </c>
      <c r="D54" s="408" t="s">
        <v>332</v>
      </c>
      <c r="E54" s="409" t="s">
        <v>262</v>
      </c>
      <c r="F54" s="187">
        <v>0.25</v>
      </c>
      <c r="G54" s="111"/>
      <c r="H54" s="187" t="s">
        <v>263</v>
      </c>
      <c r="I54" s="410">
        <f>SupplyChainTier1[[#This Row],[Amount spent by product category (£)]]</f>
        <v>0</v>
      </c>
      <c r="J54" s="410" t="s">
        <v>263</v>
      </c>
      <c r="K54" s="411">
        <v>0.45679612072606363</v>
      </c>
      <c r="L54" s="185" t="str">
        <f t="shared" si="2"/>
        <v/>
      </c>
      <c r="M54" s="103"/>
      <c r="N54" s="101"/>
      <c r="O54" s="286">
        <v>0</v>
      </c>
      <c r="P54" s="286">
        <v>0</v>
      </c>
      <c r="Q5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4" s="286">
        <v>0</v>
      </c>
      <c r="S54" s="286">
        <v>0</v>
      </c>
      <c r="T5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4" s="286">
        <v>0</v>
      </c>
      <c r="W54"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4" s="587"/>
      <c r="Y54" s="588"/>
      <c r="Z54" s="1" cm="1">
        <f t="array" ref="Z54">IF(OR(ISERROR(B54:V54)),1,0)</f>
        <v>0</v>
      </c>
      <c r="AA54" s="1">
        <f t="shared" si="1"/>
        <v>0</v>
      </c>
    </row>
    <row r="55" spans="2:27" ht="15" thickBot="1" x14ac:dyDescent="0.4">
      <c r="B55" s="406" t="s">
        <v>120</v>
      </c>
      <c r="C55" s="407">
        <v>32</v>
      </c>
      <c r="D55" s="408" t="s">
        <v>333</v>
      </c>
      <c r="E55" s="409" t="s">
        <v>262</v>
      </c>
      <c r="F55" s="187">
        <v>0.25</v>
      </c>
      <c r="G55" s="111"/>
      <c r="H55" s="187" t="s">
        <v>263</v>
      </c>
      <c r="I55" s="410">
        <f>SupplyChainTier1[[#This Row],[Amount spent by product category (£)]]</f>
        <v>0</v>
      </c>
      <c r="J55" s="410" t="s">
        <v>263</v>
      </c>
      <c r="K55" s="411">
        <v>0.61684143557441951</v>
      </c>
      <c r="L55" s="185" t="str">
        <f t="shared" si="2"/>
        <v/>
      </c>
      <c r="M55" s="103"/>
      <c r="N55" s="101"/>
      <c r="O55" s="286">
        <v>0</v>
      </c>
      <c r="P55" s="286">
        <v>0</v>
      </c>
      <c r="Q5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5" s="286">
        <v>0</v>
      </c>
      <c r="S55" s="286">
        <v>0</v>
      </c>
      <c r="T5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5" s="286">
        <v>0</v>
      </c>
      <c r="W55"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5" s="587"/>
      <c r="Y55" s="588"/>
      <c r="Z55" s="1" cm="1">
        <f t="array" ref="Z55">IF(OR(ISERROR(B55:V55)),1,0)</f>
        <v>0</v>
      </c>
      <c r="AA55" s="1">
        <f t="shared" si="1"/>
        <v>0</v>
      </c>
    </row>
    <row r="56" spans="2:27" ht="15" thickBot="1" x14ac:dyDescent="0.4">
      <c r="B56" s="406" t="s">
        <v>120</v>
      </c>
      <c r="C56" s="407">
        <v>33.15</v>
      </c>
      <c r="D56" s="408" t="s">
        <v>334</v>
      </c>
      <c r="E56" s="409" t="s">
        <v>262</v>
      </c>
      <c r="F56" s="187">
        <v>0.25</v>
      </c>
      <c r="G56" s="111"/>
      <c r="H56" s="187" t="s">
        <v>263</v>
      </c>
      <c r="I56" s="410">
        <f>SupplyChainTier1[[#This Row],[Amount spent by product category (£)]]</f>
        <v>0</v>
      </c>
      <c r="J56" s="410" t="s">
        <v>263</v>
      </c>
      <c r="K56" s="411">
        <v>0.30041520599579119</v>
      </c>
      <c r="L56" s="185" t="str">
        <f t="shared" si="2"/>
        <v/>
      </c>
      <c r="M56" s="103"/>
      <c r="N56" s="101"/>
      <c r="O56" s="286">
        <v>0</v>
      </c>
      <c r="P56" s="286">
        <v>0</v>
      </c>
      <c r="Q5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6" s="286">
        <v>0</v>
      </c>
      <c r="S56" s="286">
        <v>0</v>
      </c>
      <c r="T5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6" s="286">
        <v>0</v>
      </c>
      <c r="W56"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6" s="587"/>
      <c r="Y56" s="588"/>
      <c r="Z56" s="1" cm="1">
        <f t="array" ref="Z56">IF(OR(ISERROR(B56:V56)),1,0)</f>
        <v>0</v>
      </c>
      <c r="AA56" s="1">
        <f t="shared" si="1"/>
        <v>0</v>
      </c>
    </row>
    <row r="57" spans="2:27" ht="15" thickBot="1" x14ac:dyDescent="0.4">
      <c r="B57" s="406" t="s">
        <v>120</v>
      </c>
      <c r="C57" s="407">
        <v>33.159999999999997</v>
      </c>
      <c r="D57" s="408" t="s">
        <v>335</v>
      </c>
      <c r="E57" s="409" t="s">
        <v>262</v>
      </c>
      <c r="F57" s="187">
        <v>0.25</v>
      </c>
      <c r="G57" s="111"/>
      <c r="H57" s="187" t="s">
        <v>263</v>
      </c>
      <c r="I57" s="410">
        <f>SupplyChainTier1[[#This Row],[Amount spent by product category (£)]]</f>
        <v>0</v>
      </c>
      <c r="J57" s="410" t="s">
        <v>263</v>
      </c>
      <c r="K57" s="411">
        <v>0.45035028574188452</v>
      </c>
      <c r="L57" s="185" t="str">
        <f t="shared" si="2"/>
        <v/>
      </c>
      <c r="M57" s="103"/>
      <c r="N57" s="101"/>
      <c r="O57" s="286">
        <v>0</v>
      </c>
      <c r="P57" s="286">
        <v>0</v>
      </c>
      <c r="Q5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7" s="286">
        <v>0</v>
      </c>
      <c r="S57" s="286">
        <v>0</v>
      </c>
      <c r="T5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7" s="286">
        <v>0</v>
      </c>
      <c r="W57"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7" s="587"/>
      <c r="Y57" s="588"/>
      <c r="Z57" s="1" cm="1">
        <f t="array" ref="Z57">IF(OR(ISERROR(B57:V57)),1,0)</f>
        <v>0</v>
      </c>
      <c r="AA57" s="1">
        <f t="shared" si="1"/>
        <v>0</v>
      </c>
    </row>
    <row r="58" spans="2:27" ht="15" thickBot="1" x14ac:dyDescent="0.4">
      <c r="B58" s="406" t="s">
        <v>120</v>
      </c>
      <c r="C58" s="407" t="s">
        <v>336</v>
      </c>
      <c r="D58" s="413" t="s">
        <v>337</v>
      </c>
      <c r="E58" s="409" t="s">
        <v>262</v>
      </c>
      <c r="F58" s="187">
        <v>0.25</v>
      </c>
      <c r="G58" s="218"/>
      <c r="H58" s="187" t="s">
        <v>263</v>
      </c>
      <c r="I58" s="410">
        <f>SupplyChainTier1[[#This Row],[Amount spent by product category (£)]]</f>
        <v>0</v>
      </c>
      <c r="J58" s="410" t="s">
        <v>263</v>
      </c>
      <c r="K58" s="411">
        <v>0.20548367036640469</v>
      </c>
      <c r="L58" s="185" t="str">
        <f t="shared" si="2"/>
        <v/>
      </c>
      <c r="M58" s="103"/>
      <c r="N58" s="101"/>
      <c r="O58" s="286">
        <v>0</v>
      </c>
      <c r="P58" s="286">
        <v>0</v>
      </c>
      <c r="Q5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8" s="286">
        <v>0</v>
      </c>
      <c r="S58" s="286">
        <v>0</v>
      </c>
      <c r="T5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8" s="286">
        <v>0</v>
      </c>
      <c r="W58"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8" s="587"/>
      <c r="Y58" s="588"/>
      <c r="Z58" s="1" cm="1">
        <f t="array" ref="Z58">IF(OR(ISERROR(B58:V58)),1,0)</f>
        <v>0</v>
      </c>
      <c r="AA58" s="1">
        <f t="shared" si="1"/>
        <v>0</v>
      </c>
    </row>
    <row r="59" spans="2:27" ht="26.5" thickBot="1" x14ac:dyDescent="0.4">
      <c r="B59" s="406" t="s">
        <v>121</v>
      </c>
      <c r="C59" s="414">
        <v>35.1</v>
      </c>
      <c r="D59" s="287" t="s">
        <v>338</v>
      </c>
      <c r="E59" s="409" t="s">
        <v>262</v>
      </c>
      <c r="F59" s="415">
        <v>0.25</v>
      </c>
      <c r="G59" s="220"/>
      <c r="H59" s="187" t="s">
        <v>263</v>
      </c>
      <c r="I59" s="410">
        <f>SupplyChainTier1[[#This Row],[Amount spent by product category (£)]]</f>
        <v>0</v>
      </c>
      <c r="J59" s="410" t="s">
        <v>263</v>
      </c>
      <c r="K59" s="411">
        <v>1.950064663483833</v>
      </c>
      <c r="L59" s="185" t="str">
        <f t="shared" si="2"/>
        <v/>
      </c>
      <c r="M59" s="103"/>
      <c r="N59" s="101"/>
      <c r="O59" s="286">
        <v>0</v>
      </c>
      <c r="P59" s="286">
        <v>0</v>
      </c>
      <c r="Q5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59" s="286">
        <v>0</v>
      </c>
      <c r="S59" s="286">
        <v>0</v>
      </c>
      <c r="T5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5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59" s="286">
        <v>0</v>
      </c>
      <c r="W59"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59" s="587"/>
      <c r="Y59" s="588"/>
      <c r="Z59" s="1" cm="1">
        <f t="array" ref="Z59">IF(OR(ISERROR(B59:V59)),1,0)</f>
        <v>0</v>
      </c>
      <c r="AA59" s="1">
        <f t="shared" si="1"/>
        <v>0</v>
      </c>
    </row>
    <row r="60" spans="2:27" ht="26.5" thickBot="1" x14ac:dyDescent="0.4">
      <c r="B60" s="406" t="s">
        <v>121</v>
      </c>
      <c r="C60" s="414" t="s">
        <v>339</v>
      </c>
      <c r="D60" s="287" t="s">
        <v>340</v>
      </c>
      <c r="E60" s="409" t="s">
        <v>262</v>
      </c>
      <c r="F60" s="415">
        <v>0.25</v>
      </c>
      <c r="G60" s="220"/>
      <c r="H60" s="187" t="s">
        <v>263</v>
      </c>
      <c r="I60" s="410">
        <f>SupplyChainTier1[[#This Row],[Amount spent by product category (£)]]</f>
        <v>0</v>
      </c>
      <c r="J60" s="410" t="s">
        <v>263</v>
      </c>
      <c r="K60" s="411">
        <v>1.606990615033753</v>
      </c>
      <c r="L60" s="185" t="str">
        <f t="shared" si="2"/>
        <v/>
      </c>
      <c r="M60" s="103"/>
      <c r="N60" s="101"/>
      <c r="O60" s="286">
        <v>0</v>
      </c>
      <c r="P60" s="286">
        <v>0</v>
      </c>
      <c r="Q6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0" s="286">
        <v>0</v>
      </c>
      <c r="S60" s="286">
        <v>0</v>
      </c>
      <c r="T6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0" s="286">
        <v>0</v>
      </c>
      <c r="W60"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0" s="587"/>
      <c r="Y60" s="588"/>
      <c r="Z60" s="1" cm="1">
        <f t="array" ref="Z60">IF(OR(ISERROR(B60:V60)),1,0)</f>
        <v>0</v>
      </c>
      <c r="AA60" s="1">
        <f t="shared" si="1"/>
        <v>0</v>
      </c>
    </row>
    <row r="61" spans="2:27" ht="39.5" thickBot="1" x14ac:dyDescent="0.4">
      <c r="B61" s="406" t="s">
        <v>122</v>
      </c>
      <c r="C61" s="414">
        <v>36</v>
      </c>
      <c r="D61" s="287" t="s">
        <v>341</v>
      </c>
      <c r="E61" s="409" t="s">
        <v>262</v>
      </c>
      <c r="F61" s="415">
        <v>0.25</v>
      </c>
      <c r="G61" s="220"/>
      <c r="H61" s="187" t="s">
        <v>263</v>
      </c>
      <c r="I61" s="410">
        <f>SupplyChainTier1[[#This Row],[Amount spent by product category (£)]]</f>
        <v>0</v>
      </c>
      <c r="J61" s="410" t="s">
        <v>263</v>
      </c>
      <c r="K61" s="411">
        <v>0.29194245469675828</v>
      </c>
      <c r="L61" s="185" t="str">
        <f t="shared" si="2"/>
        <v/>
      </c>
      <c r="M61" s="103"/>
      <c r="N61" s="101"/>
      <c r="O61" s="286">
        <v>0</v>
      </c>
      <c r="P61" s="286">
        <v>0</v>
      </c>
      <c r="Q6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1" s="286">
        <v>0</v>
      </c>
      <c r="S61" s="286">
        <v>0</v>
      </c>
      <c r="T6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1" s="286">
        <v>0</v>
      </c>
      <c r="W61"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1" s="587"/>
      <c r="Y61" s="588"/>
      <c r="Z61" s="1" cm="1">
        <f t="array" ref="Z61">IF(OR(ISERROR(B61:V61)),1,0)</f>
        <v>0</v>
      </c>
      <c r="AA61" s="1">
        <f t="shared" si="1"/>
        <v>0</v>
      </c>
    </row>
    <row r="62" spans="2:27" ht="39.5" thickBot="1" x14ac:dyDescent="0.4">
      <c r="B62" s="406" t="s">
        <v>122</v>
      </c>
      <c r="C62" s="414">
        <v>37</v>
      </c>
      <c r="D62" s="287" t="s">
        <v>342</v>
      </c>
      <c r="E62" s="409" t="s">
        <v>262</v>
      </c>
      <c r="F62" s="415">
        <v>0.25</v>
      </c>
      <c r="G62" s="220"/>
      <c r="H62" s="187" t="s">
        <v>263</v>
      </c>
      <c r="I62" s="410">
        <f>SupplyChainTier1[[#This Row],[Amount spent by product category (£)]]</f>
        <v>0</v>
      </c>
      <c r="J62" s="410" t="s">
        <v>263</v>
      </c>
      <c r="K62" s="411">
        <v>0.39702680218395953</v>
      </c>
      <c r="L62" s="185" t="str">
        <f t="shared" si="2"/>
        <v/>
      </c>
      <c r="M62" s="103"/>
      <c r="N62" s="101"/>
      <c r="O62" s="286">
        <v>0</v>
      </c>
      <c r="P62" s="286">
        <v>0</v>
      </c>
      <c r="Q6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2" s="286">
        <v>0</v>
      </c>
      <c r="S62" s="286">
        <v>0</v>
      </c>
      <c r="T6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2" s="286">
        <v>0</v>
      </c>
      <c r="W62"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2" s="587"/>
      <c r="Y62" s="588"/>
      <c r="Z62" s="1" cm="1">
        <f t="array" ref="Z62">IF(OR(ISERROR(B62:V62)),1,0)</f>
        <v>0</v>
      </c>
      <c r="AA62" s="1">
        <f t="shared" si="1"/>
        <v>0</v>
      </c>
    </row>
    <row r="63" spans="2:27" ht="39.5" thickBot="1" x14ac:dyDescent="0.4">
      <c r="B63" s="406" t="s">
        <v>122</v>
      </c>
      <c r="C63" s="414">
        <v>38</v>
      </c>
      <c r="D63" s="287" t="s">
        <v>343</v>
      </c>
      <c r="E63" s="409" t="s">
        <v>262</v>
      </c>
      <c r="F63" s="415">
        <v>0.25</v>
      </c>
      <c r="G63" s="220"/>
      <c r="H63" s="187" t="s">
        <v>263</v>
      </c>
      <c r="I63" s="410">
        <f>SupplyChainTier1[[#This Row],[Amount spent by product category (£)]]</f>
        <v>0</v>
      </c>
      <c r="J63" s="410" t="s">
        <v>263</v>
      </c>
      <c r="K63" s="411">
        <v>1.3923113465408361</v>
      </c>
      <c r="L63" s="185" t="str">
        <f t="shared" si="2"/>
        <v/>
      </c>
      <c r="M63" s="103"/>
      <c r="N63" s="101"/>
      <c r="O63" s="286">
        <v>0</v>
      </c>
      <c r="P63" s="286">
        <v>0</v>
      </c>
      <c r="Q6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3" s="286">
        <v>0</v>
      </c>
      <c r="S63" s="286">
        <v>0</v>
      </c>
      <c r="T6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3" s="286">
        <v>0</v>
      </c>
      <c r="W63"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3" s="587"/>
      <c r="Y63" s="588"/>
      <c r="Z63" s="1" cm="1">
        <f t="array" ref="Z63">IF(OR(ISERROR(B63:V63)),1,0)</f>
        <v>0</v>
      </c>
      <c r="AA63" s="1">
        <f t="shared" si="1"/>
        <v>0</v>
      </c>
    </row>
    <row r="64" spans="2:27" ht="39.5" thickBot="1" x14ac:dyDescent="0.4">
      <c r="B64" s="406" t="s">
        <v>122</v>
      </c>
      <c r="C64" s="407">
        <v>39</v>
      </c>
      <c r="D64" s="408" t="s">
        <v>344</v>
      </c>
      <c r="E64" s="409" t="s">
        <v>262</v>
      </c>
      <c r="F64" s="187">
        <v>0.25</v>
      </c>
      <c r="G64" s="219"/>
      <c r="H64" s="187" t="s">
        <v>263</v>
      </c>
      <c r="I64" s="410">
        <f>SupplyChainTier1[[#This Row],[Amount spent by product category (£)]]</f>
        <v>0</v>
      </c>
      <c r="J64" s="410" t="s">
        <v>263</v>
      </c>
      <c r="K64" s="411">
        <v>3.4433095994245888</v>
      </c>
      <c r="L64" s="185" t="str">
        <f t="shared" si="2"/>
        <v/>
      </c>
      <c r="M64" s="103"/>
      <c r="N64" s="101"/>
      <c r="O64" s="286">
        <v>0</v>
      </c>
      <c r="P64" s="286">
        <v>0</v>
      </c>
      <c r="Q6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4" s="286">
        <v>0</v>
      </c>
      <c r="S64" s="286">
        <v>0</v>
      </c>
      <c r="T6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4" s="286">
        <v>0</v>
      </c>
      <c r="W64"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4" s="587"/>
      <c r="Y64" s="588"/>
      <c r="Z64" s="1" cm="1">
        <f t="array" ref="Z64">IF(OR(ISERROR(B64:V64)),1,0)</f>
        <v>0</v>
      </c>
      <c r="AA64" s="1">
        <f t="shared" si="1"/>
        <v>0</v>
      </c>
    </row>
    <row r="65" spans="2:27" ht="15" thickBot="1" x14ac:dyDescent="0.4">
      <c r="B65" s="406" t="s">
        <v>123</v>
      </c>
      <c r="C65" s="407">
        <v>41.2</v>
      </c>
      <c r="D65" s="408" t="s">
        <v>345</v>
      </c>
      <c r="E65" s="409" t="s">
        <v>262</v>
      </c>
      <c r="F65" s="187">
        <v>0.25</v>
      </c>
      <c r="G65" s="111"/>
      <c r="H65" s="187" t="s">
        <v>263</v>
      </c>
      <c r="I65" s="410">
        <f>SupplyChainTier1[[#This Row],[Amount spent by product category (£)]]</f>
        <v>0</v>
      </c>
      <c r="J65" s="410" t="s">
        <v>263</v>
      </c>
      <c r="K65" s="411">
        <v>0.32367885409353803</v>
      </c>
      <c r="L65" s="185" t="str">
        <f t="shared" si="2"/>
        <v/>
      </c>
      <c r="M65" s="103"/>
      <c r="N65" s="101"/>
      <c r="O65" s="286">
        <v>0</v>
      </c>
      <c r="P65" s="286">
        <v>0</v>
      </c>
      <c r="Q6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5" s="286">
        <v>0</v>
      </c>
      <c r="S65" s="286">
        <v>0</v>
      </c>
      <c r="T6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5" s="286">
        <v>0</v>
      </c>
      <c r="W65"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5" s="587"/>
      <c r="Y65" s="588"/>
      <c r="Z65" s="1" cm="1">
        <f t="array" ref="Z65">IF(OR(ISERROR(B65:V65)),1,0)</f>
        <v>0</v>
      </c>
      <c r="AA65" s="1">
        <f t="shared" si="1"/>
        <v>0</v>
      </c>
    </row>
    <row r="66" spans="2:27" ht="26.5" thickBot="1" x14ac:dyDescent="0.4">
      <c r="B66" s="406" t="s">
        <v>123</v>
      </c>
      <c r="C66" s="407" t="s">
        <v>346</v>
      </c>
      <c r="D66" s="408" t="s">
        <v>347</v>
      </c>
      <c r="E66" s="409" t="s">
        <v>262</v>
      </c>
      <c r="F66" s="187">
        <v>0.25</v>
      </c>
      <c r="G66" s="111"/>
      <c r="H66" s="187" t="s">
        <v>263</v>
      </c>
      <c r="I66" s="410">
        <f>SupplyChainTier1[[#This Row],[Amount spent by product category (£)]]</f>
        <v>0</v>
      </c>
      <c r="J66" s="410" t="s">
        <v>263</v>
      </c>
      <c r="K66" s="411">
        <v>0.35318635883654831</v>
      </c>
      <c r="L66" s="185" t="str">
        <f t="shared" si="2"/>
        <v/>
      </c>
      <c r="M66" s="103"/>
      <c r="N66" s="101"/>
      <c r="O66" s="286">
        <v>0</v>
      </c>
      <c r="P66" s="286">
        <v>0</v>
      </c>
      <c r="Q6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6" s="286">
        <v>0</v>
      </c>
      <c r="S66" s="286">
        <v>0</v>
      </c>
      <c r="T6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6" s="286">
        <v>0</v>
      </c>
      <c r="W66"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6" s="587"/>
      <c r="Y66" s="588"/>
      <c r="Z66" s="1" cm="1">
        <f t="array" ref="Z66">IF(OR(ISERROR(B66:V66)),1,0)</f>
        <v>0</v>
      </c>
      <c r="AA66" s="1">
        <f t="shared" si="1"/>
        <v>0</v>
      </c>
    </row>
    <row r="67" spans="2:27" ht="15" thickBot="1" x14ac:dyDescent="0.4">
      <c r="B67" s="406" t="s">
        <v>123</v>
      </c>
      <c r="C67" s="407">
        <v>42.99</v>
      </c>
      <c r="D67" s="408" t="s">
        <v>348</v>
      </c>
      <c r="E67" s="409" t="s">
        <v>262</v>
      </c>
      <c r="F67" s="187">
        <v>0.25</v>
      </c>
      <c r="G67" s="111"/>
      <c r="H67" s="187" t="s">
        <v>263</v>
      </c>
      <c r="I67" s="410">
        <f>SupplyChainTier1[[#This Row],[Amount spent by product category (£)]]</f>
        <v>0</v>
      </c>
      <c r="J67" s="410" t="s">
        <v>263</v>
      </c>
      <c r="K67" s="411">
        <v>0.31233988221108178</v>
      </c>
      <c r="L67" s="185" t="str">
        <f t="shared" si="2"/>
        <v/>
      </c>
      <c r="M67" s="103"/>
      <c r="N67" s="101"/>
      <c r="O67" s="286">
        <v>0</v>
      </c>
      <c r="P67" s="286">
        <v>0</v>
      </c>
      <c r="Q6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7" s="286">
        <v>0</v>
      </c>
      <c r="S67" s="286">
        <v>0</v>
      </c>
      <c r="T6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7" s="286">
        <v>0</v>
      </c>
      <c r="W67"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7" s="587"/>
      <c r="Y67" s="588"/>
      <c r="Z67" s="1" cm="1">
        <f t="array" ref="Z67">IF(OR(ISERROR(B67:V67)),1,0)</f>
        <v>0</v>
      </c>
      <c r="AA67" s="1">
        <f t="shared" si="1"/>
        <v>0</v>
      </c>
    </row>
    <row r="68" spans="2:27" ht="26.5" thickBot="1" x14ac:dyDescent="0.4">
      <c r="B68" s="406" t="s">
        <v>124</v>
      </c>
      <c r="C68" s="407">
        <v>45</v>
      </c>
      <c r="D68" s="408" t="s">
        <v>349</v>
      </c>
      <c r="E68" s="409" t="s">
        <v>262</v>
      </c>
      <c r="F68" s="187">
        <v>0.25</v>
      </c>
      <c r="G68" s="111"/>
      <c r="H68" s="187" t="s">
        <v>263</v>
      </c>
      <c r="I68" s="410">
        <f>SupplyChainTier1[[#This Row],[Amount spent by product category (£)]]</f>
        <v>0</v>
      </c>
      <c r="J68" s="410" t="s">
        <v>263</v>
      </c>
      <c r="K68" s="411">
        <v>0.29715372571251242</v>
      </c>
      <c r="L68" s="185" t="str">
        <f t="shared" si="2"/>
        <v/>
      </c>
      <c r="M68" s="103"/>
      <c r="N68" s="101"/>
      <c r="O68" s="286">
        <v>0</v>
      </c>
      <c r="P68" s="286">
        <v>0</v>
      </c>
      <c r="Q6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8" s="286">
        <v>0</v>
      </c>
      <c r="S68" s="286">
        <v>0</v>
      </c>
      <c r="T6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8" s="286">
        <v>0</v>
      </c>
      <c r="W68"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8" s="587"/>
      <c r="Y68" s="588"/>
      <c r="Z68" s="1" cm="1">
        <f t="array" ref="Z68">IF(OR(ISERROR(B68:V68)),1,0)</f>
        <v>0</v>
      </c>
      <c r="AA68" s="1">
        <f t="shared" si="1"/>
        <v>0</v>
      </c>
    </row>
    <row r="69" spans="2:27" ht="26.5" thickBot="1" x14ac:dyDescent="0.4">
      <c r="B69" s="406" t="s">
        <v>124</v>
      </c>
      <c r="C69" s="407">
        <v>46</v>
      </c>
      <c r="D69" s="408" t="s">
        <v>350</v>
      </c>
      <c r="E69" s="409" t="s">
        <v>262</v>
      </c>
      <c r="F69" s="187">
        <v>0.25</v>
      </c>
      <c r="G69" s="111"/>
      <c r="H69" s="187" t="s">
        <v>263</v>
      </c>
      <c r="I69" s="410">
        <f>SupplyChainTier1[[#This Row],[Amount spent by product category (£)]]</f>
        <v>0</v>
      </c>
      <c r="J69" s="410" t="s">
        <v>263</v>
      </c>
      <c r="K69" s="411">
        <v>2.234131716568202E-2</v>
      </c>
      <c r="L69" s="185" t="str">
        <f t="shared" si="2"/>
        <v/>
      </c>
      <c r="M69" s="103"/>
      <c r="N69" s="101"/>
      <c r="O69" s="286">
        <v>0</v>
      </c>
      <c r="P69" s="286">
        <v>0</v>
      </c>
      <c r="Q6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69" s="286">
        <v>0</v>
      </c>
      <c r="S69" s="286">
        <v>0</v>
      </c>
      <c r="T6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6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69" s="286">
        <v>0</v>
      </c>
      <c r="W69"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69" s="587"/>
      <c r="Y69" s="588"/>
      <c r="Z69" s="1" cm="1">
        <f t="array" ref="Z69">IF(OR(ISERROR(B69:V69)),1,0)</f>
        <v>0</v>
      </c>
      <c r="AA69" s="1">
        <f t="shared" si="1"/>
        <v>0</v>
      </c>
    </row>
    <row r="70" spans="2:27" ht="26.5" thickBot="1" x14ac:dyDescent="0.4">
      <c r="B70" s="406" t="s">
        <v>124</v>
      </c>
      <c r="C70" s="407">
        <v>47</v>
      </c>
      <c r="D70" s="413" t="s">
        <v>351</v>
      </c>
      <c r="E70" s="409" t="s">
        <v>262</v>
      </c>
      <c r="F70" s="187">
        <v>0.25</v>
      </c>
      <c r="G70" s="218"/>
      <c r="H70" s="187" t="s">
        <v>263</v>
      </c>
      <c r="I70" s="410">
        <f>SupplyChainTier1[[#This Row],[Amount spent by product category (£)]]</f>
        <v>0</v>
      </c>
      <c r="J70" s="410" t="s">
        <v>263</v>
      </c>
      <c r="K70" s="411">
        <v>0.1931057189600171</v>
      </c>
      <c r="L70" s="185" t="str">
        <f t="shared" si="2"/>
        <v/>
      </c>
      <c r="M70" s="103"/>
      <c r="N70" s="101"/>
      <c r="O70" s="286">
        <v>0</v>
      </c>
      <c r="P70" s="286">
        <v>0</v>
      </c>
      <c r="Q7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0" s="286">
        <v>0</v>
      </c>
      <c r="S70" s="286">
        <v>0</v>
      </c>
      <c r="T7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0" s="286">
        <v>0</v>
      </c>
      <c r="W70"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0" s="587"/>
      <c r="Y70" s="588"/>
      <c r="Z70" s="1" cm="1">
        <f t="array" ref="Z70">IF(OR(ISERROR(B70:V70)),1,0)</f>
        <v>0</v>
      </c>
      <c r="AA70" s="1">
        <f t="shared" si="1"/>
        <v>0</v>
      </c>
    </row>
    <row r="71" spans="2:27" ht="15" thickBot="1" x14ac:dyDescent="0.4">
      <c r="B71" s="406" t="s">
        <v>125</v>
      </c>
      <c r="C71" s="414" t="s">
        <v>352</v>
      </c>
      <c r="D71" s="287" t="s">
        <v>353</v>
      </c>
      <c r="E71" s="409" t="s">
        <v>262</v>
      </c>
      <c r="F71" s="415">
        <v>0.25</v>
      </c>
      <c r="G71" s="220"/>
      <c r="H71" s="187" t="s">
        <v>263</v>
      </c>
      <c r="I71" s="410">
        <f>SupplyChainTier1[[#This Row],[Amount spent by product category (£)]]</f>
        <v>0</v>
      </c>
      <c r="J71" s="410" t="s">
        <v>263</v>
      </c>
      <c r="K71" s="411">
        <v>0.79424109102054019</v>
      </c>
      <c r="L71" s="185" t="str">
        <f t="shared" si="2"/>
        <v/>
      </c>
      <c r="M71" s="103"/>
      <c r="N71" s="101"/>
      <c r="O71" s="286">
        <v>0</v>
      </c>
      <c r="P71" s="286">
        <v>0</v>
      </c>
      <c r="Q7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1" s="286">
        <v>0</v>
      </c>
      <c r="S71" s="286">
        <v>0</v>
      </c>
      <c r="T7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1" s="286">
        <v>0</v>
      </c>
      <c r="W71"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1" s="587"/>
      <c r="Y71" s="588"/>
      <c r="Z71" s="1" cm="1">
        <f t="array" ref="Z71">IF(OR(ISERROR(B71:V71)),1,0)</f>
        <v>0</v>
      </c>
      <c r="AA71" s="1">
        <f t="shared" si="1"/>
        <v>0</v>
      </c>
    </row>
    <row r="72" spans="2:27" ht="26.5" thickBot="1" x14ac:dyDescent="0.4">
      <c r="B72" s="406" t="s">
        <v>125</v>
      </c>
      <c r="C72" s="414" t="s">
        <v>354</v>
      </c>
      <c r="D72" s="287" t="s">
        <v>355</v>
      </c>
      <c r="E72" s="409" t="s">
        <v>262</v>
      </c>
      <c r="F72" s="415">
        <v>0.25</v>
      </c>
      <c r="G72" s="220"/>
      <c r="H72" s="187" t="s">
        <v>263</v>
      </c>
      <c r="I72" s="410">
        <f>SupplyChainTier1[[#This Row],[Amount spent by product category (£)]]</f>
        <v>0</v>
      </c>
      <c r="J72" s="410" t="s">
        <v>263</v>
      </c>
      <c r="K72" s="411">
        <v>0.62067816377251606</v>
      </c>
      <c r="L72" s="185" t="str">
        <f t="shared" ref="L72:L103" si="3">IF(ISBLANK(G72),"",G72*K72)</f>
        <v/>
      </c>
      <c r="M72" s="103"/>
      <c r="N72" s="101"/>
      <c r="O72" s="286">
        <v>0</v>
      </c>
      <c r="P72" s="286">
        <v>0</v>
      </c>
      <c r="Q7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2" s="286">
        <v>0</v>
      </c>
      <c r="S72" s="286">
        <v>0</v>
      </c>
      <c r="T7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2" s="286">
        <v>0</v>
      </c>
      <c r="W72"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2" s="587"/>
      <c r="Y72" s="588"/>
      <c r="Z72" s="1" cm="1">
        <f t="array" ref="Z72">IF(OR(ISERROR(B72:V72)),1,0)</f>
        <v>0</v>
      </c>
      <c r="AA72" s="1">
        <f t="shared" si="1"/>
        <v>0</v>
      </c>
    </row>
    <row r="73" spans="2:27" ht="15" thickBot="1" x14ac:dyDescent="0.4">
      <c r="B73" s="406" t="s">
        <v>125</v>
      </c>
      <c r="C73" s="414">
        <v>50</v>
      </c>
      <c r="D73" s="287" t="s">
        <v>356</v>
      </c>
      <c r="E73" s="409" t="s">
        <v>262</v>
      </c>
      <c r="F73" s="415">
        <v>0.25</v>
      </c>
      <c r="G73" s="220"/>
      <c r="H73" s="187" t="s">
        <v>263</v>
      </c>
      <c r="I73" s="410">
        <f>SupplyChainTier1[[#This Row],[Amount spent by product category (£)]]</f>
        <v>0</v>
      </c>
      <c r="J73" s="410" t="s">
        <v>263</v>
      </c>
      <c r="K73" s="411">
        <v>2.4066987433516789</v>
      </c>
      <c r="L73" s="185" t="str">
        <f t="shared" si="3"/>
        <v/>
      </c>
      <c r="M73" s="103"/>
      <c r="N73" s="101"/>
      <c r="O73" s="286">
        <v>0</v>
      </c>
      <c r="P73" s="286">
        <v>0</v>
      </c>
      <c r="Q7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3" s="286">
        <v>0</v>
      </c>
      <c r="S73" s="286">
        <v>0</v>
      </c>
      <c r="T7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3" s="286">
        <v>0</v>
      </c>
      <c r="W73"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3" s="587"/>
      <c r="Y73" s="588"/>
      <c r="Z73" s="1" cm="1">
        <f t="array" ref="Z73">IF(OR(ISERROR(B73:V73)),1,0)</f>
        <v>0</v>
      </c>
      <c r="AA73" s="1">
        <f t="shared" ref="AA73:AA117" si="4">IF(AND(G73=""),0,1)</f>
        <v>0</v>
      </c>
    </row>
    <row r="74" spans="2:27" ht="15" thickBot="1" x14ac:dyDescent="0.4">
      <c r="B74" s="406" t="s">
        <v>125</v>
      </c>
      <c r="C74" s="414">
        <v>51</v>
      </c>
      <c r="D74" s="287" t="s">
        <v>357</v>
      </c>
      <c r="E74" s="409" t="s">
        <v>262</v>
      </c>
      <c r="F74" s="415">
        <v>0.25</v>
      </c>
      <c r="G74" s="220"/>
      <c r="H74" s="187" t="s">
        <v>263</v>
      </c>
      <c r="I74" s="410">
        <f>SupplyChainTier1[[#This Row],[Amount spent by product category (£)]]</f>
        <v>0</v>
      </c>
      <c r="J74" s="410" t="s">
        <v>263</v>
      </c>
      <c r="K74" s="411">
        <v>1.49738557417494</v>
      </c>
      <c r="L74" s="185" t="str">
        <f t="shared" si="3"/>
        <v/>
      </c>
      <c r="M74" s="103"/>
      <c r="N74" s="101"/>
      <c r="O74" s="286">
        <v>0</v>
      </c>
      <c r="P74" s="286">
        <v>0</v>
      </c>
      <c r="Q7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4" s="286">
        <v>0</v>
      </c>
      <c r="S74" s="286">
        <v>0</v>
      </c>
      <c r="T7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4" s="286">
        <v>0</v>
      </c>
      <c r="W74"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4" s="587"/>
      <c r="Y74" s="588"/>
      <c r="Z74" s="1" cm="1">
        <f t="array" ref="Z74">IF(OR(ISERROR(B74:V74)),1,0)</f>
        <v>0</v>
      </c>
      <c r="AA74" s="1">
        <f t="shared" si="4"/>
        <v>0</v>
      </c>
    </row>
    <row r="75" spans="2:27" ht="26.5" thickBot="1" x14ac:dyDescent="0.4">
      <c r="B75" s="406" t="s">
        <v>125</v>
      </c>
      <c r="C75" s="407">
        <v>52</v>
      </c>
      <c r="D75" s="408" t="s">
        <v>358</v>
      </c>
      <c r="E75" s="409" t="s">
        <v>262</v>
      </c>
      <c r="F75" s="187">
        <v>0.25</v>
      </c>
      <c r="G75" s="219"/>
      <c r="H75" s="187" t="s">
        <v>263</v>
      </c>
      <c r="I75" s="410">
        <f>SupplyChainTier1[[#This Row],[Amount spent by product category (£)]]</f>
        <v>0</v>
      </c>
      <c r="J75" s="410" t="s">
        <v>263</v>
      </c>
      <c r="K75" s="411">
        <v>0.33903194108126777</v>
      </c>
      <c r="L75" s="185" t="str">
        <f t="shared" si="3"/>
        <v/>
      </c>
      <c r="M75" s="103"/>
      <c r="N75" s="101"/>
      <c r="O75" s="286">
        <v>0</v>
      </c>
      <c r="P75" s="286">
        <v>0</v>
      </c>
      <c r="Q7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5" s="286">
        <v>0</v>
      </c>
      <c r="S75" s="286">
        <v>0</v>
      </c>
      <c r="T7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5" s="286">
        <v>0</v>
      </c>
      <c r="W75"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5" s="587"/>
      <c r="Y75" s="588"/>
      <c r="Z75" s="1" cm="1">
        <f t="array" ref="Z75">IF(OR(ISERROR(B75:V75)),1,0)</f>
        <v>0</v>
      </c>
      <c r="AA75" s="1">
        <f t="shared" si="4"/>
        <v>0</v>
      </c>
    </row>
    <row r="76" spans="2:27" ht="15" thickBot="1" x14ac:dyDescent="0.4">
      <c r="B76" s="406" t="s">
        <v>125</v>
      </c>
      <c r="C76" s="407">
        <v>53</v>
      </c>
      <c r="D76" s="408" t="s">
        <v>359</v>
      </c>
      <c r="E76" s="409" t="s">
        <v>262</v>
      </c>
      <c r="F76" s="187">
        <v>0.25</v>
      </c>
      <c r="G76" s="111"/>
      <c r="H76" s="187" t="s">
        <v>263</v>
      </c>
      <c r="I76" s="410">
        <f>SupplyChainTier1[[#This Row],[Amount spent by product category (£)]]</f>
        <v>0</v>
      </c>
      <c r="J76" s="410" t="s">
        <v>263</v>
      </c>
      <c r="K76" s="411">
        <v>0.26376569166190827</v>
      </c>
      <c r="L76" s="185" t="str">
        <f t="shared" si="3"/>
        <v/>
      </c>
      <c r="M76" s="103"/>
      <c r="N76" s="101"/>
      <c r="O76" s="286">
        <v>0</v>
      </c>
      <c r="P76" s="286">
        <v>0</v>
      </c>
      <c r="Q7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6" s="286">
        <v>0</v>
      </c>
      <c r="S76" s="286">
        <v>0</v>
      </c>
      <c r="T7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6" s="286">
        <v>0</v>
      </c>
      <c r="W76"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6" s="587"/>
      <c r="Y76" s="588"/>
      <c r="Z76" s="1" cm="1">
        <f t="array" ref="Z76">IF(OR(ISERROR(B76:V76)),1,0)</f>
        <v>0</v>
      </c>
      <c r="AA76" s="1">
        <f t="shared" si="4"/>
        <v>0</v>
      </c>
    </row>
    <row r="77" spans="2:27" ht="26.5" thickBot="1" x14ac:dyDescent="0.4">
      <c r="B77" s="406" t="s">
        <v>126</v>
      </c>
      <c r="C77" s="407">
        <v>55</v>
      </c>
      <c r="D77" s="408" t="s">
        <v>360</v>
      </c>
      <c r="E77" s="409" t="s">
        <v>262</v>
      </c>
      <c r="F77" s="187">
        <v>0.25</v>
      </c>
      <c r="G77" s="111"/>
      <c r="H77" s="187" t="s">
        <v>263</v>
      </c>
      <c r="I77" s="410">
        <f>SupplyChainTier1[[#This Row],[Amount spent by product category (£)]]</f>
        <v>0</v>
      </c>
      <c r="J77" s="410" t="s">
        <v>263</v>
      </c>
      <c r="K77" s="411">
        <v>0.3406388605930335</v>
      </c>
      <c r="L77" s="185" t="str">
        <f t="shared" si="3"/>
        <v/>
      </c>
      <c r="M77" s="103"/>
      <c r="N77" s="101"/>
      <c r="O77" s="286">
        <v>0</v>
      </c>
      <c r="P77" s="286">
        <v>0</v>
      </c>
      <c r="Q7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7" s="286">
        <v>0</v>
      </c>
      <c r="S77" s="286">
        <v>0</v>
      </c>
      <c r="T7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7" s="286">
        <v>0</v>
      </c>
      <c r="W77"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7" s="587"/>
      <c r="Y77" s="588"/>
      <c r="Z77" s="1" cm="1">
        <f t="array" ref="Z77">IF(OR(ISERROR(B77:V77)),1,0)</f>
        <v>0</v>
      </c>
      <c r="AA77" s="1">
        <f t="shared" si="4"/>
        <v>0</v>
      </c>
    </row>
    <row r="78" spans="2:27" ht="26.5" thickBot="1" x14ac:dyDescent="0.4">
      <c r="B78" s="406" t="s">
        <v>126</v>
      </c>
      <c r="C78" s="407">
        <v>56</v>
      </c>
      <c r="D78" s="408" t="s">
        <v>361</v>
      </c>
      <c r="E78" s="409" t="s">
        <v>262</v>
      </c>
      <c r="F78" s="187">
        <v>0.25</v>
      </c>
      <c r="G78" s="111"/>
      <c r="H78" s="187" t="s">
        <v>263</v>
      </c>
      <c r="I78" s="410">
        <f>SupplyChainTier1[[#This Row],[Amount spent by product category (£)]]</f>
        <v>0</v>
      </c>
      <c r="J78" s="410" t="s">
        <v>263</v>
      </c>
      <c r="K78" s="411">
        <v>0.3160795231113418</v>
      </c>
      <c r="L78" s="185" t="str">
        <f t="shared" si="3"/>
        <v/>
      </c>
      <c r="M78" s="103"/>
      <c r="N78" s="101"/>
      <c r="O78" s="286">
        <v>0</v>
      </c>
      <c r="P78" s="286">
        <v>0</v>
      </c>
      <c r="Q7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8" s="286">
        <v>0</v>
      </c>
      <c r="S78" s="286">
        <v>0</v>
      </c>
      <c r="T7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8" s="286">
        <v>0</v>
      </c>
      <c r="W78"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8" s="587"/>
      <c r="Y78" s="588"/>
      <c r="Z78" s="1" cm="1">
        <f t="array" ref="Z78">IF(OR(ISERROR(B78:V78)),1,0)</f>
        <v>0</v>
      </c>
      <c r="AA78" s="1">
        <f t="shared" si="4"/>
        <v>0</v>
      </c>
    </row>
    <row r="79" spans="2:27" ht="15" thickBot="1" x14ac:dyDescent="0.4">
      <c r="B79" s="406" t="s">
        <v>127</v>
      </c>
      <c r="C79" s="407">
        <v>58</v>
      </c>
      <c r="D79" s="408" t="s">
        <v>362</v>
      </c>
      <c r="E79" s="409" t="s">
        <v>262</v>
      </c>
      <c r="F79" s="187">
        <v>0.25</v>
      </c>
      <c r="G79" s="111"/>
      <c r="H79" s="187" t="s">
        <v>263</v>
      </c>
      <c r="I79" s="410">
        <f>SupplyChainTier1[[#This Row],[Amount spent by product category (£)]]</f>
        <v>0</v>
      </c>
      <c r="J79" s="410" t="s">
        <v>263</v>
      </c>
      <c r="K79" s="411">
        <v>0.1022139832419458</v>
      </c>
      <c r="L79" s="185" t="str">
        <f t="shared" si="3"/>
        <v/>
      </c>
      <c r="M79" s="103"/>
      <c r="N79" s="101"/>
      <c r="O79" s="286">
        <v>0</v>
      </c>
      <c r="P79" s="286">
        <v>0</v>
      </c>
      <c r="Q7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79" s="286">
        <v>0</v>
      </c>
      <c r="S79" s="286">
        <v>0</v>
      </c>
      <c r="T7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7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79" s="286">
        <v>0</v>
      </c>
      <c r="W79"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79" s="587"/>
      <c r="Y79" s="588"/>
      <c r="Z79" s="1" cm="1">
        <f t="array" ref="Z79">IF(OR(ISERROR(B79:V79)),1,0)</f>
        <v>0</v>
      </c>
      <c r="AA79" s="1">
        <f t="shared" si="4"/>
        <v>0</v>
      </c>
    </row>
    <row r="80" spans="2:27" ht="39.5" thickBot="1" x14ac:dyDescent="0.4">
      <c r="B80" s="406" t="s">
        <v>127</v>
      </c>
      <c r="C80" s="407">
        <v>59</v>
      </c>
      <c r="D80" s="408" t="s">
        <v>363</v>
      </c>
      <c r="E80" s="409" t="s">
        <v>262</v>
      </c>
      <c r="F80" s="187">
        <v>0.25</v>
      </c>
      <c r="G80" s="111"/>
      <c r="H80" s="187" t="s">
        <v>263</v>
      </c>
      <c r="I80" s="410">
        <f>SupplyChainTier1[[#This Row],[Amount spent by product category (£)]]</f>
        <v>0</v>
      </c>
      <c r="J80" s="410" t="s">
        <v>263</v>
      </c>
      <c r="K80" s="411">
        <v>0.13508909105117459</v>
      </c>
      <c r="L80" s="185" t="str">
        <f t="shared" si="3"/>
        <v/>
      </c>
      <c r="M80" s="103"/>
      <c r="N80" s="101"/>
      <c r="O80" s="286">
        <v>0</v>
      </c>
      <c r="P80" s="286">
        <v>0</v>
      </c>
      <c r="Q8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0" s="286">
        <v>0</v>
      </c>
      <c r="S80" s="286">
        <v>0</v>
      </c>
      <c r="T8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0" s="286">
        <v>0</v>
      </c>
      <c r="W80"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0" s="587"/>
      <c r="Y80" s="588"/>
      <c r="Z80" s="1" cm="1">
        <f t="array" ref="Z80">IF(OR(ISERROR(B80:V80)),1,0)</f>
        <v>0</v>
      </c>
      <c r="AA80" s="1">
        <f t="shared" si="4"/>
        <v>0</v>
      </c>
    </row>
    <row r="81" spans="2:27" ht="15" thickBot="1" x14ac:dyDescent="0.4">
      <c r="B81" s="406" t="s">
        <v>127</v>
      </c>
      <c r="C81" s="407">
        <v>60</v>
      </c>
      <c r="D81" s="408" t="s">
        <v>364</v>
      </c>
      <c r="E81" s="409" t="s">
        <v>262</v>
      </c>
      <c r="F81" s="187">
        <v>0.25</v>
      </c>
      <c r="G81" s="111"/>
      <c r="H81" s="187" t="s">
        <v>263</v>
      </c>
      <c r="I81" s="410">
        <f>SupplyChainTier1[[#This Row],[Amount spent by product category (£)]]</f>
        <v>0</v>
      </c>
      <c r="J81" s="410" t="s">
        <v>263</v>
      </c>
      <c r="K81" s="411">
        <v>0.20128128339165541</v>
      </c>
      <c r="L81" s="185" t="str">
        <f t="shared" si="3"/>
        <v/>
      </c>
      <c r="M81" s="103"/>
      <c r="N81" s="101"/>
      <c r="O81" s="286">
        <v>0</v>
      </c>
      <c r="P81" s="286">
        <v>0</v>
      </c>
      <c r="Q8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1" s="286">
        <v>0</v>
      </c>
      <c r="S81" s="286">
        <v>0</v>
      </c>
      <c r="T8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1" s="286">
        <v>0</v>
      </c>
      <c r="W81"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1" s="587"/>
      <c r="Y81" s="588"/>
      <c r="Z81" s="1" cm="1">
        <f t="array" ref="Z81">IF(OR(ISERROR(B81:V81)),1,0)</f>
        <v>0</v>
      </c>
      <c r="AA81" s="1">
        <f t="shared" si="4"/>
        <v>0</v>
      </c>
    </row>
    <row r="82" spans="2:27" ht="15" thickBot="1" x14ac:dyDescent="0.4">
      <c r="B82" s="406" t="s">
        <v>127</v>
      </c>
      <c r="C82" s="407">
        <v>61</v>
      </c>
      <c r="D82" s="408" t="s">
        <v>365</v>
      </c>
      <c r="E82" s="409" t="s">
        <v>262</v>
      </c>
      <c r="F82" s="187">
        <v>0.25</v>
      </c>
      <c r="G82" s="111"/>
      <c r="H82" s="187" t="s">
        <v>263</v>
      </c>
      <c r="I82" s="410">
        <f>SupplyChainTier1[[#This Row],[Amount spent by product category (£)]]</f>
        <v>0</v>
      </c>
      <c r="J82" s="410" t="s">
        <v>263</v>
      </c>
      <c r="K82" s="411">
        <v>0.17320973154895231</v>
      </c>
      <c r="L82" s="185" t="str">
        <f t="shared" si="3"/>
        <v/>
      </c>
      <c r="M82" s="103"/>
      <c r="N82" s="101"/>
      <c r="O82" s="286">
        <v>0</v>
      </c>
      <c r="P82" s="286">
        <v>0</v>
      </c>
      <c r="Q8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2" s="286">
        <v>0</v>
      </c>
      <c r="S82" s="286">
        <v>0</v>
      </c>
      <c r="T8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2" s="286">
        <v>0</v>
      </c>
      <c r="W82"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2" s="587"/>
      <c r="Y82" s="588"/>
      <c r="Z82" s="1" cm="1">
        <f t="array" ref="Z82">IF(OR(ISERROR(B82:V82)),1,0)</f>
        <v>0</v>
      </c>
      <c r="AA82" s="1">
        <f t="shared" si="4"/>
        <v>0</v>
      </c>
    </row>
    <row r="83" spans="2:27" ht="26.5" thickBot="1" x14ac:dyDescent="0.4">
      <c r="B83" s="406" t="s">
        <v>127</v>
      </c>
      <c r="C83" s="407">
        <v>62</v>
      </c>
      <c r="D83" s="408" t="s">
        <v>366</v>
      </c>
      <c r="E83" s="409" t="s">
        <v>262</v>
      </c>
      <c r="F83" s="187">
        <v>0.25</v>
      </c>
      <c r="G83" s="111"/>
      <c r="H83" s="187" t="s">
        <v>263</v>
      </c>
      <c r="I83" s="410">
        <f>SupplyChainTier1[[#This Row],[Amount spent by product category (£)]]</f>
        <v>0</v>
      </c>
      <c r="J83" s="410" t="s">
        <v>263</v>
      </c>
      <c r="K83" s="411">
        <v>0.15328963116306529</v>
      </c>
      <c r="L83" s="185" t="str">
        <f t="shared" si="3"/>
        <v/>
      </c>
      <c r="M83" s="103"/>
      <c r="N83" s="101"/>
      <c r="O83" s="286">
        <v>0</v>
      </c>
      <c r="P83" s="286">
        <v>0</v>
      </c>
      <c r="Q8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3" s="286">
        <v>0</v>
      </c>
      <c r="S83" s="286">
        <v>0</v>
      </c>
      <c r="T8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3" s="286">
        <v>0</v>
      </c>
      <c r="W83"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3" s="587"/>
      <c r="Y83" s="588"/>
      <c r="Z83" s="1" cm="1">
        <f t="array" ref="Z83">IF(OR(ISERROR(B83:V83)),1,0)</f>
        <v>0</v>
      </c>
      <c r="AA83" s="1">
        <f t="shared" si="4"/>
        <v>0</v>
      </c>
    </row>
    <row r="84" spans="2:27" ht="15" thickBot="1" x14ac:dyDescent="0.4">
      <c r="B84" s="406" t="s">
        <v>127</v>
      </c>
      <c r="C84" s="407">
        <v>63</v>
      </c>
      <c r="D84" s="408" t="s">
        <v>367</v>
      </c>
      <c r="E84" s="409" t="s">
        <v>262</v>
      </c>
      <c r="F84" s="187">
        <v>0.25</v>
      </c>
      <c r="G84" s="111"/>
      <c r="H84" s="187" t="s">
        <v>263</v>
      </c>
      <c r="I84" s="410">
        <f>SupplyChainTier1[[#This Row],[Amount spent by product category (£)]]</f>
        <v>0</v>
      </c>
      <c r="J84" s="410" t="s">
        <v>263</v>
      </c>
      <c r="K84" s="411">
        <v>0.19965704935272111</v>
      </c>
      <c r="L84" s="185" t="str">
        <f t="shared" si="3"/>
        <v/>
      </c>
      <c r="M84" s="103"/>
      <c r="N84" s="101"/>
      <c r="O84" s="286">
        <v>0</v>
      </c>
      <c r="P84" s="286">
        <v>0</v>
      </c>
      <c r="Q8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4" s="286">
        <v>0</v>
      </c>
      <c r="S84" s="286">
        <v>0</v>
      </c>
      <c r="T8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4" s="286">
        <v>0</v>
      </c>
      <c r="W84"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4" s="587"/>
      <c r="Y84" s="588"/>
      <c r="Z84" s="1" cm="1">
        <f t="array" ref="Z84">IF(OR(ISERROR(B84:V84)),1,0)</f>
        <v>0</v>
      </c>
      <c r="AA84" s="1">
        <f t="shared" si="4"/>
        <v>0</v>
      </c>
    </row>
    <row r="85" spans="2:27" ht="26.5" thickBot="1" x14ac:dyDescent="0.4">
      <c r="B85" s="406" t="s">
        <v>128</v>
      </c>
      <c r="C85" s="407">
        <v>64</v>
      </c>
      <c r="D85" s="408" t="s">
        <v>368</v>
      </c>
      <c r="E85" s="409" t="s">
        <v>262</v>
      </c>
      <c r="F85" s="187">
        <v>0.25</v>
      </c>
      <c r="G85" s="111"/>
      <c r="H85" s="187" t="s">
        <v>263</v>
      </c>
      <c r="I85" s="410">
        <f>SupplyChainTier1[[#This Row],[Amount spent by product category (£)]]</f>
        <v>0</v>
      </c>
      <c r="J85" s="410" t="s">
        <v>263</v>
      </c>
      <c r="K85" s="411">
        <v>0.1192820911011494</v>
      </c>
      <c r="L85" s="185" t="str">
        <f t="shared" si="3"/>
        <v/>
      </c>
      <c r="M85" s="103"/>
      <c r="N85" s="101"/>
      <c r="O85" s="286">
        <v>0</v>
      </c>
      <c r="P85" s="286">
        <v>0</v>
      </c>
      <c r="Q8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5" s="286">
        <v>0</v>
      </c>
      <c r="S85" s="286">
        <v>0</v>
      </c>
      <c r="T8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5" s="286">
        <v>0</v>
      </c>
      <c r="W85"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5" s="587"/>
      <c r="Y85" s="588"/>
      <c r="Z85" s="1" cm="1">
        <f t="array" ref="Z85">IF(OR(ISERROR(B85:V85)),1,0)</f>
        <v>0</v>
      </c>
      <c r="AA85" s="1">
        <f t="shared" si="4"/>
        <v>0</v>
      </c>
    </row>
    <row r="86" spans="2:27" ht="26.5" thickBot="1" x14ac:dyDescent="0.4">
      <c r="B86" s="406" t="s">
        <v>128</v>
      </c>
      <c r="C86" s="407" t="s">
        <v>369</v>
      </c>
      <c r="D86" s="408" t="s">
        <v>370</v>
      </c>
      <c r="E86" s="409" t="s">
        <v>262</v>
      </c>
      <c r="F86" s="187">
        <v>0.25</v>
      </c>
      <c r="G86" s="111"/>
      <c r="H86" s="187" t="s">
        <v>263</v>
      </c>
      <c r="I86" s="410">
        <f>SupplyChainTier1[[#This Row],[Amount spent by product category (£)]]</f>
        <v>0</v>
      </c>
      <c r="J86" s="410" t="s">
        <v>263</v>
      </c>
      <c r="K86" s="411">
        <v>8.8193219876060436E-2</v>
      </c>
      <c r="L86" s="185" t="str">
        <f t="shared" si="3"/>
        <v/>
      </c>
      <c r="M86" s="103"/>
      <c r="N86" s="101"/>
      <c r="O86" s="286">
        <v>0</v>
      </c>
      <c r="P86" s="286">
        <v>0</v>
      </c>
      <c r="Q8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6" s="286">
        <v>0</v>
      </c>
      <c r="S86" s="286">
        <v>0</v>
      </c>
      <c r="T8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6" s="286">
        <v>0</v>
      </c>
      <c r="W86"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6" s="587"/>
      <c r="Y86" s="588"/>
      <c r="Z86" s="1" cm="1">
        <f t="array" ref="Z86">IF(OR(ISERROR(B86:V86)),1,0)</f>
        <v>0</v>
      </c>
      <c r="AA86" s="1">
        <f t="shared" si="4"/>
        <v>0</v>
      </c>
    </row>
    <row r="87" spans="2:27" ht="26.5" thickBot="1" x14ac:dyDescent="0.4">
      <c r="B87" s="406" t="s">
        <v>128</v>
      </c>
      <c r="C87" s="407">
        <v>66</v>
      </c>
      <c r="D87" s="408" t="s">
        <v>371</v>
      </c>
      <c r="E87" s="409" t="s">
        <v>262</v>
      </c>
      <c r="F87" s="187">
        <v>0.25</v>
      </c>
      <c r="G87" s="111"/>
      <c r="H87" s="187" t="s">
        <v>263</v>
      </c>
      <c r="I87" s="410">
        <f>SupplyChainTier1[[#This Row],[Amount spent by product category (£)]]</f>
        <v>0</v>
      </c>
      <c r="J87" s="410" t="s">
        <v>263</v>
      </c>
      <c r="K87" s="411">
        <v>9.689386488025474E-2</v>
      </c>
      <c r="L87" s="185" t="str">
        <f t="shared" si="3"/>
        <v/>
      </c>
      <c r="M87" s="103"/>
      <c r="N87" s="101"/>
      <c r="O87" s="286">
        <v>0</v>
      </c>
      <c r="P87" s="286">
        <v>0</v>
      </c>
      <c r="Q8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7" s="286">
        <v>0</v>
      </c>
      <c r="S87" s="286">
        <v>0</v>
      </c>
      <c r="T8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7" s="286">
        <v>0</v>
      </c>
      <c r="W87"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7" s="587"/>
      <c r="Y87" s="588"/>
      <c r="Z87" s="1" cm="1">
        <f t="array" ref="Z87">IF(OR(ISERROR(B87:V87)),1,0)</f>
        <v>0</v>
      </c>
      <c r="AA87" s="1">
        <f t="shared" si="4"/>
        <v>0</v>
      </c>
    </row>
    <row r="88" spans="2:27" ht="26.5" thickBot="1" x14ac:dyDescent="0.4">
      <c r="B88" s="406" t="s">
        <v>129</v>
      </c>
      <c r="C88" s="407">
        <v>68.12</v>
      </c>
      <c r="D88" s="408" t="s">
        <v>372</v>
      </c>
      <c r="E88" s="409" t="s">
        <v>262</v>
      </c>
      <c r="F88" s="187">
        <v>0.25</v>
      </c>
      <c r="G88" s="111"/>
      <c r="H88" s="187" t="s">
        <v>263</v>
      </c>
      <c r="I88" s="410">
        <f>SupplyChainTier1[[#This Row],[Amount spent by product category (£)]]</f>
        <v>0</v>
      </c>
      <c r="J88" s="410" t="s">
        <v>263</v>
      </c>
      <c r="K88" s="411">
        <v>0.15119712924985149</v>
      </c>
      <c r="L88" s="185" t="str">
        <f t="shared" si="3"/>
        <v/>
      </c>
      <c r="M88" s="103"/>
      <c r="N88" s="101"/>
      <c r="O88" s="286">
        <v>0</v>
      </c>
      <c r="P88" s="286">
        <v>0</v>
      </c>
      <c r="Q8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8" s="286">
        <v>0</v>
      </c>
      <c r="S88" s="286">
        <v>0</v>
      </c>
      <c r="T8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8" s="286">
        <v>0</v>
      </c>
      <c r="W88"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8" s="587"/>
      <c r="Y88" s="588"/>
      <c r="Z88" s="1" cm="1">
        <f t="array" ref="Z88">IF(OR(ISERROR(B88:V88)),1,0)</f>
        <v>0</v>
      </c>
      <c r="AA88" s="1">
        <f t="shared" si="4"/>
        <v>0</v>
      </c>
    </row>
    <row r="89" spans="2:27" ht="15" thickBot="1" x14ac:dyDescent="0.4">
      <c r="B89" s="406" t="s">
        <v>129</v>
      </c>
      <c r="C89" s="407" t="s">
        <v>373</v>
      </c>
      <c r="D89" s="408" t="s">
        <v>374</v>
      </c>
      <c r="E89" s="409" t="s">
        <v>262</v>
      </c>
      <c r="F89" s="187">
        <v>0.25</v>
      </c>
      <c r="G89" s="111"/>
      <c r="H89" s="187" t="s">
        <v>263</v>
      </c>
      <c r="I89" s="410">
        <f>SupplyChainTier1[[#This Row],[Amount spent by product category (£)]]</f>
        <v>0</v>
      </c>
      <c r="J89" s="410" t="s">
        <v>263</v>
      </c>
      <c r="K89" s="411">
        <v>4.4112213354825548E-2</v>
      </c>
      <c r="L89" s="185" t="str">
        <f t="shared" si="3"/>
        <v/>
      </c>
      <c r="M89" s="103"/>
      <c r="N89" s="101"/>
      <c r="O89" s="286">
        <v>0</v>
      </c>
      <c r="P89" s="286">
        <v>0</v>
      </c>
      <c r="Q8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89" s="286">
        <v>0</v>
      </c>
      <c r="S89" s="286">
        <v>0</v>
      </c>
      <c r="T8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8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89" s="286">
        <v>0</v>
      </c>
      <c r="W89"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89" s="587"/>
      <c r="Y89" s="588"/>
      <c r="Z89" s="1" cm="1">
        <f t="array" ref="Z89">IF(OR(ISERROR(B89:V89)),1,0)</f>
        <v>0</v>
      </c>
      <c r="AA89" s="1">
        <f t="shared" si="4"/>
        <v>0</v>
      </c>
    </row>
    <row r="90" spans="2:27" ht="15" thickBot="1" x14ac:dyDescent="0.4">
      <c r="B90" s="406" t="s">
        <v>129</v>
      </c>
      <c r="C90" s="407">
        <v>68.3</v>
      </c>
      <c r="D90" s="408" t="s">
        <v>375</v>
      </c>
      <c r="E90" s="409" t="s">
        <v>262</v>
      </c>
      <c r="F90" s="187">
        <v>0.25</v>
      </c>
      <c r="G90" s="111"/>
      <c r="H90" s="187" t="s">
        <v>263</v>
      </c>
      <c r="I90" s="410">
        <f>SupplyChainTier1[[#This Row],[Amount spent by product category (£)]]</f>
        <v>0</v>
      </c>
      <c r="J90" s="410" t="s">
        <v>263</v>
      </c>
      <c r="K90" s="411">
        <v>0.10399914290806921</v>
      </c>
      <c r="L90" s="185" t="str">
        <f t="shared" si="3"/>
        <v/>
      </c>
      <c r="M90" s="103"/>
      <c r="N90" s="101"/>
      <c r="O90" s="286">
        <v>0</v>
      </c>
      <c r="P90" s="286">
        <v>0</v>
      </c>
      <c r="Q9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0" s="286">
        <v>0</v>
      </c>
      <c r="S90" s="286">
        <v>0</v>
      </c>
      <c r="T9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0" s="286">
        <v>0</v>
      </c>
      <c r="W90"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0" s="587"/>
      <c r="Y90" s="588"/>
      <c r="Z90" s="1" cm="1">
        <f t="array" ref="Z90">IF(OR(ISERROR(B90:V90)),1,0)</f>
        <v>0</v>
      </c>
      <c r="AA90" s="1">
        <f t="shared" si="4"/>
        <v>0</v>
      </c>
    </row>
    <row r="91" spans="2:27" ht="26.5" thickBot="1" x14ac:dyDescent="0.4">
      <c r="B91" s="406" t="s">
        <v>130</v>
      </c>
      <c r="C91" s="407">
        <v>69.099999999999994</v>
      </c>
      <c r="D91" s="408" t="s">
        <v>376</v>
      </c>
      <c r="E91" s="409" t="s">
        <v>262</v>
      </c>
      <c r="F91" s="187">
        <v>0.25</v>
      </c>
      <c r="G91" s="111"/>
      <c r="H91" s="187" t="s">
        <v>263</v>
      </c>
      <c r="I91" s="410">
        <f>SupplyChainTier1[[#This Row],[Amount spent by product category (£)]]</f>
        <v>0</v>
      </c>
      <c r="J91" s="410" t="s">
        <v>263</v>
      </c>
      <c r="K91" s="411">
        <v>6.8055736247499304E-2</v>
      </c>
      <c r="L91" s="185" t="str">
        <f t="shared" si="3"/>
        <v/>
      </c>
      <c r="M91" s="103"/>
      <c r="N91" s="101"/>
      <c r="O91" s="286">
        <v>0</v>
      </c>
      <c r="P91" s="286">
        <v>0</v>
      </c>
      <c r="Q9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1" s="286">
        <v>0</v>
      </c>
      <c r="S91" s="286">
        <v>0</v>
      </c>
      <c r="T9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1" s="286">
        <v>0</v>
      </c>
      <c r="W91"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1" s="587"/>
      <c r="Y91" s="588"/>
      <c r="Z91" s="1" cm="1">
        <f t="array" ref="Z91">IF(OR(ISERROR(B91:V91)),1,0)</f>
        <v>0</v>
      </c>
      <c r="AA91" s="1">
        <f t="shared" si="4"/>
        <v>0</v>
      </c>
    </row>
    <row r="92" spans="2:27" ht="26.5" thickBot="1" x14ac:dyDescent="0.4">
      <c r="B92" s="406" t="s">
        <v>130</v>
      </c>
      <c r="C92" s="407">
        <v>69.2</v>
      </c>
      <c r="D92" s="408" t="s">
        <v>377</v>
      </c>
      <c r="E92" s="409" t="s">
        <v>262</v>
      </c>
      <c r="F92" s="187">
        <v>0.25</v>
      </c>
      <c r="G92" s="111"/>
      <c r="H92" s="187" t="s">
        <v>263</v>
      </c>
      <c r="I92" s="410">
        <f>SupplyChainTier1[[#This Row],[Amount spent by product category (£)]]</f>
        <v>0</v>
      </c>
      <c r="J92" s="410" t="s">
        <v>263</v>
      </c>
      <c r="K92" s="411">
        <v>0.13749838044864279</v>
      </c>
      <c r="L92" s="185" t="str">
        <f t="shared" si="3"/>
        <v/>
      </c>
      <c r="M92" s="103"/>
      <c r="N92" s="101"/>
      <c r="O92" s="286">
        <v>0</v>
      </c>
      <c r="P92" s="286">
        <v>0</v>
      </c>
      <c r="Q9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2" s="286">
        <v>0</v>
      </c>
      <c r="S92" s="286">
        <v>0</v>
      </c>
      <c r="T9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2" s="286">
        <v>0</v>
      </c>
      <c r="W92"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2" s="587"/>
      <c r="Y92" s="588"/>
      <c r="Z92" s="1" cm="1">
        <f t="array" ref="Z92">IF(OR(ISERROR(B92:V92)),1,0)</f>
        <v>0</v>
      </c>
      <c r="AA92" s="1">
        <f t="shared" si="4"/>
        <v>0</v>
      </c>
    </row>
    <row r="93" spans="2:27" ht="26.5" thickBot="1" x14ac:dyDescent="0.4">
      <c r="B93" s="406" t="s">
        <v>130</v>
      </c>
      <c r="C93" s="407">
        <v>70</v>
      </c>
      <c r="D93" s="408" t="s">
        <v>378</v>
      </c>
      <c r="E93" s="409" t="s">
        <v>262</v>
      </c>
      <c r="F93" s="187">
        <v>0.25</v>
      </c>
      <c r="G93" s="111"/>
      <c r="H93" s="187" t="s">
        <v>263</v>
      </c>
      <c r="I93" s="410">
        <f>SupplyChainTier1[[#This Row],[Amount spent by product category (£)]]</f>
        <v>0</v>
      </c>
      <c r="J93" s="410" t="s">
        <v>263</v>
      </c>
      <c r="K93" s="411">
        <v>0.1606219056078951</v>
      </c>
      <c r="L93" s="185" t="str">
        <f t="shared" si="3"/>
        <v/>
      </c>
      <c r="M93" s="103"/>
      <c r="N93" s="101"/>
      <c r="O93" s="286">
        <v>0</v>
      </c>
      <c r="P93" s="286">
        <v>0</v>
      </c>
      <c r="Q9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3" s="286">
        <v>0</v>
      </c>
      <c r="S93" s="286">
        <v>0</v>
      </c>
      <c r="T9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3" s="286">
        <v>0</v>
      </c>
      <c r="W93"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3" s="587"/>
      <c r="Y93" s="588"/>
      <c r="Z93" s="1" cm="1">
        <f t="array" ref="Z93">IF(OR(ISERROR(B93:V93)),1,0)</f>
        <v>0</v>
      </c>
      <c r="AA93" s="1">
        <f t="shared" si="4"/>
        <v>0</v>
      </c>
    </row>
    <row r="94" spans="2:27" ht="26.5" thickBot="1" x14ac:dyDescent="0.4">
      <c r="B94" s="406" t="s">
        <v>130</v>
      </c>
      <c r="C94" s="407">
        <v>71</v>
      </c>
      <c r="D94" s="408" t="s">
        <v>379</v>
      </c>
      <c r="E94" s="409" t="s">
        <v>262</v>
      </c>
      <c r="F94" s="187">
        <v>0.25</v>
      </c>
      <c r="G94" s="153"/>
      <c r="H94" s="187" t="s">
        <v>263</v>
      </c>
      <c r="I94" s="410">
        <f>SupplyChainTier1[[#This Row],[Amount spent by product category (£)]]</f>
        <v>0</v>
      </c>
      <c r="J94" s="410" t="s">
        <v>263</v>
      </c>
      <c r="K94" s="411">
        <v>0.19767415433147631</v>
      </c>
      <c r="L94" s="185" t="str">
        <f t="shared" si="3"/>
        <v/>
      </c>
      <c r="M94" s="103"/>
      <c r="N94" s="101"/>
      <c r="O94" s="286">
        <v>0</v>
      </c>
      <c r="P94" s="286">
        <v>0</v>
      </c>
      <c r="Q9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4" s="286">
        <v>0</v>
      </c>
      <c r="S94" s="286">
        <v>0</v>
      </c>
      <c r="T9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4" s="286">
        <v>0</v>
      </c>
      <c r="W94"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4" s="587"/>
      <c r="Y94" s="588"/>
      <c r="Z94" s="1" cm="1">
        <f t="array" ref="Z94">IF(OR(ISERROR(B94:V94)),1,0)</f>
        <v>0</v>
      </c>
      <c r="AA94" s="1">
        <f t="shared" si="4"/>
        <v>0</v>
      </c>
    </row>
    <row r="95" spans="2:27" ht="26.5" thickBot="1" x14ac:dyDescent="0.4">
      <c r="B95" s="406" t="s">
        <v>130</v>
      </c>
      <c r="C95" s="407">
        <v>72</v>
      </c>
      <c r="D95" s="408" t="s">
        <v>380</v>
      </c>
      <c r="E95" s="409" t="s">
        <v>262</v>
      </c>
      <c r="F95" s="187">
        <v>0.25</v>
      </c>
      <c r="G95" s="153"/>
      <c r="H95" s="187" t="s">
        <v>263</v>
      </c>
      <c r="I95" s="410">
        <f>SupplyChainTier1[[#This Row],[Amount spent by product category (£)]]</f>
        <v>0</v>
      </c>
      <c r="J95" s="410" t="s">
        <v>263</v>
      </c>
      <c r="K95" s="411">
        <v>0.22163212839847199</v>
      </c>
      <c r="L95" s="185" t="str">
        <f t="shared" si="3"/>
        <v/>
      </c>
      <c r="M95" s="103"/>
      <c r="N95" s="101"/>
      <c r="O95" s="286">
        <v>0</v>
      </c>
      <c r="P95" s="286">
        <v>0</v>
      </c>
      <c r="Q9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5" s="286">
        <v>0</v>
      </c>
      <c r="S95" s="286">
        <v>0</v>
      </c>
      <c r="T9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5" s="286">
        <v>0</v>
      </c>
      <c r="W95"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5" s="587"/>
      <c r="Y95" s="588"/>
      <c r="Z95" s="1" cm="1">
        <f t="array" ref="Z95">IF(OR(ISERROR(B95:V95)),1,0)</f>
        <v>0</v>
      </c>
      <c r="AA95" s="1">
        <f t="shared" si="4"/>
        <v>0</v>
      </c>
    </row>
    <row r="96" spans="2:27" ht="26.5" thickBot="1" x14ac:dyDescent="0.4">
      <c r="B96" s="406" t="s">
        <v>130</v>
      </c>
      <c r="C96" s="407">
        <v>73</v>
      </c>
      <c r="D96" s="408" t="s">
        <v>381</v>
      </c>
      <c r="E96" s="409" t="s">
        <v>262</v>
      </c>
      <c r="F96" s="187">
        <v>0.25</v>
      </c>
      <c r="G96" s="153"/>
      <c r="H96" s="187" t="s">
        <v>263</v>
      </c>
      <c r="I96" s="410">
        <f>SupplyChainTier1[[#This Row],[Amount spent by product category (£)]]</f>
        <v>0</v>
      </c>
      <c r="J96" s="410" t="s">
        <v>263</v>
      </c>
      <c r="K96" s="411">
        <v>0.1241431881090397</v>
      </c>
      <c r="L96" s="185" t="str">
        <f t="shared" si="3"/>
        <v/>
      </c>
      <c r="M96" s="103"/>
      <c r="N96" s="101"/>
      <c r="O96" s="286">
        <v>0</v>
      </c>
      <c r="P96" s="286">
        <v>0</v>
      </c>
      <c r="Q9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6" s="286">
        <v>0</v>
      </c>
      <c r="S96" s="286">
        <v>0</v>
      </c>
      <c r="T9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6" s="286">
        <v>0</v>
      </c>
      <c r="W96"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6" s="587"/>
      <c r="Y96" s="588"/>
      <c r="Z96" s="1" cm="1">
        <f t="array" ref="Z96">IF(OR(ISERROR(B96:V96)),1,0)</f>
        <v>0</v>
      </c>
      <c r="AA96" s="1">
        <f t="shared" si="4"/>
        <v>0</v>
      </c>
    </row>
    <row r="97" spans="2:27" ht="26.5" thickBot="1" x14ac:dyDescent="0.4">
      <c r="B97" s="406" t="s">
        <v>130</v>
      </c>
      <c r="C97" s="407">
        <v>74</v>
      </c>
      <c r="D97" s="408" t="s">
        <v>382</v>
      </c>
      <c r="E97" s="409" t="s">
        <v>262</v>
      </c>
      <c r="F97" s="187">
        <v>0.25</v>
      </c>
      <c r="G97" s="153"/>
      <c r="H97" s="187" t="s">
        <v>263</v>
      </c>
      <c r="I97" s="410">
        <f>SupplyChainTier1[[#This Row],[Amount spent by product category (£)]]</f>
        <v>0</v>
      </c>
      <c r="J97" s="410" t="s">
        <v>263</v>
      </c>
      <c r="K97" s="411">
        <v>0.16301321549815079</v>
      </c>
      <c r="L97" s="185" t="str">
        <f t="shared" si="3"/>
        <v/>
      </c>
      <c r="M97" s="103"/>
      <c r="N97" s="101"/>
      <c r="O97" s="286">
        <v>0</v>
      </c>
      <c r="P97" s="286">
        <v>0</v>
      </c>
      <c r="Q9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7" s="286">
        <v>0</v>
      </c>
      <c r="S97" s="286">
        <v>0</v>
      </c>
      <c r="T9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7" s="286">
        <v>0</v>
      </c>
      <c r="W97"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7" s="587"/>
      <c r="Y97" s="588"/>
      <c r="Z97" s="1" cm="1">
        <f t="array" ref="Z97">IF(OR(ISERROR(B97:V97)),1,0)</f>
        <v>0</v>
      </c>
      <c r="AA97" s="1">
        <f t="shared" si="4"/>
        <v>0</v>
      </c>
    </row>
    <row r="98" spans="2:27" ht="26.5" thickBot="1" x14ac:dyDescent="0.4">
      <c r="B98" s="406" t="s">
        <v>130</v>
      </c>
      <c r="C98" s="407">
        <v>75</v>
      </c>
      <c r="D98" s="408" t="s">
        <v>383</v>
      </c>
      <c r="E98" s="409" t="s">
        <v>262</v>
      </c>
      <c r="F98" s="187">
        <v>0.25</v>
      </c>
      <c r="G98" s="111"/>
      <c r="H98" s="187" t="s">
        <v>263</v>
      </c>
      <c r="I98" s="410">
        <f>SupplyChainTier1[[#This Row],[Amount spent by product category (£)]]</f>
        <v>0</v>
      </c>
      <c r="J98" s="410" t="s">
        <v>263</v>
      </c>
      <c r="K98" s="411">
        <v>0.1069182401674207</v>
      </c>
      <c r="L98" s="185" t="str">
        <f t="shared" si="3"/>
        <v/>
      </c>
      <c r="M98" s="103"/>
      <c r="N98" s="101"/>
      <c r="O98" s="286">
        <v>0</v>
      </c>
      <c r="P98" s="286">
        <v>0</v>
      </c>
      <c r="Q9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8" s="286">
        <v>0</v>
      </c>
      <c r="S98" s="286">
        <v>0</v>
      </c>
      <c r="T9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8" s="286">
        <v>0</v>
      </c>
      <c r="W98"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8" s="587"/>
      <c r="Y98" s="588"/>
      <c r="Z98" s="1" cm="1">
        <f t="array" ref="Z98">IF(OR(ISERROR(B98:V98)),1,0)</f>
        <v>0</v>
      </c>
      <c r="AA98" s="1">
        <f t="shared" si="4"/>
        <v>0</v>
      </c>
    </row>
    <row r="99" spans="2:27" ht="26.5" thickBot="1" x14ac:dyDescent="0.4">
      <c r="B99" s="406" t="s">
        <v>131</v>
      </c>
      <c r="C99" s="407">
        <v>77</v>
      </c>
      <c r="D99" s="408" t="s">
        <v>384</v>
      </c>
      <c r="E99" s="409" t="s">
        <v>262</v>
      </c>
      <c r="F99" s="187">
        <v>0.25</v>
      </c>
      <c r="G99" s="111"/>
      <c r="H99" s="187" t="s">
        <v>263</v>
      </c>
      <c r="I99" s="410">
        <f>SupplyChainTier1[[#This Row],[Amount spent by product category (£)]]</f>
        <v>0</v>
      </c>
      <c r="J99" s="410" t="s">
        <v>263</v>
      </c>
      <c r="K99" s="411">
        <v>0.17744433103004759</v>
      </c>
      <c r="L99" s="185" t="str">
        <f t="shared" si="3"/>
        <v/>
      </c>
      <c r="M99" s="103"/>
      <c r="N99" s="101"/>
      <c r="O99" s="286">
        <v>0</v>
      </c>
      <c r="P99" s="286">
        <v>0</v>
      </c>
      <c r="Q9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99" s="286">
        <v>0</v>
      </c>
      <c r="S99" s="286">
        <v>0</v>
      </c>
      <c r="T9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9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99" s="286">
        <v>0</v>
      </c>
      <c r="W99"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99" s="587"/>
      <c r="Y99" s="588"/>
      <c r="Z99" s="1" cm="1">
        <f t="array" ref="Z99">IF(OR(ISERROR(B99:V99)),1,0)</f>
        <v>0</v>
      </c>
      <c r="AA99" s="1">
        <f t="shared" si="4"/>
        <v>0</v>
      </c>
    </row>
    <row r="100" spans="2:27" ht="26.5" thickBot="1" x14ac:dyDescent="0.4">
      <c r="B100" s="406" t="s">
        <v>131</v>
      </c>
      <c r="C100" s="407">
        <v>78</v>
      </c>
      <c r="D100" s="408" t="s">
        <v>385</v>
      </c>
      <c r="E100" s="409" t="s">
        <v>262</v>
      </c>
      <c r="F100" s="187">
        <v>0.25</v>
      </c>
      <c r="G100" s="111"/>
      <c r="H100" s="187" t="s">
        <v>263</v>
      </c>
      <c r="I100" s="410">
        <f>SupplyChainTier1[[#This Row],[Amount spent by product category (£)]]</f>
        <v>0</v>
      </c>
      <c r="J100" s="410" t="s">
        <v>263</v>
      </c>
      <c r="K100" s="411">
        <v>0.12635541758388921</v>
      </c>
      <c r="L100" s="185" t="str">
        <f t="shared" si="3"/>
        <v/>
      </c>
      <c r="M100" s="103"/>
      <c r="N100" s="101"/>
      <c r="O100" s="286">
        <v>0</v>
      </c>
      <c r="P100" s="286">
        <v>0</v>
      </c>
      <c r="Q10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0" s="286">
        <v>0</v>
      </c>
      <c r="S100" s="286">
        <v>0</v>
      </c>
      <c r="T10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0" s="286">
        <v>0</v>
      </c>
      <c r="W100"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0" s="587"/>
      <c r="Y100" s="588"/>
      <c r="Z100" s="1" cm="1">
        <f t="array" ref="Z100">IF(OR(ISERROR(B100:V100)),1,0)</f>
        <v>0</v>
      </c>
      <c r="AA100" s="1">
        <f t="shared" si="4"/>
        <v>0</v>
      </c>
    </row>
    <row r="101" spans="2:27" ht="26.5" thickBot="1" x14ac:dyDescent="0.4">
      <c r="B101" s="406" t="s">
        <v>131</v>
      </c>
      <c r="C101" s="407">
        <v>79</v>
      </c>
      <c r="D101" s="408" t="s">
        <v>386</v>
      </c>
      <c r="E101" s="409" t="s">
        <v>262</v>
      </c>
      <c r="F101" s="187">
        <v>0.25</v>
      </c>
      <c r="G101" s="111"/>
      <c r="H101" s="187" t="s">
        <v>263</v>
      </c>
      <c r="I101" s="410">
        <f>SupplyChainTier1[[#This Row],[Amount spent by product category (£)]]</f>
        <v>0</v>
      </c>
      <c r="J101" s="410" t="s">
        <v>263</v>
      </c>
      <c r="K101" s="411">
        <v>0.1723782873269421</v>
      </c>
      <c r="L101" s="185" t="str">
        <f t="shared" si="3"/>
        <v/>
      </c>
      <c r="M101" s="103"/>
      <c r="N101" s="101"/>
      <c r="O101" s="286">
        <v>0</v>
      </c>
      <c r="P101" s="286">
        <v>0</v>
      </c>
      <c r="Q10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1" s="286">
        <v>0</v>
      </c>
      <c r="S101" s="286">
        <v>0</v>
      </c>
      <c r="T10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1" s="286">
        <v>0</v>
      </c>
      <c r="W101"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1" s="587"/>
      <c r="Y101" s="588"/>
      <c r="Z101" s="1" cm="1">
        <f t="array" ref="Z101">IF(OR(ISERROR(B101:V101)),1,0)</f>
        <v>0</v>
      </c>
      <c r="AA101" s="1">
        <f t="shared" si="4"/>
        <v>0</v>
      </c>
    </row>
    <row r="102" spans="2:27" ht="26.5" thickBot="1" x14ac:dyDescent="0.4">
      <c r="B102" s="406" t="s">
        <v>131</v>
      </c>
      <c r="C102" s="407">
        <v>80</v>
      </c>
      <c r="D102" s="408" t="s">
        <v>387</v>
      </c>
      <c r="E102" s="409" t="s">
        <v>262</v>
      </c>
      <c r="F102" s="187">
        <v>0.25</v>
      </c>
      <c r="G102" s="111"/>
      <c r="H102" s="187" t="s">
        <v>263</v>
      </c>
      <c r="I102" s="410">
        <f>SupplyChainTier1[[#This Row],[Amount spent by product category (£)]]</f>
        <v>0</v>
      </c>
      <c r="J102" s="410" t="s">
        <v>263</v>
      </c>
      <c r="K102" s="411">
        <v>0.1120917125434992</v>
      </c>
      <c r="L102" s="185" t="str">
        <f t="shared" si="3"/>
        <v/>
      </c>
      <c r="M102" s="103"/>
      <c r="N102" s="101"/>
      <c r="O102" s="286">
        <v>0</v>
      </c>
      <c r="P102" s="286">
        <v>0</v>
      </c>
      <c r="Q10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2" s="286">
        <v>0</v>
      </c>
      <c r="S102" s="286">
        <v>0</v>
      </c>
      <c r="T10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2" s="286">
        <v>0</v>
      </c>
      <c r="W102"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2" s="587"/>
      <c r="Y102" s="588"/>
      <c r="Z102" s="1" cm="1">
        <f t="array" ref="Z102">IF(OR(ISERROR(B102:V102)),1,0)</f>
        <v>0</v>
      </c>
      <c r="AA102" s="1">
        <f t="shared" si="4"/>
        <v>0</v>
      </c>
    </row>
    <row r="103" spans="2:27" ht="26.5" thickBot="1" x14ac:dyDescent="0.4">
      <c r="B103" s="406" t="s">
        <v>131</v>
      </c>
      <c r="C103" s="407">
        <v>81</v>
      </c>
      <c r="D103" s="408" t="s">
        <v>388</v>
      </c>
      <c r="E103" s="409" t="s">
        <v>262</v>
      </c>
      <c r="F103" s="187">
        <v>0.25</v>
      </c>
      <c r="G103" s="111"/>
      <c r="H103" s="187" t="s">
        <v>263</v>
      </c>
      <c r="I103" s="410">
        <f>SupplyChainTier1[[#This Row],[Amount spent by product category (£)]]</f>
        <v>0</v>
      </c>
      <c r="J103" s="410" t="s">
        <v>263</v>
      </c>
      <c r="K103" s="411">
        <v>0.1929228046845079</v>
      </c>
      <c r="L103" s="185" t="str">
        <f t="shared" si="3"/>
        <v/>
      </c>
      <c r="M103" s="103"/>
      <c r="N103" s="101"/>
      <c r="O103" s="286">
        <v>0</v>
      </c>
      <c r="P103" s="286">
        <v>0</v>
      </c>
      <c r="Q10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3" s="286">
        <v>0</v>
      </c>
      <c r="S103" s="286">
        <v>0</v>
      </c>
      <c r="T10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3" s="286">
        <v>0</v>
      </c>
      <c r="W103"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3" s="587"/>
      <c r="Y103" s="588"/>
      <c r="Z103" s="1" cm="1">
        <f t="array" ref="Z103">IF(OR(ISERROR(B103:V103)),1,0)</f>
        <v>0</v>
      </c>
      <c r="AA103" s="1">
        <f t="shared" si="4"/>
        <v>0</v>
      </c>
    </row>
    <row r="104" spans="2:27" ht="26.5" thickBot="1" x14ac:dyDescent="0.4">
      <c r="B104" s="406" t="s">
        <v>131</v>
      </c>
      <c r="C104" s="407">
        <v>82</v>
      </c>
      <c r="D104" s="408" t="s">
        <v>389</v>
      </c>
      <c r="E104" s="409" t="s">
        <v>262</v>
      </c>
      <c r="F104" s="187">
        <v>0.25</v>
      </c>
      <c r="G104" s="111"/>
      <c r="H104" s="187" t="s">
        <v>263</v>
      </c>
      <c r="I104" s="410">
        <f>SupplyChainTier1[[#This Row],[Amount spent by product category (£)]]</f>
        <v>0</v>
      </c>
      <c r="J104" s="410" t="s">
        <v>263</v>
      </c>
      <c r="K104" s="411">
        <v>0.1892020832236927</v>
      </c>
      <c r="L104" s="185" t="str">
        <f t="shared" ref="L104:L117" si="5">IF(ISBLANK(G104),"",G104*K104)</f>
        <v/>
      </c>
      <c r="M104" s="103"/>
      <c r="N104" s="101"/>
      <c r="O104" s="286">
        <v>0</v>
      </c>
      <c r="P104" s="286">
        <v>0</v>
      </c>
      <c r="Q10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4" s="286">
        <v>0</v>
      </c>
      <c r="S104" s="286">
        <v>0</v>
      </c>
      <c r="T10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4" s="286">
        <v>0</v>
      </c>
      <c r="W104"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4" s="587"/>
      <c r="Y104" s="588"/>
      <c r="Z104" s="1" cm="1">
        <f t="array" ref="Z104">IF(OR(ISERROR(B104:V104)),1,0)</f>
        <v>0</v>
      </c>
      <c r="AA104" s="1">
        <f t="shared" si="4"/>
        <v>0</v>
      </c>
    </row>
    <row r="105" spans="2:27" ht="26.5" thickBot="1" x14ac:dyDescent="0.4">
      <c r="B105" s="406" t="s">
        <v>132</v>
      </c>
      <c r="C105" s="407">
        <v>84</v>
      </c>
      <c r="D105" s="408" t="s">
        <v>390</v>
      </c>
      <c r="E105" s="409" t="s">
        <v>262</v>
      </c>
      <c r="F105" s="187">
        <v>0.25</v>
      </c>
      <c r="G105" s="111"/>
      <c r="H105" s="187" t="s">
        <v>263</v>
      </c>
      <c r="I105" s="410">
        <f>SupplyChainTier1[[#This Row],[Amount spent by product category (£)]]</f>
        <v>0</v>
      </c>
      <c r="J105" s="410" t="s">
        <v>263</v>
      </c>
      <c r="K105" s="411">
        <v>0.24979112307999549</v>
      </c>
      <c r="L105" s="185" t="str">
        <f t="shared" si="5"/>
        <v/>
      </c>
      <c r="M105" s="103"/>
      <c r="N105" s="101"/>
      <c r="O105" s="286">
        <v>0</v>
      </c>
      <c r="P105" s="286">
        <v>0</v>
      </c>
      <c r="Q10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5" s="286">
        <v>0</v>
      </c>
      <c r="S105" s="286">
        <v>0</v>
      </c>
      <c r="T10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5" s="286">
        <v>0</v>
      </c>
      <c r="W105"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5" s="587"/>
      <c r="Y105" s="588"/>
      <c r="Z105" s="1" cm="1">
        <f t="array" ref="Z105">IF(OR(ISERROR(B105:V105)),1,0)</f>
        <v>0</v>
      </c>
      <c r="AA105" s="1">
        <f t="shared" si="4"/>
        <v>0</v>
      </c>
    </row>
    <row r="106" spans="2:27" ht="15" thickBot="1" x14ac:dyDescent="0.4">
      <c r="B106" s="406" t="s">
        <v>133</v>
      </c>
      <c r="C106" s="407">
        <v>85</v>
      </c>
      <c r="D106" s="408" t="s">
        <v>391</v>
      </c>
      <c r="E106" s="409" t="s">
        <v>262</v>
      </c>
      <c r="F106" s="187">
        <v>0.25</v>
      </c>
      <c r="G106" s="111"/>
      <c r="H106" s="187" t="s">
        <v>263</v>
      </c>
      <c r="I106" s="410">
        <f>SupplyChainTier1[[#This Row],[Amount spent by product category (£)]]</f>
        <v>0</v>
      </c>
      <c r="J106" s="410" t="s">
        <v>263</v>
      </c>
      <c r="K106" s="411">
        <v>0.18837997635479739</v>
      </c>
      <c r="L106" s="185" t="str">
        <f t="shared" si="5"/>
        <v/>
      </c>
      <c r="M106" s="103"/>
      <c r="N106" s="101"/>
      <c r="O106" s="286">
        <v>0</v>
      </c>
      <c r="P106" s="286">
        <v>0</v>
      </c>
      <c r="Q10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6" s="286">
        <v>0</v>
      </c>
      <c r="S106" s="286">
        <v>0</v>
      </c>
      <c r="T10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6" s="286">
        <v>0</v>
      </c>
      <c r="W106"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6" s="587"/>
      <c r="Y106" s="588"/>
      <c r="Z106" s="1" cm="1">
        <f t="array" ref="Z106">IF(OR(ISERROR(B106:V106)),1,0)</f>
        <v>0</v>
      </c>
      <c r="AA106" s="1">
        <f t="shared" si="4"/>
        <v>0</v>
      </c>
    </row>
    <row r="107" spans="2:27" ht="26.5" thickBot="1" x14ac:dyDescent="0.4">
      <c r="B107" s="406" t="s">
        <v>134</v>
      </c>
      <c r="C107" s="407">
        <v>86</v>
      </c>
      <c r="D107" s="408" t="s">
        <v>392</v>
      </c>
      <c r="E107" s="409" t="s">
        <v>262</v>
      </c>
      <c r="F107" s="187">
        <v>0.25</v>
      </c>
      <c r="G107" s="111"/>
      <c r="H107" s="187" t="s">
        <v>263</v>
      </c>
      <c r="I107" s="410">
        <f>SupplyChainTier1[[#This Row],[Amount spent by product category (£)]]</f>
        <v>0</v>
      </c>
      <c r="J107" s="410" t="s">
        <v>263</v>
      </c>
      <c r="K107" s="411">
        <v>0.32030770994409002</v>
      </c>
      <c r="L107" s="185" t="str">
        <f t="shared" si="5"/>
        <v/>
      </c>
      <c r="M107" s="103"/>
      <c r="N107" s="101"/>
      <c r="O107" s="286">
        <v>0</v>
      </c>
      <c r="P107" s="286">
        <v>0</v>
      </c>
      <c r="Q10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7" s="286">
        <v>0</v>
      </c>
      <c r="S107" s="286">
        <v>0</v>
      </c>
      <c r="T10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7" s="286">
        <v>0</v>
      </c>
      <c r="W107"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7" s="587"/>
      <c r="Y107" s="588"/>
      <c r="Z107" s="1" cm="1">
        <f t="array" ref="Z107">IF(OR(ISERROR(B107:V107)),1,0)</f>
        <v>0</v>
      </c>
      <c r="AA107" s="1">
        <f t="shared" si="4"/>
        <v>0</v>
      </c>
    </row>
    <row r="108" spans="2:27" ht="26.5" thickBot="1" x14ac:dyDescent="0.4">
      <c r="B108" s="406" t="s">
        <v>134</v>
      </c>
      <c r="C108" s="407">
        <v>87</v>
      </c>
      <c r="D108" s="408" t="s">
        <v>393</v>
      </c>
      <c r="E108" s="409" t="s">
        <v>262</v>
      </c>
      <c r="F108" s="187">
        <v>0.25</v>
      </c>
      <c r="G108" s="111"/>
      <c r="H108" s="187" t="s">
        <v>263</v>
      </c>
      <c r="I108" s="410">
        <f>SupplyChainTier1[[#This Row],[Amount spent by product category (£)]]</f>
        <v>0</v>
      </c>
      <c r="J108" s="410" t="s">
        <v>263</v>
      </c>
      <c r="K108" s="411">
        <v>0.21393030781715039</v>
      </c>
      <c r="L108" s="185" t="str">
        <f t="shared" si="5"/>
        <v/>
      </c>
      <c r="M108" s="103"/>
      <c r="N108" s="101"/>
      <c r="O108" s="286">
        <v>0</v>
      </c>
      <c r="P108" s="286">
        <v>0</v>
      </c>
      <c r="Q108"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8" s="286">
        <v>0</v>
      </c>
      <c r="S108" s="286">
        <v>0</v>
      </c>
      <c r="T10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8"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8" s="286">
        <v>0</v>
      </c>
      <c r="W108"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8" s="587"/>
      <c r="Y108" s="588"/>
      <c r="Z108" s="1" cm="1">
        <f t="array" ref="Z108">IF(OR(ISERROR(B108:V108)),1,0)</f>
        <v>0</v>
      </c>
      <c r="AA108" s="1">
        <f t="shared" si="4"/>
        <v>0</v>
      </c>
    </row>
    <row r="109" spans="2:27" ht="26.5" thickBot="1" x14ac:dyDescent="0.4">
      <c r="B109" s="406" t="s">
        <v>134</v>
      </c>
      <c r="C109" s="407">
        <v>88</v>
      </c>
      <c r="D109" s="408" t="s">
        <v>394</v>
      </c>
      <c r="E109" s="409" t="s">
        <v>262</v>
      </c>
      <c r="F109" s="187">
        <v>0.25</v>
      </c>
      <c r="G109" s="111"/>
      <c r="H109" s="187" t="s">
        <v>263</v>
      </c>
      <c r="I109" s="410">
        <f>SupplyChainTier1[[#This Row],[Amount spent by product category (£)]]</f>
        <v>0</v>
      </c>
      <c r="J109" s="410" t="s">
        <v>263</v>
      </c>
      <c r="K109" s="411">
        <v>0.22833607969297939</v>
      </c>
      <c r="L109" s="185" t="str">
        <f t="shared" si="5"/>
        <v/>
      </c>
      <c r="M109" s="103"/>
      <c r="N109" s="101"/>
      <c r="O109" s="286">
        <v>0</v>
      </c>
      <c r="P109" s="286">
        <v>0</v>
      </c>
      <c r="Q109"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09" s="286">
        <v>0</v>
      </c>
      <c r="S109" s="286">
        <v>0</v>
      </c>
      <c r="T10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09"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09" s="286">
        <v>0</v>
      </c>
      <c r="W109"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09" s="587"/>
      <c r="Y109" s="588"/>
      <c r="Z109" s="1" cm="1">
        <f t="array" ref="Z109">IF(OR(ISERROR(B109:V109)),1,0)</f>
        <v>0</v>
      </c>
      <c r="AA109" s="1">
        <f t="shared" si="4"/>
        <v>0</v>
      </c>
    </row>
    <row r="110" spans="2:27" ht="15" thickBot="1" x14ac:dyDescent="0.4">
      <c r="B110" s="406" t="s">
        <v>135</v>
      </c>
      <c r="C110" s="407">
        <v>90</v>
      </c>
      <c r="D110" s="408" t="s">
        <v>395</v>
      </c>
      <c r="E110" s="409" t="s">
        <v>262</v>
      </c>
      <c r="F110" s="187">
        <v>0.25</v>
      </c>
      <c r="G110" s="111"/>
      <c r="H110" s="187" t="s">
        <v>263</v>
      </c>
      <c r="I110" s="410">
        <f>SupplyChainTier1[[#This Row],[Amount spent by product category (£)]]</f>
        <v>0</v>
      </c>
      <c r="J110" s="410" t="s">
        <v>263</v>
      </c>
      <c r="K110" s="411">
        <v>0.32933033668211442</v>
      </c>
      <c r="L110" s="185" t="str">
        <f t="shared" si="5"/>
        <v/>
      </c>
      <c r="M110" s="103"/>
      <c r="N110" s="101"/>
      <c r="O110" s="286">
        <v>0</v>
      </c>
      <c r="P110" s="286">
        <v>0</v>
      </c>
      <c r="Q110"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0" s="286">
        <v>0</v>
      </c>
      <c r="S110" s="286">
        <v>0</v>
      </c>
      <c r="T11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0"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0" s="286">
        <v>0</v>
      </c>
      <c r="W110"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0" s="587"/>
      <c r="Y110" s="588"/>
      <c r="Z110" s="1" cm="1">
        <f t="array" ref="Z110">IF(OR(ISERROR(B110:V110)),1,0)</f>
        <v>0</v>
      </c>
      <c r="AA110" s="1">
        <f t="shared" si="4"/>
        <v>0</v>
      </c>
    </row>
    <row r="111" spans="2:27" ht="26.5" thickBot="1" x14ac:dyDescent="0.4">
      <c r="B111" s="406" t="s">
        <v>135</v>
      </c>
      <c r="C111" s="407">
        <v>91</v>
      </c>
      <c r="D111" s="408" t="s">
        <v>396</v>
      </c>
      <c r="E111" s="409" t="s">
        <v>262</v>
      </c>
      <c r="F111" s="187">
        <v>0.25</v>
      </c>
      <c r="G111" s="111"/>
      <c r="H111" s="187" t="s">
        <v>263</v>
      </c>
      <c r="I111" s="410">
        <f>SupplyChainTier1[[#This Row],[Amount spent by product category (£)]]</f>
        <v>0</v>
      </c>
      <c r="J111" s="410" t="s">
        <v>263</v>
      </c>
      <c r="K111" s="411">
        <v>0.25062527172398941</v>
      </c>
      <c r="L111" s="185" t="str">
        <f t="shared" si="5"/>
        <v/>
      </c>
      <c r="M111" s="103"/>
      <c r="N111" s="101"/>
      <c r="O111" s="286">
        <v>0</v>
      </c>
      <c r="P111" s="286">
        <v>0</v>
      </c>
      <c r="Q111"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1" s="286">
        <v>0</v>
      </c>
      <c r="S111" s="286">
        <v>0</v>
      </c>
      <c r="T11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1"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1" s="286">
        <v>0</v>
      </c>
      <c r="W111"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1" s="587"/>
      <c r="Y111" s="588"/>
      <c r="Z111" s="1" cm="1">
        <f t="array" ref="Z111">IF(OR(ISERROR(B111:V111)),1,0)</f>
        <v>0</v>
      </c>
      <c r="AA111" s="1">
        <f t="shared" si="4"/>
        <v>0</v>
      </c>
    </row>
    <row r="112" spans="2:27" ht="15" thickBot="1" x14ac:dyDescent="0.4">
      <c r="B112" s="406" t="s">
        <v>135</v>
      </c>
      <c r="C112" s="407">
        <v>92</v>
      </c>
      <c r="D112" s="408" t="s">
        <v>397</v>
      </c>
      <c r="E112" s="409" t="s">
        <v>262</v>
      </c>
      <c r="F112" s="187">
        <v>0.25</v>
      </c>
      <c r="G112" s="111"/>
      <c r="H112" s="187" t="s">
        <v>263</v>
      </c>
      <c r="I112" s="410">
        <f>SupplyChainTier1[[#This Row],[Amount spent by product category (£)]]</f>
        <v>0</v>
      </c>
      <c r="J112" s="410" t="s">
        <v>263</v>
      </c>
      <c r="K112" s="411">
        <v>0.14075978530262931</v>
      </c>
      <c r="L112" s="185" t="str">
        <f t="shared" si="5"/>
        <v/>
      </c>
      <c r="M112" s="103"/>
      <c r="N112" s="101"/>
      <c r="O112" s="286">
        <v>0</v>
      </c>
      <c r="P112" s="286">
        <v>0</v>
      </c>
      <c r="Q112"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2" s="286">
        <v>0</v>
      </c>
      <c r="S112" s="286">
        <v>0</v>
      </c>
      <c r="T11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2"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2" s="286">
        <v>0</v>
      </c>
      <c r="W112"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2" s="587"/>
      <c r="Y112" s="588"/>
      <c r="Z112" s="1" cm="1">
        <f t="array" ref="Z112">IF(OR(ISERROR(B112:V112)),1,0)</f>
        <v>0</v>
      </c>
      <c r="AA112" s="1">
        <f t="shared" si="4"/>
        <v>0</v>
      </c>
    </row>
    <row r="113" spans="1:27" ht="26.5" thickBot="1" x14ac:dyDescent="0.4">
      <c r="B113" s="406" t="s">
        <v>135</v>
      </c>
      <c r="C113" s="407">
        <v>93</v>
      </c>
      <c r="D113" s="408" t="s">
        <v>398</v>
      </c>
      <c r="E113" s="409" t="s">
        <v>262</v>
      </c>
      <c r="F113" s="187">
        <v>0.25</v>
      </c>
      <c r="G113" s="111"/>
      <c r="H113" s="187" t="s">
        <v>263</v>
      </c>
      <c r="I113" s="410">
        <f>SupplyChainTier1[[#This Row],[Amount spent by product category (£)]]</f>
        <v>0</v>
      </c>
      <c r="J113" s="410" t="s">
        <v>263</v>
      </c>
      <c r="K113" s="411">
        <v>0.29121744195294358</v>
      </c>
      <c r="L113" s="185" t="str">
        <f t="shared" si="5"/>
        <v/>
      </c>
      <c r="M113" s="103"/>
      <c r="N113" s="101"/>
      <c r="O113" s="286">
        <v>0</v>
      </c>
      <c r="P113" s="286">
        <v>0</v>
      </c>
      <c r="Q113"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3" s="286">
        <v>0</v>
      </c>
      <c r="S113" s="286">
        <v>0</v>
      </c>
      <c r="T11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3"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3" s="286">
        <v>0</v>
      </c>
      <c r="W113"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3" s="587"/>
      <c r="Y113" s="588"/>
      <c r="Z113" s="1" cm="1">
        <f t="array" ref="Z113">IF(OR(ISERROR(B113:V113)),1,0)</f>
        <v>0</v>
      </c>
      <c r="AA113" s="1">
        <f t="shared" si="4"/>
        <v>0</v>
      </c>
    </row>
    <row r="114" spans="1:27" ht="15" thickBot="1" x14ac:dyDescent="0.4">
      <c r="B114" s="406" t="s">
        <v>136</v>
      </c>
      <c r="C114" s="407">
        <v>94</v>
      </c>
      <c r="D114" s="408" t="s">
        <v>399</v>
      </c>
      <c r="E114" s="409" t="s">
        <v>262</v>
      </c>
      <c r="F114" s="187">
        <v>0.25</v>
      </c>
      <c r="G114" s="111"/>
      <c r="H114" s="187" t="s">
        <v>263</v>
      </c>
      <c r="I114" s="410">
        <f>SupplyChainTier1[[#This Row],[Amount spent by product category (£)]]</f>
        <v>0</v>
      </c>
      <c r="J114" s="410" t="s">
        <v>263</v>
      </c>
      <c r="K114" s="411">
        <v>0.21525987935052771</v>
      </c>
      <c r="L114" s="185" t="str">
        <f t="shared" si="5"/>
        <v/>
      </c>
      <c r="M114" s="103"/>
      <c r="N114" s="101"/>
      <c r="O114" s="286">
        <v>0</v>
      </c>
      <c r="P114" s="286">
        <v>0</v>
      </c>
      <c r="Q114"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4" s="286">
        <v>0</v>
      </c>
      <c r="S114" s="286">
        <v>0</v>
      </c>
      <c r="T11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4"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4" s="286">
        <v>0</v>
      </c>
      <c r="W114"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4" s="587"/>
      <c r="Y114" s="588"/>
      <c r="Z114" s="1" cm="1">
        <f t="array" ref="Z114">IF(OR(ISERROR(B114:V114)),1,0)</f>
        <v>0</v>
      </c>
      <c r="AA114" s="1">
        <f t="shared" si="4"/>
        <v>0</v>
      </c>
    </row>
    <row r="115" spans="1:27" ht="26.5" thickBot="1" x14ac:dyDescent="0.4">
      <c r="B115" s="406" t="s">
        <v>136</v>
      </c>
      <c r="C115" s="407">
        <v>95</v>
      </c>
      <c r="D115" s="408" t="s">
        <v>400</v>
      </c>
      <c r="E115" s="409" t="s">
        <v>262</v>
      </c>
      <c r="F115" s="187">
        <v>0.25</v>
      </c>
      <c r="G115" s="111"/>
      <c r="H115" s="187" t="s">
        <v>263</v>
      </c>
      <c r="I115" s="410">
        <f>SupplyChainTier1[[#This Row],[Amount spent by product category (£)]]</f>
        <v>0</v>
      </c>
      <c r="J115" s="410" t="s">
        <v>263</v>
      </c>
      <c r="K115" s="411">
        <v>0.1230151062026739</v>
      </c>
      <c r="L115" s="185" t="str">
        <f t="shared" si="5"/>
        <v/>
      </c>
      <c r="M115" s="103"/>
      <c r="N115" s="101"/>
      <c r="O115" s="286">
        <v>0</v>
      </c>
      <c r="P115" s="286">
        <v>0</v>
      </c>
      <c r="Q115"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5" s="286">
        <v>0</v>
      </c>
      <c r="S115" s="286">
        <v>0</v>
      </c>
      <c r="T11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5"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5" s="286">
        <v>0</v>
      </c>
      <c r="W115"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5" s="587"/>
      <c r="Y115" s="588"/>
      <c r="Z115" s="1" cm="1">
        <f t="array" ref="Z115">IF(OR(ISERROR(B115:V115)),1,0)</f>
        <v>0</v>
      </c>
      <c r="AA115" s="1">
        <f t="shared" si="4"/>
        <v>0</v>
      </c>
    </row>
    <row r="116" spans="1:27" ht="15" thickBot="1" x14ac:dyDescent="0.4">
      <c r="B116" s="406" t="s">
        <v>136</v>
      </c>
      <c r="C116" s="407">
        <v>96</v>
      </c>
      <c r="D116" s="408" t="s">
        <v>401</v>
      </c>
      <c r="E116" s="409" t="s">
        <v>262</v>
      </c>
      <c r="F116" s="187">
        <v>0.25</v>
      </c>
      <c r="G116" s="111"/>
      <c r="H116" s="187" t="s">
        <v>263</v>
      </c>
      <c r="I116" s="410">
        <f>SupplyChainTier1[[#This Row],[Amount spent by product category (£)]]</f>
        <v>0</v>
      </c>
      <c r="J116" s="410" t="s">
        <v>263</v>
      </c>
      <c r="K116" s="411">
        <v>9.2784792637761196E-2</v>
      </c>
      <c r="L116" s="185" t="str">
        <f t="shared" si="5"/>
        <v/>
      </c>
      <c r="M116" s="103"/>
      <c r="N116" s="101"/>
      <c r="O116" s="286">
        <v>0</v>
      </c>
      <c r="P116" s="286">
        <v>0</v>
      </c>
      <c r="Q116"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6" s="286">
        <v>0</v>
      </c>
      <c r="S116" s="286">
        <v>0</v>
      </c>
      <c r="T11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6"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6" s="286">
        <v>0</v>
      </c>
      <c r="W116"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6" s="587"/>
      <c r="Y116" s="588"/>
      <c r="Z116" s="1" cm="1">
        <f t="array" ref="Z116">IF(OR(ISERROR(B116:V116)),1,0)</f>
        <v>0</v>
      </c>
      <c r="AA116" s="1">
        <f t="shared" si="4"/>
        <v>0</v>
      </c>
    </row>
    <row r="117" spans="1:27" ht="52.5" thickBot="1" x14ac:dyDescent="0.4">
      <c r="B117" s="406" t="s">
        <v>137</v>
      </c>
      <c r="C117" s="407">
        <v>97</v>
      </c>
      <c r="D117" s="408" t="s">
        <v>402</v>
      </c>
      <c r="E117" s="409" t="s">
        <v>262</v>
      </c>
      <c r="F117" s="187">
        <v>0.25</v>
      </c>
      <c r="G117" s="111"/>
      <c r="H117" s="187" t="s">
        <v>263</v>
      </c>
      <c r="I117" s="410">
        <f>SupplyChainTier1[[#This Row],[Amount spent by product category (£)]]</f>
        <v>0</v>
      </c>
      <c r="J117" s="410" t="s">
        <v>263</v>
      </c>
      <c r="K117" s="411">
        <v>1.276394375429989E-2</v>
      </c>
      <c r="L117" s="185" t="str">
        <f t="shared" si="5"/>
        <v/>
      </c>
      <c r="M117" s="103"/>
      <c r="N117" s="101"/>
      <c r="O117" s="286">
        <v>0</v>
      </c>
      <c r="P117" s="286">
        <v>0</v>
      </c>
      <c r="Q117" s="286">
        <f>((SupplyChainTier1[[#This Row],[Amount spent by product category (£)]]-SUMIF(SupplychainTier2[Product category], SupplyChainTier1[[#This Row],[Product category]], SupplychainTier2[Spend for which Tier 2 method accounts]))*SupplyChainTier1[[#This Row],[Emission factor (kgCO2e per £ spent)]])+SUMIF(SupplychainTier2[Product category], SupplyChainTier1[[#This Row],[Product category]], SupplychainTier2[Calculated emissions (kgCO2e) for this spend])</f>
        <v>0</v>
      </c>
      <c r="R117" s="286">
        <v>0</v>
      </c>
      <c r="S117" s="286">
        <v>0</v>
      </c>
      <c r="T11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SupplychainTier2[High])</f>
        <v>0</v>
      </c>
      <c r="U117" s="286">
        <f>(SupplyChainTier1[[#This Row],[Amount spent by product category (£)]]-SUMIF(SupplychainTier2[Product category], SupplyChainTier1[[#This Row],[Product category]], SupplychainTier2[Spend for which Tier 2 method accounts]))*SupplyChainTier1[[#This Row],[Emission factor (kgCO2e per £ spent)]]*(1-SupplyChainTier1[[#This Row],[RSD]])+SUMIF(SupplychainTier2[Product category], SupplyChainTier1[[#This Row],[Product category]], SupplychainTier2[Low])</f>
        <v>0</v>
      </c>
      <c r="V117" s="286">
        <v>0</v>
      </c>
      <c r="W117" s="586" t="str">
        <f>IF(SUMIF(SupplychainTier2[Product category],SupplyChainTier1[[#This Row],[Product category]],SupplychainTier2[Spend for which Tier 2 method accounts])&gt;SupplyChainTier1[[#This Row],[Amount spent by product category (£)]], "Error: Please ensure that the spend relating to any emissions reported in the Tier 2 table is also included in this Tier 1 table.","")</f>
        <v/>
      </c>
      <c r="X117" s="587"/>
      <c r="Y117" s="588"/>
      <c r="Z117" s="1" cm="1">
        <f t="array" ref="Z117">IF(OR(ISERROR(B117:V117)),1,0)</f>
        <v>0</v>
      </c>
      <c r="AA117" s="1">
        <f t="shared" si="4"/>
        <v>0</v>
      </c>
    </row>
    <row r="118" spans="1:27" x14ac:dyDescent="0.35">
      <c r="B118" s="19"/>
      <c r="C118" s="19"/>
      <c r="D118" s="19"/>
      <c r="E118" s="19"/>
      <c r="F118" s="19"/>
      <c r="G118" s="19"/>
      <c r="H118" s="19"/>
      <c r="I118" s="19"/>
      <c r="J118" s="19"/>
      <c r="K118" s="19"/>
      <c r="L118" s="19"/>
    </row>
    <row r="119" spans="1:27" ht="30" customHeight="1" x14ac:dyDescent="0.35">
      <c r="B119" s="593" t="s">
        <v>403</v>
      </c>
      <c r="C119" s="594"/>
      <c r="D119" s="594"/>
      <c r="E119" s="594"/>
      <c r="F119" s="594"/>
      <c r="G119" s="594"/>
      <c r="H119" s="594"/>
      <c r="I119" s="595"/>
    </row>
    <row r="120" spans="1:27" ht="51" customHeight="1" x14ac:dyDescent="0.35">
      <c r="B120" s="596"/>
      <c r="C120" s="597"/>
      <c r="D120" s="597"/>
      <c r="E120" s="597"/>
      <c r="F120" s="597"/>
      <c r="G120" s="597"/>
      <c r="H120" s="597"/>
      <c r="I120" s="598"/>
    </row>
    <row r="121" spans="1:27" ht="8" customHeight="1" x14ac:dyDescent="0.35"/>
    <row r="122" spans="1:27" ht="19" thickBot="1" x14ac:dyDescent="0.4">
      <c r="B122" s="20" t="s">
        <v>404</v>
      </c>
      <c r="D122"/>
      <c r="E122" s="11"/>
      <c r="L122" s="317" t="str">
        <f>IF($AA$123=0,"No data entered",IF($Z$123=0,"No errors in this table","There are errors in this table see highlighted row(s)"))</f>
        <v>No data entered</v>
      </c>
      <c r="Z122" s="9" t="s">
        <v>175</v>
      </c>
      <c r="AA122" s="9" t="s">
        <v>161</v>
      </c>
    </row>
    <row r="123" spans="1:27" ht="29.15" customHeight="1" thickBot="1" x14ac:dyDescent="0.4">
      <c r="A123" s="18"/>
      <c r="B123" s="2" t="s">
        <v>251</v>
      </c>
      <c r="C123" s="281" t="s">
        <v>252</v>
      </c>
      <c r="D123" s="281" t="s">
        <v>253</v>
      </c>
      <c r="E123" s="263" t="s">
        <v>180</v>
      </c>
      <c r="F123" s="263" t="s">
        <v>181</v>
      </c>
      <c r="G123" s="12" t="s">
        <v>405</v>
      </c>
      <c r="H123" s="282" t="s">
        <v>406</v>
      </c>
      <c r="I123" s="288" t="s">
        <v>184</v>
      </c>
      <c r="J123" s="282" t="s">
        <v>185</v>
      </c>
      <c r="K123" s="282" t="s">
        <v>231</v>
      </c>
      <c r="L123" s="288" t="s">
        <v>407</v>
      </c>
      <c r="M123" s="285" t="s">
        <v>408</v>
      </c>
      <c r="N123" s="285" t="s">
        <v>189</v>
      </c>
      <c r="O123" s="403" t="s">
        <v>92</v>
      </c>
      <c r="P123" s="403" t="s">
        <v>190</v>
      </c>
      <c r="Q123" s="403" t="s">
        <v>191</v>
      </c>
      <c r="R123" s="403" t="s">
        <v>192</v>
      </c>
      <c r="S123" s="403" t="s">
        <v>193</v>
      </c>
      <c r="T123" s="403" t="s">
        <v>100</v>
      </c>
      <c r="U123" s="403" t="s">
        <v>101</v>
      </c>
      <c r="V123" s="404" t="s">
        <v>96</v>
      </c>
      <c r="Z123" s="9">
        <f>SUM(Z124:Z155)</f>
        <v>0</v>
      </c>
      <c r="AA123" s="9">
        <f>SUM(AA124:AA155)</f>
        <v>0</v>
      </c>
    </row>
    <row r="124" spans="1:27" ht="15" thickBot="1" x14ac:dyDescent="0.4">
      <c r="A124" s="18"/>
      <c r="B124" s="418" t="str">
        <f t="shared" ref="B124:B155" si="6">IFERROR(VLOOKUP(D124,SICProductCodeLookup,2,FALSE), "")</f>
        <v/>
      </c>
      <c r="C124" s="289" t="str">
        <f t="shared" ref="C124:C155" si="7">IFERROR((VLOOKUP(D124,SICProductCodeLookup,3,FALSE)), "")</f>
        <v/>
      </c>
      <c r="D124" s="112"/>
      <c r="E124" s="419" t="s">
        <v>409</v>
      </c>
      <c r="F124" s="110"/>
      <c r="G124" s="70"/>
      <c r="H124" s="187" t="s">
        <v>263</v>
      </c>
      <c r="I124" s="410">
        <f>SupplychainTier2[[#This Row],[Spend for which Tier 2 method accounts]]</f>
        <v>0</v>
      </c>
      <c r="J124" s="410" t="s">
        <v>263</v>
      </c>
      <c r="K124" s="410" t="str">
        <f>IFERROR(SupplychainTier2[[#This Row],[Calculated emissions (kgCO2e) for this spend]]/SupplychainTier2[[#This Row],[Spend for which Tier 2 method accounts]],"")</f>
        <v/>
      </c>
      <c r="L124" s="199"/>
      <c r="M124" s="103"/>
      <c r="N124" s="103"/>
      <c r="O124" s="286">
        <v>0</v>
      </c>
      <c r="P124" s="286">
        <v>0</v>
      </c>
      <c r="Q124" s="286">
        <f>SupplychainTier2[[#This Row],[Calculated emissions (kgCO2e) for this spend]]</f>
        <v>0</v>
      </c>
      <c r="R124" s="286">
        <v>0</v>
      </c>
      <c r="S124" s="286">
        <v>0</v>
      </c>
      <c r="T124" s="290" t="str">
        <f>IF(SupplychainTier2[[#This Row],[Calculated emissions (kgCO2e) for this spend]]="","",(SupplychainTier2[[#This Row],[Calculated emissions (kgCO2e) for this spend]]*(1+SupplychainTier2[[#This Row],[RSD]])))</f>
        <v/>
      </c>
      <c r="U124" s="290" t="str">
        <f>IF(SupplychainTier2[[#This Row],[Calculated emissions (kgCO2e) for this spend]]="","",(SupplychainTier2[[#This Row],[Calculated emissions (kgCO2e) for this spend]]*(1-SupplychainTier2[[#This Row],[RSD]])))</f>
        <v/>
      </c>
      <c r="V124" s="286">
        <v>0</v>
      </c>
      <c r="Z124" s="1" cm="1">
        <f t="array" ref="Z124">IF(OR(ISERROR(B124:V124)),1,0)</f>
        <v>0</v>
      </c>
      <c r="AA124" s="1">
        <f>IF(AND(G124="",L124=""),0,1)</f>
        <v>0</v>
      </c>
    </row>
    <row r="125" spans="1:27" ht="15" thickBot="1" x14ac:dyDescent="0.4">
      <c r="A125" s="18"/>
      <c r="B125" s="418" t="str">
        <f t="shared" si="6"/>
        <v/>
      </c>
      <c r="C125" s="289" t="str">
        <f t="shared" si="7"/>
        <v/>
      </c>
      <c r="D125" s="112"/>
      <c r="E125" s="419" t="s">
        <v>409</v>
      </c>
      <c r="F125" s="110"/>
      <c r="G125" s="70"/>
      <c r="H125" s="187" t="s">
        <v>263</v>
      </c>
      <c r="I125" s="410">
        <f>SupplychainTier2[[#This Row],[Spend for which Tier 2 method accounts]]</f>
        <v>0</v>
      </c>
      <c r="J125" s="410" t="s">
        <v>263</v>
      </c>
      <c r="K125" s="410" t="str">
        <f>IFERROR(SupplychainTier2[[#This Row],[Calculated emissions (kgCO2e) for this spend]]/SupplychainTier2[[#This Row],[Spend for which Tier 2 method accounts]],"")</f>
        <v/>
      </c>
      <c r="L125" s="199"/>
      <c r="M125" s="103"/>
      <c r="N125" s="103"/>
      <c r="O125" s="286">
        <v>0</v>
      </c>
      <c r="P125" s="286">
        <v>0</v>
      </c>
      <c r="Q125" s="286">
        <f>SupplychainTier2[[#This Row],[Calculated emissions (kgCO2e) for this spend]]</f>
        <v>0</v>
      </c>
      <c r="R125" s="286">
        <v>0</v>
      </c>
      <c r="S125" s="286">
        <v>0</v>
      </c>
      <c r="T125" s="290" t="str">
        <f>IF(SupplychainTier2[[#This Row],[Calculated emissions (kgCO2e) for this spend]]="","",(SupplychainTier2[[#This Row],[Calculated emissions (kgCO2e) for this spend]]*(1+SupplychainTier2[[#This Row],[RSD]])))</f>
        <v/>
      </c>
      <c r="U125" s="290" t="str">
        <f>IF(SupplychainTier2[[#This Row],[Calculated emissions (kgCO2e) for this spend]]="","",(SupplychainTier2[[#This Row],[Calculated emissions (kgCO2e) for this spend]]*(1-SupplychainTier2[[#This Row],[RSD]])))</f>
        <v/>
      </c>
      <c r="V125" s="286">
        <v>0</v>
      </c>
      <c r="Z125" s="1" cm="1">
        <f t="array" ref="Z125">IF(OR(ISERROR(B125:V125)),1,0)</f>
        <v>0</v>
      </c>
      <c r="AA125" s="1">
        <f t="shared" ref="AA125:AA155" si="8">IF(AND(G125="",L125=""),0,1)</f>
        <v>0</v>
      </c>
    </row>
    <row r="126" spans="1:27" ht="15" thickBot="1" x14ac:dyDescent="0.4">
      <c r="A126" s="18"/>
      <c r="B126" s="418" t="str">
        <f t="shared" si="6"/>
        <v/>
      </c>
      <c r="C126" s="289" t="str">
        <f t="shared" si="7"/>
        <v/>
      </c>
      <c r="D126" s="112"/>
      <c r="E126" s="419" t="s">
        <v>409</v>
      </c>
      <c r="F126" s="294"/>
      <c r="G126" s="70"/>
      <c r="H126" s="187" t="s">
        <v>263</v>
      </c>
      <c r="I126" s="410">
        <f>SupplychainTier2[[#This Row],[Spend for which Tier 2 method accounts]]</f>
        <v>0</v>
      </c>
      <c r="J126" s="410" t="s">
        <v>263</v>
      </c>
      <c r="K126" s="410" t="str">
        <f>IFERROR(SupplychainTier2[[#This Row],[Calculated emissions (kgCO2e) for this spend]]/SupplychainTier2[[#This Row],[Spend for which Tier 2 method accounts]],"")</f>
        <v/>
      </c>
      <c r="L126" s="199"/>
      <c r="M126" s="103"/>
      <c r="N126" s="103"/>
      <c r="O126" s="286">
        <v>0</v>
      </c>
      <c r="P126" s="286">
        <v>0</v>
      </c>
      <c r="Q126" s="286">
        <f>SupplychainTier2[[#This Row],[Calculated emissions (kgCO2e) for this spend]]</f>
        <v>0</v>
      </c>
      <c r="R126" s="286">
        <v>0</v>
      </c>
      <c r="S126" s="286">
        <v>0</v>
      </c>
      <c r="T126" s="290" t="str">
        <f>IF(SupplychainTier2[[#This Row],[Calculated emissions (kgCO2e) for this spend]]="","",(SupplychainTier2[[#This Row],[Calculated emissions (kgCO2e) for this spend]]*(1+SupplychainTier2[[#This Row],[RSD]])))</f>
        <v/>
      </c>
      <c r="U126" s="290" t="str">
        <f>IF(SupplychainTier2[[#This Row],[Calculated emissions (kgCO2e) for this spend]]="","",(SupplychainTier2[[#This Row],[Calculated emissions (kgCO2e) for this spend]]*(1-SupplychainTier2[[#This Row],[RSD]])))</f>
        <v/>
      </c>
      <c r="V126" s="286">
        <v>0</v>
      </c>
      <c r="Z126" s="1" cm="1">
        <f t="array" ref="Z126">IF(OR(ISERROR(B126:V126)),1,0)</f>
        <v>0</v>
      </c>
      <c r="AA126" s="1">
        <f t="shared" si="8"/>
        <v>0</v>
      </c>
    </row>
    <row r="127" spans="1:27" ht="15" thickBot="1" x14ac:dyDescent="0.4">
      <c r="A127" s="18"/>
      <c r="B127" s="418" t="str">
        <f t="shared" si="6"/>
        <v/>
      </c>
      <c r="C127" s="289" t="str">
        <f t="shared" si="7"/>
        <v/>
      </c>
      <c r="D127" s="112"/>
      <c r="E127" s="419" t="s">
        <v>409</v>
      </c>
      <c r="F127" s="294"/>
      <c r="G127" s="70"/>
      <c r="H127" s="187" t="s">
        <v>263</v>
      </c>
      <c r="I127" s="410">
        <f>SupplychainTier2[[#This Row],[Spend for which Tier 2 method accounts]]</f>
        <v>0</v>
      </c>
      <c r="J127" s="410" t="s">
        <v>263</v>
      </c>
      <c r="K127" s="410" t="str">
        <f>IFERROR(SupplychainTier2[[#This Row],[Calculated emissions (kgCO2e) for this spend]]/SupplychainTier2[[#This Row],[Spend for which Tier 2 method accounts]],"")</f>
        <v/>
      </c>
      <c r="L127" s="199"/>
      <c r="M127" s="103"/>
      <c r="N127" s="103"/>
      <c r="O127" s="286">
        <v>0</v>
      </c>
      <c r="P127" s="286">
        <v>0</v>
      </c>
      <c r="Q127" s="286">
        <f>SupplychainTier2[[#This Row],[Calculated emissions (kgCO2e) for this spend]]</f>
        <v>0</v>
      </c>
      <c r="R127" s="286">
        <v>0</v>
      </c>
      <c r="S127" s="286">
        <v>0</v>
      </c>
      <c r="T127" s="290" t="str">
        <f>IF(SupplychainTier2[[#This Row],[Calculated emissions (kgCO2e) for this spend]]="","",(SupplychainTier2[[#This Row],[Calculated emissions (kgCO2e) for this spend]]*(1+SupplychainTier2[[#This Row],[RSD]])))</f>
        <v/>
      </c>
      <c r="U127" s="290" t="str">
        <f>IF(SupplychainTier2[[#This Row],[Calculated emissions (kgCO2e) for this spend]]="","",(SupplychainTier2[[#This Row],[Calculated emissions (kgCO2e) for this spend]]*(1-SupplychainTier2[[#This Row],[RSD]])))</f>
        <v/>
      </c>
      <c r="V127" s="286">
        <v>0</v>
      </c>
      <c r="Z127" s="1" cm="1">
        <f t="array" ref="Z127">IF(OR(ISERROR(B127:V127)),1,0)</f>
        <v>0</v>
      </c>
      <c r="AA127" s="1">
        <f t="shared" si="8"/>
        <v>0</v>
      </c>
    </row>
    <row r="128" spans="1:27" ht="15" thickBot="1" x14ac:dyDescent="0.4">
      <c r="A128" s="18"/>
      <c r="B128" s="418" t="str">
        <f t="shared" si="6"/>
        <v/>
      </c>
      <c r="C128" s="289" t="str">
        <f t="shared" si="7"/>
        <v/>
      </c>
      <c r="D128" s="112"/>
      <c r="E128" s="419" t="s">
        <v>409</v>
      </c>
      <c r="F128" s="294"/>
      <c r="G128" s="70"/>
      <c r="H128" s="187" t="s">
        <v>263</v>
      </c>
      <c r="I128" s="410">
        <f>SupplychainTier2[[#This Row],[Spend for which Tier 2 method accounts]]</f>
        <v>0</v>
      </c>
      <c r="J128" s="410" t="s">
        <v>263</v>
      </c>
      <c r="K128" s="410" t="str">
        <f>IFERROR(SupplychainTier2[[#This Row],[Calculated emissions (kgCO2e) for this spend]]/SupplychainTier2[[#This Row],[Spend for which Tier 2 method accounts]],"")</f>
        <v/>
      </c>
      <c r="L128" s="199"/>
      <c r="M128" s="103"/>
      <c r="N128" s="103"/>
      <c r="O128" s="286">
        <v>0</v>
      </c>
      <c r="P128" s="286">
        <v>0</v>
      </c>
      <c r="Q128" s="286">
        <f>SupplychainTier2[[#This Row],[Calculated emissions (kgCO2e) for this spend]]</f>
        <v>0</v>
      </c>
      <c r="R128" s="286">
        <v>0</v>
      </c>
      <c r="S128" s="286">
        <v>0</v>
      </c>
      <c r="T128" s="290" t="str">
        <f>IF(SupplychainTier2[[#This Row],[Calculated emissions (kgCO2e) for this spend]]="","",(SupplychainTier2[[#This Row],[Calculated emissions (kgCO2e) for this spend]]*(1+SupplychainTier2[[#This Row],[RSD]])))</f>
        <v/>
      </c>
      <c r="U128" s="290" t="str">
        <f>IF(SupplychainTier2[[#This Row],[Calculated emissions (kgCO2e) for this spend]]="","",(SupplychainTier2[[#This Row],[Calculated emissions (kgCO2e) for this spend]]*(1-SupplychainTier2[[#This Row],[RSD]])))</f>
        <v/>
      </c>
      <c r="V128" s="286">
        <v>0</v>
      </c>
      <c r="Z128" s="1" cm="1">
        <f t="array" ref="Z128">IF(OR(ISERROR(B128:V128)),1,0)</f>
        <v>0</v>
      </c>
      <c r="AA128" s="1">
        <f t="shared" si="8"/>
        <v>0</v>
      </c>
    </row>
    <row r="129" spans="1:27" ht="15" thickBot="1" x14ac:dyDescent="0.4">
      <c r="A129" s="18"/>
      <c r="B129" s="418" t="str">
        <f t="shared" si="6"/>
        <v/>
      </c>
      <c r="C129" s="289" t="str">
        <f t="shared" si="7"/>
        <v/>
      </c>
      <c r="D129" s="112"/>
      <c r="E129" s="419" t="s">
        <v>409</v>
      </c>
      <c r="F129" s="294"/>
      <c r="G129" s="70"/>
      <c r="H129" s="187" t="s">
        <v>263</v>
      </c>
      <c r="I129" s="410">
        <f>SupplychainTier2[[#This Row],[Spend for which Tier 2 method accounts]]</f>
        <v>0</v>
      </c>
      <c r="J129" s="410" t="s">
        <v>263</v>
      </c>
      <c r="K129" s="410" t="str">
        <f>IFERROR(SupplychainTier2[[#This Row],[Calculated emissions (kgCO2e) for this spend]]/SupplychainTier2[[#This Row],[Spend for which Tier 2 method accounts]],"")</f>
        <v/>
      </c>
      <c r="L129" s="199"/>
      <c r="M129" s="103"/>
      <c r="N129" s="103"/>
      <c r="O129" s="286">
        <v>0</v>
      </c>
      <c r="P129" s="286">
        <v>0</v>
      </c>
      <c r="Q129" s="286">
        <f>SupplychainTier2[[#This Row],[Calculated emissions (kgCO2e) for this spend]]</f>
        <v>0</v>
      </c>
      <c r="R129" s="286">
        <v>0</v>
      </c>
      <c r="S129" s="286">
        <v>0</v>
      </c>
      <c r="T129" s="290" t="str">
        <f>IF(SupplychainTier2[[#This Row],[Calculated emissions (kgCO2e) for this spend]]="","",(SupplychainTier2[[#This Row],[Calculated emissions (kgCO2e) for this spend]]*(1+SupplychainTier2[[#This Row],[RSD]])))</f>
        <v/>
      </c>
      <c r="U129" s="290" t="str">
        <f>IF(SupplychainTier2[[#This Row],[Calculated emissions (kgCO2e) for this spend]]="","",(SupplychainTier2[[#This Row],[Calculated emissions (kgCO2e) for this spend]]*(1-SupplychainTier2[[#This Row],[RSD]])))</f>
        <v/>
      </c>
      <c r="V129" s="286">
        <v>0</v>
      </c>
      <c r="Z129" s="1" cm="1">
        <f t="array" ref="Z129">IF(OR(ISERROR(B129:V129)),1,0)</f>
        <v>0</v>
      </c>
      <c r="AA129" s="1">
        <f t="shared" si="8"/>
        <v>0</v>
      </c>
    </row>
    <row r="130" spans="1:27" ht="15" thickBot="1" x14ac:dyDescent="0.4">
      <c r="A130" s="18"/>
      <c r="B130" s="418" t="str">
        <f t="shared" si="6"/>
        <v/>
      </c>
      <c r="C130" s="289" t="str">
        <f t="shared" si="7"/>
        <v/>
      </c>
      <c r="D130" s="112"/>
      <c r="E130" s="419" t="s">
        <v>409</v>
      </c>
      <c r="F130" s="294"/>
      <c r="G130" s="70"/>
      <c r="H130" s="187" t="s">
        <v>263</v>
      </c>
      <c r="I130" s="410">
        <f>SupplychainTier2[[#This Row],[Spend for which Tier 2 method accounts]]</f>
        <v>0</v>
      </c>
      <c r="J130" s="410" t="s">
        <v>263</v>
      </c>
      <c r="K130" s="410" t="str">
        <f>IFERROR(SupplychainTier2[[#This Row],[Calculated emissions (kgCO2e) for this spend]]/SupplychainTier2[[#This Row],[Spend for which Tier 2 method accounts]],"")</f>
        <v/>
      </c>
      <c r="L130" s="199"/>
      <c r="M130" s="103"/>
      <c r="N130" s="103"/>
      <c r="O130" s="286">
        <v>0</v>
      </c>
      <c r="P130" s="286">
        <v>0</v>
      </c>
      <c r="Q130" s="286">
        <f>SupplychainTier2[[#This Row],[Calculated emissions (kgCO2e) for this spend]]</f>
        <v>0</v>
      </c>
      <c r="R130" s="286">
        <v>0</v>
      </c>
      <c r="S130" s="286">
        <v>0</v>
      </c>
      <c r="T130" s="290" t="str">
        <f>IF(SupplychainTier2[[#This Row],[Calculated emissions (kgCO2e) for this spend]]="","",(SupplychainTier2[[#This Row],[Calculated emissions (kgCO2e) for this spend]]*(1+SupplychainTier2[[#This Row],[RSD]])))</f>
        <v/>
      </c>
      <c r="U130" s="290" t="str">
        <f>IF(SupplychainTier2[[#This Row],[Calculated emissions (kgCO2e) for this spend]]="","",(SupplychainTier2[[#This Row],[Calculated emissions (kgCO2e) for this spend]]*(1-SupplychainTier2[[#This Row],[RSD]])))</f>
        <v/>
      </c>
      <c r="V130" s="286">
        <v>0</v>
      </c>
      <c r="Z130" s="1" cm="1">
        <f t="array" ref="Z130">IF(OR(ISERROR(B130:V130)),1,0)</f>
        <v>0</v>
      </c>
      <c r="AA130" s="1">
        <f t="shared" si="8"/>
        <v>0</v>
      </c>
    </row>
    <row r="131" spans="1:27" ht="15" thickBot="1" x14ac:dyDescent="0.4">
      <c r="A131" s="18"/>
      <c r="B131" s="418" t="str">
        <f t="shared" si="6"/>
        <v/>
      </c>
      <c r="C131" s="289" t="str">
        <f t="shared" si="7"/>
        <v/>
      </c>
      <c r="D131" s="112"/>
      <c r="E131" s="419" t="s">
        <v>409</v>
      </c>
      <c r="F131" s="294"/>
      <c r="G131" s="70"/>
      <c r="H131" s="187" t="s">
        <v>263</v>
      </c>
      <c r="I131" s="410">
        <f>SupplychainTier2[[#This Row],[Spend for which Tier 2 method accounts]]</f>
        <v>0</v>
      </c>
      <c r="J131" s="410" t="s">
        <v>263</v>
      </c>
      <c r="K131" s="410" t="str">
        <f>IFERROR(SupplychainTier2[[#This Row],[Calculated emissions (kgCO2e) for this spend]]/SupplychainTier2[[#This Row],[Spend for which Tier 2 method accounts]],"")</f>
        <v/>
      </c>
      <c r="L131" s="199"/>
      <c r="M131" s="103"/>
      <c r="N131" s="103"/>
      <c r="O131" s="286">
        <v>0</v>
      </c>
      <c r="P131" s="286">
        <v>0</v>
      </c>
      <c r="Q131" s="286">
        <f>SupplychainTier2[[#This Row],[Calculated emissions (kgCO2e) for this spend]]</f>
        <v>0</v>
      </c>
      <c r="R131" s="286">
        <v>0</v>
      </c>
      <c r="S131" s="286">
        <v>0</v>
      </c>
      <c r="T131" s="290" t="str">
        <f>IF(SupplychainTier2[[#This Row],[Calculated emissions (kgCO2e) for this spend]]="","",(SupplychainTier2[[#This Row],[Calculated emissions (kgCO2e) for this spend]]*(1+SupplychainTier2[[#This Row],[RSD]])))</f>
        <v/>
      </c>
      <c r="U131" s="290" t="str">
        <f>IF(SupplychainTier2[[#This Row],[Calculated emissions (kgCO2e) for this spend]]="","",(SupplychainTier2[[#This Row],[Calculated emissions (kgCO2e) for this spend]]*(1-SupplychainTier2[[#This Row],[RSD]])))</f>
        <v/>
      </c>
      <c r="V131" s="286">
        <v>0</v>
      </c>
      <c r="Z131" s="1" cm="1">
        <f t="array" ref="Z131">IF(OR(ISERROR(B131:V131)),1,0)</f>
        <v>0</v>
      </c>
      <c r="AA131" s="1">
        <f t="shared" si="8"/>
        <v>0</v>
      </c>
    </row>
    <row r="132" spans="1:27" ht="15" thickBot="1" x14ac:dyDescent="0.4">
      <c r="A132" s="18"/>
      <c r="B132" s="418" t="str">
        <f t="shared" si="6"/>
        <v/>
      </c>
      <c r="C132" s="289" t="str">
        <f t="shared" si="7"/>
        <v/>
      </c>
      <c r="D132" s="112"/>
      <c r="E132" s="419" t="s">
        <v>409</v>
      </c>
      <c r="F132" s="294"/>
      <c r="G132" s="70"/>
      <c r="H132" s="187" t="s">
        <v>263</v>
      </c>
      <c r="I132" s="410">
        <f>SupplychainTier2[[#This Row],[Spend for which Tier 2 method accounts]]</f>
        <v>0</v>
      </c>
      <c r="J132" s="410" t="s">
        <v>263</v>
      </c>
      <c r="K132" s="410" t="str">
        <f>IFERROR(SupplychainTier2[[#This Row],[Calculated emissions (kgCO2e) for this spend]]/SupplychainTier2[[#This Row],[Spend for which Tier 2 method accounts]],"")</f>
        <v/>
      </c>
      <c r="L132" s="199"/>
      <c r="M132" s="103"/>
      <c r="N132" s="103"/>
      <c r="O132" s="286">
        <v>0</v>
      </c>
      <c r="P132" s="286">
        <v>0</v>
      </c>
      <c r="Q132" s="286">
        <f>SupplychainTier2[[#This Row],[Calculated emissions (kgCO2e) for this spend]]</f>
        <v>0</v>
      </c>
      <c r="R132" s="286">
        <v>0</v>
      </c>
      <c r="S132" s="286">
        <v>0</v>
      </c>
      <c r="T132" s="290" t="str">
        <f>IF(SupplychainTier2[[#This Row],[Calculated emissions (kgCO2e) for this spend]]="","",(SupplychainTier2[[#This Row],[Calculated emissions (kgCO2e) for this spend]]*(1+SupplychainTier2[[#This Row],[RSD]])))</f>
        <v/>
      </c>
      <c r="U132" s="290" t="str">
        <f>IF(SupplychainTier2[[#This Row],[Calculated emissions (kgCO2e) for this spend]]="","",(SupplychainTier2[[#This Row],[Calculated emissions (kgCO2e) for this spend]]*(1-SupplychainTier2[[#This Row],[RSD]])))</f>
        <v/>
      </c>
      <c r="V132" s="286">
        <v>0</v>
      </c>
      <c r="Z132" s="1" cm="1">
        <f t="array" ref="Z132">IF(OR(ISERROR(B132:V132)),1,0)</f>
        <v>0</v>
      </c>
      <c r="AA132" s="1">
        <f t="shared" si="8"/>
        <v>0</v>
      </c>
    </row>
    <row r="133" spans="1:27" ht="15" thickBot="1" x14ac:dyDescent="0.4">
      <c r="A133" s="18"/>
      <c r="B133" s="418" t="str">
        <f t="shared" si="6"/>
        <v/>
      </c>
      <c r="C133" s="289" t="str">
        <f t="shared" si="7"/>
        <v/>
      </c>
      <c r="D133" s="112"/>
      <c r="E133" s="419" t="s">
        <v>409</v>
      </c>
      <c r="F133" s="294"/>
      <c r="G133" s="70"/>
      <c r="H133" s="187" t="s">
        <v>263</v>
      </c>
      <c r="I133" s="410">
        <f>SupplychainTier2[[#This Row],[Spend for which Tier 2 method accounts]]</f>
        <v>0</v>
      </c>
      <c r="J133" s="410" t="s">
        <v>263</v>
      </c>
      <c r="K133" s="410" t="str">
        <f>IFERROR(SupplychainTier2[[#This Row],[Calculated emissions (kgCO2e) for this spend]]/SupplychainTier2[[#This Row],[Spend for which Tier 2 method accounts]],"")</f>
        <v/>
      </c>
      <c r="L133" s="199"/>
      <c r="M133" s="103"/>
      <c r="N133" s="103"/>
      <c r="O133" s="286">
        <v>0</v>
      </c>
      <c r="P133" s="286">
        <v>0</v>
      </c>
      <c r="Q133" s="286">
        <f>SupplychainTier2[[#This Row],[Calculated emissions (kgCO2e) for this spend]]</f>
        <v>0</v>
      </c>
      <c r="R133" s="286">
        <v>0</v>
      </c>
      <c r="S133" s="286">
        <v>0</v>
      </c>
      <c r="T133" s="290" t="str">
        <f>IF(SupplychainTier2[[#This Row],[Calculated emissions (kgCO2e) for this spend]]="","",(SupplychainTier2[[#This Row],[Calculated emissions (kgCO2e) for this spend]]*(1+SupplychainTier2[[#This Row],[RSD]])))</f>
        <v/>
      </c>
      <c r="U133" s="290" t="str">
        <f>IF(SupplychainTier2[[#This Row],[Calculated emissions (kgCO2e) for this spend]]="","",(SupplychainTier2[[#This Row],[Calculated emissions (kgCO2e) for this spend]]*(1-SupplychainTier2[[#This Row],[RSD]])))</f>
        <v/>
      </c>
      <c r="V133" s="286">
        <v>0</v>
      </c>
      <c r="Z133" s="1" cm="1">
        <f t="array" ref="Z133">IF(OR(ISERROR(B133:V133)),1,0)</f>
        <v>0</v>
      </c>
      <c r="AA133" s="1">
        <f t="shared" si="8"/>
        <v>0</v>
      </c>
    </row>
    <row r="134" spans="1:27" ht="15" thickBot="1" x14ac:dyDescent="0.4">
      <c r="A134" s="18"/>
      <c r="B134" s="418" t="str">
        <f t="shared" si="6"/>
        <v/>
      </c>
      <c r="C134" s="289" t="str">
        <f t="shared" si="7"/>
        <v/>
      </c>
      <c r="D134" s="112"/>
      <c r="E134" s="419" t="s">
        <v>409</v>
      </c>
      <c r="F134" s="294"/>
      <c r="G134" s="70"/>
      <c r="H134" s="187" t="s">
        <v>263</v>
      </c>
      <c r="I134" s="410">
        <f>SupplychainTier2[[#This Row],[Spend for which Tier 2 method accounts]]</f>
        <v>0</v>
      </c>
      <c r="J134" s="410" t="s">
        <v>263</v>
      </c>
      <c r="K134" s="410" t="str">
        <f>IFERROR(SupplychainTier2[[#This Row],[Calculated emissions (kgCO2e) for this spend]]/SupplychainTier2[[#This Row],[Spend for which Tier 2 method accounts]],"")</f>
        <v/>
      </c>
      <c r="L134" s="199"/>
      <c r="M134" s="103"/>
      <c r="N134" s="103"/>
      <c r="O134" s="286">
        <v>0</v>
      </c>
      <c r="P134" s="286">
        <v>0</v>
      </c>
      <c r="Q134" s="286">
        <f>SupplychainTier2[[#This Row],[Calculated emissions (kgCO2e) for this spend]]</f>
        <v>0</v>
      </c>
      <c r="R134" s="286">
        <v>0</v>
      </c>
      <c r="S134" s="286">
        <v>0</v>
      </c>
      <c r="T134" s="290" t="str">
        <f>IF(SupplychainTier2[[#This Row],[Calculated emissions (kgCO2e) for this spend]]="","",(SupplychainTier2[[#This Row],[Calculated emissions (kgCO2e) for this spend]]*(1+SupplychainTier2[[#This Row],[RSD]])))</f>
        <v/>
      </c>
      <c r="U134" s="290" t="str">
        <f>IF(SupplychainTier2[[#This Row],[Calculated emissions (kgCO2e) for this spend]]="","",(SupplychainTier2[[#This Row],[Calculated emissions (kgCO2e) for this spend]]*(1-SupplychainTier2[[#This Row],[RSD]])))</f>
        <v/>
      </c>
      <c r="V134" s="286">
        <v>0</v>
      </c>
      <c r="Z134" s="1" cm="1">
        <f t="array" ref="Z134">IF(OR(ISERROR(B134:V134)),1,0)</f>
        <v>0</v>
      </c>
      <c r="AA134" s="1">
        <f t="shared" si="8"/>
        <v>0</v>
      </c>
    </row>
    <row r="135" spans="1:27" ht="15" thickBot="1" x14ac:dyDescent="0.4">
      <c r="A135" s="18"/>
      <c r="B135" s="418" t="str">
        <f t="shared" si="6"/>
        <v/>
      </c>
      <c r="C135" s="289" t="str">
        <f t="shared" si="7"/>
        <v/>
      </c>
      <c r="D135" s="112"/>
      <c r="E135" s="419" t="s">
        <v>409</v>
      </c>
      <c r="F135" s="294"/>
      <c r="G135" s="70"/>
      <c r="H135" s="187" t="s">
        <v>263</v>
      </c>
      <c r="I135" s="410">
        <f>SupplychainTier2[[#This Row],[Spend for which Tier 2 method accounts]]</f>
        <v>0</v>
      </c>
      <c r="J135" s="410" t="s">
        <v>263</v>
      </c>
      <c r="K135" s="410" t="str">
        <f>IFERROR(SupplychainTier2[[#This Row],[Calculated emissions (kgCO2e) for this spend]]/SupplychainTier2[[#This Row],[Spend for which Tier 2 method accounts]],"")</f>
        <v/>
      </c>
      <c r="L135" s="199"/>
      <c r="M135" s="103"/>
      <c r="N135" s="103"/>
      <c r="O135" s="286">
        <v>0</v>
      </c>
      <c r="P135" s="286">
        <v>0</v>
      </c>
      <c r="Q135" s="286">
        <f>SupplychainTier2[[#This Row],[Calculated emissions (kgCO2e) for this spend]]</f>
        <v>0</v>
      </c>
      <c r="R135" s="286">
        <v>0</v>
      </c>
      <c r="S135" s="286">
        <v>0</v>
      </c>
      <c r="T135" s="290" t="str">
        <f>IF(SupplychainTier2[[#This Row],[Calculated emissions (kgCO2e) for this spend]]="","",(SupplychainTier2[[#This Row],[Calculated emissions (kgCO2e) for this spend]]*(1+SupplychainTier2[[#This Row],[RSD]])))</f>
        <v/>
      </c>
      <c r="U135" s="290" t="str">
        <f>IF(SupplychainTier2[[#This Row],[Calculated emissions (kgCO2e) for this spend]]="","",(SupplychainTier2[[#This Row],[Calculated emissions (kgCO2e) for this spend]]*(1-SupplychainTier2[[#This Row],[RSD]])))</f>
        <v/>
      </c>
      <c r="V135" s="286">
        <v>0</v>
      </c>
      <c r="Z135" s="1" cm="1">
        <f t="array" ref="Z135">IF(OR(ISERROR(B135:V135)),1,0)</f>
        <v>0</v>
      </c>
      <c r="AA135" s="1">
        <f t="shared" si="8"/>
        <v>0</v>
      </c>
    </row>
    <row r="136" spans="1:27" ht="15" thickBot="1" x14ac:dyDescent="0.4">
      <c r="A136" s="18"/>
      <c r="B136" s="418" t="str">
        <f t="shared" si="6"/>
        <v/>
      </c>
      <c r="C136" s="289" t="str">
        <f t="shared" si="7"/>
        <v/>
      </c>
      <c r="D136" s="112"/>
      <c r="E136" s="419" t="s">
        <v>409</v>
      </c>
      <c r="F136" s="294"/>
      <c r="G136" s="70"/>
      <c r="H136" s="187" t="s">
        <v>263</v>
      </c>
      <c r="I136" s="410">
        <f>SupplychainTier2[[#This Row],[Spend for which Tier 2 method accounts]]</f>
        <v>0</v>
      </c>
      <c r="J136" s="410" t="s">
        <v>263</v>
      </c>
      <c r="K136" s="410" t="str">
        <f>IFERROR(SupplychainTier2[[#This Row],[Calculated emissions (kgCO2e) for this spend]]/SupplychainTier2[[#This Row],[Spend for which Tier 2 method accounts]],"")</f>
        <v/>
      </c>
      <c r="L136" s="199"/>
      <c r="M136" s="103"/>
      <c r="N136" s="103"/>
      <c r="O136" s="286">
        <v>0</v>
      </c>
      <c r="P136" s="286">
        <v>0</v>
      </c>
      <c r="Q136" s="286">
        <f>SupplychainTier2[[#This Row],[Calculated emissions (kgCO2e) for this spend]]</f>
        <v>0</v>
      </c>
      <c r="R136" s="286">
        <v>0</v>
      </c>
      <c r="S136" s="286">
        <v>0</v>
      </c>
      <c r="T136" s="290" t="str">
        <f>IF(SupplychainTier2[[#This Row],[Calculated emissions (kgCO2e) for this spend]]="","",(SupplychainTier2[[#This Row],[Calculated emissions (kgCO2e) for this spend]]*(1+SupplychainTier2[[#This Row],[RSD]])))</f>
        <v/>
      </c>
      <c r="U136" s="290" t="str">
        <f>IF(SupplychainTier2[[#This Row],[Calculated emissions (kgCO2e) for this spend]]="","",(SupplychainTier2[[#This Row],[Calculated emissions (kgCO2e) for this spend]]*(1-SupplychainTier2[[#This Row],[RSD]])))</f>
        <v/>
      </c>
      <c r="V136" s="286">
        <v>0</v>
      </c>
      <c r="Z136" s="1" cm="1">
        <f t="array" ref="Z136">IF(OR(ISERROR(B136:V136)),1,0)</f>
        <v>0</v>
      </c>
      <c r="AA136" s="1">
        <f t="shared" si="8"/>
        <v>0</v>
      </c>
    </row>
    <row r="137" spans="1:27" ht="15" thickBot="1" x14ac:dyDescent="0.4">
      <c r="A137" s="18"/>
      <c r="B137" s="418" t="str">
        <f t="shared" si="6"/>
        <v/>
      </c>
      <c r="C137" s="289" t="str">
        <f t="shared" si="7"/>
        <v/>
      </c>
      <c r="D137" s="112"/>
      <c r="E137" s="419" t="s">
        <v>409</v>
      </c>
      <c r="F137" s="294"/>
      <c r="G137" s="70"/>
      <c r="H137" s="187" t="s">
        <v>263</v>
      </c>
      <c r="I137" s="410">
        <f>SupplychainTier2[[#This Row],[Spend for which Tier 2 method accounts]]</f>
        <v>0</v>
      </c>
      <c r="J137" s="410" t="s">
        <v>263</v>
      </c>
      <c r="K137" s="410" t="str">
        <f>IFERROR(SupplychainTier2[[#This Row],[Calculated emissions (kgCO2e) for this spend]]/SupplychainTier2[[#This Row],[Spend for which Tier 2 method accounts]],"")</f>
        <v/>
      </c>
      <c r="L137" s="199"/>
      <c r="M137" s="103"/>
      <c r="N137" s="103"/>
      <c r="O137" s="286">
        <v>0</v>
      </c>
      <c r="P137" s="286">
        <v>0</v>
      </c>
      <c r="Q137" s="286">
        <f>SupplychainTier2[[#This Row],[Calculated emissions (kgCO2e) for this spend]]</f>
        <v>0</v>
      </c>
      <c r="R137" s="286">
        <v>0</v>
      </c>
      <c r="S137" s="286">
        <v>0</v>
      </c>
      <c r="T137" s="290" t="str">
        <f>IF(SupplychainTier2[[#This Row],[Calculated emissions (kgCO2e) for this spend]]="","",(SupplychainTier2[[#This Row],[Calculated emissions (kgCO2e) for this spend]]*(1+SupplychainTier2[[#This Row],[RSD]])))</f>
        <v/>
      </c>
      <c r="U137" s="290" t="str">
        <f>IF(SupplychainTier2[[#This Row],[Calculated emissions (kgCO2e) for this spend]]="","",(SupplychainTier2[[#This Row],[Calculated emissions (kgCO2e) for this spend]]*(1-SupplychainTier2[[#This Row],[RSD]])))</f>
        <v/>
      </c>
      <c r="V137" s="286">
        <v>0</v>
      </c>
      <c r="Z137" s="1" cm="1">
        <f t="array" ref="Z137">IF(OR(ISERROR(B137:V137)),1,0)</f>
        <v>0</v>
      </c>
      <c r="AA137" s="1">
        <f t="shared" si="8"/>
        <v>0</v>
      </c>
    </row>
    <row r="138" spans="1:27" ht="15" thickBot="1" x14ac:dyDescent="0.4">
      <c r="A138" s="18"/>
      <c r="B138" s="418" t="str">
        <f t="shared" si="6"/>
        <v/>
      </c>
      <c r="C138" s="289" t="str">
        <f t="shared" si="7"/>
        <v/>
      </c>
      <c r="D138" s="112"/>
      <c r="E138" s="419" t="s">
        <v>409</v>
      </c>
      <c r="F138" s="294"/>
      <c r="G138" s="70"/>
      <c r="H138" s="187" t="s">
        <v>263</v>
      </c>
      <c r="I138" s="410">
        <f>SupplychainTier2[[#This Row],[Spend for which Tier 2 method accounts]]</f>
        <v>0</v>
      </c>
      <c r="J138" s="410" t="s">
        <v>263</v>
      </c>
      <c r="K138" s="410" t="str">
        <f>IFERROR(SupplychainTier2[[#This Row],[Calculated emissions (kgCO2e) for this spend]]/SupplychainTier2[[#This Row],[Spend for which Tier 2 method accounts]],"")</f>
        <v/>
      </c>
      <c r="L138" s="199"/>
      <c r="M138" s="103"/>
      <c r="N138" s="103"/>
      <c r="O138" s="286">
        <v>0</v>
      </c>
      <c r="P138" s="286">
        <v>0</v>
      </c>
      <c r="Q138" s="286">
        <f>SupplychainTier2[[#This Row],[Calculated emissions (kgCO2e) for this spend]]</f>
        <v>0</v>
      </c>
      <c r="R138" s="286">
        <v>0</v>
      </c>
      <c r="S138" s="286">
        <v>0</v>
      </c>
      <c r="T138" s="290" t="str">
        <f>IF(SupplychainTier2[[#This Row],[Calculated emissions (kgCO2e) for this spend]]="","",(SupplychainTier2[[#This Row],[Calculated emissions (kgCO2e) for this spend]]*(1+SupplychainTier2[[#This Row],[RSD]])))</f>
        <v/>
      </c>
      <c r="U138" s="290" t="str">
        <f>IF(SupplychainTier2[[#This Row],[Calculated emissions (kgCO2e) for this spend]]="","",(SupplychainTier2[[#This Row],[Calculated emissions (kgCO2e) for this spend]]*(1-SupplychainTier2[[#This Row],[RSD]])))</f>
        <v/>
      </c>
      <c r="V138" s="286">
        <v>0</v>
      </c>
      <c r="Z138" s="1" cm="1">
        <f t="array" ref="Z138">IF(OR(ISERROR(B138:V138)),1,0)</f>
        <v>0</v>
      </c>
      <c r="AA138" s="1">
        <f t="shared" si="8"/>
        <v>0</v>
      </c>
    </row>
    <row r="139" spans="1:27" ht="15" thickBot="1" x14ac:dyDescent="0.4">
      <c r="A139" s="18"/>
      <c r="B139" s="418" t="str">
        <f t="shared" si="6"/>
        <v/>
      </c>
      <c r="C139" s="289" t="str">
        <f t="shared" si="7"/>
        <v/>
      </c>
      <c r="D139" s="112"/>
      <c r="E139" s="419" t="s">
        <v>409</v>
      </c>
      <c r="F139" s="294"/>
      <c r="G139" s="70"/>
      <c r="H139" s="187" t="s">
        <v>263</v>
      </c>
      <c r="I139" s="410">
        <f>SupplychainTier2[[#This Row],[Spend for which Tier 2 method accounts]]</f>
        <v>0</v>
      </c>
      <c r="J139" s="410" t="s">
        <v>263</v>
      </c>
      <c r="K139" s="410" t="str">
        <f>IFERROR(SupplychainTier2[[#This Row],[Calculated emissions (kgCO2e) for this spend]]/SupplychainTier2[[#This Row],[Spend for which Tier 2 method accounts]],"")</f>
        <v/>
      </c>
      <c r="L139" s="199"/>
      <c r="M139" s="103"/>
      <c r="N139" s="103"/>
      <c r="O139" s="286">
        <v>0</v>
      </c>
      <c r="P139" s="286">
        <v>0</v>
      </c>
      <c r="Q139" s="286">
        <f>SupplychainTier2[[#This Row],[Calculated emissions (kgCO2e) for this spend]]</f>
        <v>0</v>
      </c>
      <c r="R139" s="286">
        <v>0</v>
      </c>
      <c r="S139" s="286">
        <v>0</v>
      </c>
      <c r="T139" s="290" t="str">
        <f>IF(SupplychainTier2[[#This Row],[Calculated emissions (kgCO2e) for this spend]]="","",(SupplychainTier2[[#This Row],[Calculated emissions (kgCO2e) for this spend]]*(1+SupplychainTier2[[#This Row],[RSD]])))</f>
        <v/>
      </c>
      <c r="U139" s="290" t="str">
        <f>IF(SupplychainTier2[[#This Row],[Calculated emissions (kgCO2e) for this spend]]="","",(SupplychainTier2[[#This Row],[Calculated emissions (kgCO2e) for this spend]]*(1-SupplychainTier2[[#This Row],[RSD]])))</f>
        <v/>
      </c>
      <c r="V139" s="286">
        <v>0</v>
      </c>
      <c r="Z139" s="1" cm="1">
        <f t="array" ref="Z139">IF(OR(ISERROR(B139:V139)),1,0)</f>
        <v>0</v>
      </c>
      <c r="AA139" s="1">
        <f t="shared" si="8"/>
        <v>0</v>
      </c>
    </row>
    <row r="140" spans="1:27" ht="15" thickBot="1" x14ac:dyDescent="0.4">
      <c r="A140" s="18"/>
      <c r="B140" s="418" t="str">
        <f t="shared" si="6"/>
        <v/>
      </c>
      <c r="C140" s="289" t="str">
        <f t="shared" si="7"/>
        <v/>
      </c>
      <c r="D140" s="112"/>
      <c r="E140" s="419" t="s">
        <v>409</v>
      </c>
      <c r="F140" s="294"/>
      <c r="G140" s="70"/>
      <c r="H140" s="187" t="s">
        <v>263</v>
      </c>
      <c r="I140" s="410">
        <f>SupplychainTier2[[#This Row],[Spend for which Tier 2 method accounts]]</f>
        <v>0</v>
      </c>
      <c r="J140" s="410" t="s">
        <v>263</v>
      </c>
      <c r="K140" s="410" t="str">
        <f>IFERROR(SupplychainTier2[[#This Row],[Calculated emissions (kgCO2e) for this spend]]/SupplychainTier2[[#This Row],[Spend for which Tier 2 method accounts]],"")</f>
        <v/>
      </c>
      <c r="L140" s="199"/>
      <c r="M140" s="103"/>
      <c r="N140" s="103"/>
      <c r="O140" s="286">
        <v>0</v>
      </c>
      <c r="P140" s="286">
        <v>0</v>
      </c>
      <c r="Q140" s="286">
        <f>SupplychainTier2[[#This Row],[Calculated emissions (kgCO2e) for this spend]]</f>
        <v>0</v>
      </c>
      <c r="R140" s="286">
        <v>0</v>
      </c>
      <c r="S140" s="286">
        <v>0</v>
      </c>
      <c r="T140" s="290" t="str">
        <f>IF(SupplychainTier2[[#This Row],[Calculated emissions (kgCO2e) for this spend]]="","",(SupplychainTier2[[#This Row],[Calculated emissions (kgCO2e) for this spend]]*(1+SupplychainTier2[[#This Row],[RSD]])))</f>
        <v/>
      </c>
      <c r="U140" s="290" t="str">
        <f>IF(SupplychainTier2[[#This Row],[Calculated emissions (kgCO2e) for this spend]]="","",(SupplychainTier2[[#This Row],[Calculated emissions (kgCO2e) for this spend]]*(1-SupplychainTier2[[#This Row],[RSD]])))</f>
        <v/>
      </c>
      <c r="V140" s="286">
        <v>0</v>
      </c>
      <c r="Z140" s="1" cm="1">
        <f t="array" ref="Z140">IF(OR(ISERROR(B140:V140)),1,0)</f>
        <v>0</v>
      </c>
      <c r="AA140" s="1">
        <f t="shared" si="8"/>
        <v>0</v>
      </c>
    </row>
    <row r="141" spans="1:27" ht="15" thickBot="1" x14ac:dyDescent="0.4">
      <c r="A141" s="18"/>
      <c r="B141" s="418" t="str">
        <f t="shared" si="6"/>
        <v/>
      </c>
      <c r="C141" s="289" t="str">
        <f t="shared" si="7"/>
        <v/>
      </c>
      <c r="D141" s="112"/>
      <c r="E141" s="419" t="s">
        <v>409</v>
      </c>
      <c r="F141" s="294"/>
      <c r="G141" s="70"/>
      <c r="H141" s="187" t="s">
        <v>263</v>
      </c>
      <c r="I141" s="410">
        <f>SupplychainTier2[[#This Row],[Spend for which Tier 2 method accounts]]</f>
        <v>0</v>
      </c>
      <c r="J141" s="410" t="s">
        <v>263</v>
      </c>
      <c r="K141" s="410" t="str">
        <f>IFERROR(SupplychainTier2[[#This Row],[Calculated emissions (kgCO2e) for this spend]]/SupplychainTier2[[#This Row],[Spend for which Tier 2 method accounts]],"")</f>
        <v/>
      </c>
      <c r="L141" s="199"/>
      <c r="M141" s="103"/>
      <c r="N141" s="103"/>
      <c r="O141" s="286">
        <v>0</v>
      </c>
      <c r="P141" s="286">
        <v>0</v>
      </c>
      <c r="Q141" s="286">
        <f>SupplychainTier2[[#This Row],[Calculated emissions (kgCO2e) for this spend]]</f>
        <v>0</v>
      </c>
      <c r="R141" s="286">
        <v>0</v>
      </c>
      <c r="S141" s="286">
        <v>0</v>
      </c>
      <c r="T141" s="290" t="str">
        <f>IF(SupplychainTier2[[#This Row],[Calculated emissions (kgCO2e) for this spend]]="","",(SupplychainTier2[[#This Row],[Calculated emissions (kgCO2e) for this spend]]*(1+SupplychainTier2[[#This Row],[RSD]])))</f>
        <v/>
      </c>
      <c r="U141" s="290" t="str">
        <f>IF(SupplychainTier2[[#This Row],[Calculated emissions (kgCO2e) for this spend]]="","",(SupplychainTier2[[#This Row],[Calculated emissions (kgCO2e) for this spend]]*(1-SupplychainTier2[[#This Row],[RSD]])))</f>
        <v/>
      </c>
      <c r="V141" s="286">
        <v>0</v>
      </c>
      <c r="Z141" s="1" cm="1">
        <f t="array" ref="Z141">IF(OR(ISERROR(B141:V141)),1,0)</f>
        <v>0</v>
      </c>
      <c r="AA141" s="1">
        <f t="shared" si="8"/>
        <v>0</v>
      </c>
    </row>
    <row r="142" spans="1:27" ht="15" thickBot="1" x14ac:dyDescent="0.4">
      <c r="A142" s="18"/>
      <c r="B142" s="418" t="str">
        <f t="shared" si="6"/>
        <v/>
      </c>
      <c r="C142" s="289" t="str">
        <f t="shared" si="7"/>
        <v/>
      </c>
      <c r="D142" s="112"/>
      <c r="E142" s="419" t="s">
        <v>409</v>
      </c>
      <c r="F142" s="294"/>
      <c r="G142" s="70"/>
      <c r="H142" s="187" t="s">
        <v>263</v>
      </c>
      <c r="I142" s="410">
        <f>SupplychainTier2[[#This Row],[Spend for which Tier 2 method accounts]]</f>
        <v>0</v>
      </c>
      <c r="J142" s="410" t="s">
        <v>263</v>
      </c>
      <c r="K142" s="410" t="str">
        <f>IFERROR(SupplychainTier2[[#This Row],[Calculated emissions (kgCO2e) for this spend]]/SupplychainTier2[[#This Row],[Spend for which Tier 2 method accounts]],"")</f>
        <v/>
      </c>
      <c r="L142" s="199"/>
      <c r="M142" s="103"/>
      <c r="N142" s="103"/>
      <c r="O142" s="286">
        <v>0</v>
      </c>
      <c r="P142" s="286">
        <v>0</v>
      </c>
      <c r="Q142" s="286">
        <f>SupplychainTier2[[#This Row],[Calculated emissions (kgCO2e) for this spend]]</f>
        <v>0</v>
      </c>
      <c r="R142" s="286">
        <v>0</v>
      </c>
      <c r="S142" s="286">
        <v>0</v>
      </c>
      <c r="T142" s="290" t="str">
        <f>IF(SupplychainTier2[[#This Row],[Calculated emissions (kgCO2e) for this spend]]="","",(SupplychainTier2[[#This Row],[Calculated emissions (kgCO2e) for this spend]]*(1+SupplychainTier2[[#This Row],[RSD]])))</f>
        <v/>
      </c>
      <c r="U142" s="290" t="str">
        <f>IF(SupplychainTier2[[#This Row],[Calculated emissions (kgCO2e) for this spend]]="","",(SupplychainTier2[[#This Row],[Calculated emissions (kgCO2e) for this spend]]*(1-SupplychainTier2[[#This Row],[RSD]])))</f>
        <v/>
      </c>
      <c r="V142" s="286">
        <v>0</v>
      </c>
      <c r="Z142" s="1" cm="1">
        <f t="array" ref="Z142">IF(OR(ISERROR(B142:V142)),1,0)</f>
        <v>0</v>
      </c>
      <c r="AA142" s="1">
        <f t="shared" si="8"/>
        <v>0</v>
      </c>
    </row>
    <row r="143" spans="1:27" ht="15" thickBot="1" x14ac:dyDescent="0.4">
      <c r="A143" s="18"/>
      <c r="B143" s="418" t="str">
        <f t="shared" si="6"/>
        <v/>
      </c>
      <c r="C143" s="289" t="str">
        <f t="shared" si="7"/>
        <v/>
      </c>
      <c r="D143" s="112"/>
      <c r="E143" s="419" t="s">
        <v>409</v>
      </c>
      <c r="F143" s="294"/>
      <c r="G143" s="70"/>
      <c r="H143" s="187" t="s">
        <v>263</v>
      </c>
      <c r="I143" s="410">
        <f>SupplychainTier2[[#This Row],[Spend for which Tier 2 method accounts]]</f>
        <v>0</v>
      </c>
      <c r="J143" s="410" t="s">
        <v>263</v>
      </c>
      <c r="K143" s="410" t="str">
        <f>IFERROR(SupplychainTier2[[#This Row],[Calculated emissions (kgCO2e) for this spend]]/SupplychainTier2[[#This Row],[Spend for which Tier 2 method accounts]],"")</f>
        <v/>
      </c>
      <c r="L143" s="199"/>
      <c r="M143" s="103"/>
      <c r="N143" s="103"/>
      <c r="O143" s="286">
        <v>0</v>
      </c>
      <c r="P143" s="286">
        <v>0</v>
      </c>
      <c r="Q143" s="286">
        <f>SupplychainTier2[[#This Row],[Calculated emissions (kgCO2e) for this spend]]</f>
        <v>0</v>
      </c>
      <c r="R143" s="286">
        <v>0</v>
      </c>
      <c r="S143" s="286">
        <v>0</v>
      </c>
      <c r="T143" s="290" t="str">
        <f>IF(SupplychainTier2[[#This Row],[Calculated emissions (kgCO2e) for this spend]]="","",(SupplychainTier2[[#This Row],[Calculated emissions (kgCO2e) for this spend]]*(1+SupplychainTier2[[#This Row],[RSD]])))</f>
        <v/>
      </c>
      <c r="U143" s="290" t="str">
        <f>IF(SupplychainTier2[[#This Row],[Calculated emissions (kgCO2e) for this spend]]="","",(SupplychainTier2[[#This Row],[Calculated emissions (kgCO2e) for this spend]]*(1-SupplychainTier2[[#This Row],[RSD]])))</f>
        <v/>
      </c>
      <c r="V143" s="286">
        <v>0</v>
      </c>
      <c r="Z143" s="1" cm="1">
        <f t="array" ref="Z143">IF(OR(ISERROR(B143:V143)),1,0)</f>
        <v>0</v>
      </c>
      <c r="AA143" s="1">
        <f t="shared" si="8"/>
        <v>0</v>
      </c>
    </row>
    <row r="144" spans="1:27" ht="15" thickBot="1" x14ac:dyDescent="0.4">
      <c r="A144" s="18"/>
      <c r="B144" s="418" t="str">
        <f t="shared" si="6"/>
        <v/>
      </c>
      <c r="C144" s="289" t="str">
        <f t="shared" si="7"/>
        <v/>
      </c>
      <c r="D144" s="112"/>
      <c r="E144" s="419" t="s">
        <v>409</v>
      </c>
      <c r="F144" s="294"/>
      <c r="G144" s="70"/>
      <c r="H144" s="187" t="s">
        <v>263</v>
      </c>
      <c r="I144" s="410">
        <f>SupplychainTier2[[#This Row],[Spend for which Tier 2 method accounts]]</f>
        <v>0</v>
      </c>
      <c r="J144" s="410" t="s">
        <v>263</v>
      </c>
      <c r="K144" s="410" t="str">
        <f>IFERROR(SupplychainTier2[[#This Row],[Calculated emissions (kgCO2e) for this spend]]/SupplychainTier2[[#This Row],[Spend for which Tier 2 method accounts]],"")</f>
        <v/>
      </c>
      <c r="L144" s="199"/>
      <c r="M144" s="103"/>
      <c r="N144" s="103"/>
      <c r="O144" s="286">
        <v>0</v>
      </c>
      <c r="P144" s="286">
        <v>0</v>
      </c>
      <c r="Q144" s="286">
        <f>SupplychainTier2[[#This Row],[Calculated emissions (kgCO2e) for this spend]]</f>
        <v>0</v>
      </c>
      <c r="R144" s="286">
        <v>0</v>
      </c>
      <c r="S144" s="286">
        <v>0</v>
      </c>
      <c r="T144" s="290" t="str">
        <f>IF(SupplychainTier2[[#This Row],[Calculated emissions (kgCO2e) for this spend]]="","",(SupplychainTier2[[#This Row],[Calculated emissions (kgCO2e) for this spend]]*(1+SupplychainTier2[[#This Row],[RSD]])))</f>
        <v/>
      </c>
      <c r="U144" s="290" t="str">
        <f>IF(SupplychainTier2[[#This Row],[Calculated emissions (kgCO2e) for this spend]]="","",(SupplychainTier2[[#This Row],[Calculated emissions (kgCO2e) for this spend]]*(1-SupplychainTier2[[#This Row],[RSD]])))</f>
        <v/>
      </c>
      <c r="V144" s="286">
        <v>0</v>
      </c>
      <c r="Z144" s="1" cm="1">
        <f t="array" ref="Z144">IF(OR(ISERROR(B144:V144)),1,0)</f>
        <v>0</v>
      </c>
      <c r="AA144" s="1">
        <f t="shared" si="8"/>
        <v>0</v>
      </c>
    </row>
    <row r="145" spans="1:27" ht="15" thickBot="1" x14ac:dyDescent="0.4">
      <c r="A145" s="18"/>
      <c r="B145" s="418" t="str">
        <f t="shared" si="6"/>
        <v/>
      </c>
      <c r="C145" s="289" t="str">
        <f t="shared" si="7"/>
        <v/>
      </c>
      <c r="D145" s="112"/>
      <c r="E145" s="419" t="s">
        <v>409</v>
      </c>
      <c r="F145" s="294"/>
      <c r="G145" s="70"/>
      <c r="H145" s="187" t="s">
        <v>263</v>
      </c>
      <c r="I145" s="410">
        <f>SupplychainTier2[[#This Row],[Spend for which Tier 2 method accounts]]</f>
        <v>0</v>
      </c>
      <c r="J145" s="410" t="s">
        <v>263</v>
      </c>
      <c r="K145" s="410" t="str">
        <f>IFERROR(SupplychainTier2[[#This Row],[Calculated emissions (kgCO2e) for this spend]]/SupplychainTier2[[#This Row],[Spend for which Tier 2 method accounts]],"")</f>
        <v/>
      </c>
      <c r="L145" s="199"/>
      <c r="M145" s="103"/>
      <c r="N145" s="103"/>
      <c r="O145" s="286">
        <v>0</v>
      </c>
      <c r="P145" s="286">
        <v>0</v>
      </c>
      <c r="Q145" s="286">
        <f>SupplychainTier2[[#This Row],[Calculated emissions (kgCO2e) for this spend]]</f>
        <v>0</v>
      </c>
      <c r="R145" s="286">
        <v>0</v>
      </c>
      <c r="S145" s="286">
        <v>0</v>
      </c>
      <c r="T145" s="290" t="str">
        <f>IF(SupplychainTier2[[#This Row],[Calculated emissions (kgCO2e) for this spend]]="","",(SupplychainTier2[[#This Row],[Calculated emissions (kgCO2e) for this spend]]*(1+SupplychainTier2[[#This Row],[RSD]])))</f>
        <v/>
      </c>
      <c r="U145" s="290" t="str">
        <f>IF(SupplychainTier2[[#This Row],[Calculated emissions (kgCO2e) for this spend]]="","",(SupplychainTier2[[#This Row],[Calculated emissions (kgCO2e) for this spend]]*(1-SupplychainTier2[[#This Row],[RSD]])))</f>
        <v/>
      </c>
      <c r="V145" s="286">
        <v>0</v>
      </c>
      <c r="Z145" s="1" cm="1">
        <f t="array" ref="Z145">IF(OR(ISERROR(B145:V145)),1,0)</f>
        <v>0</v>
      </c>
      <c r="AA145" s="1">
        <f t="shared" si="8"/>
        <v>0</v>
      </c>
    </row>
    <row r="146" spans="1:27" ht="15" thickBot="1" x14ac:dyDescent="0.4">
      <c r="A146" s="18"/>
      <c r="B146" s="418" t="str">
        <f t="shared" si="6"/>
        <v/>
      </c>
      <c r="C146" s="289" t="str">
        <f t="shared" si="7"/>
        <v/>
      </c>
      <c r="D146" s="112"/>
      <c r="E146" s="419" t="s">
        <v>409</v>
      </c>
      <c r="F146" s="294"/>
      <c r="G146" s="70"/>
      <c r="H146" s="187" t="s">
        <v>263</v>
      </c>
      <c r="I146" s="410">
        <f>SupplychainTier2[[#This Row],[Spend for which Tier 2 method accounts]]</f>
        <v>0</v>
      </c>
      <c r="J146" s="410" t="s">
        <v>263</v>
      </c>
      <c r="K146" s="410" t="str">
        <f>IFERROR(SupplychainTier2[[#This Row],[Calculated emissions (kgCO2e) for this spend]]/SupplychainTier2[[#This Row],[Spend for which Tier 2 method accounts]],"")</f>
        <v/>
      </c>
      <c r="L146" s="199"/>
      <c r="M146" s="103"/>
      <c r="N146" s="103"/>
      <c r="O146" s="286">
        <v>0</v>
      </c>
      <c r="P146" s="286">
        <v>0</v>
      </c>
      <c r="Q146" s="286">
        <f>SupplychainTier2[[#This Row],[Calculated emissions (kgCO2e) for this spend]]</f>
        <v>0</v>
      </c>
      <c r="R146" s="286">
        <v>0</v>
      </c>
      <c r="S146" s="286">
        <v>0</v>
      </c>
      <c r="T146" s="290" t="str">
        <f>IF(SupplychainTier2[[#This Row],[Calculated emissions (kgCO2e) for this spend]]="","",(SupplychainTier2[[#This Row],[Calculated emissions (kgCO2e) for this spend]]*(1+SupplychainTier2[[#This Row],[RSD]])))</f>
        <v/>
      </c>
      <c r="U146" s="290" t="str">
        <f>IF(SupplychainTier2[[#This Row],[Calculated emissions (kgCO2e) for this spend]]="","",(SupplychainTier2[[#This Row],[Calculated emissions (kgCO2e) for this spend]]*(1-SupplychainTier2[[#This Row],[RSD]])))</f>
        <v/>
      </c>
      <c r="V146" s="286">
        <v>0</v>
      </c>
      <c r="Z146" s="1" cm="1">
        <f t="array" ref="Z146">IF(OR(ISERROR(B146:V146)),1,0)</f>
        <v>0</v>
      </c>
      <c r="AA146" s="1">
        <f t="shared" si="8"/>
        <v>0</v>
      </c>
    </row>
    <row r="147" spans="1:27" ht="15" thickBot="1" x14ac:dyDescent="0.4">
      <c r="A147" s="18"/>
      <c r="B147" s="418" t="str">
        <f t="shared" si="6"/>
        <v/>
      </c>
      <c r="C147" s="289" t="str">
        <f t="shared" si="7"/>
        <v/>
      </c>
      <c r="D147" s="112"/>
      <c r="E147" s="419" t="s">
        <v>409</v>
      </c>
      <c r="F147" s="294"/>
      <c r="G147" s="70"/>
      <c r="H147" s="187" t="s">
        <v>263</v>
      </c>
      <c r="I147" s="410">
        <f>SupplychainTier2[[#This Row],[Spend for which Tier 2 method accounts]]</f>
        <v>0</v>
      </c>
      <c r="J147" s="410" t="s">
        <v>263</v>
      </c>
      <c r="K147" s="410" t="str">
        <f>IFERROR(SupplychainTier2[[#This Row],[Calculated emissions (kgCO2e) for this spend]]/SupplychainTier2[[#This Row],[Spend for which Tier 2 method accounts]],"")</f>
        <v/>
      </c>
      <c r="L147" s="199"/>
      <c r="M147" s="103"/>
      <c r="N147" s="103"/>
      <c r="O147" s="286">
        <v>0</v>
      </c>
      <c r="P147" s="286">
        <v>0</v>
      </c>
      <c r="Q147" s="286">
        <f>SupplychainTier2[[#This Row],[Calculated emissions (kgCO2e) for this spend]]</f>
        <v>0</v>
      </c>
      <c r="R147" s="286">
        <v>0</v>
      </c>
      <c r="S147" s="286">
        <v>0</v>
      </c>
      <c r="T147" s="290" t="str">
        <f>IF(SupplychainTier2[[#This Row],[Calculated emissions (kgCO2e) for this spend]]="","",(SupplychainTier2[[#This Row],[Calculated emissions (kgCO2e) for this spend]]*(1+SupplychainTier2[[#This Row],[RSD]])))</f>
        <v/>
      </c>
      <c r="U147" s="290" t="str">
        <f>IF(SupplychainTier2[[#This Row],[Calculated emissions (kgCO2e) for this spend]]="","",(SupplychainTier2[[#This Row],[Calculated emissions (kgCO2e) for this spend]]*(1-SupplychainTier2[[#This Row],[RSD]])))</f>
        <v/>
      </c>
      <c r="V147" s="286">
        <v>0</v>
      </c>
      <c r="Z147" s="1" cm="1">
        <f t="array" ref="Z147">IF(OR(ISERROR(B147:V147)),1,0)</f>
        <v>0</v>
      </c>
      <c r="AA147" s="1">
        <f t="shared" si="8"/>
        <v>0</v>
      </c>
    </row>
    <row r="148" spans="1:27" ht="15" thickBot="1" x14ac:dyDescent="0.4">
      <c r="A148" s="18"/>
      <c r="B148" s="418" t="str">
        <f t="shared" si="6"/>
        <v/>
      </c>
      <c r="C148" s="289" t="str">
        <f t="shared" si="7"/>
        <v/>
      </c>
      <c r="D148" s="112"/>
      <c r="E148" s="419" t="s">
        <v>409</v>
      </c>
      <c r="F148" s="294"/>
      <c r="G148" s="70"/>
      <c r="H148" s="187" t="s">
        <v>263</v>
      </c>
      <c r="I148" s="410">
        <f>SupplychainTier2[[#This Row],[Spend for which Tier 2 method accounts]]</f>
        <v>0</v>
      </c>
      <c r="J148" s="410" t="s">
        <v>263</v>
      </c>
      <c r="K148" s="410" t="str">
        <f>IFERROR(SupplychainTier2[[#This Row],[Calculated emissions (kgCO2e) for this spend]]/SupplychainTier2[[#This Row],[Spend for which Tier 2 method accounts]],"")</f>
        <v/>
      </c>
      <c r="L148" s="199"/>
      <c r="M148" s="103"/>
      <c r="N148" s="103"/>
      <c r="O148" s="286">
        <v>0</v>
      </c>
      <c r="P148" s="286">
        <v>0</v>
      </c>
      <c r="Q148" s="286">
        <f>SupplychainTier2[[#This Row],[Calculated emissions (kgCO2e) for this spend]]</f>
        <v>0</v>
      </c>
      <c r="R148" s="286">
        <v>0</v>
      </c>
      <c r="S148" s="286">
        <v>0</v>
      </c>
      <c r="T148" s="290" t="str">
        <f>IF(SupplychainTier2[[#This Row],[Calculated emissions (kgCO2e) for this spend]]="","",(SupplychainTier2[[#This Row],[Calculated emissions (kgCO2e) for this spend]]*(1+SupplychainTier2[[#This Row],[RSD]])))</f>
        <v/>
      </c>
      <c r="U148" s="290" t="str">
        <f>IF(SupplychainTier2[[#This Row],[Calculated emissions (kgCO2e) for this spend]]="","",(SupplychainTier2[[#This Row],[Calculated emissions (kgCO2e) for this spend]]*(1-SupplychainTier2[[#This Row],[RSD]])))</f>
        <v/>
      </c>
      <c r="V148" s="286">
        <v>0</v>
      </c>
      <c r="Z148" s="1" cm="1">
        <f t="array" ref="Z148">IF(OR(ISERROR(B148:V148)),1,0)</f>
        <v>0</v>
      </c>
      <c r="AA148" s="1">
        <f t="shared" si="8"/>
        <v>0</v>
      </c>
    </row>
    <row r="149" spans="1:27" ht="15" thickBot="1" x14ac:dyDescent="0.4">
      <c r="A149" s="18"/>
      <c r="B149" s="418" t="str">
        <f t="shared" si="6"/>
        <v/>
      </c>
      <c r="C149" s="289" t="str">
        <f t="shared" si="7"/>
        <v/>
      </c>
      <c r="D149" s="112"/>
      <c r="E149" s="419" t="s">
        <v>409</v>
      </c>
      <c r="F149" s="294"/>
      <c r="G149" s="70"/>
      <c r="H149" s="187" t="s">
        <v>263</v>
      </c>
      <c r="I149" s="410">
        <f>SupplychainTier2[[#This Row],[Spend for which Tier 2 method accounts]]</f>
        <v>0</v>
      </c>
      <c r="J149" s="410" t="s">
        <v>263</v>
      </c>
      <c r="K149" s="410" t="str">
        <f>IFERROR(SupplychainTier2[[#This Row],[Calculated emissions (kgCO2e) for this spend]]/SupplychainTier2[[#This Row],[Spend for which Tier 2 method accounts]],"")</f>
        <v/>
      </c>
      <c r="L149" s="199"/>
      <c r="M149" s="103"/>
      <c r="N149" s="103"/>
      <c r="O149" s="286">
        <v>0</v>
      </c>
      <c r="P149" s="286">
        <v>0</v>
      </c>
      <c r="Q149" s="286">
        <f>SupplychainTier2[[#This Row],[Calculated emissions (kgCO2e) for this spend]]</f>
        <v>0</v>
      </c>
      <c r="R149" s="286">
        <v>0</v>
      </c>
      <c r="S149" s="286">
        <v>0</v>
      </c>
      <c r="T149" s="290" t="str">
        <f>IF(SupplychainTier2[[#This Row],[Calculated emissions (kgCO2e) for this spend]]="","",(SupplychainTier2[[#This Row],[Calculated emissions (kgCO2e) for this spend]]*(1+SupplychainTier2[[#This Row],[RSD]])))</f>
        <v/>
      </c>
      <c r="U149" s="290" t="str">
        <f>IF(SupplychainTier2[[#This Row],[Calculated emissions (kgCO2e) for this spend]]="","",(SupplychainTier2[[#This Row],[Calculated emissions (kgCO2e) for this spend]]*(1-SupplychainTier2[[#This Row],[RSD]])))</f>
        <v/>
      </c>
      <c r="V149" s="286">
        <v>0</v>
      </c>
      <c r="Z149" s="1" cm="1">
        <f t="array" ref="Z149">IF(OR(ISERROR(B149:V149)),1,0)</f>
        <v>0</v>
      </c>
      <c r="AA149" s="1">
        <f t="shared" si="8"/>
        <v>0</v>
      </c>
    </row>
    <row r="150" spans="1:27" ht="15" thickBot="1" x14ac:dyDescent="0.4">
      <c r="A150" s="18"/>
      <c r="B150" s="418" t="str">
        <f t="shared" si="6"/>
        <v/>
      </c>
      <c r="C150" s="289" t="str">
        <f t="shared" si="7"/>
        <v/>
      </c>
      <c r="D150" s="112"/>
      <c r="E150" s="419" t="s">
        <v>409</v>
      </c>
      <c r="F150" s="294"/>
      <c r="G150" s="70"/>
      <c r="H150" s="187" t="s">
        <v>263</v>
      </c>
      <c r="I150" s="410">
        <f>SupplychainTier2[[#This Row],[Spend for which Tier 2 method accounts]]</f>
        <v>0</v>
      </c>
      <c r="J150" s="410" t="s">
        <v>263</v>
      </c>
      <c r="K150" s="410" t="str">
        <f>IFERROR(SupplychainTier2[[#This Row],[Calculated emissions (kgCO2e) for this spend]]/SupplychainTier2[[#This Row],[Spend for which Tier 2 method accounts]],"")</f>
        <v/>
      </c>
      <c r="L150" s="199"/>
      <c r="M150" s="103"/>
      <c r="N150" s="103"/>
      <c r="O150" s="286">
        <v>0</v>
      </c>
      <c r="P150" s="286">
        <v>0</v>
      </c>
      <c r="Q150" s="286">
        <f>SupplychainTier2[[#This Row],[Calculated emissions (kgCO2e) for this spend]]</f>
        <v>0</v>
      </c>
      <c r="R150" s="286">
        <v>0</v>
      </c>
      <c r="S150" s="286">
        <v>0</v>
      </c>
      <c r="T150" s="290" t="str">
        <f>IF(SupplychainTier2[[#This Row],[Calculated emissions (kgCO2e) for this spend]]="","",(SupplychainTier2[[#This Row],[Calculated emissions (kgCO2e) for this spend]]*(1+SupplychainTier2[[#This Row],[RSD]])))</f>
        <v/>
      </c>
      <c r="U150" s="290" t="str">
        <f>IF(SupplychainTier2[[#This Row],[Calculated emissions (kgCO2e) for this spend]]="","",(SupplychainTier2[[#This Row],[Calculated emissions (kgCO2e) for this spend]]*(1-SupplychainTier2[[#This Row],[RSD]])))</f>
        <v/>
      </c>
      <c r="V150" s="286">
        <v>0</v>
      </c>
      <c r="Z150" s="1" cm="1">
        <f t="array" ref="Z150">IF(OR(ISERROR(B150:V150)),1,0)</f>
        <v>0</v>
      </c>
      <c r="AA150" s="1">
        <f t="shared" si="8"/>
        <v>0</v>
      </c>
    </row>
    <row r="151" spans="1:27" ht="15" thickBot="1" x14ac:dyDescent="0.4">
      <c r="A151" s="18"/>
      <c r="B151" s="418" t="str">
        <f t="shared" si="6"/>
        <v/>
      </c>
      <c r="C151" s="289" t="str">
        <f t="shared" si="7"/>
        <v/>
      </c>
      <c r="D151" s="112"/>
      <c r="E151" s="419" t="s">
        <v>409</v>
      </c>
      <c r="F151" s="294"/>
      <c r="G151" s="70"/>
      <c r="H151" s="187" t="s">
        <v>263</v>
      </c>
      <c r="I151" s="410">
        <f>SupplychainTier2[[#This Row],[Spend for which Tier 2 method accounts]]</f>
        <v>0</v>
      </c>
      <c r="J151" s="410" t="s">
        <v>263</v>
      </c>
      <c r="K151" s="410" t="str">
        <f>IFERROR(SupplychainTier2[[#This Row],[Calculated emissions (kgCO2e) for this spend]]/SupplychainTier2[[#This Row],[Spend for which Tier 2 method accounts]],"")</f>
        <v/>
      </c>
      <c r="L151" s="199"/>
      <c r="M151" s="103"/>
      <c r="N151" s="103"/>
      <c r="O151" s="286">
        <v>0</v>
      </c>
      <c r="P151" s="286">
        <v>0</v>
      </c>
      <c r="Q151" s="286">
        <f>SupplychainTier2[[#This Row],[Calculated emissions (kgCO2e) for this spend]]</f>
        <v>0</v>
      </c>
      <c r="R151" s="286">
        <v>0</v>
      </c>
      <c r="S151" s="286">
        <v>0</v>
      </c>
      <c r="T151" s="290" t="str">
        <f>IF(SupplychainTier2[[#This Row],[Calculated emissions (kgCO2e) for this spend]]="","",(SupplychainTier2[[#This Row],[Calculated emissions (kgCO2e) for this spend]]*(1+SupplychainTier2[[#This Row],[RSD]])))</f>
        <v/>
      </c>
      <c r="U151" s="290" t="str">
        <f>IF(SupplychainTier2[[#This Row],[Calculated emissions (kgCO2e) for this spend]]="","",(SupplychainTier2[[#This Row],[Calculated emissions (kgCO2e) for this spend]]*(1-SupplychainTier2[[#This Row],[RSD]])))</f>
        <v/>
      </c>
      <c r="V151" s="286">
        <v>0</v>
      </c>
      <c r="Z151" s="1" cm="1">
        <f t="array" ref="Z151">IF(OR(ISERROR(B151:V151)),1,0)</f>
        <v>0</v>
      </c>
      <c r="AA151" s="1">
        <f t="shared" si="8"/>
        <v>0</v>
      </c>
    </row>
    <row r="152" spans="1:27" ht="15" thickBot="1" x14ac:dyDescent="0.4">
      <c r="A152" s="18"/>
      <c r="B152" s="418" t="str">
        <f t="shared" si="6"/>
        <v/>
      </c>
      <c r="C152" s="289" t="str">
        <f t="shared" si="7"/>
        <v/>
      </c>
      <c r="D152" s="112"/>
      <c r="E152" s="419" t="s">
        <v>409</v>
      </c>
      <c r="F152" s="294"/>
      <c r="G152" s="70"/>
      <c r="H152" s="187" t="s">
        <v>263</v>
      </c>
      <c r="I152" s="410">
        <f>SupplychainTier2[[#This Row],[Spend for which Tier 2 method accounts]]</f>
        <v>0</v>
      </c>
      <c r="J152" s="410" t="s">
        <v>263</v>
      </c>
      <c r="K152" s="410" t="str">
        <f>IFERROR(SupplychainTier2[[#This Row],[Calculated emissions (kgCO2e) for this spend]]/SupplychainTier2[[#This Row],[Spend for which Tier 2 method accounts]],"")</f>
        <v/>
      </c>
      <c r="L152" s="199"/>
      <c r="M152" s="103"/>
      <c r="N152" s="103"/>
      <c r="O152" s="286">
        <v>0</v>
      </c>
      <c r="P152" s="286">
        <v>0</v>
      </c>
      <c r="Q152" s="286">
        <f>SupplychainTier2[[#This Row],[Calculated emissions (kgCO2e) for this spend]]</f>
        <v>0</v>
      </c>
      <c r="R152" s="286">
        <v>0</v>
      </c>
      <c r="S152" s="286">
        <v>0</v>
      </c>
      <c r="T152" s="290" t="str">
        <f>IF(SupplychainTier2[[#This Row],[Calculated emissions (kgCO2e) for this spend]]="","",(SupplychainTier2[[#This Row],[Calculated emissions (kgCO2e) for this spend]]*(1+SupplychainTier2[[#This Row],[RSD]])))</f>
        <v/>
      </c>
      <c r="U152" s="290" t="str">
        <f>IF(SupplychainTier2[[#This Row],[Calculated emissions (kgCO2e) for this spend]]="","",(SupplychainTier2[[#This Row],[Calculated emissions (kgCO2e) for this spend]]*(1-SupplychainTier2[[#This Row],[RSD]])))</f>
        <v/>
      </c>
      <c r="V152" s="286">
        <v>0</v>
      </c>
      <c r="Z152" s="1" cm="1">
        <f t="array" ref="Z152">IF(OR(ISERROR(B152:V152)),1,0)</f>
        <v>0</v>
      </c>
      <c r="AA152" s="1">
        <f t="shared" si="8"/>
        <v>0</v>
      </c>
    </row>
    <row r="153" spans="1:27" ht="15" thickBot="1" x14ac:dyDescent="0.4">
      <c r="A153" s="18"/>
      <c r="B153" s="418" t="str">
        <f t="shared" si="6"/>
        <v/>
      </c>
      <c r="C153" s="289" t="str">
        <f t="shared" si="7"/>
        <v/>
      </c>
      <c r="D153" s="112"/>
      <c r="E153" s="419" t="s">
        <v>409</v>
      </c>
      <c r="F153" s="294"/>
      <c r="G153" s="70"/>
      <c r="H153" s="187" t="s">
        <v>263</v>
      </c>
      <c r="I153" s="410">
        <f>SupplychainTier2[[#This Row],[Spend for which Tier 2 method accounts]]</f>
        <v>0</v>
      </c>
      <c r="J153" s="410" t="s">
        <v>263</v>
      </c>
      <c r="K153" s="410" t="str">
        <f>IFERROR(SupplychainTier2[[#This Row],[Calculated emissions (kgCO2e) for this spend]]/SupplychainTier2[[#This Row],[Spend for which Tier 2 method accounts]],"")</f>
        <v/>
      </c>
      <c r="L153" s="199"/>
      <c r="M153" s="103"/>
      <c r="N153" s="103"/>
      <c r="O153" s="286">
        <v>0</v>
      </c>
      <c r="P153" s="286">
        <v>0</v>
      </c>
      <c r="Q153" s="286">
        <f>SupplychainTier2[[#This Row],[Calculated emissions (kgCO2e) for this spend]]</f>
        <v>0</v>
      </c>
      <c r="R153" s="286">
        <v>0</v>
      </c>
      <c r="S153" s="286">
        <v>0</v>
      </c>
      <c r="T153" s="290" t="str">
        <f>IF(SupplychainTier2[[#This Row],[Calculated emissions (kgCO2e) for this spend]]="","",(SupplychainTier2[[#This Row],[Calculated emissions (kgCO2e) for this spend]]*(1+SupplychainTier2[[#This Row],[RSD]])))</f>
        <v/>
      </c>
      <c r="U153" s="290" t="str">
        <f>IF(SupplychainTier2[[#This Row],[Calculated emissions (kgCO2e) for this spend]]="","",(SupplychainTier2[[#This Row],[Calculated emissions (kgCO2e) for this spend]]*(1-SupplychainTier2[[#This Row],[RSD]])))</f>
        <v/>
      </c>
      <c r="V153" s="286">
        <v>0</v>
      </c>
      <c r="Z153" s="1" cm="1">
        <f t="array" ref="Z153">IF(OR(ISERROR(B153:V153)),1,0)</f>
        <v>0</v>
      </c>
      <c r="AA153" s="1">
        <f t="shared" si="8"/>
        <v>0</v>
      </c>
    </row>
    <row r="154" spans="1:27" ht="15" thickBot="1" x14ac:dyDescent="0.4">
      <c r="A154" s="18"/>
      <c r="B154" s="418" t="str">
        <f t="shared" si="6"/>
        <v/>
      </c>
      <c r="C154" s="289" t="str">
        <f t="shared" si="7"/>
        <v/>
      </c>
      <c r="D154" s="112"/>
      <c r="E154" s="419" t="s">
        <v>409</v>
      </c>
      <c r="F154" s="294"/>
      <c r="G154" s="70"/>
      <c r="H154" s="187" t="s">
        <v>263</v>
      </c>
      <c r="I154" s="410">
        <f>SupplychainTier2[[#This Row],[Spend for which Tier 2 method accounts]]</f>
        <v>0</v>
      </c>
      <c r="J154" s="410" t="s">
        <v>263</v>
      </c>
      <c r="K154" s="410" t="str">
        <f>IFERROR(SupplychainTier2[[#This Row],[Calculated emissions (kgCO2e) for this spend]]/SupplychainTier2[[#This Row],[Spend for which Tier 2 method accounts]],"")</f>
        <v/>
      </c>
      <c r="L154" s="199"/>
      <c r="M154" s="103"/>
      <c r="N154" s="103"/>
      <c r="O154" s="286">
        <v>0</v>
      </c>
      <c r="P154" s="286">
        <v>0</v>
      </c>
      <c r="Q154" s="286">
        <f>SupplychainTier2[[#This Row],[Calculated emissions (kgCO2e) for this spend]]</f>
        <v>0</v>
      </c>
      <c r="R154" s="286">
        <v>0</v>
      </c>
      <c r="S154" s="286">
        <v>0</v>
      </c>
      <c r="T154" s="290" t="str">
        <f>IF(SupplychainTier2[[#This Row],[Calculated emissions (kgCO2e) for this spend]]="","",(SupplychainTier2[[#This Row],[Calculated emissions (kgCO2e) for this spend]]*(1+SupplychainTier2[[#This Row],[RSD]])))</f>
        <v/>
      </c>
      <c r="U154" s="290" t="str">
        <f>IF(SupplychainTier2[[#This Row],[Calculated emissions (kgCO2e) for this spend]]="","",(SupplychainTier2[[#This Row],[Calculated emissions (kgCO2e) for this spend]]*(1-SupplychainTier2[[#This Row],[RSD]])))</f>
        <v/>
      </c>
      <c r="V154" s="286">
        <v>0</v>
      </c>
      <c r="Z154" s="1" cm="1">
        <f t="array" ref="Z154">IF(OR(ISERROR(B154:V154)),1,0)</f>
        <v>0</v>
      </c>
      <c r="AA154" s="1">
        <f t="shared" si="8"/>
        <v>0</v>
      </c>
    </row>
    <row r="155" spans="1:27" ht="15" thickBot="1" x14ac:dyDescent="0.4">
      <c r="A155" s="18"/>
      <c r="B155" s="418" t="str">
        <f t="shared" si="6"/>
        <v/>
      </c>
      <c r="C155" s="289" t="str">
        <f t="shared" si="7"/>
        <v/>
      </c>
      <c r="D155" s="112"/>
      <c r="E155" s="419" t="s">
        <v>409</v>
      </c>
      <c r="F155" s="294"/>
      <c r="G155" s="70"/>
      <c r="H155" s="187" t="s">
        <v>263</v>
      </c>
      <c r="I155" s="410">
        <f>SupplychainTier2[[#This Row],[Spend for which Tier 2 method accounts]]</f>
        <v>0</v>
      </c>
      <c r="J155" s="410" t="s">
        <v>263</v>
      </c>
      <c r="K155" s="410" t="str">
        <f>IFERROR(SupplychainTier2[[#This Row],[Calculated emissions (kgCO2e) for this spend]]/SupplychainTier2[[#This Row],[Spend for which Tier 2 method accounts]],"")</f>
        <v/>
      </c>
      <c r="L155" s="199"/>
      <c r="M155" s="103"/>
      <c r="N155" s="103"/>
      <c r="O155" s="286">
        <v>0</v>
      </c>
      <c r="P155" s="286">
        <v>0</v>
      </c>
      <c r="Q155" s="286">
        <f>SupplychainTier2[[#This Row],[Calculated emissions (kgCO2e) for this spend]]</f>
        <v>0</v>
      </c>
      <c r="R155" s="286">
        <v>0</v>
      </c>
      <c r="S155" s="286">
        <v>0</v>
      </c>
      <c r="T155" s="290" t="str">
        <f>IF(SupplychainTier2[[#This Row],[Calculated emissions (kgCO2e) for this spend]]="","",(SupplychainTier2[[#This Row],[Calculated emissions (kgCO2e) for this spend]]*(1+SupplychainTier2[[#This Row],[RSD]])))</f>
        <v/>
      </c>
      <c r="U155" s="290" t="str">
        <f>IF(SupplychainTier2[[#This Row],[Calculated emissions (kgCO2e) for this spend]]="","",(SupplychainTier2[[#This Row],[Calculated emissions (kgCO2e) for this spend]]*(1-SupplychainTier2[[#This Row],[RSD]])))</f>
        <v/>
      </c>
      <c r="V155" s="286">
        <v>0</v>
      </c>
      <c r="Z155" s="1" cm="1">
        <f t="array" ref="Z155">IF(OR(ISERROR(B155:V155)),1,0)</f>
        <v>0</v>
      </c>
      <c r="AA155" s="1">
        <f t="shared" si="8"/>
        <v>0</v>
      </c>
    </row>
    <row r="156" spans="1:27" ht="15" thickBot="1" x14ac:dyDescent="0.4">
      <c r="B156" s="418" t="str">
        <f t="shared" ref="B156:B219" si="9">IFERROR(VLOOKUP(D156,SICProductCodeLookup,2,FALSE), "")</f>
        <v/>
      </c>
      <c r="C156" s="289" t="str">
        <f t="shared" ref="C156:C219" si="10">IFERROR((VLOOKUP(D156,SICProductCodeLookup,3,FALSE)), "")</f>
        <v/>
      </c>
      <c r="D156" s="112"/>
      <c r="E156" s="419" t="s">
        <v>409</v>
      </c>
      <c r="F156" s="294"/>
      <c r="G156" s="70"/>
      <c r="H156" s="187" t="s">
        <v>263</v>
      </c>
      <c r="I156" s="410">
        <f>SupplychainTier2[[#This Row],[Spend for which Tier 2 method accounts]]</f>
        <v>0</v>
      </c>
      <c r="J156" s="410" t="s">
        <v>263</v>
      </c>
      <c r="K156" s="410" t="str">
        <f>IFERROR(SupplychainTier2[[#This Row],[Calculated emissions (kgCO2e) for this spend]]/SupplychainTier2[[#This Row],[Spend for which Tier 2 method accounts]],"")</f>
        <v/>
      </c>
      <c r="L156" s="199"/>
      <c r="M156" s="103"/>
      <c r="N156" s="103"/>
      <c r="O156" s="286">
        <v>0</v>
      </c>
      <c r="P156" s="286">
        <v>0</v>
      </c>
      <c r="Q156" s="286">
        <f>SupplychainTier2[[#This Row],[Calculated emissions (kgCO2e) for this spend]]</f>
        <v>0</v>
      </c>
      <c r="R156" s="286">
        <v>0</v>
      </c>
      <c r="S156" s="286">
        <v>0</v>
      </c>
      <c r="T156" s="290" t="str">
        <f>IF(SupplychainTier2[[#This Row],[Calculated emissions (kgCO2e) for this spend]]="","",(SupplychainTier2[[#This Row],[Calculated emissions (kgCO2e) for this spend]]*(1+SupplychainTier2[[#This Row],[RSD]])))</f>
        <v/>
      </c>
      <c r="U156" s="290" t="str">
        <f>IF(SupplychainTier2[[#This Row],[Calculated emissions (kgCO2e) for this spend]]="","",(SupplychainTier2[[#This Row],[Calculated emissions (kgCO2e) for this spend]]*(1-SupplychainTier2[[#This Row],[RSD]])))</f>
        <v/>
      </c>
      <c r="V156" s="286">
        <v>0</v>
      </c>
    </row>
    <row r="157" spans="1:27" ht="15" thickBot="1" x14ac:dyDescent="0.4">
      <c r="B157" s="418" t="str">
        <f t="shared" si="9"/>
        <v/>
      </c>
      <c r="C157" s="289" t="str">
        <f t="shared" si="10"/>
        <v/>
      </c>
      <c r="D157" s="112"/>
      <c r="E157" s="419" t="s">
        <v>409</v>
      </c>
      <c r="F157" s="294"/>
      <c r="G157" s="70"/>
      <c r="H157" s="187" t="s">
        <v>263</v>
      </c>
      <c r="I157" s="410">
        <f>SupplychainTier2[[#This Row],[Spend for which Tier 2 method accounts]]</f>
        <v>0</v>
      </c>
      <c r="J157" s="410" t="s">
        <v>263</v>
      </c>
      <c r="K157" s="410" t="str">
        <f>IFERROR(SupplychainTier2[[#This Row],[Calculated emissions (kgCO2e) for this spend]]/SupplychainTier2[[#This Row],[Spend for which Tier 2 method accounts]],"")</f>
        <v/>
      </c>
      <c r="L157" s="199"/>
      <c r="M157" s="103"/>
      <c r="N157" s="103"/>
      <c r="O157" s="286">
        <v>0</v>
      </c>
      <c r="P157" s="286">
        <v>0</v>
      </c>
      <c r="Q157" s="286">
        <f>SupplychainTier2[[#This Row],[Calculated emissions (kgCO2e) for this spend]]</f>
        <v>0</v>
      </c>
      <c r="R157" s="286">
        <v>0</v>
      </c>
      <c r="S157" s="286">
        <v>0</v>
      </c>
      <c r="T157" s="290" t="str">
        <f>IF(SupplychainTier2[[#This Row],[Calculated emissions (kgCO2e) for this spend]]="","",(SupplychainTier2[[#This Row],[Calculated emissions (kgCO2e) for this spend]]*(1+SupplychainTier2[[#This Row],[RSD]])))</f>
        <v/>
      </c>
      <c r="U157" s="290" t="str">
        <f>IF(SupplychainTier2[[#This Row],[Calculated emissions (kgCO2e) for this spend]]="","",(SupplychainTier2[[#This Row],[Calculated emissions (kgCO2e) for this spend]]*(1-SupplychainTier2[[#This Row],[RSD]])))</f>
        <v/>
      </c>
      <c r="V157" s="286">
        <v>0</v>
      </c>
    </row>
    <row r="158" spans="1:27" ht="15" thickBot="1" x14ac:dyDescent="0.4">
      <c r="B158" s="418" t="str">
        <f t="shared" si="9"/>
        <v/>
      </c>
      <c r="C158" s="289" t="str">
        <f t="shared" si="10"/>
        <v/>
      </c>
      <c r="D158" s="112"/>
      <c r="E158" s="419" t="s">
        <v>409</v>
      </c>
      <c r="F158" s="294"/>
      <c r="G158" s="70"/>
      <c r="H158" s="187" t="s">
        <v>263</v>
      </c>
      <c r="I158" s="410">
        <f>SupplychainTier2[[#This Row],[Spend for which Tier 2 method accounts]]</f>
        <v>0</v>
      </c>
      <c r="J158" s="410" t="s">
        <v>263</v>
      </c>
      <c r="K158" s="410" t="str">
        <f>IFERROR(SupplychainTier2[[#This Row],[Calculated emissions (kgCO2e) for this spend]]/SupplychainTier2[[#This Row],[Spend for which Tier 2 method accounts]],"")</f>
        <v/>
      </c>
      <c r="L158" s="199"/>
      <c r="M158" s="103"/>
      <c r="N158" s="103"/>
      <c r="O158" s="286">
        <v>0</v>
      </c>
      <c r="P158" s="286">
        <v>0</v>
      </c>
      <c r="Q158" s="286">
        <f>SupplychainTier2[[#This Row],[Calculated emissions (kgCO2e) for this spend]]</f>
        <v>0</v>
      </c>
      <c r="R158" s="286">
        <v>0</v>
      </c>
      <c r="S158" s="286">
        <v>0</v>
      </c>
      <c r="T158" s="290" t="str">
        <f>IF(SupplychainTier2[[#This Row],[Calculated emissions (kgCO2e) for this spend]]="","",(SupplychainTier2[[#This Row],[Calculated emissions (kgCO2e) for this spend]]*(1+SupplychainTier2[[#This Row],[RSD]])))</f>
        <v/>
      </c>
      <c r="U158" s="290" t="str">
        <f>IF(SupplychainTier2[[#This Row],[Calculated emissions (kgCO2e) for this spend]]="","",(SupplychainTier2[[#This Row],[Calculated emissions (kgCO2e) for this spend]]*(1-SupplychainTier2[[#This Row],[RSD]])))</f>
        <v/>
      </c>
      <c r="V158" s="286">
        <v>0</v>
      </c>
    </row>
    <row r="159" spans="1:27" ht="15" thickBot="1" x14ac:dyDescent="0.4">
      <c r="B159" s="418" t="str">
        <f t="shared" si="9"/>
        <v/>
      </c>
      <c r="C159" s="289" t="str">
        <f t="shared" si="10"/>
        <v/>
      </c>
      <c r="D159" s="112"/>
      <c r="E159" s="419" t="s">
        <v>409</v>
      </c>
      <c r="F159" s="294"/>
      <c r="G159" s="70"/>
      <c r="H159" s="187" t="s">
        <v>263</v>
      </c>
      <c r="I159" s="410">
        <f>SupplychainTier2[[#This Row],[Spend for which Tier 2 method accounts]]</f>
        <v>0</v>
      </c>
      <c r="J159" s="410" t="s">
        <v>263</v>
      </c>
      <c r="K159" s="410" t="str">
        <f>IFERROR(SupplychainTier2[[#This Row],[Calculated emissions (kgCO2e) for this spend]]/SupplychainTier2[[#This Row],[Spend for which Tier 2 method accounts]],"")</f>
        <v/>
      </c>
      <c r="L159" s="199"/>
      <c r="M159" s="103"/>
      <c r="N159" s="103"/>
      <c r="O159" s="286">
        <v>0</v>
      </c>
      <c r="P159" s="286">
        <v>0</v>
      </c>
      <c r="Q159" s="286">
        <f>SupplychainTier2[[#This Row],[Calculated emissions (kgCO2e) for this spend]]</f>
        <v>0</v>
      </c>
      <c r="R159" s="286">
        <v>0</v>
      </c>
      <c r="S159" s="286">
        <v>0</v>
      </c>
      <c r="T159" s="290" t="str">
        <f>IF(SupplychainTier2[[#This Row],[Calculated emissions (kgCO2e) for this spend]]="","",(SupplychainTier2[[#This Row],[Calculated emissions (kgCO2e) for this spend]]*(1+SupplychainTier2[[#This Row],[RSD]])))</f>
        <v/>
      </c>
      <c r="U159" s="290" t="str">
        <f>IF(SupplychainTier2[[#This Row],[Calculated emissions (kgCO2e) for this spend]]="","",(SupplychainTier2[[#This Row],[Calculated emissions (kgCO2e) for this spend]]*(1-SupplychainTier2[[#This Row],[RSD]])))</f>
        <v/>
      </c>
      <c r="V159" s="286">
        <v>0</v>
      </c>
    </row>
    <row r="160" spans="1:27" ht="15" thickBot="1" x14ac:dyDescent="0.4">
      <c r="B160" s="418" t="str">
        <f t="shared" si="9"/>
        <v/>
      </c>
      <c r="C160" s="289" t="str">
        <f t="shared" si="10"/>
        <v/>
      </c>
      <c r="D160" s="112"/>
      <c r="E160" s="419" t="s">
        <v>409</v>
      </c>
      <c r="F160" s="294"/>
      <c r="G160" s="70"/>
      <c r="H160" s="187" t="s">
        <v>263</v>
      </c>
      <c r="I160" s="410">
        <f>SupplychainTier2[[#This Row],[Spend for which Tier 2 method accounts]]</f>
        <v>0</v>
      </c>
      <c r="J160" s="410" t="s">
        <v>263</v>
      </c>
      <c r="K160" s="410" t="str">
        <f>IFERROR(SupplychainTier2[[#This Row],[Calculated emissions (kgCO2e) for this spend]]/SupplychainTier2[[#This Row],[Spend for which Tier 2 method accounts]],"")</f>
        <v/>
      </c>
      <c r="L160" s="199"/>
      <c r="M160" s="103"/>
      <c r="N160" s="103"/>
      <c r="O160" s="286">
        <v>0</v>
      </c>
      <c r="P160" s="286">
        <v>0</v>
      </c>
      <c r="Q160" s="286">
        <f>SupplychainTier2[[#This Row],[Calculated emissions (kgCO2e) for this spend]]</f>
        <v>0</v>
      </c>
      <c r="R160" s="286">
        <v>0</v>
      </c>
      <c r="S160" s="286">
        <v>0</v>
      </c>
      <c r="T160" s="290" t="str">
        <f>IF(SupplychainTier2[[#This Row],[Calculated emissions (kgCO2e) for this spend]]="","",(SupplychainTier2[[#This Row],[Calculated emissions (kgCO2e) for this spend]]*(1+SupplychainTier2[[#This Row],[RSD]])))</f>
        <v/>
      </c>
      <c r="U160" s="290" t="str">
        <f>IF(SupplychainTier2[[#This Row],[Calculated emissions (kgCO2e) for this spend]]="","",(SupplychainTier2[[#This Row],[Calculated emissions (kgCO2e) for this spend]]*(1-SupplychainTier2[[#This Row],[RSD]])))</f>
        <v/>
      </c>
      <c r="V160" s="286">
        <v>0</v>
      </c>
    </row>
    <row r="161" spans="2:22" ht="15" thickBot="1" x14ac:dyDescent="0.4">
      <c r="B161" s="418" t="str">
        <f t="shared" si="9"/>
        <v/>
      </c>
      <c r="C161" s="289" t="str">
        <f t="shared" si="10"/>
        <v/>
      </c>
      <c r="D161" s="112"/>
      <c r="E161" s="419" t="s">
        <v>409</v>
      </c>
      <c r="F161" s="294"/>
      <c r="G161" s="70"/>
      <c r="H161" s="187" t="s">
        <v>263</v>
      </c>
      <c r="I161" s="410">
        <f>SupplychainTier2[[#This Row],[Spend for which Tier 2 method accounts]]</f>
        <v>0</v>
      </c>
      <c r="J161" s="410" t="s">
        <v>263</v>
      </c>
      <c r="K161" s="410" t="str">
        <f>IFERROR(SupplychainTier2[[#This Row],[Calculated emissions (kgCO2e) for this spend]]/SupplychainTier2[[#This Row],[Spend for which Tier 2 method accounts]],"")</f>
        <v/>
      </c>
      <c r="L161" s="199"/>
      <c r="M161" s="103"/>
      <c r="N161" s="103"/>
      <c r="O161" s="286">
        <v>0</v>
      </c>
      <c r="P161" s="286">
        <v>0</v>
      </c>
      <c r="Q161" s="286">
        <f>SupplychainTier2[[#This Row],[Calculated emissions (kgCO2e) for this spend]]</f>
        <v>0</v>
      </c>
      <c r="R161" s="286">
        <v>0</v>
      </c>
      <c r="S161" s="286">
        <v>0</v>
      </c>
      <c r="T161" s="290" t="str">
        <f>IF(SupplychainTier2[[#This Row],[Calculated emissions (kgCO2e) for this spend]]="","",(SupplychainTier2[[#This Row],[Calculated emissions (kgCO2e) for this spend]]*(1+SupplychainTier2[[#This Row],[RSD]])))</f>
        <v/>
      </c>
      <c r="U161" s="290" t="str">
        <f>IF(SupplychainTier2[[#This Row],[Calculated emissions (kgCO2e) for this spend]]="","",(SupplychainTier2[[#This Row],[Calculated emissions (kgCO2e) for this spend]]*(1-SupplychainTier2[[#This Row],[RSD]])))</f>
        <v/>
      </c>
      <c r="V161" s="286">
        <v>0</v>
      </c>
    </row>
    <row r="162" spans="2:22" ht="15" thickBot="1" x14ac:dyDescent="0.4">
      <c r="B162" s="418" t="str">
        <f t="shared" si="9"/>
        <v/>
      </c>
      <c r="C162" s="289" t="str">
        <f t="shared" si="10"/>
        <v/>
      </c>
      <c r="D162" s="112"/>
      <c r="E162" s="419" t="s">
        <v>409</v>
      </c>
      <c r="F162" s="294"/>
      <c r="G162" s="70"/>
      <c r="H162" s="187" t="s">
        <v>263</v>
      </c>
      <c r="I162" s="410">
        <f>SupplychainTier2[[#This Row],[Spend for which Tier 2 method accounts]]</f>
        <v>0</v>
      </c>
      <c r="J162" s="410" t="s">
        <v>263</v>
      </c>
      <c r="K162" s="410" t="str">
        <f>IFERROR(SupplychainTier2[[#This Row],[Calculated emissions (kgCO2e) for this spend]]/SupplychainTier2[[#This Row],[Spend for which Tier 2 method accounts]],"")</f>
        <v/>
      </c>
      <c r="L162" s="199"/>
      <c r="M162" s="103"/>
      <c r="N162" s="103"/>
      <c r="O162" s="286">
        <v>0</v>
      </c>
      <c r="P162" s="286">
        <v>0</v>
      </c>
      <c r="Q162" s="286">
        <f>SupplychainTier2[[#This Row],[Calculated emissions (kgCO2e) for this spend]]</f>
        <v>0</v>
      </c>
      <c r="R162" s="286">
        <v>0</v>
      </c>
      <c r="S162" s="286">
        <v>0</v>
      </c>
      <c r="T162" s="290" t="str">
        <f>IF(SupplychainTier2[[#This Row],[Calculated emissions (kgCO2e) for this spend]]="","",(SupplychainTier2[[#This Row],[Calculated emissions (kgCO2e) for this spend]]*(1+SupplychainTier2[[#This Row],[RSD]])))</f>
        <v/>
      </c>
      <c r="U162" s="290" t="str">
        <f>IF(SupplychainTier2[[#This Row],[Calculated emissions (kgCO2e) for this spend]]="","",(SupplychainTier2[[#This Row],[Calculated emissions (kgCO2e) for this spend]]*(1-SupplychainTier2[[#This Row],[RSD]])))</f>
        <v/>
      </c>
      <c r="V162" s="286">
        <v>0</v>
      </c>
    </row>
    <row r="163" spans="2:22" ht="15" thickBot="1" x14ac:dyDescent="0.4">
      <c r="B163" s="418" t="str">
        <f t="shared" si="9"/>
        <v/>
      </c>
      <c r="C163" s="289" t="str">
        <f t="shared" si="10"/>
        <v/>
      </c>
      <c r="D163" s="112"/>
      <c r="E163" s="419" t="s">
        <v>409</v>
      </c>
      <c r="F163" s="294"/>
      <c r="G163" s="70"/>
      <c r="H163" s="187" t="s">
        <v>263</v>
      </c>
      <c r="I163" s="410">
        <f>SupplychainTier2[[#This Row],[Spend for which Tier 2 method accounts]]</f>
        <v>0</v>
      </c>
      <c r="J163" s="410" t="s">
        <v>263</v>
      </c>
      <c r="K163" s="410" t="str">
        <f>IFERROR(SupplychainTier2[[#This Row],[Calculated emissions (kgCO2e) for this spend]]/SupplychainTier2[[#This Row],[Spend for which Tier 2 method accounts]],"")</f>
        <v/>
      </c>
      <c r="L163" s="199"/>
      <c r="M163" s="103"/>
      <c r="N163" s="103"/>
      <c r="O163" s="286">
        <v>0</v>
      </c>
      <c r="P163" s="286">
        <v>0</v>
      </c>
      <c r="Q163" s="286">
        <f>SupplychainTier2[[#This Row],[Calculated emissions (kgCO2e) for this spend]]</f>
        <v>0</v>
      </c>
      <c r="R163" s="286">
        <v>0</v>
      </c>
      <c r="S163" s="286">
        <v>0</v>
      </c>
      <c r="T163" s="290" t="str">
        <f>IF(SupplychainTier2[[#This Row],[Calculated emissions (kgCO2e) for this spend]]="","",(SupplychainTier2[[#This Row],[Calculated emissions (kgCO2e) for this spend]]*(1+SupplychainTier2[[#This Row],[RSD]])))</f>
        <v/>
      </c>
      <c r="U163" s="290" t="str">
        <f>IF(SupplychainTier2[[#This Row],[Calculated emissions (kgCO2e) for this spend]]="","",(SupplychainTier2[[#This Row],[Calculated emissions (kgCO2e) for this spend]]*(1-SupplychainTier2[[#This Row],[RSD]])))</f>
        <v/>
      </c>
      <c r="V163" s="286">
        <v>0</v>
      </c>
    </row>
    <row r="164" spans="2:22" ht="15" thickBot="1" x14ac:dyDescent="0.4">
      <c r="B164" s="418" t="str">
        <f t="shared" si="9"/>
        <v/>
      </c>
      <c r="C164" s="289" t="str">
        <f t="shared" si="10"/>
        <v/>
      </c>
      <c r="D164" s="112"/>
      <c r="E164" s="419" t="s">
        <v>409</v>
      </c>
      <c r="F164" s="294"/>
      <c r="G164" s="70"/>
      <c r="H164" s="187" t="s">
        <v>263</v>
      </c>
      <c r="I164" s="410">
        <f>SupplychainTier2[[#This Row],[Spend for which Tier 2 method accounts]]</f>
        <v>0</v>
      </c>
      <c r="J164" s="410" t="s">
        <v>263</v>
      </c>
      <c r="K164" s="410" t="str">
        <f>IFERROR(SupplychainTier2[[#This Row],[Calculated emissions (kgCO2e) for this spend]]/SupplychainTier2[[#This Row],[Spend for which Tier 2 method accounts]],"")</f>
        <v/>
      </c>
      <c r="L164" s="199"/>
      <c r="M164" s="103"/>
      <c r="N164" s="103"/>
      <c r="O164" s="286">
        <v>0</v>
      </c>
      <c r="P164" s="286">
        <v>0</v>
      </c>
      <c r="Q164" s="286">
        <f>SupplychainTier2[[#This Row],[Calculated emissions (kgCO2e) for this spend]]</f>
        <v>0</v>
      </c>
      <c r="R164" s="286">
        <v>0</v>
      </c>
      <c r="S164" s="286">
        <v>0</v>
      </c>
      <c r="T164" s="290" t="str">
        <f>IF(SupplychainTier2[[#This Row],[Calculated emissions (kgCO2e) for this spend]]="","",(SupplychainTier2[[#This Row],[Calculated emissions (kgCO2e) for this spend]]*(1+SupplychainTier2[[#This Row],[RSD]])))</f>
        <v/>
      </c>
      <c r="U164" s="290" t="str">
        <f>IF(SupplychainTier2[[#This Row],[Calculated emissions (kgCO2e) for this spend]]="","",(SupplychainTier2[[#This Row],[Calculated emissions (kgCO2e) for this spend]]*(1-SupplychainTier2[[#This Row],[RSD]])))</f>
        <v/>
      </c>
      <c r="V164" s="286">
        <v>0</v>
      </c>
    </row>
    <row r="165" spans="2:22" ht="15" thickBot="1" x14ac:dyDescent="0.4">
      <c r="B165" s="418" t="str">
        <f t="shared" si="9"/>
        <v/>
      </c>
      <c r="C165" s="289" t="str">
        <f t="shared" si="10"/>
        <v/>
      </c>
      <c r="D165" s="112"/>
      <c r="E165" s="419" t="s">
        <v>409</v>
      </c>
      <c r="F165" s="294"/>
      <c r="G165" s="70"/>
      <c r="H165" s="187" t="s">
        <v>263</v>
      </c>
      <c r="I165" s="410">
        <f>SupplychainTier2[[#This Row],[Spend for which Tier 2 method accounts]]</f>
        <v>0</v>
      </c>
      <c r="J165" s="410" t="s">
        <v>263</v>
      </c>
      <c r="K165" s="410" t="str">
        <f>IFERROR(SupplychainTier2[[#This Row],[Calculated emissions (kgCO2e) for this spend]]/SupplychainTier2[[#This Row],[Spend for which Tier 2 method accounts]],"")</f>
        <v/>
      </c>
      <c r="L165" s="199"/>
      <c r="M165" s="103"/>
      <c r="N165" s="103"/>
      <c r="O165" s="286">
        <v>0</v>
      </c>
      <c r="P165" s="286">
        <v>0</v>
      </c>
      <c r="Q165" s="286">
        <f>SupplychainTier2[[#This Row],[Calculated emissions (kgCO2e) for this spend]]</f>
        <v>0</v>
      </c>
      <c r="R165" s="286">
        <v>0</v>
      </c>
      <c r="S165" s="286">
        <v>0</v>
      </c>
      <c r="T165" s="290" t="str">
        <f>IF(SupplychainTier2[[#This Row],[Calculated emissions (kgCO2e) for this spend]]="","",(SupplychainTier2[[#This Row],[Calculated emissions (kgCO2e) for this spend]]*(1+SupplychainTier2[[#This Row],[RSD]])))</f>
        <v/>
      </c>
      <c r="U165" s="290" t="str">
        <f>IF(SupplychainTier2[[#This Row],[Calculated emissions (kgCO2e) for this spend]]="","",(SupplychainTier2[[#This Row],[Calculated emissions (kgCO2e) for this spend]]*(1-SupplychainTier2[[#This Row],[RSD]])))</f>
        <v/>
      </c>
      <c r="V165" s="286">
        <v>0</v>
      </c>
    </row>
    <row r="166" spans="2:22" ht="15" thickBot="1" x14ac:dyDescent="0.4">
      <c r="B166" s="418" t="str">
        <f t="shared" si="9"/>
        <v/>
      </c>
      <c r="C166" s="289" t="str">
        <f t="shared" si="10"/>
        <v/>
      </c>
      <c r="D166" s="112"/>
      <c r="E166" s="419" t="s">
        <v>409</v>
      </c>
      <c r="F166" s="294"/>
      <c r="G166" s="70"/>
      <c r="H166" s="187" t="s">
        <v>263</v>
      </c>
      <c r="I166" s="410">
        <f>SupplychainTier2[[#This Row],[Spend for which Tier 2 method accounts]]</f>
        <v>0</v>
      </c>
      <c r="J166" s="410" t="s">
        <v>263</v>
      </c>
      <c r="K166" s="410" t="str">
        <f>IFERROR(SupplychainTier2[[#This Row],[Calculated emissions (kgCO2e) for this spend]]/SupplychainTier2[[#This Row],[Spend for which Tier 2 method accounts]],"")</f>
        <v/>
      </c>
      <c r="L166" s="199"/>
      <c r="M166" s="103"/>
      <c r="N166" s="103"/>
      <c r="O166" s="286">
        <v>0</v>
      </c>
      <c r="P166" s="286">
        <v>0</v>
      </c>
      <c r="Q166" s="286">
        <f>SupplychainTier2[[#This Row],[Calculated emissions (kgCO2e) for this spend]]</f>
        <v>0</v>
      </c>
      <c r="R166" s="286">
        <v>0</v>
      </c>
      <c r="S166" s="286">
        <v>0</v>
      </c>
      <c r="T166" s="290" t="str">
        <f>IF(SupplychainTier2[[#This Row],[Calculated emissions (kgCO2e) for this spend]]="","",(SupplychainTier2[[#This Row],[Calculated emissions (kgCO2e) for this spend]]*(1+SupplychainTier2[[#This Row],[RSD]])))</f>
        <v/>
      </c>
      <c r="U166" s="290" t="str">
        <f>IF(SupplychainTier2[[#This Row],[Calculated emissions (kgCO2e) for this spend]]="","",(SupplychainTier2[[#This Row],[Calculated emissions (kgCO2e) for this spend]]*(1-SupplychainTier2[[#This Row],[RSD]])))</f>
        <v/>
      </c>
      <c r="V166" s="286">
        <v>0</v>
      </c>
    </row>
    <row r="167" spans="2:22" ht="15" thickBot="1" x14ac:dyDescent="0.4">
      <c r="B167" s="418" t="str">
        <f t="shared" si="9"/>
        <v/>
      </c>
      <c r="C167" s="289" t="str">
        <f t="shared" si="10"/>
        <v/>
      </c>
      <c r="D167" s="112"/>
      <c r="E167" s="419" t="s">
        <v>409</v>
      </c>
      <c r="F167" s="294"/>
      <c r="G167" s="70"/>
      <c r="H167" s="187" t="s">
        <v>263</v>
      </c>
      <c r="I167" s="410">
        <f>SupplychainTier2[[#This Row],[Spend for which Tier 2 method accounts]]</f>
        <v>0</v>
      </c>
      <c r="J167" s="410" t="s">
        <v>263</v>
      </c>
      <c r="K167" s="410" t="str">
        <f>IFERROR(SupplychainTier2[[#This Row],[Calculated emissions (kgCO2e) for this spend]]/SupplychainTier2[[#This Row],[Spend for which Tier 2 method accounts]],"")</f>
        <v/>
      </c>
      <c r="L167" s="199"/>
      <c r="M167" s="103"/>
      <c r="N167" s="103"/>
      <c r="O167" s="286">
        <v>0</v>
      </c>
      <c r="P167" s="286">
        <v>0</v>
      </c>
      <c r="Q167" s="286">
        <f>SupplychainTier2[[#This Row],[Calculated emissions (kgCO2e) for this spend]]</f>
        <v>0</v>
      </c>
      <c r="R167" s="286">
        <v>0</v>
      </c>
      <c r="S167" s="286">
        <v>0</v>
      </c>
      <c r="T167" s="290" t="str">
        <f>IF(SupplychainTier2[[#This Row],[Calculated emissions (kgCO2e) for this spend]]="","",(SupplychainTier2[[#This Row],[Calculated emissions (kgCO2e) for this spend]]*(1+SupplychainTier2[[#This Row],[RSD]])))</f>
        <v/>
      </c>
      <c r="U167" s="290" t="str">
        <f>IF(SupplychainTier2[[#This Row],[Calculated emissions (kgCO2e) for this spend]]="","",(SupplychainTier2[[#This Row],[Calculated emissions (kgCO2e) for this spend]]*(1-SupplychainTier2[[#This Row],[RSD]])))</f>
        <v/>
      </c>
      <c r="V167" s="286">
        <v>0</v>
      </c>
    </row>
    <row r="168" spans="2:22" ht="15" thickBot="1" x14ac:dyDescent="0.4">
      <c r="B168" s="418" t="str">
        <f t="shared" si="9"/>
        <v/>
      </c>
      <c r="C168" s="289" t="str">
        <f t="shared" si="10"/>
        <v/>
      </c>
      <c r="D168" s="112"/>
      <c r="E168" s="419" t="s">
        <v>409</v>
      </c>
      <c r="F168" s="294"/>
      <c r="G168" s="70"/>
      <c r="H168" s="187" t="s">
        <v>263</v>
      </c>
      <c r="I168" s="410">
        <f>SupplychainTier2[[#This Row],[Spend for which Tier 2 method accounts]]</f>
        <v>0</v>
      </c>
      <c r="J168" s="410" t="s">
        <v>263</v>
      </c>
      <c r="K168" s="410" t="str">
        <f>IFERROR(SupplychainTier2[[#This Row],[Calculated emissions (kgCO2e) for this spend]]/SupplychainTier2[[#This Row],[Spend for which Tier 2 method accounts]],"")</f>
        <v/>
      </c>
      <c r="L168" s="199"/>
      <c r="M168" s="103"/>
      <c r="N168" s="103"/>
      <c r="O168" s="286">
        <v>0</v>
      </c>
      <c r="P168" s="286">
        <v>0</v>
      </c>
      <c r="Q168" s="286">
        <f>SupplychainTier2[[#This Row],[Calculated emissions (kgCO2e) for this spend]]</f>
        <v>0</v>
      </c>
      <c r="R168" s="286">
        <v>0</v>
      </c>
      <c r="S168" s="286">
        <v>0</v>
      </c>
      <c r="T168" s="290" t="str">
        <f>IF(SupplychainTier2[[#This Row],[Calculated emissions (kgCO2e) for this spend]]="","",(SupplychainTier2[[#This Row],[Calculated emissions (kgCO2e) for this spend]]*(1+SupplychainTier2[[#This Row],[RSD]])))</f>
        <v/>
      </c>
      <c r="U168" s="290" t="str">
        <f>IF(SupplychainTier2[[#This Row],[Calculated emissions (kgCO2e) for this spend]]="","",(SupplychainTier2[[#This Row],[Calculated emissions (kgCO2e) for this spend]]*(1-SupplychainTier2[[#This Row],[RSD]])))</f>
        <v/>
      </c>
      <c r="V168" s="286">
        <v>0</v>
      </c>
    </row>
    <row r="169" spans="2:22" ht="15" thickBot="1" x14ac:dyDescent="0.4">
      <c r="B169" s="418" t="str">
        <f t="shared" si="9"/>
        <v/>
      </c>
      <c r="C169" s="289" t="str">
        <f t="shared" si="10"/>
        <v/>
      </c>
      <c r="D169" s="112"/>
      <c r="E169" s="419" t="s">
        <v>409</v>
      </c>
      <c r="F169" s="294"/>
      <c r="G169" s="70"/>
      <c r="H169" s="187" t="s">
        <v>263</v>
      </c>
      <c r="I169" s="410">
        <f>SupplychainTier2[[#This Row],[Spend for which Tier 2 method accounts]]</f>
        <v>0</v>
      </c>
      <c r="J169" s="410" t="s">
        <v>263</v>
      </c>
      <c r="K169" s="410" t="str">
        <f>IFERROR(SupplychainTier2[[#This Row],[Calculated emissions (kgCO2e) for this spend]]/SupplychainTier2[[#This Row],[Spend for which Tier 2 method accounts]],"")</f>
        <v/>
      </c>
      <c r="L169" s="199"/>
      <c r="M169" s="103"/>
      <c r="N169" s="103"/>
      <c r="O169" s="286">
        <v>0</v>
      </c>
      <c r="P169" s="286">
        <v>0</v>
      </c>
      <c r="Q169" s="286">
        <f>SupplychainTier2[[#This Row],[Calculated emissions (kgCO2e) for this spend]]</f>
        <v>0</v>
      </c>
      <c r="R169" s="286">
        <v>0</v>
      </c>
      <c r="S169" s="286">
        <v>0</v>
      </c>
      <c r="T169" s="290" t="str">
        <f>IF(SupplychainTier2[[#This Row],[Calculated emissions (kgCO2e) for this spend]]="","",(SupplychainTier2[[#This Row],[Calculated emissions (kgCO2e) for this spend]]*(1+SupplychainTier2[[#This Row],[RSD]])))</f>
        <v/>
      </c>
      <c r="U169" s="290" t="str">
        <f>IF(SupplychainTier2[[#This Row],[Calculated emissions (kgCO2e) for this spend]]="","",(SupplychainTier2[[#This Row],[Calculated emissions (kgCO2e) for this spend]]*(1-SupplychainTier2[[#This Row],[RSD]])))</f>
        <v/>
      </c>
      <c r="V169" s="286">
        <v>0</v>
      </c>
    </row>
    <row r="170" spans="2:22" ht="15" thickBot="1" x14ac:dyDescent="0.4">
      <c r="B170" s="418" t="str">
        <f t="shared" si="9"/>
        <v/>
      </c>
      <c r="C170" s="289" t="str">
        <f t="shared" si="10"/>
        <v/>
      </c>
      <c r="D170" s="112"/>
      <c r="E170" s="419" t="s">
        <v>409</v>
      </c>
      <c r="F170" s="294"/>
      <c r="G170" s="70"/>
      <c r="H170" s="187" t="s">
        <v>263</v>
      </c>
      <c r="I170" s="410">
        <f>SupplychainTier2[[#This Row],[Spend for which Tier 2 method accounts]]</f>
        <v>0</v>
      </c>
      <c r="J170" s="410" t="s">
        <v>263</v>
      </c>
      <c r="K170" s="410" t="str">
        <f>IFERROR(SupplychainTier2[[#This Row],[Calculated emissions (kgCO2e) for this spend]]/SupplychainTier2[[#This Row],[Spend for which Tier 2 method accounts]],"")</f>
        <v/>
      </c>
      <c r="L170" s="199"/>
      <c r="M170" s="103"/>
      <c r="N170" s="103"/>
      <c r="O170" s="286">
        <v>0</v>
      </c>
      <c r="P170" s="286">
        <v>0</v>
      </c>
      <c r="Q170" s="286">
        <f>SupplychainTier2[[#This Row],[Calculated emissions (kgCO2e) for this spend]]</f>
        <v>0</v>
      </c>
      <c r="R170" s="286">
        <v>0</v>
      </c>
      <c r="S170" s="286">
        <v>0</v>
      </c>
      <c r="T170" s="290" t="str">
        <f>IF(SupplychainTier2[[#This Row],[Calculated emissions (kgCO2e) for this spend]]="","",(SupplychainTier2[[#This Row],[Calculated emissions (kgCO2e) for this spend]]*(1+SupplychainTier2[[#This Row],[RSD]])))</f>
        <v/>
      </c>
      <c r="U170" s="290" t="str">
        <f>IF(SupplychainTier2[[#This Row],[Calculated emissions (kgCO2e) for this spend]]="","",(SupplychainTier2[[#This Row],[Calculated emissions (kgCO2e) for this spend]]*(1-SupplychainTier2[[#This Row],[RSD]])))</f>
        <v/>
      </c>
      <c r="V170" s="286">
        <v>0</v>
      </c>
    </row>
    <row r="171" spans="2:22" ht="15" thickBot="1" x14ac:dyDescent="0.4">
      <c r="B171" s="418" t="str">
        <f t="shared" si="9"/>
        <v/>
      </c>
      <c r="C171" s="289" t="str">
        <f t="shared" si="10"/>
        <v/>
      </c>
      <c r="D171" s="112"/>
      <c r="E171" s="419" t="s">
        <v>409</v>
      </c>
      <c r="F171" s="294"/>
      <c r="G171" s="70"/>
      <c r="H171" s="187" t="s">
        <v>263</v>
      </c>
      <c r="I171" s="410">
        <f>SupplychainTier2[[#This Row],[Spend for which Tier 2 method accounts]]</f>
        <v>0</v>
      </c>
      <c r="J171" s="410" t="s">
        <v>263</v>
      </c>
      <c r="K171" s="410" t="str">
        <f>IFERROR(SupplychainTier2[[#This Row],[Calculated emissions (kgCO2e) for this spend]]/SupplychainTier2[[#This Row],[Spend for which Tier 2 method accounts]],"")</f>
        <v/>
      </c>
      <c r="L171" s="199"/>
      <c r="M171" s="103"/>
      <c r="N171" s="103"/>
      <c r="O171" s="286">
        <v>0</v>
      </c>
      <c r="P171" s="286">
        <v>0</v>
      </c>
      <c r="Q171" s="286">
        <f>SupplychainTier2[[#This Row],[Calculated emissions (kgCO2e) for this spend]]</f>
        <v>0</v>
      </c>
      <c r="R171" s="286">
        <v>0</v>
      </c>
      <c r="S171" s="286">
        <v>0</v>
      </c>
      <c r="T171" s="290" t="str">
        <f>IF(SupplychainTier2[[#This Row],[Calculated emissions (kgCO2e) for this spend]]="","",(SupplychainTier2[[#This Row],[Calculated emissions (kgCO2e) for this spend]]*(1+SupplychainTier2[[#This Row],[RSD]])))</f>
        <v/>
      </c>
      <c r="U171" s="290" t="str">
        <f>IF(SupplychainTier2[[#This Row],[Calculated emissions (kgCO2e) for this spend]]="","",(SupplychainTier2[[#This Row],[Calculated emissions (kgCO2e) for this spend]]*(1-SupplychainTier2[[#This Row],[RSD]])))</f>
        <v/>
      </c>
      <c r="V171" s="286">
        <v>0</v>
      </c>
    </row>
    <row r="172" spans="2:22" ht="15" thickBot="1" x14ac:dyDescent="0.4">
      <c r="B172" s="418" t="str">
        <f t="shared" si="9"/>
        <v/>
      </c>
      <c r="C172" s="289" t="str">
        <f t="shared" si="10"/>
        <v/>
      </c>
      <c r="D172" s="112"/>
      <c r="E172" s="419" t="s">
        <v>409</v>
      </c>
      <c r="F172" s="294"/>
      <c r="G172" s="70"/>
      <c r="H172" s="187" t="s">
        <v>263</v>
      </c>
      <c r="I172" s="410">
        <f>SupplychainTier2[[#This Row],[Spend for which Tier 2 method accounts]]</f>
        <v>0</v>
      </c>
      <c r="J172" s="410" t="s">
        <v>263</v>
      </c>
      <c r="K172" s="410" t="str">
        <f>IFERROR(SupplychainTier2[[#This Row],[Calculated emissions (kgCO2e) for this spend]]/SupplychainTier2[[#This Row],[Spend for which Tier 2 method accounts]],"")</f>
        <v/>
      </c>
      <c r="L172" s="199"/>
      <c r="M172" s="103"/>
      <c r="N172" s="103"/>
      <c r="O172" s="286">
        <v>0</v>
      </c>
      <c r="P172" s="286">
        <v>0</v>
      </c>
      <c r="Q172" s="286">
        <f>SupplychainTier2[[#This Row],[Calculated emissions (kgCO2e) for this spend]]</f>
        <v>0</v>
      </c>
      <c r="R172" s="286">
        <v>0</v>
      </c>
      <c r="S172" s="286">
        <v>0</v>
      </c>
      <c r="T172" s="290" t="str">
        <f>IF(SupplychainTier2[[#This Row],[Calculated emissions (kgCO2e) for this spend]]="","",(SupplychainTier2[[#This Row],[Calculated emissions (kgCO2e) for this spend]]*(1+SupplychainTier2[[#This Row],[RSD]])))</f>
        <v/>
      </c>
      <c r="U172" s="290" t="str">
        <f>IF(SupplychainTier2[[#This Row],[Calculated emissions (kgCO2e) for this spend]]="","",(SupplychainTier2[[#This Row],[Calculated emissions (kgCO2e) for this spend]]*(1-SupplychainTier2[[#This Row],[RSD]])))</f>
        <v/>
      </c>
      <c r="V172" s="286">
        <v>0</v>
      </c>
    </row>
    <row r="173" spans="2:22" ht="15" thickBot="1" x14ac:dyDescent="0.4">
      <c r="B173" s="418" t="str">
        <f t="shared" si="9"/>
        <v/>
      </c>
      <c r="C173" s="289" t="str">
        <f t="shared" si="10"/>
        <v/>
      </c>
      <c r="D173" s="112"/>
      <c r="E173" s="419" t="s">
        <v>409</v>
      </c>
      <c r="F173" s="294"/>
      <c r="G173" s="70"/>
      <c r="H173" s="187" t="s">
        <v>263</v>
      </c>
      <c r="I173" s="410">
        <f>SupplychainTier2[[#This Row],[Spend for which Tier 2 method accounts]]</f>
        <v>0</v>
      </c>
      <c r="J173" s="410" t="s">
        <v>263</v>
      </c>
      <c r="K173" s="410" t="str">
        <f>IFERROR(SupplychainTier2[[#This Row],[Calculated emissions (kgCO2e) for this spend]]/SupplychainTier2[[#This Row],[Spend for which Tier 2 method accounts]],"")</f>
        <v/>
      </c>
      <c r="L173" s="199"/>
      <c r="M173" s="103"/>
      <c r="N173" s="103"/>
      <c r="O173" s="286">
        <v>0</v>
      </c>
      <c r="P173" s="286">
        <v>0</v>
      </c>
      <c r="Q173" s="286">
        <f>SupplychainTier2[[#This Row],[Calculated emissions (kgCO2e) for this spend]]</f>
        <v>0</v>
      </c>
      <c r="R173" s="286">
        <v>0</v>
      </c>
      <c r="S173" s="286">
        <v>0</v>
      </c>
      <c r="T173" s="290" t="str">
        <f>IF(SupplychainTier2[[#This Row],[Calculated emissions (kgCO2e) for this spend]]="","",(SupplychainTier2[[#This Row],[Calculated emissions (kgCO2e) for this spend]]*(1+SupplychainTier2[[#This Row],[RSD]])))</f>
        <v/>
      </c>
      <c r="U173" s="290" t="str">
        <f>IF(SupplychainTier2[[#This Row],[Calculated emissions (kgCO2e) for this spend]]="","",(SupplychainTier2[[#This Row],[Calculated emissions (kgCO2e) for this spend]]*(1-SupplychainTier2[[#This Row],[RSD]])))</f>
        <v/>
      </c>
      <c r="V173" s="286">
        <v>0</v>
      </c>
    </row>
    <row r="174" spans="2:22" ht="15" thickBot="1" x14ac:dyDescent="0.4">
      <c r="B174" s="418" t="str">
        <f t="shared" si="9"/>
        <v/>
      </c>
      <c r="C174" s="289" t="str">
        <f t="shared" si="10"/>
        <v/>
      </c>
      <c r="D174" s="112"/>
      <c r="E174" s="419" t="s">
        <v>409</v>
      </c>
      <c r="F174" s="294"/>
      <c r="G174" s="70"/>
      <c r="H174" s="187" t="s">
        <v>263</v>
      </c>
      <c r="I174" s="410">
        <f>SupplychainTier2[[#This Row],[Spend for which Tier 2 method accounts]]</f>
        <v>0</v>
      </c>
      <c r="J174" s="410" t="s">
        <v>263</v>
      </c>
      <c r="K174" s="410" t="str">
        <f>IFERROR(SupplychainTier2[[#This Row],[Calculated emissions (kgCO2e) for this spend]]/SupplychainTier2[[#This Row],[Spend for which Tier 2 method accounts]],"")</f>
        <v/>
      </c>
      <c r="L174" s="199"/>
      <c r="M174" s="103"/>
      <c r="N174" s="103"/>
      <c r="O174" s="286">
        <v>0</v>
      </c>
      <c r="P174" s="286">
        <v>0</v>
      </c>
      <c r="Q174" s="286">
        <f>SupplychainTier2[[#This Row],[Calculated emissions (kgCO2e) for this spend]]</f>
        <v>0</v>
      </c>
      <c r="R174" s="286">
        <v>0</v>
      </c>
      <c r="S174" s="286">
        <v>0</v>
      </c>
      <c r="T174" s="290" t="str">
        <f>IF(SupplychainTier2[[#This Row],[Calculated emissions (kgCO2e) for this spend]]="","",(SupplychainTier2[[#This Row],[Calculated emissions (kgCO2e) for this spend]]*(1+SupplychainTier2[[#This Row],[RSD]])))</f>
        <v/>
      </c>
      <c r="U174" s="290" t="str">
        <f>IF(SupplychainTier2[[#This Row],[Calculated emissions (kgCO2e) for this spend]]="","",(SupplychainTier2[[#This Row],[Calculated emissions (kgCO2e) for this spend]]*(1-SupplychainTier2[[#This Row],[RSD]])))</f>
        <v/>
      </c>
      <c r="V174" s="286">
        <v>0</v>
      </c>
    </row>
    <row r="175" spans="2:22" ht="15" thickBot="1" x14ac:dyDescent="0.4">
      <c r="B175" s="418" t="str">
        <f t="shared" si="9"/>
        <v/>
      </c>
      <c r="C175" s="289" t="str">
        <f t="shared" si="10"/>
        <v/>
      </c>
      <c r="D175" s="112"/>
      <c r="E175" s="419" t="s">
        <v>409</v>
      </c>
      <c r="F175" s="294"/>
      <c r="G175" s="70"/>
      <c r="H175" s="187" t="s">
        <v>263</v>
      </c>
      <c r="I175" s="410">
        <f>SupplychainTier2[[#This Row],[Spend for which Tier 2 method accounts]]</f>
        <v>0</v>
      </c>
      <c r="J175" s="410" t="s">
        <v>263</v>
      </c>
      <c r="K175" s="410" t="str">
        <f>IFERROR(SupplychainTier2[[#This Row],[Calculated emissions (kgCO2e) for this spend]]/SupplychainTier2[[#This Row],[Spend for which Tier 2 method accounts]],"")</f>
        <v/>
      </c>
      <c r="L175" s="199"/>
      <c r="M175" s="103"/>
      <c r="N175" s="103"/>
      <c r="O175" s="286">
        <v>0</v>
      </c>
      <c r="P175" s="286">
        <v>0</v>
      </c>
      <c r="Q175" s="286">
        <f>SupplychainTier2[[#This Row],[Calculated emissions (kgCO2e) for this spend]]</f>
        <v>0</v>
      </c>
      <c r="R175" s="286">
        <v>0</v>
      </c>
      <c r="S175" s="286">
        <v>0</v>
      </c>
      <c r="T175" s="290" t="str">
        <f>IF(SupplychainTier2[[#This Row],[Calculated emissions (kgCO2e) for this spend]]="","",(SupplychainTier2[[#This Row],[Calculated emissions (kgCO2e) for this spend]]*(1+SupplychainTier2[[#This Row],[RSD]])))</f>
        <v/>
      </c>
      <c r="U175" s="290" t="str">
        <f>IF(SupplychainTier2[[#This Row],[Calculated emissions (kgCO2e) for this spend]]="","",(SupplychainTier2[[#This Row],[Calculated emissions (kgCO2e) for this spend]]*(1-SupplychainTier2[[#This Row],[RSD]])))</f>
        <v/>
      </c>
      <c r="V175" s="286">
        <v>0</v>
      </c>
    </row>
    <row r="176" spans="2:22" ht="15" thickBot="1" x14ac:dyDescent="0.4">
      <c r="B176" s="418" t="str">
        <f t="shared" si="9"/>
        <v/>
      </c>
      <c r="C176" s="289" t="str">
        <f t="shared" si="10"/>
        <v/>
      </c>
      <c r="D176" s="112"/>
      <c r="E176" s="419" t="s">
        <v>409</v>
      </c>
      <c r="F176" s="294"/>
      <c r="G176" s="70"/>
      <c r="H176" s="187" t="s">
        <v>263</v>
      </c>
      <c r="I176" s="410">
        <f>SupplychainTier2[[#This Row],[Spend for which Tier 2 method accounts]]</f>
        <v>0</v>
      </c>
      <c r="J176" s="410" t="s">
        <v>263</v>
      </c>
      <c r="K176" s="410" t="str">
        <f>IFERROR(SupplychainTier2[[#This Row],[Calculated emissions (kgCO2e) for this spend]]/SupplychainTier2[[#This Row],[Spend for which Tier 2 method accounts]],"")</f>
        <v/>
      </c>
      <c r="L176" s="199"/>
      <c r="M176" s="103"/>
      <c r="N176" s="103"/>
      <c r="O176" s="286">
        <v>0</v>
      </c>
      <c r="P176" s="286">
        <v>0</v>
      </c>
      <c r="Q176" s="286">
        <f>SupplychainTier2[[#This Row],[Calculated emissions (kgCO2e) for this spend]]</f>
        <v>0</v>
      </c>
      <c r="R176" s="286">
        <v>0</v>
      </c>
      <c r="S176" s="286">
        <v>0</v>
      </c>
      <c r="T176" s="290" t="str">
        <f>IF(SupplychainTier2[[#This Row],[Calculated emissions (kgCO2e) for this spend]]="","",(SupplychainTier2[[#This Row],[Calculated emissions (kgCO2e) for this spend]]*(1+SupplychainTier2[[#This Row],[RSD]])))</f>
        <v/>
      </c>
      <c r="U176" s="290" t="str">
        <f>IF(SupplychainTier2[[#This Row],[Calculated emissions (kgCO2e) for this spend]]="","",(SupplychainTier2[[#This Row],[Calculated emissions (kgCO2e) for this spend]]*(1-SupplychainTier2[[#This Row],[RSD]])))</f>
        <v/>
      </c>
      <c r="V176" s="286">
        <v>0</v>
      </c>
    </row>
    <row r="177" spans="2:22" ht="15" thickBot="1" x14ac:dyDescent="0.4">
      <c r="B177" s="418" t="str">
        <f t="shared" si="9"/>
        <v/>
      </c>
      <c r="C177" s="289" t="str">
        <f t="shared" si="10"/>
        <v/>
      </c>
      <c r="D177" s="112"/>
      <c r="E177" s="419" t="s">
        <v>409</v>
      </c>
      <c r="F177" s="294"/>
      <c r="G177" s="70"/>
      <c r="H177" s="187" t="s">
        <v>263</v>
      </c>
      <c r="I177" s="410">
        <f>SupplychainTier2[[#This Row],[Spend for which Tier 2 method accounts]]</f>
        <v>0</v>
      </c>
      <c r="J177" s="410" t="s">
        <v>263</v>
      </c>
      <c r="K177" s="410" t="str">
        <f>IFERROR(SupplychainTier2[[#This Row],[Calculated emissions (kgCO2e) for this spend]]/SupplychainTier2[[#This Row],[Spend for which Tier 2 method accounts]],"")</f>
        <v/>
      </c>
      <c r="L177" s="199"/>
      <c r="M177" s="103"/>
      <c r="N177" s="103"/>
      <c r="O177" s="286">
        <v>0</v>
      </c>
      <c r="P177" s="286">
        <v>0</v>
      </c>
      <c r="Q177" s="286">
        <f>SupplychainTier2[[#This Row],[Calculated emissions (kgCO2e) for this spend]]</f>
        <v>0</v>
      </c>
      <c r="R177" s="286">
        <v>0</v>
      </c>
      <c r="S177" s="286">
        <v>0</v>
      </c>
      <c r="T177" s="290" t="str">
        <f>IF(SupplychainTier2[[#This Row],[Calculated emissions (kgCO2e) for this spend]]="","",(SupplychainTier2[[#This Row],[Calculated emissions (kgCO2e) for this spend]]*(1+SupplychainTier2[[#This Row],[RSD]])))</f>
        <v/>
      </c>
      <c r="U177" s="290" t="str">
        <f>IF(SupplychainTier2[[#This Row],[Calculated emissions (kgCO2e) for this spend]]="","",(SupplychainTier2[[#This Row],[Calculated emissions (kgCO2e) for this spend]]*(1-SupplychainTier2[[#This Row],[RSD]])))</f>
        <v/>
      </c>
      <c r="V177" s="286">
        <v>0</v>
      </c>
    </row>
    <row r="178" spans="2:22" ht="15" thickBot="1" x14ac:dyDescent="0.4">
      <c r="B178" s="418" t="str">
        <f t="shared" si="9"/>
        <v/>
      </c>
      <c r="C178" s="289" t="str">
        <f t="shared" si="10"/>
        <v/>
      </c>
      <c r="D178" s="112"/>
      <c r="E178" s="419" t="s">
        <v>409</v>
      </c>
      <c r="F178" s="294"/>
      <c r="G178" s="70"/>
      <c r="H178" s="187" t="s">
        <v>263</v>
      </c>
      <c r="I178" s="410">
        <f>SupplychainTier2[[#This Row],[Spend for which Tier 2 method accounts]]</f>
        <v>0</v>
      </c>
      <c r="J178" s="410" t="s">
        <v>263</v>
      </c>
      <c r="K178" s="410" t="str">
        <f>IFERROR(SupplychainTier2[[#This Row],[Calculated emissions (kgCO2e) for this spend]]/SupplychainTier2[[#This Row],[Spend for which Tier 2 method accounts]],"")</f>
        <v/>
      </c>
      <c r="L178" s="199"/>
      <c r="M178" s="103"/>
      <c r="N178" s="103"/>
      <c r="O178" s="286">
        <v>0</v>
      </c>
      <c r="P178" s="286">
        <v>0</v>
      </c>
      <c r="Q178" s="286">
        <f>SupplychainTier2[[#This Row],[Calculated emissions (kgCO2e) for this spend]]</f>
        <v>0</v>
      </c>
      <c r="R178" s="286">
        <v>0</v>
      </c>
      <c r="S178" s="286">
        <v>0</v>
      </c>
      <c r="T178" s="290" t="str">
        <f>IF(SupplychainTier2[[#This Row],[Calculated emissions (kgCO2e) for this spend]]="","",(SupplychainTier2[[#This Row],[Calculated emissions (kgCO2e) for this spend]]*(1+SupplychainTier2[[#This Row],[RSD]])))</f>
        <v/>
      </c>
      <c r="U178" s="290" t="str">
        <f>IF(SupplychainTier2[[#This Row],[Calculated emissions (kgCO2e) for this spend]]="","",(SupplychainTier2[[#This Row],[Calculated emissions (kgCO2e) for this spend]]*(1-SupplychainTier2[[#This Row],[RSD]])))</f>
        <v/>
      </c>
      <c r="V178" s="286">
        <v>0</v>
      </c>
    </row>
    <row r="179" spans="2:22" ht="15" thickBot="1" x14ac:dyDescent="0.4">
      <c r="B179" s="418" t="str">
        <f t="shared" si="9"/>
        <v/>
      </c>
      <c r="C179" s="289" t="str">
        <f t="shared" si="10"/>
        <v/>
      </c>
      <c r="D179" s="112"/>
      <c r="E179" s="419" t="s">
        <v>409</v>
      </c>
      <c r="F179" s="294"/>
      <c r="G179" s="70"/>
      <c r="H179" s="187" t="s">
        <v>263</v>
      </c>
      <c r="I179" s="410">
        <f>SupplychainTier2[[#This Row],[Spend for which Tier 2 method accounts]]</f>
        <v>0</v>
      </c>
      <c r="J179" s="410" t="s">
        <v>263</v>
      </c>
      <c r="K179" s="410" t="str">
        <f>IFERROR(SupplychainTier2[[#This Row],[Calculated emissions (kgCO2e) for this spend]]/SupplychainTier2[[#This Row],[Spend for which Tier 2 method accounts]],"")</f>
        <v/>
      </c>
      <c r="L179" s="199"/>
      <c r="M179" s="103"/>
      <c r="N179" s="103"/>
      <c r="O179" s="286">
        <v>0</v>
      </c>
      <c r="P179" s="286">
        <v>0</v>
      </c>
      <c r="Q179" s="286">
        <f>SupplychainTier2[[#This Row],[Calculated emissions (kgCO2e) for this spend]]</f>
        <v>0</v>
      </c>
      <c r="R179" s="286">
        <v>0</v>
      </c>
      <c r="S179" s="286">
        <v>0</v>
      </c>
      <c r="T179" s="290" t="str">
        <f>IF(SupplychainTier2[[#This Row],[Calculated emissions (kgCO2e) for this spend]]="","",(SupplychainTier2[[#This Row],[Calculated emissions (kgCO2e) for this spend]]*(1+SupplychainTier2[[#This Row],[RSD]])))</f>
        <v/>
      </c>
      <c r="U179" s="290" t="str">
        <f>IF(SupplychainTier2[[#This Row],[Calculated emissions (kgCO2e) for this spend]]="","",(SupplychainTier2[[#This Row],[Calculated emissions (kgCO2e) for this spend]]*(1-SupplychainTier2[[#This Row],[RSD]])))</f>
        <v/>
      </c>
      <c r="V179" s="286">
        <v>0</v>
      </c>
    </row>
    <row r="180" spans="2:22" ht="15" thickBot="1" x14ac:dyDescent="0.4">
      <c r="B180" s="418" t="str">
        <f t="shared" si="9"/>
        <v/>
      </c>
      <c r="C180" s="289" t="str">
        <f t="shared" si="10"/>
        <v/>
      </c>
      <c r="D180" s="112"/>
      <c r="E180" s="419" t="s">
        <v>409</v>
      </c>
      <c r="F180" s="294"/>
      <c r="G180" s="70"/>
      <c r="H180" s="187" t="s">
        <v>263</v>
      </c>
      <c r="I180" s="410">
        <f>SupplychainTier2[[#This Row],[Spend for which Tier 2 method accounts]]</f>
        <v>0</v>
      </c>
      <c r="J180" s="410" t="s">
        <v>263</v>
      </c>
      <c r="K180" s="410" t="str">
        <f>IFERROR(SupplychainTier2[[#This Row],[Calculated emissions (kgCO2e) for this spend]]/SupplychainTier2[[#This Row],[Spend for which Tier 2 method accounts]],"")</f>
        <v/>
      </c>
      <c r="L180" s="199"/>
      <c r="M180" s="103"/>
      <c r="N180" s="103"/>
      <c r="O180" s="286">
        <v>0</v>
      </c>
      <c r="P180" s="286">
        <v>0</v>
      </c>
      <c r="Q180" s="286">
        <f>SupplychainTier2[[#This Row],[Calculated emissions (kgCO2e) for this spend]]</f>
        <v>0</v>
      </c>
      <c r="R180" s="286">
        <v>0</v>
      </c>
      <c r="S180" s="286">
        <v>0</v>
      </c>
      <c r="T180" s="290" t="str">
        <f>IF(SupplychainTier2[[#This Row],[Calculated emissions (kgCO2e) for this spend]]="","",(SupplychainTier2[[#This Row],[Calculated emissions (kgCO2e) for this spend]]*(1+SupplychainTier2[[#This Row],[RSD]])))</f>
        <v/>
      </c>
      <c r="U180" s="290" t="str">
        <f>IF(SupplychainTier2[[#This Row],[Calculated emissions (kgCO2e) for this spend]]="","",(SupplychainTier2[[#This Row],[Calculated emissions (kgCO2e) for this spend]]*(1-SupplychainTier2[[#This Row],[RSD]])))</f>
        <v/>
      </c>
      <c r="V180" s="286">
        <v>0</v>
      </c>
    </row>
    <row r="181" spans="2:22" ht="15" thickBot="1" x14ac:dyDescent="0.4">
      <c r="B181" s="418" t="str">
        <f t="shared" si="9"/>
        <v/>
      </c>
      <c r="C181" s="289" t="str">
        <f t="shared" si="10"/>
        <v/>
      </c>
      <c r="D181" s="112"/>
      <c r="E181" s="419" t="s">
        <v>409</v>
      </c>
      <c r="F181" s="294"/>
      <c r="G181" s="70"/>
      <c r="H181" s="187" t="s">
        <v>263</v>
      </c>
      <c r="I181" s="410">
        <f>SupplychainTier2[[#This Row],[Spend for which Tier 2 method accounts]]</f>
        <v>0</v>
      </c>
      <c r="J181" s="410" t="s">
        <v>263</v>
      </c>
      <c r="K181" s="410" t="str">
        <f>IFERROR(SupplychainTier2[[#This Row],[Calculated emissions (kgCO2e) for this spend]]/SupplychainTier2[[#This Row],[Spend for which Tier 2 method accounts]],"")</f>
        <v/>
      </c>
      <c r="L181" s="199"/>
      <c r="M181" s="103"/>
      <c r="N181" s="103"/>
      <c r="O181" s="286">
        <v>0</v>
      </c>
      <c r="P181" s="286">
        <v>0</v>
      </c>
      <c r="Q181" s="286">
        <f>SupplychainTier2[[#This Row],[Calculated emissions (kgCO2e) for this spend]]</f>
        <v>0</v>
      </c>
      <c r="R181" s="286">
        <v>0</v>
      </c>
      <c r="S181" s="286">
        <v>0</v>
      </c>
      <c r="T181" s="290" t="str">
        <f>IF(SupplychainTier2[[#This Row],[Calculated emissions (kgCO2e) for this spend]]="","",(SupplychainTier2[[#This Row],[Calculated emissions (kgCO2e) for this spend]]*(1+SupplychainTier2[[#This Row],[RSD]])))</f>
        <v/>
      </c>
      <c r="U181" s="290" t="str">
        <f>IF(SupplychainTier2[[#This Row],[Calculated emissions (kgCO2e) for this spend]]="","",(SupplychainTier2[[#This Row],[Calculated emissions (kgCO2e) for this spend]]*(1-SupplychainTier2[[#This Row],[RSD]])))</f>
        <v/>
      </c>
      <c r="V181" s="286">
        <v>0</v>
      </c>
    </row>
    <row r="182" spans="2:22" ht="15" thickBot="1" x14ac:dyDescent="0.4">
      <c r="B182" s="418" t="str">
        <f t="shared" si="9"/>
        <v/>
      </c>
      <c r="C182" s="289" t="str">
        <f t="shared" si="10"/>
        <v/>
      </c>
      <c r="D182" s="112"/>
      <c r="E182" s="419" t="s">
        <v>409</v>
      </c>
      <c r="F182" s="294"/>
      <c r="G182" s="70"/>
      <c r="H182" s="187" t="s">
        <v>263</v>
      </c>
      <c r="I182" s="410">
        <f>SupplychainTier2[[#This Row],[Spend for which Tier 2 method accounts]]</f>
        <v>0</v>
      </c>
      <c r="J182" s="410" t="s">
        <v>263</v>
      </c>
      <c r="K182" s="410" t="str">
        <f>IFERROR(SupplychainTier2[[#This Row],[Calculated emissions (kgCO2e) for this spend]]/SupplychainTier2[[#This Row],[Spend for which Tier 2 method accounts]],"")</f>
        <v/>
      </c>
      <c r="L182" s="199"/>
      <c r="M182" s="103"/>
      <c r="N182" s="103"/>
      <c r="O182" s="286">
        <v>0</v>
      </c>
      <c r="P182" s="286">
        <v>0</v>
      </c>
      <c r="Q182" s="286">
        <f>SupplychainTier2[[#This Row],[Calculated emissions (kgCO2e) for this spend]]</f>
        <v>0</v>
      </c>
      <c r="R182" s="286">
        <v>0</v>
      </c>
      <c r="S182" s="286">
        <v>0</v>
      </c>
      <c r="T182" s="290" t="str">
        <f>IF(SupplychainTier2[[#This Row],[Calculated emissions (kgCO2e) for this spend]]="","",(SupplychainTier2[[#This Row],[Calculated emissions (kgCO2e) for this spend]]*(1+SupplychainTier2[[#This Row],[RSD]])))</f>
        <v/>
      </c>
      <c r="U182" s="290" t="str">
        <f>IF(SupplychainTier2[[#This Row],[Calculated emissions (kgCO2e) for this spend]]="","",(SupplychainTier2[[#This Row],[Calculated emissions (kgCO2e) for this spend]]*(1-SupplychainTier2[[#This Row],[RSD]])))</f>
        <v/>
      </c>
      <c r="V182" s="286">
        <v>0</v>
      </c>
    </row>
    <row r="183" spans="2:22" ht="15" thickBot="1" x14ac:dyDescent="0.4">
      <c r="B183" s="418" t="str">
        <f t="shared" si="9"/>
        <v/>
      </c>
      <c r="C183" s="289" t="str">
        <f t="shared" si="10"/>
        <v/>
      </c>
      <c r="D183" s="112"/>
      <c r="E183" s="419" t="s">
        <v>409</v>
      </c>
      <c r="F183" s="294"/>
      <c r="G183" s="70"/>
      <c r="H183" s="187" t="s">
        <v>263</v>
      </c>
      <c r="I183" s="410">
        <f>SupplychainTier2[[#This Row],[Spend for which Tier 2 method accounts]]</f>
        <v>0</v>
      </c>
      <c r="J183" s="410" t="s">
        <v>263</v>
      </c>
      <c r="K183" s="410" t="str">
        <f>IFERROR(SupplychainTier2[[#This Row],[Calculated emissions (kgCO2e) for this spend]]/SupplychainTier2[[#This Row],[Spend for which Tier 2 method accounts]],"")</f>
        <v/>
      </c>
      <c r="L183" s="199"/>
      <c r="M183" s="103"/>
      <c r="N183" s="103"/>
      <c r="O183" s="286">
        <v>0</v>
      </c>
      <c r="P183" s="286">
        <v>0</v>
      </c>
      <c r="Q183" s="286">
        <f>SupplychainTier2[[#This Row],[Calculated emissions (kgCO2e) for this spend]]</f>
        <v>0</v>
      </c>
      <c r="R183" s="286">
        <v>0</v>
      </c>
      <c r="S183" s="286">
        <v>0</v>
      </c>
      <c r="T183" s="290" t="str">
        <f>IF(SupplychainTier2[[#This Row],[Calculated emissions (kgCO2e) for this spend]]="","",(SupplychainTier2[[#This Row],[Calculated emissions (kgCO2e) for this spend]]*(1+SupplychainTier2[[#This Row],[RSD]])))</f>
        <v/>
      </c>
      <c r="U183" s="290" t="str">
        <f>IF(SupplychainTier2[[#This Row],[Calculated emissions (kgCO2e) for this spend]]="","",(SupplychainTier2[[#This Row],[Calculated emissions (kgCO2e) for this spend]]*(1-SupplychainTier2[[#This Row],[RSD]])))</f>
        <v/>
      </c>
      <c r="V183" s="286">
        <v>0</v>
      </c>
    </row>
    <row r="184" spans="2:22" ht="15" thickBot="1" x14ac:dyDescent="0.4">
      <c r="B184" s="418" t="str">
        <f t="shared" si="9"/>
        <v/>
      </c>
      <c r="C184" s="289" t="str">
        <f t="shared" si="10"/>
        <v/>
      </c>
      <c r="D184" s="112"/>
      <c r="E184" s="419" t="s">
        <v>409</v>
      </c>
      <c r="F184" s="294"/>
      <c r="G184" s="70"/>
      <c r="H184" s="187" t="s">
        <v>263</v>
      </c>
      <c r="I184" s="410">
        <f>SupplychainTier2[[#This Row],[Spend for which Tier 2 method accounts]]</f>
        <v>0</v>
      </c>
      <c r="J184" s="410" t="s">
        <v>263</v>
      </c>
      <c r="K184" s="410" t="str">
        <f>IFERROR(SupplychainTier2[[#This Row],[Calculated emissions (kgCO2e) for this spend]]/SupplychainTier2[[#This Row],[Spend for which Tier 2 method accounts]],"")</f>
        <v/>
      </c>
      <c r="L184" s="199"/>
      <c r="M184" s="103"/>
      <c r="N184" s="103"/>
      <c r="O184" s="286">
        <v>0</v>
      </c>
      <c r="P184" s="286">
        <v>0</v>
      </c>
      <c r="Q184" s="286">
        <f>SupplychainTier2[[#This Row],[Calculated emissions (kgCO2e) for this spend]]</f>
        <v>0</v>
      </c>
      <c r="R184" s="286">
        <v>0</v>
      </c>
      <c r="S184" s="286">
        <v>0</v>
      </c>
      <c r="T184" s="290" t="str">
        <f>IF(SupplychainTier2[[#This Row],[Calculated emissions (kgCO2e) for this spend]]="","",(SupplychainTier2[[#This Row],[Calculated emissions (kgCO2e) for this spend]]*(1+SupplychainTier2[[#This Row],[RSD]])))</f>
        <v/>
      </c>
      <c r="U184" s="290" t="str">
        <f>IF(SupplychainTier2[[#This Row],[Calculated emissions (kgCO2e) for this spend]]="","",(SupplychainTier2[[#This Row],[Calculated emissions (kgCO2e) for this spend]]*(1-SupplychainTier2[[#This Row],[RSD]])))</f>
        <v/>
      </c>
      <c r="V184" s="286">
        <v>0</v>
      </c>
    </row>
    <row r="185" spans="2:22" ht="15" thickBot="1" x14ac:dyDescent="0.4">
      <c r="B185" s="418" t="str">
        <f t="shared" si="9"/>
        <v/>
      </c>
      <c r="C185" s="289" t="str">
        <f t="shared" si="10"/>
        <v/>
      </c>
      <c r="D185" s="112"/>
      <c r="E185" s="419" t="s">
        <v>409</v>
      </c>
      <c r="F185" s="294"/>
      <c r="G185" s="70"/>
      <c r="H185" s="187" t="s">
        <v>263</v>
      </c>
      <c r="I185" s="410">
        <f>SupplychainTier2[[#This Row],[Spend for which Tier 2 method accounts]]</f>
        <v>0</v>
      </c>
      <c r="J185" s="410" t="s">
        <v>263</v>
      </c>
      <c r="K185" s="410" t="str">
        <f>IFERROR(SupplychainTier2[[#This Row],[Calculated emissions (kgCO2e) for this spend]]/SupplychainTier2[[#This Row],[Spend for which Tier 2 method accounts]],"")</f>
        <v/>
      </c>
      <c r="L185" s="199"/>
      <c r="M185" s="103"/>
      <c r="N185" s="103"/>
      <c r="O185" s="286">
        <v>0</v>
      </c>
      <c r="P185" s="286">
        <v>0</v>
      </c>
      <c r="Q185" s="286">
        <f>SupplychainTier2[[#This Row],[Calculated emissions (kgCO2e) for this spend]]</f>
        <v>0</v>
      </c>
      <c r="R185" s="286">
        <v>0</v>
      </c>
      <c r="S185" s="286">
        <v>0</v>
      </c>
      <c r="T185" s="290" t="str">
        <f>IF(SupplychainTier2[[#This Row],[Calculated emissions (kgCO2e) for this spend]]="","",(SupplychainTier2[[#This Row],[Calculated emissions (kgCO2e) for this spend]]*(1+SupplychainTier2[[#This Row],[RSD]])))</f>
        <v/>
      </c>
      <c r="U185" s="290" t="str">
        <f>IF(SupplychainTier2[[#This Row],[Calculated emissions (kgCO2e) for this spend]]="","",(SupplychainTier2[[#This Row],[Calculated emissions (kgCO2e) for this spend]]*(1-SupplychainTier2[[#This Row],[RSD]])))</f>
        <v/>
      </c>
      <c r="V185" s="286">
        <v>0</v>
      </c>
    </row>
    <row r="186" spans="2:22" ht="15" thickBot="1" x14ac:dyDescent="0.4">
      <c r="B186" s="418" t="str">
        <f t="shared" si="9"/>
        <v/>
      </c>
      <c r="C186" s="289" t="str">
        <f t="shared" si="10"/>
        <v/>
      </c>
      <c r="D186" s="112"/>
      <c r="E186" s="419" t="s">
        <v>409</v>
      </c>
      <c r="F186" s="294"/>
      <c r="G186" s="70"/>
      <c r="H186" s="187" t="s">
        <v>263</v>
      </c>
      <c r="I186" s="410">
        <f>SupplychainTier2[[#This Row],[Spend for which Tier 2 method accounts]]</f>
        <v>0</v>
      </c>
      <c r="J186" s="410" t="s">
        <v>263</v>
      </c>
      <c r="K186" s="410" t="str">
        <f>IFERROR(SupplychainTier2[[#This Row],[Calculated emissions (kgCO2e) for this spend]]/SupplychainTier2[[#This Row],[Spend for which Tier 2 method accounts]],"")</f>
        <v/>
      </c>
      <c r="L186" s="199"/>
      <c r="M186" s="103"/>
      <c r="N186" s="103"/>
      <c r="O186" s="286">
        <v>0</v>
      </c>
      <c r="P186" s="286">
        <v>0</v>
      </c>
      <c r="Q186" s="286">
        <f>SupplychainTier2[[#This Row],[Calculated emissions (kgCO2e) for this spend]]</f>
        <v>0</v>
      </c>
      <c r="R186" s="286">
        <v>0</v>
      </c>
      <c r="S186" s="286">
        <v>0</v>
      </c>
      <c r="T186" s="290" t="str">
        <f>IF(SupplychainTier2[[#This Row],[Calculated emissions (kgCO2e) for this spend]]="","",(SupplychainTier2[[#This Row],[Calculated emissions (kgCO2e) for this spend]]*(1+SupplychainTier2[[#This Row],[RSD]])))</f>
        <v/>
      </c>
      <c r="U186" s="290" t="str">
        <f>IF(SupplychainTier2[[#This Row],[Calculated emissions (kgCO2e) for this spend]]="","",(SupplychainTier2[[#This Row],[Calculated emissions (kgCO2e) for this spend]]*(1-SupplychainTier2[[#This Row],[RSD]])))</f>
        <v/>
      </c>
      <c r="V186" s="286">
        <v>0</v>
      </c>
    </row>
    <row r="187" spans="2:22" ht="15" thickBot="1" x14ac:dyDescent="0.4">
      <c r="B187" s="418" t="str">
        <f t="shared" si="9"/>
        <v/>
      </c>
      <c r="C187" s="289" t="str">
        <f t="shared" si="10"/>
        <v/>
      </c>
      <c r="D187" s="112"/>
      <c r="E187" s="419" t="s">
        <v>409</v>
      </c>
      <c r="F187" s="294"/>
      <c r="G187" s="70"/>
      <c r="H187" s="187" t="s">
        <v>263</v>
      </c>
      <c r="I187" s="410">
        <f>SupplychainTier2[[#This Row],[Spend for which Tier 2 method accounts]]</f>
        <v>0</v>
      </c>
      <c r="J187" s="410" t="s">
        <v>263</v>
      </c>
      <c r="K187" s="410" t="str">
        <f>IFERROR(SupplychainTier2[[#This Row],[Calculated emissions (kgCO2e) for this spend]]/SupplychainTier2[[#This Row],[Spend for which Tier 2 method accounts]],"")</f>
        <v/>
      </c>
      <c r="L187" s="199"/>
      <c r="M187" s="103"/>
      <c r="N187" s="103"/>
      <c r="O187" s="286">
        <v>0</v>
      </c>
      <c r="P187" s="286">
        <v>0</v>
      </c>
      <c r="Q187" s="286">
        <f>SupplychainTier2[[#This Row],[Calculated emissions (kgCO2e) for this spend]]</f>
        <v>0</v>
      </c>
      <c r="R187" s="286">
        <v>0</v>
      </c>
      <c r="S187" s="286">
        <v>0</v>
      </c>
      <c r="T187" s="290" t="str">
        <f>IF(SupplychainTier2[[#This Row],[Calculated emissions (kgCO2e) for this spend]]="","",(SupplychainTier2[[#This Row],[Calculated emissions (kgCO2e) for this spend]]*(1+SupplychainTier2[[#This Row],[RSD]])))</f>
        <v/>
      </c>
      <c r="U187" s="290" t="str">
        <f>IF(SupplychainTier2[[#This Row],[Calculated emissions (kgCO2e) for this spend]]="","",(SupplychainTier2[[#This Row],[Calculated emissions (kgCO2e) for this spend]]*(1-SupplychainTier2[[#This Row],[RSD]])))</f>
        <v/>
      </c>
      <c r="V187" s="286">
        <v>0</v>
      </c>
    </row>
    <row r="188" spans="2:22" ht="15" thickBot="1" x14ac:dyDescent="0.4">
      <c r="B188" s="418" t="str">
        <f t="shared" si="9"/>
        <v/>
      </c>
      <c r="C188" s="289" t="str">
        <f t="shared" si="10"/>
        <v/>
      </c>
      <c r="D188" s="112"/>
      <c r="E188" s="419" t="s">
        <v>409</v>
      </c>
      <c r="F188" s="294"/>
      <c r="G188" s="70"/>
      <c r="H188" s="187" t="s">
        <v>263</v>
      </c>
      <c r="I188" s="410">
        <f>SupplychainTier2[[#This Row],[Spend for which Tier 2 method accounts]]</f>
        <v>0</v>
      </c>
      <c r="J188" s="410" t="s">
        <v>263</v>
      </c>
      <c r="K188" s="410" t="str">
        <f>IFERROR(SupplychainTier2[[#This Row],[Calculated emissions (kgCO2e) for this spend]]/SupplychainTier2[[#This Row],[Spend for which Tier 2 method accounts]],"")</f>
        <v/>
      </c>
      <c r="L188" s="199"/>
      <c r="M188" s="103"/>
      <c r="N188" s="103"/>
      <c r="O188" s="286">
        <v>0</v>
      </c>
      <c r="P188" s="286">
        <v>0</v>
      </c>
      <c r="Q188" s="286">
        <f>SupplychainTier2[[#This Row],[Calculated emissions (kgCO2e) for this spend]]</f>
        <v>0</v>
      </c>
      <c r="R188" s="286">
        <v>0</v>
      </c>
      <c r="S188" s="286">
        <v>0</v>
      </c>
      <c r="T188" s="290" t="str">
        <f>IF(SupplychainTier2[[#This Row],[Calculated emissions (kgCO2e) for this spend]]="","",(SupplychainTier2[[#This Row],[Calculated emissions (kgCO2e) for this spend]]*(1+SupplychainTier2[[#This Row],[RSD]])))</f>
        <v/>
      </c>
      <c r="U188" s="290" t="str">
        <f>IF(SupplychainTier2[[#This Row],[Calculated emissions (kgCO2e) for this spend]]="","",(SupplychainTier2[[#This Row],[Calculated emissions (kgCO2e) for this spend]]*(1-SupplychainTier2[[#This Row],[RSD]])))</f>
        <v/>
      </c>
      <c r="V188" s="286">
        <v>0</v>
      </c>
    </row>
    <row r="189" spans="2:22" ht="15" thickBot="1" x14ac:dyDescent="0.4">
      <c r="B189" s="418" t="str">
        <f t="shared" si="9"/>
        <v/>
      </c>
      <c r="C189" s="289" t="str">
        <f t="shared" si="10"/>
        <v/>
      </c>
      <c r="D189" s="112"/>
      <c r="E189" s="419" t="s">
        <v>409</v>
      </c>
      <c r="F189" s="294"/>
      <c r="G189" s="70"/>
      <c r="H189" s="187" t="s">
        <v>263</v>
      </c>
      <c r="I189" s="410">
        <f>SupplychainTier2[[#This Row],[Spend for which Tier 2 method accounts]]</f>
        <v>0</v>
      </c>
      <c r="J189" s="410" t="s">
        <v>263</v>
      </c>
      <c r="K189" s="410" t="str">
        <f>IFERROR(SupplychainTier2[[#This Row],[Calculated emissions (kgCO2e) for this spend]]/SupplychainTier2[[#This Row],[Spend for which Tier 2 method accounts]],"")</f>
        <v/>
      </c>
      <c r="L189" s="199"/>
      <c r="M189" s="103"/>
      <c r="N189" s="103"/>
      <c r="O189" s="286">
        <v>0</v>
      </c>
      <c r="P189" s="286">
        <v>0</v>
      </c>
      <c r="Q189" s="286">
        <f>SupplychainTier2[[#This Row],[Calculated emissions (kgCO2e) for this spend]]</f>
        <v>0</v>
      </c>
      <c r="R189" s="286">
        <v>0</v>
      </c>
      <c r="S189" s="286">
        <v>0</v>
      </c>
      <c r="T189" s="290" t="str">
        <f>IF(SupplychainTier2[[#This Row],[Calculated emissions (kgCO2e) for this spend]]="","",(SupplychainTier2[[#This Row],[Calculated emissions (kgCO2e) for this spend]]*(1+SupplychainTier2[[#This Row],[RSD]])))</f>
        <v/>
      </c>
      <c r="U189" s="290" t="str">
        <f>IF(SupplychainTier2[[#This Row],[Calculated emissions (kgCO2e) for this spend]]="","",(SupplychainTier2[[#This Row],[Calculated emissions (kgCO2e) for this spend]]*(1-SupplychainTier2[[#This Row],[RSD]])))</f>
        <v/>
      </c>
      <c r="V189" s="286">
        <v>0</v>
      </c>
    </row>
    <row r="190" spans="2:22" ht="15" thickBot="1" x14ac:dyDescent="0.4">
      <c r="B190" s="418" t="str">
        <f t="shared" si="9"/>
        <v/>
      </c>
      <c r="C190" s="289" t="str">
        <f t="shared" si="10"/>
        <v/>
      </c>
      <c r="D190" s="112"/>
      <c r="E190" s="419" t="s">
        <v>409</v>
      </c>
      <c r="F190" s="294"/>
      <c r="G190" s="70"/>
      <c r="H190" s="187" t="s">
        <v>263</v>
      </c>
      <c r="I190" s="410">
        <f>SupplychainTier2[[#This Row],[Spend for which Tier 2 method accounts]]</f>
        <v>0</v>
      </c>
      <c r="J190" s="410" t="s">
        <v>263</v>
      </c>
      <c r="K190" s="410" t="str">
        <f>IFERROR(SupplychainTier2[[#This Row],[Calculated emissions (kgCO2e) for this spend]]/SupplychainTier2[[#This Row],[Spend for which Tier 2 method accounts]],"")</f>
        <v/>
      </c>
      <c r="L190" s="199"/>
      <c r="M190" s="103"/>
      <c r="N190" s="103"/>
      <c r="O190" s="286">
        <v>0</v>
      </c>
      <c r="P190" s="286">
        <v>0</v>
      </c>
      <c r="Q190" s="286">
        <f>SupplychainTier2[[#This Row],[Calculated emissions (kgCO2e) for this spend]]</f>
        <v>0</v>
      </c>
      <c r="R190" s="286">
        <v>0</v>
      </c>
      <c r="S190" s="286">
        <v>0</v>
      </c>
      <c r="T190" s="290" t="str">
        <f>IF(SupplychainTier2[[#This Row],[Calculated emissions (kgCO2e) for this spend]]="","",(SupplychainTier2[[#This Row],[Calculated emissions (kgCO2e) for this spend]]*(1+SupplychainTier2[[#This Row],[RSD]])))</f>
        <v/>
      </c>
      <c r="U190" s="290" t="str">
        <f>IF(SupplychainTier2[[#This Row],[Calculated emissions (kgCO2e) for this spend]]="","",(SupplychainTier2[[#This Row],[Calculated emissions (kgCO2e) for this spend]]*(1-SupplychainTier2[[#This Row],[RSD]])))</f>
        <v/>
      </c>
      <c r="V190" s="286">
        <v>0</v>
      </c>
    </row>
    <row r="191" spans="2:22" ht="15" thickBot="1" x14ac:dyDescent="0.4">
      <c r="B191" s="418" t="str">
        <f t="shared" si="9"/>
        <v/>
      </c>
      <c r="C191" s="289" t="str">
        <f t="shared" si="10"/>
        <v/>
      </c>
      <c r="D191" s="112"/>
      <c r="E191" s="419" t="s">
        <v>409</v>
      </c>
      <c r="F191" s="294"/>
      <c r="G191" s="70"/>
      <c r="H191" s="187" t="s">
        <v>263</v>
      </c>
      <c r="I191" s="410">
        <f>SupplychainTier2[[#This Row],[Spend for which Tier 2 method accounts]]</f>
        <v>0</v>
      </c>
      <c r="J191" s="410" t="s">
        <v>263</v>
      </c>
      <c r="K191" s="410" t="str">
        <f>IFERROR(SupplychainTier2[[#This Row],[Calculated emissions (kgCO2e) for this spend]]/SupplychainTier2[[#This Row],[Spend for which Tier 2 method accounts]],"")</f>
        <v/>
      </c>
      <c r="L191" s="199"/>
      <c r="M191" s="103"/>
      <c r="N191" s="103"/>
      <c r="O191" s="286">
        <v>0</v>
      </c>
      <c r="P191" s="286">
        <v>0</v>
      </c>
      <c r="Q191" s="286">
        <f>SupplychainTier2[[#This Row],[Calculated emissions (kgCO2e) for this spend]]</f>
        <v>0</v>
      </c>
      <c r="R191" s="286">
        <v>0</v>
      </c>
      <c r="S191" s="286">
        <v>0</v>
      </c>
      <c r="T191" s="290" t="str">
        <f>IF(SupplychainTier2[[#This Row],[Calculated emissions (kgCO2e) for this spend]]="","",(SupplychainTier2[[#This Row],[Calculated emissions (kgCO2e) for this spend]]*(1+SupplychainTier2[[#This Row],[RSD]])))</f>
        <v/>
      </c>
      <c r="U191" s="290" t="str">
        <f>IF(SupplychainTier2[[#This Row],[Calculated emissions (kgCO2e) for this spend]]="","",(SupplychainTier2[[#This Row],[Calculated emissions (kgCO2e) for this spend]]*(1-SupplychainTier2[[#This Row],[RSD]])))</f>
        <v/>
      </c>
      <c r="V191" s="286">
        <v>0</v>
      </c>
    </row>
    <row r="192" spans="2:22" ht="15" thickBot="1" x14ac:dyDescent="0.4">
      <c r="B192" s="418" t="str">
        <f t="shared" si="9"/>
        <v/>
      </c>
      <c r="C192" s="289" t="str">
        <f t="shared" si="10"/>
        <v/>
      </c>
      <c r="D192" s="112"/>
      <c r="E192" s="419" t="s">
        <v>409</v>
      </c>
      <c r="F192" s="294"/>
      <c r="G192" s="70"/>
      <c r="H192" s="187" t="s">
        <v>263</v>
      </c>
      <c r="I192" s="410">
        <f>SupplychainTier2[[#This Row],[Spend for which Tier 2 method accounts]]</f>
        <v>0</v>
      </c>
      <c r="J192" s="410" t="s">
        <v>263</v>
      </c>
      <c r="K192" s="410" t="str">
        <f>IFERROR(SupplychainTier2[[#This Row],[Calculated emissions (kgCO2e) for this spend]]/SupplychainTier2[[#This Row],[Spend for which Tier 2 method accounts]],"")</f>
        <v/>
      </c>
      <c r="L192" s="199"/>
      <c r="M192" s="103"/>
      <c r="N192" s="103"/>
      <c r="O192" s="286">
        <v>0</v>
      </c>
      <c r="P192" s="286">
        <v>0</v>
      </c>
      <c r="Q192" s="286">
        <f>SupplychainTier2[[#This Row],[Calculated emissions (kgCO2e) for this spend]]</f>
        <v>0</v>
      </c>
      <c r="R192" s="286">
        <v>0</v>
      </c>
      <c r="S192" s="286">
        <v>0</v>
      </c>
      <c r="T192" s="290" t="str">
        <f>IF(SupplychainTier2[[#This Row],[Calculated emissions (kgCO2e) for this spend]]="","",(SupplychainTier2[[#This Row],[Calculated emissions (kgCO2e) for this spend]]*(1+SupplychainTier2[[#This Row],[RSD]])))</f>
        <v/>
      </c>
      <c r="U192" s="290" t="str">
        <f>IF(SupplychainTier2[[#This Row],[Calculated emissions (kgCO2e) for this spend]]="","",(SupplychainTier2[[#This Row],[Calculated emissions (kgCO2e) for this spend]]*(1-SupplychainTier2[[#This Row],[RSD]])))</f>
        <v/>
      </c>
      <c r="V192" s="286">
        <v>0</v>
      </c>
    </row>
    <row r="193" spans="2:22" ht="15" thickBot="1" x14ac:dyDescent="0.4">
      <c r="B193" s="418" t="str">
        <f t="shared" si="9"/>
        <v/>
      </c>
      <c r="C193" s="289" t="str">
        <f t="shared" si="10"/>
        <v/>
      </c>
      <c r="D193" s="112"/>
      <c r="E193" s="419" t="s">
        <v>409</v>
      </c>
      <c r="F193" s="294"/>
      <c r="G193" s="70"/>
      <c r="H193" s="187" t="s">
        <v>263</v>
      </c>
      <c r="I193" s="410">
        <f>SupplychainTier2[[#This Row],[Spend for which Tier 2 method accounts]]</f>
        <v>0</v>
      </c>
      <c r="J193" s="410" t="s">
        <v>263</v>
      </c>
      <c r="K193" s="410" t="str">
        <f>IFERROR(SupplychainTier2[[#This Row],[Calculated emissions (kgCO2e) for this spend]]/SupplychainTier2[[#This Row],[Spend for which Tier 2 method accounts]],"")</f>
        <v/>
      </c>
      <c r="L193" s="199"/>
      <c r="M193" s="103"/>
      <c r="N193" s="103"/>
      <c r="O193" s="286">
        <v>0</v>
      </c>
      <c r="P193" s="286">
        <v>0</v>
      </c>
      <c r="Q193" s="286">
        <f>SupplychainTier2[[#This Row],[Calculated emissions (kgCO2e) for this spend]]</f>
        <v>0</v>
      </c>
      <c r="R193" s="286">
        <v>0</v>
      </c>
      <c r="S193" s="286">
        <v>0</v>
      </c>
      <c r="T193" s="290" t="str">
        <f>IF(SupplychainTier2[[#This Row],[Calculated emissions (kgCO2e) for this spend]]="","",(SupplychainTier2[[#This Row],[Calculated emissions (kgCO2e) for this spend]]*(1+SupplychainTier2[[#This Row],[RSD]])))</f>
        <v/>
      </c>
      <c r="U193" s="290" t="str">
        <f>IF(SupplychainTier2[[#This Row],[Calculated emissions (kgCO2e) for this spend]]="","",(SupplychainTier2[[#This Row],[Calculated emissions (kgCO2e) for this spend]]*(1-SupplychainTier2[[#This Row],[RSD]])))</f>
        <v/>
      </c>
      <c r="V193" s="286">
        <v>0</v>
      </c>
    </row>
    <row r="194" spans="2:22" ht="15" thickBot="1" x14ac:dyDescent="0.4">
      <c r="B194" s="418" t="str">
        <f t="shared" si="9"/>
        <v/>
      </c>
      <c r="C194" s="289" t="str">
        <f t="shared" si="10"/>
        <v/>
      </c>
      <c r="D194" s="112"/>
      <c r="E194" s="419" t="s">
        <v>409</v>
      </c>
      <c r="F194" s="294"/>
      <c r="G194" s="70"/>
      <c r="H194" s="187" t="s">
        <v>263</v>
      </c>
      <c r="I194" s="410">
        <f>SupplychainTier2[[#This Row],[Spend for which Tier 2 method accounts]]</f>
        <v>0</v>
      </c>
      <c r="J194" s="410" t="s">
        <v>263</v>
      </c>
      <c r="K194" s="410" t="str">
        <f>IFERROR(SupplychainTier2[[#This Row],[Calculated emissions (kgCO2e) for this spend]]/SupplychainTier2[[#This Row],[Spend for which Tier 2 method accounts]],"")</f>
        <v/>
      </c>
      <c r="L194" s="199"/>
      <c r="M194" s="103"/>
      <c r="N194" s="103"/>
      <c r="O194" s="286">
        <v>0</v>
      </c>
      <c r="P194" s="286">
        <v>0</v>
      </c>
      <c r="Q194" s="286">
        <f>SupplychainTier2[[#This Row],[Calculated emissions (kgCO2e) for this spend]]</f>
        <v>0</v>
      </c>
      <c r="R194" s="286">
        <v>0</v>
      </c>
      <c r="S194" s="286">
        <v>0</v>
      </c>
      <c r="T194" s="290" t="str">
        <f>IF(SupplychainTier2[[#This Row],[Calculated emissions (kgCO2e) for this spend]]="","",(SupplychainTier2[[#This Row],[Calculated emissions (kgCO2e) for this spend]]*(1+SupplychainTier2[[#This Row],[RSD]])))</f>
        <v/>
      </c>
      <c r="U194" s="290" t="str">
        <f>IF(SupplychainTier2[[#This Row],[Calculated emissions (kgCO2e) for this spend]]="","",(SupplychainTier2[[#This Row],[Calculated emissions (kgCO2e) for this spend]]*(1-SupplychainTier2[[#This Row],[RSD]])))</f>
        <v/>
      </c>
      <c r="V194" s="286">
        <v>0</v>
      </c>
    </row>
    <row r="195" spans="2:22" ht="15" thickBot="1" x14ac:dyDescent="0.4">
      <c r="B195" s="418" t="str">
        <f t="shared" si="9"/>
        <v/>
      </c>
      <c r="C195" s="289" t="str">
        <f t="shared" si="10"/>
        <v/>
      </c>
      <c r="D195" s="112"/>
      <c r="E195" s="419" t="s">
        <v>409</v>
      </c>
      <c r="F195" s="294"/>
      <c r="G195" s="70"/>
      <c r="H195" s="187" t="s">
        <v>263</v>
      </c>
      <c r="I195" s="410">
        <f>SupplychainTier2[[#This Row],[Spend for which Tier 2 method accounts]]</f>
        <v>0</v>
      </c>
      <c r="J195" s="410" t="s">
        <v>263</v>
      </c>
      <c r="K195" s="410" t="str">
        <f>IFERROR(SupplychainTier2[[#This Row],[Calculated emissions (kgCO2e) for this spend]]/SupplychainTier2[[#This Row],[Spend for which Tier 2 method accounts]],"")</f>
        <v/>
      </c>
      <c r="L195" s="199"/>
      <c r="M195" s="103"/>
      <c r="N195" s="103"/>
      <c r="O195" s="286">
        <v>0</v>
      </c>
      <c r="P195" s="286">
        <v>0</v>
      </c>
      <c r="Q195" s="286">
        <f>SupplychainTier2[[#This Row],[Calculated emissions (kgCO2e) for this spend]]</f>
        <v>0</v>
      </c>
      <c r="R195" s="286">
        <v>0</v>
      </c>
      <c r="S195" s="286">
        <v>0</v>
      </c>
      <c r="T195" s="290" t="str">
        <f>IF(SupplychainTier2[[#This Row],[Calculated emissions (kgCO2e) for this spend]]="","",(SupplychainTier2[[#This Row],[Calculated emissions (kgCO2e) for this spend]]*(1+SupplychainTier2[[#This Row],[RSD]])))</f>
        <v/>
      </c>
      <c r="U195" s="290" t="str">
        <f>IF(SupplychainTier2[[#This Row],[Calculated emissions (kgCO2e) for this spend]]="","",(SupplychainTier2[[#This Row],[Calculated emissions (kgCO2e) for this spend]]*(1-SupplychainTier2[[#This Row],[RSD]])))</f>
        <v/>
      </c>
      <c r="V195" s="286">
        <v>0</v>
      </c>
    </row>
    <row r="196" spans="2:22" ht="15" thickBot="1" x14ac:dyDescent="0.4">
      <c r="B196" s="418" t="str">
        <f t="shared" si="9"/>
        <v/>
      </c>
      <c r="C196" s="289" t="str">
        <f t="shared" si="10"/>
        <v/>
      </c>
      <c r="D196" s="112"/>
      <c r="E196" s="419" t="s">
        <v>409</v>
      </c>
      <c r="F196" s="294"/>
      <c r="G196" s="70"/>
      <c r="H196" s="187" t="s">
        <v>263</v>
      </c>
      <c r="I196" s="410">
        <f>SupplychainTier2[[#This Row],[Spend for which Tier 2 method accounts]]</f>
        <v>0</v>
      </c>
      <c r="J196" s="410" t="s">
        <v>263</v>
      </c>
      <c r="K196" s="410" t="str">
        <f>IFERROR(SupplychainTier2[[#This Row],[Calculated emissions (kgCO2e) for this spend]]/SupplychainTier2[[#This Row],[Spend for which Tier 2 method accounts]],"")</f>
        <v/>
      </c>
      <c r="L196" s="199"/>
      <c r="M196" s="103"/>
      <c r="N196" s="103"/>
      <c r="O196" s="286">
        <v>0</v>
      </c>
      <c r="P196" s="286">
        <v>0</v>
      </c>
      <c r="Q196" s="286">
        <f>SupplychainTier2[[#This Row],[Calculated emissions (kgCO2e) for this spend]]</f>
        <v>0</v>
      </c>
      <c r="R196" s="286">
        <v>0</v>
      </c>
      <c r="S196" s="286">
        <v>0</v>
      </c>
      <c r="T196" s="290" t="str">
        <f>IF(SupplychainTier2[[#This Row],[Calculated emissions (kgCO2e) for this spend]]="","",(SupplychainTier2[[#This Row],[Calculated emissions (kgCO2e) for this spend]]*(1+SupplychainTier2[[#This Row],[RSD]])))</f>
        <v/>
      </c>
      <c r="U196" s="290" t="str">
        <f>IF(SupplychainTier2[[#This Row],[Calculated emissions (kgCO2e) for this spend]]="","",(SupplychainTier2[[#This Row],[Calculated emissions (kgCO2e) for this spend]]*(1-SupplychainTier2[[#This Row],[RSD]])))</f>
        <v/>
      </c>
      <c r="V196" s="286">
        <v>0</v>
      </c>
    </row>
    <row r="197" spans="2:22" ht="15" thickBot="1" x14ac:dyDescent="0.4">
      <c r="B197" s="418" t="str">
        <f t="shared" si="9"/>
        <v/>
      </c>
      <c r="C197" s="289" t="str">
        <f t="shared" si="10"/>
        <v/>
      </c>
      <c r="D197" s="112"/>
      <c r="E197" s="419" t="s">
        <v>409</v>
      </c>
      <c r="F197" s="294"/>
      <c r="G197" s="70"/>
      <c r="H197" s="187" t="s">
        <v>263</v>
      </c>
      <c r="I197" s="410">
        <f>SupplychainTier2[[#This Row],[Spend for which Tier 2 method accounts]]</f>
        <v>0</v>
      </c>
      <c r="J197" s="410" t="s">
        <v>263</v>
      </c>
      <c r="K197" s="410" t="str">
        <f>IFERROR(SupplychainTier2[[#This Row],[Calculated emissions (kgCO2e) for this spend]]/SupplychainTier2[[#This Row],[Spend for which Tier 2 method accounts]],"")</f>
        <v/>
      </c>
      <c r="L197" s="199"/>
      <c r="M197" s="103"/>
      <c r="N197" s="103"/>
      <c r="O197" s="286">
        <v>0</v>
      </c>
      <c r="P197" s="286">
        <v>0</v>
      </c>
      <c r="Q197" s="286">
        <f>SupplychainTier2[[#This Row],[Calculated emissions (kgCO2e) for this spend]]</f>
        <v>0</v>
      </c>
      <c r="R197" s="286">
        <v>0</v>
      </c>
      <c r="S197" s="286">
        <v>0</v>
      </c>
      <c r="T197" s="290" t="str">
        <f>IF(SupplychainTier2[[#This Row],[Calculated emissions (kgCO2e) for this spend]]="","",(SupplychainTier2[[#This Row],[Calculated emissions (kgCO2e) for this spend]]*(1+SupplychainTier2[[#This Row],[RSD]])))</f>
        <v/>
      </c>
      <c r="U197" s="290" t="str">
        <f>IF(SupplychainTier2[[#This Row],[Calculated emissions (kgCO2e) for this spend]]="","",(SupplychainTier2[[#This Row],[Calculated emissions (kgCO2e) for this spend]]*(1-SupplychainTier2[[#This Row],[RSD]])))</f>
        <v/>
      </c>
      <c r="V197" s="286">
        <v>0</v>
      </c>
    </row>
    <row r="198" spans="2:22" ht="15" thickBot="1" x14ac:dyDescent="0.4">
      <c r="B198" s="418" t="str">
        <f t="shared" si="9"/>
        <v/>
      </c>
      <c r="C198" s="289" t="str">
        <f t="shared" si="10"/>
        <v/>
      </c>
      <c r="D198" s="112"/>
      <c r="E198" s="419" t="s">
        <v>409</v>
      </c>
      <c r="F198" s="294"/>
      <c r="G198" s="70"/>
      <c r="H198" s="187" t="s">
        <v>263</v>
      </c>
      <c r="I198" s="410">
        <f>SupplychainTier2[[#This Row],[Spend for which Tier 2 method accounts]]</f>
        <v>0</v>
      </c>
      <c r="J198" s="410" t="s">
        <v>263</v>
      </c>
      <c r="K198" s="410" t="str">
        <f>IFERROR(SupplychainTier2[[#This Row],[Calculated emissions (kgCO2e) for this spend]]/SupplychainTier2[[#This Row],[Spend for which Tier 2 method accounts]],"")</f>
        <v/>
      </c>
      <c r="L198" s="199"/>
      <c r="M198" s="103"/>
      <c r="N198" s="103"/>
      <c r="O198" s="286">
        <v>0</v>
      </c>
      <c r="P198" s="286">
        <v>0</v>
      </c>
      <c r="Q198" s="286">
        <f>SupplychainTier2[[#This Row],[Calculated emissions (kgCO2e) for this spend]]</f>
        <v>0</v>
      </c>
      <c r="R198" s="286">
        <v>0</v>
      </c>
      <c r="S198" s="286">
        <v>0</v>
      </c>
      <c r="T198" s="290" t="str">
        <f>IF(SupplychainTier2[[#This Row],[Calculated emissions (kgCO2e) for this spend]]="","",(SupplychainTier2[[#This Row],[Calculated emissions (kgCO2e) for this spend]]*(1+SupplychainTier2[[#This Row],[RSD]])))</f>
        <v/>
      </c>
      <c r="U198" s="290" t="str">
        <f>IF(SupplychainTier2[[#This Row],[Calculated emissions (kgCO2e) for this spend]]="","",(SupplychainTier2[[#This Row],[Calculated emissions (kgCO2e) for this spend]]*(1-SupplychainTier2[[#This Row],[RSD]])))</f>
        <v/>
      </c>
      <c r="V198" s="286">
        <v>0</v>
      </c>
    </row>
    <row r="199" spans="2:22" ht="15" thickBot="1" x14ac:dyDescent="0.4">
      <c r="B199" s="418" t="str">
        <f t="shared" si="9"/>
        <v/>
      </c>
      <c r="C199" s="289" t="str">
        <f t="shared" si="10"/>
        <v/>
      </c>
      <c r="D199" s="112"/>
      <c r="E199" s="419" t="s">
        <v>409</v>
      </c>
      <c r="F199" s="294"/>
      <c r="G199" s="70"/>
      <c r="H199" s="187" t="s">
        <v>263</v>
      </c>
      <c r="I199" s="410">
        <f>SupplychainTier2[[#This Row],[Spend for which Tier 2 method accounts]]</f>
        <v>0</v>
      </c>
      <c r="J199" s="410" t="s">
        <v>263</v>
      </c>
      <c r="K199" s="410" t="str">
        <f>IFERROR(SupplychainTier2[[#This Row],[Calculated emissions (kgCO2e) for this spend]]/SupplychainTier2[[#This Row],[Spend for which Tier 2 method accounts]],"")</f>
        <v/>
      </c>
      <c r="L199" s="199"/>
      <c r="M199" s="103"/>
      <c r="N199" s="103"/>
      <c r="O199" s="286">
        <v>0</v>
      </c>
      <c r="P199" s="286">
        <v>0</v>
      </c>
      <c r="Q199" s="286">
        <f>SupplychainTier2[[#This Row],[Calculated emissions (kgCO2e) for this spend]]</f>
        <v>0</v>
      </c>
      <c r="R199" s="286">
        <v>0</v>
      </c>
      <c r="S199" s="286">
        <v>0</v>
      </c>
      <c r="T199" s="290" t="str">
        <f>IF(SupplychainTier2[[#This Row],[Calculated emissions (kgCO2e) for this spend]]="","",(SupplychainTier2[[#This Row],[Calculated emissions (kgCO2e) for this spend]]*(1+SupplychainTier2[[#This Row],[RSD]])))</f>
        <v/>
      </c>
      <c r="U199" s="290" t="str">
        <f>IF(SupplychainTier2[[#This Row],[Calculated emissions (kgCO2e) for this spend]]="","",(SupplychainTier2[[#This Row],[Calculated emissions (kgCO2e) for this spend]]*(1-SupplychainTier2[[#This Row],[RSD]])))</f>
        <v/>
      </c>
      <c r="V199" s="286">
        <v>0</v>
      </c>
    </row>
    <row r="200" spans="2:22" ht="15" thickBot="1" x14ac:dyDescent="0.4">
      <c r="B200" s="418" t="str">
        <f t="shared" si="9"/>
        <v/>
      </c>
      <c r="C200" s="289" t="str">
        <f t="shared" si="10"/>
        <v/>
      </c>
      <c r="D200" s="112"/>
      <c r="E200" s="419" t="s">
        <v>409</v>
      </c>
      <c r="F200" s="294"/>
      <c r="G200" s="70"/>
      <c r="H200" s="187" t="s">
        <v>263</v>
      </c>
      <c r="I200" s="410">
        <f>SupplychainTier2[[#This Row],[Spend for which Tier 2 method accounts]]</f>
        <v>0</v>
      </c>
      <c r="J200" s="410" t="s">
        <v>263</v>
      </c>
      <c r="K200" s="410" t="str">
        <f>IFERROR(SupplychainTier2[[#This Row],[Calculated emissions (kgCO2e) for this spend]]/SupplychainTier2[[#This Row],[Spend for which Tier 2 method accounts]],"")</f>
        <v/>
      </c>
      <c r="L200" s="199"/>
      <c r="M200" s="103"/>
      <c r="N200" s="103"/>
      <c r="O200" s="286">
        <v>0</v>
      </c>
      <c r="P200" s="286">
        <v>0</v>
      </c>
      <c r="Q200" s="286">
        <f>SupplychainTier2[[#This Row],[Calculated emissions (kgCO2e) for this spend]]</f>
        <v>0</v>
      </c>
      <c r="R200" s="286">
        <v>0</v>
      </c>
      <c r="S200" s="286">
        <v>0</v>
      </c>
      <c r="T200" s="290" t="str">
        <f>IF(SupplychainTier2[[#This Row],[Calculated emissions (kgCO2e) for this spend]]="","",(SupplychainTier2[[#This Row],[Calculated emissions (kgCO2e) for this spend]]*(1+SupplychainTier2[[#This Row],[RSD]])))</f>
        <v/>
      </c>
      <c r="U200" s="290" t="str">
        <f>IF(SupplychainTier2[[#This Row],[Calculated emissions (kgCO2e) for this spend]]="","",(SupplychainTier2[[#This Row],[Calculated emissions (kgCO2e) for this spend]]*(1-SupplychainTier2[[#This Row],[RSD]])))</f>
        <v/>
      </c>
      <c r="V200" s="286">
        <v>0</v>
      </c>
    </row>
    <row r="201" spans="2:22" ht="15" thickBot="1" x14ac:dyDescent="0.4">
      <c r="B201" s="418" t="str">
        <f t="shared" si="9"/>
        <v/>
      </c>
      <c r="C201" s="289" t="str">
        <f t="shared" si="10"/>
        <v/>
      </c>
      <c r="D201" s="112"/>
      <c r="E201" s="419" t="s">
        <v>409</v>
      </c>
      <c r="F201" s="294"/>
      <c r="G201" s="70"/>
      <c r="H201" s="187" t="s">
        <v>263</v>
      </c>
      <c r="I201" s="410">
        <f>SupplychainTier2[[#This Row],[Spend for which Tier 2 method accounts]]</f>
        <v>0</v>
      </c>
      <c r="J201" s="410" t="s">
        <v>263</v>
      </c>
      <c r="K201" s="410" t="str">
        <f>IFERROR(SupplychainTier2[[#This Row],[Calculated emissions (kgCO2e) for this spend]]/SupplychainTier2[[#This Row],[Spend for which Tier 2 method accounts]],"")</f>
        <v/>
      </c>
      <c r="L201" s="199"/>
      <c r="M201" s="103"/>
      <c r="N201" s="103"/>
      <c r="O201" s="286">
        <v>0</v>
      </c>
      <c r="P201" s="286">
        <v>0</v>
      </c>
      <c r="Q201" s="286">
        <f>SupplychainTier2[[#This Row],[Calculated emissions (kgCO2e) for this spend]]</f>
        <v>0</v>
      </c>
      <c r="R201" s="286">
        <v>0</v>
      </c>
      <c r="S201" s="286">
        <v>0</v>
      </c>
      <c r="T201" s="290" t="str">
        <f>IF(SupplychainTier2[[#This Row],[Calculated emissions (kgCO2e) for this spend]]="","",(SupplychainTier2[[#This Row],[Calculated emissions (kgCO2e) for this spend]]*(1+SupplychainTier2[[#This Row],[RSD]])))</f>
        <v/>
      </c>
      <c r="U201" s="290" t="str">
        <f>IF(SupplychainTier2[[#This Row],[Calculated emissions (kgCO2e) for this spend]]="","",(SupplychainTier2[[#This Row],[Calculated emissions (kgCO2e) for this spend]]*(1-SupplychainTier2[[#This Row],[RSD]])))</f>
        <v/>
      </c>
      <c r="V201" s="286">
        <v>0</v>
      </c>
    </row>
    <row r="202" spans="2:22" ht="15" thickBot="1" x14ac:dyDescent="0.4">
      <c r="B202" s="418" t="str">
        <f t="shared" si="9"/>
        <v/>
      </c>
      <c r="C202" s="289" t="str">
        <f t="shared" si="10"/>
        <v/>
      </c>
      <c r="D202" s="112"/>
      <c r="E202" s="419" t="s">
        <v>409</v>
      </c>
      <c r="F202" s="294"/>
      <c r="G202" s="70"/>
      <c r="H202" s="187" t="s">
        <v>263</v>
      </c>
      <c r="I202" s="410">
        <f>SupplychainTier2[[#This Row],[Spend for which Tier 2 method accounts]]</f>
        <v>0</v>
      </c>
      <c r="J202" s="410" t="s">
        <v>263</v>
      </c>
      <c r="K202" s="410" t="str">
        <f>IFERROR(SupplychainTier2[[#This Row],[Calculated emissions (kgCO2e) for this spend]]/SupplychainTier2[[#This Row],[Spend for which Tier 2 method accounts]],"")</f>
        <v/>
      </c>
      <c r="L202" s="199"/>
      <c r="M202" s="103"/>
      <c r="N202" s="103"/>
      <c r="O202" s="286">
        <v>0</v>
      </c>
      <c r="P202" s="286">
        <v>0</v>
      </c>
      <c r="Q202" s="286">
        <f>SupplychainTier2[[#This Row],[Calculated emissions (kgCO2e) for this spend]]</f>
        <v>0</v>
      </c>
      <c r="R202" s="286">
        <v>0</v>
      </c>
      <c r="S202" s="286">
        <v>0</v>
      </c>
      <c r="T202" s="290" t="str">
        <f>IF(SupplychainTier2[[#This Row],[Calculated emissions (kgCO2e) for this spend]]="","",(SupplychainTier2[[#This Row],[Calculated emissions (kgCO2e) for this spend]]*(1+SupplychainTier2[[#This Row],[RSD]])))</f>
        <v/>
      </c>
      <c r="U202" s="290" t="str">
        <f>IF(SupplychainTier2[[#This Row],[Calculated emissions (kgCO2e) for this spend]]="","",(SupplychainTier2[[#This Row],[Calculated emissions (kgCO2e) for this spend]]*(1-SupplychainTier2[[#This Row],[RSD]])))</f>
        <v/>
      </c>
      <c r="V202" s="286">
        <v>0</v>
      </c>
    </row>
    <row r="203" spans="2:22" ht="15" thickBot="1" x14ac:dyDescent="0.4">
      <c r="B203" s="418" t="str">
        <f t="shared" si="9"/>
        <v/>
      </c>
      <c r="C203" s="289" t="str">
        <f t="shared" si="10"/>
        <v/>
      </c>
      <c r="D203" s="112"/>
      <c r="E203" s="419" t="s">
        <v>409</v>
      </c>
      <c r="F203" s="294"/>
      <c r="G203" s="70"/>
      <c r="H203" s="187" t="s">
        <v>263</v>
      </c>
      <c r="I203" s="410">
        <f>SupplychainTier2[[#This Row],[Spend for which Tier 2 method accounts]]</f>
        <v>0</v>
      </c>
      <c r="J203" s="410" t="s">
        <v>263</v>
      </c>
      <c r="K203" s="410" t="str">
        <f>IFERROR(SupplychainTier2[[#This Row],[Calculated emissions (kgCO2e) for this spend]]/SupplychainTier2[[#This Row],[Spend for which Tier 2 method accounts]],"")</f>
        <v/>
      </c>
      <c r="L203" s="199"/>
      <c r="M203" s="103"/>
      <c r="N203" s="103"/>
      <c r="O203" s="286">
        <v>0</v>
      </c>
      <c r="P203" s="286">
        <v>0</v>
      </c>
      <c r="Q203" s="286">
        <f>SupplychainTier2[[#This Row],[Calculated emissions (kgCO2e) for this spend]]</f>
        <v>0</v>
      </c>
      <c r="R203" s="286">
        <v>0</v>
      </c>
      <c r="S203" s="286">
        <v>0</v>
      </c>
      <c r="T203" s="290" t="str">
        <f>IF(SupplychainTier2[[#This Row],[Calculated emissions (kgCO2e) for this spend]]="","",(SupplychainTier2[[#This Row],[Calculated emissions (kgCO2e) for this spend]]*(1+SupplychainTier2[[#This Row],[RSD]])))</f>
        <v/>
      </c>
      <c r="U203" s="290" t="str">
        <f>IF(SupplychainTier2[[#This Row],[Calculated emissions (kgCO2e) for this spend]]="","",(SupplychainTier2[[#This Row],[Calculated emissions (kgCO2e) for this spend]]*(1-SupplychainTier2[[#This Row],[RSD]])))</f>
        <v/>
      </c>
      <c r="V203" s="286">
        <v>0</v>
      </c>
    </row>
    <row r="204" spans="2:22" ht="15" thickBot="1" x14ac:dyDescent="0.4">
      <c r="B204" s="418" t="str">
        <f t="shared" si="9"/>
        <v/>
      </c>
      <c r="C204" s="289" t="str">
        <f t="shared" si="10"/>
        <v/>
      </c>
      <c r="D204" s="112"/>
      <c r="E204" s="419" t="s">
        <v>409</v>
      </c>
      <c r="F204" s="294"/>
      <c r="G204" s="70"/>
      <c r="H204" s="187" t="s">
        <v>263</v>
      </c>
      <c r="I204" s="410">
        <f>SupplychainTier2[[#This Row],[Spend for which Tier 2 method accounts]]</f>
        <v>0</v>
      </c>
      <c r="J204" s="410" t="s">
        <v>263</v>
      </c>
      <c r="K204" s="410" t="str">
        <f>IFERROR(SupplychainTier2[[#This Row],[Calculated emissions (kgCO2e) for this spend]]/SupplychainTier2[[#This Row],[Spend for which Tier 2 method accounts]],"")</f>
        <v/>
      </c>
      <c r="L204" s="199"/>
      <c r="M204" s="103"/>
      <c r="N204" s="103"/>
      <c r="O204" s="286">
        <v>0</v>
      </c>
      <c r="P204" s="286">
        <v>0</v>
      </c>
      <c r="Q204" s="286">
        <f>SupplychainTier2[[#This Row],[Calculated emissions (kgCO2e) for this spend]]</f>
        <v>0</v>
      </c>
      <c r="R204" s="286">
        <v>0</v>
      </c>
      <c r="S204" s="286">
        <v>0</v>
      </c>
      <c r="T204" s="290" t="str">
        <f>IF(SupplychainTier2[[#This Row],[Calculated emissions (kgCO2e) for this spend]]="","",(SupplychainTier2[[#This Row],[Calculated emissions (kgCO2e) for this spend]]*(1+SupplychainTier2[[#This Row],[RSD]])))</f>
        <v/>
      </c>
      <c r="U204" s="290" t="str">
        <f>IF(SupplychainTier2[[#This Row],[Calculated emissions (kgCO2e) for this spend]]="","",(SupplychainTier2[[#This Row],[Calculated emissions (kgCO2e) for this spend]]*(1-SupplychainTier2[[#This Row],[RSD]])))</f>
        <v/>
      </c>
      <c r="V204" s="286">
        <v>0</v>
      </c>
    </row>
    <row r="205" spans="2:22" ht="15" thickBot="1" x14ac:dyDescent="0.4">
      <c r="B205" s="418" t="str">
        <f t="shared" si="9"/>
        <v/>
      </c>
      <c r="C205" s="289" t="str">
        <f t="shared" si="10"/>
        <v/>
      </c>
      <c r="D205" s="112"/>
      <c r="E205" s="419" t="s">
        <v>409</v>
      </c>
      <c r="F205" s="294"/>
      <c r="G205" s="70"/>
      <c r="H205" s="187" t="s">
        <v>263</v>
      </c>
      <c r="I205" s="410">
        <f>SupplychainTier2[[#This Row],[Spend for which Tier 2 method accounts]]</f>
        <v>0</v>
      </c>
      <c r="J205" s="410" t="s">
        <v>263</v>
      </c>
      <c r="K205" s="410" t="str">
        <f>IFERROR(SupplychainTier2[[#This Row],[Calculated emissions (kgCO2e) for this spend]]/SupplychainTier2[[#This Row],[Spend for which Tier 2 method accounts]],"")</f>
        <v/>
      </c>
      <c r="L205" s="199"/>
      <c r="M205" s="103"/>
      <c r="N205" s="103"/>
      <c r="O205" s="286">
        <v>0</v>
      </c>
      <c r="P205" s="286">
        <v>0</v>
      </c>
      <c r="Q205" s="286">
        <f>SupplychainTier2[[#This Row],[Calculated emissions (kgCO2e) for this spend]]</f>
        <v>0</v>
      </c>
      <c r="R205" s="286">
        <v>0</v>
      </c>
      <c r="S205" s="286">
        <v>0</v>
      </c>
      <c r="T205" s="290" t="str">
        <f>IF(SupplychainTier2[[#This Row],[Calculated emissions (kgCO2e) for this spend]]="","",(SupplychainTier2[[#This Row],[Calculated emissions (kgCO2e) for this spend]]*(1+SupplychainTier2[[#This Row],[RSD]])))</f>
        <v/>
      </c>
      <c r="U205" s="290" t="str">
        <f>IF(SupplychainTier2[[#This Row],[Calculated emissions (kgCO2e) for this spend]]="","",(SupplychainTier2[[#This Row],[Calculated emissions (kgCO2e) for this spend]]*(1-SupplychainTier2[[#This Row],[RSD]])))</f>
        <v/>
      </c>
      <c r="V205" s="286">
        <v>0</v>
      </c>
    </row>
    <row r="206" spans="2:22" ht="15" thickBot="1" x14ac:dyDescent="0.4">
      <c r="B206" s="418" t="str">
        <f t="shared" si="9"/>
        <v/>
      </c>
      <c r="C206" s="289" t="str">
        <f t="shared" si="10"/>
        <v/>
      </c>
      <c r="D206" s="112"/>
      <c r="E206" s="419" t="s">
        <v>409</v>
      </c>
      <c r="F206" s="294"/>
      <c r="G206" s="70"/>
      <c r="H206" s="187" t="s">
        <v>263</v>
      </c>
      <c r="I206" s="410">
        <f>SupplychainTier2[[#This Row],[Spend for which Tier 2 method accounts]]</f>
        <v>0</v>
      </c>
      <c r="J206" s="410" t="s">
        <v>263</v>
      </c>
      <c r="K206" s="410" t="str">
        <f>IFERROR(SupplychainTier2[[#This Row],[Calculated emissions (kgCO2e) for this spend]]/SupplychainTier2[[#This Row],[Spend for which Tier 2 method accounts]],"")</f>
        <v/>
      </c>
      <c r="L206" s="199"/>
      <c r="M206" s="103"/>
      <c r="N206" s="103"/>
      <c r="O206" s="286">
        <v>0</v>
      </c>
      <c r="P206" s="286">
        <v>0</v>
      </c>
      <c r="Q206" s="286">
        <f>SupplychainTier2[[#This Row],[Calculated emissions (kgCO2e) for this spend]]</f>
        <v>0</v>
      </c>
      <c r="R206" s="286">
        <v>0</v>
      </c>
      <c r="S206" s="286">
        <v>0</v>
      </c>
      <c r="T206" s="290" t="str">
        <f>IF(SupplychainTier2[[#This Row],[Calculated emissions (kgCO2e) for this spend]]="","",(SupplychainTier2[[#This Row],[Calculated emissions (kgCO2e) for this spend]]*(1+SupplychainTier2[[#This Row],[RSD]])))</f>
        <v/>
      </c>
      <c r="U206" s="290" t="str">
        <f>IF(SupplychainTier2[[#This Row],[Calculated emissions (kgCO2e) for this spend]]="","",(SupplychainTier2[[#This Row],[Calculated emissions (kgCO2e) for this spend]]*(1-SupplychainTier2[[#This Row],[RSD]])))</f>
        <v/>
      </c>
      <c r="V206" s="286">
        <v>0</v>
      </c>
    </row>
    <row r="207" spans="2:22" ht="15" thickBot="1" x14ac:dyDescent="0.4">
      <c r="B207" s="418" t="str">
        <f t="shared" si="9"/>
        <v/>
      </c>
      <c r="C207" s="289" t="str">
        <f t="shared" si="10"/>
        <v/>
      </c>
      <c r="D207" s="112"/>
      <c r="E207" s="419" t="s">
        <v>409</v>
      </c>
      <c r="F207" s="294"/>
      <c r="G207" s="70"/>
      <c r="H207" s="187" t="s">
        <v>263</v>
      </c>
      <c r="I207" s="410">
        <f>SupplychainTier2[[#This Row],[Spend for which Tier 2 method accounts]]</f>
        <v>0</v>
      </c>
      <c r="J207" s="410" t="s">
        <v>263</v>
      </c>
      <c r="K207" s="410" t="str">
        <f>IFERROR(SupplychainTier2[[#This Row],[Calculated emissions (kgCO2e) for this spend]]/SupplychainTier2[[#This Row],[Spend for which Tier 2 method accounts]],"")</f>
        <v/>
      </c>
      <c r="L207" s="199"/>
      <c r="M207" s="103"/>
      <c r="N207" s="103"/>
      <c r="O207" s="286">
        <v>0</v>
      </c>
      <c r="P207" s="286">
        <v>0</v>
      </c>
      <c r="Q207" s="286">
        <f>SupplychainTier2[[#This Row],[Calculated emissions (kgCO2e) for this spend]]</f>
        <v>0</v>
      </c>
      <c r="R207" s="286">
        <v>0</v>
      </c>
      <c r="S207" s="286">
        <v>0</v>
      </c>
      <c r="T207" s="290" t="str">
        <f>IF(SupplychainTier2[[#This Row],[Calculated emissions (kgCO2e) for this spend]]="","",(SupplychainTier2[[#This Row],[Calculated emissions (kgCO2e) for this spend]]*(1+SupplychainTier2[[#This Row],[RSD]])))</f>
        <v/>
      </c>
      <c r="U207" s="290" t="str">
        <f>IF(SupplychainTier2[[#This Row],[Calculated emissions (kgCO2e) for this spend]]="","",(SupplychainTier2[[#This Row],[Calculated emissions (kgCO2e) for this spend]]*(1-SupplychainTier2[[#This Row],[RSD]])))</f>
        <v/>
      </c>
      <c r="V207" s="286">
        <v>0</v>
      </c>
    </row>
    <row r="208" spans="2:22" ht="15" thickBot="1" x14ac:dyDescent="0.4">
      <c r="B208" s="418" t="str">
        <f t="shared" si="9"/>
        <v/>
      </c>
      <c r="C208" s="289" t="str">
        <f t="shared" si="10"/>
        <v/>
      </c>
      <c r="D208" s="112"/>
      <c r="E208" s="419" t="s">
        <v>409</v>
      </c>
      <c r="F208" s="294"/>
      <c r="G208" s="70"/>
      <c r="H208" s="187" t="s">
        <v>263</v>
      </c>
      <c r="I208" s="410">
        <f>SupplychainTier2[[#This Row],[Spend for which Tier 2 method accounts]]</f>
        <v>0</v>
      </c>
      <c r="J208" s="410" t="s">
        <v>263</v>
      </c>
      <c r="K208" s="410" t="str">
        <f>IFERROR(SupplychainTier2[[#This Row],[Calculated emissions (kgCO2e) for this spend]]/SupplychainTier2[[#This Row],[Spend for which Tier 2 method accounts]],"")</f>
        <v/>
      </c>
      <c r="L208" s="199"/>
      <c r="M208" s="103"/>
      <c r="N208" s="103"/>
      <c r="O208" s="286">
        <v>0</v>
      </c>
      <c r="P208" s="286">
        <v>0</v>
      </c>
      <c r="Q208" s="286">
        <f>SupplychainTier2[[#This Row],[Calculated emissions (kgCO2e) for this spend]]</f>
        <v>0</v>
      </c>
      <c r="R208" s="286">
        <v>0</v>
      </c>
      <c r="S208" s="286">
        <v>0</v>
      </c>
      <c r="T208" s="290" t="str">
        <f>IF(SupplychainTier2[[#This Row],[Calculated emissions (kgCO2e) for this spend]]="","",(SupplychainTier2[[#This Row],[Calculated emissions (kgCO2e) for this spend]]*(1+SupplychainTier2[[#This Row],[RSD]])))</f>
        <v/>
      </c>
      <c r="U208" s="290" t="str">
        <f>IF(SupplychainTier2[[#This Row],[Calculated emissions (kgCO2e) for this spend]]="","",(SupplychainTier2[[#This Row],[Calculated emissions (kgCO2e) for this spend]]*(1-SupplychainTier2[[#This Row],[RSD]])))</f>
        <v/>
      </c>
      <c r="V208" s="286">
        <v>0</v>
      </c>
    </row>
    <row r="209" spans="2:22" ht="15" thickBot="1" x14ac:dyDescent="0.4">
      <c r="B209" s="418" t="str">
        <f t="shared" si="9"/>
        <v/>
      </c>
      <c r="C209" s="289" t="str">
        <f t="shared" si="10"/>
        <v/>
      </c>
      <c r="D209" s="112"/>
      <c r="E209" s="419" t="s">
        <v>409</v>
      </c>
      <c r="F209" s="294"/>
      <c r="G209" s="70"/>
      <c r="H209" s="187" t="s">
        <v>263</v>
      </c>
      <c r="I209" s="410">
        <f>SupplychainTier2[[#This Row],[Spend for which Tier 2 method accounts]]</f>
        <v>0</v>
      </c>
      <c r="J209" s="410" t="s">
        <v>263</v>
      </c>
      <c r="K209" s="410" t="str">
        <f>IFERROR(SupplychainTier2[[#This Row],[Calculated emissions (kgCO2e) for this spend]]/SupplychainTier2[[#This Row],[Spend for which Tier 2 method accounts]],"")</f>
        <v/>
      </c>
      <c r="L209" s="199"/>
      <c r="M209" s="103"/>
      <c r="N209" s="103"/>
      <c r="O209" s="286">
        <v>0</v>
      </c>
      <c r="P209" s="286">
        <v>0</v>
      </c>
      <c r="Q209" s="286">
        <f>SupplychainTier2[[#This Row],[Calculated emissions (kgCO2e) for this spend]]</f>
        <v>0</v>
      </c>
      <c r="R209" s="286">
        <v>0</v>
      </c>
      <c r="S209" s="286">
        <v>0</v>
      </c>
      <c r="T209" s="290" t="str">
        <f>IF(SupplychainTier2[[#This Row],[Calculated emissions (kgCO2e) for this spend]]="","",(SupplychainTier2[[#This Row],[Calculated emissions (kgCO2e) for this spend]]*(1+SupplychainTier2[[#This Row],[RSD]])))</f>
        <v/>
      </c>
      <c r="U209" s="290" t="str">
        <f>IF(SupplychainTier2[[#This Row],[Calculated emissions (kgCO2e) for this spend]]="","",(SupplychainTier2[[#This Row],[Calculated emissions (kgCO2e) for this spend]]*(1-SupplychainTier2[[#This Row],[RSD]])))</f>
        <v/>
      </c>
      <c r="V209" s="286">
        <v>0</v>
      </c>
    </row>
    <row r="210" spans="2:22" ht="15" thickBot="1" x14ac:dyDescent="0.4">
      <c r="B210" s="418" t="str">
        <f t="shared" si="9"/>
        <v/>
      </c>
      <c r="C210" s="289" t="str">
        <f t="shared" si="10"/>
        <v/>
      </c>
      <c r="D210" s="112"/>
      <c r="E210" s="419" t="s">
        <v>409</v>
      </c>
      <c r="F210" s="294"/>
      <c r="G210" s="70"/>
      <c r="H210" s="187" t="s">
        <v>263</v>
      </c>
      <c r="I210" s="410">
        <f>SupplychainTier2[[#This Row],[Spend for which Tier 2 method accounts]]</f>
        <v>0</v>
      </c>
      <c r="J210" s="410" t="s">
        <v>263</v>
      </c>
      <c r="K210" s="410" t="str">
        <f>IFERROR(SupplychainTier2[[#This Row],[Calculated emissions (kgCO2e) for this spend]]/SupplychainTier2[[#This Row],[Spend for which Tier 2 method accounts]],"")</f>
        <v/>
      </c>
      <c r="L210" s="199"/>
      <c r="M210" s="103"/>
      <c r="N210" s="103"/>
      <c r="O210" s="286">
        <v>0</v>
      </c>
      <c r="P210" s="286">
        <v>0</v>
      </c>
      <c r="Q210" s="286">
        <f>SupplychainTier2[[#This Row],[Calculated emissions (kgCO2e) for this spend]]</f>
        <v>0</v>
      </c>
      <c r="R210" s="286">
        <v>0</v>
      </c>
      <c r="S210" s="286">
        <v>0</v>
      </c>
      <c r="T210" s="290" t="str">
        <f>IF(SupplychainTier2[[#This Row],[Calculated emissions (kgCO2e) for this spend]]="","",(SupplychainTier2[[#This Row],[Calculated emissions (kgCO2e) for this spend]]*(1+SupplychainTier2[[#This Row],[RSD]])))</f>
        <v/>
      </c>
      <c r="U210" s="290" t="str">
        <f>IF(SupplychainTier2[[#This Row],[Calculated emissions (kgCO2e) for this spend]]="","",(SupplychainTier2[[#This Row],[Calculated emissions (kgCO2e) for this spend]]*(1-SupplychainTier2[[#This Row],[RSD]])))</f>
        <v/>
      </c>
      <c r="V210" s="286">
        <v>0</v>
      </c>
    </row>
    <row r="211" spans="2:22" ht="15" thickBot="1" x14ac:dyDescent="0.4">
      <c r="B211" s="418" t="str">
        <f t="shared" si="9"/>
        <v/>
      </c>
      <c r="C211" s="289" t="str">
        <f t="shared" si="10"/>
        <v/>
      </c>
      <c r="D211" s="112"/>
      <c r="E211" s="419" t="s">
        <v>409</v>
      </c>
      <c r="F211" s="294"/>
      <c r="G211" s="70"/>
      <c r="H211" s="187" t="s">
        <v>263</v>
      </c>
      <c r="I211" s="410">
        <f>SupplychainTier2[[#This Row],[Spend for which Tier 2 method accounts]]</f>
        <v>0</v>
      </c>
      <c r="J211" s="410" t="s">
        <v>263</v>
      </c>
      <c r="K211" s="410" t="str">
        <f>IFERROR(SupplychainTier2[[#This Row],[Calculated emissions (kgCO2e) for this spend]]/SupplychainTier2[[#This Row],[Spend for which Tier 2 method accounts]],"")</f>
        <v/>
      </c>
      <c r="L211" s="199"/>
      <c r="M211" s="103"/>
      <c r="N211" s="103"/>
      <c r="O211" s="286">
        <v>0</v>
      </c>
      <c r="P211" s="286">
        <v>0</v>
      </c>
      <c r="Q211" s="286">
        <f>SupplychainTier2[[#This Row],[Calculated emissions (kgCO2e) for this spend]]</f>
        <v>0</v>
      </c>
      <c r="R211" s="286">
        <v>0</v>
      </c>
      <c r="S211" s="286">
        <v>0</v>
      </c>
      <c r="T211" s="290" t="str">
        <f>IF(SupplychainTier2[[#This Row],[Calculated emissions (kgCO2e) for this spend]]="","",(SupplychainTier2[[#This Row],[Calculated emissions (kgCO2e) for this spend]]*(1+SupplychainTier2[[#This Row],[RSD]])))</f>
        <v/>
      </c>
      <c r="U211" s="290" t="str">
        <f>IF(SupplychainTier2[[#This Row],[Calculated emissions (kgCO2e) for this spend]]="","",(SupplychainTier2[[#This Row],[Calculated emissions (kgCO2e) for this spend]]*(1-SupplychainTier2[[#This Row],[RSD]])))</f>
        <v/>
      </c>
      <c r="V211" s="286">
        <v>0</v>
      </c>
    </row>
    <row r="212" spans="2:22" ht="15" thickBot="1" x14ac:dyDescent="0.4">
      <c r="B212" s="418" t="str">
        <f t="shared" si="9"/>
        <v/>
      </c>
      <c r="C212" s="289" t="str">
        <f t="shared" si="10"/>
        <v/>
      </c>
      <c r="D212" s="112"/>
      <c r="E212" s="419" t="s">
        <v>409</v>
      </c>
      <c r="F212" s="294"/>
      <c r="G212" s="70"/>
      <c r="H212" s="187" t="s">
        <v>263</v>
      </c>
      <c r="I212" s="410">
        <f>SupplychainTier2[[#This Row],[Spend for which Tier 2 method accounts]]</f>
        <v>0</v>
      </c>
      <c r="J212" s="410" t="s">
        <v>263</v>
      </c>
      <c r="K212" s="410" t="str">
        <f>IFERROR(SupplychainTier2[[#This Row],[Calculated emissions (kgCO2e) for this spend]]/SupplychainTier2[[#This Row],[Spend for which Tier 2 method accounts]],"")</f>
        <v/>
      </c>
      <c r="L212" s="199"/>
      <c r="M212" s="103"/>
      <c r="N212" s="103"/>
      <c r="O212" s="286">
        <v>0</v>
      </c>
      <c r="P212" s="286">
        <v>0</v>
      </c>
      <c r="Q212" s="286">
        <f>SupplychainTier2[[#This Row],[Calculated emissions (kgCO2e) for this spend]]</f>
        <v>0</v>
      </c>
      <c r="R212" s="286">
        <v>0</v>
      </c>
      <c r="S212" s="286">
        <v>0</v>
      </c>
      <c r="T212" s="290" t="str">
        <f>IF(SupplychainTier2[[#This Row],[Calculated emissions (kgCO2e) for this spend]]="","",(SupplychainTier2[[#This Row],[Calculated emissions (kgCO2e) for this spend]]*(1+SupplychainTier2[[#This Row],[RSD]])))</f>
        <v/>
      </c>
      <c r="U212" s="290" t="str">
        <f>IF(SupplychainTier2[[#This Row],[Calculated emissions (kgCO2e) for this spend]]="","",(SupplychainTier2[[#This Row],[Calculated emissions (kgCO2e) for this spend]]*(1-SupplychainTier2[[#This Row],[RSD]])))</f>
        <v/>
      </c>
      <c r="V212" s="286">
        <v>0</v>
      </c>
    </row>
    <row r="213" spans="2:22" ht="15" thickBot="1" x14ac:dyDescent="0.4">
      <c r="B213" s="418" t="str">
        <f t="shared" si="9"/>
        <v/>
      </c>
      <c r="C213" s="289" t="str">
        <f t="shared" si="10"/>
        <v/>
      </c>
      <c r="D213" s="112"/>
      <c r="E213" s="419" t="s">
        <v>409</v>
      </c>
      <c r="F213" s="294"/>
      <c r="G213" s="70"/>
      <c r="H213" s="187" t="s">
        <v>263</v>
      </c>
      <c r="I213" s="410">
        <f>SupplychainTier2[[#This Row],[Spend for which Tier 2 method accounts]]</f>
        <v>0</v>
      </c>
      <c r="J213" s="410" t="s">
        <v>263</v>
      </c>
      <c r="K213" s="410" t="str">
        <f>IFERROR(SupplychainTier2[[#This Row],[Calculated emissions (kgCO2e) for this spend]]/SupplychainTier2[[#This Row],[Spend for which Tier 2 method accounts]],"")</f>
        <v/>
      </c>
      <c r="L213" s="199"/>
      <c r="M213" s="103"/>
      <c r="N213" s="103"/>
      <c r="O213" s="286">
        <v>0</v>
      </c>
      <c r="P213" s="286">
        <v>0</v>
      </c>
      <c r="Q213" s="286">
        <f>SupplychainTier2[[#This Row],[Calculated emissions (kgCO2e) for this spend]]</f>
        <v>0</v>
      </c>
      <c r="R213" s="286">
        <v>0</v>
      </c>
      <c r="S213" s="286">
        <v>0</v>
      </c>
      <c r="T213" s="290" t="str">
        <f>IF(SupplychainTier2[[#This Row],[Calculated emissions (kgCO2e) for this spend]]="","",(SupplychainTier2[[#This Row],[Calculated emissions (kgCO2e) for this spend]]*(1+SupplychainTier2[[#This Row],[RSD]])))</f>
        <v/>
      </c>
      <c r="U213" s="290" t="str">
        <f>IF(SupplychainTier2[[#This Row],[Calculated emissions (kgCO2e) for this spend]]="","",(SupplychainTier2[[#This Row],[Calculated emissions (kgCO2e) for this spend]]*(1-SupplychainTier2[[#This Row],[RSD]])))</f>
        <v/>
      </c>
      <c r="V213" s="286">
        <v>0</v>
      </c>
    </row>
    <row r="214" spans="2:22" ht="15" thickBot="1" x14ac:dyDescent="0.4">
      <c r="B214" s="418" t="str">
        <f t="shared" si="9"/>
        <v/>
      </c>
      <c r="C214" s="289" t="str">
        <f t="shared" si="10"/>
        <v/>
      </c>
      <c r="D214" s="112"/>
      <c r="E214" s="419" t="s">
        <v>409</v>
      </c>
      <c r="F214" s="294"/>
      <c r="G214" s="70"/>
      <c r="H214" s="187" t="s">
        <v>263</v>
      </c>
      <c r="I214" s="410">
        <f>SupplychainTier2[[#This Row],[Spend for which Tier 2 method accounts]]</f>
        <v>0</v>
      </c>
      <c r="J214" s="410" t="s">
        <v>263</v>
      </c>
      <c r="K214" s="410" t="str">
        <f>IFERROR(SupplychainTier2[[#This Row],[Calculated emissions (kgCO2e) for this spend]]/SupplychainTier2[[#This Row],[Spend for which Tier 2 method accounts]],"")</f>
        <v/>
      </c>
      <c r="L214" s="199"/>
      <c r="M214" s="103"/>
      <c r="N214" s="103"/>
      <c r="O214" s="286">
        <v>0</v>
      </c>
      <c r="P214" s="286">
        <v>0</v>
      </c>
      <c r="Q214" s="286">
        <f>SupplychainTier2[[#This Row],[Calculated emissions (kgCO2e) for this spend]]</f>
        <v>0</v>
      </c>
      <c r="R214" s="286">
        <v>0</v>
      </c>
      <c r="S214" s="286">
        <v>0</v>
      </c>
      <c r="T214" s="290" t="str">
        <f>IF(SupplychainTier2[[#This Row],[Calculated emissions (kgCO2e) for this spend]]="","",(SupplychainTier2[[#This Row],[Calculated emissions (kgCO2e) for this spend]]*(1+SupplychainTier2[[#This Row],[RSD]])))</f>
        <v/>
      </c>
      <c r="U214" s="290" t="str">
        <f>IF(SupplychainTier2[[#This Row],[Calculated emissions (kgCO2e) for this spend]]="","",(SupplychainTier2[[#This Row],[Calculated emissions (kgCO2e) for this spend]]*(1-SupplychainTier2[[#This Row],[RSD]])))</f>
        <v/>
      </c>
      <c r="V214" s="286">
        <v>0</v>
      </c>
    </row>
    <row r="215" spans="2:22" ht="15" thickBot="1" x14ac:dyDescent="0.4">
      <c r="B215" s="418" t="str">
        <f t="shared" si="9"/>
        <v/>
      </c>
      <c r="C215" s="289" t="str">
        <f t="shared" si="10"/>
        <v/>
      </c>
      <c r="D215" s="112"/>
      <c r="E215" s="419" t="s">
        <v>409</v>
      </c>
      <c r="F215" s="294"/>
      <c r="G215" s="70"/>
      <c r="H215" s="187" t="s">
        <v>263</v>
      </c>
      <c r="I215" s="410">
        <f>SupplychainTier2[[#This Row],[Spend for which Tier 2 method accounts]]</f>
        <v>0</v>
      </c>
      <c r="J215" s="410" t="s">
        <v>263</v>
      </c>
      <c r="K215" s="410" t="str">
        <f>IFERROR(SupplychainTier2[[#This Row],[Calculated emissions (kgCO2e) for this spend]]/SupplychainTier2[[#This Row],[Spend for which Tier 2 method accounts]],"")</f>
        <v/>
      </c>
      <c r="L215" s="199"/>
      <c r="M215" s="103"/>
      <c r="N215" s="103"/>
      <c r="O215" s="286">
        <v>0</v>
      </c>
      <c r="P215" s="286">
        <v>0</v>
      </c>
      <c r="Q215" s="286">
        <f>SupplychainTier2[[#This Row],[Calculated emissions (kgCO2e) for this spend]]</f>
        <v>0</v>
      </c>
      <c r="R215" s="286">
        <v>0</v>
      </c>
      <c r="S215" s="286">
        <v>0</v>
      </c>
      <c r="T215" s="290" t="str">
        <f>IF(SupplychainTier2[[#This Row],[Calculated emissions (kgCO2e) for this spend]]="","",(SupplychainTier2[[#This Row],[Calculated emissions (kgCO2e) for this spend]]*(1+SupplychainTier2[[#This Row],[RSD]])))</f>
        <v/>
      </c>
      <c r="U215" s="290" t="str">
        <f>IF(SupplychainTier2[[#This Row],[Calculated emissions (kgCO2e) for this spend]]="","",(SupplychainTier2[[#This Row],[Calculated emissions (kgCO2e) for this spend]]*(1-SupplychainTier2[[#This Row],[RSD]])))</f>
        <v/>
      </c>
      <c r="V215" s="286">
        <v>0</v>
      </c>
    </row>
    <row r="216" spans="2:22" ht="15" thickBot="1" x14ac:dyDescent="0.4">
      <c r="B216" s="418" t="str">
        <f t="shared" si="9"/>
        <v/>
      </c>
      <c r="C216" s="289" t="str">
        <f t="shared" si="10"/>
        <v/>
      </c>
      <c r="D216" s="112"/>
      <c r="E216" s="419" t="s">
        <v>409</v>
      </c>
      <c r="F216" s="294"/>
      <c r="G216" s="70"/>
      <c r="H216" s="187" t="s">
        <v>263</v>
      </c>
      <c r="I216" s="410">
        <f>SupplychainTier2[[#This Row],[Spend for which Tier 2 method accounts]]</f>
        <v>0</v>
      </c>
      <c r="J216" s="410" t="s">
        <v>263</v>
      </c>
      <c r="K216" s="410" t="str">
        <f>IFERROR(SupplychainTier2[[#This Row],[Calculated emissions (kgCO2e) for this spend]]/SupplychainTier2[[#This Row],[Spend for which Tier 2 method accounts]],"")</f>
        <v/>
      </c>
      <c r="L216" s="199"/>
      <c r="M216" s="103"/>
      <c r="N216" s="103"/>
      <c r="O216" s="286">
        <v>0</v>
      </c>
      <c r="P216" s="286">
        <v>0</v>
      </c>
      <c r="Q216" s="286">
        <f>SupplychainTier2[[#This Row],[Calculated emissions (kgCO2e) for this spend]]</f>
        <v>0</v>
      </c>
      <c r="R216" s="286">
        <v>0</v>
      </c>
      <c r="S216" s="286">
        <v>0</v>
      </c>
      <c r="T216" s="290" t="str">
        <f>IF(SupplychainTier2[[#This Row],[Calculated emissions (kgCO2e) for this spend]]="","",(SupplychainTier2[[#This Row],[Calculated emissions (kgCO2e) for this spend]]*(1+SupplychainTier2[[#This Row],[RSD]])))</f>
        <v/>
      </c>
      <c r="U216" s="290" t="str">
        <f>IF(SupplychainTier2[[#This Row],[Calculated emissions (kgCO2e) for this spend]]="","",(SupplychainTier2[[#This Row],[Calculated emissions (kgCO2e) for this spend]]*(1-SupplychainTier2[[#This Row],[RSD]])))</f>
        <v/>
      </c>
      <c r="V216" s="286">
        <v>0</v>
      </c>
    </row>
    <row r="217" spans="2:22" ht="15" thickBot="1" x14ac:dyDescent="0.4">
      <c r="B217" s="418" t="str">
        <f t="shared" si="9"/>
        <v/>
      </c>
      <c r="C217" s="289" t="str">
        <f t="shared" si="10"/>
        <v/>
      </c>
      <c r="D217" s="112"/>
      <c r="E217" s="419" t="s">
        <v>409</v>
      </c>
      <c r="F217" s="294"/>
      <c r="G217" s="70"/>
      <c r="H217" s="187" t="s">
        <v>263</v>
      </c>
      <c r="I217" s="410">
        <f>SupplychainTier2[[#This Row],[Spend for which Tier 2 method accounts]]</f>
        <v>0</v>
      </c>
      <c r="J217" s="410" t="s">
        <v>263</v>
      </c>
      <c r="K217" s="410" t="str">
        <f>IFERROR(SupplychainTier2[[#This Row],[Calculated emissions (kgCO2e) for this spend]]/SupplychainTier2[[#This Row],[Spend for which Tier 2 method accounts]],"")</f>
        <v/>
      </c>
      <c r="L217" s="199"/>
      <c r="M217" s="103"/>
      <c r="N217" s="103"/>
      <c r="O217" s="286">
        <v>0</v>
      </c>
      <c r="P217" s="286">
        <v>0</v>
      </c>
      <c r="Q217" s="286">
        <f>SupplychainTier2[[#This Row],[Calculated emissions (kgCO2e) for this spend]]</f>
        <v>0</v>
      </c>
      <c r="R217" s="286">
        <v>0</v>
      </c>
      <c r="S217" s="286">
        <v>0</v>
      </c>
      <c r="T217" s="290" t="str">
        <f>IF(SupplychainTier2[[#This Row],[Calculated emissions (kgCO2e) for this spend]]="","",(SupplychainTier2[[#This Row],[Calculated emissions (kgCO2e) for this spend]]*(1+SupplychainTier2[[#This Row],[RSD]])))</f>
        <v/>
      </c>
      <c r="U217" s="290" t="str">
        <f>IF(SupplychainTier2[[#This Row],[Calculated emissions (kgCO2e) for this spend]]="","",(SupplychainTier2[[#This Row],[Calculated emissions (kgCO2e) for this spend]]*(1-SupplychainTier2[[#This Row],[RSD]])))</f>
        <v/>
      </c>
      <c r="V217" s="286">
        <v>0</v>
      </c>
    </row>
    <row r="218" spans="2:22" ht="15" thickBot="1" x14ac:dyDescent="0.4">
      <c r="B218" s="418" t="str">
        <f t="shared" si="9"/>
        <v/>
      </c>
      <c r="C218" s="289" t="str">
        <f t="shared" si="10"/>
        <v/>
      </c>
      <c r="D218" s="112"/>
      <c r="E218" s="419" t="s">
        <v>409</v>
      </c>
      <c r="F218" s="294"/>
      <c r="G218" s="70"/>
      <c r="H218" s="187" t="s">
        <v>263</v>
      </c>
      <c r="I218" s="410">
        <f>SupplychainTier2[[#This Row],[Spend for which Tier 2 method accounts]]</f>
        <v>0</v>
      </c>
      <c r="J218" s="410" t="s">
        <v>263</v>
      </c>
      <c r="K218" s="410" t="str">
        <f>IFERROR(SupplychainTier2[[#This Row],[Calculated emissions (kgCO2e) for this spend]]/SupplychainTier2[[#This Row],[Spend for which Tier 2 method accounts]],"")</f>
        <v/>
      </c>
      <c r="L218" s="199"/>
      <c r="M218" s="103"/>
      <c r="N218" s="103"/>
      <c r="O218" s="286">
        <v>0</v>
      </c>
      <c r="P218" s="286">
        <v>0</v>
      </c>
      <c r="Q218" s="286">
        <f>SupplychainTier2[[#This Row],[Calculated emissions (kgCO2e) for this spend]]</f>
        <v>0</v>
      </c>
      <c r="R218" s="286">
        <v>0</v>
      </c>
      <c r="S218" s="286">
        <v>0</v>
      </c>
      <c r="T218" s="290" t="str">
        <f>IF(SupplychainTier2[[#This Row],[Calculated emissions (kgCO2e) for this spend]]="","",(SupplychainTier2[[#This Row],[Calculated emissions (kgCO2e) for this spend]]*(1+SupplychainTier2[[#This Row],[RSD]])))</f>
        <v/>
      </c>
      <c r="U218" s="290" t="str">
        <f>IF(SupplychainTier2[[#This Row],[Calculated emissions (kgCO2e) for this spend]]="","",(SupplychainTier2[[#This Row],[Calculated emissions (kgCO2e) for this spend]]*(1-SupplychainTier2[[#This Row],[RSD]])))</f>
        <v/>
      </c>
      <c r="V218" s="286">
        <v>0</v>
      </c>
    </row>
    <row r="219" spans="2:22" ht="15" thickBot="1" x14ac:dyDescent="0.4">
      <c r="B219" s="418" t="str">
        <f t="shared" si="9"/>
        <v/>
      </c>
      <c r="C219" s="289" t="str">
        <f t="shared" si="10"/>
        <v/>
      </c>
      <c r="D219" s="112"/>
      <c r="E219" s="419" t="s">
        <v>409</v>
      </c>
      <c r="F219" s="294"/>
      <c r="G219" s="70"/>
      <c r="H219" s="187" t="s">
        <v>263</v>
      </c>
      <c r="I219" s="410">
        <f>SupplychainTier2[[#This Row],[Spend for which Tier 2 method accounts]]</f>
        <v>0</v>
      </c>
      <c r="J219" s="410" t="s">
        <v>263</v>
      </c>
      <c r="K219" s="410" t="str">
        <f>IFERROR(SupplychainTier2[[#This Row],[Calculated emissions (kgCO2e) for this spend]]/SupplychainTier2[[#This Row],[Spend for which Tier 2 method accounts]],"")</f>
        <v/>
      </c>
      <c r="L219" s="199"/>
      <c r="M219" s="103"/>
      <c r="N219" s="103"/>
      <c r="O219" s="286">
        <v>0</v>
      </c>
      <c r="P219" s="286">
        <v>0</v>
      </c>
      <c r="Q219" s="286">
        <f>SupplychainTier2[[#This Row],[Calculated emissions (kgCO2e) for this spend]]</f>
        <v>0</v>
      </c>
      <c r="R219" s="286">
        <v>0</v>
      </c>
      <c r="S219" s="286">
        <v>0</v>
      </c>
      <c r="T219" s="290" t="str">
        <f>IF(SupplychainTier2[[#This Row],[Calculated emissions (kgCO2e) for this spend]]="","",(SupplychainTier2[[#This Row],[Calculated emissions (kgCO2e) for this spend]]*(1+SupplychainTier2[[#This Row],[RSD]])))</f>
        <v/>
      </c>
      <c r="U219" s="290" t="str">
        <f>IF(SupplychainTier2[[#This Row],[Calculated emissions (kgCO2e) for this spend]]="","",(SupplychainTier2[[#This Row],[Calculated emissions (kgCO2e) for this spend]]*(1-SupplychainTier2[[#This Row],[RSD]])))</f>
        <v/>
      </c>
      <c r="V219" s="286">
        <v>0</v>
      </c>
    </row>
    <row r="220" spans="2:22" ht="15" thickBot="1" x14ac:dyDescent="0.4">
      <c r="B220" s="418" t="str">
        <f t="shared" ref="B220:B313" si="11">IFERROR(VLOOKUP(D220,SICProductCodeLookup,2,FALSE), "")</f>
        <v/>
      </c>
      <c r="C220" s="289" t="str">
        <f t="shared" ref="C220:C312" si="12">IFERROR((VLOOKUP(D220,SICProductCodeLookup,3,FALSE)), "")</f>
        <v/>
      </c>
      <c r="D220" s="112"/>
      <c r="E220" s="419" t="s">
        <v>409</v>
      </c>
      <c r="F220" s="294"/>
      <c r="G220" s="70"/>
      <c r="H220" s="187" t="s">
        <v>263</v>
      </c>
      <c r="I220" s="410">
        <f>SupplychainTier2[[#This Row],[Spend for which Tier 2 method accounts]]</f>
        <v>0</v>
      </c>
      <c r="J220" s="410" t="s">
        <v>263</v>
      </c>
      <c r="K220" s="410" t="str">
        <f>IFERROR(SupplychainTier2[[#This Row],[Calculated emissions (kgCO2e) for this spend]]/SupplychainTier2[[#This Row],[Spend for which Tier 2 method accounts]],"")</f>
        <v/>
      </c>
      <c r="L220" s="199"/>
      <c r="M220" s="103"/>
      <c r="N220" s="103"/>
      <c r="O220" s="286">
        <v>0</v>
      </c>
      <c r="P220" s="286">
        <v>0</v>
      </c>
      <c r="Q220" s="286">
        <f>SupplychainTier2[[#This Row],[Calculated emissions (kgCO2e) for this spend]]</f>
        <v>0</v>
      </c>
      <c r="R220" s="286">
        <v>0</v>
      </c>
      <c r="S220" s="286">
        <v>0</v>
      </c>
      <c r="T220" s="290" t="str">
        <f>IF(SupplychainTier2[[#This Row],[Calculated emissions (kgCO2e) for this spend]]="","",(SupplychainTier2[[#This Row],[Calculated emissions (kgCO2e) for this spend]]*(1+SupplychainTier2[[#This Row],[RSD]])))</f>
        <v/>
      </c>
      <c r="U220" s="290" t="str">
        <f>IF(SupplychainTier2[[#This Row],[Calculated emissions (kgCO2e) for this spend]]="","",(SupplychainTier2[[#This Row],[Calculated emissions (kgCO2e) for this spend]]*(1-SupplychainTier2[[#This Row],[RSD]])))</f>
        <v/>
      </c>
      <c r="V220" s="286">
        <v>0</v>
      </c>
    </row>
    <row r="221" spans="2:22" ht="15" thickBot="1" x14ac:dyDescent="0.4">
      <c r="B221" s="418" t="str">
        <f t="shared" si="11"/>
        <v/>
      </c>
      <c r="C221" s="289" t="str">
        <f t="shared" si="12"/>
        <v/>
      </c>
      <c r="D221" s="112"/>
      <c r="E221" s="419" t="s">
        <v>409</v>
      </c>
      <c r="F221" s="294"/>
      <c r="G221" s="70"/>
      <c r="H221" s="187" t="s">
        <v>263</v>
      </c>
      <c r="I221" s="410">
        <f>SupplychainTier2[[#This Row],[Spend for which Tier 2 method accounts]]</f>
        <v>0</v>
      </c>
      <c r="J221" s="410" t="s">
        <v>263</v>
      </c>
      <c r="K221" s="410" t="str">
        <f>IFERROR(SupplychainTier2[[#This Row],[Calculated emissions (kgCO2e) for this spend]]/SupplychainTier2[[#This Row],[Spend for which Tier 2 method accounts]],"")</f>
        <v/>
      </c>
      <c r="L221" s="199"/>
      <c r="M221" s="103"/>
      <c r="N221" s="103"/>
      <c r="O221" s="286">
        <v>0</v>
      </c>
      <c r="P221" s="286">
        <v>0</v>
      </c>
      <c r="Q221" s="286">
        <f>SupplychainTier2[[#This Row],[Calculated emissions (kgCO2e) for this spend]]</f>
        <v>0</v>
      </c>
      <c r="R221" s="286">
        <v>0</v>
      </c>
      <c r="S221" s="286">
        <v>0</v>
      </c>
      <c r="T221" s="290" t="str">
        <f>IF(SupplychainTier2[[#This Row],[Calculated emissions (kgCO2e) for this spend]]="","",(SupplychainTier2[[#This Row],[Calculated emissions (kgCO2e) for this spend]]*(1+SupplychainTier2[[#This Row],[RSD]])))</f>
        <v/>
      </c>
      <c r="U221" s="290" t="str">
        <f>IF(SupplychainTier2[[#This Row],[Calculated emissions (kgCO2e) for this spend]]="","",(SupplychainTier2[[#This Row],[Calculated emissions (kgCO2e) for this spend]]*(1-SupplychainTier2[[#This Row],[RSD]])))</f>
        <v/>
      </c>
      <c r="V221" s="286">
        <v>0</v>
      </c>
    </row>
    <row r="222" spans="2:22" ht="15" thickBot="1" x14ac:dyDescent="0.4">
      <c r="B222" s="418" t="str">
        <f t="shared" si="11"/>
        <v/>
      </c>
      <c r="C222" s="289" t="str">
        <f t="shared" si="12"/>
        <v/>
      </c>
      <c r="D222" s="112"/>
      <c r="E222" s="419" t="s">
        <v>409</v>
      </c>
      <c r="F222" s="294"/>
      <c r="G222" s="70"/>
      <c r="H222" s="187" t="s">
        <v>263</v>
      </c>
      <c r="I222" s="410">
        <f>SupplychainTier2[[#This Row],[Spend for which Tier 2 method accounts]]</f>
        <v>0</v>
      </c>
      <c r="J222" s="410" t="s">
        <v>263</v>
      </c>
      <c r="K222" s="410" t="str">
        <f>IFERROR(SupplychainTier2[[#This Row],[Calculated emissions (kgCO2e) for this spend]]/SupplychainTier2[[#This Row],[Spend for which Tier 2 method accounts]],"")</f>
        <v/>
      </c>
      <c r="L222" s="199"/>
      <c r="M222" s="103"/>
      <c r="N222" s="103"/>
      <c r="O222" s="286">
        <v>0</v>
      </c>
      <c r="P222" s="286">
        <v>0</v>
      </c>
      <c r="Q222" s="286">
        <f>SupplychainTier2[[#This Row],[Calculated emissions (kgCO2e) for this spend]]</f>
        <v>0</v>
      </c>
      <c r="R222" s="286">
        <v>0</v>
      </c>
      <c r="S222" s="286">
        <v>0</v>
      </c>
      <c r="T222" s="290" t="str">
        <f>IF(SupplychainTier2[[#This Row],[Calculated emissions (kgCO2e) for this spend]]="","",(SupplychainTier2[[#This Row],[Calculated emissions (kgCO2e) for this spend]]*(1+SupplychainTier2[[#This Row],[RSD]])))</f>
        <v/>
      </c>
      <c r="U222" s="290" t="str">
        <f>IF(SupplychainTier2[[#This Row],[Calculated emissions (kgCO2e) for this spend]]="","",(SupplychainTier2[[#This Row],[Calculated emissions (kgCO2e) for this spend]]*(1-SupplychainTier2[[#This Row],[RSD]])))</f>
        <v/>
      </c>
      <c r="V222" s="286">
        <v>0</v>
      </c>
    </row>
    <row r="223" spans="2:22" ht="15" thickBot="1" x14ac:dyDescent="0.4">
      <c r="B223" s="418" t="str">
        <f t="shared" si="11"/>
        <v/>
      </c>
      <c r="C223" s="289" t="str">
        <f t="shared" si="12"/>
        <v/>
      </c>
      <c r="D223" s="112"/>
      <c r="E223" s="419" t="s">
        <v>409</v>
      </c>
      <c r="F223" s="294"/>
      <c r="G223" s="70"/>
      <c r="H223" s="187" t="s">
        <v>263</v>
      </c>
      <c r="I223" s="410">
        <f>SupplychainTier2[[#This Row],[Spend for which Tier 2 method accounts]]</f>
        <v>0</v>
      </c>
      <c r="J223" s="410" t="s">
        <v>263</v>
      </c>
      <c r="K223" s="410" t="str">
        <f>IFERROR(SupplychainTier2[[#This Row],[Calculated emissions (kgCO2e) for this spend]]/SupplychainTier2[[#This Row],[Spend for which Tier 2 method accounts]],"")</f>
        <v/>
      </c>
      <c r="L223" s="199"/>
      <c r="M223" s="103"/>
      <c r="N223" s="103"/>
      <c r="O223" s="286">
        <v>0</v>
      </c>
      <c r="P223" s="286">
        <v>0</v>
      </c>
      <c r="Q223" s="286">
        <f>SupplychainTier2[[#This Row],[Calculated emissions (kgCO2e) for this spend]]</f>
        <v>0</v>
      </c>
      <c r="R223" s="286">
        <v>0</v>
      </c>
      <c r="S223" s="286">
        <v>0</v>
      </c>
      <c r="T223" s="290" t="str">
        <f>IF(SupplychainTier2[[#This Row],[Calculated emissions (kgCO2e) for this spend]]="","",(SupplychainTier2[[#This Row],[Calculated emissions (kgCO2e) for this spend]]*(1+SupplychainTier2[[#This Row],[RSD]])))</f>
        <v/>
      </c>
      <c r="U223" s="290" t="str">
        <f>IF(SupplychainTier2[[#This Row],[Calculated emissions (kgCO2e) for this spend]]="","",(SupplychainTier2[[#This Row],[Calculated emissions (kgCO2e) for this spend]]*(1-SupplychainTier2[[#This Row],[RSD]])))</f>
        <v/>
      </c>
      <c r="V223" s="286">
        <v>0</v>
      </c>
    </row>
    <row r="224" spans="2:22" ht="15" thickBot="1" x14ac:dyDescent="0.4">
      <c r="B224" s="418" t="str">
        <f t="shared" si="11"/>
        <v/>
      </c>
      <c r="C224" s="289" t="str">
        <f t="shared" si="12"/>
        <v/>
      </c>
      <c r="D224" s="112"/>
      <c r="E224" s="419" t="s">
        <v>409</v>
      </c>
      <c r="F224" s="294"/>
      <c r="G224" s="70"/>
      <c r="H224" s="187" t="s">
        <v>263</v>
      </c>
      <c r="I224" s="410">
        <f>SupplychainTier2[[#This Row],[Spend for which Tier 2 method accounts]]</f>
        <v>0</v>
      </c>
      <c r="J224" s="410" t="s">
        <v>263</v>
      </c>
      <c r="K224" s="410" t="str">
        <f>IFERROR(SupplychainTier2[[#This Row],[Calculated emissions (kgCO2e) for this spend]]/SupplychainTier2[[#This Row],[Spend for which Tier 2 method accounts]],"")</f>
        <v/>
      </c>
      <c r="L224" s="199"/>
      <c r="M224" s="103"/>
      <c r="N224" s="103"/>
      <c r="O224" s="286">
        <v>0</v>
      </c>
      <c r="P224" s="286">
        <v>0</v>
      </c>
      <c r="Q224" s="286">
        <f>SupplychainTier2[[#This Row],[Calculated emissions (kgCO2e) for this spend]]</f>
        <v>0</v>
      </c>
      <c r="R224" s="286">
        <v>0</v>
      </c>
      <c r="S224" s="286">
        <v>0</v>
      </c>
      <c r="T224" s="290" t="str">
        <f>IF(SupplychainTier2[[#This Row],[Calculated emissions (kgCO2e) for this spend]]="","",(SupplychainTier2[[#This Row],[Calculated emissions (kgCO2e) for this spend]]*(1+SupplychainTier2[[#This Row],[RSD]])))</f>
        <v/>
      </c>
      <c r="U224" s="290" t="str">
        <f>IF(SupplychainTier2[[#This Row],[Calculated emissions (kgCO2e) for this spend]]="","",(SupplychainTier2[[#This Row],[Calculated emissions (kgCO2e) for this spend]]*(1-SupplychainTier2[[#This Row],[RSD]])))</f>
        <v/>
      </c>
      <c r="V224" s="286">
        <v>0</v>
      </c>
    </row>
    <row r="225" spans="2:22" ht="15" thickBot="1" x14ac:dyDescent="0.4">
      <c r="B225" s="418" t="str">
        <f t="shared" si="11"/>
        <v/>
      </c>
      <c r="C225" s="289" t="str">
        <f t="shared" si="12"/>
        <v/>
      </c>
      <c r="D225" s="112"/>
      <c r="E225" s="419" t="s">
        <v>409</v>
      </c>
      <c r="F225" s="294"/>
      <c r="G225" s="70"/>
      <c r="H225" s="187" t="s">
        <v>263</v>
      </c>
      <c r="I225" s="410">
        <f>SupplychainTier2[[#This Row],[Spend for which Tier 2 method accounts]]</f>
        <v>0</v>
      </c>
      <c r="J225" s="410" t="s">
        <v>263</v>
      </c>
      <c r="K225" s="410" t="str">
        <f>IFERROR(SupplychainTier2[[#This Row],[Calculated emissions (kgCO2e) for this spend]]/SupplychainTier2[[#This Row],[Spend for which Tier 2 method accounts]],"")</f>
        <v/>
      </c>
      <c r="L225" s="199"/>
      <c r="M225" s="103"/>
      <c r="N225" s="103"/>
      <c r="O225" s="286">
        <v>0</v>
      </c>
      <c r="P225" s="286">
        <v>0</v>
      </c>
      <c r="Q225" s="286">
        <f>SupplychainTier2[[#This Row],[Calculated emissions (kgCO2e) for this spend]]</f>
        <v>0</v>
      </c>
      <c r="R225" s="286">
        <v>0</v>
      </c>
      <c r="S225" s="286">
        <v>0</v>
      </c>
      <c r="T225" s="290" t="str">
        <f>IF(SupplychainTier2[[#This Row],[Calculated emissions (kgCO2e) for this spend]]="","",(SupplychainTier2[[#This Row],[Calculated emissions (kgCO2e) for this spend]]*(1+SupplychainTier2[[#This Row],[RSD]])))</f>
        <v/>
      </c>
      <c r="U225" s="290" t="str">
        <f>IF(SupplychainTier2[[#This Row],[Calculated emissions (kgCO2e) for this spend]]="","",(SupplychainTier2[[#This Row],[Calculated emissions (kgCO2e) for this spend]]*(1-SupplychainTier2[[#This Row],[RSD]])))</f>
        <v/>
      </c>
      <c r="V225" s="286">
        <v>0</v>
      </c>
    </row>
    <row r="226" spans="2:22" ht="15" thickBot="1" x14ac:dyDescent="0.4">
      <c r="B226" s="418" t="str">
        <f t="shared" si="11"/>
        <v/>
      </c>
      <c r="C226" s="289" t="str">
        <f t="shared" si="12"/>
        <v/>
      </c>
      <c r="D226" s="112"/>
      <c r="E226" s="419" t="s">
        <v>409</v>
      </c>
      <c r="F226" s="294"/>
      <c r="G226" s="70"/>
      <c r="H226" s="187" t="s">
        <v>263</v>
      </c>
      <c r="I226" s="410">
        <f>SupplychainTier2[[#This Row],[Spend for which Tier 2 method accounts]]</f>
        <v>0</v>
      </c>
      <c r="J226" s="410" t="s">
        <v>263</v>
      </c>
      <c r="K226" s="410" t="str">
        <f>IFERROR(SupplychainTier2[[#This Row],[Calculated emissions (kgCO2e) for this spend]]/SupplychainTier2[[#This Row],[Spend for which Tier 2 method accounts]],"")</f>
        <v/>
      </c>
      <c r="L226" s="199"/>
      <c r="M226" s="103"/>
      <c r="N226" s="103"/>
      <c r="O226" s="286">
        <v>0</v>
      </c>
      <c r="P226" s="286">
        <v>0</v>
      </c>
      <c r="Q226" s="286">
        <f>SupplychainTier2[[#This Row],[Calculated emissions (kgCO2e) for this spend]]</f>
        <v>0</v>
      </c>
      <c r="R226" s="286">
        <v>0</v>
      </c>
      <c r="S226" s="286">
        <v>0</v>
      </c>
      <c r="T226" s="290" t="str">
        <f>IF(SupplychainTier2[[#This Row],[Calculated emissions (kgCO2e) for this spend]]="","",(SupplychainTier2[[#This Row],[Calculated emissions (kgCO2e) for this spend]]*(1+SupplychainTier2[[#This Row],[RSD]])))</f>
        <v/>
      </c>
      <c r="U226" s="290" t="str">
        <f>IF(SupplychainTier2[[#This Row],[Calculated emissions (kgCO2e) for this spend]]="","",(SupplychainTier2[[#This Row],[Calculated emissions (kgCO2e) for this spend]]*(1-SupplychainTier2[[#This Row],[RSD]])))</f>
        <v/>
      </c>
      <c r="V226" s="286">
        <v>0</v>
      </c>
    </row>
    <row r="227" spans="2:22" ht="15" thickBot="1" x14ac:dyDescent="0.4">
      <c r="B227" s="418" t="str">
        <f t="shared" si="11"/>
        <v/>
      </c>
      <c r="C227" s="289" t="str">
        <f t="shared" si="12"/>
        <v/>
      </c>
      <c r="D227" s="112"/>
      <c r="E227" s="419" t="s">
        <v>409</v>
      </c>
      <c r="F227" s="294"/>
      <c r="G227" s="70"/>
      <c r="H227" s="187" t="s">
        <v>263</v>
      </c>
      <c r="I227" s="410">
        <f>SupplychainTier2[[#This Row],[Spend for which Tier 2 method accounts]]</f>
        <v>0</v>
      </c>
      <c r="J227" s="410" t="s">
        <v>263</v>
      </c>
      <c r="K227" s="410" t="str">
        <f>IFERROR(SupplychainTier2[[#This Row],[Calculated emissions (kgCO2e) for this spend]]/SupplychainTier2[[#This Row],[Spend for which Tier 2 method accounts]],"")</f>
        <v/>
      </c>
      <c r="L227" s="199"/>
      <c r="M227" s="103"/>
      <c r="N227" s="103"/>
      <c r="O227" s="286">
        <v>0</v>
      </c>
      <c r="P227" s="286">
        <v>0</v>
      </c>
      <c r="Q227" s="286">
        <f>SupplychainTier2[[#This Row],[Calculated emissions (kgCO2e) for this spend]]</f>
        <v>0</v>
      </c>
      <c r="R227" s="286">
        <v>0</v>
      </c>
      <c r="S227" s="286">
        <v>0</v>
      </c>
      <c r="T227" s="290" t="str">
        <f>IF(SupplychainTier2[[#This Row],[Calculated emissions (kgCO2e) for this spend]]="","",(SupplychainTier2[[#This Row],[Calculated emissions (kgCO2e) for this spend]]*(1+SupplychainTier2[[#This Row],[RSD]])))</f>
        <v/>
      </c>
      <c r="U227" s="290" t="str">
        <f>IF(SupplychainTier2[[#This Row],[Calculated emissions (kgCO2e) for this spend]]="","",(SupplychainTier2[[#This Row],[Calculated emissions (kgCO2e) for this spend]]*(1-SupplychainTier2[[#This Row],[RSD]])))</f>
        <v/>
      </c>
      <c r="V227" s="286">
        <v>0</v>
      </c>
    </row>
    <row r="228" spans="2:22" ht="15" thickBot="1" x14ac:dyDescent="0.4">
      <c r="B228" s="418" t="str">
        <f t="shared" si="11"/>
        <v/>
      </c>
      <c r="C228" s="289" t="str">
        <f t="shared" si="12"/>
        <v/>
      </c>
      <c r="D228" s="112"/>
      <c r="E228" s="419" t="s">
        <v>409</v>
      </c>
      <c r="F228" s="294"/>
      <c r="G228" s="70"/>
      <c r="H228" s="187" t="s">
        <v>263</v>
      </c>
      <c r="I228" s="291">
        <f>SupplychainTier2[[#This Row],[Spend for which Tier 2 method accounts]]</f>
        <v>0</v>
      </c>
      <c r="J228" s="292"/>
      <c r="K228" s="410" t="str">
        <f>IFERROR(SupplychainTier2[[#This Row],[Calculated emissions (kgCO2e) for this spend]]/SupplychainTier2[[#This Row],[Spend for which Tier 2 method accounts]],"")</f>
        <v/>
      </c>
      <c r="L228" s="199"/>
      <c r="M228" s="103"/>
      <c r="N228" s="103"/>
      <c r="O228" s="286">
        <v>0</v>
      </c>
      <c r="P228" s="286">
        <v>0</v>
      </c>
      <c r="Q228" s="286">
        <f>SupplychainTier2[[#This Row],[Calculated emissions (kgCO2e) for this spend]]</f>
        <v>0</v>
      </c>
      <c r="R228" s="286">
        <v>0</v>
      </c>
      <c r="S228" s="286">
        <v>0</v>
      </c>
      <c r="T228" s="290" t="str">
        <f>IF(SupplychainTier2[[#This Row],[Calculated emissions (kgCO2e) for this spend]]="","",(SupplychainTier2[[#This Row],[Calculated emissions (kgCO2e) for this spend]]*(1+SupplychainTier2[[#This Row],[RSD]])))</f>
        <v/>
      </c>
      <c r="U228" s="290" t="str">
        <f>IF(SupplychainTier2[[#This Row],[Calculated emissions (kgCO2e) for this spend]]="","",(SupplychainTier2[[#This Row],[Calculated emissions (kgCO2e) for this spend]]*(1-SupplychainTier2[[#This Row],[RSD]])))</f>
        <v/>
      </c>
      <c r="V228" s="286">
        <v>0</v>
      </c>
    </row>
    <row r="229" spans="2:22" ht="15" thickBot="1" x14ac:dyDescent="0.4">
      <c r="B229" s="418" t="str">
        <f t="shared" si="11"/>
        <v/>
      </c>
      <c r="C229" s="289" t="str">
        <f t="shared" si="12"/>
        <v/>
      </c>
      <c r="D229" s="112"/>
      <c r="E229" s="419" t="s">
        <v>409</v>
      </c>
      <c r="F229" s="294"/>
      <c r="G229" s="70"/>
      <c r="H229" s="187" t="s">
        <v>263</v>
      </c>
      <c r="I229" s="291">
        <f>SupplychainTier2[[#This Row],[Spend for which Tier 2 method accounts]]</f>
        <v>0</v>
      </c>
      <c r="J229" s="292"/>
      <c r="K229" s="410" t="str">
        <f>IFERROR(SupplychainTier2[[#This Row],[Calculated emissions (kgCO2e) for this spend]]/SupplychainTier2[[#This Row],[Spend for which Tier 2 method accounts]],"")</f>
        <v/>
      </c>
      <c r="L229" s="199"/>
      <c r="M229" s="103"/>
      <c r="N229" s="103"/>
      <c r="O229" s="286">
        <v>0</v>
      </c>
      <c r="P229" s="286">
        <v>0</v>
      </c>
      <c r="Q229" s="286">
        <f>SupplychainTier2[[#This Row],[Calculated emissions (kgCO2e) for this spend]]</f>
        <v>0</v>
      </c>
      <c r="R229" s="286">
        <v>0</v>
      </c>
      <c r="S229" s="286">
        <v>0</v>
      </c>
      <c r="T229" s="290" t="str">
        <f>IF(SupplychainTier2[[#This Row],[Calculated emissions (kgCO2e) for this spend]]="","",(SupplychainTier2[[#This Row],[Calculated emissions (kgCO2e) for this spend]]*(1+SupplychainTier2[[#This Row],[RSD]])))</f>
        <v/>
      </c>
      <c r="U229" s="290" t="str">
        <f>IF(SupplychainTier2[[#This Row],[Calculated emissions (kgCO2e) for this spend]]="","",(SupplychainTier2[[#This Row],[Calculated emissions (kgCO2e) for this spend]]*(1-SupplychainTier2[[#This Row],[RSD]])))</f>
        <v/>
      </c>
      <c r="V229" s="286">
        <v>0</v>
      </c>
    </row>
    <row r="230" spans="2:22" ht="15" thickBot="1" x14ac:dyDescent="0.4">
      <c r="B230" s="418" t="str">
        <f t="shared" si="11"/>
        <v/>
      </c>
      <c r="C230" s="289" t="str">
        <f t="shared" si="12"/>
        <v/>
      </c>
      <c r="D230" s="112"/>
      <c r="E230" s="419" t="s">
        <v>409</v>
      </c>
      <c r="F230" s="294"/>
      <c r="G230" s="70"/>
      <c r="H230" s="187" t="s">
        <v>263</v>
      </c>
      <c r="I230" s="291">
        <f>SupplychainTier2[[#This Row],[Spend for which Tier 2 method accounts]]</f>
        <v>0</v>
      </c>
      <c r="J230" s="292"/>
      <c r="K230" s="410" t="str">
        <f>IFERROR(SupplychainTier2[[#This Row],[Calculated emissions (kgCO2e) for this spend]]/SupplychainTier2[[#This Row],[Spend for which Tier 2 method accounts]],"")</f>
        <v/>
      </c>
      <c r="L230" s="199"/>
      <c r="M230" s="103"/>
      <c r="N230" s="103"/>
      <c r="O230" s="286">
        <v>0</v>
      </c>
      <c r="P230" s="286">
        <v>0</v>
      </c>
      <c r="Q230" s="286">
        <f>SupplychainTier2[[#This Row],[Calculated emissions (kgCO2e) for this spend]]</f>
        <v>0</v>
      </c>
      <c r="R230" s="286">
        <v>0</v>
      </c>
      <c r="S230" s="286">
        <v>0</v>
      </c>
      <c r="T230" s="290" t="str">
        <f>IF(SupplychainTier2[[#This Row],[Calculated emissions (kgCO2e) for this spend]]="","",(SupplychainTier2[[#This Row],[Calculated emissions (kgCO2e) for this spend]]*(1+SupplychainTier2[[#This Row],[RSD]])))</f>
        <v/>
      </c>
      <c r="U230" s="290" t="str">
        <f>IF(SupplychainTier2[[#This Row],[Calculated emissions (kgCO2e) for this spend]]="","",(SupplychainTier2[[#This Row],[Calculated emissions (kgCO2e) for this spend]]*(1-SupplychainTier2[[#This Row],[RSD]])))</f>
        <v/>
      </c>
      <c r="V230" s="286">
        <v>0</v>
      </c>
    </row>
    <row r="231" spans="2:22" ht="15" thickBot="1" x14ac:dyDescent="0.4">
      <c r="B231" s="418" t="str">
        <f t="shared" si="11"/>
        <v/>
      </c>
      <c r="C231" s="289" t="str">
        <f t="shared" si="12"/>
        <v/>
      </c>
      <c r="D231" s="112"/>
      <c r="E231" s="419" t="s">
        <v>409</v>
      </c>
      <c r="F231" s="294"/>
      <c r="G231" s="70"/>
      <c r="H231" s="187" t="s">
        <v>263</v>
      </c>
      <c r="I231" s="291">
        <f>SupplychainTier2[[#This Row],[Spend for which Tier 2 method accounts]]</f>
        <v>0</v>
      </c>
      <c r="J231" s="292"/>
      <c r="K231" s="410" t="str">
        <f>IFERROR(SupplychainTier2[[#This Row],[Calculated emissions (kgCO2e) for this spend]]/SupplychainTier2[[#This Row],[Spend for which Tier 2 method accounts]],"")</f>
        <v/>
      </c>
      <c r="L231" s="199"/>
      <c r="M231" s="103"/>
      <c r="N231" s="103"/>
      <c r="O231" s="286">
        <v>0</v>
      </c>
      <c r="P231" s="286">
        <v>0</v>
      </c>
      <c r="Q231" s="286">
        <f>SupplychainTier2[[#This Row],[Calculated emissions (kgCO2e) for this spend]]</f>
        <v>0</v>
      </c>
      <c r="R231" s="286">
        <v>0</v>
      </c>
      <c r="S231" s="286">
        <v>0</v>
      </c>
      <c r="T231" s="290" t="str">
        <f>IF(SupplychainTier2[[#This Row],[Calculated emissions (kgCO2e) for this spend]]="","",(SupplychainTier2[[#This Row],[Calculated emissions (kgCO2e) for this spend]]*(1+SupplychainTier2[[#This Row],[RSD]])))</f>
        <v/>
      </c>
      <c r="U231" s="290" t="str">
        <f>IF(SupplychainTier2[[#This Row],[Calculated emissions (kgCO2e) for this spend]]="","",(SupplychainTier2[[#This Row],[Calculated emissions (kgCO2e) for this spend]]*(1-SupplychainTier2[[#This Row],[RSD]])))</f>
        <v/>
      </c>
      <c r="V231" s="286">
        <v>0</v>
      </c>
    </row>
    <row r="232" spans="2:22" ht="15" thickBot="1" x14ac:dyDescent="0.4">
      <c r="B232" s="418" t="str">
        <f t="shared" si="11"/>
        <v/>
      </c>
      <c r="C232" s="289" t="str">
        <f t="shared" si="12"/>
        <v/>
      </c>
      <c r="D232" s="112"/>
      <c r="E232" s="419" t="s">
        <v>409</v>
      </c>
      <c r="F232" s="294"/>
      <c r="G232" s="70"/>
      <c r="H232" s="187" t="s">
        <v>263</v>
      </c>
      <c r="I232" s="291">
        <f>SupplychainTier2[[#This Row],[Spend for which Tier 2 method accounts]]</f>
        <v>0</v>
      </c>
      <c r="J232" s="292"/>
      <c r="K232" s="410" t="str">
        <f>IFERROR(SupplychainTier2[[#This Row],[Calculated emissions (kgCO2e) for this spend]]/SupplychainTier2[[#This Row],[Spend for which Tier 2 method accounts]],"")</f>
        <v/>
      </c>
      <c r="L232" s="199"/>
      <c r="M232" s="103"/>
      <c r="N232" s="103"/>
      <c r="O232" s="286">
        <v>0</v>
      </c>
      <c r="P232" s="286">
        <v>0</v>
      </c>
      <c r="Q232" s="286">
        <f>SupplychainTier2[[#This Row],[Calculated emissions (kgCO2e) for this spend]]</f>
        <v>0</v>
      </c>
      <c r="R232" s="286">
        <v>0</v>
      </c>
      <c r="S232" s="286">
        <v>0</v>
      </c>
      <c r="T232" s="290" t="str">
        <f>IF(SupplychainTier2[[#This Row],[Calculated emissions (kgCO2e) for this spend]]="","",(SupplychainTier2[[#This Row],[Calculated emissions (kgCO2e) for this spend]]*(1+SupplychainTier2[[#This Row],[RSD]])))</f>
        <v/>
      </c>
      <c r="U232" s="290" t="str">
        <f>IF(SupplychainTier2[[#This Row],[Calculated emissions (kgCO2e) for this spend]]="","",(SupplychainTier2[[#This Row],[Calculated emissions (kgCO2e) for this spend]]*(1-SupplychainTier2[[#This Row],[RSD]])))</f>
        <v/>
      </c>
      <c r="V232" s="286">
        <v>0</v>
      </c>
    </row>
    <row r="233" spans="2:22" ht="15" thickBot="1" x14ac:dyDescent="0.4">
      <c r="B233" s="418" t="str">
        <f t="shared" si="11"/>
        <v/>
      </c>
      <c r="C233" s="289" t="str">
        <f t="shared" si="12"/>
        <v/>
      </c>
      <c r="D233" s="112"/>
      <c r="E233" s="419" t="s">
        <v>409</v>
      </c>
      <c r="F233" s="294"/>
      <c r="G233" s="70"/>
      <c r="H233" s="187" t="s">
        <v>263</v>
      </c>
      <c r="I233" s="291">
        <f>SupplychainTier2[[#This Row],[Spend for which Tier 2 method accounts]]</f>
        <v>0</v>
      </c>
      <c r="J233" s="292"/>
      <c r="K233" s="410" t="str">
        <f>IFERROR(SupplychainTier2[[#This Row],[Calculated emissions (kgCO2e) for this spend]]/SupplychainTier2[[#This Row],[Spend for which Tier 2 method accounts]],"")</f>
        <v/>
      </c>
      <c r="L233" s="199"/>
      <c r="M233" s="103"/>
      <c r="N233" s="103"/>
      <c r="O233" s="286">
        <v>0</v>
      </c>
      <c r="P233" s="286">
        <v>0</v>
      </c>
      <c r="Q233" s="286">
        <f>SupplychainTier2[[#This Row],[Calculated emissions (kgCO2e) for this spend]]</f>
        <v>0</v>
      </c>
      <c r="R233" s="286">
        <v>0</v>
      </c>
      <c r="S233" s="286">
        <v>0</v>
      </c>
      <c r="T233" s="290" t="str">
        <f>IF(SupplychainTier2[[#This Row],[Calculated emissions (kgCO2e) for this spend]]="","",(SupplychainTier2[[#This Row],[Calculated emissions (kgCO2e) for this spend]]*(1+SupplychainTier2[[#This Row],[RSD]])))</f>
        <v/>
      </c>
      <c r="U233" s="290" t="str">
        <f>IF(SupplychainTier2[[#This Row],[Calculated emissions (kgCO2e) for this spend]]="","",(SupplychainTier2[[#This Row],[Calculated emissions (kgCO2e) for this spend]]*(1-SupplychainTier2[[#This Row],[RSD]])))</f>
        <v/>
      </c>
      <c r="V233" s="286">
        <v>0</v>
      </c>
    </row>
    <row r="234" spans="2:22" ht="15" thickBot="1" x14ac:dyDescent="0.4">
      <c r="B234" s="418" t="str">
        <f t="shared" si="11"/>
        <v/>
      </c>
      <c r="C234" s="289" t="str">
        <f t="shared" si="12"/>
        <v/>
      </c>
      <c r="D234" s="112"/>
      <c r="E234" s="419" t="s">
        <v>409</v>
      </c>
      <c r="F234" s="294"/>
      <c r="G234" s="70"/>
      <c r="H234" s="187" t="s">
        <v>263</v>
      </c>
      <c r="I234" s="291">
        <f>SupplychainTier2[[#This Row],[Spend for which Tier 2 method accounts]]</f>
        <v>0</v>
      </c>
      <c r="J234" s="292"/>
      <c r="K234" s="410" t="str">
        <f>IFERROR(SupplychainTier2[[#This Row],[Calculated emissions (kgCO2e) for this spend]]/SupplychainTier2[[#This Row],[Spend for which Tier 2 method accounts]],"")</f>
        <v/>
      </c>
      <c r="L234" s="199"/>
      <c r="M234" s="103"/>
      <c r="N234" s="103"/>
      <c r="O234" s="286">
        <v>0</v>
      </c>
      <c r="P234" s="286">
        <v>0</v>
      </c>
      <c r="Q234" s="286">
        <f>SupplychainTier2[[#This Row],[Calculated emissions (kgCO2e) for this spend]]</f>
        <v>0</v>
      </c>
      <c r="R234" s="286">
        <v>0</v>
      </c>
      <c r="S234" s="286">
        <v>0</v>
      </c>
      <c r="T234" s="290" t="str">
        <f>IF(SupplychainTier2[[#This Row],[Calculated emissions (kgCO2e) for this spend]]="","",(SupplychainTier2[[#This Row],[Calculated emissions (kgCO2e) for this spend]]*(1+SupplychainTier2[[#This Row],[RSD]])))</f>
        <v/>
      </c>
      <c r="U234" s="290" t="str">
        <f>IF(SupplychainTier2[[#This Row],[Calculated emissions (kgCO2e) for this spend]]="","",(SupplychainTier2[[#This Row],[Calculated emissions (kgCO2e) for this spend]]*(1-SupplychainTier2[[#This Row],[RSD]])))</f>
        <v/>
      </c>
      <c r="V234" s="286">
        <v>0</v>
      </c>
    </row>
    <row r="235" spans="2:22" ht="15" thickBot="1" x14ac:dyDescent="0.4">
      <c r="B235" s="418" t="str">
        <f t="shared" si="11"/>
        <v/>
      </c>
      <c r="C235" s="289" t="str">
        <f t="shared" si="12"/>
        <v/>
      </c>
      <c r="D235" s="112"/>
      <c r="E235" s="419" t="s">
        <v>409</v>
      </c>
      <c r="F235" s="294"/>
      <c r="G235" s="70"/>
      <c r="H235" s="187" t="s">
        <v>263</v>
      </c>
      <c r="I235" s="291">
        <f>SupplychainTier2[[#This Row],[Spend for which Tier 2 method accounts]]</f>
        <v>0</v>
      </c>
      <c r="J235" s="292"/>
      <c r="K235" s="410" t="str">
        <f>IFERROR(SupplychainTier2[[#This Row],[Calculated emissions (kgCO2e) for this spend]]/SupplychainTier2[[#This Row],[Spend for which Tier 2 method accounts]],"")</f>
        <v/>
      </c>
      <c r="L235" s="199"/>
      <c r="M235" s="103"/>
      <c r="N235" s="103"/>
      <c r="O235" s="286">
        <v>0</v>
      </c>
      <c r="P235" s="286">
        <v>0</v>
      </c>
      <c r="Q235" s="286">
        <f>SupplychainTier2[[#This Row],[Calculated emissions (kgCO2e) for this spend]]</f>
        <v>0</v>
      </c>
      <c r="R235" s="286">
        <v>0</v>
      </c>
      <c r="S235" s="286">
        <v>0</v>
      </c>
      <c r="T235" s="290" t="str">
        <f>IF(SupplychainTier2[[#This Row],[Calculated emissions (kgCO2e) for this spend]]="","",(SupplychainTier2[[#This Row],[Calculated emissions (kgCO2e) for this spend]]*(1+SupplychainTier2[[#This Row],[RSD]])))</f>
        <v/>
      </c>
      <c r="U235" s="290" t="str">
        <f>IF(SupplychainTier2[[#This Row],[Calculated emissions (kgCO2e) for this spend]]="","",(SupplychainTier2[[#This Row],[Calculated emissions (kgCO2e) for this spend]]*(1-SupplychainTier2[[#This Row],[RSD]])))</f>
        <v/>
      </c>
      <c r="V235" s="286">
        <v>0</v>
      </c>
    </row>
    <row r="236" spans="2:22" ht="15" thickBot="1" x14ac:dyDescent="0.4">
      <c r="B236" s="418" t="str">
        <f t="shared" si="11"/>
        <v/>
      </c>
      <c r="C236" s="289" t="str">
        <f t="shared" si="12"/>
        <v/>
      </c>
      <c r="D236" s="112"/>
      <c r="E236" s="419" t="s">
        <v>409</v>
      </c>
      <c r="F236" s="294"/>
      <c r="G236" s="70"/>
      <c r="H236" s="187" t="s">
        <v>263</v>
      </c>
      <c r="I236" s="291">
        <f>SupplychainTier2[[#This Row],[Spend for which Tier 2 method accounts]]</f>
        <v>0</v>
      </c>
      <c r="J236" s="292"/>
      <c r="K236" s="410" t="str">
        <f>IFERROR(SupplychainTier2[[#This Row],[Calculated emissions (kgCO2e) for this spend]]/SupplychainTier2[[#This Row],[Spend for which Tier 2 method accounts]],"")</f>
        <v/>
      </c>
      <c r="L236" s="199"/>
      <c r="M236" s="103"/>
      <c r="N236" s="103"/>
      <c r="O236" s="286">
        <v>0</v>
      </c>
      <c r="P236" s="286">
        <v>0</v>
      </c>
      <c r="Q236" s="286">
        <f>SupplychainTier2[[#This Row],[Calculated emissions (kgCO2e) for this spend]]</f>
        <v>0</v>
      </c>
      <c r="R236" s="286">
        <v>0</v>
      </c>
      <c r="S236" s="286">
        <v>0</v>
      </c>
      <c r="T236" s="290" t="str">
        <f>IF(SupplychainTier2[[#This Row],[Calculated emissions (kgCO2e) for this spend]]="","",(SupplychainTier2[[#This Row],[Calculated emissions (kgCO2e) for this spend]]*(1+SupplychainTier2[[#This Row],[RSD]])))</f>
        <v/>
      </c>
      <c r="U236" s="290" t="str">
        <f>IF(SupplychainTier2[[#This Row],[Calculated emissions (kgCO2e) for this spend]]="","",(SupplychainTier2[[#This Row],[Calculated emissions (kgCO2e) for this spend]]*(1-SupplychainTier2[[#This Row],[RSD]])))</f>
        <v/>
      </c>
      <c r="V236" s="286">
        <v>0</v>
      </c>
    </row>
    <row r="237" spans="2:22" ht="15" thickBot="1" x14ac:dyDescent="0.4">
      <c r="B237" s="418" t="str">
        <f t="shared" si="11"/>
        <v/>
      </c>
      <c r="C237" s="289" t="str">
        <f t="shared" si="12"/>
        <v/>
      </c>
      <c r="D237" s="112"/>
      <c r="E237" s="419" t="s">
        <v>409</v>
      </c>
      <c r="F237" s="294"/>
      <c r="G237" s="70"/>
      <c r="H237" s="187" t="s">
        <v>263</v>
      </c>
      <c r="I237" s="291">
        <f>SupplychainTier2[[#This Row],[Spend for which Tier 2 method accounts]]</f>
        <v>0</v>
      </c>
      <c r="J237" s="292"/>
      <c r="K237" s="410" t="str">
        <f>IFERROR(SupplychainTier2[[#This Row],[Calculated emissions (kgCO2e) for this spend]]/SupplychainTier2[[#This Row],[Spend for which Tier 2 method accounts]],"")</f>
        <v/>
      </c>
      <c r="L237" s="199"/>
      <c r="M237" s="103"/>
      <c r="N237" s="103"/>
      <c r="O237" s="286">
        <v>0</v>
      </c>
      <c r="P237" s="286">
        <v>0</v>
      </c>
      <c r="Q237" s="286">
        <f>SupplychainTier2[[#This Row],[Calculated emissions (kgCO2e) for this spend]]</f>
        <v>0</v>
      </c>
      <c r="R237" s="286">
        <v>0</v>
      </c>
      <c r="S237" s="286">
        <v>0</v>
      </c>
      <c r="T237" s="290" t="str">
        <f>IF(SupplychainTier2[[#This Row],[Calculated emissions (kgCO2e) for this spend]]="","",(SupplychainTier2[[#This Row],[Calculated emissions (kgCO2e) for this spend]]*(1+SupplychainTier2[[#This Row],[RSD]])))</f>
        <v/>
      </c>
      <c r="U237" s="290" t="str">
        <f>IF(SupplychainTier2[[#This Row],[Calculated emissions (kgCO2e) for this spend]]="","",(SupplychainTier2[[#This Row],[Calculated emissions (kgCO2e) for this spend]]*(1-SupplychainTier2[[#This Row],[RSD]])))</f>
        <v/>
      </c>
      <c r="V237" s="286">
        <v>0</v>
      </c>
    </row>
    <row r="238" spans="2:22" ht="15" thickBot="1" x14ac:dyDescent="0.4">
      <c r="B238" s="418" t="str">
        <f t="shared" si="11"/>
        <v/>
      </c>
      <c r="C238" s="289" t="str">
        <f t="shared" si="12"/>
        <v/>
      </c>
      <c r="D238" s="112"/>
      <c r="E238" s="419" t="s">
        <v>409</v>
      </c>
      <c r="F238" s="294"/>
      <c r="G238" s="70"/>
      <c r="H238" s="187" t="s">
        <v>263</v>
      </c>
      <c r="I238" s="291">
        <f>SupplychainTier2[[#This Row],[Spend for which Tier 2 method accounts]]</f>
        <v>0</v>
      </c>
      <c r="J238" s="292"/>
      <c r="K238" s="410" t="str">
        <f>IFERROR(SupplychainTier2[[#This Row],[Calculated emissions (kgCO2e) for this spend]]/SupplychainTier2[[#This Row],[Spend for which Tier 2 method accounts]],"")</f>
        <v/>
      </c>
      <c r="L238" s="199"/>
      <c r="M238" s="103"/>
      <c r="N238" s="103"/>
      <c r="O238" s="286">
        <v>0</v>
      </c>
      <c r="P238" s="286">
        <v>0</v>
      </c>
      <c r="Q238" s="286">
        <f>SupplychainTier2[[#This Row],[Calculated emissions (kgCO2e) for this spend]]</f>
        <v>0</v>
      </c>
      <c r="R238" s="286">
        <v>0</v>
      </c>
      <c r="S238" s="286">
        <v>0</v>
      </c>
      <c r="T238" s="290" t="str">
        <f>IF(SupplychainTier2[[#This Row],[Calculated emissions (kgCO2e) for this spend]]="","",(SupplychainTier2[[#This Row],[Calculated emissions (kgCO2e) for this spend]]*(1+SupplychainTier2[[#This Row],[RSD]])))</f>
        <v/>
      </c>
      <c r="U238" s="290" t="str">
        <f>IF(SupplychainTier2[[#This Row],[Calculated emissions (kgCO2e) for this spend]]="","",(SupplychainTier2[[#This Row],[Calculated emissions (kgCO2e) for this spend]]*(1-SupplychainTier2[[#This Row],[RSD]])))</f>
        <v/>
      </c>
      <c r="V238" s="286">
        <v>0</v>
      </c>
    </row>
    <row r="239" spans="2:22" ht="15" thickBot="1" x14ac:dyDescent="0.4">
      <c r="B239" s="418" t="str">
        <f t="shared" si="11"/>
        <v/>
      </c>
      <c r="C239" s="289" t="str">
        <f t="shared" si="12"/>
        <v/>
      </c>
      <c r="D239" s="112"/>
      <c r="E239" s="419" t="s">
        <v>409</v>
      </c>
      <c r="F239" s="294"/>
      <c r="G239" s="70"/>
      <c r="H239" s="187" t="s">
        <v>263</v>
      </c>
      <c r="I239" s="291">
        <f>SupplychainTier2[[#This Row],[Spend for which Tier 2 method accounts]]</f>
        <v>0</v>
      </c>
      <c r="J239" s="292"/>
      <c r="K239" s="410" t="str">
        <f>IFERROR(SupplychainTier2[[#This Row],[Calculated emissions (kgCO2e) for this spend]]/SupplychainTier2[[#This Row],[Spend for which Tier 2 method accounts]],"")</f>
        <v/>
      </c>
      <c r="L239" s="199"/>
      <c r="M239" s="103"/>
      <c r="N239" s="103"/>
      <c r="O239" s="286">
        <v>0</v>
      </c>
      <c r="P239" s="286">
        <v>0</v>
      </c>
      <c r="Q239" s="286">
        <f>SupplychainTier2[[#This Row],[Calculated emissions (kgCO2e) for this spend]]</f>
        <v>0</v>
      </c>
      <c r="R239" s="286">
        <v>0</v>
      </c>
      <c r="S239" s="286">
        <v>0</v>
      </c>
      <c r="T239" s="290" t="str">
        <f>IF(SupplychainTier2[[#This Row],[Calculated emissions (kgCO2e) for this spend]]="","",(SupplychainTier2[[#This Row],[Calculated emissions (kgCO2e) for this spend]]*(1+SupplychainTier2[[#This Row],[RSD]])))</f>
        <v/>
      </c>
      <c r="U239" s="290" t="str">
        <f>IF(SupplychainTier2[[#This Row],[Calculated emissions (kgCO2e) for this spend]]="","",(SupplychainTier2[[#This Row],[Calculated emissions (kgCO2e) for this spend]]*(1-SupplychainTier2[[#This Row],[RSD]])))</f>
        <v/>
      </c>
      <c r="V239" s="286">
        <v>0</v>
      </c>
    </row>
    <row r="240" spans="2:22" ht="15" thickBot="1" x14ac:dyDescent="0.4">
      <c r="B240" s="418" t="str">
        <f t="shared" si="11"/>
        <v/>
      </c>
      <c r="C240" s="289" t="str">
        <f t="shared" si="12"/>
        <v/>
      </c>
      <c r="D240" s="112"/>
      <c r="E240" s="419" t="s">
        <v>409</v>
      </c>
      <c r="F240" s="294"/>
      <c r="G240" s="70"/>
      <c r="H240" s="187" t="s">
        <v>263</v>
      </c>
      <c r="I240" s="291">
        <f>SupplychainTier2[[#This Row],[Spend for which Tier 2 method accounts]]</f>
        <v>0</v>
      </c>
      <c r="J240" s="292"/>
      <c r="K240" s="410" t="str">
        <f>IFERROR(SupplychainTier2[[#This Row],[Calculated emissions (kgCO2e) for this spend]]/SupplychainTier2[[#This Row],[Spend for which Tier 2 method accounts]],"")</f>
        <v/>
      </c>
      <c r="L240" s="199"/>
      <c r="M240" s="103"/>
      <c r="N240" s="103"/>
      <c r="O240" s="286">
        <v>0</v>
      </c>
      <c r="P240" s="286">
        <v>0</v>
      </c>
      <c r="Q240" s="286">
        <f>SupplychainTier2[[#This Row],[Calculated emissions (kgCO2e) for this spend]]</f>
        <v>0</v>
      </c>
      <c r="R240" s="286">
        <v>0</v>
      </c>
      <c r="S240" s="286">
        <v>0</v>
      </c>
      <c r="T240" s="290" t="str">
        <f>IF(SupplychainTier2[[#This Row],[Calculated emissions (kgCO2e) for this spend]]="","",(SupplychainTier2[[#This Row],[Calculated emissions (kgCO2e) for this spend]]*(1+SupplychainTier2[[#This Row],[RSD]])))</f>
        <v/>
      </c>
      <c r="U240" s="290" t="str">
        <f>IF(SupplychainTier2[[#This Row],[Calculated emissions (kgCO2e) for this spend]]="","",(SupplychainTier2[[#This Row],[Calculated emissions (kgCO2e) for this spend]]*(1-SupplychainTier2[[#This Row],[RSD]])))</f>
        <v/>
      </c>
      <c r="V240" s="286">
        <v>0</v>
      </c>
    </row>
    <row r="241" spans="2:22" ht="15" thickBot="1" x14ac:dyDescent="0.4">
      <c r="B241" s="418" t="str">
        <f t="shared" si="11"/>
        <v/>
      </c>
      <c r="C241" s="289" t="str">
        <f t="shared" si="12"/>
        <v/>
      </c>
      <c r="D241" s="112"/>
      <c r="E241" s="419" t="s">
        <v>409</v>
      </c>
      <c r="F241" s="294"/>
      <c r="G241" s="70"/>
      <c r="H241" s="187" t="s">
        <v>263</v>
      </c>
      <c r="I241" s="291">
        <f>SupplychainTier2[[#This Row],[Spend for which Tier 2 method accounts]]</f>
        <v>0</v>
      </c>
      <c r="J241" s="292"/>
      <c r="K241" s="410" t="str">
        <f>IFERROR(SupplychainTier2[[#This Row],[Calculated emissions (kgCO2e) for this spend]]/SupplychainTier2[[#This Row],[Spend for which Tier 2 method accounts]],"")</f>
        <v/>
      </c>
      <c r="L241" s="199"/>
      <c r="M241" s="103"/>
      <c r="N241" s="103"/>
      <c r="O241" s="286">
        <v>0</v>
      </c>
      <c r="P241" s="286">
        <v>0</v>
      </c>
      <c r="Q241" s="286">
        <f>SupplychainTier2[[#This Row],[Calculated emissions (kgCO2e) for this spend]]</f>
        <v>0</v>
      </c>
      <c r="R241" s="286">
        <v>0</v>
      </c>
      <c r="S241" s="286">
        <v>0</v>
      </c>
      <c r="T241" s="290" t="str">
        <f>IF(SupplychainTier2[[#This Row],[Calculated emissions (kgCO2e) for this spend]]="","",(SupplychainTier2[[#This Row],[Calculated emissions (kgCO2e) for this spend]]*(1+SupplychainTier2[[#This Row],[RSD]])))</f>
        <v/>
      </c>
      <c r="U241" s="290" t="str">
        <f>IF(SupplychainTier2[[#This Row],[Calculated emissions (kgCO2e) for this spend]]="","",(SupplychainTier2[[#This Row],[Calculated emissions (kgCO2e) for this spend]]*(1-SupplychainTier2[[#This Row],[RSD]])))</f>
        <v/>
      </c>
      <c r="V241" s="286">
        <v>0</v>
      </c>
    </row>
    <row r="242" spans="2:22" ht="15" thickBot="1" x14ac:dyDescent="0.4">
      <c r="B242" s="418" t="str">
        <f t="shared" si="11"/>
        <v/>
      </c>
      <c r="C242" s="289" t="str">
        <f t="shared" si="12"/>
        <v/>
      </c>
      <c r="D242" s="112"/>
      <c r="E242" s="419" t="s">
        <v>409</v>
      </c>
      <c r="F242" s="294"/>
      <c r="G242" s="70"/>
      <c r="H242" s="187" t="s">
        <v>263</v>
      </c>
      <c r="I242" s="291">
        <f>SupplychainTier2[[#This Row],[Spend for which Tier 2 method accounts]]</f>
        <v>0</v>
      </c>
      <c r="J242" s="292"/>
      <c r="K242" s="410" t="str">
        <f>IFERROR(SupplychainTier2[[#This Row],[Calculated emissions (kgCO2e) for this spend]]/SupplychainTier2[[#This Row],[Spend for which Tier 2 method accounts]],"")</f>
        <v/>
      </c>
      <c r="L242" s="199"/>
      <c r="M242" s="103"/>
      <c r="N242" s="103"/>
      <c r="O242" s="286">
        <v>0</v>
      </c>
      <c r="P242" s="286">
        <v>0</v>
      </c>
      <c r="Q242" s="286">
        <f>SupplychainTier2[[#This Row],[Calculated emissions (kgCO2e) for this spend]]</f>
        <v>0</v>
      </c>
      <c r="R242" s="286">
        <v>0</v>
      </c>
      <c r="S242" s="286">
        <v>0</v>
      </c>
      <c r="T242" s="290" t="str">
        <f>IF(SupplychainTier2[[#This Row],[Calculated emissions (kgCO2e) for this spend]]="","",(SupplychainTier2[[#This Row],[Calculated emissions (kgCO2e) for this spend]]*(1+SupplychainTier2[[#This Row],[RSD]])))</f>
        <v/>
      </c>
      <c r="U242" s="290" t="str">
        <f>IF(SupplychainTier2[[#This Row],[Calculated emissions (kgCO2e) for this spend]]="","",(SupplychainTier2[[#This Row],[Calculated emissions (kgCO2e) for this spend]]*(1-SupplychainTier2[[#This Row],[RSD]])))</f>
        <v/>
      </c>
      <c r="V242" s="286">
        <v>0</v>
      </c>
    </row>
    <row r="243" spans="2:22" ht="15" thickBot="1" x14ac:dyDescent="0.4">
      <c r="B243" s="418" t="str">
        <f t="shared" si="11"/>
        <v/>
      </c>
      <c r="C243" s="289" t="str">
        <f t="shared" si="12"/>
        <v/>
      </c>
      <c r="D243" s="112"/>
      <c r="E243" s="419" t="s">
        <v>409</v>
      </c>
      <c r="F243" s="294"/>
      <c r="G243" s="70"/>
      <c r="H243" s="187" t="s">
        <v>263</v>
      </c>
      <c r="I243" s="291">
        <f>SupplychainTier2[[#This Row],[Spend for which Tier 2 method accounts]]</f>
        <v>0</v>
      </c>
      <c r="J243" s="292"/>
      <c r="K243" s="410" t="str">
        <f>IFERROR(SupplychainTier2[[#This Row],[Calculated emissions (kgCO2e) for this spend]]/SupplychainTier2[[#This Row],[Spend for which Tier 2 method accounts]],"")</f>
        <v/>
      </c>
      <c r="L243" s="199"/>
      <c r="M243" s="103"/>
      <c r="N243" s="103"/>
      <c r="O243" s="286">
        <v>0</v>
      </c>
      <c r="P243" s="286">
        <v>0</v>
      </c>
      <c r="Q243" s="286">
        <f>SupplychainTier2[[#This Row],[Calculated emissions (kgCO2e) for this spend]]</f>
        <v>0</v>
      </c>
      <c r="R243" s="286">
        <v>0</v>
      </c>
      <c r="S243" s="286">
        <v>0</v>
      </c>
      <c r="T243" s="290" t="str">
        <f>IF(SupplychainTier2[[#This Row],[Calculated emissions (kgCO2e) for this spend]]="","",(SupplychainTier2[[#This Row],[Calculated emissions (kgCO2e) for this spend]]*(1+SupplychainTier2[[#This Row],[RSD]])))</f>
        <v/>
      </c>
      <c r="U243" s="290" t="str">
        <f>IF(SupplychainTier2[[#This Row],[Calculated emissions (kgCO2e) for this spend]]="","",(SupplychainTier2[[#This Row],[Calculated emissions (kgCO2e) for this spend]]*(1-SupplychainTier2[[#This Row],[RSD]])))</f>
        <v/>
      </c>
      <c r="V243" s="286">
        <v>0</v>
      </c>
    </row>
    <row r="244" spans="2:22" ht="15" thickBot="1" x14ac:dyDescent="0.4">
      <c r="B244" s="418" t="str">
        <f t="shared" si="11"/>
        <v/>
      </c>
      <c r="C244" s="289" t="str">
        <f t="shared" si="12"/>
        <v/>
      </c>
      <c r="D244" s="112"/>
      <c r="E244" s="419" t="s">
        <v>409</v>
      </c>
      <c r="F244" s="294"/>
      <c r="G244" s="70"/>
      <c r="H244" s="187" t="s">
        <v>263</v>
      </c>
      <c r="I244" s="291">
        <f>SupplychainTier2[[#This Row],[Spend for which Tier 2 method accounts]]</f>
        <v>0</v>
      </c>
      <c r="J244" s="292"/>
      <c r="K244" s="410" t="str">
        <f>IFERROR(SupplychainTier2[[#This Row],[Calculated emissions (kgCO2e) for this spend]]/SupplychainTier2[[#This Row],[Spend for which Tier 2 method accounts]],"")</f>
        <v/>
      </c>
      <c r="L244" s="199"/>
      <c r="M244" s="103"/>
      <c r="N244" s="103"/>
      <c r="O244" s="286">
        <v>0</v>
      </c>
      <c r="P244" s="286">
        <v>0</v>
      </c>
      <c r="Q244" s="286">
        <f>SupplychainTier2[[#This Row],[Calculated emissions (kgCO2e) for this spend]]</f>
        <v>0</v>
      </c>
      <c r="R244" s="286">
        <v>0</v>
      </c>
      <c r="S244" s="286">
        <v>0</v>
      </c>
      <c r="T244" s="290" t="str">
        <f>IF(SupplychainTier2[[#This Row],[Calculated emissions (kgCO2e) for this spend]]="","",(SupplychainTier2[[#This Row],[Calculated emissions (kgCO2e) for this spend]]*(1+SupplychainTier2[[#This Row],[RSD]])))</f>
        <v/>
      </c>
      <c r="U244" s="290" t="str">
        <f>IF(SupplychainTier2[[#This Row],[Calculated emissions (kgCO2e) for this spend]]="","",(SupplychainTier2[[#This Row],[Calculated emissions (kgCO2e) for this spend]]*(1-SupplychainTier2[[#This Row],[RSD]])))</f>
        <v/>
      </c>
      <c r="V244" s="286">
        <v>0</v>
      </c>
    </row>
    <row r="245" spans="2:22" ht="15" thickBot="1" x14ac:dyDescent="0.4">
      <c r="B245" s="418" t="str">
        <f t="shared" si="11"/>
        <v/>
      </c>
      <c r="C245" s="289" t="str">
        <f t="shared" si="12"/>
        <v/>
      </c>
      <c r="D245" s="112"/>
      <c r="E245" s="419" t="s">
        <v>409</v>
      </c>
      <c r="F245" s="294"/>
      <c r="G245" s="70"/>
      <c r="H245" s="187" t="s">
        <v>263</v>
      </c>
      <c r="I245" s="291">
        <f>SupplychainTier2[[#This Row],[Spend for which Tier 2 method accounts]]</f>
        <v>0</v>
      </c>
      <c r="J245" s="292"/>
      <c r="K245" s="410" t="str">
        <f>IFERROR(SupplychainTier2[[#This Row],[Calculated emissions (kgCO2e) for this spend]]/SupplychainTier2[[#This Row],[Spend for which Tier 2 method accounts]],"")</f>
        <v/>
      </c>
      <c r="L245" s="199"/>
      <c r="M245" s="103"/>
      <c r="N245" s="103"/>
      <c r="O245" s="286">
        <v>0</v>
      </c>
      <c r="P245" s="286">
        <v>0</v>
      </c>
      <c r="Q245" s="286">
        <f>SupplychainTier2[[#This Row],[Calculated emissions (kgCO2e) for this spend]]</f>
        <v>0</v>
      </c>
      <c r="R245" s="286">
        <v>0</v>
      </c>
      <c r="S245" s="286">
        <v>0</v>
      </c>
      <c r="T245" s="290" t="str">
        <f>IF(SupplychainTier2[[#This Row],[Calculated emissions (kgCO2e) for this spend]]="","",(SupplychainTier2[[#This Row],[Calculated emissions (kgCO2e) for this spend]]*(1+SupplychainTier2[[#This Row],[RSD]])))</f>
        <v/>
      </c>
      <c r="U245" s="290" t="str">
        <f>IF(SupplychainTier2[[#This Row],[Calculated emissions (kgCO2e) for this spend]]="","",(SupplychainTier2[[#This Row],[Calculated emissions (kgCO2e) for this spend]]*(1-SupplychainTier2[[#This Row],[RSD]])))</f>
        <v/>
      </c>
      <c r="V245" s="286">
        <v>0</v>
      </c>
    </row>
    <row r="246" spans="2:22" ht="15" thickBot="1" x14ac:dyDescent="0.4">
      <c r="B246" s="418" t="str">
        <f t="shared" si="11"/>
        <v/>
      </c>
      <c r="C246" s="289" t="str">
        <f t="shared" si="12"/>
        <v/>
      </c>
      <c r="D246" s="112"/>
      <c r="E246" s="419" t="s">
        <v>409</v>
      </c>
      <c r="F246" s="294"/>
      <c r="G246" s="70"/>
      <c r="H246" s="187" t="s">
        <v>263</v>
      </c>
      <c r="I246" s="291">
        <f>SupplychainTier2[[#This Row],[Spend for which Tier 2 method accounts]]</f>
        <v>0</v>
      </c>
      <c r="J246" s="292"/>
      <c r="K246" s="410" t="str">
        <f>IFERROR(SupplychainTier2[[#This Row],[Calculated emissions (kgCO2e) for this spend]]/SupplychainTier2[[#This Row],[Spend for which Tier 2 method accounts]],"")</f>
        <v/>
      </c>
      <c r="L246" s="199"/>
      <c r="M246" s="103"/>
      <c r="N246" s="103"/>
      <c r="O246" s="286">
        <v>0</v>
      </c>
      <c r="P246" s="286">
        <v>0</v>
      </c>
      <c r="Q246" s="286">
        <f>SupplychainTier2[[#This Row],[Calculated emissions (kgCO2e) for this spend]]</f>
        <v>0</v>
      </c>
      <c r="R246" s="286">
        <v>0</v>
      </c>
      <c r="S246" s="286">
        <v>0</v>
      </c>
      <c r="T246" s="290" t="str">
        <f>IF(SupplychainTier2[[#This Row],[Calculated emissions (kgCO2e) for this spend]]="","",(SupplychainTier2[[#This Row],[Calculated emissions (kgCO2e) for this spend]]*(1+SupplychainTier2[[#This Row],[RSD]])))</f>
        <v/>
      </c>
      <c r="U246" s="290" t="str">
        <f>IF(SupplychainTier2[[#This Row],[Calculated emissions (kgCO2e) for this spend]]="","",(SupplychainTier2[[#This Row],[Calculated emissions (kgCO2e) for this spend]]*(1-SupplychainTier2[[#This Row],[RSD]])))</f>
        <v/>
      </c>
      <c r="V246" s="286">
        <v>0</v>
      </c>
    </row>
    <row r="247" spans="2:22" ht="15" thickBot="1" x14ac:dyDescent="0.4">
      <c r="B247" s="418" t="str">
        <f t="shared" si="11"/>
        <v/>
      </c>
      <c r="C247" s="289" t="str">
        <f t="shared" si="12"/>
        <v/>
      </c>
      <c r="D247" s="112"/>
      <c r="E247" s="419" t="s">
        <v>409</v>
      </c>
      <c r="F247" s="294"/>
      <c r="G247" s="70"/>
      <c r="H247" s="187" t="s">
        <v>263</v>
      </c>
      <c r="I247" s="291">
        <f>SupplychainTier2[[#This Row],[Spend for which Tier 2 method accounts]]</f>
        <v>0</v>
      </c>
      <c r="J247" s="292"/>
      <c r="K247" s="410" t="str">
        <f>IFERROR(SupplychainTier2[[#This Row],[Calculated emissions (kgCO2e) for this spend]]/SupplychainTier2[[#This Row],[Spend for which Tier 2 method accounts]],"")</f>
        <v/>
      </c>
      <c r="L247" s="199"/>
      <c r="M247" s="103"/>
      <c r="N247" s="103"/>
      <c r="O247" s="286">
        <v>0</v>
      </c>
      <c r="P247" s="286">
        <v>0</v>
      </c>
      <c r="Q247" s="286">
        <f>SupplychainTier2[[#This Row],[Calculated emissions (kgCO2e) for this spend]]</f>
        <v>0</v>
      </c>
      <c r="R247" s="286">
        <v>0</v>
      </c>
      <c r="S247" s="286">
        <v>0</v>
      </c>
      <c r="T247" s="290" t="str">
        <f>IF(SupplychainTier2[[#This Row],[Calculated emissions (kgCO2e) for this spend]]="","",(SupplychainTier2[[#This Row],[Calculated emissions (kgCO2e) for this spend]]*(1+SupplychainTier2[[#This Row],[RSD]])))</f>
        <v/>
      </c>
      <c r="U247" s="290" t="str">
        <f>IF(SupplychainTier2[[#This Row],[Calculated emissions (kgCO2e) for this spend]]="","",(SupplychainTier2[[#This Row],[Calculated emissions (kgCO2e) for this spend]]*(1-SupplychainTier2[[#This Row],[RSD]])))</f>
        <v/>
      </c>
      <c r="V247" s="286">
        <v>0</v>
      </c>
    </row>
    <row r="248" spans="2:22" ht="15" thickBot="1" x14ac:dyDescent="0.4">
      <c r="B248" s="418" t="str">
        <f t="shared" si="11"/>
        <v/>
      </c>
      <c r="C248" s="289" t="str">
        <f t="shared" si="12"/>
        <v/>
      </c>
      <c r="D248" s="112"/>
      <c r="E248" s="419" t="s">
        <v>409</v>
      </c>
      <c r="F248" s="294"/>
      <c r="G248" s="70"/>
      <c r="H248" s="187" t="s">
        <v>263</v>
      </c>
      <c r="I248" s="291">
        <f>SupplychainTier2[[#This Row],[Spend for which Tier 2 method accounts]]</f>
        <v>0</v>
      </c>
      <c r="J248" s="292"/>
      <c r="K248" s="410" t="str">
        <f>IFERROR(SupplychainTier2[[#This Row],[Calculated emissions (kgCO2e) for this spend]]/SupplychainTier2[[#This Row],[Spend for which Tier 2 method accounts]],"")</f>
        <v/>
      </c>
      <c r="L248" s="199"/>
      <c r="M248" s="103"/>
      <c r="N248" s="103"/>
      <c r="O248" s="286">
        <v>0</v>
      </c>
      <c r="P248" s="286">
        <v>0</v>
      </c>
      <c r="Q248" s="286">
        <f>SupplychainTier2[[#This Row],[Calculated emissions (kgCO2e) for this spend]]</f>
        <v>0</v>
      </c>
      <c r="R248" s="286">
        <v>0</v>
      </c>
      <c r="S248" s="286">
        <v>0</v>
      </c>
      <c r="T248" s="290" t="str">
        <f>IF(SupplychainTier2[[#This Row],[Calculated emissions (kgCO2e) for this spend]]="","",(SupplychainTier2[[#This Row],[Calculated emissions (kgCO2e) for this spend]]*(1+SupplychainTier2[[#This Row],[RSD]])))</f>
        <v/>
      </c>
      <c r="U248" s="290" t="str">
        <f>IF(SupplychainTier2[[#This Row],[Calculated emissions (kgCO2e) for this spend]]="","",(SupplychainTier2[[#This Row],[Calculated emissions (kgCO2e) for this spend]]*(1-SupplychainTier2[[#This Row],[RSD]])))</f>
        <v/>
      </c>
      <c r="V248" s="286">
        <v>0</v>
      </c>
    </row>
    <row r="249" spans="2:22" ht="15" thickBot="1" x14ac:dyDescent="0.4">
      <c r="B249" s="418" t="str">
        <f t="shared" si="11"/>
        <v/>
      </c>
      <c r="C249" s="289" t="str">
        <f t="shared" si="12"/>
        <v/>
      </c>
      <c r="D249" s="112"/>
      <c r="E249" s="419" t="s">
        <v>409</v>
      </c>
      <c r="F249" s="294"/>
      <c r="G249" s="70"/>
      <c r="H249" s="187" t="s">
        <v>263</v>
      </c>
      <c r="I249" s="291">
        <f>SupplychainTier2[[#This Row],[Spend for which Tier 2 method accounts]]</f>
        <v>0</v>
      </c>
      <c r="J249" s="292"/>
      <c r="K249" s="410" t="str">
        <f>IFERROR(SupplychainTier2[[#This Row],[Calculated emissions (kgCO2e) for this spend]]/SupplychainTier2[[#This Row],[Spend for which Tier 2 method accounts]],"")</f>
        <v/>
      </c>
      <c r="L249" s="199"/>
      <c r="M249" s="103"/>
      <c r="N249" s="103"/>
      <c r="O249" s="286">
        <v>0</v>
      </c>
      <c r="P249" s="286">
        <v>0</v>
      </c>
      <c r="Q249" s="286">
        <f>SupplychainTier2[[#This Row],[Calculated emissions (kgCO2e) for this spend]]</f>
        <v>0</v>
      </c>
      <c r="R249" s="286">
        <v>0</v>
      </c>
      <c r="S249" s="286">
        <v>0</v>
      </c>
      <c r="T249" s="290" t="str">
        <f>IF(SupplychainTier2[[#This Row],[Calculated emissions (kgCO2e) for this spend]]="","",(SupplychainTier2[[#This Row],[Calculated emissions (kgCO2e) for this spend]]*(1+SupplychainTier2[[#This Row],[RSD]])))</f>
        <v/>
      </c>
      <c r="U249" s="290" t="str">
        <f>IF(SupplychainTier2[[#This Row],[Calculated emissions (kgCO2e) for this spend]]="","",(SupplychainTier2[[#This Row],[Calculated emissions (kgCO2e) for this spend]]*(1-SupplychainTier2[[#This Row],[RSD]])))</f>
        <v/>
      </c>
      <c r="V249" s="286">
        <v>0</v>
      </c>
    </row>
    <row r="250" spans="2:22" ht="15" thickBot="1" x14ac:dyDescent="0.4">
      <c r="B250" s="418" t="str">
        <f t="shared" si="11"/>
        <v/>
      </c>
      <c r="C250" s="289" t="str">
        <f t="shared" si="12"/>
        <v/>
      </c>
      <c r="D250" s="112"/>
      <c r="E250" s="419" t="s">
        <v>409</v>
      </c>
      <c r="F250" s="294"/>
      <c r="G250" s="70"/>
      <c r="H250" s="187" t="s">
        <v>263</v>
      </c>
      <c r="I250" s="291">
        <f>SupplychainTier2[[#This Row],[Spend for which Tier 2 method accounts]]</f>
        <v>0</v>
      </c>
      <c r="J250" s="292"/>
      <c r="K250" s="410" t="str">
        <f>IFERROR(SupplychainTier2[[#This Row],[Calculated emissions (kgCO2e) for this spend]]/SupplychainTier2[[#This Row],[Spend for which Tier 2 method accounts]],"")</f>
        <v/>
      </c>
      <c r="L250" s="199"/>
      <c r="M250" s="103"/>
      <c r="N250" s="103"/>
      <c r="O250" s="286">
        <v>0</v>
      </c>
      <c r="P250" s="286">
        <v>0</v>
      </c>
      <c r="Q250" s="286">
        <f>SupplychainTier2[[#This Row],[Calculated emissions (kgCO2e) for this spend]]</f>
        <v>0</v>
      </c>
      <c r="R250" s="286">
        <v>0</v>
      </c>
      <c r="S250" s="286">
        <v>0</v>
      </c>
      <c r="T250" s="290" t="str">
        <f>IF(SupplychainTier2[[#This Row],[Calculated emissions (kgCO2e) for this spend]]="","",(SupplychainTier2[[#This Row],[Calculated emissions (kgCO2e) for this spend]]*(1+SupplychainTier2[[#This Row],[RSD]])))</f>
        <v/>
      </c>
      <c r="U250" s="290" t="str">
        <f>IF(SupplychainTier2[[#This Row],[Calculated emissions (kgCO2e) for this spend]]="","",(SupplychainTier2[[#This Row],[Calculated emissions (kgCO2e) for this spend]]*(1-SupplychainTier2[[#This Row],[RSD]])))</f>
        <v/>
      </c>
      <c r="V250" s="286">
        <v>0</v>
      </c>
    </row>
    <row r="251" spans="2:22" ht="15" thickBot="1" x14ac:dyDescent="0.4">
      <c r="B251" s="418" t="str">
        <f t="shared" si="11"/>
        <v/>
      </c>
      <c r="C251" s="289" t="str">
        <f t="shared" si="12"/>
        <v/>
      </c>
      <c r="D251" s="112"/>
      <c r="E251" s="419" t="s">
        <v>409</v>
      </c>
      <c r="F251" s="294"/>
      <c r="G251" s="70"/>
      <c r="H251" s="187" t="s">
        <v>263</v>
      </c>
      <c r="I251" s="291">
        <f>SupplychainTier2[[#This Row],[Spend for which Tier 2 method accounts]]</f>
        <v>0</v>
      </c>
      <c r="J251" s="292"/>
      <c r="K251" s="410" t="str">
        <f>IFERROR(SupplychainTier2[[#This Row],[Calculated emissions (kgCO2e) for this spend]]/SupplychainTier2[[#This Row],[Spend for which Tier 2 method accounts]],"")</f>
        <v/>
      </c>
      <c r="L251" s="199"/>
      <c r="M251" s="103"/>
      <c r="N251" s="103"/>
      <c r="O251" s="286">
        <v>0</v>
      </c>
      <c r="P251" s="286">
        <v>0</v>
      </c>
      <c r="Q251" s="286">
        <f>SupplychainTier2[[#This Row],[Calculated emissions (kgCO2e) for this spend]]</f>
        <v>0</v>
      </c>
      <c r="R251" s="286">
        <v>0</v>
      </c>
      <c r="S251" s="286">
        <v>0</v>
      </c>
      <c r="T251" s="290" t="str">
        <f>IF(SupplychainTier2[[#This Row],[Calculated emissions (kgCO2e) for this spend]]="","",(SupplychainTier2[[#This Row],[Calculated emissions (kgCO2e) for this spend]]*(1+SupplychainTier2[[#This Row],[RSD]])))</f>
        <v/>
      </c>
      <c r="U251" s="290" t="str">
        <f>IF(SupplychainTier2[[#This Row],[Calculated emissions (kgCO2e) for this spend]]="","",(SupplychainTier2[[#This Row],[Calculated emissions (kgCO2e) for this spend]]*(1-SupplychainTier2[[#This Row],[RSD]])))</f>
        <v/>
      </c>
      <c r="V251" s="286">
        <v>0</v>
      </c>
    </row>
    <row r="252" spans="2:22" ht="15" thickBot="1" x14ac:dyDescent="0.4">
      <c r="B252" s="418" t="str">
        <f t="shared" si="11"/>
        <v/>
      </c>
      <c r="C252" s="289" t="str">
        <f t="shared" si="12"/>
        <v/>
      </c>
      <c r="D252" s="112"/>
      <c r="E252" s="419" t="s">
        <v>409</v>
      </c>
      <c r="F252" s="294"/>
      <c r="G252" s="70"/>
      <c r="H252" s="187" t="s">
        <v>263</v>
      </c>
      <c r="I252" s="291">
        <f>SupplychainTier2[[#This Row],[Spend for which Tier 2 method accounts]]</f>
        <v>0</v>
      </c>
      <c r="J252" s="292"/>
      <c r="K252" s="410" t="str">
        <f>IFERROR(SupplychainTier2[[#This Row],[Calculated emissions (kgCO2e) for this spend]]/SupplychainTier2[[#This Row],[Spend for which Tier 2 method accounts]],"")</f>
        <v/>
      </c>
      <c r="L252" s="199"/>
      <c r="M252" s="103"/>
      <c r="N252" s="103"/>
      <c r="O252" s="286">
        <v>0</v>
      </c>
      <c r="P252" s="286">
        <v>0</v>
      </c>
      <c r="Q252" s="286">
        <f>SupplychainTier2[[#This Row],[Calculated emissions (kgCO2e) for this spend]]</f>
        <v>0</v>
      </c>
      <c r="R252" s="286">
        <v>0</v>
      </c>
      <c r="S252" s="286">
        <v>0</v>
      </c>
      <c r="T252" s="290" t="str">
        <f>IF(SupplychainTier2[[#This Row],[Calculated emissions (kgCO2e) for this spend]]="","",(SupplychainTier2[[#This Row],[Calculated emissions (kgCO2e) for this spend]]*(1+SupplychainTier2[[#This Row],[RSD]])))</f>
        <v/>
      </c>
      <c r="U252" s="290" t="str">
        <f>IF(SupplychainTier2[[#This Row],[Calculated emissions (kgCO2e) for this spend]]="","",(SupplychainTier2[[#This Row],[Calculated emissions (kgCO2e) for this spend]]*(1-SupplychainTier2[[#This Row],[RSD]])))</f>
        <v/>
      </c>
      <c r="V252" s="286">
        <v>0</v>
      </c>
    </row>
    <row r="253" spans="2:22" ht="15" thickBot="1" x14ac:dyDescent="0.4">
      <c r="B253" s="418" t="str">
        <f t="shared" si="11"/>
        <v/>
      </c>
      <c r="C253" s="289" t="str">
        <f t="shared" si="12"/>
        <v/>
      </c>
      <c r="D253" s="112"/>
      <c r="E253" s="419" t="s">
        <v>409</v>
      </c>
      <c r="F253" s="294"/>
      <c r="G253" s="70"/>
      <c r="H253" s="187" t="s">
        <v>263</v>
      </c>
      <c r="I253" s="291">
        <f>SupplychainTier2[[#This Row],[Spend for which Tier 2 method accounts]]</f>
        <v>0</v>
      </c>
      <c r="J253" s="292"/>
      <c r="K253" s="410" t="str">
        <f>IFERROR(SupplychainTier2[[#This Row],[Calculated emissions (kgCO2e) for this spend]]/SupplychainTier2[[#This Row],[Spend for which Tier 2 method accounts]],"")</f>
        <v/>
      </c>
      <c r="L253" s="199"/>
      <c r="M253" s="103"/>
      <c r="N253" s="103"/>
      <c r="O253" s="286">
        <v>0</v>
      </c>
      <c r="P253" s="286">
        <v>0</v>
      </c>
      <c r="Q253" s="286">
        <f>SupplychainTier2[[#This Row],[Calculated emissions (kgCO2e) for this spend]]</f>
        <v>0</v>
      </c>
      <c r="R253" s="286">
        <v>0</v>
      </c>
      <c r="S253" s="286">
        <v>0</v>
      </c>
      <c r="T253" s="290" t="str">
        <f>IF(SupplychainTier2[[#This Row],[Calculated emissions (kgCO2e) for this spend]]="","",(SupplychainTier2[[#This Row],[Calculated emissions (kgCO2e) for this spend]]*(1+SupplychainTier2[[#This Row],[RSD]])))</f>
        <v/>
      </c>
      <c r="U253" s="290" t="str">
        <f>IF(SupplychainTier2[[#This Row],[Calculated emissions (kgCO2e) for this spend]]="","",(SupplychainTier2[[#This Row],[Calculated emissions (kgCO2e) for this spend]]*(1-SupplychainTier2[[#This Row],[RSD]])))</f>
        <v/>
      </c>
      <c r="V253" s="286">
        <v>0</v>
      </c>
    </row>
    <row r="254" spans="2:22" ht="15" thickBot="1" x14ac:dyDescent="0.4">
      <c r="B254" s="418" t="str">
        <f t="shared" si="11"/>
        <v/>
      </c>
      <c r="C254" s="289" t="str">
        <f t="shared" si="12"/>
        <v/>
      </c>
      <c r="D254" s="112"/>
      <c r="E254" s="419" t="s">
        <v>409</v>
      </c>
      <c r="F254" s="294"/>
      <c r="G254" s="70"/>
      <c r="H254" s="187" t="s">
        <v>263</v>
      </c>
      <c r="I254" s="291">
        <f>SupplychainTier2[[#This Row],[Spend for which Tier 2 method accounts]]</f>
        <v>0</v>
      </c>
      <c r="J254" s="292"/>
      <c r="K254" s="410" t="str">
        <f>IFERROR(SupplychainTier2[[#This Row],[Calculated emissions (kgCO2e) for this spend]]/SupplychainTier2[[#This Row],[Spend for which Tier 2 method accounts]],"")</f>
        <v/>
      </c>
      <c r="L254" s="199"/>
      <c r="M254" s="103"/>
      <c r="N254" s="103"/>
      <c r="O254" s="286">
        <v>0</v>
      </c>
      <c r="P254" s="286">
        <v>0</v>
      </c>
      <c r="Q254" s="286">
        <f>SupplychainTier2[[#This Row],[Calculated emissions (kgCO2e) for this spend]]</f>
        <v>0</v>
      </c>
      <c r="R254" s="286">
        <v>0</v>
      </c>
      <c r="S254" s="286">
        <v>0</v>
      </c>
      <c r="T254" s="290" t="str">
        <f>IF(SupplychainTier2[[#This Row],[Calculated emissions (kgCO2e) for this spend]]="","",(SupplychainTier2[[#This Row],[Calculated emissions (kgCO2e) for this spend]]*(1+SupplychainTier2[[#This Row],[RSD]])))</f>
        <v/>
      </c>
      <c r="U254" s="290" t="str">
        <f>IF(SupplychainTier2[[#This Row],[Calculated emissions (kgCO2e) for this spend]]="","",(SupplychainTier2[[#This Row],[Calculated emissions (kgCO2e) for this spend]]*(1-SupplychainTier2[[#This Row],[RSD]])))</f>
        <v/>
      </c>
      <c r="V254" s="286">
        <v>0</v>
      </c>
    </row>
    <row r="255" spans="2:22" ht="15" thickBot="1" x14ac:dyDescent="0.4">
      <c r="B255" s="418" t="str">
        <f t="shared" si="11"/>
        <v/>
      </c>
      <c r="C255" s="289" t="str">
        <f t="shared" si="12"/>
        <v/>
      </c>
      <c r="D255" s="112"/>
      <c r="E255" s="419" t="s">
        <v>409</v>
      </c>
      <c r="F255" s="294"/>
      <c r="G255" s="70"/>
      <c r="H255" s="187" t="s">
        <v>263</v>
      </c>
      <c r="I255" s="291">
        <f>SupplychainTier2[[#This Row],[Spend for which Tier 2 method accounts]]</f>
        <v>0</v>
      </c>
      <c r="J255" s="292"/>
      <c r="K255" s="410" t="str">
        <f>IFERROR(SupplychainTier2[[#This Row],[Calculated emissions (kgCO2e) for this spend]]/SupplychainTier2[[#This Row],[Spend for which Tier 2 method accounts]],"")</f>
        <v/>
      </c>
      <c r="L255" s="199"/>
      <c r="M255" s="103"/>
      <c r="N255" s="103"/>
      <c r="O255" s="286">
        <v>0</v>
      </c>
      <c r="P255" s="286">
        <v>0</v>
      </c>
      <c r="Q255" s="286">
        <f>SupplychainTier2[[#This Row],[Calculated emissions (kgCO2e) for this spend]]</f>
        <v>0</v>
      </c>
      <c r="R255" s="286">
        <v>0</v>
      </c>
      <c r="S255" s="286">
        <v>0</v>
      </c>
      <c r="T255" s="290" t="str">
        <f>IF(SupplychainTier2[[#This Row],[Calculated emissions (kgCO2e) for this spend]]="","",(SupplychainTier2[[#This Row],[Calculated emissions (kgCO2e) for this spend]]*(1+SupplychainTier2[[#This Row],[RSD]])))</f>
        <v/>
      </c>
      <c r="U255" s="290" t="str">
        <f>IF(SupplychainTier2[[#This Row],[Calculated emissions (kgCO2e) for this spend]]="","",(SupplychainTier2[[#This Row],[Calculated emissions (kgCO2e) for this spend]]*(1-SupplychainTier2[[#This Row],[RSD]])))</f>
        <v/>
      </c>
      <c r="V255" s="286">
        <v>0</v>
      </c>
    </row>
    <row r="256" spans="2:22" ht="15" thickBot="1" x14ac:dyDescent="0.4">
      <c r="B256" s="418" t="str">
        <f t="shared" si="11"/>
        <v/>
      </c>
      <c r="C256" s="289" t="str">
        <f t="shared" si="12"/>
        <v/>
      </c>
      <c r="D256" s="112"/>
      <c r="E256" s="419" t="s">
        <v>409</v>
      </c>
      <c r="F256" s="294"/>
      <c r="G256" s="70"/>
      <c r="H256" s="187" t="s">
        <v>263</v>
      </c>
      <c r="I256" s="291">
        <f>SupplychainTier2[[#This Row],[Spend for which Tier 2 method accounts]]</f>
        <v>0</v>
      </c>
      <c r="J256" s="292"/>
      <c r="K256" s="410" t="str">
        <f>IFERROR(SupplychainTier2[[#This Row],[Calculated emissions (kgCO2e) for this spend]]/SupplychainTier2[[#This Row],[Spend for which Tier 2 method accounts]],"")</f>
        <v/>
      </c>
      <c r="L256" s="199"/>
      <c r="M256" s="103"/>
      <c r="N256" s="103"/>
      <c r="O256" s="286">
        <v>0</v>
      </c>
      <c r="P256" s="286">
        <v>0</v>
      </c>
      <c r="Q256" s="286">
        <f>SupplychainTier2[[#This Row],[Calculated emissions (kgCO2e) for this spend]]</f>
        <v>0</v>
      </c>
      <c r="R256" s="286">
        <v>0</v>
      </c>
      <c r="S256" s="286">
        <v>0</v>
      </c>
      <c r="T256" s="290" t="str">
        <f>IF(SupplychainTier2[[#This Row],[Calculated emissions (kgCO2e) for this spend]]="","",(SupplychainTier2[[#This Row],[Calculated emissions (kgCO2e) for this spend]]*(1+SupplychainTier2[[#This Row],[RSD]])))</f>
        <v/>
      </c>
      <c r="U256" s="290" t="str">
        <f>IF(SupplychainTier2[[#This Row],[Calculated emissions (kgCO2e) for this spend]]="","",(SupplychainTier2[[#This Row],[Calculated emissions (kgCO2e) for this spend]]*(1-SupplychainTier2[[#This Row],[RSD]])))</f>
        <v/>
      </c>
      <c r="V256" s="286">
        <v>0</v>
      </c>
    </row>
    <row r="257" spans="2:22" ht="15" thickBot="1" x14ac:dyDescent="0.4">
      <c r="B257" s="418" t="str">
        <f t="shared" si="11"/>
        <v/>
      </c>
      <c r="C257" s="289" t="str">
        <f t="shared" si="12"/>
        <v/>
      </c>
      <c r="D257" s="112"/>
      <c r="E257" s="419" t="s">
        <v>409</v>
      </c>
      <c r="F257" s="294"/>
      <c r="G257" s="70"/>
      <c r="H257" s="187" t="s">
        <v>263</v>
      </c>
      <c r="I257" s="291">
        <f>SupplychainTier2[[#This Row],[Spend for which Tier 2 method accounts]]</f>
        <v>0</v>
      </c>
      <c r="J257" s="292"/>
      <c r="K257" s="410" t="str">
        <f>IFERROR(SupplychainTier2[[#This Row],[Calculated emissions (kgCO2e) for this spend]]/SupplychainTier2[[#This Row],[Spend for which Tier 2 method accounts]],"")</f>
        <v/>
      </c>
      <c r="L257" s="199"/>
      <c r="M257" s="103"/>
      <c r="N257" s="103"/>
      <c r="O257" s="286">
        <v>0</v>
      </c>
      <c r="P257" s="286">
        <v>0</v>
      </c>
      <c r="Q257" s="286">
        <f>SupplychainTier2[[#This Row],[Calculated emissions (kgCO2e) for this spend]]</f>
        <v>0</v>
      </c>
      <c r="R257" s="286">
        <v>0</v>
      </c>
      <c r="S257" s="286">
        <v>0</v>
      </c>
      <c r="T257" s="290" t="str">
        <f>IF(SupplychainTier2[[#This Row],[Calculated emissions (kgCO2e) for this spend]]="","",(SupplychainTier2[[#This Row],[Calculated emissions (kgCO2e) for this spend]]*(1+SupplychainTier2[[#This Row],[RSD]])))</f>
        <v/>
      </c>
      <c r="U257" s="290" t="str">
        <f>IF(SupplychainTier2[[#This Row],[Calculated emissions (kgCO2e) for this spend]]="","",(SupplychainTier2[[#This Row],[Calculated emissions (kgCO2e) for this spend]]*(1-SupplychainTier2[[#This Row],[RSD]])))</f>
        <v/>
      </c>
      <c r="V257" s="286">
        <v>0</v>
      </c>
    </row>
    <row r="258" spans="2:22" ht="15" thickBot="1" x14ac:dyDescent="0.4">
      <c r="B258" s="418" t="str">
        <f t="shared" si="11"/>
        <v/>
      </c>
      <c r="C258" s="289" t="str">
        <f t="shared" si="12"/>
        <v/>
      </c>
      <c r="D258" s="112"/>
      <c r="E258" s="419" t="s">
        <v>409</v>
      </c>
      <c r="F258" s="294"/>
      <c r="G258" s="70"/>
      <c r="H258" s="187" t="s">
        <v>263</v>
      </c>
      <c r="I258" s="291">
        <f>SupplychainTier2[[#This Row],[Spend for which Tier 2 method accounts]]</f>
        <v>0</v>
      </c>
      <c r="J258" s="292"/>
      <c r="K258" s="410" t="str">
        <f>IFERROR(SupplychainTier2[[#This Row],[Calculated emissions (kgCO2e) for this spend]]/SupplychainTier2[[#This Row],[Spend for which Tier 2 method accounts]],"")</f>
        <v/>
      </c>
      <c r="L258" s="199"/>
      <c r="M258" s="103"/>
      <c r="N258" s="103"/>
      <c r="O258" s="286">
        <v>0</v>
      </c>
      <c r="P258" s="286">
        <v>0</v>
      </c>
      <c r="Q258" s="286">
        <f>SupplychainTier2[[#This Row],[Calculated emissions (kgCO2e) for this spend]]</f>
        <v>0</v>
      </c>
      <c r="R258" s="286">
        <v>0</v>
      </c>
      <c r="S258" s="286">
        <v>0</v>
      </c>
      <c r="T258" s="290" t="str">
        <f>IF(SupplychainTier2[[#This Row],[Calculated emissions (kgCO2e) for this spend]]="","",(SupplychainTier2[[#This Row],[Calculated emissions (kgCO2e) for this spend]]*(1+SupplychainTier2[[#This Row],[RSD]])))</f>
        <v/>
      </c>
      <c r="U258" s="290" t="str">
        <f>IF(SupplychainTier2[[#This Row],[Calculated emissions (kgCO2e) for this spend]]="","",(SupplychainTier2[[#This Row],[Calculated emissions (kgCO2e) for this spend]]*(1-SupplychainTier2[[#This Row],[RSD]])))</f>
        <v/>
      </c>
      <c r="V258" s="286">
        <v>0</v>
      </c>
    </row>
    <row r="259" spans="2:22" ht="15" thickBot="1" x14ac:dyDescent="0.4">
      <c r="B259" s="418" t="str">
        <f t="shared" si="11"/>
        <v/>
      </c>
      <c r="C259" s="289" t="str">
        <f t="shared" si="12"/>
        <v/>
      </c>
      <c r="D259" s="112"/>
      <c r="E259" s="419" t="s">
        <v>409</v>
      </c>
      <c r="F259" s="294"/>
      <c r="G259" s="70"/>
      <c r="H259" s="187" t="s">
        <v>263</v>
      </c>
      <c r="I259" s="291">
        <f>SupplychainTier2[[#This Row],[Spend for which Tier 2 method accounts]]</f>
        <v>0</v>
      </c>
      <c r="J259" s="292"/>
      <c r="K259" s="410" t="str">
        <f>IFERROR(SupplychainTier2[[#This Row],[Calculated emissions (kgCO2e) for this spend]]/SupplychainTier2[[#This Row],[Spend for which Tier 2 method accounts]],"")</f>
        <v/>
      </c>
      <c r="L259" s="199"/>
      <c r="M259" s="103"/>
      <c r="N259" s="103"/>
      <c r="O259" s="286">
        <v>0</v>
      </c>
      <c r="P259" s="286">
        <v>0</v>
      </c>
      <c r="Q259" s="286">
        <f>SupplychainTier2[[#This Row],[Calculated emissions (kgCO2e) for this spend]]</f>
        <v>0</v>
      </c>
      <c r="R259" s="286">
        <v>0</v>
      </c>
      <c r="S259" s="286">
        <v>0</v>
      </c>
      <c r="T259" s="290" t="str">
        <f>IF(SupplychainTier2[[#This Row],[Calculated emissions (kgCO2e) for this spend]]="","",(SupplychainTier2[[#This Row],[Calculated emissions (kgCO2e) for this spend]]*(1+SupplychainTier2[[#This Row],[RSD]])))</f>
        <v/>
      </c>
      <c r="U259" s="290" t="str">
        <f>IF(SupplychainTier2[[#This Row],[Calculated emissions (kgCO2e) for this spend]]="","",(SupplychainTier2[[#This Row],[Calculated emissions (kgCO2e) for this spend]]*(1-SupplychainTier2[[#This Row],[RSD]])))</f>
        <v/>
      </c>
      <c r="V259" s="286">
        <v>0</v>
      </c>
    </row>
    <row r="260" spans="2:22" ht="15" thickBot="1" x14ac:dyDescent="0.4">
      <c r="B260" s="418" t="str">
        <f t="shared" si="11"/>
        <v/>
      </c>
      <c r="C260" s="289" t="str">
        <f t="shared" si="12"/>
        <v/>
      </c>
      <c r="D260" s="112"/>
      <c r="E260" s="419" t="s">
        <v>409</v>
      </c>
      <c r="F260" s="294"/>
      <c r="G260" s="70"/>
      <c r="H260" s="187" t="s">
        <v>263</v>
      </c>
      <c r="I260" s="291">
        <f>SupplychainTier2[[#This Row],[Spend for which Tier 2 method accounts]]</f>
        <v>0</v>
      </c>
      <c r="J260" s="292"/>
      <c r="K260" s="410" t="str">
        <f>IFERROR(SupplychainTier2[[#This Row],[Calculated emissions (kgCO2e) for this spend]]/SupplychainTier2[[#This Row],[Spend for which Tier 2 method accounts]],"")</f>
        <v/>
      </c>
      <c r="L260" s="199"/>
      <c r="M260" s="103"/>
      <c r="N260" s="103"/>
      <c r="O260" s="286">
        <v>0</v>
      </c>
      <c r="P260" s="286">
        <v>0</v>
      </c>
      <c r="Q260" s="286">
        <f>SupplychainTier2[[#This Row],[Calculated emissions (kgCO2e) for this spend]]</f>
        <v>0</v>
      </c>
      <c r="R260" s="286">
        <v>0</v>
      </c>
      <c r="S260" s="286">
        <v>0</v>
      </c>
      <c r="T260" s="290" t="str">
        <f>IF(SupplychainTier2[[#This Row],[Calculated emissions (kgCO2e) for this spend]]="","",(SupplychainTier2[[#This Row],[Calculated emissions (kgCO2e) for this spend]]*(1+SupplychainTier2[[#This Row],[RSD]])))</f>
        <v/>
      </c>
      <c r="U260" s="290" t="str">
        <f>IF(SupplychainTier2[[#This Row],[Calculated emissions (kgCO2e) for this spend]]="","",(SupplychainTier2[[#This Row],[Calculated emissions (kgCO2e) for this spend]]*(1-SupplychainTier2[[#This Row],[RSD]])))</f>
        <v/>
      </c>
      <c r="V260" s="286">
        <v>0</v>
      </c>
    </row>
    <row r="261" spans="2:22" ht="15" thickBot="1" x14ac:dyDescent="0.4">
      <c r="B261" s="418" t="str">
        <f t="shared" si="11"/>
        <v/>
      </c>
      <c r="C261" s="289" t="str">
        <f t="shared" si="12"/>
        <v/>
      </c>
      <c r="D261" s="112"/>
      <c r="E261" s="419" t="s">
        <v>409</v>
      </c>
      <c r="F261" s="294"/>
      <c r="G261" s="70"/>
      <c r="H261" s="187" t="s">
        <v>263</v>
      </c>
      <c r="I261" s="291">
        <f>SupplychainTier2[[#This Row],[Spend for which Tier 2 method accounts]]</f>
        <v>0</v>
      </c>
      <c r="J261" s="292"/>
      <c r="K261" s="410" t="str">
        <f>IFERROR(SupplychainTier2[[#This Row],[Calculated emissions (kgCO2e) for this spend]]/SupplychainTier2[[#This Row],[Spend for which Tier 2 method accounts]],"")</f>
        <v/>
      </c>
      <c r="L261" s="199"/>
      <c r="M261" s="103"/>
      <c r="N261" s="103"/>
      <c r="O261" s="286">
        <v>0</v>
      </c>
      <c r="P261" s="286">
        <v>0</v>
      </c>
      <c r="Q261" s="286">
        <f>SupplychainTier2[[#This Row],[Calculated emissions (kgCO2e) for this spend]]</f>
        <v>0</v>
      </c>
      <c r="R261" s="286">
        <v>0</v>
      </c>
      <c r="S261" s="286">
        <v>0</v>
      </c>
      <c r="T261" s="290" t="str">
        <f>IF(SupplychainTier2[[#This Row],[Calculated emissions (kgCO2e) for this spend]]="","",(SupplychainTier2[[#This Row],[Calculated emissions (kgCO2e) for this spend]]*(1+SupplychainTier2[[#This Row],[RSD]])))</f>
        <v/>
      </c>
      <c r="U261" s="290" t="str">
        <f>IF(SupplychainTier2[[#This Row],[Calculated emissions (kgCO2e) for this spend]]="","",(SupplychainTier2[[#This Row],[Calculated emissions (kgCO2e) for this spend]]*(1-SupplychainTier2[[#This Row],[RSD]])))</f>
        <v/>
      </c>
      <c r="V261" s="286">
        <v>0</v>
      </c>
    </row>
    <row r="262" spans="2:22" ht="15" thickBot="1" x14ac:dyDescent="0.4">
      <c r="B262" s="418" t="str">
        <f t="shared" si="11"/>
        <v/>
      </c>
      <c r="C262" s="289" t="str">
        <f t="shared" si="12"/>
        <v/>
      </c>
      <c r="D262" s="112"/>
      <c r="E262" s="419" t="s">
        <v>409</v>
      </c>
      <c r="F262" s="294"/>
      <c r="G262" s="70"/>
      <c r="H262" s="187" t="s">
        <v>263</v>
      </c>
      <c r="I262" s="291">
        <f>SupplychainTier2[[#This Row],[Spend for which Tier 2 method accounts]]</f>
        <v>0</v>
      </c>
      <c r="J262" s="292"/>
      <c r="K262" s="410" t="str">
        <f>IFERROR(SupplychainTier2[[#This Row],[Calculated emissions (kgCO2e) for this spend]]/SupplychainTier2[[#This Row],[Spend for which Tier 2 method accounts]],"")</f>
        <v/>
      </c>
      <c r="L262" s="199"/>
      <c r="M262" s="103"/>
      <c r="N262" s="103"/>
      <c r="O262" s="286">
        <v>0</v>
      </c>
      <c r="P262" s="286">
        <v>0</v>
      </c>
      <c r="Q262" s="286">
        <f>SupplychainTier2[[#This Row],[Calculated emissions (kgCO2e) for this spend]]</f>
        <v>0</v>
      </c>
      <c r="R262" s="286">
        <v>0</v>
      </c>
      <c r="S262" s="286">
        <v>0</v>
      </c>
      <c r="T262" s="290" t="str">
        <f>IF(SupplychainTier2[[#This Row],[Calculated emissions (kgCO2e) for this spend]]="","",(SupplychainTier2[[#This Row],[Calculated emissions (kgCO2e) for this spend]]*(1+SupplychainTier2[[#This Row],[RSD]])))</f>
        <v/>
      </c>
      <c r="U262" s="290" t="str">
        <f>IF(SupplychainTier2[[#This Row],[Calculated emissions (kgCO2e) for this spend]]="","",(SupplychainTier2[[#This Row],[Calculated emissions (kgCO2e) for this spend]]*(1-SupplychainTier2[[#This Row],[RSD]])))</f>
        <v/>
      </c>
      <c r="V262" s="286">
        <v>0</v>
      </c>
    </row>
    <row r="263" spans="2:22" ht="15" thickBot="1" x14ac:dyDescent="0.4">
      <c r="B263" s="418" t="str">
        <f t="shared" si="11"/>
        <v/>
      </c>
      <c r="C263" s="289" t="str">
        <f t="shared" si="12"/>
        <v/>
      </c>
      <c r="D263" s="112"/>
      <c r="E263" s="419" t="s">
        <v>409</v>
      </c>
      <c r="F263" s="294"/>
      <c r="G263" s="70"/>
      <c r="H263" s="187" t="s">
        <v>263</v>
      </c>
      <c r="I263" s="291">
        <f>SupplychainTier2[[#This Row],[Spend for which Tier 2 method accounts]]</f>
        <v>0</v>
      </c>
      <c r="J263" s="292"/>
      <c r="K263" s="410" t="str">
        <f>IFERROR(SupplychainTier2[[#This Row],[Calculated emissions (kgCO2e) for this spend]]/SupplychainTier2[[#This Row],[Spend for which Tier 2 method accounts]],"")</f>
        <v/>
      </c>
      <c r="L263" s="199"/>
      <c r="M263" s="103"/>
      <c r="N263" s="103"/>
      <c r="O263" s="286">
        <v>0</v>
      </c>
      <c r="P263" s="286">
        <v>0</v>
      </c>
      <c r="Q263" s="286">
        <f>SupplychainTier2[[#This Row],[Calculated emissions (kgCO2e) for this spend]]</f>
        <v>0</v>
      </c>
      <c r="R263" s="286">
        <v>0</v>
      </c>
      <c r="S263" s="286">
        <v>0</v>
      </c>
      <c r="T263" s="290" t="str">
        <f>IF(SupplychainTier2[[#This Row],[Calculated emissions (kgCO2e) for this spend]]="","",(SupplychainTier2[[#This Row],[Calculated emissions (kgCO2e) for this spend]]*(1+SupplychainTier2[[#This Row],[RSD]])))</f>
        <v/>
      </c>
      <c r="U263" s="290" t="str">
        <f>IF(SupplychainTier2[[#This Row],[Calculated emissions (kgCO2e) for this spend]]="","",(SupplychainTier2[[#This Row],[Calculated emissions (kgCO2e) for this spend]]*(1-SupplychainTier2[[#This Row],[RSD]])))</f>
        <v/>
      </c>
      <c r="V263" s="286">
        <v>0</v>
      </c>
    </row>
    <row r="264" spans="2:22" ht="15" thickBot="1" x14ac:dyDescent="0.4">
      <c r="B264" s="418" t="str">
        <f t="shared" si="11"/>
        <v/>
      </c>
      <c r="C264" s="289" t="str">
        <f t="shared" si="12"/>
        <v/>
      </c>
      <c r="D264" s="112"/>
      <c r="E264" s="419" t="s">
        <v>409</v>
      </c>
      <c r="F264" s="294"/>
      <c r="G264" s="70"/>
      <c r="H264" s="187" t="s">
        <v>263</v>
      </c>
      <c r="I264" s="291">
        <f>SupplychainTier2[[#This Row],[Spend for which Tier 2 method accounts]]</f>
        <v>0</v>
      </c>
      <c r="J264" s="292"/>
      <c r="K264" s="410" t="str">
        <f>IFERROR(SupplychainTier2[[#This Row],[Calculated emissions (kgCO2e) for this spend]]/SupplychainTier2[[#This Row],[Spend for which Tier 2 method accounts]],"")</f>
        <v/>
      </c>
      <c r="L264" s="199"/>
      <c r="M264" s="103"/>
      <c r="N264" s="103"/>
      <c r="O264" s="286">
        <v>0</v>
      </c>
      <c r="P264" s="286">
        <v>0</v>
      </c>
      <c r="Q264" s="286">
        <f>SupplychainTier2[[#This Row],[Calculated emissions (kgCO2e) for this spend]]</f>
        <v>0</v>
      </c>
      <c r="R264" s="286">
        <v>0</v>
      </c>
      <c r="S264" s="286">
        <v>0</v>
      </c>
      <c r="T264" s="290" t="str">
        <f>IF(SupplychainTier2[[#This Row],[Calculated emissions (kgCO2e) for this spend]]="","",(SupplychainTier2[[#This Row],[Calculated emissions (kgCO2e) for this spend]]*(1+SupplychainTier2[[#This Row],[RSD]])))</f>
        <v/>
      </c>
      <c r="U264" s="290" t="str">
        <f>IF(SupplychainTier2[[#This Row],[Calculated emissions (kgCO2e) for this spend]]="","",(SupplychainTier2[[#This Row],[Calculated emissions (kgCO2e) for this spend]]*(1-SupplychainTier2[[#This Row],[RSD]])))</f>
        <v/>
      </c>
      <c r="V264" s="286">
        <v>0</v>
      </c>
    </row>
    <row r="265" spans="2:22" ht="15" thickBot="1" x14ac:dyDescent="0.4">
      <c r="B265" s="418" t="str">
        <f t="shared" si="11"/>
        <v/>
      </c>
      <c r="C265" s="289" t="str">
        <f t="shared" si="12"/>
        <v/>
      </c>
      <c r="D265" s="112"/>
      <c r="E265" s="419" t="s">
        <v>409</v>
      </c>
      <c r="F265" s="294"/>
      <c r="G265" s="70"/>
      <c r="H265" s="187" t="s">
        <v>263</v>
      </c>
      <c r="I265" s="291">
        <f>SupplychainTier2[[#This Row],[Spend for which Tier 2 method accounts]]</f>
        <v>0</v>
      </c>
      <c r="J265" s="292"/>
      <c r="K265" s="410" t="str">
        <f>IFERROR(SupplychainTier2[[#This Row],[Calculated emissions (kgCO2e) for this spend]]/SupplychainTier2[[#This Row],[Spend for which Tier 2 method accounts]],"")</f>
        <v/>
      </c>
      <c r="L265" s="199"/>
      <c r="M265" s="103"/>
      <c r="N265" s="103"/>
      <c r="O265" s="286">
        <v>0</v>
      </c>
      <c r="P265" s="286">
        <v>0</v>
      </c>
      <c r="Q265" s="286">
        <f>SupplychainTier2[[#This Row],[Calculated emissions (kgCO2e) for this spend]]</f>
        <v>0</v>
      </c>
      <c r="R265" s="286">
        <v>0</v>
      </c>
      <c r="S265" s="286">
        <v>0</v>
      </c>
      <c r="T265" s="290" t="str">
        <f>IF(SupplychainTier2[[#This Row],[Calculated emissions (kgCO2e) for this spend]]="","",(SupplychainTier2[[#This Row],[Calculated emissions (kgCO2e) for this spend]]*(1+SupplychainTier2[[#This Row],[RSD]])))</f>
        <v/>
      </c>
      <c r="U265" s="290" t="str">
        <f>IF(SupplychainTier2[[#This Row],[Calculated emissions (kgCO2e) for this spend]]="","",(SupplychainTier2[[#This Row],[Calculated emissions (kgCO2e) for this spend]]*(1-SupplychainTier2[[#This Row],[RSD]])))</f>
        <v/>
      </c>
      <c r="V265" s="286">
        <v>0</v>
      </c>
    </row>
    <row r="266" spans="2:22" ht="15" thickBot="1" x14ac:dyDescent="0.4">
      <c r="B266" s="418" t="str">
        <f t="shared" si="11"/>
        <v/>
      </c>
      <c r="C266" s="289" t="str">
        <f t="shared" si="12"/>
        <v/>
      </c>
      <c r="D266" s="112"/>
      <c r="E266" s="419" t="s">
        <v>409</v>
      </c>
      <c r="F266" s="294"/>
      <c r="G266" s="70"/>
      <c r="H266" s="187" t="s">
        <v>263</v>
      </c>
      <c r="I266" s="291">
        <f>SupplychainTier2[[#This Row],[Spend for which Tier 2 method accounts]]</f>
        <v>0</v>
      </c>
      <c r="J266" s="292"/>
      <c r="K266" s="410" t="str">
        <f>IFERROR(SupplychainTier2[[#This Row],[Calculated emissions (kgCO2e) for this spend]]/SupplychainTier2[[#This Row],[Spend for which Tier 2 method accounts]],"")</f>
        <v/>
      </c>
      <c r="L266" s="199"/>
      <c r="M266" s="103"/>
      <c r="N266" s="103"/>
      <c r="O266" s="286">
        <v>0</v>
      </c>
      <c r="P266" s="286">
        <v>0</v>
      </c>
      <c r="Q266" s="286">
        <f>SupplychainTier2[[#This Row],[Calculated emissions (kgCO2e) for this spend]]</f>
        <v>0</v>
      </c>
      <c r="R266" s="286">
        <v>0</v>
      </c>
      <c r="S266" s="286">
        <v>0</v>
      </c>
      <c r="T266" s="290" t="str">
        <f>IF(SupplychainTier2[[#This Row],[Calculated emissions (kgCO2e) for this spend]]="","",(SupplychainTier2[[#This Row],[Calculated emissions (kgCO2e) for this spend]]*(1+SupplychainTier2[[#This Row],[RSD]])))</f>
        <v/>
      </c>
      <c r="U266" s="290" t="str">
        <f>IF(SupplychainTier2[[#This Row],[Calculated emissions (kgCO2e) for this spend]]="","",(SupplychainTier2[[#This Row],[Calculated emissions (kgCO2e) for this spend]]*(1-SupplychainTier2[[#This Row],[RSD]])))</f>
        <v/>
      </c>
      <c r="V266" s="286">
        <v>0</v>
      </c>
    </row>
    <row r="267" spans="2:22" ht="15" thickBot="1" x14ac:dyDescent="0.4">
      <c r="B267" s="418" t="str">
        <f t="shared" si="11"/>
        <v/>
      </c>
      <c r="C267" s="289" t="str">
        <f t="shared" si="12"/>
        <v/>
      </c>
      <c r="D267" s="112"/>
      <c r="E267" s="419" t="s">
        <v>409</v>
      </c>
      <c r="F267" s="294"/>
      <c r="G267" s="70"/>
      <c r="H267" s="187" t="s">
        <v>263</v>
      </c>
      <c r="I267" s="291">
        <f>SupplychainTier2[[#This Row],[Spend for which Tier 2 method accounts]]</f>
        <v>0</v>
      </c>
      <c r="J267" s="292"/>
      <c r="K267" s="410" t="str">
        <f>IFERROR(SupplychainTier2[[#This Row],[Calculated emissions (kgCO2e) for this spend]]/SupplychainTier2[[#This Row],[Spend for which Tier 2 method accounts]],"")</f>
        <v/>
      </c>
      <c r="L267" s="199"/>
      <c r="M267" s="103"/>
      <c r="N267" s="103"/>
      <c r="O267" s="286">
        <v>0</v>
      </c>
      <c r="P267" s="286">
        <v>0</v>
      </c>
      <c r="Q267" s="286">
        <f>SupplychainTier2[[#This Row],[Calculated emissions (kgCO2e) for this spend]]</f>
        <v>0</v>
      </c>
      <c r="R267" s="286">
        <v>0</v>
      </c>
      <c r="S267" s="286">
        <v>0</v>
      </c>
      <c r="T267" s="290" t="str">
        <f>IF(SupplychainTier2[[#This Row],[Calculated emissions (kgCO2e) for this spend]]="","",(SupplychainTier2[[#This Row],[Calculated emissions (kgCO2e) for this spend]]*(1+SupplychainTier2[[#This Row],[RSD]])))</f>
        <v/>
      </c>
      <c r="U267" s="290" t="str">
        <f>IF(SupplychainTier2[[#This Row],[Calculated emissions (kgCO2e) for this spend]]="","",(SupplychainTier2[[#This Row],[Calculated emissions (kgCO2e) for this spend]]*(1-SupplychainTier2[[#This Row],[RSD]])))</f>
        <v/>
      </c>
      <c r="V267" s="286">
        <v>0</v>
      </c>
    </row>
    <row r="268" spans="2:22" ht="15" thickBot="1" x14ac:dyDescent="0.4">
      <c r="B268" s="418" t="str">
        <f t="shared" si="11"/>
        <v/>
      </c>
      <c r="C268" s="289" t="str">
        <f t="shared" si="12"/>
        <v/>
      </c>
      <c r="D268" s="112"/>
      <c r="E268" s="419" t="s">
        <v>409</v>
      </c>
      <c r="F268" s="294"/>
      <c r="G268" s="70"/>
      <c r="H268" s="187" t="s">
        <v>263</v>
      </c>
      <c r="I268" s="291">
        <f>SupplychainTier2[[#This Row],[Spend for which Tier 2 method accounts]]</f>
        <v>0</v>
      </c>
      <c r="J268" s="292"/>
      <c r="K268" s="410" t="str">
        <f>IFERROR(SupplychainTier2[[#This Row],[Calculated emissions (kgCO2e) for this spend]]/SupplychainTier2[[#This Row],[Spend for which Tier 2 method accounts]],"")</f>
        <v/>
      </c>
      <c r="L268" s="199"/>
      <c r="M268" s="103"/>
      <c r="N268" s="103"/>
      <c r="O268" s="286">
        <v>0</v>
      </c>
      <c r="P268" s="286">
        <v>0</v>
      </c>
      <c r="Q268" s="286">
        <f>SupplychainTier2[[#This Row],[Calculated emissions (kgCO2e) for this spend]]</f>
        <v>0</v>
      </c>
      <c r="R268" s="286">
        <v>0</v>
      </c>
      <c r="S268" s="286">
        <v>0</v>
      </c>
      <c r="T268" s="290" t="str">
        <f>IF(SupplychainTier2[[#This Row],[Calculated emissions (kgCO2e) for this spend]]="","",(SupplychainTier2[[#This Row],[Calculated emissions (kgCO2e) for this spend]]*(1+SupplychainTier2[[#This Row],[RSD]])))</f>
        <v/>
      </c>
      <c r="U268" s="290" t="str">
        <f>IF(SupplychainTier2[[#This Row],[Calculated emissions (kgCO2e) for this spend]]="","",(SupplychainTier2[[#This Row],[Calculated emissions (kgCO2e) for this spend]]*(1-SupplychainTier2[[#This Row],[RSD]])))</f>
        <v/>
      </c>
      <c r="V268" s="286">
        <v>0</v>
      </c>
    </row>
    <row r="269" spans="2:22" ht="15" thickBot="1" x14ac:dyDescent="0.4">
      <c r="B269" s="418" t="str">
        <f t="shared" si="11"/>
        <v/>
      </c>
      <c r="C269" s="289" t="str">
        <f t="shared" si="12"/>
        <v/>
      </c>
      <c r="D269" s="112"/>
      <c r="E269" s="419" t="s">
        <v>409</v>
      </c>
      <c r="F269" s="294"/>
      <c r="G269" s="70"/>
      <c r="H269" s="187" t="s">
        <v>263</v>
      </c>
      <c r="I269" s="291">
        <f>SupplychainTier2[[#This Row],[Spend for which Tier 2 method accounts]]</f>
        <v>0</v>
      </c>
      <c r="J269" s="292"/>
      <c r="K269" s="410" t="str">
        <f>IFERROR(SupplychainTier2[[#This Row],[Calculated emissions (kgCO2e) for this spend]]/SupplychainTier2[[#This Row],[Spend for which Tier 2 method accounts]],"")</f>
        <v/>
      </c>
      <c r="L269" s="199"/>
      <c r="M269" s="103"/>
      <c r="N269" s="103"/>
      <c r="O269" s="286">
        <v>0</v>
      </c>
      <c r="P269" s="286">
        <v>0</v>
      </c>
      <c r="Q269" s="286">
        <f>SupplychainTier2[[#This Row],[Calculated emissions (kgCO2e) for this spend]]</f>
        <v>0</v>
      </c>
      <c r="R269" s="286">
        <v>0</v>
      </c>
      <c r="S269" s="286">
        <v>0</v>
      </c>
      <c r="T269" s="290" t="str">
        <f>IF(SupplychainTier2[[#This Row],[Calculated emissions (kgCO2e) for this spend]]="","",(SupplychainTier2[[#This Row],[Calculated emissions (kgCO2e) for this spend]]*(1+SupplychainTier2[[#This Row],[RSD]])))</f>
        <v/>
      </c>
      <c r="U269" s="290" t="str">
        <f>IF(SupplychainTier2[[#This Row],[Calculated emissions (kgCO2e) for this spend]]="","",(SupplychainTier2[[#This Row],[Calculated emissions (kgCO2e) for this spend]]*(1-SupplychainTier2[[#This Row],[RSD]])))</f>
        <v/>
      </c>
      <c r="V269" s="286">
        <v>0</v>
      </c>
    </row>
    <row r="270" spans="2:22" ht="15" thickBot="1" x14ac:dyDescent="0.4">
      <c r="B270" s="418" t="str">
        <f t="shared" si="11"/>
        <v/>
      </c>
      <c r="C270" s="289" t="str">
        <f t="shared" si="12"/>
        <v/>
      </c>
      <c r="D270" s="112"/>
      <c r="E270" s="419" t="s">
        <v>409</v>
      </c>
      <c r="F270" s="294"/>
      <c r="G270" s="70"/>
      <c r="H270" s="187" t="s">
        <v>263</v>
      </c>
      <c r="I270" s="291">
        <f>SupplychainTier2[[#This Row],[Spend for which Tier 2 method accounts]]</f>
        <v>0</v>
      </c>
      <c r="J270" s="292"/>
      <c r="K270" s="410" t="str">
        <f>IFERROR(SupplychainTier2[[#This Row],[Calculated emissions (kgCO2e) for this spend]]/SupplychainTier2[[#This Row],[Spend for which Tier 2 method accounts]],"")</f>
        <v/>
      </c>
      <c r="L270" s="199"/>
      <c r="M270" s="103"/>
      <c r="N270" s="103"/>
      <c r="O270" s="286">
        <v>0</v>
      </c>
      <c r="P270" s="286">
        <v>0</v>
      </c>
      <c r="Q270" s="286">
        <f>SupplychainTier2[[#This Row],[Calculated emissions (kgCO2e) for this spend]]</f>
        <v>0</v>
      </c>
      <c r="R270" s="286">
        <v>0</v>
      </c>
      <c r="S270" s="286">
        <v>0</v>
      </c>
      <c r="T270" s="290" t="str">
        <f>IF(SupplychainTier2[[#This Row],[Calculated emissions (kgCO2e) for this spend]]="","",(SupplychainTier2[[#This Row],[Calculated emissions (kgCO2e) for this spend]]*(1+SupplychainTier2[[#This Row],[RSD]])))</f>
        <v/>
      </c>
      <c r="U270" s="290" t="str">
        <f>IF(SupplychainTier2[[#This Row],[Calculated emissions (kgCO2e) for this spend]]="","",(SupplychainTier2[[#This Row],[Calculated emissions (kgCO2e) for this spend]]*(1-SupplychainTier2[[#This Row],[RSD]])))</f>
        <v/>
      </c>
      <c r="V270" s="286">
        <v>0</v>
      </c>
    </row>
    <row r="271" spans="2:22" ht="15" thickBot="1" x14ac:dyDescent="0.4">
      <c r="B271" s="418" t="str">
        <f t="shared" si="11"/>
        <v/>
      </c>
      <c r="C271" s="289" t="str">
        <f t="shared" si="12"/>
        <v/>
      </c>
      <c r="D271" s="112"/>
      <c r="E271" s="419" t="s">
        <v>409</v>
      </c>
      <c r="F271" s="294"/>
      <c r="G271" s="70"/>
      <c r="H271" s="187" t="s">
        <v>263</v>
      </c>
      <c r="I271" s="291">
        <f>SupplychainTier2[[#This Row],[Spend for which Tier 2 method accounts]]</f>
        <v>0</v>
      </c>
      <c r="J271" s="292"/>
      <c r="K271" s="410" t="str">
        <f>IFERROR(SupplychainTier2[[#This Row],[Calculated emissions (kgCO2e) for this spend]]/SupplychainTier2[[#This Row],[Spend for which Tier 2 method accounts]],"")</f>
        <v/>
      </c>
      <c r="L271" s="199"/>
      <c r="M271" s="103"/>
      <c r="N271" s="103"/>
      <c r="O271" s="286">
        <v>0</v>
      </c>
      <c r="P271" s="286">
        <v>0</v>
      </c>
      <c r="Q271" s="286">
        <f>SupplychainTier2[[#This Row],[Calculated emissions (kgCO2e) for this spend]]</f>
        <v>0</v>
      </c>
      <c r="R271" s="286">
        <v>0</v>
      </c>
      <c r="S271" s="286">
        <v>0</v>
      </c>
      <c r="T271" s="290" t="str">
        <f>IF(SupplychainTier2[[#This Row],[Calculated emissions (kgCO2e) for this spend]]="","",(SupplychainTier2[[#This Row],[Calculated emissions (kgCO2e) for this spend]]*(1+SupplychainTier2[[#This Row],[RSD]])))</f>
        <v/>
      </c>
      <c r="U271" s="290" t="str">
        <f>IF(SupplychainTier2[[#This Row],[Calculated emissions (kgCO2e) for this spend]]="","",(SupplychainTier2[[#This Row],[Calculated emissions (kgCO2e) for this spend]]*(1-SupplychainTier2[[#This Row],[RSD]])))</f>
        <v/>
      </c>
      <c r="V271" s="286">
        <v>0</v>
      </c>
    </row>
    <row r="272" spans="2:22" ht="15" thickBot="1" x14ac:dyDescent="0.4">
      <c r="B272" s="418" t="str">
        <f t="shared" si="11"/>
        <v/>
      </c>
      <c r="C272" s="289" t="str">
        <f t="shared" si="12"/>
        <v/>
      </c>
      <c r="D272" s="112"/>
      <c r="E272" s="419" t="s">
        <v>409</v>
      </c>
      <c r="F272" s="294"/>
      <c r="G272" s="70"/>
      <c r="H272" s="187" t="s">
        <v>263</v>
      </c>
      <c r="I272" s="291">
        <f>SupplychainTier2[[#This Row],[Spend for which Tier 2 method accounts]]</f>
        <v>0</v>
      </c>
      <c r="J272" s="292"/>
      <c r="K272" s="410" t="str">
        <f>IFERROR(SupplychainTier2[[#This Row],[Calculated emissions (kgCO2e) for this spend]]/SupplychainTier2[[#This Row],[Spend for which Tier 2 method accounts]],"")</f>
        <v/>
      </c>
      <c r="L272" s="199"/>
      <c r="M272" s="103"/>
      <c r="N272" s="103"/>
      <c r="O272" s="286">
        <v>0</v>
      </c>
      <c r="P272" s="286">
        <v>0</v>
      </c>
      <c r="Q272" s="286">
        <f>SupplychainTier2[[#This Row],[Calculated emissions (kgCO2e) for this spend]]</f>
        <v>0</v>
      </c>
      <c r="R272" s="286">
        <v>0</v>
      </c>
      <c r="S272" s="286">
        <v>0</v>
      </c>
      <c r="T272" s="290" t="str">
        <f>IF(SupplychainTier2[[#This Row],[Calculated emissions (kgCO2e) for this spend]]="","",(SupplychainTier2[[#This Row],[Calculated emissions (kgCO2e) for this spend]]*(1+SupplychainTier2[[#This Row],[RSD]])))</f>
        <v/>
      </c>
      <c r="U272" s="290" t="str">
        <f>IF(SupplychainTier2[[#This Row],[Calculated emissions (kgCO2e) for this spend]]="","",(SupplychainTier2[[#This Row],[Calculated emissions (kgCO2e) for this spend]]*(1-SupplychainTier2[[#This Row],[RSD]])))</f>
        <v/>
      </c>
      <c r="V272" s="286">
        <v>0</v>
      </c>
    </row>
    <row r="273" spans="2:22" ht="15" thickBot="1" x14ac:dyDescent="0.4">
      <c r="B273" s="418" t="str">
        <f t="shared" si="11"/>
        <v/>
      </c>
      <c r="C273" s="289" t="str">
        <f t="shared" si="12"/>
        <v/>
      </c>
      <c r="D273" s="112"/>
      <c r="E273" s="419" t="s">
        <v>409</v>
      </c>
      <c r="F273" s="294"/>
      <c r="G273" s="70"/>
      <c r="H273" s="187" t="s">
        <v>263</v>
      </c>
      <c r="I273" s="291">
        <f>SupplychainTier2[[#This Row],[Spend for which Tier 2 method accounts]]</f>
        <v>0</v>
      </c>
      <c r="J273" s="292"/>
      <c r="K273" s="410" t="str">
        <f>IFERROR(SupplychainTier2[[#This Row],[Calculated emissions (kgCO2e) for this spend]]/SupplychainTier2[[#This Row],[Spend for which Tier 2 method accounts]],"")</f>
        <v/>
      </c>
      <c r="L273" s="199"/>
      <c r="M273" s="103"/>
      <c r="N273" s="103"/>
      <c r="O273" s="286">
        <v>0</v>
      </c>
      <c r="P273" s="286">
        <v>0</v>
      </c>
      <c r="Q273" s="286">
        <f>SupplychainTier2[[#This Row],[Calculated emissions (kgCO2e) for this spend]]</f>
        <v>0</v>
      </c>
      <c r="R273" s="286">
        <v>0</v>
      </c>
      <c r="S273" s="286">
        <v>0</v>
      </c>
      <c r="T273" s="290" t="str">
        <f>IF(SupplychainTier2[[#This Row],[Calculated emissions (kgCO2e) for this spend]]="","",(SupplychainTier2[[#This Row],[Calculated emissions (kgCO2e) for this spend]]*(1+SupplychainTier2[[#This Row],[RSD]])))</f>
        <v/>
      </c>
      <c r="U273" s="290" t="str">
        <f>IF(SupplychainTier2[[#This Row],[Calculated emissions (kgCO2e) for this spend]]="","",(SupplychainTier2[[#This Row],[Calculated emissions (kgCO2e) for this spend]]*(1-SupplychainTier2[[#This Row],[RSD]])))</f>
        <v/>
      </c>
      <c r="V273" s="286">
        <v>0</v>
      </c>
    </row>
    <row r="274" spans="2:22" ht="15" thickBot="1" x14ac:dyDescent="0.4">
      <c r="B274" s="418" t="str">
        <f t="shared" si="11"/>
        <v/>
      </c>
      <c r="C274" s="289" t="str">
        <f t="shared" si="12"/>
        <v/>
      </c>
      <c r="D274" s="112"/>
      <c r="E274" s="419" t="s">
        <v>409</v>
      </c>
      <c r="F274" s="294"/>
      <c r="G274" s="70"/>
      <c r="H274" s="187" t="s">
        <v>263</v>
      </c>
      <c r="I274" s="291">
        <f>SupplychainTier2[[#This Row],[Spend for which Tier 2 method accounts]]</f>
        <v>0</v>
      </c>
      <c r="J274" s="292"/>
      <c r="K274" s="410" t="str">
        <f>IFERROR(SupplychainTier2[[#This Row],[Calculated emissions (kgCO2e) for this spend]]/SupplychainTier2[[#This Row],[Spend for which Tier 2 method accounts]],"")</f>
        <v/>
      </c>
      <c r="L274" s="199"/>
      <c r="M274" s="103"/>
      <c r="N274" s="103"/>
      <c r="O274" s="286">
        <v>0</v>
      </c>
      <c r="P274" s="286">
        <v>0</v>
      </c>
      <c r="Q274" s="286">
        <f>SupplychainTier2[[#This Row],[Calculated emissions (kgCO2e) for this spend]]</f>
        <v>0</v>
      </c>
      <c r="R274" s="286">
        <v>0</v>
      </c>
      <c r="S274" s="286">
        <v>0</v>
      </c>
      <c r="T274" s="290" t="str">
        <f>IF(SupplychainTier2[[#This Row],[Calculated emissions (kgCO2e) for this spend]]="","",(SupplychainTier2[[#This Row],[Calculated emissions (kgCO2e) for this spend]]*(1+SupplychainTier2[[#This Row],[RSD]])))</f>
        <v/>
      </c>
      <c r="U274" s="290" t="str">
        <f>IF(SupplychainTier2[[#This Row],[Calculated emissions (kgCO2e) for this spend]]="","",(SupplychainTier2[[#This Row],[Calculated emissions (kgCO2e) for this spend]]*(1-SupplychainTier2[[#This Row],[RSD]])))</f>
        <v/>
      </c>
      <c r="V274" s="286">
        <v>0</v>
      </c>
    </row>
    <row r="275" spans="2:22" ht="15" thickBot="1" x14ac:dyDescent="0.4">
      <c r="B275" s="418" t="str">
        <f t="shared" si="11"/>
        <v/>
      </c>
      <c r="C275" s="289" t="str">
        <f t="shared" si="12"/>
        <v/>
      </c>
      <c r="D275" s="112"/>
      <c r="E275" s="419" t="s">
        <v>409</v>
      </c>
      <c r="F275" s="294"/>
      <c r="G275" s="70"/>
      <c r="H275" s="187" t="s">
        <v>263</v>
      </c>
      <c r="I275" s="291">
        <f>SupplychainTier2[[#This Row],[Spend for which Tier 2 method accounts]]</f>
        <v>0</v>
      </c>
      <c r="J275" s="292"/>
      <c r="K275" s="410" t="str">
        <f>IFERROR(SupplychainTier2[[#This Row],[Calculated emissions (kgCO2e) for this spend]]/SupplychainTier2[[#This Row],[Spend for which Tier 2 method accounts]],"")</f>
        <v/>
      </c>
      <c r="L275" s="199"/>
      <c r="M275" s="103"/>
      <c r="N275" s="103"/>
      <c r="O275" s="286">
        <v>0</v>
      </c>
      <c r="P275" s="286">
        <v>0</v>
      </c>
      <c r="Q275" s="286">
        <f>SupplychainTier2[[#This Row],[Calculated emissions (kgCO2e) for this spend]]</f>
        <v>0</v>
      </c>
      <c r="R275" s="286">
        <v>0</v>
      </c>
      <c r="S275" s="286">
        <v>0</v>
      </c>
      <c r="T275" s="290" t="str">
        <f>IF(SupplychainTier2[[#This Row],[Calculated emissions (kgCO2e) for this spend]]="","",(SupplychainTier2[[#This Row],[Calculated emissions (kgCO2e) for this spend]]*(1+SupplychainTier2[[#This Row],[RSD]])))</f>
        <v/>
      </c>
      <c r="U275" s="290" t="str">
        <f>IF(SupplychainTier2[[#This Row],[Calculated emissions (kgCO2e) for this spend]]="","",(SupplychainTier2[[#This Row],[Calculated emissions (kgCO2e) for this spend]]*(1-SupplychainTier2[[#This Row],[RSD]])))</f>
        <v/>
      </c>
      <c r="V275" s="286">
        <v>0</v>
      </c>
    </row>
    <row r="276" spans="2:22" ht="15" thickBot="1" x14ac:dyDescent="0.4">
      <c r="B276" s="418" t="str">
        <f t="shared" si="11"/>
        <v/>
      </c>
      <c r="C276" s="289" t="str">
        <f t="shared" si="12"/>
        <v/>
      </c>
      <c r="D276" s="112"/>
      <c r="E276" s="419" t="s">
        <v>409</v>
      </c>
      <c r="F276" s="294"/>
      <c r="G276" s="70"/>
      <c r="H276" s="187" t="s">
        <v>263</v>
      </c>
      <c r="I276" s="291">
        <f>SupplychainTier2[[#This Row],[Spend for which Tier 2 method accounts]]</f>
        <v>0</v>
      </c>
      <c r="J276" s="292"/>
      <c r="K276" s="410" t="str">
        <f>IFERROR(SupplychainTier2[[#This Row],[Calculated emissions (kgCO2e) for this spend]]/SupplychainTier2[[#This Row],[Spend for which Tier 2 method accounts]],"")</f>
        <v/>
      </c>
      <c r="L276" s="199"/>
      <c r="M276" s="103"/>
      <c r="N276" s="103"/>
      <c r="O276" s="286">
        <v>0</v>
      </c>
      <c r="P276" s="286">
        <v>0</v>
      </c>
      <c r="Q276" s="286">
        <f>SupplychainTier2[[#This Row],[Calculated emissions (kgCO2e) for this spend]]</f>
        <v>0</v>
      </c>
      <c r="R276" s="286">
        <v>0</v>
      </c>
      <c r="S276" s="286">
        <v>0</v>
      </c>
      <c r="T276" s="290" t="str">
        <f>IF(SupplychainTier2[[#This Row],[Calculated emissions (kgCO2e) for this spend]]="","",(SupplychainTier2[[#This Row],[Calculated emissions (kgCO2e) for this spend]]*(1+SupplychainTier2[[#This Row],[RSD]])))</f>
        <v/>
      </c>
      <c r="U276" s="290" t="str">
        <f>IF(SupplychainTier2[[#This Row],[Calculated emissions (kgCO2e) for this spend]]="","",(SupplychainTier2[[#This Row],[Calculated emissions (kgCO2e) for this spend]]*(1-SupplychainTier2[[#This Row],[RSD]])))</f>
        <v/>
      </c>
      <c r="V276" s="286">
        <v>0</v>
      </c>
    </row>
    <row r="277" spans="2:22" ht="15" thickBot="1" x14ac:dyDescent="0.4">
      <c r="B277" s="418" t="str">
        <f t="shared" si="11"/>
        <v/>
      </c>
      <c r="C277" s="289" t="str">
        <f t="shared" si="12"/>
        <v/>
      </c>
      <c r="D277" s="112"/>
      <c r="E277" s="419" t="s">
        <v>409</v>
      </c>
      <c r="F277" s="294"/>
      <c r="G277" s="70"/>
      <c r="H277" s="187" t="s">
        <v>263</v>
      </c>
      <c r="I277" s="291">
        <f>SupplychainTier2[[#This Row],[Spend for which Tier 2 method accounts]]</f>
        <v>0</v>
      </c>
      <c r="J277" s="292"/>
      <c r="K277" s="410" t="str">
        <f>IFERROR(SupplychainTier2[[#This Row],[Calculated emissions (kgCO2e) for this spend]]/SupplychainTier2[[#This Row],[Spend for which Tier 2 method accounts]],"")</f>
        <v/>
      </c>
      <c r="L277" s="199"/>
      <c r="M277" s="103"/>
      <c r="N277" s="103"/>
      <c r="O277" s="286">
        <v>0</v>
      </c>
      <c r="P277" s="286">
        <v>0</v>
      </c>
      <c r="Q277" s="286">
        <f>SupplychainTier2[[#This Row],[Calculated emissions (kgCO2e) for this spend]]</f>
        <v>0</v>
      </c>
      <c r="R277" s="286">
        <v>0</v>
      </c>
      <c r="S277" s="286">
        <v>0</v>
      </c>
      <c r="T277" s="290" t="str">
        <f>IF(SupplychainTier2[[#This Row],[Calculated emissions (kgCO2e) for this spend]]="","",(SupplychainTier2[[#This Row],[Calculated emissions (kgCO2e) for this spend]]*(1+SupplychainTier2[[#This Row],[RSD]])))</f>
        <v/>
      </c>
      <c r="U277" s="290" t="str">
        <f>IF(SupplychainTier2[[#This Row],[Calculated emissions (kgCO2e) for this spend]]="","",(SupplychainTier2[[#This Row],[Calculated emissions (kgCO2e) for this spend]]*(1-SupplychainTier2[[#This Row],[RSD]])))</f>
        <v/>
      </c>
      <c r="V277" s="286">
        <v>0</v>
      </c>
    </row>
    <row r="278" spans="2:22" ht="15" thickBot="1" x14ac:dyDescent="0.4">
      <c r="B278" s="418" t="str">
        <f t="shared" si="11"/>
        <v/>
      </c>
      <c r="C278" s="289" t="str">
        <f t="shared" si="12"/>
        <v/>
      </c>
      <c r="D278" s="112"/>
      <c r="E278" s="419" t="s">
        <v>409</v>
      </c>
      <c r="F278" s="294"/>
      <c r="G278" s="70"/>
      <c r="H278" s="187" t="s">
        <v>263</v>
      </c>
      <c r="I278" s="291">
        <f>SupplychainTier2[[#This Row],[Spend for which Tier 2 method accounts]]</f>
        <v>0</v>
      </c>
      <c r="J278" s="292"/>
      <c r="K278" s="410" t="str">
        <f>IFERROR(SupplychainTier2[[#This Row],[Calculated emissions (kgCO2e) for this spend]]/SupplychainTier2[[#This Row],[Spend for which Tier 2 method accounts]],"")</f>
        <v/>
      </c>
      <c r="L278" s="199"/>
      <c r="M278" s="103"/>
      <c r="N278" s="103"/>
      <c r="O278" s="286">
        <v>0</v>
      </c>
      <c r="P278" s="286">
        <v>0</v>
      </c>
      <c r="Q278" s="286">
        <f>SupplychainTier2[[#This Row],[Calculated emissions (kgCO2e) for this spend]]</f>
        <v>0</v>
      </c>
      <c r="R278" s="286">
        <v>0</v>
      </c>
      <c r="S278" s="286">
        <v>0</v>
      </c>
      <c r="T278" s="290" t="str">
        <f>IF(SupplychainTier2[[#This Row],[Calculated emissions (kgCO2e) for this spend]]="","",(SupplychainTier2[[#This Row],[Calculated emissions (kgCO2e) for this spend]]*(1+SupplychainTier2[[#This Row],[RSD]])))</f>
        <v/>
      </c>
      <c r="U278" s="290" t="str">
        <f>IF(SupplychainTier2[[#This Row],[Calculated emissions (kgCO2e) for this spend]]="","",(SupplychainTier2[[#This Row],[Calculated emissions (kgCO2e) for this spend]]*(1-SupplychainTier2[[#This Row],[RSD]])))</f>
        <v/>
      </c>
      <c r="V278" s="286">
        <v>0</v>
      </c>
    </row>
    <row r="279" spans="2:22" ht="15" thickBot="1" x14ac:dyDescent="0.4">
      <c r="B279" s="418" t="str">
        <f t="shared" si="11"/>
        <v/>
      </c>
      <c r="C279" s="289" t="str">
        <f t="shared" si="12"/>
        <v/>
      </c>
      <c r="D279" s="112"/>
      <c r="E279" s="419" t="s">
        <v>409</v>
      </c>
      <c r="F279" s="294"/>
      <c r="G279" s="70"/>
      <c r="H279" s="187" t="s">
        <v>263</v>
      </c>
      <c r="I279" s="291">
        <f>SupplychainTier2[[#This Row],[Spend for which Tier 2 method accounts]]</f>
        <v>0</v>
      </c>
      <c r="J279" s="292"/>
      <c r="K279" s="410" t="str">
        <f>IFERROR(SupplychainTier2[[#This Row],[Calculated emissions (kgCO2e) for this spend]]/SupplychainTier2[[#This Row],[Spend for which Tier 2 method accounts]],"")</f>
        <v/>
      </c>
      <c r="L279" s="199"/>
      <c r="M279" s="103"/>
      <c r="N279" s="103"/>
      <c r="O279" s="286">
        <v>0</v>
      </c>
      <c r="P279" s="286">
        <v>0</v>
      </c>
      <c r="Q279" s="286">
        <f>SupplychainTier2[[#This Row],[Calculated emissions (kgCO2e) for this spend]]</f>
        <v>0</v>
      </c>
      <c r="R279" s="286">
        <v>0</v>
      </c>
      <c r="S279" s="286">
        <v>0</v>
      </c>
      <c r="T279" s="290" t="str">
        <f>IF(SupplychainTier2[[#This Row],[Calculated emissions (kgCO2e) for this spend]]="","",(SupplychainTier2[[#This Row],[Calculated emissions (kgCO2e) for this spend]]*(1+SupplychainTier2[[#This Row],[RSD]])))</f>
        <v/>
      </c>
      <c r="U279" s="290" t="str">
        <f>IF(SupplychainTier2[[#This Row],[Calculated emissions (kgCO2e) for this spend]]="","",(SupplychainTier2[[#This Row],[Calculated emissions (kgCO2e) for this spend]]*(1-SupplychainTier2[[#This Row],[RSD]])))</f>
        <v/>
      </c>
      <c r="V279" s="286">
        <v>0</v>
      </c>
    </row>
    <row r="280" spans="2:22" ht="15" thickBot="1" x14ac:dyDescent="0.4">
      <c r="B280" s="418" t="str">
        <f t="shared" si="11"/>
        <v/>
      </c>
      <c r="C280" s="289" t="str">
        <f t="shared" si="12"/>
        <v/>
      </c>
      <c r="D280" s="112"/>
      <c r="E280" s="419" t="s">
        <v>409</v>
      </c>
      <c r="F280" s="294"/>
      <c r="G280" s="70"/>
      <c r="H280" s="187" t="s">
        <v>263</v>
      </c>
      <c r="I280" s="291">
        <f>SupplychainTier2[[#This Row],[Spend for which Tier 2 method accounts]]</f>
        <v>0</v>
      </c>
      <c r="J280" s="292"/>
      <c r="K280" s="410" t="str">
        <f>IFERROR(SupplychainTier2[[#This Row],[Calculated emissions (kgCO2e) for this spend]]/SupplychainTier2[[#This Row],[Spend for which Tier 2 method accounts]],"")</f>
        <v/>
      </c>
      <c r="L280" s="199"/>
      <c r="M280" s="103"/>
      <c r="N280" s="103"/>
      <c r="O280" s="286">
        <v>0</v>
      </c>
      <c r="P280" s="286">
        <v>0</v>
      </c>
      <c r="Q280" s="286">
        <f>SupplychainTier2[[#This Row],[Calculated emissions (kgCO2e) for this spend]]</f>
        <v>0</v>
      </c>
      <c r="R280" s="286">
        <v>0</v>
      </c>
      <c r="S280" s="286">
        <v>0</v>
      </c>
      <c r="T280" s="290" t="str">
        <f>IF(SupplychainTier2[[#This Row],[Calculated emissions (kgCO2e) for this spend]]="","",(SupplychainTier2[[#This Row],[Calculated emissions (kgCO2e) for this spend]]*(1+SupplychainTier2[[#This Row],[RSD]])))</f>
        <v/>
      </c>
      <c r="U280" s="290" t="str">
        <f>IF(SupplychainTier2[[#This Row],[Calculated emissions (kgCO2e) for this spend]]="","",(SupplychainTier2[[#This Row],[Calculated emissions (kgCO2e) for this spend]]*(1-SupplychainTier2[[#This Row],[RSD]])))</f>
        <v/>
      </c>
      <c r="V280" s="286">
        <v>0</v>
      </c>
    </row>
    <row r="281" spans="2:22" ht="15" thickBot="1" x14ac:dyDescent="0.4">
      <c r="B281" s="418" t="str">
        <f t="shared" si="11"/>
        <v/>
      </c>
      <c r="C281" s="289" t="str">
        <f t="shared" si="12"/>
        <v/>
      </c>
      <c r="D281" s="112"/>
      <c r="E281" s="419" t="s">
        <v>409</v>
      </c>
      <c r="F281" s="294"/>
      <c r="G281" s="70"/>
      <c r="H281" s="187" t="s">
        <v>263</v>
      </c>
      <c r="I281" s="291">
        <f>SupplychainTier2[[#This Row],[Spend for which Tier 2 method accounts]]</f>
        <v>0</v>
      </c>
      <c r="J281" s="292"/>
      <c r="K281" s="410" t="str">
        <f>IFERROR(SupplychainTier2[[#This Row],[Calculated emissions (kgCO2e) for this spend]]/SupplychainTier2[[#This Row],[Spend for which Tier 2 method accounts]],"")</f>
        <v/>
      </c>
      <c r="L281" s="199"/>
      <c r="M281" s="103"/>
      <c r="N281" s="103"/>
      <c r="O281" s="286">
        <v>0</v>
      </c>
      <c r="P281" s="286">
        <v>0</v>
      </c>
      <c r="Q281" s="286">
        <f>SupplychainTier2[[#This Row],[Calculated emissions (kgCO2e) for this spend]]</f>
        <v>0</v>
      </c>
      <c r="R281" s="286">
        <v>0</v>
      </c>
      <c r="S281" s="286">
        <v>0</v>
      </c>
      <c r="T281" s="290" t="str">
        <f>IF(SupplychainTier2[[#This Row],[Calculated emissions (kgCO2e) for this spend]]="","",(SupplychainTier2[[#This Row],[Calculated emissions (kgCO2e) for this spend]]*(1+SupplychainTier2[[#This Row],[RSD]])))</f>
        <v/>
      </c>
      <c r="U281" s="290" t="str">
        <f>IF(SupplychainTier2[[#This Row],[Calculated emissions (kgCO2e) for this spend]]="","",(SupplychainTier2[[#This Row],[Calculated emissions (kgCO2e) for this spend]]*(1-SupplychainTier2[[#This Row],[RSD]])))</f>
        <v/>
      </c>
      <c r="V281" s="286">
        <v>0</v>
      </c>
    </row>
    <row r="282" spans="2:22" ht="15" thickBot="1" x14ac:dyDescent="0.4">
      <c r="B282" s="418" t="str">
        <f t="shared" si="11"/>
        <v/>
      </c>
      <c r="C282" s="289" t="str">
        <f t="shared" si="12"/>
        <v/>
      </c>
      <c r="D282" s="112"/>
      <c r="E282" s="419" t="s">
        <v>409</v>
      </c>
      <c r="F282" s="294"/>
      <c r="G282" s="70"/>
      <c r="H282" s="187" t="s">
        <v>263</v>
      </c>
      <c r="I282" s="291">
        <f>SupplychainTier2[[#This Row],[Spend for which Tier 2 method accounts]]</f>
        <v>0</v>
      </c>
      <c r="J282" s="292"/>
      <c r="K282" s="410" t="str">
        <f>IFERROR(SupplychainTier2[[#This Row],[Calculated emissions (kgCO2e) for this spend]]/SupplychainTier2[[#This Row],[Spend for which Tier 2 method accounts]],"")</f>
        <v/>
      </c>
      <c r="L282" s="199"/>
      <c r="M282" s="103"/>
      <c r="N282" s="103"/>
      <c r="O282" s="286">
        <v>0</v>
      </c>
      <c r="P282" s="286">
        <v>0</v>
      </c>
      <c r="Q282" s="286">
        <f>SupplychainTier2[[#This Row],[Calculated emissions (kgCO2e) for this spend]]</f>
        <v>0</v>
      </c>
      <c r="R282" s="286">
        <v>0</v>
      </c>
      <c r="S282" s="286">
        <v>0</v>
      </c>
      <c r="T282" s="290" t="str">
        <f>IF(SupplychainTier2[[#This Row],[Calculated emissions (kgCO2e) for this spend]]="","",(SupplychainTier2[[#This Row],[Calculated emissions (kgCO2e) for this spend]]*(1+SupplychainTier2[[#This Row],[RSD]])))</f>
        <v/>
      </c>
      <c r="U282" s="290" t="str">
        <f>IF(SupplychainTier2[[#This Row],[Calculated emissions (kgCO2e) for this spend]]="","",(SupplychainTier2[[#This Row],[Calculated emissions (kgCO2e) for this spend]]*(1-SupplychainTier2[[#This Row],[RSD]])))</f>
        <v/>
      </c>
      <c r="V282" s="286">
        <v>0</v>
      </c>
    </row>
    <row r="283" spans="2:22" ht="15" thickBot="1" x14ac:dyDescent="0.4">
      <c r="B283" s="418" t="str">
        <f t="shared" si="11"/>
        <v/>
      </c>
      <c r="C283" s="289" t="str">
        <f t="shared" si="12"/>
        <v/>
      </c>
      <c r="D283" s="112"/>
      <c r="E283" s="419" t="s">
        <v>409</v>
      </c>
      <c r="F283" s="294"/>
      <c r="G283" s="70"/>
      <c r="H283" s="187" t="s">
        <v>263</v>
      </c>
      <c r="I283" s="291">
        <f>SupplychainTier2[[#This Row],[Spend for which Tier 2 method accounts]]</f>
        <v>0</v>
      </c>
      <c r="J283" s="292"/>
      <c r="K283" s="410" t="str">
        <f>IFERROR(SupplychainTier2[[#This Row],[Calculated emissions (kgCO2e) for this spend]]/SupplychainTier2[[#This Row],[Spend for which Tier 2 method accounts]],"")</f>
        <v/>
      </c>
      <c r="L283" s="199"/>
      <c r="M283" s="103"/>
      <c r="N283" s="103"/>
      <c r="O283" s="286">
        <v>0</v>
      </c>
      <c r="P283" s="286">
        <v>0</v>
      </c>
      <c r="Q283" s="286">
        <f>SupplychainTier2[[#This Row],[Calculated emissions (kgCO2e) for this spend]]</f>
        <v>0</v>
      </c>
      <c r="R283" s="286">
        <v>0</v>
      </c>
      <c r="S283" s="286">
        <v>0</v>
      </c>
      <c r="T283" s="290" t="str">
        <f>IF(SupplychainTier2[[#This Row],[Calculated emissions (kgCO2e) for this spend]]="","",(SupplychainTier2[[#This Row],[Calculated emissions (kgCO2e) for this spend]]*(1+SupplychainTier2[[#This Row],[RSD]])))</f>
        <v/>
      </c>
      <c r="U283" s="290" t="str">
        <f>IF(SupplychainTier2[[#This Row],[Calculated emissions (kgCO2e) for this spend]]="","",(SupplychainTier2[[#This Row],[Calculated emissions (kgCO2e) for this spend]]*(1-SupplychainTier2[[#This Row],[RSD]])))</f>
        <v/>
      </c>
      <c r="V283" s="286">
        <v>0</v>
      </c>
    </row>
    <row r="284" spans="2:22" ht="15" thickBot="1" x14ac:dyDescent="0.4">
      <c r="B284" s="418" t="str">
        <f t="shared" si="11"/>
        <v/>
      </c>
      <c r="C284" s="289" t="str">
        <f t="shared" si="12"/>
        <v/>
      </c>
      <c r="D284" s="112"/>
      <c r="E284" s="419" t="s">
        <v>409</v>
      </c>
      <c r="F284" s="294"/>
      <c r="G284" s="70"/>
      <c r="H284" s="187" t="s">
        <v>263</v>
      </c>
      <c r="I284" s="291">
        <f>SupplychainTier2[[#This Row],[Spend for which Tier 2 method accounts]]</f>
        <v>0</v>
      </c>
      <c r="J284" s="292"/>
      <c r="K284" s="410" t="str">
        <f>IFERROR(SupplychainTier2[[#This Row],[Calculated emissions (kgCO2e) for this spend]]/SupplychainTier2[[#This Row],[Spend for which Tier 2 method accounts]],"")</f>
        <v/>
      </c>
      <c r="L284" s="199"/>
      <c r="M284" s="103"/>
      <c r="N284" s="103"/>
      <c r="O284" s="286">
        <v>0</v>
      </c>
      <c r="P284" s="286">
        <v>0</v>
      </c>
      <c r="Q284" s="286">
        <f>SupplychainTier2[[#This Row],[Calculated emissions (kgCO2e) for this spend]]</f>
        <v>0</v>
      </c>
      <c r="R284" s="286">
        <v>0</v>
      </c>
      <c r="S284" s="286">
        <v>0</v>
      </c>
      <c r="T284" s="290" t="str">
        <f>IF(SupplychainTier2[[#This Row],[Calculated emissions (kgCO2e) for this spend]]="","",(SupplychainTier2[[#This Row],[Calculated emissions (kgCO2e) for this spend]]*(1+SupplychainTier2[[#This Row],[RSD]])))</f>
        <v/>
      </c>
      <c r="U284" s="290" t="str">
        <f>IF(SupplychainTier2[[#This Row],[Calculated emissions (kgCO2e) for this spend]]="","",(SupplychainTier2[[#This Row],[Calculated emissions (kgCO2e) for this spend]]*(1-SupplychainTier2[[#This Row],[RSD]])))</f>
        <v/>
      </c>
      <c r="V284" s="286">
        <v>0</v>
      </c>
    </row>
    <row r="285" spans="2:22" ht="15" thickBot="1" x14ac:dyDescent="0.4">
      <c r="B285" s="418" t="str">
        <f t="shared" si="11"/>
        <v/>
      </c>
      <c r="C285" s="289" t="str">
        <f t="shared" si="12"/>
        <v/>
      </c>
      <c r="D285" s="112"/>
      <c r="E285" s="419" t="s">
        <v>409</v>
      </c>
      <c r="F285" s="294"/>
      <c r="G285" s="70"/>
      <c r="H285" s="187" t="s">
        <v>263</v>
      </c>
      <c r="I285" s="291">
        <f>SupplychainTier2[[#This Row],[Spend for which Tier 2 method accounts]]</f>
        <v>0</v>
      </c>
      <c r="J285" s="292"/>
      <c r="K285" s="410" t="str">
        <f>IFERROR(SupplychainTier2[[#This Row],[Calculated emissions (kgCO2e) for this spend]]/SupplychainTier2[[#This Row],[Spend for which Tier 2 method accounts]],"")</f>
        <v/>
      </c>
      <c r="L285" s="199"/>
      <c r="M285" s="103"/>
      <c r="N285" s="103"/>
      <c r="O285" s="286">
        <v>0</v>
      </c>
      <c r="P285" s="286">
        <v>0</v>
      </c>
      <c r="Q285" s="286">
        <f>SupplychainTier2[[#This Row],[Calculated emissions (kgCO2e) for this spend]]</f>
        <v>0</v>
      </c>
      <c r="R285" s="286">
        <v>0</v>
      </c>
      <c r="S285" s="286">
        <v>0</v>
      </c>
      <c r="T285" s="290" t="str">
        <f>IF(SupplychainTier2[[#This Row],[Calculated emissions (kgCO2e) for this spend]]="","",(SupplychainTier2[[#This Row],[Calculated emissions (kgCO2e) for this spend]]*(1+SupplychainTier2[[#This Row],[RSD]])))</f>
        <v/>
      </c>
      <c r="U285" s="290" t="str">
        <f>IF(SupplychainTier2[[#This Row],[Calculated emissions (kgCO2e) for this spend]]="","",(SupplychainTier2[[#This Row],[Calculated emissions (kgCO2e) for this spend]]*(1-SupplychainTier2[[#This Row],[RSD]])))</f>
        <v/>
      </c>
      <c r="V285" s="286">
        <v>0</v>
      </c>
    </row>
    <row r="286" spans="2:22" ht="15" thickBot="1" x14ac:dyDescent="0.4">
      <c r="B286" s="418" t="str">
        <f t="shared" si="11"/>
        <v/>
      </c>
      <c r="C286" s="289" t="str">
        <f t="shared" si="12"/>
        <v/>
      </c>
      <c r="D286" s="112"/>
      <c r="E286" s="419" t="s">
        <v>409</v>
      </c>
      <c r="F286" s="294"/>
      <c r="G286" s="70"/>
      <c r="H286" s="187" t="s">
        <v>263</v>
      </c>
      <c r="I286" s="291">
        <f>SupplychainTier2[[#This Row],[Spend for which Tier 2 method accounts]]</f>
        <v>0</v>
      </c>
      <c r="J286" s="292"/>
      <c r="K286" s="410" t="str">
        <f>IFERROR(SupplychainTier2[[#This Row],[Calculated emissions (kgCO2e) for this spend]]/SupplychainTier2[[#This Row],[Spend for which Tier 2 method accounts]],"")</f>
        <v/>
      </c>
      <c r="L286" s="199"/>
      <c r="M286" s="103"/>
      <c r="N286" s="103"/>
      <c r="O286" s="286">
        <v>0</v>
      </c>
      <c r="P286" s="286">
        <v>0</v>
      </c>
      <c r="Q286" s="286">
        <f>SupplychainTier2[[#This Row],[Calculated emissions (kgCO2e) for this spend]]</f>
        <v>0</v>
      </c>
      <c r="R286" s="286">
        <v>0</v>
      </c>
      <c r="S286" s="286">
        <v>0</v>
      </c>
      <c r="T286" s="290" t="str">
        <f>IF(SupplychainTier2[[#This Row],[Calculated emissions (kgCO2e) for this spend]]="","",(SupplychainTier2[[#This Row],[Calculated emissions (kgCO2e) for this spend]]*(1+SupplychainTier2[[#This Row],[RSD]])))</f>
        <v/>
      </c>
      <c r="U286" s="290" t="str">
        <f>IF(SupplychainTier2[[#This Row],[Calculated emissions (kgCO2e) for this spend]]="","",(SupplychainTier2[[#This Row],[Calculated emissions (kgCO2e) for this spend]]*(1-SupplychainTier2[[#This Row],[RSD]])))</f>
        <v/>
      </c>
      <c r="V286" s="286">
        <v>0</v>
      </c>
    </row>
    <row r="287" spans="2:22" ht="15" thickBot="1" x14ac:dyDescent="0.4">
      <c r="B287" s="418" t="str">
        <f t="shared" si="11"/>
        <v/>
      </c>
      <c r="C287" s="289" t="str">
        <f t="shared" si="12"/>
        <v/>
      </c>
      <c r="D287" s="112"/>
      <c r="E287" s="419" t="s">
        <v>409</v>
      </c>
      <c r="F287" s="294"/>
      <c r="G287" s="70"/>
      <c r="H287" s="187" t="s">
        <v>263</v>
      </c>
      <c r="I287" s="291">
        <f>SupplychainTier2[[#This Row],[Spend for which Tier 2 method accounts]]</f>
        <v>0</v>
      </c>
      <c r="J287" s="292"/>
      <c r="K287" s="410" t="str">
        <f>IFERROR(SupplychainTier2[[#This Row],[Calculated emissions (kgCO2e) for this spend]]/SupplychainTier2[[#This Row],[Spend for which Tier 2 method accounts]],"")</f>
        <v/>
      </c>
      <c r="L287" s="199"/>
      <c r="M287" s="103"/>
      <c r="N287" s="103"/>
      <c r="O287" s="286">
        <v>0</v>
      </c>
      <c r="P287" s="286">
        <v>0</v>
      </c>
      <c r="Q287" s="286">
        <f>SupplychainTier2[[#This Row],[Calculated emissions (kgCO2e) for this spend]]</f>
        <v>0</v>
      </c>
      <c r="R287" s="286">
        <v>0</v>
      </c>
      <c r="S287" s="286">
        <v>0</v>
      </c>
      <c r="T287" s="290" t="str">
        <f>IF(SupplychainTier2[[#This Row],[Calculated emissions (kgCO2e) for this spend]]="","",(SupplychainTier2[[#This Row],[Calculated emissions (kgCO2e) for this spend]]*(1+SupplychainTier2[[#This Row],[RSD]])))</f>
        <v/>
      </c>
      <c r="U287" s="290" t="str">
        <f>IF(SupplychainTier2[[#This Row],[Calculated emissions (kgCO2e) for this spend]]="","",(SupplychainTier2[[#This Row],[Calculated emissions (kgCO2e) for this spend]]*(1-SupplychainTier2[[#This Row],[RSD]])))</f>
        <v/>
      </c>
      <c r="V287" s="286">
        <v>0</v>
      </c>
    </row>
    <row r="288" spans="2:22" ht="15" thickBot="1" x14ac:dyDescent="0.4">
      <c r="B288" s="418" t="str">
        <f t="shared" si="11"/>
        <v/>
      </c>
      <c r="C288" s="289" t="str">
        <f t="shared" si="12"/>
        <v/>
      </c>
      <c r="D288" s="112"/>
      <c r="E288" s="419" t="s">
        <v>409</v>
      </c>
      <c r="F288" s="294"/>
      <c r="G288" s="70"/>
      <c r="H288" s="187" t="s">
        <v>263</v>
      </c>
      <c r="I288" s="291">
        <f>SupplychainTier2[[#This Row],[Spend for which Tier 2 method accounts]]</f>
        <v>0</v>
      </c>
      <c r="J288" s="292"/>
      <c r="K288" s="410" t="str">
        <f>IFERROR(SupplychainTier2[[#This Row],[Calculated emissions (kgCO2e) for this spend]]/SupplychainTier2[[#This Row],[Spend for which Tier 2 method accounts]],"")</f>
        <v/>
      </c>
      <c r="L288" s="199"/>
      <c r="M288" s="103"/>
      <c r="N288" s="103"/>
      <c r="O288" s="286">
        <v>0</v>
      </c>
      <c r="P288" s="286">
        <v>0</v>
      </c>
      <c r="Q288" s="286">
        <f>SupplychainTier2[[#This Row],[Calculated emissions (kgCO2e) for this spend]]</f>
        <v>0</v>
      </c>
      <c r="R288" s="286">
        <v>0</v>
      </c>
      <c r="S288" s="286">
        <v>0</v>
      </c>
      <c r="T288" s="290" t="str">
        <f>IF(SupplychainTier2[[#This Row],[Calculated emissions (kgCO2e) for this spend]]="","",(SupplychainTier2[[#This Row],[Calculated emissions (kgCO2e) for this spend]]*(1+SupplychainTier2[[#This Row],[RSD]])))</f>
        <v/>
      </c>
      <c r="U288" s="290" t="str">
        <f>IF(SupplychainTier2[[#This Row],[Calculated emissions (kgCO2e) for this spend]]="","",(SupplychainTier2[[#This Row],[Calculated emissions (kgCO2e) for this spend]]*(1-SupplychainTier2[[#This Row],[RSD]])))</f>
        <v/>
      </c>
      <c r="V288" s="286">
        <v>0</v>
      </c>
    </row>
    <row r="289" spans="2:22" ht="15" thickBot="1" x14ac:dyDescent="0.4">
      <c r="B289" s="418" t="str">
        <f t="shared" si="11"/>
        <v/>
      </c>
      <c r="C289" s="289" t="str">
        <f t="shared" si="12"/>
        <v/>
      </c>
      <c r="D289" s="112"/>
      <c r="E289" s="419" t="s">
        <v>409</v>
      </c>
      <c r="F289" s="294"/>
      <c r="G289" s="70"/>
      <c r="H289" s="187" t="s">
        <v>263</v>
      </c>
      <c r="I289" s="291">
        <f>SupplychainTier2[[#This Row],[Spend for which Tier 2 method accounts]]</f>
        <v>0</v>
      </c>
      <c r="J289" s="292"/>
      <c r="K289" s="410" t="str">
        <f>IFERROR(SupplychainTier2[[#This Row],[Calculated emissions (kgCO2e) for this spend]]/SupplychainTier2[[#This Row],[Spend for which Tier 2 method accounts]],"")</f>
        <v/>
      </c>
      <c r="L289" s="199"/>
      <c r="M289" s="103"/>
      <c r="N289" s="103"/>
      <c r="O289" s="286">
        <v>0</v>
      </c>
      <c r="P289" s="286">
        <v>0</v>
      </c>
      <c r="Q289" s="286">
        <f>SupplychainTier2[[#This Row],[Calculated emissions (kgCO2e) for this spend]]</f>
        <v>0</v>
      </c>
      <c r="R289" s="286">
        <v>0</v>
      </c>
      <c r="S289" s="286">
        <v>0</v>
      </c>
      <c r="T289" s="290" t="str">
        <f>IF(SupplychainTier2[[#This Row],[Calculated emissions (kgCO2e) for this spend]]="","",(SupplychainTier2[[#This Row],[Calculated emissions (kgCO2e) for this spend]]*(1+SupplychainTier2[[#This Row],[RSD]])))</f>
        <v/>
      </c>
      <c r="U289" s="290" t="str">
        <f>IF(SupplychainTier2[[#This Row],[Calculated emissions (kgCO2e) for this spend]]="","",(SupplychainTier2[[#This Row],[Calculated emissions (kgCO2e) for this spend]]*(1-SupplychainTier2[[#This Row],[RSD]])))</f>
        <v/>
      </c>
      <c r="V289" s="286">
        <v>0</v>
      </c>
    </row>
    <row r="290" spans="2:22" ht="15" thickBot="1" x14ac:dyDescent="0.4">
      <c r="B290" s="418" t="str">
        <f t="shared" si="11"/>
        <v/>
      </c>
      <c r="C290" s="289" t="str">
        <f t="shared" si="12"/>
        <v/>
      </c>
      <c r="D290" s="112"/>
      <c r="E290" s="419" t="s">
        <v>409</v>
      </c>
      <c r="F290" s="294"/>
      <c r="G290" s="70"/>
      <c r="H290" s="187" t="s">
        <v>263</v>
      </c>
      <c r="I290" s="410">
        <f>SupplychainTier2[[#This Row],[Spend for which Tier 2 method accounts]]</f>
        <v>0</v>
      </c>
      <c r="J290" s="410" t="s">
        <v>263</v>
      </c>
      <c r="K290" s="410" t="str">
        <f>IFERROR(SupplychainTier2[[#This Row],[Calculated emissions (kgCO2e) for this spend]]/SupplychainTier2[[#This Row],[Spend for which Tier 2 method accounts]],"")</f>
        <v/>
      </c>
      <c r="L290" s="199"/>
      <c r="M290" s="103"/>
      <c r="N290" s="103"/>
      <c r="O290" s="286">
        <v>0</v>
      </c>
      <c r="P290" s="286">
        <v>0</v>
      </c>
      <c r="Q290" s="286">
        <f>SupplychainTier2[[#This Row],[Calculated emissions (kgCO2e) for this spend]]</f>
        <v>0</v>
      </c>
      <c r="R290" s="286">
        <v>0</v>
      </c>
      <c r="S290" s="286">
        <v>0</v>
      </c>
      <c r="T290" s="290" t="str">
        <f>IF(SupplychainTier2[[#This Row],[Calculated emissions (kgCO2e) for this spend]]="","",(SupplychainTier2[[#This Row],[Calculated emissions (kgCO2e) for this spend]]*(1+SupplychainTier2[[#This Row],[RSD]])))</f>
        <v/>
      </c>
      <c r="U290" s="290" t="str">
        <f>IF(SupplychainTier2[[#This Row],[Calculated emissions (kgCO2e) for this spend]]="","",(SupplychainTier2[[#This Row],[Calculated emissions (kgCO2e) for this spend]]*(1-SupplychainTier2[[#This Row],[RSD]])))</f>
        <v/>
      </c>
      <c r="V290" s="286">
        <v>0</v>
      </c>
    </row>
    <row r="291" spans="2:22" ht="15" thickBot="1" x14ac:dyDescent="0.4">
      <c r="B291" s="418" t="str">
        <f t="shared" si="11"/>
        <v/>
      </c>
      <c r="C291" s="289" t="str">
        <f t="shared" si="12"/>
        <v/>
      </c>
      <c r="D291" s="112"/>
      <c r="E291" s="419" t="s">
        <v>409</v>
      </c>
      <c r="F291" s="294"/>
      <c r="G291" s="70"/>
      <c r="H291" s="187" t="s">
        <v>263</v>
      </c>
      <c r="I291" s="410">
        <f>SupplychainTier2[[#This Row],[Spend for which Tier 2 method accounts]]</f>
        <v>0</v>
      </c>
      <c r="J291" s="410" t="s">
        <v>263</v>
      </c>
      <c r="K291" s="410" t="str">
        <f>IFERROR(SupplychainTier2[[#This Row],[Calculated emissions (kgCO2e) for this spend]]/SupplychainTier2[[#This Row],[Spend for which Tier 2 method accounts]],"")</f>
        <v/>
      </c>
      <c r="L291" s="199"/>
      <c r="M291" s="103"/>
      <c r="N291" s="103"/>
      <c r="O291" s="286">
        <v>0</v>
      </c>
      <c r="P291" s="286">
        <v>0</v>
      </c>
      <c r="Q291" s="286">
        <f>SupplychainTier2[[#This Row],[Calculated emissions (kgCO2e) for this spend]]</f>
        <v>0</v>
      </c>
      <c r="R291" s="286">
        <v>0</v>
      </c>
      <c r="S291" s="286">
        <v>0</v>
      </c>
      <c r="T291" s="290" t="str">
        <f>IF(SupplychainTier2[[#This Row],[Calculated emissions (kgCO2e) for this spend]]="","",(SupplychainTier2[[#This Row],[Calculated emissions (kgCO2e) for this spend]]*(1+SupplychainTier2[[#This Row],[RSD]])))</f>
        <v/>
      </c>
      <c r="U291" s="290" t="str">
        <f>IF(SupplychainTier2[[#This Row],[Calculated emissions (kgCO2e) for this spend]]="","",(SupplychainTier2[[#This Row],[Calculated emissions (kgCO2e) for this spend]]*(1-SupplychainTier2[[#This Row],[RSD]])))</f>
        <v/>
      </c>
      <c r="V291" s="286">
        <v>0</v>
      </c>
    </row>
    <row r="292" spans="2:22" ht="15" thickBot="1" x14ac:dyDescent="0.4">
      <c r="B292" s="418" t="str">
        <f t="shared" si="11"/>
        <v/>
      </c>
      <c r="C292" s="289" t="str">
        <f t="shared" si="12"/>
        <v/>
      </c>
      <c r="D292" s="112"/>
      <c r="E292" s="419" t="s">
        <v>409</v>
      </c>
      <c r="F292" s="294"/>
      <c r="G292" s="70"/>
      <c r="H292" s="187" t="s">
        <v>263</v>
      </c>
      <c r="I292" s="410">
        <f>SupplychainTier2[[#This Row],[Spend for which Tier 2 method accounts]]</f>
        <v>0</v>
      </c>
      <c r="J292" s="410" t="s">
        <v>263</v>
      </c>
      <c r="K292" s="410" t="str">
        <f>IFERROR(SupplychainTier2[[#This Row],[Calculated emissions (kgCO2e) for this spend]]/SupplychainTier2[[#This Row],[Spend for which Tier 2 method accounts]],"")</f>
        <v/>
      </c>
      <c r="L292" s="199"/>
      <c r="M292" s="103"/>
      <c r="N292" s="103"/>
      <c r="O292" s="286">
        <v>0</v>
      </c>
      <c r="P292" s="286">
        <v>0</v>
      </c>
      <c r="Q292" s="286">
        <f>SupplychainTier2[[#This Row],[Calculated emissions (kgCO2e) for this spend]]</f>
        <v>0</v>
      </c>
      <c r="R292" s="286">
        <v>0</v>
      </c>
      <c r="S292" s="286">
        <v>0</v>
      </c>
      <c r="T292" s="290" t="str">
        <f>IF(SupplychainTier2[[#This Row],[Calculated emissions (kgCO2e) for this spend]]="","",(SupplychainTier2[[#This Row],[Calculated emissions (kgCO2e) for this spend]]*(1+SupplychainTier2[[#This Row],[RSD]])))</f>
        <v/>
      </c>
      <c r="U292" s="290" t="str">
        <f>IF(SupplychainTier2[[#This Row],[Calculated emissions (kgCO2e) for this spend]]="","",(SupplychainTier2[[#This Row],[Calculated emissions (kgCO2e) for this spend]]*(1-SupplychainTier2[[#This Row],[RSD]])))</f>
        <v/>
      </c>
      <c r="V292" s="286">
        <v>0</v>
      </c>
    </row>
    <row r="293" spans="2:22" ht="15" thickBot="1" x14ac:dyDescent="0.4">
      <c r="B293" s="418" t="str">
        <f t="shared" si="11"/>
        <v/>
      </c>
      <c r="C293" s="289" t="str">
        <f t="shared" si="12"/>
        <v/>
      </c>
      <c r="D293" s="112"/>
      <c r="E293" s="419" t="s">
        <v>409</v>
      </c>
      <c r="F293" s="294"/>
      <c r="G293" s="70"/>
      <c r="H293" s="187" t="s">
        <v>263</v>
      </c>
      <c r="I293" s="410">
        <f>SupplychainTier2[[#This Row],[Spend for which Tier 2 method accounts]]</f>
        <v>0</v>
      </c>
      <c r="J293" s="410" t="s">
        <v>263</v>
      </c>
      <c r="K293" s="410" t="str">
        <f>IFERROR(SupplychainTier2[[#This Row],[Calculated emissions (kgCO2e) for this spend]]/SupplychainTier2[[#This Row],[Spend for which Tier 2 method accounts]],"")</f>
        <v/>
      </c>
      <c r="L293" s="199"/>
      <c r="M293" s="103"/>
      <c r="N293" s="103"/>
      <c r="O293" s="286">
        <v>0</v>
      </c>
      <c r="P293" s="286">
        <v>0</v>
      </c>
      <c r="Q293" s="286">
        <f>SupplychainTier2[[#This Row],[Calculated emissions (kgCO2e) for this spend]]</f>
        <v>0</v>
      </c>
      <c r="R293" s="286">
        <v>0</v>
      </c>
      <c r="S293" s="286">
        <v>0</v>
      </c>
      <c r="T293" s="290" t="str">
        <f>IF(SupplychainTier2[[#This Row],[Calculated emissions (kgCO2e) for this spend]]="","",(SupplychainTier2[[#This Row],[Calculated emissions (kgCO2e) for this spend]]*(1+SupplychainTier2[[#This Row],[RSD]])))</f>
        <v/>
      </c>
      <c r="U293" s="290" t="str">
        <f>IF(SupplychainTier2[[#This Row],[Calculated emissions (kgCO2e) for this spend]]="","",(SupplychainTier2[[#This Row],[Calculated emissions (kgCO2e) for this spend]]*(1-SupplychainTier2[[#This Row],[RSD]])))</f>
        <v/>
      </c>
      <c r="V293" s="286">
        <v>0</v>
      </c>
    </row>
    <row r="294" spans="2:22" ht="15" thickBot="1" x14ac:dyDescent="0.4">
      <c r="B294" s="418" t="str">
        <f t="shared" si="11"/>
        <v/>
      </c>
      <c r="C294" s="289" t="str">
        <f t="shared" si="12"/>
        <v/>
      </c>
      <c r="D294" s="112"/>
      <c r="E294" s="419" t="s">
        <v>409</v>
      </c>
      <c r="F294" s="294"/>
      <c r="G294" s="70"/>
      <c r="H294" s="187" t="s">
        <v>263</v>
      </c>
      <c r="I294" s="410">
        <f>SupplychainTier2[[#This Row],[Spend for which Tier 2 method accounts]]</f>
        <v>0</v>
      </c>
      <c r="J294" s="410" t="s">
        <v>263</v>
      </c>
      <c r="K294" s="410" t="str">
        <f>IFERROR(SupplychainTier2[[#This Row],[Calculated emissions (kgCO2e) for this spend]]/SupplychainTier2[[#This Row],[Spend for which Tier 2 method accounts]],"")</f>
        <v/>
      </c>
      <c r="L294" s="199"/>
      <c r="M294" s="103"/>
      <c r="N294" s="103"/>
      <c r="O294" s="286">
        <v>0</v>
      </c>
      <c r="P294" s="286">
        <v>0</v>
      </c>
      <c r="Q294" s="286">
        <f>SupplychainTier2[[#This Row],[Calculated emissions (kgCO2e) for this spend]]</f>
        <v>0</v>
      </c>
      <c r="R294" s="286">
        <v>0</v>
      </c>
      <c r="S294" s="286">
        <v>0</v>
      </c>
      <c r="T294" s="290" t="str">
        <f>IF(SupplychainTier2[[#This Row],[Calculated emissions (kgCO2e) for this spend]]="","",(SupplychainTier2[[#This Row],[Calculated emissions (kgCO2e) for this spend]]*(1+SupplychainTier2[[#This Row],[RSD]])))</f>
        <v/>
      </c>
      <c r="U294" s="290" t="str">
        <f>IF(SupplychainTier2[[#This Row],[Calculated emissions (kgCO2e) for this spend]]="","",(SupplychainTier2[[#This Row],[Calculated emissions (kgCO2e) for this spend]]*(1-SupplychainTier2[[#This Row],[RSD]])))</f>
        <v/>
      </c>
      <c r="V294" s="286">
        <v>0</v>
      </c>
    </row>
    <row r="295" spans="2:22" ht="15" thickBot="1" x14ac:dyDescent="0.4">
      <c r="B295" s="418" t="str">
        <f t="shared" si="11"/>
        <v/>
      </c>
      <c r="C295" s="289" t="str">
        <f t="shared" si="12"/>
        <v/>
      </c>
      <c r="D295" s="112"/>
      <c r="E295" s="419" t="s">
        <v>409</v>
      </c>
      <c r="F295" s="294"/>
      <c r="G295" s="70"/>
      <c r="H295" s="187" t="s">
        <v>263</v>
      </c>
      <c r="I295" s="410">
        <f>SupplychainTier2[[#This Row],[Spend for which Tier 2 method accounts]]</f>
        <v>0</v>
      </c>
      <c r="J295" s="410" t="s">
        <v>263</v>
      </c>
      <c r="K295" s="410" t="str">
        <f>IFERROR(SupplychainTier2[[#This Row],[Calculated emissions (kgCO2e) for this spend]]/SupplychainTier2[[#This Row],[Spend for which Tier 2 method accounts]],"")</f>
        <v/>
      </c>
      <c r="L295" s="199"/>
      <c r="M295" s="103"/>
      <c r="N295" s="103"/>
      <c r="O295" s="286">
        <v>0</v>
      </c>
      <c r="P295" s="286">
        <v>0</v>
      </c>
      <c r="Q295" s="286">
        <f>SupplychainTier2[[#This Row],[Calculated emissions (kgCO2e) for this spend]]</f>
        <v>0</v>
      </c>
      <c r="R295" s="286">
        <v>0</v>
      </c>
      <c r="S295" s="286">
        <v>0</v>
      </c>
      <c r="T295" s="290" t="str">
        <f>IF(SupplychainTier2[[#This Row],[Calculated emissions (kgCO2e) for this spend]]="","",(SupplychainTier2[[#This Row],[Calculated emissions (kgCO2e) for this spend]]*(1+SupplychainTier2[[#This Row],[RSD]])))</f>
        <v/>
      </c>
      <c r="U295" s="290" t="str">
        <f>IF(SupplychainTier2[[#This Row],[Calculated emissions (kgCO2e) for this spend]]="","",(SupplychainTier2[[#This Row],[Calculated emissions (kgCO2e) for this spend]]*(1-SupplychainTier2[[#This Row],[RSD]])))</f>
        <v/>
      </c>
      <c r="V295" s="286">
        <v>0</v>
      </c>
    </row>
    <row r="296" spans="2:22" ht="15" thickBot="1" x14ac:dyDescent="0.4">
      <c r="B296" s="418" t="str">
        <f t="shared" si="11"/>
        <v/>
      </c>
      <c r="C296" s="289" t="str">
        <f t="shared" si="12"/>
        <v/>
      </c>
      <c r="D296" s="112"/>
      <c r="E296" s="419" t="s">
        <v>409</v>
      </c>
      <c r="F296" s="294"/>
      <c r="G296" s="70"/>
      <c r="H296" s="187" t="s">
        <v>263</v>
      </c>
      <c r="I296" s="410">
        <f>SupplychainTier2[[#This Row],[Spend for which Tier 2 method accounts]]</f>
        <v>0</v>
      </c>
      <c r="J296" s="410" t="s">
        <v>263</v>
      </c>
      <c r="K296" s="410" t="str">
        <f>IFERROR(SupplychainTier2[[#This Row],[Calculated emissions (kgCO2e) for this spend]]/SupplychainTier2[[#This Row],[Spend for which Tier 2 method accounts]],"")</f>
        <v/>
      </c>
      <c r="L296" s="199"/>
      <c r="M296" s="103"/>
      <c r="N296" s="103"/>
      <c r="O296" s="286">
        <v>0</v>
      </c>
      <c r="P296" s="286">
        <v>0</v>
      </c>
      <c r="Q296" s="286">
        <f>SupplychainTier2[[#This Row],[Calculated emissions (kgCO2e) for this spend]]</f>
        <v>0</v>
      </c>
      <c r="R296" s="286">
        <v>0</v>
      </c>
      <c r="S296" s="286">
        <v>0</v>
      </c>
      <c r="T296" s="290" t="str">
        <f>IF(SupplychainTier2[[#This Row],[Calculated emissions (kgCO2e) for this spend]]="","",(SupplychainTier2[[#This Row],[Calculated emissions (kgCO2e) for this spend]]*(1+SupplychainTier2[[#This Row],[RSD]])))</f>
        <v/>
      </c>
      <c r="U296" s="290" t="str">
        <f>IF(SupplychainTier2[[#This Row],[Calculated emissions (kgCO2e) for this spend]]="","",(SupplychainTier2[[#This Row],[Calculated emissions (kgCO2e) for this spend]]*(1-SupplychainTier2[[#This Row],[RSD]])))</f>
        <v/>
      </c>
      <c r="V296" s="286">
        <v>0</v>
      </c>
    </row>
    <row r="297" spans="2:22" ht="15" thickBot="1" x14ac:dyDescent="0.4">
      <c r="B297" s="418" t="str">
        <f t="shared" si="11"/>
        <v/>
      </c>
      <c r="C297" s="289" t="str">
        <f t="shared" si="12"/>
        <v/>
      </c>
      <c r="D297" s="112"/>
      <c r="E297" s="419" t="s">
        <v>409</v>
      </c>
      <c r="F297" s="294"/>
      <c r="G297" s="70"/>
      <c r="H297" s="187" t="s">
        <v>263</v>
      </c>
      <c r="I297" s="410">
        <f>SupplychainTier2[[#This Row],[Spend for which Tier 2 method accounts]]</f>
        <v>0</v>
      </c>
      <c r="J297" s="410" t="s">
        <v>263</v>
      </c>
      <c r="K297" s="410" t="str">
        <f>IFERROR(SupplychainTier2[[#This Row],[Calculated emissions (kgCO2e) for this spend]]/SupplychainTier2[[#This Row],[Spend for which Tier 2 method accounts]],"")</f>
        <v/>
      </c>
      <c r="L297" s="199"/>
      <c r="M297" s="103"/>
      <c r="N297" s="103"/>
      <c r="O297" s="286">
        <v>0</v>
      </c>
      <c r="P297" s="286">
        <v>0</v>
      </c>
      <c r="Q297" s="286">
        <f>SupplychainTier2[[#This Row],[Calculated emissions (kgCO2e) for this spend]]</f>
        <v>0</v>
      </c>
      <c r="R297" s="286">
        <v>0</v>
      </c>
      <c r="S297" s="286">
        <v>0</v>
      </c>
      <c r="T297" s="290" t="str">
        <f>IF(SupplychainTier2[[#This Row],[Calculated emissions (kgCO2e) for this spend]]="","",(SupplychainTier2[[#This Row],[Calculated emissions (kgCO2e) for this spend]]*(1+SupplychainTier2[[#This Row],[RSD]])))</f>
        <v/>
      </c>
      <c r="U297" s="290" t="str">
        <f>IF(SupplychainTier2[[#This Row],[Calculated emissions (kgCO2e) for this spend]]="","",(SupplychainTier2[[#This Row],[Calculated emissions (kgCO2e) for this spend]]*(1-SupplychainTier2[[#This Row],[RSD]])))</f>
        <v/>
      </c>
      <c r="V297" s="286">
        <v>0</v>
      </c>
    </row>
    <row r="298" spans="2:22" ht="15" thickBot="1" x14ac:dyDescent="0.4">
      <c r="B298" s="418" t="str">
        <f t="shared" si="11"/>
        <v/>
      </c>
      <c r="C298" s="289" t="str">
        <f t="shared" si="12"/>
        <v/>
      </c>
      <c r="D298" s="112"/>
      <c r="E298" s="419" t="s">
        <v>409</v>
      </c>
      <c r="F298" s="294"/>
      <c r="G298" s="70"/>
      <c r="H298" s="187" t="s">
        <v>263</v>
      </c>
      <c r="I298" s="410">
        <f>SupplychainTier2[[#This Row],[Spend for which Tier 2 method accounts]]</f>
        <v>0</v>
      </c>
      <c r="J298" s="410" t="s">
        <v>263</v>
      </c>
      <c r="K298" s="410" t="str">
        <f>IFERROR(SupplychainTier2[[#This Row],[Calculated emissions (kgCO2e) for this spend]]/SupplychainTier2[[#This Row],[Spend for which Tier 2 method accounts]],"")</f>
        <v/>
      </c>
      <c r="L298" s="199"/>
      <c r="M298" s="103"/>
      <c r="N298" s="103"/>
      <c r="O298" s="286">
        <v>0</v>
      </c>
      <c r="P298" s="286">
        <v>0</v>
      </c>
      <c r="Q298" s="286">
        <f>SupplychainTier2[[#This Row],[Calculated emissions (kgCO2e) for this spend]]</f>
        <v>0</v>
      </c>
      <c r="R298" s="286">
        <v>0</v>
      </c>
      <c r="S298" s="286">
        <v>0</v>
      </c>
      <c r="T298" s="290" t="str">
        <f>IF(SupplychainTier2[[#This Row],[Calculated emissions (kgCO2e) for this spend]]="","",(SupplychainTier2[[#This Row],[Calculated emissions (kgCO2e) for this spend]]*(1+SupplychainTier2[[#This Row],[RSD]])))</f>
        <v/>
      </c>
      <c r="U298" s="290" t="str">
        <f>IF(SupplychainTier2[[#This Row],[Calculated emissions (kgCO2e) for this spend]]="","",(SupplychainTier2[[#This Row],[Calculated emissions (kgCO2e) for this spend]]*(1-SupplychainTier2[[#This Row],[RSD]])))</f>
        <v/>
      </c>
      <c r="V298" s="286">
        <v>0</v>
      </c>
    </row>
    <row r="299" spans="2:22" ht="15" thickBot="1" x14ac:dyDescent="0.4">
      <c r="B299" s="418" t="str">
        <f t="shared" si="11"/>
        <v/>
      </c>
      <c r="C299" s="289" t="str">
        <f t="shared" si="12"/>
        <v/>
      </c>
      <c r="D299" s="112"/>
      <c r="E299" s="419" t="s">
        <v>409</v>
      </c>
      <c r="F299" s="294"/>
      <c r="G299" s="70"/>
      <c r="H299" s="187" t="s">
        <v>263</v>
      </c>
      <c r="I299" s="410">
        <f>SupplychainTier2[[#This Row],[Spend for which Tier 2 method accounts]]</f>
        <v>0</v>
      </c>
      <c r="J299" s="410" t="s">
        <v>263</v>
      </c>
      <c r="K299" s="410" t="str">
        <f>IFERROR(SupplychainTier2[[#This Row],[Calculated emissions (kgCO2e) for this spend]]/SupplychainTier2[[#This Row],[Spend for which Tier 2 method accounts]],"")</f>
        <v/>
      </c>
      <c r="L299" s="199"/>
      <c r="M299" s="103"/>
      <c r="N299" s="103"/>
      <c r="O299" s="286">
        <v>0</v>
      </c>
      <c r="P299" s="286">
        <v>0</v>
      </c>
      <c r="Q299" s="286">
        <f>SupplychainTier2[[#This Row],[Calculated emissions (kgCO2e) for this spend]]</f>
        <v>0</v>
      </c>
      <c r="R299" s="286">
        <v>0</v>
      </c>
      <c r="S299" s="286">
        <v>0</v>
      </c>
      <c r="T299" s="290" t="str">
        <f>IF(SupplychainTier2[[#This Row],[Calculated emissions (kgCO2e) for this spend]]="","",(SupplychainTier2[[#This Row],[Calculated emissions (kgCO2e) for this spend]]*(1+SupplychainTier2[[#This Row],[RSD]])))</f>
        <v/>
      </c>
      <c r="U299" s="290" t="str">
        <f>IF(SupplychainTier2[[#This Row],[Calculated emissions (kgCO2e) for this spend]]="","",(SupplychainTier2[[#This Row],[Calculated emissions (kgCO2e) for this spend]]*(1-SupplychainTier2[[#This Row],[RSD]])))</f>
        <v/>
      </c>
      <c r="V299" s="286">
        <v>0</v>
      </c>
    </row>
    <row r="300" spans="2:22" ht="15" thickBot="1" x14ac:dyDescent="0.4">
      <c r="B300" s="418" t="str">
        <f t="shared" si="11"/>
        <v/>
      </c>
      <c r="C300" s="289" t="str">
        <f t="shared" si="12"/>
        <v/>
      </c>
      <c r="D300" s="112"/>
      <c r="E300" s="419" t="s">
        <v>409</v>
      </c>
      <c r="F300" s="294"/>
      <c r="G300" s="70"/>
      <c r="H300" s="187" t="s">
        <v>263</v>
      </c>
      <c r="I300" s="410">
        <f>SupplychainTier2[[#This Row],[Spend for which Tier 2 method accounts]]</f>
        <v>0</v>
      </c>
      <c r="J300" s="410" t="s">
        <v>263</v>
      </c>
      <c r="K300" s="410" t="str">
        <f>IFERROR(SupplychainTier2[[#This Row],[Calculated emissions (kgCO2e) for this spend]]/SupplychainTier2[[#This Row],[Spend for which Tier 2 method accounts]],"")</f>
        <v/>
      </c>
      <c r="L300" s="199"/>
      <c r="M300" s="103"/>
      <c r="N300" s="103"/>
      <c r="O300" s="286">
        <v>0</v>
      </c>
      <c r="P300" s="286">
        <v>0</v>
      </c>
      <c r="Q300" s="286">
        <f>SupplychainTier2[[#This Row],[Calculated emissions (kgCO2e) for this spend]]</f>
        <v>0</v>
      </c>
      <c r="R300" s="286">
        <v>0</v>
      </c>
      <c r="S300" s="286">
        <v>0</v>
      </c>
      <c r="T300" s="290" t="str">
        <f>IF(SupplychainTier2[[#This Row],[Calculated emissions (kgCO2e) for this spend]]="","",(SupplychainTier2[[#This Row],[Calculated emissions (kgCO2e) for this spend]]*(1+SupplychainTier2[[#This Row],[RSD]])))</f>
        <v/>
      </c>
      <c r="U300" s="290" t="str">
        <f>IF(SupplychainTier2[[#This Row],[Calculated emissions (kgCO2e) for this spend]]="","",(SupplychainTier2[[#This Row],[Calculated emissions (kgCO2e) for this spend]]*(1-SupplychainTier2[[#This Row],[RSD]])))</f>
        <v/>
      </c>
      <c r="V300" s="286">
        <v>0</v>
      </c>
    </row>
    <row r="301" spans="2:22" ht="15" thickBot="1" x14ac:dyDescent="0.4">
      <c r="B301" s="418" t="str">
        <f t="shared" si="11"/>
        <v/>
      </c>
      <c r="C301" s="289" t="str">
        <f t="shared" si="12"/>
        <v/>
      </c>
      <c r="D301" s="112"/>
      <c r="E301" s="419" t="s">
        <v>409</v>
      </c>
      <c r="F301" s="294"/>
      <c r="G301" s="70"/>
      <c r="H301" s="187" t="s">
        <v>263</v>
      </c>
      <c r="I301" s="410">
        <f>SupplychainTier2[[#This Row],[Spend for which Tier 2 method accounts]]</f>
        <v>0</v>
      </c>
      <c r="J301" s="410" t="s">
        <v>263</v>
      </c>
      <c r="K301" s="410" t="str">
        <f>IFERROR(SupplychainTier2[[#This Row],[Calculated emissions (kgCO2e) for this spend]]/SupplychainTier2[[#This Row],[Spend for which Tier 2 method accounts]],"")</f>
        <v/>
      </c>
      <c r="L301" s="199"/>
      <c r="M301" s="103"/>
      <c r="N301" s="103"/>
      <c r="O301" s="286">
        <v>0</v>
      </c>
      <c r="P301" s="286">
        <v>0</v>
      </c>
      <c r="Q301" s="286">
        <f>SupplychainTier2[[#This Row],[Calculated emissions (kgCO2e) for this spend]]</f>
        <v>0</v>
      </c>
      <c r="R301" s="286">
        <v>0</v>
      </c>
      <c r="S301" s="286">
        <v>0</v>
      </c>
      <c r="T301" s="290" t="str">
        <f>IF(SupplychainTier2[[#This Row],[Calculated emissions (kgCO2e) for this spend]]="","",(SupplychainTier2[[#This Row],[Calculated emissions (kgCO2e) for this spend]]*(1+SupplychainTier2[[#This Row],[RSD]])))</f>
        <v/>
      </c>
      <c r="U301" s="290" t="str">
        <f>IF(SupplychainTier2[[#This Row],[Calculated emissions (kgCO2e) for this spend]]="","",(SupplychainTier2[[#This Row],[Calculated emissions (kgCO2e) for this spend]]*(1-SupplychainTier2[[#This Row],[RSD]])))</f>
        <v/>
      </c>
      <c r="V301" s="286">
        <v>0</v>
      </c>
    </row>
    <row r="302" spans="2:22" ht="15" thickBot="1" x14ac:dyDescent="0.4">
      <c r="B302" s="418" t="str">
        <f t="shared" si="11"/>
        <v/>
      </c>
      <c r="C302" s="289" t="str">
        <f t="shared" si="12"/>
        <v/>
      </c>
      <c r="D302" s="112"/>
      <c r="E302" s="419" t="s">
        <v>409</v>
      </c>
      <c r="F302" s="294"/>
      <c r="G302" s="70"/>
      <c r="H302" s="187" t="s">
        <v>263</v>
      </c>
      <c r="I302" s="410">
        <f>SupplychainTier2[[#This Row],[Spend for which Tier 2 method accounts]]</f>
        <v>0</v>
      </c>
      <c r="J302" s="410" t="s">
        <v>263</v>
      </c>
      <c r="K302" s="410" t="str">
        <f>IFERROR(SupplychainTier2[[#This Row],[Calculated emissions (kgCO2e) for this spend]]/SupplychainTier2[[#This Row],[Spend for which Tier 2 method accounts]],"")</f>
        <v/>
      </c>
      <c r="L302" s="199"/>
      <c r="M302" s="103"/>
      <c r="N302" s="103"/>
      <c r="O302" s="286">
        <v>0</v>
      </c>
      <c r="P302" s="286">
        <v>0</v>
      </c>
      <c r="Q302" s="286">
        <f>SupplychainTier2[[#This Row],[Calculated emissions (kgCO2e) for this spend]]</f>
        <v>0</v>
      </c>
      <c r="R302" s="286">
        <v>0</v>
      </c>
      <c r="S302" s="286">
        <v>0</v>
      </c>
      <c r="T302" s="290" t="str">
        <f>IF(SupplychainTier2[[#This Row],[Calculated emissions (kgCO2e) for this spend]]="","",(SupplychainTier2[[#This Row],[Calculated emissions (kgCO2e) for this spend]]*(1+SupplychainTier2[[#This Row],[RSD]])))</f>
        <v/>
      </c>
      <c r="U302" s="290" t="str">
        <f>IF(SupplychainTier2[[#This Row],[Calculated emissions (kgCO2e) for this spend]]="","",(SupplychainTier2[[#This Row],[Calculated emissions (kgCO2e) for this spend]]*(1-SupplychainTier2[[#This Row],[RSD]])))</f>
        <v/>
      </c>
      <c r="V302" s="286">
        <v>0</v>
      </c>
    </row>
    <row r="303" spans="2:22" ht="15" thickBot="1" x14ac:dyDescent="0.4">
      <c r="B303" s="418" t="str">
        <f t="shared" si="11"/>
        <v/>
      </c>
      <c r="C303" s="289" t="str">
        <f t="shared" si="12"/>
        <v/>
      </c>
      <c r="D303" s="112"/>
      <c r="E303" s="419" t="s">
        <v>409</v>
      </c>
      <c r="F303" s="294"/>
      <c r="G303" s="70"/>
      <c r="H303" s="187" t="s">
        <v>263</v>
      </c>
      <c r="I303" s="410">
        <f>SupplychainTier2[[#This Row],[Spend for which Tier 2 method accounts]]</f>
        <v>0</v>
      </c>
      <c r="J303" s="410" t="s">
        <v>263</v>
      </c>
      <c r="K303" s="410" t="str">
        <f>IFERROR(SupplychainTier2[[#This Row],[Calculated emissions (kgCO2e) for this spend]]/SupplychainTier2[[#This Row],[Spend for which Tier 2 method accounts]],"")</f>
        <v/>
      </c>
      <c r="L303" s="199"/>
      <c r="M303" s="103"/>
      <c r="N303" s="103"/>
      <c r="O303" s="286">
        <v>0</v>
      </c>
      <c r="P303" s="286">
        <v>0</v>
      </c>
      <c r="Q303" s="286">
        <f>SupplychainTier2[[#This Row],[Calculated emissions (kgCO2e) for this spend]]</f>
        <v>0</v>
      </c>
      <c r="R303" s="286">
        <v>0</v>
      </c>
      <c r="S303" s="286">
        <v>0</v>
      </c>
      <c r="T303" s="290" t="str">
        <f>IF(SupplychainTier2[[#This Row],[Calculated emissions (kgCO2e) for this spend]]="","",(SupplychainTier2[[#This Row],[Calculated emissions (kgCO2e) for this spend]]*(1+SupplychainTier2[[#This Row],[RSD]])))</f>
        <v/>
      </c>
      <c r="U303" s="290" t="str">
        <f>IF(SupplychainTier2[[#This Row],[Calculated emissions (kgCO2e) for this spend]]="","",(SupplychainTier2[[#This Row],[Calculated emissions (kgCO2e) for this spend]]*(1-SupplychainTier2[[#This Row],[RSD]])))</f>
        <v/>
      </c>
      <c r="V303" s="286">
        <v>0</v>
      </c>
    </row>
    <row r="304" spans="2:22" ht="15" thickBot="1" x14ac:dyDescent="0.4">
      <c r="B304" s="418" t="str">
        <f t="shared" si="11"/>
        <v/>
      </c>
      <c r="C304" s="289" t="str">
        <f t="shared" si="12"/>
        <v/>
      </c>
      <c r="D304" s="112"/>
      <c r="E304" s="419" t="s">
        <v>409</v>
      </c>
      <c r="F304" s="294"/>
      <c r="G304" s="70"/>
      <c r="H304" s="187" t="s">
        <v>263</v>
      </c>
      <c r="I304" s="410">
        <f>SupplychainTier2[[#This Row],[Spend for which Tier 2 method accounts]]</f>
        <v>0</v>
      </c>
      <c r="J304" s="410" t="s">
        <v>263</v>
      </c>
      <c r="K304" s="410" t="str">
        <f>IFERROR(SupplychainTier2[[#This Row],[Calculated emissions (kgCO2e) for this spend]]/SupplychainTier2[[#This Row],[Spend for which Tier 2 method accounts]],"")</f>
        <v/>
      </c>
      <c r="L304" s="199"/>
      <c r="M304" s="103"/>
      <c r="N304" s="103"/>
      <c r="O304" s="286">
        <v>0</v>
      </c>
      <c r="P304" s="286">
        <v>0</v>
      </c>
      <c r="Q304" s="286">
        <f>SupplychainTier2[[#This Row],[Calculated emissions (kgCO2e) for this spend]]</f>
        <v>0</v>
      </c>
      <c r="R304" s="286">
        <v>0</v>
      </c>
      <c r="S304" s="286">
        <v>0</v>
      </c>
      <c r="T304" s="290" t="str">
        <f>IF(SupplychainTier2[[#This Row],[Calculated emissions (kgCO2e) for this spend]]="","",(SupplychainTier2[[#This Row],[Calculated emissions (kgCO2e) for this spend]]*(1+SupplychainTier2[[#This Row],[RSD]])))</f>
        <v/>
      </c>
      <c r="U304" s="290" t="str">
        <f>IF(SupplychainTier2[[#This Row],[Calculated emissions (kgCO2e) for this spend]]="","",(SupplychainTier2[[#This Row],[Calculated emissions (kgCO2e) for this spend]]*(1-SupplychainTier2[[#This Row],[RSD]])))</f>
        <v/>
      </c>
      <c r="V304" s="286">
        <v>0</v>
      </c>
    </row>
    <row r="305" spans="2:22" ht="15" thickBot="1" x14ac:dyDescent="0.4">
      <c r="B305" s="418" t="str">
        <f t="shared" si="11"/>
        <v/>
      </c>
      <c r="C305" s="289" t="str">
        <f t="shared" si="12"/>
        <v/>
      </c>
      <c r="D305" s="112"/>
      <c r="E305" s="419" t="s">
        <v>409</v>
      </c>
      <c r="F305" s="294"/>
      <c r="G305" s="70"/>
      <c r="H305" s="187" t="s">
        <v>263</v>
      </c>
      <c r="I305" s="410">
        <f>SupplychainTier2[[#This Row],[Spend for which Tier 2 method accounts]]</f>
        <v>0</v>
      </c>
      <c r="J305" s="410" t="s">
        <v>263</v>
      </c>
      <c r="K305" s="410" t="str">
        <f>IFERROR(SupplychainTier2[[#This Row],[Calculated emissions (kgCO2e) for this spend]]/SupplychainTier2[[#This Row],[Spend for which Tier 2 method accounts]],"")</f>
        <v/>
      </c>
      <c r="L305" s="199"/>
      <c r="M305" s="103"/>
      <c r="N305" s="103"/>
      <c r="O305" s="286">
        <v>0</v>
      </c>
      <c r="P305" s="286">
        <v>0</v>
      </c>
      <c r="Q305" s="286">
        <f>SupplychainTier2[[#This Row],[Calculated emissions (kgCO2e) for this spend]]</f>
        <v>0</v>
      </c>
      <c r="R305" s="286">
        <v>0</v>
      </c>
      <c r="S305" s="286">
        <v>0</v>
      </c>
      <c r="T305" s="290" t="str">
        <f>IF(SupplychainTier2[[#This Row],[Calculated emissions (kgCO2e) for this spend]]="","",(SupplychainTier2[[#This Row],[Calculated emissions (kgCO2e) for this spend]]*(1+SupplychainTier2[[#This Row],[RSD]])))</f>
        <v/>
      </c>
      <c r="U305" s="290" t="str">
        <f>IF(SupplychainTier2[[#This Row],[Calculated emissions (kgCO2e) for this spend]]="","",(SupplychainTier2[[#This Row],[Calculated emissions (kgCO2e) for this spend]]*(1-SupplychainTier2[[#This Row],[RSD]])))</f>
        <v/>
      </c>
      <c r="V305" s="286">
        <v>0</v>
      </c>
    </row>
    <row r="306" spans="2:22" ht="15" thickBot="1" x14ac:dyDescent="0.4">
      <c r="B306" s="418" t="str">
        <f t="shared" si="11"/>
        <v/>
      </c>
      <c r="C306" s="289" t="str">
        <f t="shared" si="12"/>
        <v/>
      </c>
      <c r="D306" s="112"/>
      <c r="E306" s="419" t="s">
        <v>409</v>
      </c>
      <c r="F306" s="294"/>
      <c r="G306" s="70"/>
      <c r="H306" s="187" t="s">
        <v>263</v>
      </c>
      <c r="I306" s="410">
        <f>SupplychainTier2[[#This Row],[Spend for which Tier 2 method accounts]]</f>
        <v>0</v>
      </c>
      <c r="J306" s="410" t="s">
        <v>263</v>
      </c>
      <c r="K306" s="410" t="str">
        <f>IFERROR(SupplychainTier2[[#This Row],[Calculated emissions (kgCO2e) for this spend]]/SupplychainTier2[[#This Row],[Spend for which Tier 2 method accounts]],"")</f>
        <v/>
      </c>
      <c r="L306" s="199"/>
      <c r="M306" s="103"/>
      <c r="N306" s="103"/>
      <c r="O306" s="286">
        <v>0</v>
      </c>
      <c r="P306" s="286">
        <v>0</v>
      </c>
      <c r="Q306" s="286">
        <f>SupplychainTier2[[#This Row],[Calculated emissions (kgCO2e) for this spend]]</f>
        <v>0</v>
      </c>
      <c r="R306" s="286">
        <v>0</v>
      </c>
      <c r="S306" s="286">
        <v>0</v>
      </c>
      <c r="T306" s="290" t="str">
        <f>IF(SupplychainTier2[[#This Row],[Calculated emissions (kgCO2e) for this spend]]="","",(SupplychainTier2[[#This Row],[Calculated emissions (kgCO2e) for this spend]]*(1+SupplychainTier2[[#This Row],[RSD]])))</f>
        <v/>
      </c>
      <c r="U306" s="290" t="str">
        <f>IF(SupplychainTier2[[#This Row],[Calculated emissions (kgCO2e) for this spend]]="","",(SupplychainTier2[[#This Row],[Calculated emissions (kgCO2e) for this spend]]*(1-SupplychainTier2[[#This Row],[RSD]])))</f>
        <v/>
      </c>
      <c r="V306" s="286">
        <v>0</v>
      </c>
    </row>
    <row r="307" spans="2:22" ht="15" thickBot="1" x14ac:dyDescent="0.4">
      <c r="B307" s="418" t="str">
        <f t="shared" si="11"/>
        <v/>
      </c>
      <c r="C307" s="289" t="str">
        <f t="shared" si="12"/>
        <v/>
      </c>
      <c r="D307" s="112"/>
      <c r="E307" s="419" t="s">
        <v>409</v>
      </c>
      <c r="F307" s="294"/>
      <c r="G307" s="70"/>
      <c r="H307" s="187" t="s">
        <v>263</v>
      </c>
      <c r="I307" s="410">
        <f>SupplychainTier2[[#This Row],[Spend for which Tier 2 method accounts]]</f>
        <v>0</v>
      </c>
      <c r="J307" s="410" t="s">
        <v>263</v>
      </c>
      <c r="K307" s="410" t="str">
        <f>IFERROR(SupplychainTier2[[#This Row],[Calculated emissions (kgCO2e) for this spend]]/SupplychainTier2[[#This Row],[Spend for which Tier 2 method accounts]],"")</f>
        <v/>
      </c>
      <c r="L307" s="199"/>
      <c r="M307" s="103"/>
      <c r="N307" s="103"/>
      <c r="O307" s="286">
        <v>0</v>
      </c>
      <c r="P307" s="286">
        <v>0</v>
      </c>
      <c r="Q307" s="286">
        <f>SupplychainTier2[[#This Row],[Calculated emissions (kgCO2e) for this spend]]</f>
        <v>0</v>
      </c>
      <c r="R307" s="286">
        <v>0</v>
      </c>
      <c r="S307" s="286">
        <v>0</v>
      </c>
      <c r="T307" s="290" t="str">
        <f>IF(SupplychainTier2[[#This Row],[Calculated emissions (kgCO2e) for this spend]]="","",(SupplychainTier2[[#This Row],[Calculated emissions (kgCO2e) for this spend]]*(1+SupplychainTier2[[#This Row],[RSD]])))</f>
        <v/>
      </c>
      <c r="U307" s="290" t="str">
        <f>IF(SupplychainTier2[[#This Row],[Calculated emissions (kgCO2e) for this spend]]="","",(SupplychainTier2[[#This Row],[Calculated emissions (kgCO2e) for this spend]]*(1-SupplychainTier2[[#This Row],[RSD]])))</f>
        <v/>
      </c>
      <c r="V307" s="286">
        <v>0</v>
      </c>
    </row>
    <row r="308" spans="2:22" ht="15" thickBot="1" x14ac:dyDescent="0.4">
      <c r="B308" s="418" t="str">
        <f t="shared" si="11"/>
        <v/>
      </c>
      <c r="C308" s="289" t="str">
        <f t="shared" si="12"/>
        <v/>
      </c>
      <c r="D308" s="112"/>
      <c r="E308" s="419" t="s">
        <v>409</v>
      </c>
      <c r="F308" s="294"/>
      <c r="G308" s="70"/>
      <c r="H308" s="187" t="s">
        <v>263</v>
      </c>
      <c r="I308" s="410">
        <f>SupplychainTier2[[#This Row],[Spend for which Tier 2 method accounts]]</f>
        <v>0</v>
      </c>
      <c r="J308" s="410" t="s">
        <v>263</v>
      </c>
      <c r="K308" s="410" t="str">
        <f>IFERROR(SupplychainTier2[[#This Row],[Calculated emissions (kgCO2e) for this spend]]/SupplychainTier2[[#This Row],[Spend for which Tier 2 method accounts]],"")</f>
        <v/>
      </c>
      <c r="L308" s="199"/>
      <c r="M308" s="103"/>
      <c r="N308" s="103"/>
      <c r="O308" s="286">
        <v>0</v>
      </c>
      <c r="P308" s="286">
        <v>0</v>
      </c>
      <c r="Q308" s="286">
        <f>SupplychainTier2[[#This Row],[Calculated emissions (kgCO2e) for this spend]]</f>
        <v>0</v>
      </c>
      <c r="R308" s="286">
        <v>0</v>
      </c>
      <c r="S308" s="286">
        <v>0</v>
      </c>
      <c r="T308" s="290" t="str">
        <f>IF(SupplychainTier2[[#This Row],[Calculated emissions (kgCO2e) for this spend]]="","",(SupplychainTier2[[#This Row],[Calculated emissions (kgCO2e) for this spend]]*(1+SupplychainTier2[[#This Row],[RSD]])))</f>
        <v/>
      </c>
      <c r="U308" s="290" t="str">
        <f>IF(SupplychainTier2[[#This Row],[Calculated emissions (kgCO2e) for this spend]]="","",(SupplychainTier2[[#This Row],[Calculated emissions (kgCO2e) for this spend]]*(1-SupplychainTier2[[#This Row],[RSD]])))</f>
        <v/>
      </c>
      <c r="V308" s="286">
        <v>0</v>
      </c>
    </row>
    <row r="309" spans="2:22" ht="15" thickBot="1" x14ac:dyDescent="0.4">
      <c r="B309" s="418" t="str">
        <f t="shared" si="11"/>
        <v/>
      </c>
      <c r="C309" s="289" t="str">
        <f t="shared" si="12"/>
        <v/>
      </c>
      <c r="D309" s="112"/>
      <c r="E309" s="419" t="s">
        <v>409</v>
      </c>
      <c r="F309" s="294"/>
      <c r="G309" s="70"/>
      <c r="H309" s="187" t="s">
        <v>263</v>
      </c>
      <c r="I309" s="410">
        <f>SupplychainTier2[[#This Row],[Spend for which Tier 2 method accounts]]</f>
        <v>0</v>
      </c>
      <c r="J309" s="410" t="s">
        <v>263</v>
      </c>
      <c r="K309" s="410" t="str">
        <f>IFERROR(SupplychainTier2[[#This Row],[Calculated emissions (kgCO2e) for this spend]]/SupplychainTier2[[#This Row],[Spend for which Tier 2 method accounts]],"")</f>
        <v/>
      </c>
      <c r="L309" s="199"/>
      <c r="M309" s="103"/>
      <c r="N309" s="103"/>
      <c r="O309" s="286">
        <v>0</v>
      </c>
      <c r="P309" s="286">
        <v>0</v>
      </c>
      <c r="Q309" s="286">
        <f>SupplychainTier2[[#This Row],[Calculated emissions (kgCO2e) for this spend]]</f>
        <v>0</v>
      </c>
      <c r="R309" s="286">
        <v>0</v>
      </c>
      <c r="S309" s="286">
        <v>0</v>
      </c>
      <c r="T309" s="290" t="str">
        <f>IF(SupplychainTier2[[#This Row],[Calculated emissions (kgCO2e) for this spend]]="","",(SupplychainTier2[[#This Row],[Calculated emissions (kgCO2e) for this spend]]*(1+SupplychainTier2[[#This Row],[RSD]])))</f>
        <v/>
      </c>
      <c r="U309" s="290" t="str">
        <f>IF(SupplychainTier2[[#This Row],[Calculated emissions (kgCO2e) for this spend]]="","",(SupplychainTier2[[#This Row],[Calculated emissions (kgCO2e) for this spend]]*(1-SupplychainTier2[[#This Row],[RSD]])))</f>
        <v/>
      </c>
      <c r="V309" s="286">
        <v>0</v>
      </c>
    </row>
    <row r="310" spans="2:22" ht="15" thickBot="1" x14ac:dyDescent="0.4">
      <c r="B310" s="418" t="str">
        <f t="shared" si="11"/>
        <v/>
      </c>
      <c r="C310" s="289" t="str">
        <f t="shared" si="12"/>
        <v/>
      </c>
      <c r="D310" s="112"/>
      <c r="E310" s="419" t="s">
        <v>409</v>
      </c>
      <c r="F310" s="294"/>
      <c r="G310" s="70"/>
      <c r="H310" s="187" t="s">
        <v>263</v>
      </c>
      <c r="I310" s="410">
        <f>SupplychainTier2[[#This Row],[Spend for which Tier 2 method accounts]]</f>
        <v>0</v>
      </c>
      <c r="J310" s="410" t="s">
        <v>263</v>
      </c>
      <c r="K310" s="410" t="str">
        <f>IFERROR(SupplychainTier2[[#This Row],[Calculated emissions (kgCO2e) for this spend]]/SupplychainTier2[[#This Row],[Spend for which Tier 2 method accounts]],"")</f>
        <v/>
      </c>
      <c r="L310" s="199"/>
      <c r="M310" s="103"/>
      <c r="N310" s="103"/>
      <c r="O310" s="286">
        <v>0</v>
      </c>
      <c r="P310" s="286">
        <v>0</v>
      </c>
      <c r="Q310" s="286">
        <f>SupplychainTier2[[#This Row],[Calculated emissions (kgCO2e) for this spend]]</f>
        <v>0</v>
      </c>
      <c r="R310" s="286">
        <v>0</v>
      </c>
      <c r="S310" s="286">
        <v>0</v>
      </c>
      <c r="T310" s="290" t="str">
        <f>IF(SupplychainTier2[[#This Row],[Calculated emissions (kgCO2e) for this spend]]="","",(SupplychainTier2[[#This Row],[Calculated emissions (kgCO2e) for this spend]]*(1+SupplychainTier2[[#This Row],[RSD]])))</f>
        <v/>
      </c>
      <c r="U310" s="290" t="str">
        <f>IF(SupplychainTier2[[#This Row],[Calculated emissions (kgCO2e) for this spend]]="","",(SupplychainTier2[[#This Row],[Calculated emissions (kgCO2e) for this spend]]*(1-SupplychainTier2[[#This Row],[RSD]])))</f>
        <v/>
      </c>
      <c r="V310" s="286">
        <v>0</v>
      </c>
    </row>
    <row r="311" spans="2:22" ht="15" thickBot="1" x14ac:dyDescent="0.4">
      <c r="B311" s="418" t="str">
        <f t="shared" si="11"/>
        <v/>
      </c>
      <c r="C311" s="289" t="str">
        <f t="shared" si="12"/>
        <v/>
      </c>
      <c r="D311" s="112"/>
      <c r="E311" s="419" t="s">
        <v>409</v>
      </c>
      <c r="F311" s="294"/>
      <c r="G311" s="70"/>
      <c r="H311" s="187" t="s">
        <v>263</v>
      </c>
      <c r="I311" s="410">
        <f>SupplychainTier2[[#This Row],[Spend for which Tier 2 method accounts]]</f>
        <v>0</v>
      </c>
      <c r="J311" s="410" t="s">
        <v>263</v>
      </c>
      <c r="K311" s="410" t="str">
        <f>IFERROR(SupplychainTier2[[#This Row],[Calculated emissions (kgCO2e) for this spend]]/SupplychainTier2[[#This Row],[Spend for which Tier 2 method accounts]],"")</f>
        <v/>
      </c>
      <c r="L311" s="199"/>
      <c r="M311" s="103"/>
      <c r="N311" s="103"/>
      <c r="O311" s="286">
        <v>0</v>
      </c>
      <c r="P311" s="286">
        <v>0</v>
      </c>
      <c r="Q311" s="286">
        <f>SupplychainTier2[[#This Row],[Calculated emissions (kgCO2e) for this spend]]</f>
        <v>0</v>
      </c>
      <c r="R311" s="286">
        <v>0</v>
      </c>
      <c r="S311" s="286">
        <v>0</v>
      </c>
      <c r="T311" s="290" t="str">
        <f>IF(SupplychainTier2[[#This Row],[Calculated emissions (kgCO2e) for this spend]]="","",(SupplychainTier2[[#This Row],[Calculated emissions (kgCO2e) for this spend]]*(1+SupplychainTier2[[#This Row],[RSD]])))</f>
        <v/>
      </c>
      <c r="U311" s="290" t="str">
        <f>IF(SupplychainTier2[[#This Row],[Calculated emissions (kgCO2e) for this spend]]="","",(SupplychainTier2[[#This Row],[Calculated emissions (kgCO2e) for this spend]]*(1-SupplychainTier2[[#This Row],[RSD]])))</f>
        <v/>
      </c>
      <c r="V311" s="286">
        <v>0</v>
      </c>
    </row>
    <row r="312" spans="2:22" ht="15" thickBot="1" x14ac:dyDescent="0.4">
      <c r="B312" s="418" t="str">
        <f t="shared" si="11"/>
        <v/>
      </c>
      <c r="C312" s="289" t="str">
        <f t="shared" si="12"/>
        <v/>
      </c>
      <c r="D312" s="112"/>
      <c r="E312" s="419" t="s">
        <v>409</v>
      </c>
      <c r="F312" s="294"/>
      <c r="G312" s="70"/>
      <c r="H312" s="187" t="s">
        <v>263</v>
      </c>
      <c r="I312" s="410">
        <f>SupplychainTier2[[#This Row],[Spend for which Tier 2 method accounts]]</f>
        <v>0</v>
      </c>
      <c r="J312" s="410" t="s">
        <v>263</v>
      </c>
      <c r="K312" s="410" t="str">
        <f>IFERROR(SupplychainTier2[[#This Row],[Calculated emissions (kgCO2e) for this spend]]/SupplychainTier2[[#This Row],[Spend for which Tier 2 method accounts]],"")</f>
        <v/>
      </c>
      <c r="L312" s="199"/>
      <c r="M312" s="103"/>
      <c r="N312" s="103"/>
      <c r="O312" s="286">
        <v>0</v>
      </c>
      <c r="P312" s="286">
        <v>0</v>
      </c>
      <c r="Q312" s="286">
        <f>SupplychainTier2[[#This Row],[Calculated emissions (kgCO2e) for this spend]]</f>
        <v>0</v>
      </c>
      <c r="R312" s="286">
        <v>0</v>
      </c>
      <c r="S312" s="286">
        <v>0</v>
      </c>
      <c r="T312" s="290" t="str">
        <f>IF(SupplychainTier2[[#This Row],[Calculated emissions (kgCO2e) for this spend]]="","",(SupplychainTier2[[#This Row],[Calculated emissions (kgCO2e) for this spend]]*(1+SupplychainTier2[[#This Row],[RSD]])))</f>
        <v/>
      </c>
      <c r="U312" s="290" t="str">
        <f>IF(SupplychainTier2[[#This Row],[Calculated emissions (kgCO2e) for this spend]]="","",(SupplychainTier2[[#This Row],[Calculated emissions (kgCO2e) for this spend]]*(1-SupplychainTier2[[#This Row],[RSD]])))</f>
        <v/>
      </c>
      <c r="V312" s="286">
        <v>0</v>
      </c>
    </row>
    <row r="313" spans="2:22" ht="15" thickBot="1" x14ac:dyDescent="0.4">
      <c r="B313" s="418" t="str">
        <f t="shared" si="11"/>
        <v/>
      </c>
      <c r="C313" s="289" t="str">
        <f t="shared" ref="C313:C329" si="13">IFERROR((VLOOKUP(D313,SICProductCodeLookup,3,FALSE)), "")</f>
        <v/>
      </c>
      <c r="D313" s="293"/>
      <c r="E313" s="419" t="s">
        <v>409</v>
      </c>
      <c r="F313" s="294"/>
      <c r="G313" s="70"/>
      <c r="H313" s="187" t="s">
        <v>263</v>
      </c>
      <c r="I313" s="291">
        <f>SupplychainTier2[[#This Row],[Spend for which Tier 2 method accounts]]</f>
        <v>0</v>
      </c>
      <c r="J313" s="295"/>
      <c r="K313" s="410" t="str">
        <f>IFERROR(SupplychainTier2[[#This Row],[Calculated emissions (kgCO2e) for this spend]]/SupplychainTier2[[#This Row],[Spend for which Tier 2 method accounts]],"")</f>
        <v/>
      </c>
      <c r="L313" s="199"/>
      <c r="M313" s="103"/>
      <c r="N313" s="103"/>
      <c r="O313" s="286">
        <v>0</v>
      </c>
      <c r="P313" s="286">
        <v>0</v>
      </c>
      <c r="Q313" s="286">
        <f>SupplychainTier2[[#This Row],[Calculated emissions (kgCO2e) for this spend]]</f>
        <v>0</v>
      </c>
      <c r="R313" s="286">
        <v>0</v>
      </c>
      <c r="S313" s="286">
        <v>0</v>
      </c>
      <c r="T313" s="290" t="str">
        <f>IF(SupplychainTier2[[#This Row],[Calculated emissions (kgCO2e) for this spend]]="","",(SupplychainTier2[[#This Row],[Calculated emissions (kgCO2e) for this spend]]*(1+SupplychainTier2[[#This Row],[RSD]])))</f>
        <v/>
      </c>
      <c r="U313" s="290" t="str">
        <f>IF(SupplychainTier2[[#This Row],[Calculated emissions (kgCO2e) for this spend]]="","",(SupplychainTier2[[#This Row],[Calculated emissions (kgCO2e) for this spend]]*(1-SupplychainTier2[[#This Row],[RSD]])))</f>
        <v/>
      </c>
      <c r="V313" s="286">
        <v>0</v>
      </c>
    </row>
    <row r="314" spans="2:22" ht="15" thickBot="1" x14ac:dyDescent="0.4">
      <c r="B314" s="418" t="str">
        <f t="shared" ref="B314:B329" si="14">IFERROR(VLOOKUP(D314,SICProductCodeLookup,2,FALSE), "")</f>
        <v/>
      </c>
      <c r="C314" s="289" t="str">
        <f t="shared" si="13"/>
        <v/>
      </c>
      <c r="D314" s="293"/>
      <c r="E314" s="419" t="s">
        <v>409</v>
      </c>
      <c r="F314" s="294"/>
      <c r="G314" s="70"/>
      <c r="H314" s="187" t="s">
        <v>263</v>
      </c>
      <c r="I314" s="291">
        <f>SupplychainTier2[[#This Row],[Spend for which Tier 2 method accounts]]</f>
        <v>0</v>
      </c>
      <c r="J314" s="296"/>
      <c r="K314" s="410" t="str">
        <f>IFERROR(SupplychainTier2[[#This Row],[Calculated emissions (kgCO2e) for this spend]]/SupplychainTier2[[#This Row],[Spend for which Tier 2 method accounts]],"")</f>
        <v/>
      </c>
      <c r="L314" s="199"/>
      <c r="M314" s="103"/>
      <c r="N314" s="103"/>
      <c r="O314" s="286">
        <v>0</v>
      </c>
      <c r="P314" s="286">
        <v>0</v>
      </c>
      <c r="Q314" s="286">
        <f>SupplychainTier2[[#This Row],[Calculated emissions (kgCO2e) for this spend]]</f>
        <v>0</v>
      </c>
      <c r="R314" s="286">
        <v>0</v>
      </c>
      <c r="S314" s="286">
        <v>0</v>
      </c>
      <c r="T314" s="290" t="str">
        <f>IF(SupplychainTier2[[#This Row],[Calculated emissions (kgCO2e) for this spend]]="","",(SupplychainTier2[[#This Row],[Calculated emissions (kgCO2e) for this spend]]*(1+SupplychainTier2[[#This Row],[RSD]])))</f>
        <v/>
      </c>
      <c r="U314" s="290" t="str">
        <f>IF(SupplychainTier2[[#This Row],[Calculated emissions (kgCO2e) for this spend]]="","",(SupplychainTier2[[#This Row],[Calculated emissions (kgCO2e) for this spend]]*(1-SupplychainTier2[[#This Row],[RSD]])))</f>
        <v/>
      </c>
      <c r="V314" s="286">
        <v>0</v>
      </c>
    </row>
    <row r="315" spans="2:22" ht="15" thickBot="1" x14ac:dyDescent="0.4">
      <c r="B315" s="418" t="str">
        <f t="shared" si="14"/>
        <v/>
      </c>
      <c r="C315" s="289" t="str">
        <f t="shared" si="13"/>
        <v/>
      </c>
      <c r="D315" s="293"/>
      <c r="E315" s="419" t="s">
        <v>409</v>
      </c>
      <c r="F315" s="294"/>
      <c r="G315" s="70"/>
      <c r="H315" s="187" t="s">
        <v>263</v>
      </c>
      <c r="I315" s="291">
        <f>SupplychainTier2[[#This Row],[Spend for which Tier 2 method accounts]]</f>
        <v>0</v>
      </c>
      <c r="J315" s="296"/>
      <c r="K315" s="410" t="str">
        <f>IFERROR(SupplychainTier2[[#This Row],[Calculated emissions (kgCO2e) for this spend]]/SupplychainTier2[[#This Row],[Spend for which Tier 2 method accounts]],"")</f>
        <v/>
      </c>
      <c r="L315" s="199"/>
      <c r="M315" s="103"/>
      <c r="N315" s="103"/>
      <c r="O315" s="286">
        <v>0</v>
      </c>
      <c r="P315" s="286">
        <v>0</v>
      </c>
      <c r="Q315" s="286">
        <f>SupplychainTier2[[#This Row],[Calculated emissions (kgCO2e) for this spend]]</f>
        <v>0</v>
      </c>
      <c r="R315" s="286">
        <v>0</v>
      </c>
      <c r="S315" s="286">
        <v>0</v>
      </c>
      <c r="T315" s="290" t="str">
        <f>IF(SupplychainTier2[[#This Row],[Calculated emissions (kgCO2e) for this spend]]="","",(SupplychainTier2[[#This Row],[Calculated emissions (kgCO2e) for this spend]]*(1+SupplychainTier2[[#This Row],[RSD]])))</f>
        <v/>
      </c>
      <c r="U315" s="290" t="str">
        <f>IF(SupplychainTier2[[#This Row],[Calculated emissions (kgCO2e) for this spend]]="","",(SupplychainTier2[[#This Row],[Calculated emissions (kgCO2e) for this spend]]*(1-SupplychainTier2[[#This Row],[RSD]])))</f>
        <v/>
      </c>
      <c r="V315" s="286">
        <v>0</v>
      </c>
    </row>
    <row r="316" spans="2:22" ht="15" thickBot="1" x14ac:dyDescent="0.4">
      <c r="B316" s="418" t="str">
        <f t="shared" si="14"/>
        <v/>
      </c>
      <c r="C316" s="289" t="str">
        <f t="shared" si="13"/>
        <v/>
      </c>
      <c r="D316" s="293"/>
      <c r="E316" s="419" t="s">
        <v>409</v>
      </c>
      <c r="F316" s="294"/>
      <c r="G316" s="70"/>
      <c r="H316" s="187" t="s">
        <v>263</v>
      </c>
      <c r="I316" s="291">
        <f>SupplychainTier2[[#This Row],[Spend for which Tier 2 method accounts]]</f>
        <v>0</v>
      </c>
      <c r="J316" s="296"/>
      <c r="K316" s="410" t="str">
        <f>IFERROR(SupplychainTier2[[#This Row],[Calculated emissions (kgCO2e) for this spend]]/SupplychainTier2[[#This Row],[Spend for which Tier 2 method accounts]],"")</f>
        <v/>
      </c>
      <c r="L316" s="199"/>
      <c r="M316" s="103"/>
      <c r="N316" s="103"/>
      <c r="O316" s="286">
        <v>0</v>
      </c>
      <c r="P316" s="286">
        <v>0</v>
      </c>
      <c r="Q316" s="286">
        <f>SupplychainTier2[[#This Row],[Calculated emissions (kgCO2e) for this spend]]</f>
        <v>0</v>
      </c>
      <c r="R316" s="286">
        <v>0</v>
      </c>
      <c r="S316" s="286">
        <v>0</v>
      </c>
      <c r="T316" s="290" t="str">
        <f>IF(SupplychainTier2[[#This Row],[Calculated emissions (kgCO2e) for this spend]]="","",(SupplychainTier2[[#This Row],[Calculated emissions (kgCO2e) for this spend]]*(1+SupplychainTier2[[#This Row],[RSD]])))</f>
        <v/>
      </c>
      <c r="U316" s="290" t="str">
        <f>IF(SupplychainTier2[[#This Row],[Calculated emissions (kgCO2e) for this spend]]="","",(SupplychainTier2[[#This Row],[Calculated emissions (kgCO2e) for this spend]]*(1-SupplychainTier2[[#This Row],[RSD]])))</f>
        <v/>
      </c>
      <c r="V316" s="286">
        <v>0</v>
      </c>
    </row>
    <row r="317" spans="2:22" ht="15" thickBot="1" x14ac:dyDescent="0.4">
      <c r="B317" s="418" t="str">
        <f t="shared" si="14"/>
        <v/>
      </c>
      <c r="C317" s="289" t="str">
        <f t="shared" si="13"/>
        <v/>
      </c>
      <c r="D317" s="293"/>
      <c r="E317" s="419" t="s">
        <v>409</v>
      </c>
      <c r="F317" s="294"/>
      <c r="G317" s="70"/>
      <c r="H317" s="187" t="s">
        <v>263</v>
      </c>
      <c r="I317" s="291">
        <f>SupplychainTier2[[#This Row],[Spend for which Tier 2 method accounts]]</f>
        <v>0</v>
      </c>
      <c r="J317" s="296"/>
      <c r="K317" s="410" t="str">
        <f>IFERROR(SupplychainTier2[[#This Row],[Calculated emissions (kgCO2e) for this spend]]/SupplychainTier2[[#This Row],[Spend for which Tier 2 method accounts]],"")</f>
        <v/>
      </c>
      <c r="L317" s="199"/>
      <c r="M317" s="103"/>
      <c r="N317" s="103"/>
      <c r="O317" s="286">
        <v>0</v>
      </c>
      <c r="P317" s="286">
        <v>0</v>
      </c>
      <c r="Q317" s="286">
        <f>SupplychainTier2[[#This Row],[Calculated emissions (kgCO2e) for this spend]]</f>
        <v>0</v>
      </c>
      <c r="R317" s="286">
        <v>0</v>
      </c>
      <c r="S317" s="286">
        <v>0</v>
      </c>
      <c r="T317" s="290" t="str">
        <f>IF(SupplychainTier2[[#This Row],[Calculated emissions (kgCO2e) for this spend]]="","",(SupplychainTier2[[#This Row],[Calculated emissions (kgCO2e) for this spend]]*(1+SupplychainTier2[[#This Row],[RSD]])))</f>
        <v/>
      </c>
      <c r="U317" s="290" t="str">
        <f>IF(SupplychainTier2[[#This Row],[Calculated emissions (kgCO2e) for this spend]]="","",(SupplychainTier2[[#This Row],[Calculated emissions (kgCO2e) for this spend]]*(1-SupplychainTier2[[#This Row],[RSD]])))</f>
        <v/>
      </c>
      <c r="V317" s="286">
        <v>0</v>
      </c>
    </row>
    <row r="318" spans="2:22" ht="15" thickBot="1" x14ac:dyDescent="0.4">
      <c r="B318" s="418" t="str">
        <f t="shared" si="14"/>
        <v/>
      </c>
      <c r="C318" s="289" t="str">
        <f t="shared" si="13"/>
        <v/>
      </c>
      <c r="D318" s="293"/>
      <c r="E318" s="419" t="s">
        <v>409</v>
      </c>
      <c r="F318" s="294"/>
      <c r="G318" s="70"/>
      <c r="H318" s="187" t="s">
        <v>263</v>
      </c>
      <c r="I318" s="291">
        <f>SupplychainTier2[[#This Row],[Spend for which Tier 2 method accounts]]</f>
        <v>0</v>
      </c>
      <c r="J318" s="296"/>
      <c r="K318" s="410" t="str">
        <f>IFERROR(SupplychainTier2[[#This Row],[Calculated emissions (kgCO2e) for this spend]]/SupplychainTier2[[#This Row],[Spend for which Tier 2 method accounts]],"")</f>
        <v/>
      </c>
      <c r="L318" s="199"/>
      <c r="M318" s="103"/>
      <c r="N318" s="103"/>
      <c r="O318" s="286">
        <v>0</v>
      </c>
      <c r="P318" s="286">
        <v>0</v>
      </c>
      <c r="Q318" s="286">
        <f>SupplychainTier2[[#This Row],[Calculated emissions (kgCO2e) for this spend]]</f>
        <v>0</v>
      </c>
      <c r="R318" s="286">
        <v>0</v>
      </c>
      <c r="S318" s="286">
        <v>0</v>
      </c>
      <c r="T318" s="290" t="str">
        <f>IF(SupplychainTier2[[#This Row],[Calculated emissions (kgCO2e) for this spend]]="","",(SupplychainTier2[[#This Row],[Calculated emissions (kgCO2e) for this spend]]*(1+SupplychainTier2[[#This Row],[RSD]])))</f>
        <v/>
      </c>
      <c r="U318" s="290" t="str">
        <f>IF(SupplychainTier2[[#This Row],[Calculated emissions (kgCO2e) for this spend]]="","",(SupplychainTier2[[#This Row],[Calculated emissions (kgCO2e) for this spend]]*(1-SupplychainTier2[[#This Row],[RSD]])))</f>
        <v/>
      </c>
      <c r="V318" s="286">
        <v>0</v>
      </c>
    </row>
    <row r="319" spans="2:22" ht="15" thickBot="1" x14ac:dyDescent="0.4">
      <c r="B319" s="418" t="str">
        <f t="shared" si="14"/>
        <v/>
      </c>
      <c r="C319" s="289" t="str">
        <f t="shared" si="13"/>
        <v/>
      </c>
      <c r="D319" s="293"/>
      <c r="E319" s="419" t="s">
        <v>409</v>
      </c>
      <c r="F319" s="294"/>
      <c r="G319" s="70"/>
      <c r="H319" s="187" t="s">
        <v>263</v>
      </c>
      <c r="I319" s="291">
        <f>SupplychainTier2[[#This Row],[Spend for which Tier 2 method accounts]]</f>
        <v>0</v>
      </c>
      <c r="J319" s="296"/>
      <c r="K319" s="410" t="str">
        <f>IFERROR(SupplychainTier2[[#This Row],[Calculated emissions (kgCO2e) for this spend]]/SupplychainTier2[[#This Row],[Spend for which Tier 2 method accounts]],"")</f>
        <v/>
      </c>
      <c r="L319" s="199"/>
      <c r="M319" s="103"/>
      <c r="N319" s="103"/>
      <c r="O319" s="286">
        <v>0</v>
      </c>
      <c r="P319" s="286">
        <v>0</v>
      </c>
      <c r="Q319" s="286">
        <f>SupplychainTier2[[#This Row],[Calculated emissions (kgCO2e) for this spend]]</f>
        <v>0</v>
      </c>
      <c r="R319" s="286">
        <v>0</v>
      </c>
      <c r="S319" s="286">
        <v>0</v>
      </c>
      <c r="T319" s="290" t="str">
        <f>IF(SupplychainTier2[[#This Row],[Calculated emissions (kgCO2e) for this spend]]="","",(SupplychainTier2[[#This Row],[Calculated emissions (kgCO2e) for this spend]]*(1+SupplychainTier2[[#This Row],[RSD]])))</f>
        <v/>
      </c>
      <c r="U319" s="290" t="str">
        <f>IF(SupplychainTier2[[#This Row],[Calculated emissions (kgCO2e) for this spend]]="","",(SupplychainTier2[[#This Row],[Calculated emissions (kgCO2e) for this spend]]*(1-SupplychainTier2[[#This Row],[RSD]])))</f>
        <v/>
      </c>
      <c r="V319" s="286">
        <v>0</v>
      </c>
    </row>
    <row r="320" spans="2:22" ht="15" thickBot="1" x14ac:dyDescent="0.4">
      <c r="B320" s="418" t="str">
        <f t="shared" si="14"/>
        <v/>
      </c>
      <c r="C320" s="289" t="str">
        <f t="shared" si="13"/>
        <v/>
      </c>
      <c r="D320" s="293"/>
      <c r="E320" s="419" t="s">
        <v>409</v>
      </c>
      <c r="F320" s="294"/>
      <c r="G320" s="70"/>
      <c r="H320" s="187" t="s">
        <v>263</v>
      </c>
      <c r="I320" s="291">
        <f>SupplychainTier2[[#This Row],[Spend for which Tier 2 method accounts]]</f>
        <v>0</v>
      </c>
      <c r="J320" s="296"/>
      <c r="K320" s="410" t="str">
        <f>IFERROR(SupplychainTier2[[#This Row],[Calculated emissions (kgCO2e) for this spend]]/SupplychainTier2[[#This Row],[Spend for which Tier 2 method accounts]],"")</f>
        <v/>
      </c>
      <c r="L320" s="199"/>
      <c r="M320" s="103"/>
      <c r="N320" s="103"/>
      <c r="O320" s="286">
        <v>0</v>
      </c>
      <c r="P320" s="286">
        <v>0</v>
      </c>
      <c r="Q320" s="286">
        <f>SupplychainTier2[[#This Row],[Calculated emissions (kgCO2e) for this spend]]</f>
        <v>0</v>
      </c>
      <c r="R320" s="286">
        <v>0</v>
      </c>
      <c r="S320" s="286">
        <v>0</v>
      </c>
      <c r="T320" s="290" t="str">
        <f>IF(SupplychainTier2[[#This Row],[Calculated emissions (kgCO2e) for this spend]]="","",(SupplychainTier2[[#This Row],[Calculated emissions (kgCO2e) for this spend]]*(1+SupplychainTier2[[#This Row],[RSD]])))</f>
        <v/>
      </c>
      <c r="U320" s="290" t="str">
        <f>IF(SupplychainTier2[[#This Row],[Calculated emissions (kgCO2e) for this spend]]="","",(SupplychainTier2[[#This Row],[Calculated emissions (kgCO2e) for this spend]]*(1-SupplychainTier2[[#This Row],[RSD]])))</f>
        <v/>
      </c>
      <c r="V320" s="286">
        <v>0</v>
      </c>
    </row>
    <row r="321" spans="2:22" ht="15" thickBot="1" x14ac:dyDescent="0.4">
      <c r="B321" s="418" t="str">
        <f t="shared" si="14"/>
        <v/>
      </c>
      <c r="C321" s="289" t="str">
        <f t="shared" si="13"/>
        <v/>
      </c>
      <c r="D321" s="293"/>
      <c r="E321" s="419" t="s">
        <v>409</v>
      </c>
      <c r="F321" s="294"/>
      <c r="G321" s="70"/>
      <c r="H321" s="187" t="s">
        <v>263</v>
      </c>
      <c r="I321" s="291">
        <f>SupplychainTier2[[#This Row],[Spend for which Tier 2 method accounts]]</f>
        <v>0</v>
      </c>
      <c r="J321" s="296"/>
      <c r="K321" s="410" t="str">
        <f>IFERROR(SupplychainTier2[[#This Row],[Calculated emissions (kgCO2e) for this spend]]/SupplychainTier2[[#This Row],[Spend for which Tier 2 method accounts]],"")</f>
        <v/>
      </c>
      <c r="L321" s="199"/>
      <c r="M321" s="103"/>
      <c r="N321" s="103"/>
      <c r="O321" s="286">
        <v>0</v>
      </c>
      <c r="P321" s="286">
        <v>0</v>
      </c>
      <c r="Q321" s="286">
        <f>SupplychainTier2[[#This Row],[Calculated emissions (kgCO2e) for this spend]]</f>
        <v>0</v>
      </c>
      <c r="R321" s="286">
        <v>0</v>
      </c>
      <c r="S321" s="286">
        <v>0</v>
      </c>
      <c r="T321" s="290" t="str">
        <f>IF(SupplychainTier2[[#This Row],[Calculated emissions (kgCO2e) for this spend]]="","",(SupplychainTier2[[#This Row],[Calculated emissions (kgCO2e) for this spend]]*(1+SupplychainTier2[[#This Row],[RSD]])))</f>
        <v/>
      </c>
      <c r="U321" s="290" t="str">
        <f>IF(SupplychainTier2[[#This Row],[Calculated emissions (kgCO2e) for this spend]]="","",(SupplychainTier2[[#This Row],[Calculated emissions (kgCO2e) for this spend]]*(1-SupplychainTier2[[#This Row],[RSD]])))</f>
        <v/>
      </c>
      <c r="V321" s="286">
        <v>0</v>
      </c>
    </row>
    <row r="322" spans="2:22" ht="15" thickBot="1" x14ac:dyDescent="0.4">
      <c r="B322" s="418" t="str">
        <f t="shared" si="14"/>
        <v/>
      </c>
      <c r="C322" s="289" t="str">
        <f t="shared" si="13"/>
        <v/>
      </c>
      <c r="D322" s="293"/>
      <c r="E322" s="419" t="s">
        <v>409</v>
      </c>
      <c r="F322" s="294"/>
      <c r="G322" s="70"/>
      <c r="H322" s="187" t="s">
        <v>263</v>
      </c>
      <c r="I322" s="291">
        <f>SupplychainTier2[[#This Row],[Spend for which Tier 2 method accounts]]</f>
        <v>0</v>
      </c>
      <c r="J322" s="296"/>
      <c r="K322" s="410" t="str">
        <f>IFERROR(SupplychainTier2[[#This Row],[Calculated emissions (kgCO2e) for this spend]]/SupplychainTier2[[#This Row],[Spend for which Tier 2 method accounts]],"")</f>
        <v/>
      </c>
      <c r="L322" s="199"/>
      <c r="M322" s="103"/>
      <c r="N322" s="103"/>
      <c r="O322" s="286">
        <v>0</v>
      </c>
      <c r="P322" s="286">
        <v>0</v>
      </c>
      <c r="Q322" s="286">
        <f>SupplychainTier2[[#This Row],[Calculated emissions (kgCO2e) for this spend]]</f>
        <v>0</v>
      </c>
      <c r="R322" s="286">
        <v>0</v>
      </c>
      <c r="S322" s="286">
        <v>0</v>
      </c>
      <c r="T322" s="290" t="str">
        <f>IF(SupplychainTier2[[#This Row],[Calculated emissions (kgCO2e) for this spend]]="","",(SupplychainTier2[[#This Row],[Calculated emissions (kgCO2e) for this spend]]*(1+SupplychainTier2[[#This Row],[RSD]])))</f>
        <v/>
      </c>
      <c r="U322" s="290" t="str">
        <f>IF(SupplychainTier2[[#This Row],[Calculated emissions (kgCO2e) for this spend]]="","",(SupplychainTier2[[#This Row],[Calculated emissions (kgCO2e) for this spend]]*(1-SupplychainTier2[[#This Row],[RSD]])))</f>
        <v/>
      </c>
      <c r="V322" s="286">
        <v>0</v>
      </c>
    </row>
    <row r="323" spans="2:22" ht="15" thickBot="1" x14ac:dyDescent="0.4">
      <c r="B323" s="418" t="str">
        <f t="shared" si="14"/>
        <v/>
      </c>
      <c r="C323" s="289" t="str">
        <f t="shared" si="13"/>
        <v/>
      </c>
      <c r="D323" s="293"/>
      <c r="E323" s="419" t="s">
        <v>409</v>
      </c>
      <c r="F323" s="294"/>
      <c r="G323" s="70"/>
      <c r="H323" s="187" t="s">
        <v>263</v>
      </c>
      <c r="I323" s="291">
        <f>SupplychainTier2[[#This Row],[Spend for which Tier 2 method accounts]]</f>
        <v>0</v>
      </c>
      <c r="J323" s="296"/>
      <c r="K323" s="410" t="str">
        <f>IFERROR(SupplychainTier2[[#This Row],[Calculated emissions (kgCO2e) for this spend]]/SupplychainTier2[[#This Row],[Spend for which Tier 2 method accounts]],"")</f>
        <v/>
      </c>
      <c r="L323" s="199"/>
      <c r="M323" s="103"/>
      <c r="N323" s="103"/>
      <c r="O323" s="286">
        <v>0</v>
      </c>
      <c r="P323" s="286">
        <v>0</v>
      </c>
      <c r="Q323" s="286">
        <f>SupplychainTier2[[#This Row],[Calculated emissions (kgCO2e) for this spend]]</f>
        <v>0</v>
      </c>
      <c r="R323" s="286">
        <v>0</v>
      </c>
      <c r="S323" s="286">
        <v>0</v>
      </c>
      <c r="T323" s="290" t="str">
        <f>IF(SupplychainTier2[[#This Row],[Calculated emissions (kgCO2e) for this spend]]="","",(SupplychainTier2[[#This Row],[Calculated emissions (kgCO2e) for this spend]]*(1+SupplychainTier2[[#This Row],[RSD]])))</f>
        <v/>
      </c>
      <c r="U323" s="290" t="str">
        <f>IF(SupplychainTier2[[#This Row],[Calculated emissions (kgCO2e) for this spend]]="","",(SupplychainTier2[[#This Row],[Calculated emissions (kgCO2e) for this spend]]*(1-SupplychainTier2[[#This Row],[RSD]])))</f>
        <v/>
      </c>
      <c r="V323" s="286">
        <v>0</v>
      </c>
    </row>
    <row r="324" spans="2:22" ht="15" thickBot="1" x14ac:dyDescent="0.4">
      <c r="B324" s="418" t="str">
        <f t="shared" si="14"/>
        <v/>
      </c>
      <c r="C324" s="289" t="str">
        <f t="shared" si="13"/>
        <v/>
      </c>
      <c r="D324" s="293"/>
      <c r="E324" s="419" t="s">
        <v>409</v>
      </c>
      <c r="F324" s="294"/>
      <c r="G324" s="70"/>
      <c r="H324" s="187" t="s">
        <v>263</v>
      </c>
      <c r="I324" s="291">
        <f>SupplychainTier2[[#This Row],[Spend for which Tier 2 method accounts]]</f>
        <v>0</v>
      </c>
      <c r="J324" s="296"/>
      <c r="K324" s="410" t="str">
        <f>IFERROR(SupplychainTier2[[#This Row],[Calculated emissions (kgCO2e) for this spend]]/SupplychainTier2[[#This Row],[Spend for which Tier 2 method accounts]],"")</f>
        <v/>
      </c>
      <c r="L324" s="199"/>
      <c r="M324" s="103"/>
      <c r="N324" s="103"/>
      <c r="O324" s="286">
        <v>0</v>
      </c>
      <c r="P324" s="286">
        <v>0</v>
      </c>
      <c r="Q324" s="286">
        <f>SupplychainTier2[[#This Row],[Calculated emissions (kgCO2e) for this spend]]</f>
        <v>0</v>
      </c>
      <c r="R324" s="286">
        <v>0</v>
      </c>
      <c r="S324" s="286">
        <v>0</v>
      </c>
      <c r="T324" s="290" t="str">
        <f>IF(SupplychainTier2[[#This Row],[Calculated emissions (kgCO2e) for this spend]]="","",(SupplychainTier2[[#This Row],[Calculated emissions (kgCO2e) for this spend]]*(1+SupplychainTier2[[#This Row],[RSD]])))</f>
        <v/>
      </c>
      <c r="U324" s="290" t="str">
        <f>IF(SupplychainTier2[[#This Row],[Calculated emissions (kgCO2e) for this spend]]="","",(SupplychainTier2[[#This Row],[Calculated emissions (kgCO2e) for this spend]]*(1-SupplychainTier2[[#This Row],[RSD]])))</f>
        <v/>
      </c>
      <c r="V324" s="286">
        <v>0</v>
      </c>
    </row>
    <row r="325" spans="2:22" ht="15" thickBot="1" x14ac:dyDescent="0.4">
      <c r="B325" s="418" t="str">
        <f t="shared" si="14"/>
        <v/>
      </c>
      <c r="C325" s="289" t="str">
        <f t="shared" si="13"/>
        <v/>
      </c>
      <c r="D325" s="293"/>
      <c r="E325" s="419" t="s">
        <v>409</v>
      </c>
      <c r="F325" s="294"/>
      <c r="G325" s="70"/>
      <c r="H325" s="187" t="s">
        <v>263</v>
      </c>
      <c r="I325" s="291">
        <f>SupplychainTier2[[#This Row],[Spend for which Tier 2 method accounts]]</f>
        <v>0</v>
      </c>
      <c r="J325" s="296"/>
      <c r="K325" s="410" t="str">
        <f>IFERROR(SupplychainTier2[[#This Row],[Calculated emissions (kgCO2e) for this spend]]/SupplychainTier2[[#This Row],[Spend for which Tier 2 method accounts]],"")</f>
        <v/>
      </c>
      <c r="L325" s="199"/>
      <c r="M325" s="103"/>
      <c r="N325" s="103"/>
      <c r="O325" s="286">
        <v>0</v>
      </c>
      <c r="P325" s="286">
        <v>0</v>
      </c>
      <c r="Q325" s="286">
        <f>SupplychainTier2[[#This Row],[Calculated emissions (kgCO2e) for this spend]]</f>
        <v>0</v>
      </c>
      <c r="R325" s="286">
        <v>0</v>
      </c>
      <c r="S325" s="286">
        <v>0</v>
      </c>
      <c r="T325" s="290" t="str">
        <f>IF(SupplychainTier2[[#This Row],[Calculated emissions (kgCO2e) for this spend]]="","",(SupplychainTier2[[#This Row],[Calculated emissions (kgCO2e) for this spend]]*(1+SupplychainTier2[[#This Row],[RSD]])))</f>
        <v/>
      </c>
      <c r="U325" s="290" t="str">
        <f>IF(SupplychainTier2[[#This Row],[Calculated emissions (kgCO2e) for this spend]]="","",(SupplychainTier2[[#This Row],[Calculated emissions (kgCO2e) for this spend]]*(1-SupplychainTier2[[#This Row],[RSD]])))</f>
        <v/>
      </c>
      <c r="V325" s="286">
        <v>0</v>
      </c>
    </row>
    <row r="326" spans="2:22" ht="15" thickBot="1" x14ac:dyDescent="0.4">
      <c r="B326" s="418" t="str">
        <f t="shared" si="14"/>
        <v/>
      </c>
      <c r="C326" s="289" t="str">
        <f t="shared" si="13"/>
        <v/>
      </c>
      <c r="D326" s="293"/>
      <c r="E326" s="419" t="s">
        <v>409</v>
      </c>
      <c r="F326" s="294"/>
      <c r="G326" s="70"/>
      <c r="H326" s="187" t="s">
        <v>263</v>
      </c>
      <c r="I326" s="291">
        <f>SupplychainTier2[[#This Row],[Spend for which Tier 2 method accounts]]</f>
        <v>0</v>
      </c>
      <c r="J326" s="296"/>
      <c r="K326" s="410" t="str">
        <f>IFERROR(SupplychainTier2[[#This Row],[Calculated emissions (kgCO2e) for this spend]]/SupplychainTier2[[#This Row],[Spend for which Tier 2 method accounts]],"")</f>
        <v/>
      </c>
      <c r="L326" s="199"/>
      <c r="M326" s="103"/>
      <c r="N326" s="103"/>
      <c r="O326" s="286">
        <v>0</v>
      </c>
      <c r="P326" s="286">
        <v>0</v>
      </c>
      <c r="Q326" s="286">
        <f>SupplychainTier2[[#This Row],[Calculated emissions (kgCO2e) for this spend]]</f>
        <v>0</v>
      </c>
      <c r="R326" s="286">
        <v>0</v>
      </c>
      <c r="S326" s="286">
        <v>0</v>
      </c>
      <c r="T326" s="290" t="str">
        <f>IF(SupplychainTier2[[#This Row],[Calculated emissions (kgCO2e) for this spend]]="","",(SupplychainTier2[[#This Row],[Calculated emissions (kgCO2e) for this spend]]*(1+SupplychainTier2[[#This Row],[RSD]])))</f>
        <v/>
      </c>
      <c r="U326" s="290" t="str">
        <f>IF(SupplychainTier2[[#This Row],[Calculated emissions (kgCO2e) for this spend]]="","",(SupplychainTier2[[#This Row],[Calculated emissions (kgCO2e) for this spend]]*(1-SupplychainTier2[[#This Row],[RSD]])))</f>
        <v/>
      </c>
      <c r="V326" s="286">
        <v>0</v>
      </c>
    </row>
    <row r="327" spans="2:22" ht="15" thickBot="1" x14ac:dyDescent="0.4">
      <c r="B327" s="418" t="str">
        <f t="shared" si="14"/>
        <v/>
      </c>
      <c r="C327" s="289" t="str">
        <f t="shared" si="13"/>
        <v/>
      </c>
      <c r="D327" s="293"/>
      <c r="E327" s="419" t="s">
        <v>409</v>
      </c>
      <c r="F327" s="294"/>
      <c r="G327" s="70"/>
      <c r="H327" s="187" t="s">
        <v>263</v>
      </c>
      <c r="I327" s="291">
        <f>SupplychainTier2[[#This Row],[Spend for which Tier 2 method accounts]]</f>
        <v>0</v>
      </c>
      <c r="J327" s="296"/>
      <c r="K327" s="410" t="str">
        <f>IFERROR(SupplychainTier2[[#This Row],[Calculated emissions (kgCO2e) for this spend]]/SupplychainTier2[[#This Row],[Spend for which Tier 2 method accounts]],"")</f>
        <v/>
      </c>
      <c r="L327" s="199"/>
      <c r="M327" s="103"/>
      <c r="N327" s="103"/>
      <c r="O327" s="286">
        <v>0</v>
      </c>
      <c r="P327" s="286">
        <v>0</v>
      </c>
      <c r="Q327" s="286">
        <f>SupplychainTier2[[#This Row],[Calculated emissions (kgCO2e) for this spend]]</f>
        <v>0</v>
      </c>
      <c r="R327" s="286">
        <v>0</v>
      </c>
      <c r="S327" s="286">
        <v>0</v>
      </c>
      <c r="T327" s="290" t="str">
        <f>IF(SupplychainTier2[[#This Row],[Calculated emissions (kgCO2e) for this spend]]="","",(SupplychainTier2[[#This Row],[Calculated emissions (kgCO2e) for this spend]]*(1+SupplychainTier2[[#This Row],[RSD]])))</f>
        <v/>
      </c>
      <c r="U327" s="290" t="str">
        <f>IF(SupplychainTier2[[#This Row],[Calculated emissions (kgCO2e) for this spend]]="","",(SupplychainTier2[[#This Row],[Calculated emissions (kgCO2e) for this spend]]*(1-SupplychainTier2[[#This Row],[RSD]])))</f>
        <v/>
      </c>
      <c r="V327" s="286">
        <v>0</v>
      </c>
    </row>
    <row r="328" spans="2:22" ht="15" thickBot="1" x14ac:dyDescent="0.4">
      <c r="B328" s="418" t="str">
        <f t="shared" si="14"/>
        <v/>
      </c>
      <c r="C328" s="289" t="str">
        <f t="shared" si="13"/>
        <v/>
      </c>
      <c r="D328" s="293"/>
      <c r="E328" s="419" t="s">
        <v>409</v>
      </c>
      <c r="F328" s="294"/>
      <c r="G328" s="70"/>
      <c r="H328" s="187" t="s">
        <v>263</v>
      </c>
      <c r="I328" s="291">
        <f>SupplychainTier2[[#This Row],[Spend for which Tier 2 method accounts]]</f>
        <v>0</v>
      </c>
      <c r="J328" s="296"/>
      <c r="K328" s="410" t="str">
        <f>IFERROR(SupplychainTier2[[#This Row],[Calculated emissions (kgCO2e) for this spend]]/SupplychainTier2[[#This Row],[Spend for which Tier 2 method accounts]],"")</f>
        <v/>
      </c>
      <c r="L328" s="199"/>
      <c r="M328" s="103"/>
      <c r="N328" s="103"/>
      <c r="O328" s="286">
        <v>0</v>
      </c>
      <c r="P328" s="286">
        <v>0</v>
      </c>
      <c r="Q328" s="286">
        <f>SupplychainTier2[[#This Row],[Calculated emissions (kgCO2e) for this spend]]</f>
        <v>0</v>
      </c>
      <c r="R328" s="286">
        <v>0</v>
      </c>
      <c r="S328" s="286">
        <v>0</v>
      </c>
      <c r="T328" s="290" t="str">
        <f>IF(SupplychainTier2[[#This Row],[Calculated emissions (kgCO2e) for this spend]]="","",(SupplychainTier2[[#This Row],[Calculated emissions (kgCO2e) for this spend]]*(1+SupplychainTier2[[#This Row],[RSD]])))</f>
        <v/>
      </c>
      <c r="U328" s="290" t="str">
        <f>IF(SupplychainTier2[[#This Row],[Calculated emissions (kgCO2e) for this spend]]="","",(SupplychainTier2[[#This Row],[Calculated emissions (kgCO2e) for this spend]]*(1-SupplychainTier2[[#This Row],[RSD]])))</f>
        <v/>
      </c>
      <c r="V328" s="286">
        <v>0</v>
      </c>
    </row>
    <row r="329" spans="2:22" ht="15" thickBot="1" x14ac:dyDescent="0.4">
      <c r="B329" s="418" t="str">
        <f t="shared" si="14"/>
        <v/>
      </c>
      <c r="C329" s="289" t="str">
        <f t="shared" si="13"/>
        <v/>
      </c>
      <c r="D329" s="293"/>
      <c r="E329" s="419" t="s">
        <v>409</v>
      </c>
      <c r="F329" s="294"/>
      <c r="G329" s="70"/>
      <c r="H329" s="187" t="s">
        <v>263</v>
      </c>
      <c r="I329" s="291">
        <f>SupplychainTier2[[#This Row],[Spend for which Tier 2 method accounts]]</f>
        <v>0</v>
      </c>
      <c r="J329" s="297"/>
      <c r="K329" s="410" t="str">
        <f>IFERROR(SupplychainTier2[[#This Row],[Calculated emissions (kgCO2e) for this spend]]/SupplychainTier2[[#This Row],[Spend for which Tier 2 method accounts]],"")</f>
        <v/>
      </c>
      <c r="L329" s="199"/>
      <c r="M329" s="103"/>
      <c r="N329" s="103"/>
      <c r="O329" s="286">
        <v>0</v>
      </c>
      <c r="P329" s="286">
        <v>0</v>
      </c>
      <c r="Q329" s="286">
        <f>SupplychainTier2[[#This Row],[Calculated emissions (kgCO2e) for this spend]]</f>
        <v>0</v>
      </c>
      <c r="R329" s="286">
        <v>0</v>
      </c>
      <c r="S329" s="286">
        <v>0</v>
      </c>
      <c r="T329" s="290" t="str">
        <f>IF(SupplychainTier2[[#This Row],[Calculated emissions (kgCO2e) for this spend]]="","",(SupplychainTier2[[#This Row],[Calculated emissions (kgCO2e) for this spend]]*(1+SupplychainTier2[[#This Row],[RSD]])))</f>
        <v/>
      </c>
      <c r="U329" s="290" t="str">
        <f>IF(SupplychainTier2[[#This Row],[Calculated emissions (kgCO2e) for this spend]]="","",(SupplychainTier2[[#This Row],[Calculated emissions (kgCO2e) for this spend]]*(1-SupplychainTier2[[#This Row],[RSD]])))</f>
        <v/>
      </c>
      <c r="V329" s="286">
        <v>0</v>
      </c>
    </row>
  </sheetData>
  <sheetProtection algorithmName="SHA-512" hashValue="AFLaDV2Gdd6ujVe177JxBNyxJLXKCQgZXUV5S0+cSJfuGbrb2YT9PtWXPFgf8F6IhHM7unmVXzqcQD9wlIFghg==" saltValue="nZEt2vj1Nd01XwdKMawV+g==" spinCount="100000" sheet="1" objects="1" scenarios="1"/>
  <mergeCells count="115">
    <mergeCell ref="B4:L4"/>
    <mergeCell ref="B5:L5"/>
    <mergeCell ref="B119:I120"/>
    <mergeCell ref="B3:I3"/>
    <mergeCell ref="W12:Y12"/>
    <mergeCell ref="W13:Y13"/>
    <mergeCell ref="W14:Y14"/>
    <mergeCell ref="W15:Y15"/>
    <mergeCell ref="W16:Y16"/>
    <mergeCell ref="W9:Y9"/>
    <mergeCell ref="W10:Y10"/>
    <mergeCell ref="W11:Y11"/>
    <mergeCell ref="W22:Y22"/>
    <mergeCell ref="W23:Y23"/>
    <mergeCell ref="W24:Y24"/>
    <mergeCell ref="W25:Y25"/>
    <mergeCell ref="W26:Y26"/>
    <mergeCell ref="W17:Y17"/>
    <mergeCell ref="W18:Y18"/>
    <mergeCell ref="W19:Y19"/>
    <mergeCell ref="W20:Y20"/>
    <mergeCell ref="W21:Y21"/>
    <mergeCell ref="W32:Y32"/>
    <mergeCell ref="W33:Y33"/>
    <mergeCell ref="W34:Y34"/>
    <mergeCell ref="W35:Y35"/>
    <mergeCell ref="W36:Y36"/>
    <mergeCell ref="W27:Y27"/>
    <mergeCell ref="W28:Y28"/>
    <mergeCell ref="W29:Y29"/>
    <mergeCell ref="W30:Y30"/>
    <mergeCell ref="W31:Y31"/>
    <mergeCell ref="W42:Y42"/>
    <mergeCell ref="W43:Y43"/>
    <mergeCell ref="W44:Y44"/>
    <mergeCell ref="W45:Y45"/>
    <mergeCell ref="W46:Y46"/>
    <mergeCell ref="W37:Y37"/>
    <mergeCell ref="W38:Y38"/>
    <mergeCell ref="W39:Y39"/>
    <mergeCell ref="W40:Y40"/>
    <mergeCell ref="W41:Y41"/>
    <mergeCell ref="W52:Y52"/>
    <mergeCell ref="W53:Y53"/>
    <mergeCell ref="W54:Y54"/>
    <mergeCell ref="W55:Y55"/>
    <mergeCell ref="W56:Y56"/>
    <mergeCell ref="W47:Y47"/>
    <mergeCell ref="W48:Y48"/>
    <mergeCell ref="W49:Y49"/>
    <mergeCell ref="W50:Y50"/>
    <mergeCell ref="W51:Y51"/>
    <mergeCell ref="W62:Y62"/>
    <mergeCell ref="W63:Y63"/>
    <mergeCell ref="W64:Y64"/>
    <mergeCell ref="W65:Y65"/>
    <mergeCell ref="W66:Y66"/>
    <mergeCell ref="W57:Y57"/>
    <mergeCell ref="W58:Y58"/>
    <mergeCell ref="W59:Y59"/>
    <mergeCell ref="W60:Y60"/>
    <mergeCell ref="W61:Y61"/>
    <mergeCell ref="W72:Y72"/>
    <mergeCell ref="W73:Y73"/>
    <mergeCell ref="W74:Y74"/>
    <mergeCell ref="W75:Y75"/>
    <mergeCell ref="W76:Y76"/>
    <mergeCell ref="W67:Y67"/>
    <mergeCell ref="W68:Y68"/>
    <mergeCell ref="W69:Y69"/>
    <mergeCell ref="W70:Y70"/>
    <mergeCell ref="W71:Y71"/>
    <mergeCell ref="W82:Y82"/>
    <mergeCell ref="W83:Y83"/>
    <mergeCell ref="W84:Y84"/>
    <mergeCell ref="W85:Y85"/>
    <mergeCell ref="W86:Y86"/>
    <mergeCell ref="W77:Y77"/>
    <mergeCell ref="W78:Y78"/>
    <mergeCell ref="W79:Y79"/>
    <mergeCell ref="W80:Y80"/>
    <mergeCell ref="W81:Y81"/>
    <mergeCell ref="W93:Y93"/>
    <mergeCell ref="W94:Y94"/>
    <mergeCell ref="W95:Y95"/>
    <mergeCell ref="W96:Y96"/>
    <mergeCell ref="W87:Y87"/>
    <mergeCell ref="W88:Y88"/>
    <mergeCell ref="W89:Y89"/>
    <mergeCell ref="W90:Y90"/>
    <mergeCell ref="W91:Y91"/>
    <mergeCell ref="W117:Y117"/>
    <mergeCell ref="W8:Y8"/>
    <mergeCell ref="W7:Y7"/>
    <mergeCell ref="W112:Y112"/>
    <mergeCell ref="W113:Y113"/>
    <mergeCell ref="W114:Y114"/>
    <mergeCell ref="W115:Y115"/>
    <mergeCell ref="W116:Y116"/>
    <mergeCell ref="W107:Y107"/>
    <mergeCell ref="W108:Y108"/>
    <mergeCell ref="W109:Y109"/>
    <mergeCell ref="W110:Y110"/>
    <mergeCell ref="W111:Y111"/>
    <mergeCell ref="W102:Y102"/>
    <mergeCell ref="W103:Y103"/>
    <mergeCell ref="W104:Y104"/>
    <mergeCell ref="W105:Y105"/>
    <mergeCell ref="W106:Y106"/>
    <mergeCell ref="W97:Y97"/>
    <mergeCell ref="W98:Y98"/>
    <mergeCell ref="W99:Y99"/>
    <mergeCell ref="W100:Y100"/>
    <mergeCell ref="W101:Y101"/>
    <mergeCell ref="W92:Y92"/>
  </mergeCells>
  <phoneticPr fontId="22" type="noConversion"/>
  <conditionalFormatting sqref="B8:J117 L8:V117 B124:V214 B215:E226 G215:V228 F215:F329 B227:D311 E227:E329 I229:J312 G229:H329 K229:V329 D312 B312:C329">
    <cfRule type="expression" dxfId="27" priority="2">
      <formula>IF($Z8=1,1,0)</formula>
    </cfRule>
  </conditionalFormatting>
  <conditionalFormatting sqref="K8:K117">
    <cfRule type="expression" dxfId="26" priority="1">
      <formula>IF($Z8=1,1,0)</formula>
    </cfRule>
  </conditionalFormatting>
  <conditionalFormatting sqref="L6">
    <cfRule type="containsText" dxfId="25" priority="5" operator="containsText" text="There are errors">
      <formula>NOT(ISERROR(SEARCH("There are errors",L6)))</formula>
    </cfRule>
    <cfRule type="containsText" dxfId="24" priority="6" operator="containsText" text="No errors in this table">
      <formula>NOT(ISERROR(SEARCH("No errors in this table",L6)))</formula>
    </cfRule>
  </conditionalFormatting>
  <conditionalFormatting sqref="L122">
    <cfRule type="containsText" dxfId="23" priority="3" operator="containsText" text="There are errors">
      <formula>NOT(ISERROR(SEARCH("There are errors",L122)))</formula>
    </cfRule>
    <cfRule type="containsText" dxfId="22" priority="4" operator="containsText" text="No errors in this table">
      <formula>NOT(ISERROR(SEARCH("No errors in this table",L122)))</formula>
    </cfRule>
  </conditionalFormatting>
  <dataValidations count="8">
    <dataValidation type="decimal" operator="greaterThan" allowBlank="1" showInputMessage="1" showErrorMessage="1" errorTitle="Numeric data" error="Please enter a number greater than zero" sqref="G124:G329 L124:L329" xr:uid="{00000000-0002-0000-0700-000001000000}">
      <formula1>0</formula1>
    </dataValidation>
    <dataValidation type="list" allowBlank="1" showInputMessage="1" showErrorMessage="1" sqref="F124:F329" xr:uid="{FB7B38A2-943D-4B83-AC50-FB0C3C90F742}">
      <formula1>SupplyChain_Tier2RSD</formula1>
    </dataValidation>
    <dataValidation type="list" allowBlank="1" showInputMessage="1" showErrorMessage="1" sqref="F8:F117" xr:uid="{00000000-0002-0000-0700-000000000000}">
      <formula1>RSD</formula1>
    </dataValidation>
    <dataValidation type="list" allowBlank="1" showInputMessage="1" showErrorMessage="1" sqref="D124:D329" xr:uid="{3702FA40-89AB-4357-98AD-B5CA1C324F41}">
      <formula1>SICProductCategories</formula1>
    </dataValidation>
    <dataValidation allowBlank="1" showInputMessage="1" showErrorMessage="1" promptTitle="Warning!" prompt="If you enter data here, please check that you are not double counting emissions that are already covered by operational emissions reported elsewhere" sqref="G11:G12 G32 G59:G63 G71:G74" xr:uid="{12C7B941-FF11-4393-B3AC-B249DFB8F699}"/>
    <dataValidation type="list" allowBlank="1" showInputMessage="1" showErrorMessage="1" sqref="N8:N117 N124:N329" xr:uid="{BD8058B9-C91A-4858-BB1F-11257C778D94}">
      <formula1>Ease</formula1>
    </dataValidation>
    <dataValidation allowBlank="1" showInputMessage="1" showErrorMessage="1" promptTitle="Info" prompt="This is the combined sum of tier 1 and 2, taking in to account that the spend in this table includes the spend in the tier 2 table below" sqref="Q7" xr:uid="{CD20A4E9-28B2-4E82-8430-A5A4BA558E61}"/>
    <dataValidation allowBlank="1" showInputMessage="1" showErrorMessage="1" promptTitle="Info" prompt="This is only the tier 1 total, add tier 2 spend and emissions in the table below" sqref="L7" xr:uid="{5A3F7D0A-3F42-4835-8487-E608BD45D36E}"/>
  </dataValidations>
  <pageMargins left="0.7" right="0.7" top="0.75" bottom="0.75" header="0.3" footer="0.3"/>
  <pageSetup paperSize="9" orientation="portrait" r:id="rId1"/>
  <tableParts count="2">
    <tablePart r:id="rId2"/>
    <tablePart r:id="rId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27CCF9"/>
  </sheetPr>
  <dimension ref="A1:Y145"/>
  <sheetViews>
    <sheetView zoomScale="70" zoomScaleNormal="70" workbookViewId="0">
      <selection activeCell="X1" sqref="X1:Y1048576"/>
    </sheetView>
  </sheetViews>
  <sheetFormatPr defaultColWidth="8.54296875" defaultRowHeight="14.5" x14ac:dyDescent="0.35"/>
  <cols>
    <col min="1" max="1" width="2.6328125" style="1" customWidth="1"/>
    <col min="2" max="2" width="37.453125" style="1" customWidth="1"/>
    <col min="3" max="3" width="11.54296875" style="1" customWidth="1"/>
    <col min="4" max="4" width="16.6328125" style="1" customWidth="1"/>
    <col min="5" max="5" width="18.6328125" style="1" customWidth="1"/>
    <col min="6" max="6" width="26.6328125" style="1" customWidth="1"/>
    <col min="7" max="7" width="16" style="1" customWidth="1"/>
    <col min="8" max="8" width="7.6328125" style="1" customWidth="1"/>
    <col min="9" max="9" width="15.36328125" style="1" customWidth="1"/>
    <col min="10" max="10" width="10.6328125" style="1" customWidth="1"/>
    <col min="11" max="11" width="25.6328125" style="1" customWidth="1"/>
    <col min="12" max="12" width="26.453125" style="1" customWidth="1"/>
    <col min="13" max="13" width="18.453125" style="1" customWidth="1"/>
    <col min="14" max="14" width="16.36328125" style="1" customWidth="1"/>
    <col min="15" max="15" width="8.54296875" style="1"/>
    <col min="16" max="16" width="9.6328125" style="1" customWidth="1"/>
    <col min="17" max="19" width="8.54296875" style="1"/>
    <col min="20" max="20" width="11.90625" style="1" bestFit="1" customWidth="1"/>
    <col min="21" max="21" width="10.90625" style="1" bestFit="1" customWidth="1"/>
    <col min="22" max="22" width="12.453125" style="1" bestFit="1" customWidth="1"/>
    <col min="23" max="23" width="8.54296875" style="1" customWidth="1"/>
    <col min="24" max="25" width="8.54296875" style="1" hidden="1" customWidth="1"/>
    <col min="26" max="16384" width="8.54296875" style="1"/>
  </cols>
  <sheetData>
    <row r="1" spans="1:25" ht="15" thickBot="1" x14ac:dyDescent="0.4">
      <c r="G1" s="304" t="s">
        <v>155</v>
      </c>
      <c r="K1" s="80" t="s">
        <v>9</v>
      </c>
      <c r="L1" s="81" t="s">
        <v>13</v>
      </c>
    </row>
    <row r="2" spans="1:25" ht="16.25" customHeight="1" thickBot="1" x14ac:dyDescent="0.4">
      <c r="B2" s="599" t="s">
        <v>410</v>
      </c>
      <c r="C2" s="600"/>
      <c r="D2" s="600"/>
      <c r="E2" s="600"/>
      <c r="F2" s="601"/>
      <c r="G2" s="18"/>
      <c r="K2" s="79" t="s">
        <v>11</v>
      </c>
      <c r="L2" s="82" t="s">
        <v>15</v>
      </c>
    </row>
    <row r="3" spans="1:25" ht="76.25" customHeight="1" x14ac:dyDescent="0.35">
      <c r="B3" s="526" t="s">
        <v>411</v>
      </c>
      <c r="C3" s="527"/>
      <c r="D3" s="527"/>
      <c r="E3" s="527"/>
      <c r="F3" s="527"/>
      <c r="G3" s="527"/>
      <c r="H3" s="527"/>
      <c r="I3" s="527"/>
      <c r="J3" s="527"/>
      <c r="K3" s="527"/>
      <c r="L3" s="592"/>
    </row>
    <row r="4" spans="1:25" ht="122" customHeight="1" x14ac:dyDescent="0.35">
      <c r="B4" s="526" t="s">
        <v>412</v>
      </c>
      <c r="C4" s="527"/>
      <c r="D4" s="527"/>
      <c r="E4" s="527"/>
      <c r="F4" s="527"/>
      <c r="G4" s="527"/>
      <c r="H4" s="527"/>
      <c r="I4" s="527"/>
      <c r="J4" s="527"/>
      <c r="K4" s="527"/>
      <c r="L4" s="592"/>
    </row>
    <row r="5" spans="1:25" ht="19.25" customHeight="1" thickBot="1" x14ac:dyDescent="0.5">
      <c r="A5" s="18"/>
      <c r="B5" s="420" t="s">
        <v>413</v>
      </c>
      <c r="C5" s="30"/>
    </row>
    <row r="6" spans="1:25" ht="33.65" customHeight="1" thickBot="1" x14ac:dyDescent="0.4">
      <c r="B6" s="536" t="s">
        <v>414</v>
      </c>
      <c r="C6" s="602"/>
      <c r="D6" s="3" t="s">
        <v>415</v>
      </c>
    </row>
    <row r="7" spans="1:25" ht="26.75" customHeight="1" thickBot="1" x14ac:dyDescent="0.4">
      <c r="B7" s="603" t="s">
        <v>416</v>
      </c>
      <c r="C7" s="604"/>
      <c r="D7" s="105"/>
    </row>
    <row r="8" spans="1:25" ht="39.65" customHeight="1" thickBot="1" x14ac:dyDescent="0.4">
      <c r="B8" s="605" t="s">
        <v>417</v>
      </c>
      <c r="C8" s="606"/>
      <c r="D8" s="105"/>
    </row>
    <row r="9" spans="1:25" ht="52.5" customHeight="1" thickBot="1" x14ac:dyDescent="0.4">
      <c r="B9" s="607" t="s">
        <v>418</v>
      </c>
      <c r="C9" s="608"/>
      <c r="D9" s="105"/>
    </row>
    <row r="10" spans="1:25" ht="39.65" customHeight="1" thickBot="1" x14ac:dyDescent="0.4">
      <c r="B10" s="609" t="s">
        <v>419</v>
      </c>
      <c r="C10" s="610"/>
      <c r="D10" s="105"/>
    </row>
    <row r="11" spans="1:25" ht="39.65" customHeight="1" thickBot="1" x14ac:dyDescent="0.4">
      <c r="B11" s="611" t="s">
        <v>420</v>
      </c>
      <c r="C11" s="612"/>
      <c r="D11" s="106"/>
      <c r="F11" s="421" t="s">
        <v>421</v>
      </c>
    </row>
    <row r="12" spans="1:25" ht="39.65" customHeight="1" thickBot="1" x14ac:dyDescent="0.4">
      <c r="B12" s="613" t="s">
        <v>94</v>
      </c>
      <c r="C12" s="614"/>
      <c r="D12" s="422" t="str">
        <f>IF(SUM(D7:D11)=0,"",SUM(D7:D11))</f>
        <v/>
      </c>
      <c r="F12" s="423" t="str">
        <f>IF(D12="","",IF(D12=0,"No land assets within boundary, no further action required",IF(D12&lt;10,"Minimal land assets within boundary - manage for biodiversity and recreation",IF(D12&gt;=10,"Complete table below"))))</f>
        <v/>
      </c>
    </row>
    <row r="13" spans="1:25" ht="18.649999999999999" customHeight="1" x14ac:dyDescent="0.35"/>
    <row r="14" spans="1:25" ht="19" thickBot="1" x14ac:dyDescent="0.5">
      <c r="B14" s="420" t="s">
        <v>422</v>
      </c>
      <c r="C14" s="424"/>
      <c r="F14"/>
      <c r="G14" s="317" t="str">
        <f>IF($Y$15=0,"No data entered",IF($X$15=0,"No errors in this table","There are errors in this table see highlighted row(s)"))</f>
        <v>No data entered</v>
      </c>
      <c r="X14" s="9" t="s">
        <v>175</v>
      </c>
      <c r="Y14" s="9" t="s">
        <v>161</v>
      </c>
    </row>
    <row r="15" spans="1:25" s="425" customFormat="1" ht="65.5" thickBot="1" x14ac:dyDescent="0.4">
      <c r="B15" s="3" t="s">
        <v>423</v>
      </c>
      <c r="C15" s="3" t="s">
        <v>424</v>
      </c>
      <c r="D15" s="3" t="s">
        <v>425</v>
      </c>
      <c r="E15" s="3" t="s">
        <v>180</v>
      </c>
      <c r="F15" s="3" t="s">
        <v>426</v>
      </c>
      <c r="G15" s="3" t="s">
        <v>415</v>
      </c>
      <c r="H15" s="3" t="s">
        <v>406</v>
      </c>
      <c r="I15" s="3" t="s">
        <v>184</v>
      </c>
      <c r="J15" s="3" t="s">
        <v>185</v>
      </c>
      <c r="K15" s="298" t="s">
        <v>427</v>
      </c>
      <c r="L15" s="299" t="s">
        <v>428</v>
      </c>
      <c r="M15" s="3" t="s">
        <v>429</v>
      </c>
      <c r="N15" s="3" t="s">
        <v>189</v>
      </c>
      <c r="O15" s="3" t="s">
        <v>92</v>
      </c>
      <c r="P15" s="3" t="s">
        <v>190</v>
      </c>
      <c r="Q15" s="3" t="s">
        <v>191</v>
      </c>
      <c r="R15" s="3" t="s">
        <v>192</v>
      </c>
      <c r="S15" s="3" t="s">
        <v>193</v>
      </c>
      <c r="T15" s="3" t="s">
        <v>100</v>
      </c>
      <c r="U15" s="3" t="s">
        <v>101</v>
      </c>
      <c r="V15" s="3" t="s">
        <v>96</v>
      </c>
      <c r="X15" s="9">
        <f>SUM(X16:X99)</f>
        <v>0</v>
      </c>
      <c r="Y15" s="9">
        <f>SUM(Y16:Y99)</f>
        <v>0</v>
      </c>
    </row>
    <row r="16" spans="1:25" ht="15" thickBot="1" x14ac:dyDescent="0.4">
      <c r="B16" s="107"/>
      <c r="C16" s="107"/>
      <c r="D16" s="107"/>
      <c r="E16" s="426" t="s">
        <v>262</v>
      </c>
      <c r="F16" s="139" t="str">
        <f>IF(LandTier1Table[[#This Row],[Total  kg CO2e]]="", " ", 0.25)</f>
        <v xml:space="preserve"> </v>
      </c>
      <c r="G16" s="70"/>
      <c r="H16" s="188" t="s">
        <v>430</v>
      </c>
      <c r="I16" s="188">
        <f>LandTier1Table[[#This Row],[Land area in hectares (ha)]]</f>
        <v>0</v>
      </c>
      <c r="J16" s="188" t="s">
        <v>430</v>
      </c>
      <c r="K16" s="427" t="str" cm="1">
        <f t="array" ref="K16">IF(OR(B16="",C16="",D16="",G16=""),"",INDEX('Land Emission Factors'!$E$9:$J$20,MATCH(B16&amp;C16,'Land Emission Factors'!$C$9:$C$20&amp;'Land Emission Factors'!$D$9:$D$20,0),MATCH('Land use &amp; agriculture'!D16,'Land Emission Factors'!$E$8:$J$8,0)))</f>
        <v/>
      </c>
      <c r="L16" s="186" t="str">
        <f t="shared" ref="L16" si="0">IF(OR(B16="",C16="",D16="",G16="",K16="No emission factor available"),"",G16*K16*1000)</f>
        <v/>
      </c>
      <c r="M16" s="227"/>
      <c r="N16" s="226"/>
      <c r="O16" s="186">
        <v>0</v>
      </c>
      <c r="P16" s="186">
        <v>0</v>
      </c>
      <c r="Q16" s="186">
        <v>0</v>
      </c>
      <c r="R16" s="186">
        <v>0</v>
      </c>
      <c r="S16" s="186">
        <v>0</v>
      </c>
      <c r="T16" s="186" t="str">
        <f>IF(LandTier1Table[[#This Row],[Total  kg CO2e]]="", "",(LandTier1Table[[#This Row],[Total  kg CO2e]]*(1+LandTier1Table[[#This Row],[RSD estimate (+/-%)]])))</f>
        <v/>
      </c>
      <c r="U16" s="186" t="str">
        <f>IF(LandTier1Table[[#This Row],[Total  kg CO2e]]="", "",(LandTier1Table[[#This Row],[Total  kg CO2e]]*(1-LandTier1Table[[#This Row],[RSD estimate (+/-%)]])))</f>
        <v/>
      </c>
      <c r="V16" s="186" t="str">
        <f>LandTier1Table[[#This Row],[Total  kg CO2e]]</f>
        <v/>
      </c>
      <c r="X16" s="1" cm="1">
        <f t="array" ref="X16">IF(OR(ISERROR(B16:V16)),1,0)</f>
        <v>0</v>
      </c>
      <c r="Y16" s="1">
        <f>IF(AND(D16="",G16="",B16=""),0,1)</f>
        <v>0</v>
      </c>
    </row>
    <row r="17" spans="2:25" ht="15" thickBot="1" x14ac:dyDescent="0.4">
      <c r="B17" s="107"/>
      <c r="C17" s="107"/>
      <c r="D17" s="107"/>
      <c r="E17" s="426" t="s">
        <v>262</v>
      </c>
      <c r="F17" s="139" t="str">
        <f>IF(LandTier1Table[[#This Row],[Total  kg CO2e]]="", " ", 0.25)</f>
        <v xml:space="preserve"> </v>
      </c>
      <c r="G17" s="70"/>
      <c r="H17" s="188" t="s">
        <v>430</v>
      </c>
      <c r="I17" s="188">
        <f>LandTier1Table[[#This Row],[Land area in hectares (ha)]]</f>
        <v>0</v>
      </c>
      <c r="J17" s="188" t="s">
        <v>430</v>
      </c>
      <c r="K17" s="427" t="str" cm="1">
        <f t="array" ref="K17">IF(OR(B17="",C17="",D17="",G17=""),"",INDEX('Land Emission Factors'!$E$9:$J$20,MATCH(B17&amp;C17,'Land Emission Factors'!$C$9:$C$20&amp;'Land Emission Factors'!$D$9:$D$20,0),MATCH('Land use &amp; agriculture'!D17,'Land Emission Factors'!$E$8:$J$8,0)))</f>
        <v/>
      </c>
      <c r="L17" s="186" t="str">
        <f t="shared" ref="L17:L80" si="1">IF(OR(B17="",C17="",D17="",G17="",K17="No emission factor available"),"",G17*K17*1000)</f>
        <v/>
      </c>
      <c r="M17" s="227"/>
      <c r="N17" s="226"/>
      <c r="O17" s="186">
        <v>0</v>
      </c>
      <c r="P17" s="186">
        <v>0</v>
      </c>
      <c r="Q17" s="186">
        <v>0</v>
      </c>
      <c r="R17" s="186">
        <v>0</v>
      </c>
      <c r="S17" s="186">
        <v>0</v>
      </c>
      <c r="T17" s="186" t="str">
        <f>IF(LandTier1Table[[#This Row],[Total  kg CO2e]]="", "",(LandTier1Table[[#This Row],[Total  kg CO2e]]*(1+LandTier1Table[[#This Row],[RSD estimate (+/-%)]])))</f>
        <v/>
      </c>
      <c r="U17" s="186" t="str">
        <f>IF(LandTier1Table[[#This Row],[Total  kg CO2e]]="", "",(LandTier1Table[[#This Row],[Total  kg CO2e]]*(1-LandTier1Table[[#This Row],[RSD estimate (+/-%)]])))</f>
        <v/>
      </c>
      <c r="V17" s="186" t="str">
        <f>LandTier1Table[[#This Row],[Total  kg CO2e]]</f>
        <v/>
      </c>
      <c r="X17" s="1" cm="1">
        <f t="array" ref="X17">IF(OR(ISERROR(B17:V17)),1,0)</f>
        <v>0</v>
      </c>
      <c r="Y17" s="1">
        <f t="shared" ref="Y17:Y99" si="2">IF(AND(D17="",G17="",B17=""),0,1)</f>
        <v>0</v>
      </c>
    </row>
    <row r="18" spans="2:25" ht="15" thickBot="1" x14ac:dyDescent="0.4">
      <c r="B18" s="107"/>
      <c r="C18" s="107"/>
      <c r="D18" s="107"/>
      <c r="E18" s="426" t="s">
        <v>262</v>
      </c>
      <c r="F18" s="139" t="str">
        <f>IF(LandTier1Table[[#This Row],[Total  kg CO2e]]="", " ", 0.25)</f>
        <v xml:space="preserve"> </v>
      </c>
      <c r="G18" s="108"/>
      <c r="H18" s="188" t="s">
        <v>430</v>
      </c>
      <c r="I18" s="188">
        <f>LandTier1Table[[#This Row],[Land area in hectares (ha)]]</f>
        <v>0</v>
      </c>
      <c r="J18" s="188" t="s">
        <v>430</v>
      </c>
      <c r="K18" s="427" t="str" cm="1">
        <f t="array" ref="K18">IF(OR(B18="",C18="",D18="",G18=""),"",INDEX('Land Emission Factors'!$E$9:$J$20,MATCH(B18&amp;C18,'Land Emission Factors'!$C$9:$C$20&amp;'Land Emission Factors'!$D$9:$D$20,0),MATCH('Land use &amp; agriculture'!D18,'Land Emission Factors'!$E$8:$J$8,0)))</f>
        <v/>
      </c>
      <c r="L18" s="186" t="str">
        <f t="shared" si="1"/>
        <v/>
      </c>
      <c r="M18" s="227"/>
      <c r="N18" s="226"/>
      <c r="O18" s="186">
        <v>0</v>
      </c>
      <c r="P18" s="186">
        <v>0</v>
      </c>
      <c r="Q18" s="186">
        <v>0</v>
      </c>
      <c r="R18" s="186">
        <v>0</v>
      </c>
      <c r="S18" s="186">
        <v>0</v>
      </c>
      <c r="T18" s="186" t="str">
        <f>IF(LandTier1Table[[#This Row],[Total  kg CO2e]]="", "",(LandTier1Table[[#This Row],[Total  kg CO2e]]*(1+LandTier1Table[[#This Row],[RSD estimate (+/-%)]])))</f>
        <v/>
      </c>
      <c r="U18" s="186" t="str">
        <f>IF(LandTier1Table[[#This Row],[Total  kg CO2e]]="", "",(LandTier1Table[[#This Row],[Total  kg CO2e]]*(1-LandTier1Table[[#This Row],[RSD estimate (+/-%)]])))</f>
        <v/>
      </c>
      <c r="V18" s="186" t="str">
        <f>LandTier1Table[[#This Row],[Total  kg CO2e]]</f>
        <v/>
      </c>
      <c r="X18" s="1" cm="1">
        <f t="array" ref="X18">IF(OR(ISERROR(B18:V18)),1,0)</f>
        <v>0</v>
      </c>
      <c r="Y18" s="1">
        <f t="shared" si="2"/>
        <v>0</v>
      </c>
    </row>
    <row r="19" spans="2:25" ht="15" thickBot="1" x14ac:dyDescent="0.4">
      <c r="B19" s="107"/>
      <c r="C19" s="107"/>
      <c r="D19" s="107"/>
      <c r="E19" s="426" t="s">
        <v>262</v>
      </c>
      <c r="F19" s="139" t="str">
        <f>IF(LandTier1Table[[#This Row],[Total  kg CO2e]]="", " ", 0.25)</f>
        <v xml:space="preserve"> </v>
      </c>
      <c r="G19" s="108"/>
      <c r="H19" s="188" t="s">
        <v>430</v>
      </c>
      <c r="I19" s="188">
        <f>LandTier1Table[[#This Row],[Land area in hectares (ha)]]</f>
        <v>0</v>
      </c>
      <c r="J19" s="188" t="s">
        <v>430</v>
      </c>
      <c r="K19" s="427" t="str" cm="1">
        <f t="array" ref="K19">IF(OR(B19="",C19="",D19="",G19=""),"",INDEX('Land Emission Factors'!$E$9:$J$20,MATCH(B19&amp;C19,'Land Emission Factors'!$C$9:$C$20&amp;'Land Emission Factors'!$D$9:$D$20,0),MATCH('Land use &amp; agriculture'!D19,'Land Emission Factors'!$E$8:$J$8,0)))</f>
        <v/>
      </c>
      <c r="L19" s="186" t="str">
        <f t="shared" si="1"/>
        <v/>
      </c>
      <c r="M19" s="227"/>
      <c r="N19" s="226"/>
      <c r="O19" s="186">
        <v>0</v>
      </c>
      <c r="P19" s="186">
        <v>0</v>
      </c>
      <c r="Q19" s="186">
        <v>0</v>
      </c>
      <c r="R19" s="186">
        <v>0</v>
      </c>
      <c r="S19" s="186">
        <v>0</v>
      </c>
      <c r="T19" s="186" t="str">
        <f>IF(LandTier1Table[[#This Row],[Total  kg CO2e]]="", "",(LandTier1Table[[#This Row],[Total  kg CO2e]]*(1+LandTier1Table[[#This Row],[RSD estimate (+/-%)]])))</f>
        <v/>
      </c>
      <c r="U19" s="186" t="str">
        <f>IF(LandTier1Table[[#This Row],[Total  kg CO2e]]="", "",(LandTier1Table[[#This Row],[Total  kg CO2e]]*(1-LandTier1Table[[#This Row],[RSD estimate (+/-%)]])))</f>
        <v/>
      </c>
      <c r="V19" s="186" t="str">
        <f>LandTier1Table[[#This Row],[Total  kg CO2e]]</f>
        <v/>
      </c>
      <c r="X19" s="1" cm="1">
        <f t="array" ref="X19">IF(OR(ISERROR(B19:V19)),1,0)</f>
        <v>0</v>
      </c>
      <c r="Y19" s="1">
        <f t="shared" si="2"/>
        <v>0</v>
      </c>
    </row>
    <row r="20" spans="2:25" ht="15" thickBot="1" x14ac:dyDescent="0.4">
      <c r="B20" s="107"/>
      <c r="C20" s="107"/>
      <c r="D20" s="107"/>
      <c r="E20" s="426" t="s">
        <v>262</v>
      </c>
      <c r="F20" s="139" t="str">
        <f>IF(LandTier1Table[[#This Row],[Total  kg CO2e]]="", " ", 0.25)</f>
        <v xml:space="preserve"> </v>
      </c>
      <c r="G20" s="108"/>
      <c r="H20" s="188" t="s">
        <v>430</v>
      </c>
      <c r="I20" s="188">
        <f>LandTier1Table[[#This Row],[Land area in hectares (ha)]]</f>
        <v>0</v>
      </c>
      <c r="J20" s="188" t="s">
        <v>430</v>
      </c>
      <c r="K20" s="427" t="str" cm="1">
        <f t="array" ref="K20">IF(OR(B20="",C20="",D20="",G20=""),"",INDEX('Land Emission Factors'!$E$9:$J$20,MATCH(B20&amp;C20,'Land Emission Factors'!$C$9:$C$20&amp;'Land Emission Factors'!$D$9:$D$20,0),MATCH('Land use &amp; agriculture'!D20,'Land Emission Factors'!$E$8:$J$8,0)))</f>
        <v/>
      </c>
      <c r="L20" s="186" t="str">
        <f t="shared" si="1"/>
        <v/>
      </c>
      <c r="M20" s="227"/>
      <c r="N20" s="226"/>
      <c r="O20" s="186">
        <v>0</v>
      </c>
      <c r="P20" s="186">
        <v>0</v>
      </c>
      <c r="Q20" s="186">
        <v>0</v>
      </c>
      <c r="R20" s="186">
        <v>0</v>
      </c>
      <c r="S20" s="186">
        <v>0</v>
      </c>
      <c r="T20" s="186" t="str">
        <f>IF(LandTier1Table[[#This Row],[Total  kg CO2e]]="", "",(LandTier1Table[[#This Row],[Total  kg CO2e]]*(1+LandTier1Table[[#This Row],[RSD estimate (+/-%)]])))</f>
        <v/>
      </c>
      <c r="U20" s="186" t="str">
        <f>IF(LandTier1Table[[#This Row],[Total  kg CO2e]]="", "",(LandTier1Table[[#This Row],[Total  kg CO2e]]*(1-LandTier1Table[[#This Row],[RSD estimate (+/-%)]])))</f>
        <v/>
      </c>
      <c r="V20" s="186" t="str">
        <f>LandTier1Table[[#This Row],[Total  kg CO2e]]</f>
        <v/>
      </c>
      <c r="X20" s="1" cm="1">
        <f t="array" ref="X20">IF(OR(ISERROR(B20:V20)),1,0)</f>
        <v>0</v>
      </c>
      <c r="Y20" s="1">
        <f t="shared" si="2"/>
        <v>0</v>
      </c>
    </row>
    <row r="21" spans="2:25" ht="15" thickBot="1" x14ac:dyDescent="0.4">
      <c r="B21" s="107"/>
      <c r="C21" s="107"/>
      <c r="D21" s="107"/>
      <c r="E21" s="426" t="s">
        <v>262</v>
      </c>
      <c r="F21" s="139" t="str">
        <f>IF(LandTier1Table[[#This Row],[Total  kg CO2e]]="", " ", 0.25)</f>
        <v xml:space="preserve"> </v>
      </c>
      <c r="G21" s="108"/>
      <c r="H21" s="188" t="s">
        <v>430</v>
      </c>
      <c r="I21" s="188">
        <f>LandTier1Table[[#This Row],[Land area in hectares (ha)]]</f>
        <v>0</v>
      </c>
      <c r="J21" s="188" t="s">
        <v>430</v>
      </c>
      <c r="K21" s="427" t="str" cm="1">
        <f t="array" ref="K21">IF(OR(B21="",C21="",D21="",G21=""),"",INDEX('Land Emission Factors'!$E$9:$J$20,MATCH(B21&amp;C21,'Land Emission Factors'!$C$9:$C$20&amp;'Land Emission Factors'!$D$9:$D$20,0),MATCH('Land use &amp; agriculture'!D21,'Land Emission Factors'!$E$8:$J$8,0)))</f>
        <v/>
      </c>
      <c r="L21" s="186" t="str">
        <f t="shared" si="1"/>
        <v/>
      </c>
      <c r="M21" s="227"/>
      <c r="N21" s="226"/>
      <c r="O21" s="186">
        <v>0</v>
      </c>
      <c r="P21" s="186">
        <v>0</v>
      </c>
      <c r="Q21" s="186">
        <v>0</v>
      </c>
      <c r="R21" s="186">
        <v>0</v>
      </c>
      <c r="S21" s="186">
        <v>0</v>
      </c>
      <c r="T21" s="186" t="str">
        <f>IF(LandTier1Table[[#This Row],[Total  kg CO2e]]="", "",(LandTier1Table[[#This Row],[Total  kg CO2e]]*(1+LandTier1Table[[#This Row],[RSD estimate (+/-%)]])))</f>
        <v/>
      </c>
      <c r="U21" s="186" t="str">
        <f>IF(LandTier1Table[[#This Row],[Total  kg CO2e]]="", "",(LandTier1Table[[#This Row],[Total  kg CO2e]]*(1-LandTier1Table[[#This Row],[RSD estimate (+/-%)]])))</f>
        <v/>
      </c>
      <c r="V21" s="186" t="str">
        <f>LandTier1Table[[#This Row],[Total  kg CO2e]]</f>
        <v/>
      </c>
      <c r="X21" s="1" cm="1">
        <f t="array" ref="X21">IF(OR(ISERROR(B21:V21)),1,0)</f>
        <v>0</v>
      </c>
      <c r="Y21" s="1">
        <f t="shared" si="2"/>
        <v>0</v>
      </c>
    </row>
    <row r="22" spans="2:25" ht="15" thickBot="1" x14ac:dyDescent="0.4">
      <c r="B22" s="107"/>
      <c r="C22" s="107"/>
      <c r="D22" s="107"/>
      <c r="E22" s="426" t="s">
        <v>262</v>
      </c>
      <c r="F22" s="139" t="str">
        <f>IF(LandTier1Table[[#This Row],[Total  kg CO2e]]="", " ", 0.25)</f>
        <v xml:space="preserve"> </v>
      </c>
      <c r="G22" s="108"/>
      <c r="H22" s="188" t="s">
        <v>430</v>
      </c>
      <c r="I22" s="188">
        <f>LandTier1Table[[#This Row],[Land area in hectares (ha)]]</f>
        <v>0</v>
      </c>
      <c r="J22" s="188" t="s">
        <v>430</v>
      </c>
      <c r="K22" s="427" t="str" cm="1">
        <f t="array" ref="K22">IF(OR(B22="",C22="",D22="",G22=""),"",INDEX('Land Emission Factors'!$E$9:$J$20,MATCH(B22&amp;C22,'Land Emission Factors'!$C$9:$C$20&amp;'Land Emission Factors'!$D$9:$D$20,0),MATCH('Land use &amp; agriculture'!D22,'Land Emission Factors'!$E$8:$J$8,0)))</f>
        <v/>
      </c>
      <c r="L22" s="186" t="str">
        <f t="shared" si="1"/>
        <v/>
      </c>
      <c r="M22" s="227"/>
      <c r="N22" s="226"/>
      <c r="O22" s="186">
        <v>0</v>
      </c>
      <c r="P22" s="186">
        <v>0</v>
      </c>
      <c r="Q22" s="186">
        <v>0</v>
      </c>
      <c r="R22" s="186">
        <v>0</v>
      </c>
      <c r="S22" s="186">
        <v>0</v>
      </c>
      <c r="T22" s="186" t="str">
        <f>IF(LandTier1Table[[#This Row],[Total  kg CO2e]]="", "",(LandTier1Table[[#This Row],[Total  kg CO2e]]*(1+LandTier1Table[[#This Row],[RSD estimate (+/-%)]])))</f>
        <v/>
      </c>
      <c r="U22" s="186" t="str">
        <f>IF(LandTier1Table[[#This Row],[Total  kg CO2e]]="", "",(LandTier1Table[[#This Row],[Total  kg CO2e]]*(1-LandTier1Table[[#This Row],[RSD estimate (+/-%)]])))</f>
        <v/>
      </c>
      <c r="V22" s="186" t="str">
        <f>LandTier1Table[[#This Row],[Total  kg CO2e]]</f>
        <v/>
      </c>
      <c r="X22" s="1" cm="1">
        <f t="array" ref="X22">IF(OR(ISERROR(B22:V22)),1,0)</f>
        <v>0</v>
      </c>
      <c r="Y22" s="1">
        <f t="shared" si="2"/>
        <v>0</v>
      </c>
    </row>
    <row r="23" spans="2:25" ht="15" thickBot="1" x14ac:dyDescent="0.4">
      <c r="B23" s="107"/>
      <c r="C23" s="107"/>
      <c r="D23" s="107"/>
      <c r="E23" s="426" t="s">
        <v>262</v>
      </c>
      <c r="F23" s="139" t="str">
        <f>IF(LandTier1Table[[#This Row],[Total  kg CO2e]]="", " ", 0.25)</f>
        <v xml:space="preserve"> </v>
      </c>
      <c r="G23" s="108"/>
      <c r="H23" s="188" t="s">
        <v>430</v>
      </c>
      <c r="I23" s="188">
        <f>LandTier1Table[[#This Row],[Land area in hectares (ha)]]</f>
        <v>0</v>
      </c>
      <c r="J23" s="188" t="s">
        <v>430</v>
      </c>
      <c r="K23" s="427" t="str" cm="1">
        <f t="array" ref="K23">IF(OR(B23="",C23="",D23="",G23=""),"",INDEX('Land Emission Factors'!$E$9:$J$20,MATCH(B23&amp;C23,'Land Emission Factors'!$C$9:$C$20&amp;'Land Emission Factors'!$D$9:$D$20,0),MATCH('Land use &amp; agriculture'!D23,'Land Emission Factors'!$E$8:$J$8,0)))</f>
        <v/>
      </c>
      <c r="L23" s="186" t="str">
        <f t="shared" si="1"/>
        <v/>
      </c>
      <c r="M23" s="227"/>
      <c r="N23" s="226"/>
      <c r="O23" s="186">
        <v>0</v>
      </c>
      <c r="P23" s="186">
        <v>0</v>
      </c>
      <c r="Q23" s="186">
        <v>0</v>
      </c>
      <c r="R23" s="186">
        <v>0</v>
      </c>
      <c r="S23" s="186">
        <v>0</v>
      </c>
      <c r="T23" s="186" t="str">
        <f>IF(LandTier1Table[[#This Row],[Total  kg CO2e]]="", "",(LandTier1Table[[#This Row],[Total  kg CO2e]]*(1+LandTier1Table[[#This Row],[RSD estimate (+/-%)]])))</f>
        <v/>
      </c>
      <c r="U23" s="186" t="str">
        <f>IF(LandTier1Table[[#This Row],[Total  kg CO2e]]="", "",(LandTier1Table[[#This Row],[Total  kg CO2e]]*(1-LandTier1Table[[#This Row],[RSD estimate (+/-%)]])))</f>
        <v/>
      </c>
      <c r="V23" s="186" t="str">
        <f>LandTier1Table[[#This Row],[Total  kg CO2e]]</f>
        <v/>
      </c>
      <c r="X23" s="1" cm="1">
        <f t="array" ref="X23">IF(OR(ISERROR(B23:V23)),1,0)</f>
        <v>0</v>
      </c>
      <c r="Y23" s="1">
        <f t="shared" si="2"/>
        <v>0</v>
      </c>
    </row>
    <row r="24" spans="2:25" ht="15" thickBot="1" x14ac:dyDescent="0.4">
      <c r="B24" s="107"/>
      <c r="C24" s="107"/>
      <c r="D24" s="107"/>
      <c r="E24" s="426" t="s">
        <v>262</v>
      </c>
      <c r="F24" s="139" t="str">
        <f>IF(LandTier1Table[[#This Row],[Total  kg CO2e]]="", " ", 0.25)</f>
        <v xml:space="preserve"> </v>
      </c>
      <c r="G24" s="108"/>
      <c r="H24" s="188" t="s">
        <v>430</v>
      </c>
      <c r="I24" s="188">
        <f>LandTier1Table[[#This Row],[Land area in hectares (ha)]]</f>
        <v>0</v>
      </c>
      <c r="J24" s="188" t="s">
        <v>430</v>
      </c>
      <c r="K24" s="427" t="str" cm="1">
        <f t="array" ref="K24">IF(OR(B24="",C24="",D24="",G24=""),"",INDEX('Land Emission Factors'!$E$9:$J$20,MATCH(B24&amp;C24,'Land Emission Factors'!$C$9:$C$20&amp;'Land Emission Factors'!$D$9:$D$20,0),MATCH('Land use &amp; agriculture'!D24,'Land Emission Factors'!$E$8:$J$8,0)))</f>
        <v/>
      </c>
      <c r="L24" s="186" t="str">
        <f t="shared" si="1"/>
        <v/>
      </c>
      <c r="M24" s="227"/>
      <c r="N24" s="226"/>
      <c r="O24" s="186">
        <v>0</v>
      </c>
      <c r="P24" s="186">
        <v>0</v>
      </c>
      <c r="Q24" s="186">
        <v>0</v>
      </c>
      <c r="R24" s="186">
        <v>0</v>
      </c>
      <c r="S24" s="186">
        <v>0</v>
      </c>
      <c r="T24" s="186" t="str">
        <f>IF(LandTier1Table[[#This Row],[Total  kg CO2e]]="", "",(LandTier1Table[[#This Row],[Total  kg CO2e]]*(1+LandTier1Table[[#This Row],[RSD estimate (+/-%)]])))</f>
        <v/>
      </c>
      <c r="U24" s="186" t="str">
        <f>IF(LandTier1Table[[#This Row],[Total  kg CO2e]]="", "",(LandTier1Table[[#This Row],[Total  kg CO2e]]*(1-LandTier1Table[[#This Row],[RSD estimate (+/-%)]])))</f>
        <v/>
      </c>
      <c r="V24" s="186" t="str">
        <f>LandTier1Table[[#This Row],[Total  kg CO2e]]</f>
        <v/>
      </c>
      <c r="X24" s="1" cm="1">
        <f t="array" ref="X24">IF(OR(ISERROR(B24:V24)),1,0)</f>
        <v>0</v>
      </c>
      <c r="Y24" s="1">
        <f t="shared" si="2"/>
        <v>0</v>
      </c>
    </row>
    <row r="25" spans="2:25" ht="15" thickBot="1" x14ac:dyDescent="0.4">
      <c r="B25" s="107"/>
      <c r="C25" s="107"/>
      <c r="D25" s="107"/>
      <c r="E25" s="426" t="s">
        <v>262</v>
      </c>
      <c r="F25" s="139" t="str">
        <f>IF(LandTier1Table[[#This Row],[Total  kg CO2e]]="", " ", 0.25)</f>
        <v xml:space="preserve"> </v>
      </c>
      <c r="G25" s="108"/>
      <c r="H25" s="188" t="s">
        <v>430</v>
      </c>
      <c r="I25" s="188">
        <f>LandTier1Table[[#This Row],[Land area in hectares (ha)]]</f>
        <v>0</v>
      </c>
      <c r="J25" s="188" t="s">
        <v>430</v>
      </c>
      <c r="K25" s="427" t="str" cm="1">
        <f t="array" ref="K25">IF(OR(B25="",C25="",D25="",G25=""),"",INDEX('Land Emission Factors'!$E$9:$J$20,MATCH(B25&amp;C25,'Land Emission Factors'!$C$9:$C$20&amp;'Land Emission Factors'!$D$9:$D$20,0),MATCH('Land use &amp; agriculture'!D25,'Land Emission Factors'!$E$8:$J$8,0)))</f>
        <v/>
      </c>
      <c r="L25" s="186" t="str">
        <f t="shared" si="1"/>
        <v/>
      </c>
      <c r="M25" s="227"/>
      <c r="N25" s="226"/>
      <c r="O25" s="186">
        <v>0</v>
      </c>
      <c r="P25" s="186">
        <v>0</v>
      </c>
      <c r="Q25" s="186">
        <v>0</v>
      </c>
      <c r="R25" s="186">
        <v>0</v>
      </c>
      <c r="S25" s="186">
        <v>0</v>
      </c>
      <c r="T25" s="186" t="str">
        <f>IF(LandTier1Table[[#This Row],[Total  kg CO2e]]="", "",(LandTier1Table[[#This Row],[Total  kg CO2e]]*(1+LandTier1Table[[#This Row],[RSD estimate (+/-%)]])))</f>
        <v/>
      </c>
      <c r="U25" s="186" t="str">
        <f>IF(LandTier1Table[[#This Row],[Total  kg CO2e]]="", "",(LandTier1Table[[#This Row],[Total  kg CO2e]]*(1-LandTier1Table[[#This Row],[RSD estimate (+/-%)]])))</f>
        <v/>
      </c>
      <c r="V25" s="186" t="str">
        <f>LandTier1Table[[#This Row],[Total  kg CO2e]]</f>
        <v/>
      </c>
      <c r="X25" s="1" cm="1">
        <f t="array" ref="X25">IF(OR(ISERROR(B25:V25)),1,0)</f>
        <v>0</v>
      </c>
      <c r="Y25" s="1">
        <f t="shared" si="2"/>
        <v>0</v>
      </c>
    </row>
    <row r="26" spans="2:25" ht="15" thickBot="1" x14ac:dyDescent="0.4">
      <c r="B26" s="107"/>
      <c r="C26" s="107"/>
      <c r="D26" s="107"/>
      <c r="E26" s="426" t="s">
        <v>262</v>
      </c>
      <c r="F26" s="139" t="str">
        <f>IF(LandTier1Table[[#This Row],[Total  kg CO2e]]="", " ", 0.25)</f>
        <v xml:space="preserve"> </v>
      </c>
      <c r="G26" s="108"/>
      <c r="H26" s="188" t="s">
        <v>430</v>
      </c>
      <c r="I26" s="188">
        <f>LandTier1Table[[#This Row],[Land area in hectares (ha)]]</f>
        <v>0</v>
      </c>
      <c r="J26" s="188" t="s">
        <v>430</v>
      </c>
      <c r="K26" s="427" t="str" cm="1">
        <f t="array" ref="K26">IF(OR(B26="",C26="",D26="",G26=""),"",INDEX('Land Emission Factors'!$E$9:$J$20,MATCH(B26&amp;C26,'Land Emission Factors'!$C$9:$C$20&amp;'Land Emission Factors'!$D$9:$D$20,0),MATCH('Land use &amp; agriculture'!D26,'Land Emission Factors'!$E$8:$J$8,0)))</f>
        <v/>
      </c>
      <c r="L26" s="186" t="str">
        <f t="shared" si="1"/>
        <v/>
      </c>
      <c r="M26" s="227"/>
      <c r="N26" s="226"/>
      <c r="O26" s="186">
        <v>0</v>
      </c>
      <c r="P26" s="186">
        <v>0</v>
      </c>
      <c r="Q26" s="186">
        <v>0</v>
      </c>
      <c r="R26" s="186">
        <v>0</v>
      </c>
      <c r="S26" s="186">
        <v>0</v>
      </c>
      <c r="T26" s="186" t="str">
        <f>IF(LandTier1Table[[#This Row],[Total  kg CO2e]]="", "",(LandTier1Table[[#This Row],[Total  kg CO2e]]*(1+LandTier1Table[[#This Row],[RSD estimate (+/-%)]])))</f>
        <v/>
      </c>
      <c r="U26" s="186" t="str">
        <f>IF(LandTier1Table[[#This Row],[Total  kg CO2e]]="", "",(LandTier1Table[[#This Row],[Total  kg CO2e]]*(1-LandTier1Table[[#This Row],[RSD estimate (+/-%)]])))</f>
        <v/>
      </c>
      <c r="V26" s="186" t="str">
        <f>LandTier1Table[[#This Row],[Total  kg CO2e]]</f>
        <v/>
      </c>
      <c r="X26" s="1" cm="1">
        <f t="array" ref="X26">IF(OR(ISERROR(B26:V26)),1,0)</f>
        <v>0</v>
      </c>
      <c r="Y26" s="1">
        <f t="shared" si="2"/>
        <v>0</v>
      </c>
    </row>
    <row r="27" spans="2:25" ht="15" thickBot="1" x14ac:dyDescent="0.4">
      <c r="B27" s="107"/>
      <c r="C27" s="107"/>
      <c r="D27" s="107"/>
      <c r="E27" s="426" t="s">
        <v>262</v>
      </c>
      <c r="F27" s="139" t="str">
        <f>IF(LandTier1Table[[#This Row],[Total  kg CO2e]]="", " ", 0.25)</f>
        <v xml:space="preserve"> </v>
      </c>
      <c r="G27" s="108"/>
      <c r="H27" s="188" t="s">
        <v>430</v>
      </c>
      <c r="I27" s="188">
        <f>LandTier1Table[[#This Row],[Land area in hectares (ha)]]</f>
        <v>0</v>
      </c>
      <c r="J27" s="188" t="s">
        <v>430</v>
      </c>
      <c r="K27" s="427" t="str" cm="1">
        <f t="array" ref="K27">IF(OR(B27="",C27="",D27="",G27=""),"",INDEX('Land Emission Factors'!$E$9:$J$20,MATCH(B27&amp;C27,'Land Emission Factors'!$C$9:$C$20&amp;'Land Emission Factors'!$D$9:$D$20,0),MATCH('Land use &amp; agriculture'!D27,'Land Emission Factors'!$E$8:$J$8,0)))</f>
        <v/>
      </c>
      <c r="L27" s="186" t="str">
        <f t="shared" si="1"/>
        <v/>
      </c>
      <c r="M27" s="227"/>
      <c r="N27" s="226"/>
      <c r="O27" s="186">
        <v>0</v>
      </c>
      <c r="P27" s="186">
        <v>0</v>
      </c>
      <c r="Q27" s="186">
        <v>0</v>
      </c>
      <c r="R27" s="186">
        <v>0</v>
      </c>
      <c r="S27" s="186">
        <v>0</v>
      </c>
      <c r="T27" s="186" t="str">
        <f>IF(LandTier1Table[[#This Row],[Total  kg CO2e]]="", "",(LandTier1Table[[#This Row],[Total  kg CO2e]]*(1+LandTier1Table[[#This Row],[RSD estimate (+/-%)]])))</f>
        <v/>
      </c>
      <c r="U27" s="186" t="str">
        <f>IF(LandTier1Table[[#This Row],[Total  kg CO2e]]="", "",(LandTier1Table[[#This Row],[Total  kg CO2e]]*(1-LandTier1Table[[#This Row],[RSD estimate (+/-%)]])))</f>
        <v/>
      </c>
      <c r="V27" s="186" t="str">
        <f>LandTier1Table[[#This Row],[Total  kg CO2e]]</f>
        <v/>
      </c>
      <c r="X27" s="1" cm="1">
        <f t="array" ref="X27">IF(OR(ISERROR(B27:V27)),1,0)</f>
        <v>0</v>
      </c>
      <c r="Y27" s="1">
        <f t="shared" si="2"/>
        <v>0</v>
      </c>
    </row>
    <row r="28" spans="2:25" ht="15" thickBot="1" x14ac:dyDescent="0.4">
      <c r="B28" s="107"/>
      <c r="C28" s="107"/>
      <c r="D28" s="107"/>
      <c r="E28" s="426" t="s">
        <v>262</v>
      </c>
      <c r="F28" s="139" t="str">
        <f>IF(LandTier1Table[[#This Row],[Total  kg CO2e]]="", " ", 0.25)</f>
        <v xml:space="preserve"> </v>
      </c>
      <c r="G28" s="108"/>
      <c r="H28" s="188" t="s">
        <v>430</v>
      </c>
      <c r="I28" s="188">
        <f>LandTier1Table[[#This Row],[Land area in hectares (ha)]]</f>
        <v>0</v>
      </c>
      <c r="J28" s="188" t="s">
        <v>430</v>
      </c>
      <c r="K28" s="427" t="str" cm="1">
        <f t="array" ref="K28">IF(OR(B28="",C28="",D28="",G28=""),"",INDEX('Land Emission Factors'!$E$9:$J$20,MATCH(B28&amp;C28,'Land Emission Factors'!$C$9:$C$20&amp;'Land Emission Factors'!$D$9:$D$20,0),MATCH('Land use &amp; agriculture'!D28,'Land Emission Factors'!$E$8:$J$8,0)))</f>
        <v/>
      </c>
      <c r="L28" s="186" t="str">
        <f t="shared" si="1"/>
        <v/>
      </c>
      <c r="M28" s="227"/>
      <c r="N28" s="226"/>
      <c r="O28" s="186">
        <v>0</v>
      </c>
      <c r="P28" s="186">
        <v>0</v>
      </c>
      <c r="Q28" s="186">
        <v>0</v>
      </c>
      <c r="R28" s="186">
        <v>0</v>
      </c>
      <c r="S28" s="186">
        <v>0</v>
      </c>
      <c r="T28" s="186" t="str">
        <f>IF(LandTier1Table[[#This Row],[Total  kg CO2e]]="", "",(LandTier1Table[[#This Row],[Total  kg CO2e]]*(1+LandTier1Table[[#This Row],[RSD estimate (+/-%)]])))</f>
        <v/>
      </c>
      <c r="U28" s="186" t="str">
        <f>IF(LandTier1Table[[#This Row],[Total  kg CO2e]]="", "",(LandTier1Table[[#This Row],[Total  kg CO2e]]*(1-LandTier1Table[[#This Row],[RSD estimate (+/-%)]])))</f>
        <v/>
      </c>
      <c r="V28" s="186" t="str">
        <f>LandTier1Table[[#This Row],[Total  kg CO2e]]</f>
        <v/>
      </c>
      <c r="X28" s="1" cm="1">
        <f t="array" ref="X28">IF(OR(ISERROR(B28:V28)),1,0)</f>
        <v>0</v>
      </c>
      <c r="Y28" s="1">
        <f t="shared" si="2"/>
        <v>0</v>
      </c>
    </row>
    <row r="29" spans="2:25" ht="15" thickBot="1" x14ac:dyDescent="0.4">
      <c r="B29" s="107"/>
      <c r="C29" s="107"/>
      <c r="D29" s="107"/>
      <c r="E29" s="426" t="s">
        <v>262</v>
      </c>
      <c r="F29" s="139" t="str">
        <f>IF(LandTier1Table[[#This Row],[Total  kg CO2e]]="", " ", 0.25)</f>
        <v xml:space="preserve"> </v>
      </c>
      <c r="G29" s="108"/>
      <c r="H29" s="188" t="s">
        <v>430</v>
      </c>
      <c r="I29" s="188">
        <f>LandTier1Table[[#This Row],[Land area in hectares (ha)]]</f>
        <v>0</v>
      </c>
      <c r="J29" s="188" t="s">
        <v>430</v>
      </c>
      <c r="K29" s="427" t="str" cm="1">
        <f t="array" ref="K29">IF(OR(B29="",C29="",D29="",G29=""),"",INDEX('Land Emission Factors'!$E$9:$J$20,MATCH(B29&amp;C29,'Land Emission Factors'!$C$9:$C$20&amp;'Land Emission Factors'!$D$9:$D$20,0),MATCH('Land use &amp; agriculture'!D29,'Land Emission Factors'!$E$8:$J$8,0)))</f>
        <v/>
      </c>
      <c r="L29" s="186" t="str">
        <f t="shared" si="1"/>
        <v/>
      </c>
      <c r="M29" s="227"/>
      <c r="N29" s="226"/>
      <c r="O29" s="186">
        <v>0</v>
      </c>
      <c r="P29" s="186">
        <v>0</v>
      </c>
      <c r="Q29" s="186">
        <v>0</v>
      </c>
      <c r="R29" s="186">
        <v>0</v>
      </c>
      <c r="S29" s="186">
        <v>0</v>
      </c>
      <c r="T29" s="186" t="str">
        <f>IF(LandTier1Table[[#This Row],[Total  kg CO2e]]="", "",(LandTier1Table[[#This Row],[Total  kg CO2e]]*(1+LandTier1Table[[#This Row],[RSD estimate (+/-%)]])))</f>
        <v/>
      </c>
      <c r="U29" s="186" t="str">
        <f>IF(LandTier1Table[[#This Row],[Total  kg CO2e]]="", "",(LandTier1Table[[#This Row],[Total  kg CO2e]]*(1-LandTier1Table[[#This Row],[RSD estimate (+/-%)]])))</f>
        <v/>
      </c>
      <c r="V29" s="186" t="str">
        <f>LandTier1Table[[#This Row],[Total  kg CO2e]]</f>
        <v/>
      </c>
      <c r="X29" s="1" cm="1">
        <f t="array" ref="X29">IF(OR(ISERROR(B29:V29)),1,0)</f>
        <v>0</v>
      </c>
      <c r="Y29" s="1">
        <f t="shared" si="2"/>
        <v>0</v>
      </c>
    </row>
    <row r="30" spans="2:25" ht="15" thickBot="1" x14ac:dyDescent="0.4">
      <c r="B30" s="107"/>
      <c r="C30" s="107"/>
      <c r="D30" s="107"/>
      <c r="E30" s="426" t="s">
        <v>262</v>
      </c>
      <c r="F30" s="139" t="str">
        <f>IF(LandTier1Table[[#This Row],[Total  kg CO2e]]="", " ", 0.25)</f>
        <v xml:space="preserve"> </v>
      </c>
      <c r="G30" s="108"/>
      <c r="H30" s="188" t="s">
        <v>430</v>
      </c>
      <c r="I30" s="188">
        <f>LandTier1Table[[#This Row],[Land area in hectares (ha)]]</f>
        <v>0</v>
      </c>
      <c r="J30" s="188" t="s">
        <v>430</v>
      </c>
      <c r="K30" s="427" t="str" cm="1">
        <f t="array" ref="K30">IF(OR(B30="",C30="",D30="",G30=""),"",INDEX('Land Emission Factors'!$E$9:$J$20,MATCH(B30&amp;C30,'Land Emission Factors'!$C$9:$C$20&amp;'Land Emission Factors'!$D$9:$D$20,0),MATCH('Land use &amp; agriculture'!D30,'Land Emission Factors'!$E$8:$J$8,0)))</f>
        <v/>
      </c>
      <c r="L30" s="186" t="str">
        <f t="shared" si="1"/>
        <v/>
      </c>
      <c r="M30" s="227"/>
      <c r="N30" s="226"/>
      <c r="O30" s="186">
        <v>0</v>
      </c>
      <c r="P30" s="186">
        <v>0</v>
      </c>
      <c r="Q30" s="186">
        <v>0</v>
      </c>
      <c r="R30" s="186">
        <v>0</v>
      </c>
      <c r="S30" s="186">
        <v>0</v>
      </c>
      <c r="T30" s="186" t="str">
        <f>IF(LandTier1Table[[#This Row],[Total  kg CO2e]]="", "",(LandTier1Table[[#This Row],[Total  kg CO2e]]*(1+LandTier1Table[[#This Row],[RSD estimate (+/-%)]])))</f>
        <v/>
      </c>
      <c r="U30" s="186" t="str">
        <f>IF(LandTier1Table[[#This Row],[Total  kg CO2e]]="", "",(LandTier1Table[[#This Row],[Total  kg CO2e]]*(1-LandTier1Table[[#This Row],[RSD estimate (+/-%)]])))</f>
        <v/>
      </c>
      <c r="V30" s="186" t="str">
        <f>LandTier1Table[[#This Row],[Total  kg CO2e]]</f>
        <v/>
      </c>
      <c r="X30" s="1" cm="1">
        <f t="array" ref="X30">IF(OR(ISERROR(B30:V30)),1,0)</f>
        <v>0</v>
      </c>
      <c r="Y30" s="1">
        <f t="shared" si="2"/>
        <v>0</v>
      </c>
    </row>
    <row r="31" spans="2:25" ht="15" thickBot="1" x14ac:dyDescent="0.4">
      <c r="B31" s="107"/>
      <c r="C31" s="107"/>
      <c r="D31" s="107"/>
      <c r="E31" s="426" t="s">
        <v>262</v>
      </c>
      <c r="F31" s="139" t="str">
        <f>IF(LandTier1Table[[#This Row],[Total  kg CO2e]]="", " ", 0.25)</f>
        <v xml:space="preserve"> </v>
      </c>
      <c r="G31" s="70"/>
      <c r="H31" s="188" t="s">
        <v>430</v>
      </c>
      <c r="I31" s="188">
        <f>LandTier1Table[[#This Row],[Land area in hectares (ha)]]</f>
        <v>0</v>
      </c>
      <c r="J31" s="188" t="s">
        <v>430</v>
      </c>
      <c r="K31" s="427" t="str" cm="1">
        <f t="array" ref="K31">IF(OR(B31="",C31="",D31="",G31=""),"",INDEX('Land Emission Factors'!$E$9:$J$20,MATCH(B31&amp;C31,'Land Emission Factors'!$C$9:$C$20&amp;'Land Emission Factors'!$D$9:$D$20,0),MATCH('Land use &amp; agriculture'!D31,'Land Emission Factors'!$E$8:$J$8,0)))</f>
        <v/>
      </c>
      <c r="L31" s="186" t="str">
        <f t="shared" si="1"/>
        <v/>
      </c>
      <c r="M31" s="227"/>
      <c r="N31" s="226"/>
      <c r="O31" s="186">
        <v>0</v>
      </c>
      <c r="P31" s="186">
        <v>0</v>
      </c>
      <c r="Q31" s="186">
        <v>0</v>
      </c>
      <c r="R31" s="186">
        <v>0</v>
      </c>
      <c r="S31" s="186">
        <v>0</v>
      </c>
      <c r="T31" s="186" t="str">
        <f>IF(LandTier1Table[[#This Row],[Total  kg CO2e]]="", "",(LandTier1Table[[#This Row],[Total  kg CO2e]]*(1+LandTier1Table[[#This Row],[RSD estimate (+/-%)]])))</f>
        <v/>
      </c>
      <c r="U31" s="186" t="str">
        <f>IF(LandTier1Table[[#This Row],[Total  kg CO2e]]="", "",(LandTier1Table[[#This Row],[Total  kg CO2e]]*(1-LandTier1Table[[#This Row],[RSD estimate (+/-%)]])))</f>
        <v/>
      </c>
      <c r="V31" s="186" t="str">
        <f>LandTier1Table[[#This Row],[Total  kg CO2e]]</f>
        <v/>
      </c>
      <c r="X31" s="1" cm="1">
        <f t="array" ref="X31">IF(OR(ISERROR(B31:V31)),1,0)</f>
        <v>0</v>
      </c>
      <c r="Y31" s="1">
        <f t="shared" si="2"/>
        <v>0</v>
      </c>
    </row>
    <row r="32" spans="2:25" ht="15" thickBot="1" x14ac:dyDescent="0.4">
      <c r="B32" s="107"/>
      <c r="C32" s="107"/>
      <c r="D32" s="107"/>
      <c r="E32" s="426" t="s">
        <v>262</v>
      </c>
      <c r="F32" s="139" t="str">
        <f>IF(LandTier1Table[[#This Row],[Total  kg CO2e]]="", " ", 0.25)</f>
        <v xml:space="preserve"> </v>
      </c>
      <c r="G32" s="70"/>
      <c r="H32" s="188" t="s">
        <v>430</v>
      </c>
      <c r="I32" s="188">
        <f>LandTier1Table[[#This Row],[Land area in hectares (ha)]]</f>
        <v>0</v>
      </c>
      <c r="J32" s="188" t="s">
        <v>430</v>
      </c>
      <c r="K32" s="427" t="str" cm="1">
        <f t="array" ref="K32">IF(OR(B32="",C32="",D32="",G32=""),"",INDEX('Land Emission Factors'!$E$9:$J$20,MATCH(B32&amp;C32,'Land Emission Factors'!$C$9:$C$20&amp;'Land Emission Factors'!$D$9:$D$20,0),MATCH('Land use &amp; agriculture'!D32,'Land Emission Factors'!$E$8:$J$8,0)))</f>
        <v/>
      </c>
      <c r="L32" s="186" t="str">
        <f t="shared" si="1"/>
        <v/>
      </c>
      <c r="M32" s="227"/>
      <c r="N32" s="226"/>
      <c r="O32" s="186">
        <v>0</v>
      </c>
      <c r="P32" s="186">
        <v>0</v>
      </c>
      <c r="Q32" s="186">
        <v>0</v>
      </c>
      <c r="R32" s="186">
        <v>0</v>
      </c>
      <c r="S32" s="186">
        <v>0</v>
      </c>
      <c r="T32" s="186" t="str">
        <f>IF(LandTier1Table[[#This Row],[Total  kg CO2e]]="", "",(LandTier1Table[[#This Row],[Total  kg CO2e]]*(1+LandTier1Table[[#This Row],[RSD estimate (+/-%)]])))</f>
        <v/>
      </c>
      <c r="U32" s="186" t="str">
        <f>IF(LandTier1Table[[#This Row],[Total  kg CO2e]]="", "",(LandTier1Table[[#This Row],[Total  kg CO2e]]*(1-LandTier1Table[[#This Row],[RSD estimate (+/-%)]])))</f>
        <v/>
      </c>
      <c r="V32" s="186" t="str">
        <f>LandTier1Table[[#This Row],[Total  kg CO2e]]</f>
        <v/>
      </c>
      <c r="X32" s="1" cm="1">
        <f t="array" ref="X32">IF(OR(ISERROR(B32:V32)),1,0)</f>
        <v>0</v>
      </c>
      <c r="Y32" s="1">
        <f t="shared" si="2"/>
        <v>0</v>
      </c>
    </row>
    <row r="33" spans="2:25" ht="15" thickBot="1" x14ac:dyDescent="0.4">
      <c r="B33" s="107"/>
      <c r="C33" s="107"/>
      <c r="D33" s="107"/>
      <c r="E33" s="426" t="s">
        <v>262</v>
      </c>
      <c r="F33" s="139" t="str">
        <f>IF(LandTier1Table[[#This Row],[Total  kg CO2e]]="", " ", 0.25)</f>
        <v xml:space="preserve"> </v>
      </c>
      <c r="G33" s="70"/>
      <c r="H33" s="188" t="s">
        <v>430</v>
      </c>
      <c r="I33" s="188">
        <f>LandTier1Table[[#This Row],[Land area in hectares (ha)]]</f>
        <v>0</v>
      </c>
      <c r="J33" s="188" t="s">
        <v>430</v>
      </c>
      <c r="K33" s="427" t="str" cm="1">
        <f t="array" ref="K33">IF(OR(B33="",C33="",D33="",G33=""),"",INDEX('Land Emission Factors'!$E$9:$J$20,MATCH(B33&amp;C33,'Land Emission Factors'!$C$9:$C$20&amp;'Land Emission Factors'!$D$9:$D$20,0),MATCH('Land use &amp; agriculture'!D33,'Land Emission Factors'!$E$8:$J$8,0)))</f>
        <v/>
      </c>
      <c r="L33" s="186" t="str">
        <f t="shared" si="1"/>
        <v/>
      </c>
      <c r="M33" s="227"/>
      <c r="N33" s="226"/>
      <c r="O33" s="186">
        <v>0</v>
      </c>
      <c r="P33" s="186">
        <v>0</v>
      </c>
      <c r="Q33" s="186">
        <v>0</v>
      </c>
      <c r="R33" s="186">
        <v>0</v>
      </c>
      <c r="S33" s="186">
        <v>0</v>
      </c>
      <c r="T33" s="186" t="str">
        <f>IF(LandTier1Table[[#This Row],[Total  kg CO2e]]="", "",(LandTier1Table[[#This Row],[Total  kg CO2e]]*(1+LandTier1Table[[#This Row],[RSD estimate (+/-%)]])))</f>
        <v/>
      </c>
      <c r="U33" s="186" t="str">
        <f>IF(LandTier1Table[[#This Row],[Total  kg CO2e]]="", "",(LandTier1Table[[#This Row],[Total  kg CO2e]]*(1-LandTier1Table[[#This Row],[RSD estimate (+/-%)]])))</f>
        <v/>
      </c>
      <c r="V33" s="186" t="str">
        <f>LandTier1Table[[#This Row],[Total  kg CO2e]]</f>
        <v/>
      </c>
      <c r="X33" s="1" cm="1">
        <f t="array" ref="X33">IF(OR(ISERROR(B33:V33)),1,0)</f>
        <v>0</v>
      </c>
      <c r="Y33" s="1">
        <f t="shared" si="2"/>
        <v>0</v>
      </c>
    </row>
    <row r="34" spans="2:25" ht="15" thickBot="1" x14ac:dyDescent="0.4">
      <c r="B34" s="107"/>
      <c r="C34" s="107"/>
      <c r="D34" s="107"/>
      <c r="E34" s="426" t="s">
        <v>262</v>
      </c>
      <c r="F34" s="139" t="str">
        <f>IF(LandTier1Table[[#This Row],[Total  kg CO2e]]="", " ", 0.25)</f>
        <v xml:space="preserve"> </v>
      </c>
      <c r="G34" s="70"/>
      <c r="H34" s="188" t="s">
        <v>430</v>
      </c>
      <c r="I34" s="188">
        <f>LandTier1Table[[#This Row],[Land area in hectares (ha)]]</f>
        <v>0</v>
      </c>
      <c r="J34" s="188" t="s">
        <v>430</v>
      </c>
      <c r="K34" s="427" t="str" cm="1">
        <f t="array" ref="K34">IF(OR(B34="",C34="",D34="",G34=""),"",INDEX('Land Emission Factors'!$E$9:$J$20,MATCH(B34&amp;C34,'Land Emission Factors'!$C$9:$C$20&amp;'Land Emission Factors'!$D$9:$D$20,0),MATCH('Land use &amp; agriculture'!D34,'Land Emission Factors'!$E$8:$J$8,0)))</f>
        <v/>
      </c>
      <c r="L34" s="186" t="str">
        <f t="shared" si="1"/>
        <v/>
      </c>
      <c r="M34" s="227"/>
      <c r="N34" s="226"/>
      <c r="O34" s="186">
        <v>0</v>
      </c>
      <c r="P34" s="186">
        <v>0</v>
      </c>
      <c r="Q34" s="186">
        <v>0</v>
      </c>
      <c r="R34" s="186">
        <v>0</v>
      </c>
      <c r="S34" s="186">
        <v>0</v>
      </c>
      <c r="T34" s="186" t="str">
        <f>IF(LandTier1Table[[#This Row],[Total  kg CO2e]]="", "",(LandTier1Table[[#This Row],[Total  kg CO2e]]*(1+LandTier1Table[[#This Row],[RSD estimate (+/-%)]])))</f>
        <v/>
      </c>
      <c r="U34" s="186" t="str">
        <f>IF(LandTier1Table[[#This Row],[Total  kg CO2e]]="", "",(LandTier1Table[[#This Row],[Total  kg CO2e]]*(1-LandTier1Table[[#This Row],[RSD estimate (+/-%)]])))</f>
        <v/>
      </c>
      <c r="V34" s="186" t="str">
        <f>LandTier1Table[[#This Row],[Total  kg CO2e]]</f>
        <v/>
      </c>
      <c r="X34" s="1" cm="1">
        <f t="array" ref="X34">IF(OR(ISERROR(B34:V34)),1,0)</f>
        <v>0</v>
      </c>
      <c r="Y34" s="1">
        <f t="shared" si="2"/>
        <v>0</v>
      </c>
    </row>
    <row r="35" spans="2:25" ht="15" thickBot="1" x14ac:dyDescent="0.4">
      <c r="B35" s="107"/>
      <c r="C35" s="107"/>
      <c r="D35" s="107"/>
      <c r="E35" s="426" t="s">
        <v>262</v>
      </c>
      <c r="F35" s="139" t="str">
        <f>IF(LandTier1Table[[#This Row],[Total  kg CO2e]]="", " ", 0.25)</f>
        <v xml:space="preserve"> </v>
      </c>
      <c r="G35" s="70"/>
      <c r="H35" s="188" t="s">
        <v>430</v>
      </c>
      <c r="I35" s="188">
        <f>LandTier1Table[[#This Row],[Land area in hectares (ha)]]</f>
        <v>0</v>
      </c>
      <c r="J35" s="188" t="s">
        <v>430</v>
      </c>
      <c r="K35" s="427" t="str" cm="1">
        <f t="array" ref="K35">IF(OR(B35="",C35="",D35="",G35=""),"",INDEX('Land Emission Factors'!$E$9:$J$20,MATCH(B35&amp;C35,'Land Emission Factors'!$C$9:$C$20&amp;'Land Emission Factors'!$D$9:$D$20,0),MATCH('Land use &amp; agriculture'!D35,'Land Emission Factors'!$E$8:$J$8,0)))</f>
        <v/>
      </c>
      <c r="L35" s="186" t="str">
        <f t="shared" si="1"/>
        <v/>
      </c>
      <c r="M35" s="227"/>
      <c r="N35" s="226"/>
      <c r="O35" s="186">
        <v>0</v>
      </c>
      <c r="P35" s="186">
        <v>0</v>
      </c>
      <c r="Q35" s="186">
        <v>0</v>
      </c>
      <c r="R35" s="186">
        <v>0</v>
      </c>
      <c r="S35" s="186">
        <v>0</v>
      </c>
      <c r="T35" s="186" t="str">
        <f>IF(LandTier1Table[[#This Row],[Total  kg CO2e]]="", "",(LandTier1Table[[#This Row],[Total  kg CO2e]]*(1+LandTier1Table[[#This Row],[RSD estimate (+/-%)]])))</f>
        <v/>
      </c>
      <c r="U35" s="186" t="str">
        <f>IF(LandTier1Table[[#This Row],[Total  kg CO2e]]="", "",(LandTier1Table[[#This Row],[Total  kg CO2e]]*(1-LandTier1Table[[#This Row],[RSD estimate (+/-%)]])))</f>
        <v/>
      </c>
      <c r="V35" s="186" t="str">
        <f>LandTier1Table[[#This Row],[Total  kg CO2e]]</f>
        <v/>
      </c>
      <c r="X35" s="1" cm="1">
        <f t="array" ref="X35">IF(OR(ISERROR(B35:V35)),1,0)</f>
        <v>0</v>
      </c>
      <c r="Y35" s="1">
        <f t="shared" si="2"/>
        <v>0</v>
      </c>
    </row>
    <row r="36" spans="2:25" ht="15" thickBot="1" x14ac:dyDescent="0.4">
      <c r="B36" s="107"/>
      <c r="C36" s="107"/>
      <c r="D36" s="230"/>
      <c r="E36" s="426" t="s">
        <v>262</v>
      </c>
      <c r="F36" s="139" t="str">
        <f>IF(LandTier1Table[[#This Row],[Total  kg CO2e]]="", " ", 0.25)</f>
        <v xml:space="preserve"> </v>
      </c>
      <c r="G36" s="108"/>
      <c r="H36" s="188" t="s">
        <v>430</v>
      </c>
      <c r="I36" s="188">
        <f>LandTier1Table[[#This Row],[Land area in hectares (ha)]]</f>
        <v>0</v>
      </c>
      <c r="J36" s="188" t="s">
        <v>430</v>
      </c>
      <c r="K36" s="427" t="str" cm="1">
        <f t="array" ref="K36">IF(OR(B36="",C36="",D36="",G36=""),"",INDEX('Land Emission Factors'!$E$9:$J$20,MATCH(B36&amp;C36,'Land Emission Factors'!$C$9:$C$20&amp;'Land Emission Factors'!$D$9:$D$20,0),MATCH('Land use &amp; agriculture'!D36,'Land Emission Factors'!$E$8:$J$8,0)))</f>
        <v/>
      </c>
      <c r="L36" s="186" t="str">
        <f t="shared" si="1"/>
        <v/>
      </c>
      <c r="M36" s="227"/>
      <c r="N36" s="226"/>
      <c r="O36" s="186">
        <v>0</v>
      </c>
      <c r="P36" s="186">
        <v>0</v>
      </c>
      <c r="Q36" s="186">
        <v>0</v>
      </c>
      <c r="R36" s="186">
        <v>0</v>
      </c>
      <c r="S36" s="186">
        <v>0</v>
      </c>
      <c r="T36" s="186" t="str">
        <f>IF(LandTier1Table[[#This Row],[Total  kg CO2e]]="", "",(LandTier1Table[[#This Row],[Total  kg CO2e]]*(1+LandTier1Table[[#This Row],[RSD estimate (+/-%)]])))</f>
        <v/>
      </c>
      <c r="U36" s="186" t="str">
        <f>IF(LandTier1Table[[#This Row],[Total  kg CO2e]]="", "",(LandTier1Table[[#This Row],[Total  kg CO2e]]*(1-LandTier1Table[[#This Row],[RSD estimate (+/-%)]])))</f>
        <v/>
      </c>
      <c r="V36" s="186" t="str">
        <f>LandTier1Table[[#This Row],[Total  kg CO2e]]</f>
        <v/>
      </c>
      <c r="X36" s="1" cm="1">
        <f t="array" ref="X36">IF(OR(ISERROR(B36:V36)),1,0)</f>
        <v>0</v>
      </c>
      <c r="Y36" s="1">
        <f t="shared" ref="Y36:Y98" si="3">IF(AND(D36="",G36="",B36=""),0,1)</f>
        <v>0</v>
      </c>
    </row>
    <row r="37" spans="2:25" ht="15" thickBot="1" x14ac:dyDescent="0.4">
      <c r="B37" s="107"/>
      <c r="C37" s="107"/>
      <c r="D37" s="230"/>
      <c r="E37" s="426" t="s">
        <v>262</v>
      </c>
      <c r="F37" s="139" t="str">
        <f>IF(LandTier1Table[[#This Row],[Total  kg CO2e]]="", " ", 0.25)</f>
        <v xml:space="preserve"> </v>
      </c>
      <c r="G37" s="108"/>
      <c r="H37" s="188" t="s">
        <v>430</v>
      </c>
      <c r="I37" s="188">
        <f>LandTier1Table[[#This Row],[Land area in hectares (ha)]]</f>
        <v>0</v>
      </c>
      <c r="J37" s="188" t="s">
        <v>430</v>
      </c>
      <c r="K37" s="427" t="str" cm="1">
        <f t="array" ref="K37">IF(OR(B37="",C37="",D37="",G37=""),"",INDEX('Land Emission Factors'!$E$9:$J$20,MATCH(B37&amp;C37,'Land Emission Factors'!$C$9:$C$20&amp;'Land Emission Factors'!$D$9:$D$20,0),MATCH('Land use &amp; agriculture'!D37,'Land Emission Factors'!$E$8:$J$8,0)))</f>
        <v/>
      </c>
      <c r="L37" s="186" t="str">
        <f t="shared" si="1"/>
        <v/>
      </c>
      <c r="M37" s="227"/>
      <c r="N37" s="226"/>
      <c r="O37" s="186">
        <v>0</v>
      </c>
      <c r="P37" s="186">
        <v>0</v>
      </c>
      <c r="Q37" s="186">
        <v>0</v>
      </c>
      <c r="R37" s="186">
        <v>0</v>
      </c>
      <c r="S37" s="186">
        <v>0</v>
      </c>
      <c r="T37" s="186" t="str">
        <f>IF(LandTier1Table[[#This Row],[Total  kg CO2e]]="", "",(LandTier1Table[[#This Row],[Total  kg CO2e]]*(1+LandTier1Table[[#This Row],[RSD estimate (+/-%)]])))</f>
        <v/>
      </c>
      <c r="U37" s="186" t="str">
        <f>IF(LandTier1Table[[#This Row],[Total  kg CO2e]]="", "",(LandTier1Table[[#This Row],[Total  kg CO2e]]*(1-LandTier1Table[[#This Row],[RSD estimate (+/-%)]])))</f>
        <v/>
      </c>
      <c r="V37" s="186" t="str">
        <f>LandTier1Table[[#This Row],[Total  kg CO2e]]</f>
        <v/>
      </c>
      <c r="X37" s="1" cm="1">
        <f t="array" ref="X37">IF(OR(ISERROR(B37:V37)),1,0)</f>
        <v>0</v>
      </c>
      <c r="Y37" s="1">
        <f t="shared" si="3"/>
        <v>0</v>
      </c>
    </row>
    <row r="38" spans="2:25" ht="15" thickBot="1" x14ac:dyDescent="0.4">
      <c r="B38" s="107"/>
      <c r="C38" s="107"/>
      <c r="D38" s="230"/>
      <c r="E38" s="426" t="s">
        <v>262</v>
      </c>
      <c r="F38" s="139" t="str">
        <f>IF(LandTier1Table[[#This Row],[Total  kg CO2e]]="", " ", 0.25)</f>
        <v xml:space="preserve"> </v>
      </c>
      <c r="G38" s="108"/>
      <c r="H38" s="188" t="s">
        <v>430</v>
      </c>
      <c r="I38" s="188">
        <f>LandTier1Table[[#This Row],[Land area in hectares (ha)]]</f>
        <v>0</v>
      </c>
      <c r="J38" s="188" t="s">
        <v>430</v>
      </c>
      <c r="K38" s="427" t="str" cm="1">
        <f t="array" ref="K38">IF(OR(B38="",C38="",D38="",G38=""),"",INDEX('Land Emission Factors'!$E$9:$J$20,MATCH(B38&amp;C38,'Land Emission Factors'!$C$9:$C$20&amp;'Land Emission Factors'!$D$9:$D$20,0),MATCH('Land use &amp; agriculture'!D38,'Land Emission Factors'!$E$8:$J$8,0)))</f>
        <v/>
      </c>
      <c r="L38" s="186" t="str">
        <f t="shared" si="1"/>
        <v/>
      </c>
      <c r="M38" s="227"/>
      <c r="N38" s="226"/>
      <c r="O38" s="186">
        <v>0</v>
      </c>
      <c r="P38" s="186">
        <v>0</v>
      </c>
      <c r="Q38" s="186">
        <v>0</v>
      </c>
      <c r="R38" s="186">
        <v>0</v>
      </c>
      <c r="S38" s="186">
        <v>0</v>
      </c>
      <c r="T38" s="186" t="str">
        <f>IF(LandTier1Table[[#This Row],[Total  kg CO2e]]="", "",(LandTier1Table[[#This Row],[Total  kg CO2e]]*(1+LandTier1Table[[#This Row],[RSD estimate (+/-%)]])))</f>
        <v/>
      </c>
      <c r="U38" s="186" t="str">
        <f>IF(LandTier1Table[[#This Row],[Total  kg CO2e]]="", "",(LandTier1Table[[#This Row],[Total  kg CO2e]]*(1-LandTier1Table[[#This Row],[RSD estimate (+/-%)]])))</f>
        <v/>
      </c>
      <c r="V38" s="186" t="str">
        <f>LandTier1Table[[#This Row],[Total  kg CO2e]]</f>
        <v/>
      </c>
      <c r="X38" s="1" cm="1">
        <f t="array" ref="X38">IF(OR(ISERROR(B38:V38)),1,0)</f>
        <v>0</v>
      </c>
      <c r="Y38" s="1">
        <f t="shared" si="3"/>
        <v>0</v>
      </c>
    </row>
    <row r="39" spans="2:25" ht="15" thickBot="1" x14ac:dyDescent="0.4">
      <c r="B39" s="107"/>
      <c r="C39" s="107"/>
      <c r="D39" s="230"/>
      <c r="E39" s="426" t="s">
        <v>262</v>
      </c>
      <c r="F39" s="139" t="str">
        <f>IF(LandTier1Table[[#This Row],[Total  kg CO2e]]="", " ", 0.25)</f>
        <v xml:space="preserve"> </v>
      </c>
      <c r="G39" s="108"/>
      <c r="H39" s="188" t="s">
        <v>430</v>
      </c>
      <c r="I39" s="188">
        <f>LandTier1Table[[#This Row],[Land area in hectares (ha)]]</f>
        <v>0</v>
      </c>
      <c r="J39" s="188" t="s">
        <v>430</v>
      </c>
      <c r="K39" s="427" t="str" cm="1">
        <f t="array" ref="K39">IF(OR(B39="",C39="",D39="",G39=""),"",INDEX('Land Emission Factors'!$E$9:$J$20,MATCH(B39&amp;C39,'Land Emission Factors'!$C$9:$C$20&amp;'Land Emission Factors'!$D$9:$D$20,0),MATCH('Land use &amp; agriculture'!D39,'Land Emission Factors'!$E$8:$J$8,0)))</f>
        <v/>
      </c>
      <c r="L39" s="186" t="str">
        <f t="shared" si="1"/>
        <v/>
      </c>
      <c r="M39" s="227"/>
      <c r="N39" s="226"/>
      <c r="O39" s="186">
        <v>0</v>
      </c>
      <c r="P39" s="186">
        <v>0</v>
      </c>
      <c r="Q39" s="186">
        <v>0</v>
      </c>
      <c r="R39" s="186">
        <v>0</v>
      </c>
      <c r="S39" s="186">
        <v>0</v>
      </c>
      <c r="T39" s="186" t="str">
        <f>IF(LandTier1Table[[#This Row],[Total  kg CO2e]]="", "",(LandTier1Table[[#This Row],[Total  kg CO2e]]*(1+LandTier1Table[[#This Row],[RSD estimate (+/-%)]])))</f>
        <v/>
      </c>
      <c r="U39" s="186" t="str">
        <f>IF(LandTier1Table[[#This Row],[Total  kg CO2e]]="", "",(LandTier1Table[[#This Row],[Total  kg CO2e]]*(1-LandTier1Table[[#This Row],[RSD estimate (+/-%)]])))</f>
        <v/>
      </c>
      <c r="V39" s="186" t="str">
        <f>LandTier1Table[[#This Row],[Total  kg CO2e]]</f>
        <v/>
      </c>
      <c r="X39" s="1" cm="1">
        <f t="array" ref="X39">IF(OR(ISERROR(B39:V39)),1,0)</f>
        <v>0</v>
      </c>
      <c r="Y39" s="1">
        <f t="shared" si="3"/>
        <v>0</v>
      </c>
    </row>
    <row r="40" spans="2:25" ht="15" thickBot="1" x14ac:dyDescent="0.4">
      <c r="B40" s="107"/>
      <c r="C40" s="107"/>
      <c r="D40" s="230"/>
      <c r="E40" s="426" t="s">
        <v>262</v>
      </c>
      <c r="F40" s="139" t="str">
        <f>IF(LandTier1Table[[#This Row],[Total  kg CO2e]]="", " ", 0.25)</f>
        <v xml:space="preserve"> </v>
      </c>
      <c r="G40" s="108"/>
      <c r="H40" s="188" t="s">
        <v>430</v>
      </c>
      <c r="I40" s="188">
        <f>LandTier1Table[[#This Row],[Land area in hectares (ha)]]</f>
        <v>0</v>
      </c>
      <c r="J40" s="188" t="s">
        <v>430</v>
      </c>
      <c r="K40" s="427" t="str" cm="1">
        <f t="array" ref="K40">IF(OR(B40="",C40="",D40="",G40=""),"",INDEX('Land Emission Factors'!$E$9:$J$20,MATCH(B40&amp;C40,'Land Emission Factors'!$C$9:$C$20&amp;'Land Emission Factors'!$D$9:$D$20,0),MATCH('Land use &amp; agriculture'!D40,'Land Emission Factors'!$E$8:$J$8,0)))</f>
        <v/>
      </c>
      <c r="L40" s="186" t="str">
        <f t="shared" si="1"/>
        <v/>
      </c>
      <c r="M40" s="227"/>
      <c r="N40" s="226"/>
      <c r="O40" s="186">
        <v>0</v>
      </c>
      <c r="P40" s="186">
        <v>0</v>
      </c>
      <c r="Q40" s="186">
        <v>0</v>
      </c>
      <c r="R40" s="186">
        <v>0</v>
      </c>
      <c r="S40" s="186">
        <v>0</v>
      </c>
      <c r="T40" s="186" t="str">
        <f>IF(LandTier1Table[[#This Row],[Total  kg CO2e]]="", "",(LandTier1Table[[#This Row],[Total  kg CO2e]]*(1+LandTier1Table[[#This Row],[RSD estimate (+/-%)]])))</f>
        <v/>
      </c>
      <c r="U40" s="186" t="str">
        <f>IF(LandTier1Table[[#This Row],[Total  kg CO2e]]="", "",(LandTier1Table[[#This Row],[Total  kg CO2e]]*(1-LandTier1Table[[#This Row],[RSD estimate (+/-%)]])))</f>
        <v/>
      </c>
      <c r="V40" s="186" t="str">
        <f>LandTier1Table[[#This Row],[Total  kg CO2e]]</f>
        <v/>
      </c>
      <c r="X40" s="1" cm="1">
        <f t="array" ref="X40">IF(OR(ISERROR(B40:V40)),1,0)</f>
        <v>0</v>
      </c>
      <c r="Y40" s="1">
        <f t="shared" si="3"/>
        <v>0</v>
      </c>
    </row>
    <row r="41" spans="2:25" ht="15" thickBot="1" x14ac:dyDescent="0.4">
      <c r="B41" s="107"/>
      <c r="C41" s="107"/>
      <c r="D41" s="230"/>
      <c r="E41" s="426" t="s">
        <v>262</v>
      </c>
      <c r="F41" s="139" t="str">
        <f>IF(LandTier1Table[[#This Row],[Total  kg CO2e]]="", " ", 0.25)</f>
        <v xml:space="preserve"> </v>
      </c>
      <c r="G41" s="108"/>
      <c r="H41" s="188" t="s">
        <v>430</v>
      </c>
      <c r="I41" s="188">
        <f>LandTier1Table[[#This Row],[Land area in hectares (ha)]]</f>
        <v>0</v>
      </c>
      <c r="J41" s="188" t="s">
        <v>430</v>
      </c>
      <c r="K41" s="427" t="str" cm="1">
        <f t="array" ref="K41">IF(OR(B41="",C41="",D41="",G41=""),"",INDEX('Land Emission Factors'!$E$9:$J$20,MATCH(B41&amp;C41,'Land Emission Factors'!$C$9:$C$20&amp;'Land Emission Factors'!$D$9:$D$20,0),MATCH('Land use &amp; agriculture'!D41,'Land Emission Factors'!$E$8:$J$8,0)))</f>
        <v/>
      </c>
      <c r="L41" s="186" t="str">
        <f t="shared" si="1"/>
        <v/>
      </c>
      <c r="M41" s="227"/>
      <c r="N41" s="226"/>
      <c r="O41" s="186">
        <v>0</v>
      </c>
      <c r="P41" s="186">
        <v>0</v>
      </c>
      <c r="Q41" s="186">
        <v>0</v>
      </c>
      <c r="R41" s="186">
        <v>0</v>
      </c>
      <c r="S41" s="186">
        <v>0</v>
      </c>
      <c r="T41" s="186" t="str">
        <f>IF(LandTier1Table[[#This Row],[Total  kg CO2e]]="", "",(LandTier1Table[[#This Row],[Total  kg CO2e]]*(1+LandTier1Table[[#This Row],[RSD estimate (+/-%)]])))</f>
        <v/>
      </c>
      <c r="U41" s="186" t="str">
        <f>IF(LandTier1Table[[#This Row],[Total  kg CO2e]]="", "",(LandTier1Table[[#This Row],[Total  kg CO2e]]*(1-LandTier1Table[[#This Row],[RSD estimate (+/-%)]])))</f>
        <v/>
      </c>
      <c r="V41" s="186" t="str">
        <f>LandTier1Table[[#This Row],[Total  kg CO2e]]</f>
        <v/>
      </c>
      <c r="X41" s="1" cm="1">
        <f t="array" ref="X41">IF(OR(ISERROR(B41:V41)),1,0)</f>
        <v>0</v>
      </c>
      <c r="Y41" s="1">
        <f t="shared" si="3"/>
        <v>0</v>
      </c>
    </row>
    <row r="42" spans="2:25" ht="15" thickBot="1" x14ac:dyDescent="0.4">
      <c r="B42" s="107"/>
      <c r="C42" s="107"/>
      <c r="D42" s="230"/>
      <c r="E42" s="426" t="s">
        <v>262</v>
      </c>
      <c r="F42" s="139" t="str">
        <f>IF(LandTier1Table[[#This Row],[Total  kg CO2e]]="", " ", 0.25)</f>
        <v xml:space="preserve"> </v>
      </c>
      <c r="G42" s="108"/>
      <c r="H42" s="188" t="s">
        <v>430</v>
      </c>
      <c r="I42" s="188">
        <f>LandTier1Table[[#This Row],[Land area in hectares (ha)]]</f>
        <v>0</v>
      </c>
      <c r="J42" s="188" t="s">
        <v>430</v>
      </c>
      <c r="K42" s="427" t="str" cm="1">
        <f t="array" ref="K42">IF(OR(B42="",C42="",D42="",G42=""),"",INDEX('Land Emission Factors'!$E$9:$J$20,MATCH(B42&amp;C42,'Land Emission Factors'!$C$9:$C$20&amp;'Land Emission Factors'!$D$9:$D$20,0),MATCH('Land use &amp; agriculture'!D42,'Land Emission Factors'!$E$8:$J$8,0)))</f>
        <v/>
      </c>
      <c r="L42" s="186" t="str">
        <f t="shared" si="1"/>
        <v/>
      </c>
      <c r="M42" s="227"/>
      <c r="N42" s="226"/>
      <c r="O42" s="186">
        <v>0</v>
      </c>
      <c r="P42" s="186">
        <v>0</v>
      </c>
      <c r="Q42" s="186">
        <v>0</v>
      </c>
      <c r="R42" s="186">
        <v>0</v>
      </c>
      <c r="S42" s="186">
        <v>0</v>
      </c>
      <c r="T42" s="186" t="str">
        <f>IF(LandTier1Table[[#This Row],[Total  kg CO2e]]="", "",(LandTier1Table[[#This Row],[Total  kg CO2e]]*(1+LandTier1Table[[#This Row],[RSD estimate (+/-%)]])))</f>
        <v/>
      </c>
      <c r="U42" s="186" t="str">
        <f>IF(LandTier1Table[[#This Row],[Total  kg CO2e]]="", "",(LandTier1Table[[#This Row],[Total  kg CO2e]]*(1-LandTier1Table[[#This Row],[RSD estimate (+/-%)]])))</f>
        <v/>
      </c>
      <c r="V42" s="186" t="str">
        <f>LandTier1Table[[#This Row],[Total  kg CO2e]]</f>
        <v/>
      </c>
      <c r="X42" s="1" cm="1">
        <f t="array" ref="X42">IF(OR(ISERROR(B42:V42)),1,0)</f>
        <v>0</v>
      </c>
      <c r="Y42" s="1">
        <f t="shared" si="3"/>
        <v>0</v>
      </c>
    </row>
    <row r="43" spans="2:25" ht="15" thickBot="1" x14ac:dyDescent="0.4">
      <c r="B43" s="107"/>
      <c r="C43" s="107"/>
      <c r="D43" s="230"/>
      <c r="E43" s="426" t="s">
        <v>262</v>
      </c>
      <c r="F43" s="139" t="str">
        <f>IF(LandTier1Table[[#This Row],[Total  kg CO2e]]="", " ", 0.25)</f>
        <v xml:space="preserve"> </v>
      </c>
      <c r="G43" s="108"/>
      <c r="H43" s="188" t="s">
        <v>430</v>
      </c>
      <c r="I43" s="188">
        <f>LandTier1Table[[#This Row],[Land area in hectares (ha)]]</f>
        <v>0</v>
      </c>
      <c r="J43" s="188" t="s">
        <v>430</v>
      </c>
      <c r="K43" s="427" t="str" cm="1">
        <f t="array" ref="K43">IF(OR(B43="",C43="",D43="",G43=""),"",INDEX('Land Emission Factors'!$E$9:$J$20,MATCH(B43&amp;C43,'Land Emission Factors'!$C$9:$C$20&amp;'Land Emission Factors'!$D$9:$D$20,0),MATCH('Land use &amp; agriculture'!D43,'Land Emission Factors'!$E$8:$J$8,0)))</f>
        <v/>
      </c>
      <c r="L43" s="186" t="str">
        <f t="shared" si="1"/>
        <v/>
      </c>
      <c r="M43" s="227"/>
      <c r="N43" s="226"/>
      <c r="O43" s="186">
        <v>0</v>
      </c>
      <c r="P43" s="186">
        <v>0</v>
      </c>
      <c r="Q43" s="186">
        <v>0</v>
      </c>
      <c r="R43" s="186">
        <v>0</v>
      </c>
      <c r="S43" s="186">
        <v>0</v>
      </c>
      <c r="T43" s="186" t="str">
        <f>IF(LandTier1Table[[#This Row],[Total  kg CO2e]]="", "",(LandTier1Table[[#This Row],[Total  kg CO2e]]*(1+LandTier1Table[[#This Row],[RSD estimate (+/-%)]])))</f>
        <v/>
      </c>
      <c r="U43" s="186" t="str">
        <f>IF(LandTier1Table[[#This Row],[Total  kg CO2e]]="", "",(LandTier1Table[[#This Row],[Total  kg CO2e]]*(1-LandTier1Table[[#This Row],[RSD estimate (+/-%)]])))</f>
        <v/>
      </c>
      <c r="V43" s="186" t="str">
        <f>LandTier1Table[[#This Row],[Total  kg CO2e]]</f>
        <v/>
      </c>
      <c r="X43" s="1" cm="1">
        <f t="array" ref="X43">IF(OR(ISERROR(B43:V43)),1,0)</f>
        <v>0</v>
      </c>
      <c r="Y43" s="1">
        <f t="shared" si="3"/>
        <v>0</v>
      </c>
    </row>
    <row r="44" spans="2:25" ht="15" thickBot="1" x14ac:dyDescent="0.4">
      <c r="B44" s="107"/>
      <c r="C44" s="107"/>
      <c r="D44" s="230"/>
      <c r="E44" s="426" t="s">
        <v>262</v>
      </c>
      <c r="F44" s="139" t="str">
        <f>IF(LandTier1Table[[#This Row],[Total  kg CO2e]]="", " ", 0.25)</f>
        <v xml:space="preserve"> </v>
      </c>
      <c r="G44" s="108"/>
      <c r="H44" s="188" t="s">
        <v>430</v>
      </c>
      <c r="I44" s="188">
        <f>LandTier1Table[[#This Row],[Land area in hectares (ha)]]</f>
        <v>0</v>
      </c>
      <c r="J44" s="188" t="s">
        <v>430</v>
      </c>
      <c r="K44" s="427" t="str" cm="1">
        <f t="array" ref="K44">IF(OR(B44="",C44="",D44="",G44=""),"",INDEX('Land Emission Factors'!$E$9:$J$20,MATCH(B44&amp;C44,'Land Emission Factors'!$C$9:$C$20&amp;'Land Emission Factors'!$D$9:$D$20,0),MATCH('Land use &amp; agriculture'!D44,'Land Emission Factors'!$E$8:$J$8,0)))</f>
        <v/>
      </c>
      <c r="L44" s="186" t="str">
        <f t="shared" si="1"/>
        <v/>
      </c>
      <c r="M44" s="227"/>
      <c r="N44" s="226"/>
      <c r="O44" s="186">
        <v>0</v>
      </c>
      <c r="P44" s="186">
        <v>0</v>
      </c>
      <c r="Q44" s="186">
        <v>0</v>
      </c>
      <c r="R44" s="186">
        <v>0</v>
      </c>
      <c r="S44" s="186">
        <v>0</v>
      </c>
      <c r="T44" s="186" t="str">
        <f>IF(LandTier1Table[[#This Row],[Total  kg CO2e]]="", "",(LandTier1Table[[#This Row],[Total  kg CO2e]]*(1+LandTier1Table[[#This Row],[RSD estimate (+/-%)]])))</f>
        <v/>
      </c>
      <c r="U44" s="186" t="str">
        <f>IF(LandTier1Table[[#This Row],[Total  kg CO2e]]="", "",(LandTier1Table[[#This Row],[Total  kg CO2e]]*(1-LandTier1Table[[#This Row],[RSD estimate (+/-%)]])))</f>
        <v/>
      </c>
      <c r="V44" s="186" t="str">
        <f>LandTier1Table[[#This Row],[Total  kg CO2e]]</f>
        <v/>
      </c>
      <c r="X44" s="1" cm="1">
        <f t="array" ref="X44">IF(OR(ISERROR(B44:V44)),1,0)</f>
        <v>0</v>
      </c>
      <c r="Y44" s="1">
        <f t="shared" si="3"/>
        <v>0</v>
      </c>
    </row>
    <row r="45" spans="2:25" ht="15" thickBot="1" x14ac:dyDescent="0.4">
      <c r="B45" s="107"/>
      <c r="C45" s="107"/>
      <c r="D45" s="230"/>
      <c r="E45" s="426" t="s">
        <v>262</v>
      </c>
      <c r="F45" s="139" t="str">
        <f>IF(LandTier1Table[[#This Row],[Total  kg CO2e]]="", " ", 0.25)</f>
        <v xml:space="preserve"> </v>
      </c>
      <c r="G45" s="108"/>
      <c r="H45" s="188" t="s">
        <v>430</v>
      </c>
      <c r="I45" s="188">
        <f>LandTier1Table[[#This Row],[Land area in hectares (ha)]]</f>
        <v>0</v>
      </c>
      <c r="J45" s="188" t="s">
        <v>430</v>
      </c>
      <c r="K45" s="427" t="str" cm="1">
        <f t="array" ref="K45">IF(OR(B45="",C45="",D45="",G45=""),"",INDEX('Land Emission Factors'!$E$9:$J$20,MATCH(B45&amp;C45,'Land Emission Factors'!$C$9:$C$20&amp;'Land Emission Factors'!$D$9:$D$20,0),MATCH('Land use &amp; agriculture'!D45,'Land Emission Factors'!$E$8:$J$8,0)))</f>
        <v/>
      </c>
      <c r="L45" s="186" t="str">
        <f t="shared" si="1"/>
        <v/>
      </c>
      <c r="M45" s="227"/>
      <c r="N45" s="226"/>
      <c r="O45" s="186">
        <v>0</v>
      </c>
      <c r="P45" s="186">
        <v>0</v>
      </c>
      <c r="Q45" s="186">
        <v>0</v>
      </c>
      <c r="R45" s="186">
        <v>0</v>
      </c>
      <c r="S45" s="186">
        <v>0</v>
      </c>
      <c r="T45" s="186" t="str">
        <f>IF(LandTier1Table[[#This Row],[Total  kg CO2e]]="", "",(LandTier1Table[[#This Row],[Total  kg CO2e]]*(1+LandTier1Table[[#This Row],[RSD estimate (+/-%)]])))</f>
        <v/>
      </c>
      <c r="U45" s="186" t="str">
        <f>IF(LandTier1Table[[#This Row],[Total  kg CO2e]]="", "",(LandTier1Table[[#This Row],[Total  kg CO2e]]*(1-LandTier1Table[[#This Row],[RSD estimate (+/-%)]])))</f>
        <v/>
      </c>
      <c r="V45" s="186" t="str">
        <f>LandTier1Table[[#This Row],[Total  kg CO2e]]</f>
        <v/>
      </c>
      <c r="X45" s="1" cm="1">
        <f t="array" ref="X45">IF(OR(ISERROR(B45:V45)),1,0)</f>
        <v>0</v>
      </c>
      <c r="Y45" s="1">
        <f t="shared" si="3"/>
        <v>0</v>
      </c>
    </row>
    <row r="46" spans="2:25" ht="15" thickBot="1" x14ac:dyDescent="0.4">
      <c r="B46" s="107"/>
      <c r="C46" s="107"/>
      <c r="D46" s="230"/>
      <c r="E46" s="426" t="s">
        <v>262</v>
      </c>
      <c r="F46" s="139" t="str">
        <f>IF(LandTier1Table[[#This Row],[Total  kg CO2e]]="", " ", 0.25)</f>
        <v xml:space="preserve"> </v>
      </c>
      <c r="G46" s="108"/>
      <c r="H46" s="188" t="s">
        <v>430</v>
      </c>
      <c r="I46" s="188">
        <f>LandTier1Table[[#This Row],[Land area in hectares (ha)]]</f>
        <v>0</v>
      </c>
      <c r="J46" s="188" t="s">
        <v>430</v>
      </c>
      <c r="K46" s="427" t="str" cm="1">
        <f t="array" ref="K46">IF(OR(B46="",C46="",D46="",G46=""),"",INDEX('Land Emission Factors'!$E$9:$J$20,MATCH(B46&amp;C46,'Land Emission Factors'!$C$9:$C$20&amp;'Land Emission Factors'!$D$9:$D$20,0),MATCH('Land use &amp; agriculture'!D46,'Land Emission Factors'!$E$8:$J$8,0)))</f>
        <v/>
      </c>
      <c r="L46" s="186" t="str">
        <f t="shared" si="1"/>
        <v/>
      </c>
      <c r="M46" s="227"/>
      <c r="N46" s="226"/>
      <c r="O46" s="186">
        <v>0</v>
      </c>
      <c r="P46" s="186">
        <v>0</v>
      </c>
      <c r="Q46" s="186">
        <v>0</v>
      </c>
      <c r="R46" s="186">
        <v>0</v>
      </c>
      <c r="S46" s="186">
        <v>0</v>
      </c>
      <c r="T46" s="186" t="str">
        <f>IF(LandTier1Table[[#This Row],[Total  kg CO2e]]="", "",(LandTier1Table[[#This Row],[Total  kg CO2e]]*(1+LandTier1Table[[#This Row],[RSD estimate (+/-%)]])))</f>
        <v/>
      </c>
      <c r="U46" s="186" t="str">
        <f>IF(LandTier1Table[[#This Row],[Total  kg CO2e]]="", "",(LandTier1Table[[#This Row],[Total  kg CO2e]]*(1-LandTier1Table[[#This Row],[RSD estimate (+/-%)]])))</f>
        <v/>
      </c>
      <c r="V46" s="186" t="str">
        <f>LandTier1Table[[#This Row],[Total  kg CO2e]]</f>
        <v/>
      </c>
      <c r="X46" s="1" cm="1">
        <f t="array" ref="X46">IF(OR(ISERROR(B46:V46)),1,0)</f>
        <v>0</v>
      </c>
      <c r="Y46" s="1">
        <f t="shared" si="3"/>
        <v>0</v>
      </c>
    </row>
    <row r="47" spans="2:25" ht="15" thickBot="1" x14ac:dyDescent="0.4">
      <c r="B47" s="107"/>
      <c r="C47" s="107"/>
      <c r="D47" s="230"/>
      <c r="E47" s="426" t="s">
        <v>262</v>
      </c>
      <c r="F47" s="139" t="str">
        <f>IF(LandTier1Table[[#This Row],[Total  kg CO2e]]="", " ", 0.25)</f>
        <v xml:space="preserve"> </v>
      </c>
      <c r="G47" s="108"/>
      <c r="H47" s="188" t="s">
        <v>430</v>
      </c>
      <c r="I47" s="188">
        <f>LandTier1Table[[#This Row],[Land area in hectares (ha)]]</f>
        <v>0</v>
      </c>
      <c r="J47" s="188" t="s">
        <v>430</v>
      </c>
      <c r="K47" s="427" t="str" cm="1">
        <f t="array" ref="K47">IF(OR(B47="",C47="",D47="",G47=""),"",INDEX('Land Emission Factors'!$E$9:$J$20,MATCH(B47&amp;C47,'Land Emission Factors'!$C$9:$C$20&amp;'Land Emission Factors'!$D$9:$D$20,0),MATCH('Land use &amp; agriculture'!D47,'Land Emission Factors'!$E$8:$J$8,0)))</f>
        <v/>
      </c>
      <c r="L47" s="186" t="str">
        <f t="shared" si="1"/>
        <v/>
      </c>
      <c r="M47" s="227"/>
      <c r="N47" s="226"/>
      <c r="O47" s="186">
        <v>0</v>
      </c>
      <c r="P47" s="186">
        <v>0</v>
      </c>
      <c r="Q47" s="186">
        <v>0</v>
      </c>
      <c r="R47" s="186">
        <v>0</v>
      </c>
      <c r="S47" s="186">
        <v>0</v>
      </c>
      <c r="T47" s="186" t="str">
        <f>IF(LandTier1Table[[#This Row],[Total  kg CO2e]]="", "",(LandTier1Table[[#This Row],[Total  kg CO2e]]*(1+LandTier1Table[[#This Row],[RSD estimate (+/-%)]])))</f>
        <v/>
      </c>
      <c r="U47" s="186" t="str">
        <f>IF(LandTier1Table[[#This Row],[Total  kg CO2e]]="", "",(LandTier1Table[[#This Row],[Total  kg CO2e]]*(1-LandTier1Table[[#This Row],[RSD estimate (+/-%)]])))</f>
        <v/>
      </c>
      <c r="V47" s="186" t="str">
        <f>LandTier1Table[[#This Row],[Total  kg CO2e]]</f>
        <v/>
      </c>
      <c r="X47" s="1" cm="1">
        <f t="array" ref="X47">IF(OR(ISERROR(B47:V47)),1,0)</f>
        <v>0</v>
      </c>
      <c r="Y47" s="1">
        <f t="shared" si="3"/>
        <v>0</v>
      </c>
    </row>
    <row r="48" spans="2:25" ht="15" thickBot="1" x14ac:dyDescent="0.4">
      <c r="B48" s="107"/>
      <c r="C48" s="107"/>
      <c r="D48" s="230"/>
      <c r="E48" s="426" t="s">
        <v>262</v>
      </c>
      <c r="F48" s="139" t="str">
        <f>IF(LandTier1Table[[#This Row],[Total  kg CO2e]]="", " ", 0.25)</f>
        <v xml:space="preserve"> </v>
      </c>
      <c r="G48" s="108"/>
      <c r="H48" s="188" t="s">
        <v>430</v>
      </c>
      <c r="I48" s="188">
        <f>LandTier1Table[[#This Row],[Land area in hectares (ha)]]</f>
        <v>0</v>
      </c>
      <c r="J48" s="188" t="s">
        <v>430</v>
      </c>
      <c r="K48" s="427" t="str" cm="1">
        <f t="array" ref="K48">IF(OR(B48="",C48="",D48="",G48=""),"",INDEX('Land Emission Factors'!$E$9:$J$20,MATCH(B48&amp;C48,'Land Emission Factors'!$C$9:$C$20&amp;'Land Emission Factors'!$D$9:$D$20,0),MATCH('Land use &amp; agriculture'!D48,'Land Emission Factors'!$E$8:$J$8,0)))</f>
        <v/>
      </c>
      <c r="L48" s="186" t="str">
        <f t="shared" si="1"/>
        <v/>
      </c>
      <c r="M48" s="227"/>
      <c r="N48" s="226"/>
      <c r="O48" s="186">
        <v>0</v>
      </c>
      <c r="P48" s="186">
        <v>0</v>
      </c>
      <c r="Q48" s="186">
        <v>0</v>
      </c>
      <c r="R48" s="186">
        <v>0</v>
      </c>
      <c r="S48" s="186">
        <v>0</v>
      </c>
      <c r="T48" s="186" t="str">
        <f>IF(LandTier1Table[[#This Row],[Total  kg CO2e]]="", "",(LandTier1Table[[#This Row],[Total  kg CO2e]]*(1+LandTier1Table[[#This Row],[RSD estimate (+/-%)]])))</f>
        <v/>
      </c>
      <c r="U48" s="186" t="str">
        <f>IF(LandTier1Table[[#This Row],[Total  kg CO2e]]="", "",(LandTier1Table[[#This Row],[Total  kg CO2e]]*(1-LandTier1Table[[#This Row],[RSD estimate (+/-%)]])))</f>
        <v/>
      </c>
      <c r="V48" s="186" t="str">
        <f>LandTier1Table[[#This Row],[Total  kg CO2e]]</f>
        <v/>
      </c>
      <c r="X48" s="1" cm="1">
        <f t="array" ref="X48">IF(OR(ISERROR(B48:V48)),1,0)</f>
        <v>0</v>
      </c>
      <c r="Y48" s="1">
        <f t="shared" si="3"/>
        <v>0</v>
      </c>
    </row>
    <row r="49" spans="2:25" ht="15" thickBot="1" x14ac:dyDescent="0.4">
      <c r="B49" s="107"/>
      <c r="C49" s="107"/>
      <c r="D49" s="107"/>
      <c r="E49" s="426" t="s">
        <v>262</v>
      </c>
      <c r="F49" s="139" t="str">
        <f>IF(LandTier1Table[[#This Row],[Total  kg CO2e]]="", " ", 0.25)</f>
        <v xml:space="preserve"> </v>
      </c>
      <c r="G49" s="70"/>
      <c r="H49" s="188" t="s">
        <v>430</v>
      </c>
      <c r="I49" s="188">
        <f>LandTier1Table[[#This Row],[Land area in hectares (ha)]]</f>
        <v>0</v>
      </c>
      <c r="J49" s="188" t="s">
        <v>430</v>
      </c>
      <c r="K49" s="427" t="str" cm="1">
        <f t="array" ref="K49">IF(OR(B49="",C49="",D49="",G49=""),"",INDEX('Land Emission Factors'!$E$9:$J$20,MATCH(B49&amp;C49,'Land Emission Factors'!$C$9:$C$20&amp;'Land Emission Factors'!$D$9:$D$20,0),MATCH('Land use &amp; agriculture'!D49,'Land Emission Factors'!$E$8:$J$8,0)))</f>
        <v/>
      </c>
      <c r="L49" s="186" t="str">
        <f t="shared" si="1"/>
        <v/>
      </c>
      <c r="M49" s="227"/>
      <c r="N49" s="226"/>
      <c r="O49" s="186">
        <v>0</v>
      </c>
      <c r="P49" s="186">
        <v>0</v>
      </c>
      <c r="Q49" s="186">
        <v>0</v>
      </c>
      <c r="R49" s="186">
        <v>0</v>
      </c>
      <c r="S49" s="186">
        <v>0</v>
      </c>
      <c r="T49" s="186" t="str">
        <f>IF(LandTier1Table[[#This Row],[Total  kg CO2e]]="", "",(LandTier1Table[[#This Row],[Total  kg CO2e]]*(1+LandTier1Table[[#This Row],[RSD estimate (+/-%)]])))</f>
        <v/>
      </c>
      <c r="U49" s="186" t="str">
        <f>IF(LandTier1Table[[#This Row],[Total  kg CO2e]]="", "",(LandTier1Table[[#This Row],[Total  kg CO2e]]*(1-LandTier1Table[[#This Row],[RSD estimate (+/-%)]])))</f>
        <v/>
      </c>
      <c r="V49" s="186" t="str">
        <f>LandTier1Table[[#This Row],[Total  kg CO2e]]</f>
        <v/>
      </c>
      <c r="X49" s="1" cm="1">
        <f t="array" ref="X49">IF(OR(ISERROR(B49:V49)),1,0)</f>
        <v>0</v>
      </c>
      <c r="Y49" s="1">
        <f t="shared" si="3"/>
        <v>0</v>
      </c>
    </row>
    <row r="50" spans="2:25" ht="15" thickBot="1" x14ac:dyDescent="0.4">
      <c r="B50" s="107"/>
      <c r="C50" s="107"/>
      <c r="D50" s="230"/>
      <c r="E50" s="426" t="s">
        <v>262</v>
      </c>
      <c r="F50" s="139" t="str">
        <f>IF(LandTier1Table[[#This Row],[Total  kg CO2e]]="", " ", 0.25)</f>
        <v xml:space="preserve"> </v>
      </c>
      <c r="G50" s="108"/>
      <c r="H50" s="188" t="s">
        <v>430</v>
      </c>
      <c r="I50" s="188">
        <f>LandTier1Table[[#This Row],[Land area in hectares (ha)]]</f>
        <v>0</v>
      </c>
      <c r="J50" s="188" t="s">
        <v>430</v>
      </c>
      <c r="K50" s="427" t="str" cm="1">
        <f t="array" ref="K50">IF(OR(B50="",C50="",D50="",G50=""),"",INDEX('Land Emission Factors'!$E$9:$J$20,MATCH(B50&amp;C50,'Land Emission Factors'!$C$9:$C$20&amp;'Land Emission Factors'!$D$9:$D$20,0),MATCH('Land use &amp; agriculture'!D50,'Land Emission Factors'!$E$8:$J$8,0)))</f>
        <v/>
      </c>
      <c r="L50" s="186" t="str">
        <f t="shared" si="1"/>
        <v/>
      </c>
      <c r="M50" s="227"/>
      <c r="N50" s="226"/>
      <c r="O50" s="186">
        <v>0</v>
      </c>
      <c r="P50" s="186">
        <v>0</v>
      </c>
      <c r="Q50" s="186">
        <v>0</v>
      </c>
      <c r="R50" s="186">
        <v>0</v>
      </c>
      <c r="S50" s="186">
        <v>0</v>
      </c>
      <c r="T50" s="186" t="str">
        <f>IF(LandTier1Table[[#This Row],[Total  kg CO2e]]="", "",(LandTier1Table[[#This Row],[Total  kg CO2e]]*(1+LandTier1Table[[#This Row],[RSD estimate (+/-%)]])))</f>
        <v/>
      </c>
      <c r="U50" s="186" t="str">
        <f>IF(LandTier1Table[[#This Row],[Total  kg CO2e]]="", "",(LandTier1Table[[#This Row],[Total  kg CO2e]]*(1-LandTier1Table[[#This Row],[RSD estimate (+/-%)]])))</f>
        <v/>
      </c>
      <c r="V50" s="186" t="str">
        <f>LandTier1Table[[#This Row],[Total  kg CO2e]]</f>
        <v/>
      </c>
      <c r="X50" s="1" cm="1">
        <f t="array" ref="X50">IF(OR(ISERROR(B50:V50)),1,0)</f>
        <v>0</v>
      </c>
      <c r="Y50" s="1">
        <f t="shared" si="3"/>
        <v>0</v>
      </c>
    </row>
    <row r="51" spans="2:25" ht="15" thickBot="1" x14ac:dyDescent="0.4">
      <c r="B51" s="107"/>
      <c r="C51" s="107"/>
      <c r="D51" s="230"/>
      <c r="E51" s="426" t="s">
        <v>262</v>
      </c>
      <c r="F51" s="139" t="str">
        <f>IF(LandTier1Table[[#This Row],[Total  kg CO2e]]="", " ", 0.25)</f>
        <v xml:space="preserve"> </v>
      </c>
      <c r="G51" s="108"/>
      <c r="H51" s="188" t="s">
        <v>430</v>
      </c>
      <c r="I51" s="188">
        <f>LandTier1Table[[#This Row],[Land area in hectares (ha)]]</f>
        <v>0</v>
      </c>
      <c r="J51" s="188" t="s">
        <v>430</v>
      </c>
      <c r="K51" s="427" t="str" cm="1">
        <f t="array" ref="K51">IF(OR(B51="",C51="",D51="",G51=""),"",INDEX('Land Emission Factors'!$E$9:$J$20,MATCH(B51&amp;C51,'Land Emission Factors'!$C$9:$C$20&amp;'Land Emission Factors'!$D$9:$D$20,0),MATCH('Land use &amp; agriculture'!D51,'Land Emission Factors'!$E$8:$J$8,0)))</f>
        <v/>
      </c>
      <c r="L51" s="186" t="str">
        <f t="shared" si="1"/>
        <v/>
      </c>
      <c r="M51" s="227"/>
      <c r="N51" s="226"/>
      <c r="O51" s="186">
        <v>0</v>
      </c>
      <c r="P51" s="186">
        <v>0</v>
      </c>
      <c r="Q51" s="186">
        <v>0</v>
      </c>
      <c r="R51" s="186">
        <v>0</v>
      </c>
      <c r="S51" s="186">
        <v>0</v>
      </c>
      <c r="T51" s="186" t="str">
        <f>IF(LandTier1Table[[#This Row],[Total  kg CO2e]]="", "",(LandTier1Table[[#This Row],[Total  kg CO2e]]*(1+LandTier1Table[[#This Row],[RSD estimate (+/-%)]])))</f>
        <v/>
      </c>
      <c r="U51" s="186" t="str">
        <f>IF(LandTier1Table[[#This Row],[Total  kg CO2e]]="", "",(LandTier1Table[[#This Row],[Total  kg CO2e]]*(1-LandTier1Table[[#This Row],[RSD estimate (+/-%)]])))</f>
        <v/>
      </c>
      <c r="V51" s="186" t="str">
        <f>LandTier1Table[[#This Row],[Total  kg CO2e]]</f>
        <v/>
      </c>
      <c r="X51" s="1" cm="1">
        <f t="array" ref="X51">IF(OR(ISERROR(B51:V51)),1,0)</f>
        <v>0</v>
      </c>
      <c r="Y51" s="1">
        <f t="shared" si="3"/>
        <v>0</v>
      </c>
    </row>
    <row r="52" spans="2:25" ht="15" thickBot="1" x14ac:dyDescent="0.4">
      <c r="B52" s="107"/>
      <c r="C52" s="107"/>
      <c r="D52" s="230"/>
      <c r="E52" s="426" t="s">
        <v>262</v>
      </c>
      <c r="F52" s="139" t="str">
        <f>IF(LandTier1Table[[#This Row],[Total  kg CO2e]]="", " ", 0.25)</f>
        <v xml:space="preserve"> </v>
      </c>
      <c r="G52" s="108"/>
      <c r="H52" s="188" t="s">
        <v>430</v>
      </c>
      <c r="I52" s="188">
        <f>LandTier1Table[[#This Row],[Land area in hectares (ha)]]</f>
        <v>0</v>
      </c>
      <c r="J52" s="188" t="s">
        <v>430</v>
      </c>
      <c r="K52" s="427" t="str" cm="1">
        <f t="array" ref="K52">IF(OR(B52="",C52="",D52="",G52=""),"",INDEX('Land Emission Factors'!$E$9:$J$20,MATCH(B52&amp;C52,'Land Emission Factors'!$C$9:$C$20&amp;'Land Emission Factors'!$D$9:$D$20,0),MATCH('Land use &amp; agriculture'!D52,'Land Emission Factors'!$E$8:$J$8,0)))</f>
        <v/>
      </c>
      <c r="L52" s="186" t="str">
        <f t="shared" si="1"/>
        <v/>
      </c>
      <c r="M52" s="227"/>
      <c r="N52" s="226"/>
      <c r="O52" s="186">
        <v>0</v>
      </c>
      <c r="P52" s="186">
        <v>0</v>
      </c>
      <c r="Q52" s="186">
        <v>0</v>
      </c>
      <c r="R52" s="186">
        <v>0</v>
      </c>
      <c r="S52" s="186">
        <v>0</v>
      </c>
      <c r="T52" s="186" t="str">
        <f>IF(LandTier1Table[[#This Row],[Total  kg CO2e]]="", "",(LandTier1Table[[#This Row],[Total  kg CO2e]]*(1+LandTier1Table[[#This Row],[RSD estimate (+/-%)]])))</f>
        <v/>
      </c>
      <c r="U52" s="186" t="str">
        <f>IF(LandTier1Table[[#This Row],[Total  kg CO2e]]="", "",(LandTier1Table[[#This Row],[Total  kg CO2e]]*(1-LandTier1Table[[#This Row],[RSD estimate (+/-%)]])))</f>
        <v/>
      </c>
      <c r="V52" s="186" t="str">
        <f>LandTier1Table[[#This Row],[Total  kg CO2e]]</f>
        <v/>
      </c>
      <c r="X52" s="1" cm="1">
        <f t="array" ref="X52">IF(OR(ISERROR(B52:V52)),1,0)</f>
        <v>0</v>
      </c>
      <c r="Y52" s="1">
        <f t="shared" si="3"/>
        <v>0</v>
      </c>
    </row>
    <row r="53" spans="2:25" ht="15" thickBot="1" x14ac:dyDescent="0.4">
      <c r="B53" s="107"/>
      <c r="C53" s="107"/>
      <c r="D53" s="230"/>
      <c r="E53" s="426" t="s">
        <v>262</v>
      </c>
      <c r="F53" s="139" t="str">
        <f>IF(LandTier1Table[[#This Row],[Total  kg CO2e]]="", " ", 0.25)</f>
        <v xml:space="preserve"> </v>
      </c>
      <c r="G53" s="108"/>
      <c r="H53" s="188" t="s">
        <v>430</v>
      </c>
      <c r="I53" s="188">
        <f>LandTier1Table[[#This Row],[Land area in hectares (ha)]]</f>
        <v>0</v>
      </c>
      <c r="J53" s="188" t="s">
        <v>430</v>
      </c>
      <c r="K53" s="427" t="str" cm="1">
        <f t="array" ref="K53">IF(OR(B53="",C53="",D53="",G53=""),"",INDEX('Land Emission Factors'!$E$9:$J$20,MATCH(B53&amp;C53,'Land Emission Factors'!$C$9:$C$20&amp;'Land Emission Factors'!$D$9:$D$20,0),MATCH('Land use &amp; agriculture'!D53,'Land Emission Factors'!$E$8:$J$8,0)))</f>
        <v/>
      </c>
      <c r="L53" s="186" t="str">
        <f t="shared" si="1"/>
        <v/>
      </c>
      <c r="M53" s="227"/>
      <c r="N53" s="226"/>
      <c r="O53" s="186">
        <v>0</v>
      </c>
      <c r="P53" s="186">
        <v>0</v>
      </c>
      <c r="Q53" s="186">
        <v>0</v>
      </c>
      <c r="R53" s="186">
        <v>0</v>
      </c>
      <c r="S53" s="186">
        <v>0</v>
      </c>
      <c r="T53" s="186" t="str">
        <f>IF(LandTier1Table[[#This Row],[Total  kg CO2e]]="", "",(LandTier1Table[[#This Row],[Total  kg CO2e]]*(1+LandTier1Table[[#This Row],[RSD estimate (+/-%)]])))</f>
        <v/>
      </c>
      <c r="U53" s="186" t="str">
        <f>IF(LandTier1Table[[#This Row],[Total  kg CO2e]]="", "",(LandTier1Table[[#This Row],[Total  kg CO2e]]*(1-LandTier1Table[[#This Row],[RSD estimate (+/-%)]])))</f>
        <v/>
      </c>
      <c r="V53" s="186" t="str">
        <f>LandTier1Table[[#This Row],[Total  kg CO2e]]</f>
        <v/>
      </c>
      <c r="X53" s="1" cm="1">
        <f t="array" ref="X53">IF(OR(ISERROR(B53:V53)),1,0)</f>
        <v>0</v>
      </c>
      <c r="Y53" s="1">
        <f t="shared" si="3"/>
        <v>0</v>
      </c>
    </row>
    <row r="54" spans="2:25" ht="15" thickBot="1" x14ac:dyDescent="0.4">
      <c r="B54" s="107"/>
      <c r="C54" s="107"/>
      <c r="D54" s="230"/>
      <c r="E54" s="426" t="s">
        <v>262</v>
      </c>
      <c r="F54" s="139" t="str">
        <f>IF(LandTier1Table[[#This Row],[Total  kg CO2e]]="", " ", 0.25)</f>
        <v xml:space="preserve"> </v>
      </c>
      <c r="G54" s="108"/>
      <c r="H54" s="188" t="s">
        <v>430</v>
      </c>
      <c r="I54" s="188">
        <f>LandTier1Table[[#This Row],[Land area in hectares (ha)]]</f>
        <v>0</v>
      </c>
      <c r="J54" s="188" t="s">
        <v>430</v>
      </c>
      <c r="K54" s="427" t="str" cm="1">
        <f t="array" ref="K54">IF(OR(B54="",C54="",D54="",G54=""),"",INDEX('Land Emission Factors'!$E$9:$J$20,MATCH(B54&amp;C54,'Land Emission Factors'!$C$9:$C$20&amp;'Land Emission Factors'!$D$9:$D$20,0),MATCH('Land use &amp; agriculture'!D54,'Land Emission Factors'!$E$8:$J$8,0)))</f>
        <v/>
      </c>
      <c r="L54" s="186" t="str">
        <f t="shared" si="1"/>
        <v/>
      </c>
      <c r="M54" s="227"/>
      <c r="N54" s="226"/>
      <c r="O54" s="186">
        <v>0</v>
      </c>
      <c r="P54" s="186">
        <v>0</v>
      </c>
      <c r="Q54" s="186">
        <v>0</v>
      </c>
      <c r="R54" s="186">
        <v>0</v>
      </c>
      <c r="S54" s="186">
        <v>0</v>
      </c>
      <c r="T54" s="186" t="str">
        <f>IF(LandTier1Table[[#This Row],[Total  kg CO2e]]="", "",(LandTier1Table[[#This Row],[Total  kg CO2e]]*(1+LandTier1Table[[#This Row],[RSD estimate (+/-%)]])))</f>
        <v/>
      </c>
      <c r="U54" s="186" t="str">
        <f>IF(LandTier1Table[[#This Row],[Total  kg CO2e]]="", "",(LandTier1Table[[#This Row],[Total  kg CO2e]]*(1-LandTier1Table[[#This Row],[RSD estimate (+/-%)]])))</f>
        <v/>
      </c>
      <c r="V54" s="186" t="str">
        <f>LandTier1Table[[#This Row],[Total  kg CO2e]]</f>
        <v/>
      </c>
      <c r="X54" s="1" cm="1">
        <f t="array" ref="X54">IF(OR(ISERROR(B54:V54)),1,0)</f>
        <v>0</v>
      </c>
      <c r="Y54" s="1">
        <f t="shared" si="3"/>
        <v>0</v>
      </c>
    </row>
    <row r="55" spans="2:25" ht="15" thickBot="1" x14ac:dyDescent="0.4">
      <c r="B55" s="107"/>
      <c r="C55" s="107"/>
      <c r="D55" s="230"/>
      <c r="E55" s="426" t="s">
        <v>262</v>
      </c>
      <c r="F55" s="139" t="str">
        <f>IF(LandTier1Table[[#This Row],[Total  kg CO2e]]="", " ", 0.25)</f>
        <v xml:space="preserve"> </v>
      </c>
      <c r="G55" s="108"/>
      <c r="H55" s="188" t="s">
        <v>430</v>
      </c>
      <c r="I55" s="188">
        <f>LandTier1Table[[#This Row],[Land area in hectares (ha)]]</f>
        <v>0</v>
      </c>
      <c r="J55" s="188" t="s">
        <v>430</v>
      </c>
      <c r="K55" s="427" t="str" cm="1">
        <f t="array" ref="K55">IF(OR(B55="",C55="",D55="",G55=""),"",INDEX('Land Emission Factors'!$E$9:$J$20,MATCH(B55&amp;C55,'Land Emission Factors'!$C$9:$C$20&amp;'Land Emission Factors'!$D$9:$D$20,0),MATCH('Land use &amp; agriculture'!D55,'Land Emission Factors'!$E$8:$J$8,0)))</f>
        <v/>
      </c>
      <c r="L55" s="186" t="str">
        <f t="shared" si="1"/>
        <v/>
      </c>
      <c r="M55" s="227"/>
      <c r="N55" s="226"/>
      <c r="O55" s="186">
        <v>0</v>
      </c>
      <c r="P55" s="186">
        <v>0</v>
      </c>
      <c r="Q55" s="186">
        <v>0</v>
      </c>
      <c r="R55" s="186">
        <v>0</v>
      </c>
      <c r="S55" s="186">
        <v>0</v>
      </c>
      <c r="T55" s="186" t="str">
        <f>IF(LandTier1Table[[#This Row],[Total  kg CO2e]]="", "",(LandTier1Table[[#This Row],[Total  kg CO2e]]*(1+LandTier1Table[[#This Row],[RSD estimate (+/-%)]])))</f>
        <v/>
      </c>
      <c r="U55" s="186" t="str">
        <f>IF(LandTier1Table[[#This Row],[Total  kg CO2e]]="", "",(LandTier1Table[[#This Row],[Total  kg CO2e]]*(1-LandTier1Table[[#This Row],[RSD estimate (+/-%)]])))</f>
        <v/>
      </c>
      <c r="V55" s="186" t="str">
        <f>LandTier1Table[[#This Row],[Total  kg CO2e]]</f>
        <v/>
      </c>
      <c r="X55" s="1" cm="1">
        <f t="array" ref="X55">IF(OR(ISERROR(B55:V55)),1,0)</f>
        <v>0</v>
      </c>
      <c r="Y55" s="1">
        <f t="shared" si="3"/>
        <v>0</v>
      </c>
    </row>
    <row r="56" spans="2:25" ht="15" thickBot="1" x14ac:dyDescent="0.4">
      <c r="B56" s="107"/>
      <c r="C56" s="107"/>
      <c r="D56" s="230"/>
      <c r="E56" s="426" t="s">
        <v>262</v>
      </c>
      <c r="F56" s="139" t="str">
        <f>IF(LandTier1Table[[#This Row],[Total  kg CO2e]]="", " ", 0.25)</f>
        <v xml:space="preserve"> </v>
      </c>
      <c r="G56" s="108"/>
      <c r="H56" s="188" t="s">
        <v>430</v>
      </c>
      <c r="I56" s="188">
        <f>LandTier1Table[[#This Row],[Land area in hectares (ha)]]</f>
        <v>0</v>
      </c>
      <c r="J56" s="188" t="s">
        <v>430</v>
      </c>
      <c r="K56" s="427" t="str" cm="1">
        <f t="array" ref="K56">IF(OR(B56="",C56="",D56="",G56=""),"",INDEX('Land Emission Factors'!$E$9:$J$20,MATCH(B56&amp;C56,'Land Emission Factors'!$C$9:$C$20&amp;'Land Emission Factors'!$D$9:$D$20,0),MATCH('Land use &amp; agriculture'!D56,'Land Emission Factors'!$E$8:$J$8,0)))</f>
        <v/>
      </c>
      <c r="L56" s="186" t="str">
        <f t="shared" si="1"/>
        <v/>
      </c>
      <c r="M56" s="227"/>
      <c r="N56" s="226"/>
      <c r="O56" s="186">
        <v>0</v>
      </c>
      <c r="P56" s="186">
        <v>0</v>
      </c>
      <c r="Q56" s="186">
        <v>0</v>
      </c>
      <c r="R56" s="186">
        <v>0</v>
      </c>
      <c r="S56" s="186">
        <v>0</v>
      </c>
      <c r="T56" s="186" t="str">
        <f>IF(LandTier1Table[[#This Row],[Total  kg CO2e]]="", "",(LandTier1Table[[#This Row],[Total  kg CO2e]]*(1+LandTier1Table[[#This Row],[RSD estimate (+/-%)]])))</f>
        <v/>
      </c>
      <c r="U56" s="186" t="str">
        <f>IF(LandTier1Table[[#This Row],[Total  kg CO2e]]="", "",(LandTier1Table[[#This Row],[Total  kg CO2e]]*(1-LandTier1Table[[#This Row],[RSD estimate (+/-%)]])))</f>
        <v/>
      </c>
      <c r="V56" s="186" t="str">
        <f>LandTier1Table[[#This Row],[Total  kg CO2e]]</f>
        <v/>
      </c>
      <c r="X56" s="1" cm="1">
        <f t="array" ref="X56">IF(OR(ISERROR(B56:V56)),1,0)</f>
        <v>0</v>
      </c>
      <c r="Y56" s="1">
        <f t="shared" si="3"/>
        <v>0</v>
      </c>
    </row>
    <row r="57" spans="2:25" ht="15" thickBot="1" x14ac:dyDescent="0.4">
      <c r="B57" s="107"/>
      <c r="C57" s="107"/>
      <c r="D57" s="230"/>
      <c r="E57" s="426" t="s">
        <v>262</v>
      </c>
      <c r="F57" s="139" t="str">
        <f>IF(LandTier1Table[[#This Row],[Total  kg CO2e]]="", " ", 0.25)</f>
        <v xml:space="preserve"> </v>
      </c>
      <c r="G57" s="108"/>
      <c r="H57" s="188" t="s">
        <v>430</v>
      </c>
      <c r="I57" s="188">
        <f>LandTier1Table[[#This Row],[Land area in hectares (ha)]]</f>
        <v>0</v>
      </c>
      <c r="J57" s="188" t="s">
        <v>430</v>
      </c>
      <c r="K57" s="427" t="str" cm="1">
        <f t="array" ref="K57">IF(OR(B57="",C57="",D57="",G57=""),"",INDEX('Land Emission Factors'!$E$9:$J$20,MATCH(B57&amp;C57,'Land Emission Factors'!$C$9:$C$20&amp;'Land Emission Factors'!$D$9:$D$20,0),MATCH('Land use &amp; agriculture'!D57,'Land Emission Factors'!$E$8:$J$8,0)))</f>
        <v/>
      </c>
      <c r="L57" s="186" t="str">
        <f t="shared" si="1"/>
        <v/>
      </c>
      <c r="M57" s="227"/>
      <c r="N57" s="226"/>
      <c r="O57" s="186">
        <v>0</v>
      </c>
      <c r="P57" s="186">
        <v>0</v>
      </c>
      <c r="Q57" s="186">
        <v>0</v>
      </c>
      <c r="R57" s="186">
        <v>0</v>
      </c>
      <c r="S57" s="186">
        <v>0</v>
      </c>
      <c r="T57" s="186" t="str">
        <f>IF(LandTier1Table[[#This Row],[Total  kg CO2e]]="", "",(LandTier1Table[[#This Row],[Total  kg CO2e]]*(1+LandTier1Table[[#This Row],[RSD estimate (+/-%)]])))</f>
        <v/>
      </c>
      <c r="U57" s="186" t="str">
        <f>IF(LandTier1Table[[#This Row],[Total  kg CO2e]]="", "",(LandTier1Table[[#This Row],[Total  kg CO2e]]*(1-LandTier1Table[[#This Row],[RSD estimate (+/-%)]])))</f>
        <v/>
      </c>
      <c r="V57" s="186" t="str">
        <f>LandTier1Table[[#This Row],[Total  kg CO2e]]</f>
        <v/>
      </c>
      <c r="X57" s="1" cm="1">
        <f t="array" ref="X57">IF(OR(ISERROR(B57:V57)),1,0)</f>
        <v>0</v>
      </c>
      <c r="Y57" s="1">
        <f t="shared" si="3"/>
        <v>0</v>
      </c>
    </row>
    <row r="58" spans="2:25" ht="15" thickBot="1" x14ac:dyDescent="0.4">
      <c r="B58" s="107"/>
      <c r="C58" s="107"/>
      <c r="D58" s="230"/>
      <c r="E58" s="426" t="s">
        <v>262</v>
      </c>
      <c r="F58" s="139" t="str">
        <f>IF(LandTier1Table[[#This Row],[Total  kg CO2e]]="", " ", 0.25)</f>
        <v xml:space="preserve"> </v>
      </c>
      <c r="G58" s="108"/>
      <c r="H58" s="188" t="s">
        <v>430</v>
      </c>
      <c r="I58" s="188">
        <f>LandTier1Table[[#This Row],[Land area in hectares (ha)]]</f>
        <v>0</v>
      </c>
      <c r="J58" s="188" t="s">
        <v>430</v>
      </c>
      <c r="K58" s="427" t="str" cm="1">
        <f t="array" ref="K58">IF(OR(B58="",C58="",D58="",G58=""),"",INDEX('Land Emission Factors'!$E$9:$J$20,MATCH(B58&amp;C58,'Land Emission Factors'!$C$9:$C$20&amp;'Land Emission Factors'!$D$9:$D$20,0),MATCH('Land use &amp; agriculture'!D58,'Land Emission Factors'!$E$8:$J$8,0)))</f>
        <v/>
      </c>
      <c r="L58" s="186" t="str">
        <f t="shared" si="1"/>
        <v/>
      </c>
      <c r="M58" s="227"/>
      <c r="N58" s="226"/>
      <c r="O58" s="186">
        <v>0</v>
      </c>
      <c r="P58" s="186">
        <v>0</v>
      </c>
      <c r="Q58" s="186">
        <v>0</v>
      </c>
      <c r="R58" s="186">
        <v>0</v>
      </c>
      <c r="S58" s="186">
        <v>0</v>
      </c>
      <c r="T58" s="186" t="str">
        <f>IF(LandTier1Table[[#This Row],[Total  kg CO2e]]="", "",(LandTier1Table[[#This Row],[Total  kg CO2e]]*(1+LandTier1Table[[#This Row],[RSD estimate (+/-%)]])))</f>
        <v/>
      </c>
      <c r="U58" s="186" t="str">
        <f>IF(LandTier1Table[[#This Row],[Total  kg CO2e]]="", "",(LandTier1Table[[#This Row],[Total  kg CO2e]]*(1-LandTier1Table[[#This Row],[RSD estimate (+/-%)]])))</f>
        <v/>
      </c>
      <c r="V58" s="186" t="str">
        <f>LandTier1Table[[#This Row],[Total  kg CO2e]]</f>
        <v/>
      </c>
      <c r="X58" s="1" cm="1">
        <f t="array" ref="X58">IF(OR(ISERROR(B58:V58)),1,0)</f>
        <v>0</v>
      </c>
      <c r="Y58" s="1">
        <f t="shared" si="3"/>
        <v>0</v>
      </c>
    </row>
    <row r="59" spans="2:25" ht="15" thickBot="1" x14ac:dyDescent="0.4">
      <c r="B59" s="107"/>
      <c r="C59" s="107"/>
      <c r="D59" s="230"/>
      <c r="E59" s="426" t="s">
        <v>262</v>
      </c>
      <c r="F59" s="139" t="str">
        <f>IF(LandTier1Table[[#This Row],[Total  kg CO2e]]="", " ", 0.25)</f>
        <v xml:space="preserve"> </v>
      </c>
      <c r="G59" s="108"/>
      <c r="H59" s="188" t="s">
        <v>430</v>
      </c>
      <c r="I59" s="188">
        <f>LandTier1Table[[#This Row],[Land area in hectares (ha)]]</f>
        <v>0</v>
      </c>
      <c r="J59" s="188" t="s">
        <v>430</v>
      </c>
      <c r="K59" s="427" t="str" cm="1">
        <f t="array" ref="K59">IF(OR(B59="",C59="",D59="",G59=""),"",INDEX('Land Emission Factors'!$E$9:$J$20,MATCH(B59&amp;C59,'Land Emission Factors'!$C$9:$C$20&amp;'Land Emission Factors'!$D$9:$D$20,0),MATCH('Land use &amp; agriculture'!D59,'Land Emission Factors'!$E$8:$J$8,0)))</f>
        <v/>
      </c>
      <c r="L59" s="186" t="str">
        <f t="shared" si="1"/>
        <v/>
      </c>
      <c r="M59" s="227"/>
      <c r="N59" s="226"/>
      <c r="O59" s="186">
        <v>0</v>
      </c>
      <c r="P59" s="186">
        <v>0</v>
      </c>
      <c r="Q59" s="186">
        <v>0</v>
      </c>
      <c r="R59" s="186">
        <v>0</v>
      </c>
      <c r="S59" s="186">
        <v>0</v>
      </c>
      <c r="T59" s="186" t="str">
        <f>IF(LandTier1Table[[#This Row],[Total  kg CO2e]]="", "",(LandTier1Table[[#This Row],[Total  kg CO2e]]*(1+LandTier1Table[[#This Row],[RSD estimate (+/-%)]])))</f>
        <v/>
      </c>
      <c r="U59" s="186" t="str">
        <f>IF(LandTier1Table[[#This Row],[Total  kg CO2e]]="", "",(LandTier1Table[[#This Row],[Total  kg CO2e]]*(1-LandTier1Table[[#This Row],[RSD estimate (+/-%)]])))</f>
        <v/>
      </c>
      <c r="V59" s="186" t="str">
        <f>LandTier1Table[[#This Row],[Total  kg CO2e]]</f>
        <v/>
      </c>
      <c r="X59" s="1" cm="1">
        <f t="array" ref="X59">IF(OR(ISERROR(B59:V59)),1,0)</f>
        <v>0</v>
      </c>
      <c r="Y59" s="1">
        <f t="shared" si="3"/>
        <v>0</v>
      </c>
    </row>
    <row r="60" spans="2:25" ht="15" thickBot="1" x14ac:dyDescent="0.4">
      <c r="B60" s="107"/>
      <c r="C60" s="107"/>
      <c r="D60" s="230"/>
      <c r="E60" s="426" t="s">
        <v>262</v>
      </c>
      <c r="F60" s="139" t="str">
        <f>IF(LandTier1Table[[#This Row],[Total  kg CO2e]]="", " ", 0.25)</f>
        <v xml:space="preserve"> </v>
      </c>
      <c r="G60" s="108"/>
      <c r="H60" s="188" t="s">
        <v>430</v>
      </c>
      <c r="I60" s="188">
        <f>LandTier1Table[[#This Row],[Land area in hectares (ha)]]</f>
        <v>0</v>
      </c>
      <c r="J60" s="188" t="s">
        <v>430</v>
      </c>
      <c r="K60" s="427" t="str" cm="1">
        <f t="array" ref="K60">IF(OR(B60="",C60="",D60="",G60=""),"",INDEX('Land Emission Factors'!$E$9:$J$20,MATCH(B60&amp;C60,'Land Emission Factors'!$C$9:$C$20&amp;'Land Emission Factors'!$D$9:$D$20,0),MATCH('Land use &amp; agriculture'!D60,'Land Emission Factors'!$E$8:$J$8,0)))</f>
        <v/>
      </c>
      <c r="L60" s="186" t="str">
        <f t="shared" si="1"/>
        <v/>
      </c>
      <c r="M60" s="227"/>
      <c r="N60" s="226"/>
      <c r="O60" s="186">
        <v>0</v>
      </c>
      <c r="P60" s="186">
        <v>0</v>
      </c>
      <c r="Q60" s="186">
        <v>0</v>
      </c>
      <c r="R60" s="186">
        <v>0</v>
      </c>
      <c r="S60" s="186">
        <v>0</v>
      </c>
      <c r="T60" s="186" t="str">
        <f>IF(LandTier1Table[[#This Row],[Total  kg CO2e]]="", "",(LandTier1Table[[#This Row],[Total  kg CO2e]]*(1+LandTier1Table[[#This Row],[RSD estimate (+/-%)]])))</f>
        <v/>
      </c>
      <c r="U60" s="186" t="str">
        <f>IF(LandTier1Table[[#This Row],[Total  kg CO2e]]="", "",(LandTier1Table[[#This Row],[Total  kg CO2e]]*(1-LandTier1Table[[#This Row],[RSD estimate (+/-%)]])))</f>
        <v/>
      </c>
      <c r="V60" s="186" t="str">
        <f>LandTier1Table[[#This Row],[Total  kg CO2e]]</f>
        <v/>
      </c>
      <c r="X60" s="1" cm="1">
        <f t="array" ref="X60">IF(OR(ISERROR(B60:V60)),1,0)</f>
        <v>0</v>
      </c>
      <c r="Y60" s="1">
        <f t="shared" si="3"/>
        <v>0</v>
      </c>
    </row>
    <row r="61" spans="2:25" ht="15" thickBot="1" x14ac:dyDescent="0.4">
      <c r="B61" s="107"/>
      <c r="C61" s="107"/>
      <c r="D61" s="230"/>
      <c r="E61" s="426" t="s">
        <v>262</v>
      </c>
      <c r="F61" s="139" t="str">
        <f>IF(LandTier1Table[[#This Row],[Total  kg CO2e]]="", " ", 0.25)</f>
        <v xml:space="preserve"> </v>
      </c>
      <c r="G61" s="108"/>
      <c r="H61" s="188" t="s">
        <v>430</v>
      </c>
      <c r="I61" s="188">
        <f>LandTier1Table[[#This Row],[Land area in hectares (ha)]]</f>
        <v>0</v>
      </c>
      <c r="J61" s="188" t="s">
        <v>430</v>
      </c>
      <c r="K61" s="427" t="str" cm="1">
        <f t="array" ref="K61">IF(OR(B61="",C61="",D61="",G61=""),"",INDEX('Land Emission Factors'!$E$9:$J$20,MATCH(B61&amp;C61,'Land Emission Factors'!$C$9:$C$20&amp;'Land Emission Factors'!$D$9:$D$20,0),MATCH('Land use &amp; agriculture'!D61,'Land Emission Factors'!$E$8:$J$8,0)))</f>
        <v/>
      </c>
      <c r="L61" s="186" t="str">
        <f t="shared" si="1"/>
        <v/>
      </c>
      <c r="M61" s="227"/>
      <c r="N61" s="226"/>
      <c r="O61" s="186">
        <v>0</v>
      </c>
      <c r="P61" s="186">
        <v>0</v>
      </c>
      <c r="Q61" s="186">
        <v>0</v>
      </c>
      <c r="R61" s="186">
        <v>0</v>
      </c>
      <c r="S61" s="186">
        <v>0</v>
      </c>
      <c r="T61" s="186" t="str">
        <f>IF(LandTier1Table[[#This Row],[Total  kg CO2e]]="", "",(LandTier1Table[[#This Row],[Total  kg CO2e]]*(1+LandTier1Table[[#This Row],[RSD estimate (+/-%)]])))</f>
        <v/>
      </c>
      <c r="U61" s="186" t="str">
        <f>IF(LandTier1Table[[#This Row],[Total  kg CO2e]]="", "",(LandTier1Table[[#This Row],[Total  kg CO2e]]*(1-LandTier1Table[[#This Row],[RSD estimate (+/-%)]])))</f>
        <v/>
      </c>
      <c r="V61" s="186" t="str">
        <f>LandTier1Table[[#This Row],[Total  kg CO2e]]</f>
        <v/>
      </c>
      <c r="X61" s="1" cm="1">
        <f t="array" ref="X61">IF(OR(ISERROR(B61:V61)),1,0)</f>
        <v>0</v>
      </c>
      <c r="Y61" s="1">
        <f t="shared" si="3"/>
        <v>0</v>
      </c>
    </row>
    <row r="62" spans="2:25" ht="15" thickBot="1" x14ac:dyDescent="0.4">
      <c r="B62" s="107"/>
      <c r="C62" s="107"/>
      <c r="D62" s="230"/>
      <c r="E62" s="426" t="s">
        <v>262</v>
      </c>
      <c r="F62" s="139" t="str">
        <f>IF(LandTier1Table[[#This Row],[Total  kg CO2e]]="", " ", 0.25)</f>
        <v xml:space="preserve"> </v>
      </c>
      <c r="G62" s="108"/>
      <c r="H62" s="188" t="s">
        <v>430</v>
      </c>
      <c r="I62" s="188">
        <f>LandTier1Table[[#This Row],[Land area in hectares (ha)]]</f>
        <v>0</v>
      </c>
      <c r="J62" s="188" t="s">
        <v>430</v>
      </c>
      <c r="K62" s="427" t="str" cm="1">
        <f t="array" ref="K62">IF(OR(B62="",C62="",D62="",G62=""),"",INDEX('Land Emission Factors'!$E$9:$J$20,MATCH(B62&amp;C62,'Land Emission Factors'!$C$9:$C$20&amp;'Land Emission Factors'!$D$9:$D$20,0),MATCH('Land use &amp; agriculture'!D62,'Land Emission Factors'!$E$8:$J$8,0)))</f>
        <v/>
      </c>
      <c r="L62" s="186" t="str">
        <f t="shared" si="1"/>
        <v/>
      </c>
      <c r="M62" s="227"/>
      <c r="N62" s="226"/>
      <c r="O62" s="186">
        <v>0</v>
      </c>
      <c r="P62" s="186">
        <v>0</v>
      </c>
      <c r="Q62" s="186">
        <v>0</v>
      </c>
      <c r="R62" s="186">
        <v>0</v>
      </c>
      <c r="S62" s="186">
        <v>0</v>
      </c>
      <c r="T62" s="186" t="str">
        <f>IF(LandTier1Table[[#This Row],[Total  kg CO2e]]="", "",(LandTier1Table[[#This Row],[Total  kg CO2e]]*(1+LandTier1Table[[#This Row],[RSD estimate (+/-%)]])))</f>
        <v/>
      </c>
      <c r="U62" s="186" t="str">
        <f>IF(LandTier1Table[[#This Row],[Total  kg CO2e]]="", "",(LandTier1Table[[#This Row],[Total  kg CO2e]]*(1-LandTier1Table[[#This Row],[RSD estimate (+/-%)]])))</f>
        <v/>
      </c>
      <c r="V62" s="186" t="str">
        <f>LandTier1Table[[#This Row],[Total  kg CO2e]]</f>
        <v/>
      </c>
      <c r="X62" s="1" cm="1">
        <f t="array" ref="X62">IF(OR(ISERROR(B62:V62)),1,0)</f>
        <v>0</v>
      </c>
      <c r="Y62" s="1">
        <f t="shared" si="3"/>
        <v>0</v>
      </c>
    </row>
    <row r="63" spans="2:25" ht="15" thickBot="1" x14ac:dyDescent="0.4">
      <c r="B63" s="107"/>
      <c r="C63" s="107"/>
      <c r="D63" s="230"/>
      <c r="E63" s="426" t="s">
        <v>262</v>
      </c>
      <c r="F63" s="139" t="str">
        <f>IF(LandTier1Table[[#This Row],[Total  kg CO2e]]="", " ", 0.25)</f>
        <v xml:space="preserve"> </v>
      </c>
      <c r="G63" s="108"/>
      <c r="H63" s="188" t="s">
        <v>430</v>
      </c>
      <c r="I63" s="188">
        <f>LandTier1Table[[#This Row],[Land area in hectares (ha)]]</f>
        <v>0</v>
      </c>
      <c r="J63" s="188" t="s">
        <v>430</v>
      </c>
      <c r="K63" s="427" t="str" cm="1">
        <f t="array" ref="K63">IF(OR(B63="",C63="",D63="",G63=""),"",INDEX('Land Emission Factors'!$E$9:$J$20,MATCH(B63&amp;C63,'Land Emission Factors'!$C$9:$C$20&amp;'Land Emission Factors'!$D$9:$D$20,0),MATCH('Land use &amp; agriculture'!D63,'Land Emission Factors'!$E$8:$J$8,0)))</f>
        <v/>
      </c>
      <c r="L63" s="186" t="str">
        <f t="shared" si="1"/>
        <v/>
      </c>
      <c r="M63" s="227"/>
      <c r="N63" s="226"/>
      <c r="O63" s="186">
        <v>0</v>
      </c>
      <c r="P63" s="186">
        <v>0</v>
      </c>
      <c r="Q63" s="186">
        <v>0</v>
      </c>
      <c r="R63" s="186">
        <v>0</v>
      </c>
      <c r="S63" s="186">
        <v>0</v>
      </c>
      <c r="T63" s="186" t="str">
        <f>IF(LandTier1Table[[#This Row],[Total  kg CO2e]]="", "",(LandTier1Table[[#This Row],[Total  kg CO2e]]*(1+LandTier1Table[[#This Row],[RSD estimate (+/-%)]])))</f>
        <v/>
      </c>
      <c r="U63" s="186" t="str">
        <f>IF(LandTier1Table[[#This Row],[Total  kg CO2e]]="", "",(LandTier1Table[[#This Row],[Total  kg CO2e]]*(1-LandTier1Table[[#This Row],[RSD estimate (+/-%)]])))</f>
        <v/>
      </c>
      <c r="V63" s="186" t="str">
        <f>LandTier1Table[[#This Row],[Total  kg CO2e]]</f>
        <v/>
      </c>
      <c r="X63" s="1" cm="1">
        <f t="array" ref="X63">IF(OR(ISERROR(B63:V63)),1,0)</f>
        <v>0</v>
      </c>
      <c r="Y63" s="1">
        <f t="shared" si="3"/>
        <v>0</v>
      </c>
    </row>
    <row r="64" spans="2:25" ht="15" thickBot="1" x14ac:dyDescent="0.4">
      <c r="B64" s="107"/>
      <c r="C64" s="107"/>
      <c r="D64" s="230"/>
      <c r="E64" s="426" t="s">
        <v>262</v>
      </c>
      <c r="F64" s="139" t="str">
        <f>IF(LandTier1Table[[#This Row],[Total  kg CO2e]]="", " ", 0.25)</f>
        <v xml:space="preserve"> </v>
      </c>
      <c r="G64" s="108"/>
      <c r="H64" s="188" t="s">
        <v>430</v>
      </c>
      <c r="I64" s="188">
        <f>LandTier1Table[[#This Row],[Land area in hectares (ha)]]</f>
        <v>0</v>
      </c>
      <c r="J64" s="188" t="s">
        <v>430</v>
      </c>
      <c r="K64" s="427" t="str" cm="1">
        <f t="array" ref="K64">IF(OR(B64="",C64="",D64="",G64=""),"",INDEX('Land Emission Factors'!$E$9:$J$20,MATCH(B64&amp;C64,'Land Emission Factors'!$C$9:$C$20&amp;'Land Emission Factors'!$D$9:$D$20,0),MATCH('Land use &amp; agriculture'!D64,'Land Emission Factors'!$E$8:$J$8,0)))</f>
        <v/>
      </c>
      <c r="L64" s="186" t="str">
        <f t="shared" si="1"/>
        <v/>
      </c>
      <c r="M64" s="227"/>
      <c r="N64" s="226"/>
      <c r="O64" s="186">
        <v>0</v>
      </c>
      <c r="P64" s="186">
        <v>0</v>
      </c>
      <c r="Q64" s="186">
        <v>0</v>
      </c>
      <c r="R64" s="186">
        <v>0</v>
      </c>
      <c r="S64" s="186">
        <v>0</v>
      </c>
      <c r="T64" s="186" t="str">
        <f>IF(LandTier1Table[[#This Row],[Total  kg CO2e]]="", "",(LandTier1Table[[#This Row],[Total  kg CO2e]]*(1+LandTier1Table[[#This Row],[RSD estimate (+/-%)]])))</f>
        <v/>
      </c>
      <c r="U64" s="186" t="str">
        <f>IF(LandTier1Table[[#This Row],[Total  kg CO2e]]="", "",(LandTier1Table[[#This Row],[Total  kg CO2e]]*(1-LandTier1Table[[#This Row],[RSD estimate (+/-%)]])))</f>
        <v/>
      </c>
      <c r="V64" s="186" t="str">
        <f>LandTier1Table[[#This Row],[Total  kg CO2e]]</f>
        <v/>
      </c>
      <c r="X64" s="1" cm="1">
        <f t="array" ref="X64">IF(OR(ISERROR(B64:V64)),1,0)</f>
        <v>0</v>
      </c>
      <c r="Y64" s="1">
        <f t="shared" si="3"/>
        <v>0</v>
      </c>
    </row>
    <row r="65" spans="2:25" ht="15" thickBot="1" x14ac:dyDescent="0.4">
      <c r="B65" s="107"/>
      <c r="C65" s="107"/>
      <c r="D65" s="230"/>
      <c r="E65" s="426" t="s">
        <v>262</v>
      </c>
      <c r="F65" s="139" t="str">
        <f>IF(LandTier1Table[[#This Row],[Total  kg CO2e]]="", " ", 0.25)</f>
        <v xml:space="preserve"> </v>
      </c>
      <c r="G65" s="108"/>
      <c r="H65" s="188" t="s">
        <v>430</v>
      </c>
      <c r="I65" s="188">
        <f>LandTier1Table[[#This Row],[Land area in hectares (ha)]]</f>
        <v>0</v>
      </c>
      <c r="J65" s="188" t="s">
        <v>430</v>
      </c>
      <c r="K65" s="427" t="str" cm="1">
        <f t="array" ref="K65">IF(OR(B65="",C65="",D65="",G65=""),"",INDEX('Land Emission Factors'!$E$9:$J$20,MATCH(B65&amp;C65,'Land Emission Factors'!$C$9:$C$20&amp;'Land Emission Factors'!$D$9:$D$20,0),MATCH('Land use &amp; agriculture'!D65,'Land Emission Factors'!$E$8:$J$8,0)))</f>
        <v/>
      </c>
      <c r="L65" s="186" t="str">
        <f t="shared" si="1"/>
        <v/>
      </c>
      <c r="M65" s="227"/>
      <c r="N65" s="226"/>
      <c r="O65" s="186">
        <v>0</v>
      </c>
      <c r="P65" s="186">
        <v>0</v>
      </c>
      <c r="Q65" s="186">
        <v>0</v>
      </c>
      <c r="R65" s="186">
        <v>0</v>
      </c>
      <c r="S65" s="186">
        <v>0</v>
      </c>
      <c r="T65" s="186" t="str">
        <f>IF(LandTier1Table[[#This Row],[Total  kg CO2e]]="", "",(LandTier1Table[[#This Row],[Total  kg CO2e]]*(1+LandTier1Table[[#This Row],[RSD estimate (+/-%)]])))</f>
        <v/>
      </c>
      <c r="U65" s="186" t="str">
        <f>IF(LandTier1Table[[#This Row],[Total  kg CO2e]]="", "",(LandTier1Table[[#This Row],[Total  kg CO2e]]*(1-LandTier1Table[[#This Row],[RSD estimate (+/-%)]])))</f>
        <v/>
      </c>
      <c r="V65" s="186" t="str">
        <f>LandTier1Table[[#This Row],[Total  kg CO2e]]</f>
        <v/>
      </c>
      <c r="X65" s="1" cm="1">
        <f t="array" ref="X65">IF(OR(ISERROR(B65:V65)),1,0)</f>
        <v>0</v>
      </c>
      <c r="Y65" s="1">
        <f t="shared" si="3"/>
        <v>0</v>
      </c>
    </row>
    <row r="66" spans="2:25" ht="15" thickBot="1" x14ac:dyDescent="0.4">
      <c r="B66" s="107"/>
      <c r="C66" s="107"/>
      <c r="D66" s="230"/>
      <c r="E66" s="426" t="s">
        <v>262</v>
      </c>
      <c r="F66" s="139" t="str">
        <f>IF(LandTier1Table[[#This Row],[Total  kg CO2e]]="", " ", 0.25)</f>
        <v xml:space="preserve"> </v>
      </c>
      <c r="G66" s="108"/>
      <c r="H66" s="188" t="s">
        <v>430</v>
      </c>
      <c r="I66" s="188">
        <f>LandTier1Table[[#This Row],[Land area in hectares (ha)]]</f>
        <v>0</v>
      </c>
      <c r="J66" s="188" t="s">
        <v>430</v>
      </c>
      <c r="K66" s="427" t="str" cm="1">
        <f t="array" ref="K66">IF(OR(B66="",C66="",D66="",G66=""),"",INDEX('Land Emission Factors'!$E$9:$J$20,MATCH(B66&amp;C66,'Land Emission Factors'!$C$9:$C$20&amp;'Land Emission Factors'!$D$9:$D$20,0),MATCH('Land use &amp; agriculture'!D66,'Land Emission Factors'!$E$8:$J$8,0)))</f>
        <v/>
      </c>
      <c r="L66" s="186" t="str">
        <f t="shared" si="1"/>
        <v/>
      </c>
      <c r="M66" s="227"/>
      <c r="N66" s="226"/>
      <c r="O66" s="186">
        <v>0</v>
      </c>
      <c r="P66" s="186">
        <v>0</v>
      </c>
      <c r="Q66" s="186">
        <v>0</v>
      </c>
      <c r="R66" s="186">
        <v>0</v>
      </c>
      <c r="S66" s="186">
        <v>0</v>
      </c>
      <c r="T66" s="186" t="str">
        <f>IF(LandTier1Table[[#This Row],[Total  kg CO2e]]="", "",(LandTier1Table[[#This Row],[Total  kg CO2e]]*(1+LandTier1Table[[#This Row],[RSD estimate (+/-%)]])))</f>
        <v/>
      </c>
      <c r="U66" s="186" t="str">
        <f>IF(LandTier1Table[[#This Row],[Total  kg CO2e]]="", "",(LandTier1Table[[#This Row],[Total  kg CO2e]]*(1-LandTier1Table[[#This Row],[RSD estimate (+/-%)]])))</f>
        <v/>
      </c>
      <c r="V66" s="186" t="str">
        <f>LandTier1Table[[#This Row],[Total  kg CO2e]]</f>
        <v/>
      </c>
      <c r="X66" s="1" cm="1">
        <f t="array" ref="X66">IF(OR(ISERROR(B66:V66)),1,0)</f>
        <v>0</v>
      </c>
      <c r="Y66" s="1">
        <f t="shared" si="3"/>
        <v>0</v>
      </c>
    </row>
    <row r="67" spans="2:25" ht="15" thickBot="1" x14ac:dyDescent="0.4">
      <c r="B67" s="107"/>
      <c r="C67" s="107"/>
      <c r="D67" s="230"/>
      <c r="E67" s="426" t="s">
        <v>262</v>
      </c>
      <c r="F67" s="139" t="str">
        <f>IF(LandTier1Table[[#This Row],[Total  kg CO2e]]="", " ", 0.25)</f>
        <v xml:space="preserve"> </v>
      </c>
      <c r="G67" s="108"/>
      <c r="H67" s="188" t="s">
        <v>430</v>
      </c>
      <c r="I67" s="188">
        <f>LandTier1Table[[#This Row],[Land area in hectares (ha)]]</f>
        <v>0</v>
      </c>
      <c r="J67" s="188" t="s">
        <v>430</v>
      </c>
      <c r="K67" s="427" t="str" cm="1">
        <f t="array" ref="K67">IF(OR(B67="",C67="",D67="",G67=""),"",INDEX('Land Emission Factors'!$E$9:$J$20,MATCH(B67&amp;C67,'Land Emission Factors'!$C$9:$C$20&amp;'Land Emission Factors'!$D$9:$D$20,0),MATCH('Land use &amp; agriculture'!D67,'Land Emission Factors'!$E$8:$J$8,0)))</f>
        <v/>
      </c>
      <c r="L67" s="186" t="str">
        <f t="shared" si="1"/>
        <v/>
      </c>
      <c r="M67" s="227"/>
      <c r="N67" s="226"/>
      <c r="O67" s="186">
        <v>0</v>
      </c>
      <c r="P67" s="186">
        <v>0</v>
      </c>
      <c r="Q67" s="186">
        <v>0</v>
      </c>
      <c r="R67" s="186">
        <v>0</v>
      </c>
      <c r="S67" s="186">
        <v>0</v>
      </c>
      <c r="T67" s="186" t="str">
        <f>IF(LandTier1Table[[#This Row],[Total  kg CO2e]]="", "",(LandTier1Table[[#This Row],[Total  kg CO2e]]*(1+LandTier1Table[[#This Row],[RSD estimate (+/-%)]])))</f>
        <v/>
      </c>
      <c r="U67" s="186" t="str">
        <f>IF(LandTier1Table[[#This Row],[Total  kg CO2e]]="", "",(LandTier1Table[[#This Row],[Total  kg CO2e]]*(1-LandTier1Table[[#This Row],[RSD estimate (+/-%)]])))</f>
        <v/>
      </c>
      <c r="V67" s="186" t="str">
        <f>LandTier1Table[[#This Row],[Total  kg CO2e]]</f>
        <v/>
      </c>
      <c r="X67" s="1" cm="1">
        <f t="array" ref="X67">IF(OR(ISERROR(B67:V67)),1,0)</f>
        <v>0</v>
      </c>
      <c r="Y67" s="1">
        <f t="shared" si="3"/>
        <v>0</v>
      </c>
    </row>
    <row r="68" spans="2:25" ht="15" thickBot="1" x14ac:dyDescent="0.4">
      <c r="B68" s="107"/>
      <c r="C68" s="107"/>
      <c r="D68" s="230"/>
      <c r="E68" s="426" t="s">
        <v>262</v>
      </c>
      <c r="F68" s="139" t="str">
        <f>IF(LandTier1Table[[#This Row],[Total  kg CO2e]]="", " ", 0.25)</f>
        <v xml:space="preserve"> </v>
      </c>
      <c r="G68" s="108"/>
      <c r="H68" s="188" t="s">
        <v>430</v>
      </c>
      <c r="I68" s="188">
        <f>LandTier1Table[[#This Row],[Land area in hectares (ha)]]</f>
        <v>0</v>
      </c>
      <c r="J68" s="188" t="s">
        <v>430</v>
      </c>
      <c r="K68" s="427" t="str" cm="1">
        <f t="array" ref="K68">IF(OR(B68="",C68="",D68="",G68=""),"",INDEX('Land Emission Factors'!$E$9:$J$20,MATCH(B68&amp;C68,'Land Emission Factors'!$C$9:$C$20&amp;'Land Emission Factors'!$D$9:$D$20,0),MATCH('Land use &amp; agriculture'!D68,'Land Emission Factors'!$E$8:$J$8,0)))</f>
        <v/>
      </c>
      <c r="L68" s="186" t="str">
        <f t="shared" si="1"/>
        <v/>
      </c>
      <c r="M68" s="227"/>
      <c r="N68" s="226"/>
      <c r="O68" s="186">
        <v>0</v>
      </c>
      <c r="P68" s="186">
        <v>0</v>
      </c>
      <c r="Q68" s="186">
        <v>0</v>
      </c>
      <c r="R68" s="186">
        <v>0</v>
      </c>
      <c r="S68" s="186">
        <v>0</v>
      </c>
      <c r="T68" s="186" t="str">
        <f>IF(LandTier1Table[[#This Row],[Total  kg CO2e]]="", "",(LandTier1Table[[#This Row],[Total  kg CO2e]]*(1+LandTier1Table[[#This Row],[RSD estimate (+/-%)]])))</f>
        <v/>
      </c>
      <c r="U68" s="186" t="str">
        <f>IF(LandTier1Table[[#This Row],[Total  kg CO2e]]="", "",(LandTier1Table[[#This Row],[Total  kg CO2e]]*(1-LandTier1Table[[#This Row],[RSD estimate (+/-%)]])))</f>
        <v/>
      </c>
      <c r="V68" s="186" t="str">
        <f>LandTier1Table[[#This Row],[Total  kg CO2e]]</f>
        <v/>
      </c>
      <c r="X68" s="1" cm="1">
        <f t="array" ref="X68">IF(OR(ISERROR(B68:V68)),1,0)</f>
        <v>0</v>
      </c>
      <c r="Y68" s="1">
        <f t="shared" si="3"/>
        <v>0</v>
      </c>
    </row>
    <row r="69" spans="2:25" ht="15" thickBot="1" x14ac:dyDescent="0.4">
      <c r="B69" s="107"/>
      <c r="C69" s="107"/>
      <c r="D69" s="230"/>
      <c r="E69" s="426" t="s">
        <v>262</v>
      </c>
      <c r="F69" s="139" t="str">
        <f>IF(LandTier1Table[[#This Row],[Total  kg CO2e]]="", " ", 0.25)</f>
        <v xml:space="preserve"> </v>
      </c>
      <c r="G69" s="108"/>
      <c r="H69" s="188" t="s">
        <v>430</v>
      </c>
      <c r="I69" s="188">
        <f>LandTier1Table[[#This Row],[Land area in hectares (ha)]]</f>
        <v>0</v>
      </c>
      <c r="J69" s="188" t="s">
        <v>430</v>
      </c>
      <c r="K69" s="427" t="str" cm="1">
        <f t="array" ref="K69">IF(OR(B69="",C69="",D69="",G69=""),"",INDEX('Land Emission Factors'!$E$9:$J$20,MATCH(B69&amp;C69,'Land Emission Factors'!$C$9:$C$20&amp;'Land Emission Factors'!$D$9:$D$20,0),MATCH('Land use &amp; agriculture'!D69,'Land Emission Factors'!$E$8:$J$8,0)))</f>
        <v/>
      </c>
      <c r="L69" s="186" t="str">
        <f t="shared" si="1"/>
        <v/>
      </c>
      <c r="M69" s="227"/>
      <c r="N69" s="226"/>
      <c r="O69" s="186">
        <v>0</v>
      </c>
      <c r="P69" s="186">
        <v>0</v>
      </c>
      <c r="Q69" s="186">
        <v>0</v>
      </c>
      <c r="R69" s="186">
        <v>0</v>
      </c>
      <c r="S69" s="186">
        <v>0</v>
      </c>
      <c r="T69" s="186" t="str">
        <f>IF(LandTier1Table[[#This Row],[Total  kg CO2e]]="", "",(LandTier1Table[[#This Row],[Total  kg CO2e]]*(1+LandTier1Table[[#This Row],[RSD estimate (+/-%)]])))</f>
        <v/>
      </c>
      <c r="U69" s="186" t="str">
        <f>IF(LandTier1Table[[#This Row],[Total  kg CO2e]]="", "",(LandTier1Table[[#This Row],[Total  kg CO2e]]*(1-LandTier1Table[[#This Row],[RSD estimate (+/-%)]])))</f>
        <v/>
      </c>
      <c r="V69" s="186" t="str">
        <f>LandTier1Table[[#This Row],[Total  kg CO2e]]</f>
        <v/>
      </c>
      <c r="X69" s="1" cm="1">
        <f t="array" ref="X69">IF(OR(ISERROR(B69:V69)),1,0)</f>
        <v>0</v>
      </c>
      <c r="Y69" s="1">
        <f t="shared" si="3"/>
        <v>0</v>
      </c>
    </row>
    <row r="70" spans="2:25" ht="15" thickBot="1" x14ac:dyDescent="0.4">
      <c r="B70" s="107"/>
      <c r="C70" s="107"/>
      <c r="D70" s="230"/>
      <c r="E70" s="426" t="s">
        <v>262</v>
      </c>
      <c r="F70" s="139" t="str">
        <f>IF(LandTier1Table[[#This Row],[Total  kg CO2e]]="", " ", 0.25)</f>
        <v xml:space="preserve"> </v>
      </c>
      <c r="G70" s="108"/>
      <c r="H70" s="188" t="s">
        <v>430</v>
      </c>
      <c r="I70" s="188">
        <f>LandTier1Table[[#This Row],[Land area in hectares (ha)]]</f>
        <v>0</v>
      </c>
      <c r="J70" s="188" t="s">
        <v>430</v>
      </c>
      <c r="K70" s="427" t="str" cm="1">
        <f t="array" ref="K70">IF(OR(B70="",C70="",D70="",G70=""),"",INDEX('Land Emission Factors'!$E$9:$J$20,MATCH(B70&amp;C70,'Land Emission Factors'!$C$9:$C$20&amp;'Land Emission Factors'!$D$9:$D$20,0),MATCH('Land use &amp; agriculture'!D70,'Land Emission Factors'!$E$8:$J$8,0)))</f>
        <v/>
      </c>
      <c r="L70" s="186" t="str">
        <f t="shared" si="1"/>
        <v/>
      </c>
      <c r="M70" s="227"/>
      <c r="N70" s="226"/>
      <c r="O70" s="186">
        <v>0</v>
      </c>
      <c r="P70" s="186">
        <v>0</v>
      </c>
      <c r="Q70" s="186">
        <v>0</v>
      </c>
      <c r="R70" s="186">
        <v>0</v>
      </c>
      <c r="S70" s="186">
        <v>0</v>
      </c>
      <c r="T70" s="186" t="str">
        <f>IF(LandTier1Table[[#This Row],[Total  kg CO2e]]="", "",(LandTier1Table[[#This Row],[Total  kg CO2e]]*(1+LandTier1Table[[#This Row],[RSD estimate (+/-%)]])))</f>
        <v/>
      </c>
      <c r="U70" s="186" t="str">
        <f>IF(LandTier1Table[[#This Row],[Total  kg CO2e]]="", "",(LandTier1Table[[#This Row],[Total  kg CO2e]]*(1-LandTier1Table[[#This Row],[RSD estimate (+/-%)]])))</f>
        <v/>
      </c>
      <c r="V70" s="186" t="str">
        <f>LandTier1Table[[#This Row],[Total  kg CO2e]]</f>
        <v/>
      </c>
      <c r="X70" s="1" cm="1">
        <f t="array" ref="X70">IF(OR(ISERROR(B70:V70)),1,0)</f>
        <v>0</v>
      </c>
      <c r="Y70" s="1">
        <f t="shared" si="3"/>
        <v>0</v>
      </c>
    </row>
    <row r="71" spans="2:25" ht="15" thickBot="1" x14ac:dyDescent="0.4">
      <c r="B71" s="107"/>
      <c r="C71" s="107"/>
      <c r="D71" s="230"/>
      <c r="E71" s="426" t="s">
        <v>262</v>
      </c>
      <c r="F71" s="139" t="str">
        <f>IF(LandTier1Table[[#This Row],[Total  kg CO2e]]="", " ", 0.25)</f>
        <v xml:space="preserve"> </v>
      </c>
      <c r="G71" s="108"/>
      <c r="H71" s="188" t="s">
        <v>430</v>
      </c>
      <c r="I71" s="188">
        <f>LandTier1Table[[#This Row],[Land area in hectares (ha)]]</f>
        <v>0</v>
      </c>
      <c r="J71" s="188" t="s">
        <v>430</v>
      </c>
      <c r="K71" s="427" t="str" cm="1">
        <f t="array" ref="K71">IF(OR(B71="",C71="",D71="",G71=""),"",INDEX('Land Emission Factors'!$E$9:$J$20,MATCH(B71&amp;C71,'Land Emission Factors'!$C$9:$C$20&amp;'Land Emission Factors'!$D$9:$D$20,0),MATCH('Land use &amp; agriculture'!D71,'Land Emission Factors'!$E$8:$J$8,0)))</f>
        <v/>
      </c>
      <c r="L71" s="186" t="str">
        <f t="shared" si="1"/>
        <v/>
      </c>
      <c r="M71" s="227"/>
      <c r="N71" s="226"/>
      <c r="O71" s="186">
        <v>0</v>
      </c>
      <c r="P71" s="186">
        <v>0</v>
      </c>
      <c r="Q71" s="186">
        <v>0</v>
      </c>
      <c r="R71" s="186">
        <v>0</v>
      </c>
      <c r="S71" s="186">
        <v>0</v>
      </c>
      <c r="T71" s="186" t="str">
        <f>IF(LandTier1Table[[#This Row],[Total  kg CO2e]]="", "",(LandTier1Table[[#This Row],[Total  kg CO2e]]*(1+LandTier1Table[[#This Row],[RSD estimate (+/-%)]])))</f>
        <v/>
      </c>
      <c r="U71" s="186" t="str">
        <f>IF(LandTier1Table[[#This Row],[Total  kg CO2e]]="", "",(LandTier1Table[[#This Row],[Total  kg CO2e]]*(1-LandTier1Table[[#This Row],[RSD estimate (+/-%)]])))</f>
        <v/>
      </c>
      <c r="V71" s="186" t="str">
        <f>LandTier1Table[[#This Row],[Total  kg CO2e]]</f>
        <v/>
      </c>
      <c r="X71" s="1" cm="1">
        <f t="array" ref="X71">IF(OR(ISERROR(B71:V71)),1,0)</f>
        <v>0</v>
      </c>
      <c r="Y71" s="1">
        <f t="shared" si="3"/>
        <v>0</v>
      </c>
    </row>
    <row r="72" spans="2:25" ht="15" thickBot="1" x14ac:dyDescent="0.4">
      <c r="B72" s="107"/>
      <c r="C72" s="107"/>
      <c r="D72" s="230"/>
      <c r="E72" s="426" t="s">
        <v>262</v>
      </c>
      <c r="F72" s="139" t="str">
        <f>IF(LandTier1Table[[#This Row],[Total  kg CO2e]]="", " ", 0.25)</f>
        <v xml:space="preserve"> </v>
      </c>
      <c r="G72" s="108"/>
      <c r="H72" s="188" t="s">
        <v>430</v>
      </c>
      <c r="I72" s="188">
        <f>LandTier1Table[[#This Row],[Land area in hectares (ha)]]</f>
        <v>0</v>
      </c>
      <c r="J72" s="188" t="s">
        <v>430</v>
      </c>
      <c r="K72" s="427" t="str" cm="1">
        <f t="array" ref="K72">IF(OR(B72="",C72="",D72="",G72=""),"",INDEX('Land Emission Factors'!$E$9:$J$20,MATCH(B72&amp;C72,'Land Emission Factors'!$C$9:$C$20&amp;'Land Emission Factors'!$D$9:$D$20,0),MATCH('Land use &amp; agriculture'!D72,'Land Emission Factors'!$E$8:$J$8,0)))</f>
        <v/>
      </c>
      <c r="L72" s="186" t="str">
        <f t="shared" si="1"/>
        <v/>
      </c>
      <c r="M72" s="227"/>
      <c r="N72" s="226"/>
      <c r="O72" s="186">
        <v>0</v>
      </c>
      <c r="P72" s="186">
        <v>0</v>
      </c>
      <c r="Q72" s="186">
        <v>0</v>
      </c>
      <c r="R72" s="186">
        <v>0</v>
      </c>
      <c r="S72" s="186">
        <v>0</v>
      </c>
      <c r="T72" s="186" t="str">
        <f>IF(LandTier1Table[[#This Row],[Total  kg CO2e]]="", "",(LandTier1Table[[#This Row],[Total  kg CO2e]]*(1+LandTier1Table[[#This Row],[RSD estimate (+/-%)]])))</f>
        <v/>
      </c>
      <c r="U72" s="186" t="str">
        <f>IF(LandTier1Table[[#This Row],[Total  kg CO2e]]="", "",(LandTier1Table[[#This Row],[Total  kg CO2e]]*(1-LandTier1Table[[#This Row],[RSD estimate (+/-%)]])))</f>
        <v/>
      </c>
      <c r="V72" s="186" t="str">
        <f>LandTier1Table[[#This Row],[Total  kg CO2e]]</f>
        <v/>
      </c>
      <c r="X72" s="1" cm="1">
        <f t="array" ref="X72">IF(OR(ISERROR(B72:V72)),1,0)</f>
        <v>0</v>
      </c>
      <c r="Y72" s="1">
        <f t="shared" si="3"/>
        <v>0</v>
      </c>
    </row>
    <row r="73" spans="2:25" ht="15" thickBot="1" x14ac:dyDescent="0.4">
      <c r="B73" s="107"/>
      <c r="C73" s="107"/>
      <c r="D73" s="230"/>
      <c r="E73" s="426" t="s">
        <v>262</v>
      </c>
      <c r="F73" s="139" t="str">
        <f>IF(LandTier1Table[[#This Row],[Total  kg CO2e]]="", " ", 0.25)</f>
        <v xml:space="preserve"> </v>
      </c>
      <c r="G73" s="108"/>
      <c r="H73" s="188" t="s">
        <v>430</v>
      </c>
      <c r="I73" s="188">
        <f>LandTier1Table[[#This Row],[Land area in hectares (ha)]]</f>
        <v>0</v>
      </c>
      <c r="J73" s="188" t="s">
        <v>430</v>
      </c>
      <c r="K73" s="427" t="str" cm="1">
        <f t="array" ref="K73">IF(OR(B73="",C73="",D73="",G73=""),"",INDEX('Land Emission Factors'!$E$9:$J$20,MATCH(B73&amp;C73,'Land Emission Factors'!$C$9:$C$20&amp;'Land Emission Factors'!$D$9:$D$20,0),MATCH('Land use &amp; agriculture'!D73,'Land Emission Factors'!$E$8:$J$8,0)))</f>
        <v/>
      </c>
      <c r="L73" s="186" t="str">
        <f t="shared" si="1"/>
        <v/>
      </c>
      <c r="M73" s="227"/>
      <c r="N73" s="226"/>
      <c r="O73" s="186">
        <v>0</v>
      </c>
      <c r="P73" s="186">
        <v>0</v>
      </c>
      <c r="Q73" s="186">
        <v>0</v>
      </c>
      <c r="R73" s="186">
        <v>0</v>
      </c>
      <c r="S73" s="186">
        <v>0</v>
      </c>
      <c r="T73" s="186" t="str">
        <f>IF(LandTier1Table[[#This Row],[Total  kg CO2e]]="", "",(LandTier1Table[[#This Row],[Total  kg CO2e]]*(1+LandTier1Table[[#This Row],[RSD estimate (+/-%)]])))</f>
        <v/>
      </c>
      <c r="U73" s="186" t="str">
        <f>IF(LandTier1Table[[#This Row],[Total  kg CO2e]]="", "",(LandTier1Table[[#This Row],[Total  kg CO2e]]*(1-LandTier1Table[[#This Row],[RSD estimate (+/-%)]])))</f>
        <v/>
      </c>
      <c r="V73" s="186" t="str">
        <f>LandTier1Table[[#This Row],[Total  kg CO2e]]</f>
        <v/>
      </c>
      <c r="X73" s="1" cm="1">
        <f t="array" ref="X73">IF(OR(ISERROR(B73:V73)),1,0)</f>
        <v>0</v>
      </c>
      <c r="Y73" s="1">
        <f t="shared" si="3"/>
        <v>0</v>
      </c>
    </row>
    <row r="74" spans="2:25" ht="15" thickBot="1" x14ac:dyDescent="0.4">
      <c r="B74" s="107"/>
      <c r="C74" s="107"/>
      <c r="D74" s="230"/>
      <c r="E74" s="426" t="s">
        <v>262</v>
      </c>
      <c r="F74" s="139" t="str">
        <f>IF(LandTier1Table[[#This Row],[Total  kg CO2e]]="", " ", 0.25)</f>
        <v xml:space="preserve"> </v>
      </c>
      <c r="G74" s="108"/>
      <c r="H74" s="188" t="s">
        <v>430</v>
      </c>
      <c r="I74" s="188">
        <f>LandTier1Table[[#This Row],[Land area in hectares (ha)]]</f>
        <v>0</v>
      </c>
      <c r="J74" s="188" t="s">
        <v>430</v>
      </c>
      <c r="K74" s="427" t="str" cm="1">
        <f t="array" ref="K74">IF(OR(B74="",C74="",D74="",G74=""),"",INDEX('Land Emission Factors'!$E$9:$J$20,MATCH(B74&amp;C74,'Land Emission Factors'!$C$9:$C$20&amp;'Land Emission Factors'!$D$9:$D$20,0),MATCH('Land use &amp; agriculture'!D74,'Land Emission Factors'!$E$8:$J$8,0)))</f>
        <v/>
      </c>
      <c r="L74" s="186" t="str">
        <f t="shared" si="1"/>
        <v/>
      </c>
      <c r="M74" s="227"/>
      <c r="N74" s="226"/>
      <c r="O74" s="186">
        <v>0</v>
      </c>
      <c r="P74" s="186">
        <v>0</v>
      </c>
      <c r="Q74" s="186">
        <v>0</v>
      </c>
      <c r="R74" s="186">
        <v>0</v>
      </c>
      <c r="S74" s="186">
        <v>0</v>
      </c>
      <c r="T74" s="186" t="str">
        <f>IF(LandTier1Table[[#This Row],[Total  kg CO2e]]="", "",(LandTier1Table[[#This Row],[Total  kg CO2e]]*(1+LandTier1Table[[#This Row],[RSD estimate (+/-%)]])))</f>
        <v/>
      </c>
      <c r="U74" s="186" t="str">
        <f>IF(LandTier1Table[[#This Row],[Total  kg CO2e]]="", "",(LandTier1Table[[#This Row],[Total  kg CO2e]]*(1-LandTier1Table[[#This Row],[RSD estimate (+/-%)]])))</f>
        <v/>
      </c>
      <c r="V74" s="186" t="str">
        <f>LandTier1Table[[#This Row],[Total  kg CO2e]]</f>
        <v/>
      </c>
      <c r="X74" s="1" cm="1">
        <f t="array" ref="X74">IF(OR(ISERROR(B74:V74)),1,0)</f>
        <v>0</v>
      </c>
      <c r="Y74" s="1">
        <f t="shared" si="3"/>
        <v>0</v>
      </c>
    </row>
    <row r="75" spans="2:25" ht="15" thickBot="1" x14ac:dyDescent="0.4">
      <c r="B75" s="107"/>
      <c r="C75" s="107"/>
      <c r="D75" s="230"/>
      <c r="E75" s="426" t="s">
        <v>262</v>
      </c>
      <c r="F75" s="139" t="str">
        <f>IF(LandTier1Table[[#This Row],[Total  kg CO2e]]="", " ", 0.25)</f>
        <v xml:space="preserve"> </v>
      </c>
      <c r="G75" s="108"/>
      <c r="H75" s="188" t="s">
        <v>430</v>
      </c>
      <c r="I75" s="188">
        <f>LandTier1Table[[#This Row],[Land area in hectares (ha)]]</f>
        <v>0</v>
      </c>
      <c r="J75" s="188" t="s">
        <v>430</v>
      </c>
      <c r="K75" s="427" t="str" cm="1">
        <f t="array" ref="K75">IF(OR(B75="",C75="",D75="",G75=""),"",INDEX('Land Emission Factors'!$E$9:$J$20,MATCH(B75&amp;C75,'Land Emission Factors'!$C$9:$C$20&amp;'Land Emission Factors'!$D$9:$D$20,0),MATCH('Land use &amp; agriculture'!D75,'Land Emission Factors'!$E$8:$J$8,0)))</f>
        <v/>
      </c>
      <c r="L75" s="186" t="str">
        <f t="shared" si="1"/>
        <v/>
      </c>
      <c r="M75" s="227"/>
      <c r="N75" s="226"/>
      <c r="O75" s="186">
        <v>0</v>
      </c>
      <c r="P75" s="186">
        <v>0</v>
      </c>
      <c r="Q75" s="186">
        <v>0</v>
      </c>
      <c r="R75" s="186">
        <v>0</v>
      </c>
      <c r="S75" s="186">
        <v>0</v>
      </c>
      <c r="T75" s="186" t="str">
        <f>IF(LandTier1Table[[#This Row],[Total  kg CO2e]]="", "",(LandTier1Table[[#This Row],[Total  kg CO2e]]*(1+LandTier1Table[[#This Row],[RSD estimate (+/-%)]])))</f>
        <v/>
      </c>
      <c r="U75" s="186" t="str">
        <f>IF(LandTier1Table[[#This Row],[Total  kg CO2e]]="", "",(LandTier1Table[[#This Row],[Total  kg CO2e]]*(1-LandTier1Table[[#This Row],[RSD estimate (+/-%)]])))</f>
        <v/>
      </c>
      <c r="V75" s="186" t="str">
        <f>LandTier1Table[[#This Row],[Total  kg CO2e]]</f>
        <v/>
      </c>
      <c r="X75" s="1" cm="1">
        <f t="array" ref="X75">IF(OR(ISERROR(B75:V75)),1,0)</f>
        <v>0</v>
      </c>
      <c r="Y75" s="1">
        <f t="shared" si="3"/>
        <v>0</v>
      </c>
    </row>
    <row r="76" spans="2:25" ht="15" thickBot="1" x14ac:dyDescent="0.4">
      <c r="B76" s="107"/>
      <c r="C76" s="107"/>
      <c r="D76" s="230"/>
      <c r="E76" s="426" t="s">
        <v>262</v>
      </c>
      <c r="F76" s="139" t="str">
        <f>IF(LandTier1Table[[#This Row],[Total  kg CO2e]]="", " ", 0.25)</f>
        <v xml:space="preserve"> </v>
      </c>
      <c r="G76" s="108"/>
      <c r="H76" s="188" t="s">
        <v>430</v>
      </c>
      <c r="I76" s="188">
        <f>LandTier1Table[[#This Row],[Land area in hectares (ha)]]</f>
        <v>0</v>
      </c>
      <c r="J76" s="188" t="s">
        <v>430</v>
      </c>
      <c r="K76" s="427" t="str" cm="1">
        <f t="array" ref="K76">IF(OR(B76="",C76="",D76="",G76=""),"",INDEX('Land Emission Factors'!$E$9:$J$20,MATCH(B76&amp;C76,'Land Emission Factors'!$C$9:$C$20&amp;'Land Emission Factors'!$D$9:$D$20,0),MATCH('Land use &amp; agriculture'!D76,'Land Emission Factors'!$E$8:$J$8,0)))</f>
        <v/>
      </c>
      <c r="L76" s="186" t="str">
        <f t="shared" si="1"/>
        <v/>
      </c>
      <c r="M76" s="227"/>
      <c r="N76" s="226"/>
      <c r="O76" s="186">
        <v>0</v>
      </c>
      <c r="P76" s="186">
        <v>0</v>
      </c>
      <c r="Q76" s="186">
        <v>0</v>
      </c>
      <c r="R76" s="186">
        <v>0</v>
      </c>
      <c r="S76" s="186">
        <v>0</v>
      </c>
      <c r="T76" s="186" t="str">
        <f>IF(LandTier1Table[[#This Row],[Total  kg CO2e]]="", "",(LandTier1Table[[#This Row],[Total  kg CO2e]]*(1+LandTier1Table[[#This Row],[RSD estimate (+/-%)]])))</f>
        <v/>
      </c>
      <c r="U76" s="186" t="str">
        <f>IF(LandTier1Table[[#This Row],[Total  kg CO2e]]="", "",(LandTier1Table[[#This Row],[Total  kg CO2e]]*(1-LandTier1Table[[#This Row],[RSD estimate (+/-%)]])))</f>
        <v/>
      </c>
      <c r="V76" s="186" t="str">
        <f>LandTier1Table[[#This Row],[Total  kg CO2e]]</f>
        <v/>
      </c>
      <c r="X76" s="1" cm="1">
        <f t="array" ref="X76">IF(OR(ISERROR(B76:V76)),1,0)</f>
        <v>0</v>
      </c>
      <c r="Y76" s="1">
        <f t="shared" si="3"/>
        <v>0</v>
      </c>
    </row>
    <row r="77" spans="2:25" ht="15" thickBot="1" x14ac:dyDescent="0.4">
      <c r="B77" s="107"/>
      <c r="C77" s="107"/>
      <c r="D77" s="230"/>
      <c r="E77" s="426" t="s">
        <v>262</v>
      </c>
      <c r="F77" s="139" t="str">
        <f>IF(LandTier1Table[[#This Row],[Total  kg CO2e]]="", " ", 0.25)</f>
        <v xml:space="preserve"> </v>
      </c>
      <c r="G77" s="108"/>
      <c r="H77" s="188" t="s">
        <v>430</v>
      </c>
      <c r="I77" s="188">
        <f>LandTier1Table[[#This Row],[Land area in hectares (ha)]]</f>
        <v>0</v>
      </c>
      <c r="J77" s="188" t="s">
        <v>430</v>
      </c>
      <c r="K77" s="427" t="str" cm="1">
        <f t="array" ref="K77">IF(OR(B77="",C77="",D77="",G77=""),"",INDEX('Land Emission Factors'!$E$9:$J$20,MATCH(B77&amp;C77,'Land Emission Factors'!$C$9:$C$20&amp;'Land Emission Factors'!$D$9:$D$20,0),MATCH('Land use &amp; agriculture'!D77,'Land Emission Factors'!$E$8:$J$8,0)))</f>
        <v/>
      </c>
      <c r="L77" s="186" t="str">
        <f t="shared" si="1"/>
        <v/>
      </c>
      <c r="M77" s="227"/>
      <c r="N77" s="226"/>
      <c r="O77" s="186">
        <v>0</v>
      </c>
      <c r="P77" s="186">
        <v>0</v>
      </c>
      <c r="Q77" s="186">
        <v>0</v>
      </c>
      <c r="R77" s="186">
        <v>0</v>
      </c>
      <c r="S77" s="186">
        <v>0</v>
      </c>
      <c r="T77" s="186" t="str">
        <f>IF(LandTier1Table[[#This Row],[Total  kg CO2e]]="", "",(LandTier1Table[[#This Row],[Total  kg CO2e]]*(1+LandTier1Table[[#This Row],[RSD estimate (+/-%)]])))</f>
        <v/>
      </c>
      <c r="U77" s="186" t="str">
        <f>IF(LandTier1Table[[#This Row],[Total  kg CO2e]]="", "",(LandTier1Table[[#This Row],[Total  kg CO2e]]*(1-LandTier1Table[[#This Row],[RSD estimate (+/-%)]])))</f>
        <v/>
      </c>
      <c r="V77" s="186" t="str">
        <f>LandTier1Table[[#This Row],[Total  kg CO2e]]</f>
        <v/>
      </c>
      <c r="X77" s="1" cm="1">
        <f t="array" ref="X77">IF(OR(ISERROR(B77:V77)),1,0)</f>
        <v>0</v>
      </c>
      <c r="Y77" s="1">
        <f t="shared" si="3"/>
        <v>0</v>
      </c>
    </row>
    <row r="78" spans="2:25" ht="15" thickBot="1" x14ac:dyDescent="0.4">
      <c r="B78" s="107"/>
      <c r="C78" s="107"/>
      <c r="D78" s="230"/>
      <c r="E78" s="426" t="s">
        <v>262</v>
      </c>
      <c r="F78" s="139" t="str">
        <f>IF(LandTier1Table[[#This Row],[Total  kg CO2e]]="", " ", 0.25)</f>
        <v xml:space="preserve"> </v>
      </c>
      <c r="G78" s="108"/>
      <c r="H78" s="188" t="s">
        <v>430</v>
      </c>
      <c r="I78" s="188">
        <f>LandTier1Table[[#This Row],[Land area in hectares (ha)]]</f>
        <v>0</v>
      </c>
      <c r="J78" s="188" t="s">
        <v>430</v>
      </c>
      <c r="K78" s="427" t="str" cm="1">
        <f t="array" ref="K78">IF(OR(B78="",C78="",D78="",G78=""),"",INDEX('Land Emission Factors'!$E$9:$J$20,MATCH(B78&amp;C78,'Land Emission Factors'!$C$9:$C$20&amp;'Land Emission Factors'!$D$9:$D$20,0),MATCH('Land use &amp; agriculture'!D78,'Land Emission Factors'!$E$8:$J$8,0)))</f>
        <v/>
      </c>
      <c r="L78" s="186" t="str">
        <f t="shared" si="1"/>
        <v/>
      </c>
      <c r="M78" s="227"/>
      <c r="N78" s="226"/>
      <c r="O78" s="186">
        <v>0</v>
      </c>
      <c r="P78" s="186">
        <v>0</v>
      </c>
      <c r="Q78" s="186">
        <v>0</v>
      </c>
      <c r="R78" s="186">
        <v>0</v>
      </c>
      <c r="S78" s="186">
        <v>0</v>
      </c>
      <c r="T78" s="186" t="str">
        <f>IF(LandTier1Table[[#This Row],[Total  kg CO2e]]="", "",(LandTier1Table[[#This Row],[Total  kg CO2e]]*(1+LandTier1Table[[#This Row],[RSD estimate (+/-%)]])))</f>
        <v/>
      </c>
      <c r="U78" s="186" t="str">
        <f>IF(LandTier1Table[[#This Row],[Total  kg CO2e]]="", "",(LandTier1Table[[#This Row],[Total  kg CO2e]]*(1-LandTier1Table[[#This Row],[RSD estimate (+/-%)]])))</f>
        <v/>
      </c>
      <c r="V78" s="186" t="str">
        <f>LandTier1Table[[#This Row],[Total  kg CO2e]]</f>
        <v/>
      </c>
      <c r="X78" s="1" cm="1">
        <f t="array" ref="X78">IF(OR(ISERROR(B78:V78)),1,0)</f>
        <v>0</v>
      </c>
      <c r="Y78" s="1">
        <f t="shared" si="3"/>
        <v>0</v>
      </c>
    </row>
    <row r="79" spans="2:25" ht="15" thickBot="1" x14ac:dyDescent="0.4">
      <c r="B79" s="107"/>
      <c r="C79" s="107"/>
      <c r="D79" s="230"/>
      <c r="E79" s="426" t="s">
        <v>262</v>
      </c>
      <c r="F79" s="139" t="str">
        <f>IF(LandTier1Table[[#This Row],[Total  kg CO2e]]="", " ", 0.25)</f>
        <v xml:space="preserve"> </v>
      </c>
      <c r="G79" s="108"/>
      <c r="H79" s="188" t="s">
        <v>430</v>
      </c>
      <c r="I79" s="188">
        <f>LandTier1Table[[#This Row],[Land area in hectares (ha)]]</f>
        <v>0</v>
      </c>
      <c r="J79" s="188" t="s">
        <v>430</v>
      </c>
      <c r="K79" s="427" t="str" cm="1">
        <f t="array" ref="K79">IF(OR(B79="",C79="",D79="",G79=""),"",INDEX('Land Emission Factors'!$E$9:$J$20,MATCH(B79&amp;C79,'Land Emission Factors'!$C$9:$C$20&amp;'Land Emission Factors'!$D$9:$D$20,0),MATCH('Land use &amp; agriculture'!D79,'Land Emission Factors'!$E$8:$J$8,0)))</f>
        <v/>
      </c>
      <c r="L79" s="186" t="str">
        <f t="shared" si="1"/>
        <v/>
      </c>
      <c r="M79" s="227"/>
      <c r="N79" s="226"/>
      <c r="O79" s="186">
        <v>0</v>
      </c>
      <c r="P79" s="186">
        <v>0</v>
      </c>
      <c r="Q79" s="186">
        <v>0</v>
      </c>
      <c r="R79" s="186">
        <v>0</v>
      </c>
      <c r="S79" s="186">
        <v>0</v>
      </c>
      <c r="T79" s="186" t="str">
        <f>IF(LandTier1Table[[#This Row],[Total  kg CO2e]]="", "",(LandTier1Table[[#This Row],[Total  kg CO2e]]*(1+LandTier1Table[[#This Row],[RSD estimate (+/-%)]])))</f>
        <v/>
      </c>
      <c r="U79" s="186" t="str">
        <f>IF(LandTier1Table[[#This Row],[Total  kg CO2e]]="", "",(LandTier1Table[[#This Row],[Total  kg CO2e]]*(1-LandTier1Table[[#This Row],[RSD estimate (+/-%)]])))</f>
        <v/>
      </c>
      <c r="V79" s="186" t="str">
        <f>LandTier1Table[[#This Row],[Total  kg CO2e]]</f>
        <v/>
      </c>
      <c r="X79" s="1" cm="1">
        <f t="array" ref="X79">IF(OR(ISERROR(B79:V79)),1,0)</f>
        <v>0</v>
      </c>
      <c r="Y79" s="1">
        <f t="shared" si="3"/>
        <v>0</v>
      </c>
    </row>
    <row r="80" spans="2:25" ht="15" thickBot="1" x14ac:dyDescent="0.4">
      <c r="B80" s="107"/>
      <c r="C80" s="107"/>
      <c r="D80" s="230"/>
      <c r="E80" s="426" t="s">
        <v>262</v>
      </c>
      <c r="F80" s="139" t="str">
        <f>IF(LandTier1Table[[#This Row],[Total  kg CO2e]]="", " ", 0.25)</f>
        <v xml:space="preserve"> </v>
      </c>
      <c r="G80" s="108"/>
      <c r="H80" s="188" t="s">
        <v>430</v>
      </c>
      <c r="I80" s="188">
        <f>LandTier1Table[[#This Row],[Land area in hectares (ha)]]</f>
        <v>0</v>
      </c>
      <c r="J80" s="188" t="s">
        <v>430</v>
      </c>
      <c r="K80" s="427" t="str" cm="1">
        <f t="array" ref="K80">IF(OR(B80="",C80="",D80="",G80=""),"",INDEX('Land Emission Factors'!$E$9:$J$20,MATCH(B80&amp;C80,'Land Emission Factors'!$C$9:$C$20&amp;'Land Emission Factors'!$D$9:$D$20,0),MATCH('Land use &amp; agriculture'!D80,'Land Emission Factors'!$E$8:$J$8,0)))</f>
        <v/>
      </c>
      <c r="L80" s="186" t="str">
        <f t="shared" si="1"/>
        <v/>
      </c>
      <c r="M80" s="227"/>
      <c r="N80" s="226"/>
      <c r="O80" s="186">
        <v>0</v>
      </c>
      <c r="P80" s="186">
        <v>0</v>
      </c>
      <c r="Q80" s="186">
        <v>0</v>
      </c>
      <c r="R80" s="186">
        <v>0</v>
      </c>
      <c r="S80" s="186">
        <v>0</v>
      </c>
      <c r="T80" s="186" t="str">
        <f>IF(LandTier1Table[[#This Row],[Total  kg CO2e]]="", "",(LandTier1Table[[#This Row],[Total  kg CO2e]]*(1+LandTier1Table[[#This Row],[RSD estimate (+/-%)]])))</f>
        <v/>
      </c>
      <c r="U80" s="186" t="str">
        <f>IF(LandTier1Table[[#This Row],[Total  kg CO2e]]="", "",(LandTier1Table[[#This Row],[Total  kg CO2e]]*(1-LandTier1Table[[#This Row],[RSD estimate (+/-%)]])))</f>
        <v/>
      </c>
      <c r="V80" s="186" t="str">
        <f>LandTier1Table[[#This Row],[Total  kg CO2e]]</f>
        <v/>
      </c>
      <c r="X80" s="1" cm="1">
        <f t="array" ref="X80">IF(OR(ISERROR(B80:V80)),1,0)</f>
        <v>0</v>
      </c>
      <c r="Y80" s="1">
        <f t="shared" si="3"/>
        <v>0</v>
      </c>
    </row>
    <row r="81" spans="2:25" ht="15" thickBot="1" x14ac:dyDescent="0.4">
      <c r="B81" s="107"/>
      <c r="C81" s="107"/>
      <c r="D81" s="230"/>
      <c r="E81" s="426" t="s">
        <v>262</v>
      </c>
      <c r="F81" s="139" t="str">
        <f>IF(LandTier1Table[[#This Row],[Total  kg CO2e]]="", " ", 0.25)</f>
        <v xml:space="preserve"> </v>
      </c>
      <c r="G81" s="108"/>
      <c r="H81" s="188" t="s">
        <v>430</v>
      </c>
      <c r="I81" s="188">
        <f>LandTier1Table[[#This Row],[Land area in hectares (ha)]]</f>
        <v>0</v>
      </c>
      <c r="J81" s="188" t="s">
        <v>430</v>
      </c>
      <c r="K81" s="427" t="str" cm="1">
        <f t="array" ref="K81">IF(OR(B81="",C81="",D81="",G81=""),"",INDEX('Land Emission Factors'!$E$9:$J$20,MATCH(B81&amp;C81,'Land Emission Factors'!$C$9:$C$20&amp;'Land Emission Factors'!$D$9:$D$20,0),MATCH('Land use &amp; agriculture'!D81,'Land Emission Factors'!$E$8:$J$8,0)))</f>
        <v/>
      </c>
      <c r="L81" s="186" t="str">
        <f t="shared" ref="L81:L99" si="4">IF(OR(B81="",C81="",D81="",G81="",K81="No emission factor available"),"",G81*K81*1000)</f>
        <v/>
      </c>
      <c r="M81" s="227"/>
      <c r="N81" s="226"/>
      <c r="O81" s="186">
        <v>0</v>
      </c>
      <c r="P81" s="186">
        <v>0</v>
      </c>
      <c r="Q81" s="186">
        <v>0</v>
      </c>
      <c r="R81" s="186">
        <v>0</v>
      </c>
      <c r="S81" s="186">
        <v>0</v>
      </c>
      <c r="T81" s="186" t="str">
        <f>IF(LandTier1Table[[#This Row],[Total  kg CO2e]]="", "",(LandTier1Table[[#This Row],[Total  kg CO2e]]*(1+LandTier1Table[[#This Row],[RSD estimate (+/-%)]])))</f>
        <v/>
      </c>
      <c r="U81" s="186" t="str">
        <f>IF(LandTier1Table[[#This Row],[Total  kg CO2e]]="", "",(LandTier1Table[[#This Row],[Total  kg CO2e]]*(1-LandTier1Table[[#This Row],[RSD estimate (+/-%)]])))</f>
        <v/>
      </c>
      <c r="V81" s="186" t="str">
        <f>LandTier1Table[[#This Row],[Total  kg CO2e]]</f>
        <v/>
      </c>
      <c r="X81" s="1" cm="1">
        <f t="array" ref="X81">IF(OR(ISERROR(B81:V81)),1,0)</f>
        <v>0</v>
      </c>
      <c r="Y81" s="1">
        <f t="shared" si="3"/>
        <v>0</v>
      </c>
    </row>
    <row r="82" spans="2:25" ht="15" thickBot="1" x14ac:dyDescent="0.4">
      <c r="B82" s="107"/>
      <c r="C82" s="107"/>
      <c r="D82" s="230"/>
      <c r="E82" s="426" t="s">
        <v>262</v>
      </c>
      <c r="F82" s="139" t="str">
        <f>IF(LandTier1Table[[#This Row],[Total  kg CO2e]]="", " ", 0.25)</f>
        <v xml:space="preserve"> </v>
      </c>
      <c r="G82" s="108"/>
      <c r="H82" s="188" t="s">
        <v>430</v>
      </c>
      <c r="I82" s="188">
        <f>LandTier1Table[[#This Row],[Land area in hectares (ha)]]</f>
        <v>0</v>
      </c>
      <c r="J82" s="188" t="s">
        <v>430</v>
      </c>
      <c r="K82" s="427" t="str" cm="1">
        <f t="array" ref="K82">IF(OR(B82="",C82="",D82="",G82=""),"",INDEX('Land Emission Factors'!$E$9:$J$20,MATCH(B82&amp;C82,'Land Emission Factors'!$C$9:$C$20&amp;'Land Emission Factors'!$D$9:$D$20,0),MATCH('Land use &amp; agriculture'!D82,'Land Emission Factors'!$E$8:$J$8,0)))</f>
        <v/>
      </c>
      <c r="L82" s="186" t="str">
        <f t="shared" si="4"/>
        <v/>
      </c>
      <c r="M82" s="227"/>
      <c r="N82" s="226"/>
      <c r="O82" s="186">
        <v>0</v>
      </c>
      <c r="P82" s="186">
        <v>0</v>
      </c>
      <c r="Q82" s="186">
        <v>0</v>
      </c>
      <c r="R82" s="186">
        <v>0</v>
      </c>
      <c r="S82" s="186">
        <v>0</v>
      </c>
      <c r="T82" s="186" t="str">
        <f>IF(LandTier1Table[[#This Row],[Total  kg CO2e]]="", "",(LandTier1Table[[#This Row],[Total  kg CO2e]]*(1+LandTier1Table[[#This Row],[RSD estimate (+/-%)]])))</f>
        <v/>
      </c>
      <c r="U82" s="186" t="str">
        <f>IF(LandTier1Table[[#This Row],[Total  kg CO2e]]="", "",(LandTier1Table[[#This Row],[Total  kg CO2e]]*(1-LandTier1Table[[#This Row],[RSD estimate (+/-%)]])))</f>
        <v/>
      </c>
      <c r="V82" s="186" t="str">
        <f>LandTier1Table[[#This Row],[Total  kg CO2e]]</f>
        <v/>
      </c>
      <c r="X82" s="1" cm="1">
        <f t="array" ref="X82">IF(OR(ISERROR(B82:V82)),1,0)</f>
        <v>0</v>
      </c>
      <c r="Y82" s="1">
        <f t="shared" si="3"/>
        <v>0</v>
      </c>
    </row>
    <row r="83" spans="2:25" ht="15" thickBot="1" x14ac:dyDescent="0.4">
      <c r="B83" s="107"/>
      <c r="C83" s="107"/>
      <c r="D83" s="230"/>
      <c r="E83" s="426" t="s">
        <v>262</v>
      </c>
      <c r="F83" s="139" t="str">
        <f>IF(LandTier1Table[[#This Row],[Total  kg CO2e]]="", " ", 0.25)</f>
        <v xml:space="preserve"> </v>
      </c>
      <c r="G83" s="108"/>
      <c r="H83" s="188" t="s">
        <v>430</v>
      </c>
      <c r="I83" s="188">
        <f>LandTier1Table[[#This Row],[Land area in hectares (ha)]]</f>
        <v>0</v>
      </c>
      <c r="J83" s="188" t="s">
        <v>430</v>
      </c>
      <c r="K83" s="427" t="str" cm="1">
        <f t="array" ref="K83">IF(OR(B83="",C83="",D83="",G83=""),"",INDEX('Land Emission Factors'!$E$9:$J$20,MATCH(B83&amp;C83,'Land Emission Factors'!$C$9:$C$20&amp;'Land Emission Factors'!$D$9:$D$20,0),MATCH('Land use &amp; agriculture'!D83,'Land Emission Factors'!$E$8:$J$8,0)))</f>
        <v/>
      </c>
      <c r="L83" s="186" t="str">
        <f t="shared" si="4"/>
        <v/>
      </c>
      <c r="M83" s="227"/>
      <c r="N83" s="226"/>
      <c r="O83" s="186">
        <v>0</v>
      </c>
      <c r="P83" s="186">
        <v>0</v>
      </c>
      <c r="Q83" s="186">
        <v>0</v>
      </c>
      <c r="R83" s="186">
        <v>0</v>
      </c>
      <c r="S83" s="186">
        <v>0</v>
      </c>
      <c r="T83" s="186" t="str">
        <f>IF(LandTier1Table[[#This Row],[Total  kg CO2e]]="", "",(LandTier1Table[[#This Row],[Total  kg CO2e]]*(1+LandTier1Table[[#This Row],[RSD estimate (+/-%)]])))</f>
        <v/>
      </c>
      <c r="U83" s="186" t="str">
        <f>IF(LandTier1Table[[#This Row],[Total  kg CO2e]]="", "",(LandTier1Table[[#This Row],[Total  kg CO2e]]*(1-LandTier1Table[[#This Row],[RSD estimate (+/-%)]])))</f>
        <v/>
      </c>
      <c r="V83" s="186" t="str">
        <f>LandTier1Table[[#This Row],[Total  kg CO2e]]</f>
        <v/>
      </c>
      <c r="X83" s="1" cm="1">
        <f t="array" ref="X83">IF(OR(ISERROR(B83:V83)),1,0)</f>
        <v>0</v>
      </c>
      <c r="Y83" s="1">
        <f t="shared" si="3"/>
        <v>0</v>
      </c>
    </row>
    <row r="84" spans="2:25" ht="15" thickBot="1" x14ac:dyDescent="0.4">
      <c r="B84" s="107"/>
      <c r="C84" s="107"/>
      <c r="D84" s="230"/>
      <c r="E84" s="426" t="s">
        <v>262</v>
      </c>
      <c r="F84" s="139" t="str">
        <f>IF(LandTier1Table[[#This Row],[Total  kg CO2e]]="", " ", 0.25)</f>
        <v xml:space="preserve"> </v>
      </c>
      <c r="G84" s="108"/>
      <c r="H84" s="188" t="s">
        <v>430</v>
      </c>
      <c r="I84" s="188">
        <f>LandTier1Table[[#This Row],[Land area in hectares (ha)]]</f>
        <v>0</v>
      </c>
      <c r="J84" s="188" t="s">
        <v>430</v>
      </c>
      <c r="K84" s="427" t="str" cm="1">
        <f t="array" ref="K84">IF(OR(B84="",C84="",D84="",G84=""),"",INDEX('Land Emission Factors'!$E$9:$J$20,MATCH(B84&amp;C84,'Land Emission Factors'!$C$9:$C$20&amp;'Land Emission Factors'!$D$9:$D$20,0),MATCH('Land use &amp; agriculture'!D84,'Land Emission Factors'!$E$8:$J$8,0)))</f>
        <v/>
      </c>
      <c r="L84" s="186" t="str">
        <f t="shared" si="4"/>
        <v/>
      </c>
      <c r="M84" s="227"/>
      <c r="N84" s="226"/>
      <c r="O84" s="186">
        <v>0</v>
      </c>
      <c r="P84" s="186">
        <v>0</v>
      </c>
      <c r="Q84" s="186">
        <v>0</v>
      </c>
      <c r="R84" s="186">
        <v>0</v>
      </c>
      <c r="S84" s="186">
        <v>0</v>
      </c>
      <c r="T84" s="186" t="str">
        <f>IF(LandTier1Table[[#This Row],[Total  kg CO2e]]="", "",(LandTier1Table[[#This Row],[Total  kg CO2e]]*(1+LandTier1Table[[#This Row],[RSD estimate (+/-%)]])))</f>
        <v/>
      </c>
      <c r="U84" s="186" t="str">
        <f>IF(LandTier1Table[[#This Row],[Total  kg CO2e]]="", "",(LandTier1Table[[#This Row],[Total  kg CO2e]]*(1-LandTier1Table[[#This Row],[RSD estimate (+/-%)]])))</f>
        <v/>
      </c>
      <c r="V84" s="186" t="str">
        <f>LandTier1Table[[#This Row],[Total  kg CO2e]]</f>
        <v/>
      </c>
      <c r="X84" s="1" cm="1">
        <f t="array" ref="X84">IF(OR(ISERROR(B84:V84)),1,0)</f>
        <v>0</v>
      </c>
      <c r="Y84" s="1">
        <f t="shared" si="3"/>
        <v>0</v>
      </c>
    </row>
    <row r="85" spans="2:25" ht="15" thickBot="1" x14ac:dyDescent="0.4">
      <c r="B85" s="107"/>
      <c r="C85" s="107"/>
      <c r="D85" s="230"/>
      <c r="E85" s="426" t="s">
        <v>262</v>
      </c>
      <c r="F85" s="139" t="str">
        <f>IF(LandTier1Table[[#This Row],[Total  kg CO2e]]="", " ", 0.25)</f>
        <v xml:space="preserve"> </v>
      </c>
      <c r="G85" s="108"/>
      <c r="H85" s="188" t="s">
        <v>430</v>
      </c>
      <c r="I85" s="188">
        <f>LandTier1Table[[#This Row],[Land area in hectares (ha)]]</f>
        <v>0</v>
      </c>
      <c r="J85" s="188" t="s">
        <v>430</v>
      </c>
      <c r="K85" s="427" t="str" cm="1">
        <f t="array" ref="K85">IF(OR(B85="",C85="",D85="",G85=""),"",INDEX('Land Emission Factors'!$E$9:$J$20,MATCH(B85&amp;C85,'Land Emission Factors'!$C$9:$C$20&amp;'Land Emission Factors'!$D$9:$D$20,0),MATCH('Land use &amp; agriculture'!D85,'Land Emission Factors'!$E$8:$J$8,0)))</f>
        <v/>
      </c>
      <c r="L85" s="186" t="str">
        <f t="shared" si="4"/>
        <v/>
      </c>
      <c r="M85" s="227"/>
      <c r="N85" s="226"/>
      <c r="O85" s="186">
        <v>0</v>
      </c>
      <c r="P85" s="186">
        <v>0</v>
      </c>
      <c r="Q85" s="186">
        <v>0</v>
      </c>
      <c r="R85" s="186">
        <v>0</v>
      </c>
      <c r="S85" s="186">
        <v>0</v>
      </c>
      <c r="T85" s="186" t="str">
        <f>IF(LandTier1Table[[#This Row],[Total  kg CO2e]]="", "",(LandTier1Table[[#This Row],[Total  kg CO2e]]*(1+LandTier1Table[[#This Row],[RSD estimate (+/-%)]])))</f>
        <v/>
      </c>
      <c r="U85" s="186" t="str">
        <f>IF(LandTier1Table[[#This Row],[Total  kg CO2e]]="", "",(LandTier1Table[[#This Row],[Total  kg CO2e]]*(1-LandTier1Table[[#This Row],[RSD estimate (+/-%)]])))</f>
        <v/>
      </c>
      <c r="V85" s="186" t="str">
        <f>LandTier1Table[[#This Row],[Total  kg CO2e]]</f>
        <v/>
      </c>
      <c r="X85" s="1" cm="1">
        <f t="array" ref="X85">IF(OR(ISERROR(B85:V85)),1,0)</f>
        <v>0</v>
      </c>
      <c r="Y85" s="1">
        <f t="shared" si="3"/>
        <v>0</v>
      </c>
    </row>
    <row r="86" spans="2:25" ht="15" thickBot="1" x14ac:dyDescent="0.4">
      <c r="B86" s="107"/>
      <c r="C86" s="107"/>
      <c r="D86" s="230"/>
      <c r="E86" s="426" t="s">
        <v>262</v>
      </c>
      <c r="F86" s="139" t="str">
        <f>IF(LandTier1Table[[#This Row],[Total  kg CO2e]]="", " ", 0.25)</f>
        <v xml:space="preserve"> </v>
      </c>
      <c r="G86" s="108"/>
      <c r="H86" s="188" t="s">
        <v>430</v>
      </c>
      <c r="I86" s="188">
        <f>LandTier1Table[[#This Row],[Land area in hectares (ha)]]</f>
        <v>0</v>
      </c>
      <c r="J86" s="188" t="s">
        <v>430</v>
      </c>
      <c r="K86" s="427" t="str" cm="1">
        <f t="array" ref="K86">IF(OR(B86="",C86="",D86="",G86=""),"",INDEX('Land Emission Factors'!$E$9:$J$20,MATCH(B86&amp;C86,'Land Emission Factors'!$C$9:$C$20&amp;'Land Emission Factors'!$D$9:$D$20,0),MATCH('Land use &amp; agriculture'!D86,'Land Emission Factors'!$E$8:$J$8,0)))</f>
        <v/>
      </c>
      <c r="L86" s="186" t="str">
        <f t="shared" si="4"/>
        <v/>
      </c>
      <c r="M86" s="227"/>
      <c r="N86" s="226"/>
      <c r="O86" s="186">
        <v>0</v>
      </c>
      <c r="P86" s="186">
        <v>0</v>
      </c>
      <c r="Q86" s="186">
        <v>0</v>
      </c>
      <c r="R86" s="186">
        <v>0</v>
      </c>
      <c r="S86" s="186">
        <v>0</v>
      </c>
      <c r="T86" s="186" t="str">
        <f>IF(LandTier1Table[[#This Row],[Total  kg CO2e]]="", "",(LandTier1Table[[#This Row],[Total  kg CO2e]]*(1+LandTier1Table[[#This Row],[RSD estimate (+/-%)]])))</f>
        <v/>
      </c>
      <c r="U86" s="186" t="str">
        <f>IF(LandTier1Table[[#This Row],[Total  kg CO2e]]="", "",(LandTier1Table[[#This Row],[Total  kg CO2e]]*(1-LandTier1Table[[#This Row],[RSD estimate (+/-%)]])))</f>
        <v/>
      </c>
      <c r="V86" s="186" t="str">
        <f>LandTier1Table[[#This Row],[Total  kg CO2e]]</f>
        <v/>
      </c>
      <c r="X86" s="1" cm="1">
        <f t="array" ref="X86">IF(OR(ISERROR(B86:V86)),1,0)</f>
        <v>0</v>
      </c>
      <c r="Y86" s="1">
        <f t="shared" si="3"/>
        <v>0</v>
      </c>
    </row>
    <row r="87" spans="2:25" ht="15" thickBot="1" x14ac:dyDescent="0.4">
      <c r="B87" s="107"/>
      <c r="C87" s="107"/>
      <c r="D87" s="230"/>
      <c r="E87" s="426" t="s">
        <v>262</v>
      </c>
      <c r="F87" s="139" t="str">
        <f>IF(LandTier1Table[[#This Row],[Total  kg CO2e]]="", " ", 0.25)</f>
        <v xml:space="preserve"> </v>
      </c>
      <c r="G87" s="108"/>
      <c r="H87" s="188" t="s">
        <v>430</v>
      </c>
      <c r="I87" s="188">
        <f>LandTier1Table[[#This Row],[Land area in hectares (ha)]]</f>
        <v>0</v>
      </c>
      <c r="J87" s="188" t="s">
        <v>430</v>
      </c>
      <c r="K87" s="427" t="str" cm="1">
        <f t="array" ref="K87">IF(OR(B87="",C87="",D87="",G87=""),"",INDEX('Land Emission Factors'!$E$9:$J$20,MATCH(B87&amp;C87,'Land Emission Factors'!$C$9:$C$20&amp;'Land Emission Factors'!$D$9:$D$20,0),MATCH('Land use &amp; agriculture'!D87,'Land Emission Factors'!$E$8:$J$8,0)))</f>
        <v/>
      </c>
      <c r="L87" s="186" t="str">
        <f t="shared" si="4"/>
        <v/>
      </c>
      <c r="M87" s="227"/>
      <c r="N87" s="226"/>
      <c r="O87" s="186">
        <v>0</v>
      </c>
      <c r="P87" s="186">
        <v>0</v>
      </c>
      <c r="Q87" s="186">
        <v>0</v>
      </c>
      <c r="R87" s="186">
        <v>0</v>
      </c>
      <c r="S87" s="186">
        <v>0</v>
      </c>
      <c r="T87" s="186" t="str">
        <f>IF(LandTier1Table[[#This Row],[Total  kg CO2e]]="", "",(LandTier1Table[[#This Row],[Total  kg CO2e]]*(1+LandTier1Table[[#This Row],[RSD estimate (+/-%)]])))</f>
        <v/>
      </c>
      <c r="U87" s="186" t="str">
        <f>IF(LandTier1Table[[#This Row],[Total  kg CO2e]]="", "",(LandTier1Table[[#This Row],[Total  kg CO2e]]*(1-LandTier1Table[[#This Row],[RSD estimate (+/-%)]])))</f>
        <v/>
      </c>
      <c r="V87" s="186" t="str">
        <f>LandTier1Table[[#This Row],[Total  kg CO2e]]</f>
        <v/>
      </c>
      <c r="X87" s="1" cm="1">
        <f t="array" ref="X87">IF(OR(ISERROR(B87:V87)),1,0)</f>
        <v>0</v>
      </c>
      <c r="Y87" s="1">
        <f t="shared" si="3"/>
        <v>0</v>
      </c>
    </row>
    <row r="88" spans="2:25" ht="15" thickBot="1" x14ac:dyDescent="0.4">
      <c r="B88" s="107"/>
      <c r="C88" s="107"/>
      <c r="D88" s="230"/>
      <c r="E88" s="426" t="s">
        <v>262</v>
      </c>
      <c r="F88" s="139" t="str">
        <f>IF(LandTier1Table[[#This Row],[Total  kg CO2e]]="", " ", 0.25)</f>
        <v xml:space="preserve"> </v>
      </c>
      <c r="G88" s="108"/>
      <c r="H88" s="188" t="s">
        <v>430</v>
      </c>
      <c r="I88" s="188">
        <f>LandTier1Table[[#This Row],[Land area in hectares (ha)]]</f>
        <v>0</v>
      </c>
      <c r="J88" s="188" t="s">
        <v>430</v>
      </c>
      <c r="K88" s="427" t="str" cm="1">
        <f t="array" ref="K88">IF(OR(B88="",C88="",D88="",G88=""),"",INDEX('Land Emission Factors'!$E$9:$J$20,MATCH(B88&amp;C88,'Land Emission Factors'!$C$9:$C$20&amp;'Land Emission Factors'!$D$9:$D$20,0),MATCH('Land use &amp; agriculture'!D88,'Land Emission Factors'!$E$8:$J$8,0)))</f>
        <v/>
      </c>
      <c r="L88" s="186" t="str">
        <f t="shared" si="4"/>
        <v/>
      </c>
      <c r="M88" s="227"/>
      <c r="N88" s="226"/>
      <c r="O88" s="186">
        <v>0</v>
      </c>
      <c r="P88" s="186">
        <v>0</v>
      </c>
      <c r="Q88" s="186">
        <v>0</v>
      </c>
      <c r="R88" s="186">
        <v>0</v>
      </c>
      <c r="S88" s="186">
        <v>0</v>
      </c>
      <c r="T88" s="186" t="str">
        <f>IF(LandTier1Table[[#This Row],[Total  kg CO2e]]="", "",(LandTier1Table[[#This Row],[Total  kg CO2e]]*(1+LandTier1Table[[#This Row],[RSD estimate (+/-%)]])))</f>
        <v/>
      </c>
      <c r="U88" s="186" t="str">
        <f>IF(LandTier1Table[[#This Row],[Total  kg CO2e]]="", "",(LandTier1Table[[#This Row],[Total  kg CO2e]]*(1-LandTier1Table[[#This Row],[RSD estimate (+/-%)]])))</f>
        <v/>
      </c>
      <c r="V88" s="186" t="str">
        <f>LandTier1Table[[#This Row],[Total  kg CO2e]]</f>
        <v/>
      </c>
      <c r="X88" s="1" cm="1">
        <f t="array" ref="X88">IF(OR(ISERROR(B88:V88)),1,0)</f>
        <v>0</v>
      </c>
      <c r="Y88" s="1">
        <f t="shared" si="3"/>
        <v>0</v>
      </c>
    </row>
    <row r="89" spans="2:25" ht="15" thickBot="1" x14ac:dyDescent="0.4">
      <c r="B89" s="107"/>
      <c r="C89" s="107"/>
      <c r="D89" s="230"/>
      <c r="E89" s="426" t="s">
        <v>262</v>
      </c>
      <c r="F89" s="139" t="str">
        <f>IF(LandTier1Table[[#This Row],[Total  kg CO2e]]="", " ", 0.25)</f>
        <v xml:space="preserve"> </v>
      </c>
      <c r="G89" s="108"/>
      <c r="H89" s="188" t="s">
        <v>430</v>
      </c>
      <c r="I89" s="188">
        <f>LandTier1Table[[#This Row],[Land area in hectares (ha)]]</f>
        <v>0</v>
      </c>
      <c r="J89" s="188" t="s">
        <v>430</v>
      </c>
      <c r="K89" s="427" t="str" cm="1">
        <f t="array" ref="K89">IF(OR(B89="",C89="",D89="",G89=""),"",INDEX('Land Emission Factors'!$E$9:$J$20,MATCH(B89&amp;C89,'Land Emission Factors'!$C$9:$C$20&amp;'Land Emission Factors'!$D$9:$D$20,0),MATCH('Land use &amp; agriculture'!D89,'Land Emission Factors'!$E$8:$J$8,0)))</f>
        <v/>
      </c>
      <c r="L89" s="186" t="str">
        <f t="shared" si="4"/>
        <v/>
      </c>
      <c r="M89" s="227"/>
      <c r="N89" s="226"/>
      <c r="O89" s="186">
        <v>0</v>
      </c>
      <c r="P89" s="186">
        <v>0</v>
      </c>
      <c r="Q89" s="186">
        <v>0</v>
      </c>
      <c r="R89" s="186">
        <v>0</v>
      </c>
      <c r="S89" s="186">
        <v>0</v>
      </c>
      <c r="T89" s="186" t="str">
        <f>IF(LandTier1Table[[#This Row],[Total  kg CO2e]]="", "",(LandTier1Table[[#This Row],[Total  kg CO2e]]*(1+LandTier1Table[[#This Row],[RSD estimate (+/-%)]])))</f>
        <v/>
      </c>
      <c r="U89" s="186" t="str">
        <f>IF(LandTier1Table[[#This Row],[Total  kg CO2e]]="", "",(LandTier1Table[[#This Row],[Total  kg CO2e]]*(1-LandTier1Table[[#This Row],[RSD estimate (+/-%)]])))</f>
        <v/>
      </c>
      <c r="V89" s="186" t="str">
        <f>LandTier1Table[[#This Row],[Total  kg CO2e]]</f>
        <v/>
      </c>
      <c r="X89" s="1" cm="1">
        <f t="array" ref="X89">IF(OR(ISERROR(B89:V89)),1,0)</f>
        <v>0</v>
      </c>
      <c r="Y89" s="1">
        <f t="shared" si="3"/>
        <v>0</v>
      </c>
    </row>
    <row r="90" spans="2:25" ht="15" thickBot="1" x14ac:dyDescent="0.4">
      <c r="B90" s="107"/>
      <c r="C90" s="107"/>
      <c r="D90" s="230"/>
      <c r="E90" s="426" t="s">
        <v>262</v>
      </c>
      <c r="F90" s="139" t="str">
        <f>IF(LandTier1Table[[#This Row],[Total  kg CO2e]]="", " ", 0.25)</f>
        <v xml:space="preserve"> </v>
      </c>
      <c r="G90" s="108"/>
      <c r="H90" s="188" t="s">
        <v>430</v>
      </c>
      <c r="I90" s="188">
        <f>LandTier1Table[[#This Row],[Land area in hectares (ha)]]</f>
        <v>0</v>
      </c>
      <c r="J90" s="188" t="s">
        <v>430</v>
      </c>
      <c r="K90" s="427" t="str" cm="1">
        <f t="array" ref="K90">IF(OR(B90="",C90="",D90="",G90=""),"",INDEX('Land Emission Factors'!$E$9:$J$20,MATCH(B90&amp;C90,'Land Emission Factors'!$C$9:$C$20&amp;'Land Emission Factors'!$D$9:$D$20,0),MATCH('Land use &amp; agriculture'!D90,'Land Emission Factors'!$E$8:$J$8,0)))</f>
        <v/>
      </c>
      <c r="L90" s="186" t="str">
        <f t="shared" si="4"/>
        <v/>
      </c>
      <c r="M90" s="227"/>
      <c r="N90" s="226"/>
      <c r="O90" s="186">
        <v>0</v>
      </c>
      <c r="P90" s="186">
        <v>0</v>
      </c>
      <c r="Q90" s="186">
        <v>0</v>
      </c>
      <c r="R90" s="186">
        <v>0</v>
      </c>
      <c r="S90" s="186">
        <v>0</v>
      </c>
      <c r="T90" s="186" t="str">
        <f>IF(LandTier1Table[[#This Row],[Total  kg CO2e]]="", "",(LandTier1Table[[#This Row],[Total  kg CO2e]]*(1+LandTier1Table[[#This Row],[RSD estimate (+/-%)]])))</f>
        <v/>
      </c>
      <c r="U90" s="186" t="str">
        <f>IF(LandTier1Table[[#This Row],[Total  kg CO2e]]="", "",(LandTier1Table[[#This Row],[Total  kg CO2e]]*(1-LandTier1Table[[#This Row],[RSD estimate (+/-%)]])))</f>
        <v/>
      </c>
      <c r="V90" s="186" t="str">
        <f>LandTier1Table[[#This Row],[Total  kg CO2e]]</f>
        <v/>
      </c>
      <c r="X90" s="1" cm="1">
        <f t="array" ref="X90">IF(OR(ISERROR(B90:V90)),1,0)</f>
        <v>0</v>
      </c>
      <c r="Y90" s="1">
        <f t="shared" si="3"/>
        <v>0</v>
      </c>
    </row>
    <row r="91" spans="2:25" ht="15" thickBot="1" x14ac:dyDescent="0.4">
      <c r="B91" s="107"/>
      <c r="C91" s="107"/>
      <c r="D91" s="230"/>
      <c r="E91" s="426" t="s">
        <v>262</v>
      </c>
      <c r="F91" s="139" t="str">
        <f>IF(LandTier1Table[[#This Row],[Total  kg CO2e]]="", " ", 0.25)</f>
        <v xml:space="preserve"> </v>
      </c>
      <c r="G91" s="108"/>
      <c r="H91" s="188" t="s">
        <v>430</v>
      </c>
      <c r="I91" s="188">
        <f>LandTier1Table[[#This Row],[Land area in hectares (ha)]]</f>
        <v>0</v>
      </c>
      <c r="J91" s="188" t="s">
        <v>430</v>
      </c>
      <c r="K91" s="427" t="str" cm="1">
        <f t="array" ref="K91">IF(OR(B91="",C91="",D91="",G91=""),"",INDEX('Land Emission Factors'!$E$9:$J$20,MATCH(B91&amp;C91,'Land Emission Factors'!$C$9:$C$20&amp;'Land Emission Factors'!$D$9:$D$20,0),MATCH('Land use &amp; agriculture'!D91,'Land Emission Factors'!$E$8:$J$8,0)))</f>
        <v/>
      </c>
      <c r="L91" s="186" t="str">
        <f t="shared" si="4"/>
        <v/>
      </c>
      <c r="M91" s="227"/>
      <c r="N91" s="226"/>
      <c r="O91" s="186">
        <v>0</v>
      </c>
      <c r="P91" s="186">
        <v>0</v>
      </c>
      <c r="Q91" s="186">
        <v>0</v>
      </c>
      <c r="R91" s="186">
        <v>0</v>
      </c>
      <c r="S91" s="186">
        <v>0</v>
      </c>
      <c r="T91" s="186" t="str">
        <f>IF(LandTier1Table[[#This Row],[Total  kg CO2e]]="", "",(LandTier1Table[[#This Row],[Total  kg CO2e]]*(1+LandTier1Table[[#This Row],[RSD estimate (+/-%)]])))</f>
        <v/>
      </c>
      <c r="U91" s="186" t="str">
        <f>IF(LandTier1Table[[#This Row],[Total  kg CO2e]]="", "",(LandTier1Table[[#This Row],[Total  kg CO2e]]*(1-LandTier1Table[[#This Row],[RSD estimate (+/-%)]])))</f>
        <v/>
      </c>
      <c r="V91" s="186" t="str">
        <f>LandTier1Table[[#This Row],[Total  kg CO2e]]</f>
        <v/>
      </c>
      <c r="X91" s="1" cm="1">
        <f t="array" ref="X91">IF(OR(ISERROR(B91:V91)),1,0)</f>
        <v>0</v>
      </c>
      <c r="Y91" s="1">
        <f t="shared" si="3"/>
        <v>0</v>
      </c>
    </row>
    <row r="92" spans="2:25" ht="15" thickBot="1" x14ac:dyDescent="0.4">
      <c r="B92" s="107"/>
      <c r="C92" s="107"/>
      <c r="D92" s="230"/>
      <c r="E92" s="426" t="s">
        <v>262</v>
      </c>
      <c r="F92" s="139" t="str">
        <f>IF(LandTier1Table[[#This Row],[Total  kg CO2e]]="", " ", 0.25)</f>
        <v xml:space="preserve"> </v>
      </c>
      <c r="G92" s="108"/>
      <c r="H92" s="188" t="s">
        <v>430</v>
      </c>
      <c r="I92" s="188">
        <f>LandTier1Table[[#This Row],[Land area in hectares (ha)]]</f>
        <v>0</v>
      </c>
      <c r="J92" s="188" t="s">
        <v>430</v>
      </c>
      <c r="K92" s="427" t="str" cm="1">
        <f t="array" ref="K92">IF(OR(B92="",C92="",D92="",G92=""),"",INDEX('Land Emission Factors'!$E$9:$J$20,MATCH(B92&amp;C92,'Land Emission Factors'!$C$9:$C$20&amp;'Land Emission Factors'!$D$9:$D$20,0),MATCH('Land use &amp; agriculture'!D92,'Land Emission Factors'!$E$8:$J$8,0)))</f>
        <v/>
      </c>
      <c r="L92" s="186" t="str">
        <f t="shared" si="4"/>
        <v/>
      </c>
      <c r="M92" s="227"/>
      <c r="N92" s="226"/>
      <c r="O92" s="186">
        <v>0</v>
      </c>
      <c r="P92" s="186">
        <v>0</v>
      </c>
      <c r="Q92" s="186">
        <v>0</v>
      </c>
      <c r="R92" s="186">
        <v>0</v>
      </c>
      <c r="S92" s="186">
        <v>0</v>
      </c>
      <c r="T92" s="186" t="str">
        <f>IF(LandTier1Table[[#This Row],[Total  kg CO2e]]="", "",(LandTier1Table[[#This Row],[Total  kg CO2e]]*(1+LandTier1Table[[#This Row],[RSD estimate (+/-%)]])))</f>
        <v/>
      </c>
      <c r="U92" s="186" t="str">
        <f>IF(LandTier1Table[[#This Row],[Total  kg CO2e]]="", "",(LandTier1Table[[#This Row],[Total  kg CO2e]]*(1-LandTier1Table[[#This Row],[RSD estimate (+/-%)]])))</f>
        <v/>
      </c>
      <c r="V92" s="186" t="str">
        <f>LandTier1Table[[#This Row],[Total  kg CO2e]]</f>
        <v/>
      </c>
      <c r="X92" s="1" cm="1">
        <f t="array" ref="X92">IF(OR(ISERROR(B92:V92)),1,0)</f>
        <v>0</v>
      </c>
      <c r="Y92" s="1">
        <f t="shared" si="3"/>
        <v>0</v>
      </c>
    </row>
    <row r="93" spans="2:25" ht="15" thickBot="1" x14ac:dyDescent="0.4">
      <c r="B93" s="107"/>
      <c r="C93" s="107"/>
      <c r="D93" s="230"/>
      <c r="E93" s="426" t="s">
        <v>262</v>
      </c>
      <c r="F93" s="139" t="str">
        <f>IF(LandTier1Table[[#This Row],[Total  kg CO2e]]="", " ", 0.25)</f>
        <v xml:space="preserve"> </v>
      </c>
      <c r="G93" s="108"/>
      <c r="H93" s="188" t="s">
        <v>430</v>
      </c>
      <c r="I93" s="188">
        <f>LandTier1Table[[#This Row],[Land area in hectares (ha)]]</f>
        <v>0</v>
      </c>
      <c r="J93" s="188" t="s">
        <v>430</v>
      </c>
      <c r="K93" s="427" t="str" cm="1">
        <f t="array" ref="K93">IF(OR(B93="",C93="",D93="",G93=""),"",INDEX('Land Emission Factors'!$E$9:$J$20,MATCH(B93&amp;C93,'Land Emission Factors'!$C$9:$C$20&amp;'Land Emission Factors'!$D$9:$D$20,0),MATCH('Land use &amp; agriculture'!D93,'Land Emission Factors'!$E$8:$J$8,0)))</f>
        <v/>
      </c>
      <c r="L93" s="186" t="str">
        <f t="shared" si="4"/>
        <v/>
      </c>
      <c r="M93" s="227"/>
      <c r="N93" s="226"/>
      <c r="O93" s="186">
        <v>0</v>
      </c>
      <c r="P93" s="186">
        <v>0</v>
      </c>
      <c r="Q93" s="186">
        <v>0</v>
      </c>
      <c r="R93" s="186">
        <v>0</v>
      </c>
      <c r="S93" s="186">
        <v>0</v>
      </c>
      <c r="T93" s="186" t="str">
        <f>IF(LandTier1Table[[#This Row],[Total  kg CO2e]]="", "",(LandTier1Table[[#This Row],[Total  kg CO2e]]*(1+LandTier1Table[[#This Row],[RSD estimate (+/-%)]])))</f>
        <v/>
      </c>
      <c r="U93" s="186" t="str">
        <f>IF(LandTier1Table[[#This Row],[Total  kg CO2e]]="", "",(LandTier1Table[[#This Row],[Total  kg CO2e]]*(1-LandTier1Table[[#This Row],[RSD estimate (+/-%)]])))</f>
        <v/>
      </c>
      <c r="V93" s="186" t="str">
        <f>LandTier1Table[[#This Row],[Total  kg CO2e]]</f>
        <v/>
      </c>
      <c r="X93" s="1" cm="1">
        <f t="array" ref="X93">IF(OR(ISERROR(B93:V93)),1,0)</f>
        <v>0</v>
      </c>
      <c r="Y93" s="1">
        <f t="shared" si="3"/>
        <v>0</v>
      </c>
    </row>
    <row r="94" spans="2:25" ht="15" thickBot="1" x14ac:dyDescent="0.4">
      <c r="B94" s="107"/>
      <c r="C94" s="107"/>
      <c r="D94" s="230"/>
      <c r="E94" s="426" t="s">
        <v>262</v>
      </c>
      <c r="F94" s="139" t="str">
        <f>IF(LandTier1Table[[#This Row],[Total  kg CO2e]]="", " ", 0.25)</f>
        <v xml:space="preserve"> </v>
      </c>
      <c r="G94" s="108"/>
      <c r="H94" s="188" t="s">
        <v>430</v>
      </c>
      <c r="I94" s="188">
        <f>LandTier1Table[[#This Row],[Land area in hectares (ha)]]</f>
        <v>0</v>
      </c>
      <c r="J94" s="188" t="s">
        <v>430</v>
      </c>
      <c r="K94" s="427" t="str" cm="1">
        <f t="array" ref="K94">IF(OR(B94="",C94="",D94="",G94=""),"",INDEX('Land Emission Factors'!$E$9:$J$20,MATCH(B94&amp;C94,'Land Emission Factors'!$C$9:$C$20&amp;'Land Emission Factors'!$D$9:$D$20,0),MATCH('Land use &amp; agriculture'!D94,'Land Emission Factors'!$E$8:$J$8,0)))</f>
        <v/>
      </c>
      <c r="L94" s="186" t="str">
        <f t="shared" si="4"/>
        <v/>
      </c>
      <c r="M94" s="227"/>
      <c r="N94" s="226"/>
      <c r="O94" s="186">
        <v>0</v>
      </c>
      <c r="P94" s="186">
        <v>0</v>
      </c>
      <c r="Q94" s="186">
        <v>0</v>
      </c>
      <c r="R94" s="186">
        <v>0</v>
      </c>
      <c r="S94" s="186">
        <v>0</v>
      </c>
      <c r="T94" s="186" t="str">
        <f>IF(LandTier1Table[[#This Row],[Total  kg CO2e]]="", "",(LandTier1Table[[#This Row],[Total  kg CO2e]]*(1+LandTier1Table[[#This Row],[RSD estimate (+/-%)]])))</f>
        <v/>
      </c>
      <c r="U94" s="186" t="str">
        <f>IF(LandTier1Table[[#This Row],[Total  kg CO2e]]="", "",(LandTier1Table[[#This Row],[Total  kg CO2e]]*(1-LandTier1Table[[#This Row],[RSD estimate (+/-%)]])))</f>
        <v/>
      </c>
      <c r="V94" s="186" t="str">
        <f>LandTier1Table[[#This Row],[Total  kg CO2e]]</f>
        <v/>
      </c>
      <c r="X94" s="1" cm="1">
        <f t="array" ref="X94">IF(OR(ISERROR(B94:V94)),1,0)</f>
        <v>0</v>
      </c>
      <c r="Y94" s="1">
        <f t="shared" si="3"/>
        <v>0</v>
      </c>
    </row>
    <row r="95" spans="2:25" ht="15" thickBot="1" x14ac:dyDescent="0.4">
      <c r="B95" s="107"/>
      <c r="C95" s="107"/>
      <c r="D95" s="230"/>
      <c r="E95" s="426" t="s">
        <v>262</v>
      </c>
      <c r="F95" s="139" t="str">
        <f>IF(LandTier1Table[[#This Row],[Total  kg CO2e]]="", " ", 0.25)</f>
        <v xml:space="preserve"> </v>
      </c>
      <c r="G95" s="108"/>
      <c r="H95" s="188" t="s">
        <v>430</v>
      </c>
      <c r="I95" s="188">
        <f>LandTier1Table[[#This Row],[Land area in hectares (ha)]]</f>
        <v>0</v>
      </c>
      <c r="J95" s="188" t="s">
        <v>430</v>
      </c>
      <c r="K95" s="427" t="str" cm="1">
        <f t="array" ref="K95">IF(OR(B95="",C95="",D95="",G95=""),"",INDEX('Land Emission Factors'!$E$9:$J$20,MATCH(B95&amp;C95,'Land Emission Factors'!$C$9:$C$20&amp;'Land Emission Factors'!$D$9:$D$20,0),MATCH('Land use &amp; agriculture'!D95,'Land Emission Factors'!$E$8:$J$8,0)))</f>
        <v/>
      </c>
      <c r="L95" s="186" t="str">
        <f t="shared" si="4"/>
        <v/>
      </c>
      <c r="M95" s="227"/>
      <c r="N95" s="226"/>
      <c r="O95" s="186">
        <v>0</v>
      </c>
      <c r="P95" s="186">
        <v>0</v>
      </c>
      <c r="Q95" s="186">
        <v>0</v>
      </c>
      <c r="R95" s="186">
        <v>0</v>
      </c>
      <c r="S95" s="186">
        <v>0</v>
      </c>
      <c r="T95" s="186" t="str">
        <f>IF(LandTier1Table[[#This Row],[Total  kg CO2e]]="", "",(LandTier1Table[[#This Row],[Total  kg CO2e]]*(1+LandTier1Table[[#This Row],[RSD estimate (+/-%)]])))</f>
        <v/>
      </c>
      <c r="U95" s="186" t="str">
        <f>IF(LandTier1Table[[#This Row],[Total  kg CO2e]]="", "",(LandTier1Table[[#This Row],[Total  kg CO2e]]*(1-LandTier1Table[[#This Row],[RSD estimate (+/-%)]])))</f>
        <v/>
      </c>
      <c r="V95" s="186" t="str">
        <f>LandTier1Table[[#This Row],[Total  kg CO2e]]</f>
        <v/>
      </c>
      <c r="X95" s="1" cm="1">
        <f t="array" ref="X95">IF(OR(ISERROR(B95:V95)),1,0)</f>
        <v>0</v>
      </c>
      <c r="Y95" s="1">
        <f t="shared" si="3"/>
        <v>0</v>
      </c>
    </row>
    <row r="96" spans="2:25" ht="15" thickBot="1" x14ac:dyDescent="0.4">
      <c r="B96" s="107"/>
      <c r="C96" s="107"/>
      <c r="D96" s="107"/>
      <c r="E96" s="426" t="s">
        <v>262</v>
      </c>
      <c r="F96" s="139" t="str">
        <f>IF(LandTier1Table[[#This Row],[Total  kg CO2e]]="", " ", 0.25)</f>
        <v xml:space="preserve"> </v>
      </c>
      <c r="G96" s="70"/>
      <c r="H96" s="188" t="s">
        <v>430</v>
      </c>
      <c r="I96" s="188">
        <f>LandTier1Table[[#This Row],[Land area in hectares (ha)]]</f>
        <v>0</v>
      </c>
      <c r="J96" s="188" t="s">
        <v>430</v>
      </c>
      <c r="K96" s="427" t="str" cm="1">
        <f t="array" ref="K96">IF(OR(B96="",C96="",D96="",G96=""),"",INDEX('Land Emission Factors'!$E$9:$J$20,MATCH(B96&amp;C96,'Land Emission Factors'!$C$9:$C$20&amp;'Land Emission Factors'!$D$9:$D$20,0),MATCH('Land use &amp; agriculture'!D96,'Land Emission Factors'!$E$8:$J$8,0)))</f>
        <v/>
      </c>
      <c r="L96" s="186" t="str">
        <f t="shared" si="4"/>
        <v/>
      </c>
      <c r="M96" s="227"/>
      <c r="N96" s="226"/>
      <c r="O96" s="186">
        <v>0</v>
      </c>
      <c r="P96" s="186">
        <v>0</v>
      </c>
      <c r="Q96" s="186">
        <v>0</v>
      </c>
      <c r="R96" s="186">
        <v>0</v>
      </c>
      <c r="S96" s="186">
        <v>0</v>
      </c>
      <c r="T96" s="186" t="str">
        <f>IF(LandTier1Table[[#This Row],[Total  kg CO2e]]="", "",(LandTier1Table[[#This Row],[Total  kg CO2e]]*(1+LandTier1Table[[#This Row],[RSD estimate (+/-%)]])))</f>
        <v/>
      </c>
      <c r="U96" s="186" t="str">
        <f>IF(LandTier1Table[[#This Row],[Total  kg CO2e]]="", "",(LandTier1Table[[#This Row],[Total  kg CO2e]]*(1-LandTier1Table[[#This Row],[RSD estimate (+/-%)]])))</f>
        <v/>
      </c>
      <c r="V96" s="186" t="str">
        <f>LandTier1Table[[#This Row],[Total  kg CO2e]]</f>
        <v/>
      </c>
      <c r="X96" s="1" cm="1">
        <f t="array" ref="X96">IF(OR(ISERROR(B96:V96)),1,0)</f>
        <v>0</v>
      </c>
      <c r="Y96" s="1">
        <f t="shared" si="3"/>
        <v>0</v>
      </c>
    </row>
    <row r="97" spans="1:25" ht="15" thickBot="1" x14ac:dyDescent="0.4">
      <c r="B97" s="107"/>
      <c r="C97" s="107"/>
      <c r="D97" s="230"/>
      <c r="E97" s="426" t="s">
        <v>262</v>
      </c>
      <c r="F97" s="139" t="str">
        <f>IF(LandTier1Table[[#This Row],[Total  kg CO2e]]="", " ", 0.25)</f>
        <v xml:space="preserve"> </v>
      </c>
      <c r="G97" s="108"/>
      <c r="H97" s="188" t="s">
        <v>430</v>
      </c>
      <c r="I97" s="188">
        <f>LandTier1Table[[#This Row],[Land area in hectares (ha)]]</f>
        <v>0</v>
      </c>
      <c r="J97" s="188" t="s">
        <v>430</v>
      </c>
      <c r="K97" s="427" t="str" cm="1">
        <f t="array" ref="K97">IF(OR(B97="",C97="",D97="",G97=""),"",INDEX('Land Emission Factors'!$E$9:$J$20,MATCH(B97&amp;C97,'Land Emission Factors'!$C$9:$C$20&amp;'Land Emission Factors'!$D$9:$D$20,0),MATCH('Land use &amp; agriculture'!D97,'Land Emission Factors'!$E$8:$J$8,0)))</f>
        <v/>
      </c>
      <c r="L97" s="186" t="str">
        <f t="shared" si="4"/>
        <v/>
      </c>
      <c r="M97" s="227"/>
      <c r="N97" s="226"/>
      <c r="O97" s="186">
        <v>0</v>
      </c>
      <c r="P97" s="186">
        <v>0</v>
      </c>
      <c r="Q97" s="186">
        <v>0</v>
      </c>
      <c r="R97" s="186">
        <v>0</v>
      </c>
      <c r="S97" s="186">
        <v>0</v>
      </c>
      <c r="T97" s="186" t="str">
        <f>IF(LandTier1Table[[#This Row],[Total  kg CO2e]]="", "",(LandTier1Table[[#This Row],[Total  kg CO2e]]*(1+LandTier1Table[[#This Row],[RSD estimate (+/-%)]])))</f>
        <v/>
      </c>
      <c r="U97" s="186" t="str">
        <f>IF(LandTier1Table[[#This Row],[Total  kg CO2e]]="", "",(LandTier1Table[[#This Row],[Total  kg CO2e]]*(1-LandTier1Table[[#This Row],[RSD estimate (+/-%)]])))</f>
        <v/>
      </c>
      <c r="V97" s="186" t="str">
        <f>LandTier1Table[[#This Row],[Total  kg CO2e]]</f>
        <v/>
      </c>
      <c r="X97" s="1" cm="1">
        <f t="array" ref="X97">IF(OR(ISERROR(B97:V97)),1,0)</f>
        <v>0</v>
      </c>
      <c r="Y97" s="1">
        <f t="shared" si="3"/>
        <v>0</v>
      </c>
    </row>
    <row r="98" spans="1:25" ht="15" thickBot="1" x14ac:dyDescent="0.4">
      <c r="B98" s="107"/>
      <c r="C98" s="107"/>
      <c r="D98" s="230"/>
      <c r="E98" s="426" t="s">
        <v>262</v>
      </c>
      <c r="F98" s="139" t="str">
        <f>IF(LandTier1Table[[#This Row],[Total  kg CO2e]]="", " ", 0.25)</f>
        <v xml:space="preserve"> </v>
      </c>
      <c r="G98" s="108"/>
      <c r="H98" s="188" t="s">
        <v>430</v>
      </c>
      <c r="I98" s="188">
        <f>LandTier1Table[[#This Row],[Land area in hectares (ha)]]</f>
        <v>0</v>
      </c>
      <c r="J98" s="188" t="s">
        <v>430</v>
      </c>
      <c r="K98" s="427" t="str" cm="1">
        <f t="array" ref="K98">IF(OR(B98="",C98="",D98="",G98=""),"",INDEX('Land Emission Factors'!$E$9:$J$20,MATCH(B98&amp;C98,'Land Emission Factors'!$C$9:$C$20&amp;'Land Emission Factors'!$D$9:$D$20,0),MATCH('Land use &amp; agriculture'!D98,'Land Emission Factors'!$E$8:$J$8,0)))</f>
        <v/>
      </c>
      <c r="L98" s="186" t="str">
        <f t="shared" si="4"/>
        <v/>
      </c>
      <c r="M98" s="227"/>
      <c r="N98" s="226"/>
      <c r="O98" s="186">
        <v>0</v>
      </c>
      <c r="P98" s="186">
        <v>0</v>
      </c>
      <c r="Q98" s="186">
        <v>0</v>
      </c>
      <c r="R98" s="186">
        <v>0</v>
      </c>
      <c r="S98" s="186">
        <v>0</v>
      </c>
      <c r="T98" s="186" t="str">
        <f>IF(LandTier1Table[[#This Row],[Total  kg CO2e]]="", "",(LandTier1Table[[#This Row],[Total  kg CO2e]]*(1+LandTier1Table[[#This Row],[RSD estimate (+/-%)]])))</f>
        <v/>
      </c>
      <c r="U98" s="186" t="str">
        <f>IF(LandTier1Table[[#This Row],[Total  kg CO2e]]="", "",(LandTier1Table[[#This Row],[Total  kg CO2e]]*(1-LandTier1Table[[#This Row],[RSD estimate (+/-%)]])))</f>
        <v/>
      </c>
      <c r="V98" s="186" t="str">
        <f>LandTier1Table[[#This Row],[Total  kg CO2e]]</f>
        <v/>
      </c>
      <c r="X98" s="1" cm="1">
        <f t="array" ref="X98">IF(OR(ISERROR(B98:V98)),1,0)</f>
        <v>0</v>
      </c>
      <c r="Y98" s="1">
        <f t="shared" si="3"/>
        <v>0</v>
      </c>
    </row>
    <row r="99" spans="1:25" ht="15" thickBot="1" x14ac:dyDescent="0.4">
      <c r="B99" s="109"/>
      <c r="C99" s="109"/>
      <c r="D99" s="109"/>
      <c r="E99" s="426" t="s">
        <v>262</v>
      </c>
      <c r="F99" s="139" t="str">
        <f>IF(LandTier1Table[[#This Row],[Total  kg CO2e]]="", " ", 0.25)</f>
        <v xml:space="preserve"> </v>
      </c>
      <c r="G99" s="70"/>
      <c r="H99" s="188" t="s">
        <v>430</v>
      </c>
      <c r="I99" s="188">
        <f>LandTier1Table[[#This Row],[Land area in hectares (ha)]]</f>
        <v>0</v>
      </c>
      <c r="J99" s="188" t="s">
        <v>430</v>
      </c>
      <c r="K99" s="427" t="str" cm="1">
        <f t="array" ref="K99">IF(OR(B99="",C99="",D99="",G99=""),"",INDEX('Land Emission Factors'!$E$9:$J$20,MATCH(B99&amp;C99,'Land Emission Factors'!$C$9:$C$20&amp;'Land Emission Factors'!$D$9:$D$20,0),MATCH('Land use &amp; agriculture'!D99,'Land Emission Factors'!$E$8:$J$8,0)))</f>
        <v/>
      </c>
      <c r="L99" s="186" t="str">
        <f t="shared" si="4"/>
        <v/>
      </c>
      <c r="M99" s="227"/>
      <c r="N99" s="226"/>
      <c r="O99" s="186">
        <v>0</v>
      </c>
      <c r="P99" s="186">
        <v>0</v>
      </c>
      <c r="Q99" s="186">
        <v>0</v>
      </c>
      <c r="R99" s="186">
        <v>0</v>
      </c>
      <c r="S99" s="186">
        <v>0</v>
      </c>
      <c r="T99" s="186" t="str">
        <f>IF(LandTier1Table[[#This Row],[Total  kg CO2e]]="", "",(LandTier1Table[[#This Row],[Total  kg CO2e]]*(1+LandTier1Table[[#This Row],[RSD estimate (+/-%)]])))</f>
        <v/>
      </c>
      <c r="U99" s="186" t="str">
        <f>IF(LandTier1Table[[#This Row],[Total  kg CO2e]]="", "",(LandTier1Table[[#This Row],[Total  kg CO2e]]*(1-LandTier1Table[[#This Row],[RSD estimate (+/-%)]])))</f>
        <v/>
      </c>
      <c r="V99" s="186" t="str">
        <f>LandTier1Table[[#This Row],[Total  kg CO2e]]</f>
        <v/>
      </c>
      <c r="X99" s="1" cm="1">
        <f t="array" ref="X99">IF(OR(ISERROR(B99:V99)),1,0)</f>
        <v>0</v>
      </c>
      <c r="Y99" s="1">
        <f t="shared" si="2"/>
        <v>0</v>
      </c>
    </row>
    <row r="100" spans="1:25" ht="18.649999999999999" customHeight="1" x14ac:dyDescent="0.35"/>
    <row r="101" spans="1:25" x14ac:dyDescent="0.35">
      <c r="B101" s="428" t="s">
        <v>431</v>
      </c>
    </row>
    <row r="102" spans="1:25" ht="19" thickBot="1" x14ac:dyDescent="0.4">
      <c r="B102" s="20" t="s">
        <v>432</v>
      </c>
      <c r="F102"/>
      <c r="G102" s="317" t="str">
        <f>IF($Y$103=0,"No data entered",IF($X$103=0,"No errors in this table","There are errors in this table see highlighted row(s)"))</f>
        <v>No data entered</v>
      </c>
      <c r="X102" s="9" t="s">
        <v>175</v>
      </c>
      <c r="Y102" s="9" t="s">
        <v>161</v>
      </c>
    </row>
    <row r="103" spans="1:25" s="425" customFormat="1" ht="26.5" thickBot="1" x14ac:dyDescent="0.4">
      <c r="A103" s="429"/>
      <c r="B103" s="3" t="s">
        <v>433</v>
      </c>
      <c r="C103" s="3" t="s">
        <v>424</v>
      </c>
      <c r="D103" s="47" t="s">
        <v>19</v>
      </c>
      <c r="E103" s="3" t="s">
        <v>434</v>
      </c>
      <c r="F103" s="3" t="s">
        <v>426</v>
      </c>
      <c r="G103" s="3" t="s">
        <v>415</v>
      </c>
      <c r="H103" s="3" t="s">
        <v>406</v>
      </c>
      <c r="I103" s="3" t="s">
        <v>184</v>
      </c>
      <c r="J103" s="3" t="s">
        <v>185</v>
      </c>
      <c r="K103" s="298" t="s">
        <v>427</v>
      </c>
      <c r="L103" s="299" t="s">
        <v>435</v>
      </c>
      <c r="M103" s="430" t="s">
        <v>436</v>
      </c>
      <c r="N103" s="47" t="s">
        <v>189</v>
      </c>
      <c r="O103" s="8" t="s">
        <v>92</v>
      </c>
      <c r="P103" s="8" t="s">
        <v>190</v>
      </c>
      <c r="Q103" s="8" t="s">
        <v>191</v>
      </c>
      <c r="R103" s="8" t="s">
        <v>192</v>
      </c>
      <c r="S103" s="8" t="s">
        <v>193</v>
      </c>
      <c r="T103" s="8" t="s">
        <v>100</v>
      </c>
      <c r="U103" s="322" t="s">
        <v>101</v>
      </c>
      <c r="V103" s="8" t="s">
        <v>96</v>
      </c>
      <c r="W103" s="431"/>
      <c r="X103" s="9">
        <f>SUM(X104:X126)</f>
        <v>0</v>
      </c>
      <c r="Y103" s="9">
        <f>SUM(Y104:Y126)</f>
        <v>0</v>
      </c>
    </row>
    <row r="104" spans="1:25" ht="15" thickBot="1" x14ac:dyDescent="0.4">
      <c r="A104" s="18"/>
      <c r="B104" s="107"/>
      <c r="C104" s="228"/>
      <c r="D104" s="272"/>
      <c r="E104" s="107" t="s">
        <v>409</v>
      </c>
      <c r="F104" s="139" cm="1">
        <f t="array" ref="F104">IFERROR(_xlfn.SWITCH(LandTier2Table[[#This Row],[Methodology used (IPCC equivalent Tier)]],"Tier 3",0.1,"Tier 2",0.15,"Tier 1",0.2,"",""),"")</f>
        <v>0.15</v>
      </c>
      <c r="G104" s="70"/>
      <c r="H104" s="188" t="s">
        <v>430</v>
      </c>
      <c r="I104" s="188">
        <f>LandTier2Table[[#This Row],[Land area in hectares (ha)]]</f>
        <v>0</v>
      </c>
      <c r="J104" s="188" t="s">
        <v>430</v>
      </c>
      <c r="K104" s="188" t="str">
        <f>IFERROR(LandTier2Table[[#This Row],[Emission kg CO2e]]/LandTier2Table[[#This Row],[Land area in hectares (ha)]],"")</f>
        <v/>
      </c>
      <c r="L104" s="70"/>
      <c r="M104" s="227"/>
      <c r="N104" s="226"/>
      <c r="O104" s="157">
        <v>0</v>
      </c>
      <c r="P104" s="157">
        <v>0</v>
      </c>
      <c r="Q104" s="157">
        <v>0</v>
      </c>
      <c r="R104" s="157">
        <v>0</v>
      </c>
      <c r="S104" s="157">
        <v>0</v>
      </c>
      <c r="T104" s="158" t="str">
        <f>IF(LandTier2Table[[#This Row],[Emission kg CO2e]]="", "",(LandTier2Table[[#This Row],[Emission kg CO2e]]*(1+LandTier2Table[[#This Row],[RSD estimate (+/-%)]])))</f>
        <v/>
      </c>
      <c r="U104" s="158" t="str">
        <f>IF(LandTier2Table[[#This Row],[Emission kg CO2e]]="", "",(LandTier2Table[[#This Row],[Emission kg CO2e]]*(1-LandTier2Table[[#This Row],[RSD estimate (+/-%)]])))</f>
        <v/>
      </c>
      <c r="V104" s="157">
        <f>LandTier2Table[[#This Row],[Emission kg CO2e]]</f>
        <v>0</v>
      </c>
      <c r="W104" s="30"/>
      <c r="X104" s="1" cm="1">
        <f t="array" ref="X104">IF(OR(ISERROR(B104:V104)),1,0)</f>
        <v>0</v>
      </c>
      <c r="Y104" s="1">
        <f>IF(AND(G104="",L104="",B104=""),0,1)</f>
        <v>0</v>
      </c>
    </row>
    <row r="105" spans="1:25" ht="15" thickBot="1" x14ac:dyDescent="0.4">
      <c r="A105" s="18"/>
      <c r="B105" s="107"/>
      <c r="C105" s="107"/>
      <c r="D105" s="272"/>
      <c r="E105" s="107"/>
      <c r="F105" s="139" t="str" cm="1">
        <f t="array" ref="F105">IFERROR(_xlfn.SWITCH(LandTier2Table[[#This Row],[Methodology used (IPCC equivalent Tier)]],"Tier 3",0.1,"Tier 2",0.15,"Tier 1",0.2,"",""),"")</f>
        <v/>
      </c>
      <c r="G105" s="70"/>
      <c r="H105" s="188" t="s">
        <v>430</v>
      </c>
      <c r="I105" s="188">
        <f>LandTier2Table[[#This Row],[Land area in hectares (ha)]]</f>
        <v>0</v>
      </c>
      <c r="J105" s="188" t="s">
        <v>430</v>
      </c>
      <c r="K105" s="188" t="str">
        <f>IFERROR(LandTier2Table[[#This Row],[Emission kg CO2e]]/LandTier2Table[[#This Row],[Land area in hectares (ha)]],"")</f>
        <v/>
      </c>
      <c r="L105" s="70"/>
      <c r="M105" s="227"/>
      <c r="N105" s="226"/>
      <c r="O105" s="157">
        <v>0</v>
      </c>
      <c r="P105" s="157">
        <v>0</v>
      </c>
      <c r="Q105" s="157">
        <v>0</v>
      </c>
      <c r="R105" s="157">
        <v>0</v>
      </c>
      <c r="S105" s="157">
        <v>0</v>
      </c>
      <c r="T105" s="158" t="str">
        <f>IF(LandTier2Table[[#This Row],[Emission kg CO2e]]="", "",(LandTier2Table[[#This Row],[Emission kg CO2e]]*(1+LandTier2Table[[#This Row],[RSD estimate (+/-%)]])))</f>
        <v/>
      </c>
      <c r="U105" s="163" t="str">
        <f>IF(LandTier2Table[[#This Row],[Emission kg CO2e]]="", "",(LandTier2Table[[#This Row],[Emission kg CO2e]]*(1-LandTier2Table[[#This Row],[RSD estimate (+/-%)]])))</f>
        <v/>
      </c>
      <c r="V105" s="157">
        <f>LandTier2Table[[#This Row],[Emission kg CO2e]]</f>
        <v>0</v>
      </c>
      <c r="W105" s="30"/>
      <c r="X105" s="1" cm="1">
        <f t="array" ref="X105">IF(OR(ISERROR(B105:V105)),1,0)</f>
        <v>0</v>
      </c>
      <c r="Y105" s="1">
        <f t="shared" ref="Y105:Y126" si="5">IF(AND(G105="",L105="",B105=""),0,1)</f>
        <v>0</v>
      </c>
    </row>
    <row r="106" spans="1:25" ht="15" thickBot="1" x14ac:dyDescent="0.4">
      <c r="A106" s="18"/>
      <c r="B106" s="107"/>
      <c r="C106" s="107"/>
      <c r="D106" s="272"/>
      <c r="E106" s="107"/>
      <c r="F106" s="139" t="str" cm="1">
        <f t="array" ref="F106">IFERROR(_xlfn.SWITCH(LandTier2Table[[#This Row],[Methodology used (IPCC equivalent Tier)]],"Tier 3",0.1,"Tier 2",0.15,"Tier 1",0.2,"",""),"")</f>
        <v/>
      </c>
      <c r="G106" s="70"/>
      <c r="H106" s="188" t="s">
        <v>430</v>
      </c>
      <c r="I106" s="188">
        <f>LandTier2Table[[#This Row],[Land area in hectares (ha)]]</f>
        <v>0</v>
      </c>
      <c r="J106" s="188" t="s">
        <v>430</v>
      </c>
      <c r="K106" s="188" t="str">
        <f>IFERROR(LandTier2Table[[#This Row],[Emission kg CO2e]]/LandTier2Table[[#This Row],[Land area in hectares (ha)]],"")</f>
        <v/>
      </c>
      <c r="L106" s="70"/>
      <c r="M106" s="227"/>
      <c r="N106" s="226"/>
      <c r="O106" s="157">
        <v>0</v>
      </c>
      <c r="P106" s="157">
        <v>0</v>
      </c>
      <c r="Q106" s="157">
        <v>0</v>
      </c>
      <c r="R106" s="157">
        <v>0</v>
      </c>
      <c r="S106" s="157">
        <v>0</v>
      </c>
      <c r="T106" s="158" t="str">
        <f>IF(LandTier2Table[[#This Row],[Emission kg CO2e]]="", "",(LandTier2Table[[#This Row],[Emission kg CO2e]]*(1+LandTier2Table[[#This Row],[RSD estimate (+/-%)]])))</f>
        <v/>
      </c>
      <c r="U106" s="163" t="str">
        <f>IF(LandTier2Table[[#This Row],[Emission kg CO2e]]="", "",(LandTier2Table[[#This Row],[Emission kg CO2e]]*(1-LandTier2Table[[#This Row],[RSD estimate (+/-%)]])))</f>
        <v/>
      </c>
      <c r="V106" s="157">
        <f>LandTier2Table[[#This Row],[Emission kg CO2e]]</f>
        <v>0</v>
      </c>
      <c r="W106" s="30"/>
      <c r="X106" s="1" cm="1">
        <f t="array" ref="X106">IF(OR(ISERROR(B106:V106)),1,0)</f>
        <v>0</v>
      </c>
      <c r="Y106" s="1">
        <f t="shared" si="5"/>
        <v>0</v>
      </c>
    </row>
    <row r="107" spans="1:25" ht="15" thickBot="1" x14ac:dyDescent="0.4">
      <c r="A107" s="18"/>
      <c r="B107" s="107"/>
      <c r="C107" s="107"/>
      <c r="D107" s="272"/>
      <c r="E107" s="107"/>
      <c r="F107" s="139" t="str" cm="1">
        <f t="array" ref="F107">IFERROR(_xlfn.SWITCH(LandTier2Table[[#This Row],[Methodology used (IPCC equivalent Tier)]],"Tier 3",0.1,"Tier 2",0.15,"Tier 1",0.2,"",""),"")</f>
        <v/>
      </c>
      <c r="G107" s="70"/>
      <c r="H107" s="188" t="s">
        <v>430</v>
      </c>
      <c r="I107" s="188">
        <f>LandTier2Table[[#This Row],[Land area in hectares (ha)]]</f>
        <v>0</v>
      </c>
      <c r="J107" s="188" t="s">
        <v>430</v>
      </c>
      <c r="K107" s="188" t="str">
        <f>IFERROR(LandTier2Table[[#This Row],[Emission kg CO2e]]/LandTier2Table[[#This Row],[Land area in hectares (ha)]],"")</f>
        <v/>
      </c>
      <c r="L107" s="70"/>
      <c r="M107" s="227"/>
      <c r="N107" s="226"/>
      <c r="O107" s="157">
        <v>0</v>
      </c>
      <c r="P107" s="157">
        <v>0</v>
      </c>
      <c r="Q107" s="157">
        <v>0</v>
      </c>
      <c r="R107" s="157">
        <v>0</v>
      </c>
      <c r="S107" s="157">
        <v>0</v>
      </c>
      <c r="T107" s="158" t="str">
        <f>IF(LandTier2Table[[#This Row],[Emission kg CO2e]]="", "",(LandTier2Table[[#This Row],[Emission kg CO2e]]*(1+LandTier2Table[[#This Row],[RSD estimate (+/-%)]])))</f>
        <v/>
      </c>
      <c r="U107" s="163" t="str">
        <f>IF(LandTier2Table[[#This Row],[Emission kg CO2e]]="", "",(LandTier2Table[[#This Row],[Emission kg CO2e]]*(1-LandTier2Table[[#This Row],[RSD estimate (+/-%)]])))</f>
        <v/>
      </c>
      <c r="V107" s="157">
        <f>LandTier2Table[[#This Row],[Emission kg CO2e]]</f>
        <v>0</v>
      </c>
      <c r="W107" s="30"/>
      <c r="X107" s="1" cm="1">
        <f t="array" ref="X107">IF(OR(ISERROR(B107:V107)),1,0)</f>
        <v>0</v>
      </c>
      <c r="Y107" s="1">
        <f t="shared" si="5"/>
        <v>0</v>
      </c>
    </row>
    <row r="108" spans="1:25" ht="15" thickBot="1" x14ac:dyDescent="0.4">
      <c r="A108" s="18"/>
      <c r="B108" s="107"/>
      <c r="C108" s="107"/>
      <c r="D108" s="272"/>
      <c r="E108" s="107"/>
      <c r="F108" s="139" t="str" cm="1">
        <f t="array" ref="F108">IFERROR(_xlfn.SWITCH(LandTier2Table[[#This Row],[Methodology used (IPCC equivalent Tier)]],"Tier 3",0.1,"Tier 2",0.15,"Tier 1",0.2,"",""),"")</f>
        <v/>
      </c>
      <c r="G108" s="70"/>
      <c r="H108" s="188" t="s">
        <v>430</v>
      </c>
      <c r="I108" s="188">
        <f>LandTier2Table[[#This Row],[Land area in hectares (ha)]]</f>
        <v>0</v>
      </c>
      <c r="J108" s="188" t="s">
        <v>430</v>
      </c>
      <c r="K108" s="188" t="str">
        <f>IFERROR(LandTier2Table[[#This Row],[Emission kg CO2e]]/LandTier2Table[[#This Row],[Land area in hectares (ha)]],"")</f>
        <v/>
      </c>
      <c r="L108" s="70"/>
      <c r="M108" s="227"/>
      <c r="N108" s="226"/>
      <c r="O108" s="157">
        <v>0</v>
      </c>
      <c r="P108" s="157">
        <v>0</v>
      </c>
      <c r="Q108" s="157">
        <v>0</v>
      </c>
      <c r="R108" s="157">
        <v>0</v>
      </c>
      <c r="S108" s="157">
        <v>0</v>
      </c>
      <c r="T108" s="158" t="str">
        <f>IF(LandTier2Table[[#This Row],[Emission kg CO2e]]="", "",(LandTier2Table[[#This Row],[Emission kg CO2e]]*(1+LandTier2Table[[#This Row],[RSD estimate (+/-%)]])))</f>
        <v/>
      </c>
      <c r="U108" s="163" t="str">
        <f>IF(LandTier2Table[[#This Row],[Emission kg CO2e]]="", "",(LandTier2Table[[#This Row],[Emission kg CO2e]]*(1-LandTier2Table[[#This Row],[RSD estimate (+/-%)]])))</f>
        <v/>
      </c>
      <c r="V108" s="157">
        <f>LandTier2Table[[#This Row],[Emission kg CO2e]]</f>
        <v>0</v>
      </c>
      <c r="W108" s="30"/>
      <c r="X108" s="1" cm="1">
        <f t="array" ref="X108">IF(OR(ISERROR(B108:V108)),1,0)</f>
        <v>0</v>
      </c>
      <c r="Y108" s="1">
        <f t="shared" si="5"/>
        <v>0</v>
      </c>
    </row>
    <row r="109" spans="1:25" ht="15" thickBot="1" x14ac:dyDescent="0.4">
      <c r="A109" s="18"/>
      <c r="B109" s="107"/>
      <c r="C109" s="107"/>
      <c r="D109" s="272"/>
      <c r="E109" s="107"/>
      <c r="F109" s="139" t="str" cm="1">
        <f t="array" ref="F109">IFERROR(_xlfn.SWITCH(LandTier2Table[[#This Row],[Methodology used (IPCC equivalent Tier)]],"Tier 3",0.1,"Tier 2",0.15,"Tier 1",0.2,"",""),"")</f>
        <v/>
      </c>
      <c r="G109" s="70"/>
      <c r="H109" s="188" t="s">
        <v>430</v>
      </c>
      <c r="I109" s="188">
        <f>LandTier2Table[[#This Row],[Land area in hectares (ha)]]</f>
        <v>0</v>
      </c>
      <c r="J109" s="188" t="s">
        <v>430</v>
      </c>
      <c r="K109" s="188" t="str">
        <f>IFERROR(LandTier2Table[[#This Row],[Emission kg CO2e]]/LandTier2Table[[#This Row],[Land area in hectares (ha)]],"")</f>
        <v/>
      </c>
      <c r="L109" s="70"/>
      <c r="M109" s="227"/>
      <c r="N109" s="226"/>
      <c r="O109" s="157">
        <v>0</v>
      </c>
      <c r="P109" s="157">
        <v>0</v>
      </c>
      <c r="Q109" s="157">
        <v>0</v>
      </c>
      <c r="R109" s="157">
        <v>0</v>
      </c>
      <c r="S109" s="157">
        <v>0</v>
      </c>
      <c r="T109" s="158" t="str">
        <f>IF(LandTier2Table[[#This Row],[Emission kg CO2e]]="", "",(LandTier2Table[[#This Row],[Emission kg CO2e]]*(1+LandTier2Table[[#This Row],[RSD estimate (+/-%)]])))</f>
        <v/>
      </c>
      <c r="U109" s="163" t="str">
        <f>IF(LandTier2Table[[#This Row],[Emission kg CO2e]]="", "",(LandTier2Table[[#This Row],[Emission kg CO2e]]*(1-LandTier2Table[[#This Row],[RSD estimate (+/-%)]])))</f>
        <v/>
      </c>
      <c r="V109" s="157">
        <f>LandTier2Table[[#This Row],[Emission kg CO2e]]</f>
        <v>0</v>
      </c>
      <c r="W109" s="30"/>
      <c r="X109" s="1" cm="1">
        <f t="array" ref="X109">IF(OR(ISERROR(B109:V109)),1,0)</f>
        <v>0</v>
      </c>
      <c r="Y109" s="1">
        <f t="shared" si="5"/>
        <v>0</v>
      </c>
    </row>
    <row r="110" spans="1:25" ht="15" thickBot="1" x14ac:dyDescent="0.4">
      <c r="A110" s="18"/>
      <c r="B110" s="107"/>
      <c r="C110" s="107"/>
      <c r="D110" s="272"/>
      <c r="E110" s="107"/>
      <c r="F110" s="139" t="str" cm="1">
        <f t="array" ref="F110">IFERROR(_xlfn.SWITCH(LandTier2Table[[#This Row],[Methodology used (IPCC equivalent Tier)]],"Tier 3",0.1,"Tier 2",0.15,"Tier 1",0.2,"",""),"")</f>
        <v/>
      </c>
      <c r="G110" s="70"/>
      <c r="H110" s="188" t="s">
        <v>430</v>
      </c>
      <c r="I110" s="188">
        <f>LandTier2Table[[#This Row],[Land area in hectares (ha)]]</f>
        <v>0</v>
      </c>
      <c r="J110" s="188" t="s">
        <v>430</v>
      </c>
      <c r="K110" s="188" t="str">
        <f>IFERROR(LandTier2Table[[#This Row],[Emission kg CO2e]]/LandTier2Table[[#This Row],[Land area in hectares (ha)]],"")</f>
        <v/>
      </c>
      <c r="L110" s="70"/>
      <c r="M110" s="227"/>
      <c r="N110" s="226"/>
      <c r="O110" s="157">
        <v>0</v>
      </c>
      <c r="P110" s="157">
        <v>0</v>
      </c>
      <c r="Q110" s="157">
        <v>0</v>
      </c>
      <c r="R110" s="157">
        <v>0</v>
      </c>
      <c r="S110" s="157">
        <v>0</v>
      </c>
      <c r="T110" s="158" t="str">
        <f>IF(LandTier2Table[[#This Row],[Emission kg CO2e]]="", "",(LandTier2Table[[#This Row],[Emission kg CO2e]]*(1+LandTier2Table[[#This Row],[RSD estimate (+/-%)]])))</f>
        <v/>
      </c>
      <c r="U110" s="163" t="str">
        <f>IF(LandTier2Table[[#This Row],[Emission kg CO2e]]="", "",(LandTier2Table[[#This Row],[Emission kg CO2e]]*(1-LandTier2Table[[#This Row],[RSD estimate (+/-%)]])))</f>
        <v/>
      </c>
      <c r="V110" s="157">
        <f>LandTier2Table[[#This Row],[Emission kg CO2e]]</f>
        <v>0</v>
      </c>
      <c r="W110" s="30"/>
      <c r="X110" s="1" cm="1">
        <f t="array" ref="X110">IF(OR(ISERROR(B110:V110)),1,0)</f>
        <v>0</v>
      </c>
      <c r="Y110" s="1">
        <f t="shared" si="5"/>
        <v>0</v>
      </c>
    </row>
    <row r="111" spans="1:25" ht="15" thickBot="1" x14ac:dyDescent="0.4">
      <c r="A111" s="18"/>
      <c r="B111" s="107"/>
      <c r="C111" s="107"/>
      <c r="D111" s="272"/>
      <c r="E111" s="107"/>
      <c r="F111" s="139" t="str" cm="1">
        <f t="array" ref="F111">IFERROR(_xlfn.SWITCH(LandTier2Table[[#This Row],[Methodology used (IPCC equivalent Tier)]],"Tier 3",0.1,"Tier 2",0.15,"Tier 1",0.2,"",""),"")</f>
        <v/>
      </c>
      <c r="G111" s="70"/>
      <c r="H111" s="188" t="s">
        <v>430</v>
      </c>
      <c r="I111" s="188">
        <f>LandTier2Table[[#This Row],[Land area in hectares (ha)]]</f>
        <v>0</v>
      </c>
      <c r="J111" s="188" t="s">
        <v>430</v>
      </c>
      <c r="K111" s="188" t="str">
        <f>IFERROR(LandTier2Table[[#This Row],[Emission kg CO2e]]/LandTier2Table[[#This Row],[Land area in hectares (ha)]],"")</f>
        <v/>
      </c>
      <c r="L111" s="70"/>
      <c r="M111" s="227"/>
      <c r="N111" s="226"/>
      <c r="O111" s="157">
        <v>0</v>
      </c>
      <c r="P111" s="157">
        <v>0</v>
      </c>
      <c r="Q111" s="157">
        <v>0</v>
      </c>
      <c r="R111" s="157">
        <v>0</v>
      </c>
      <c r="S111" s="157">
        <v>0</v>
      </c>
      <c r="T111" s="158" t="str">
        <f>IF(LandTier2Table[[#This Row],[Emission kg CO2e]]="", "",(LandTier2Table[[#This Row],[Emission kg CO2e]]*(1+LandTier2Table[[#This Row],[RSD estimate (+/-%)]])))</f>
        <v/>
      </c>
      <c r="U111" s="163" t="str">
        <f>IF(LandTier2Table[[#This Row],[Emission kg CO2e]]="", "",(LandTier2Table[[#This Row],[Emission kg CO2e]]*(1-LandTier2Table[[#This Row],[RSD estimate (+/-%)]])))</f>
        <v/>
      </c>
      <c r="V111" s="157">
        <f>LandTier2Table[[#This Row],[Emission kg CO2e]]</f>
        <v>0</v>
      </c>
      <c r="W111" s="30"/>
      <c r="X111" s="1" cm="1">
        <f t="array" ref="X111">IF(OR(ISERROR(B111:V111)),1,0)</f>
        <v>0</v>
      </c>
      <c r="Y111" s="1">
        <f t="shared" si="5"/>
        <v>0</v>
      </c>
    </row>
    <row r="112" spans="1:25" ht="15" thickBot="1" x14ac:dyDescent="0.4">
      <c r="A112" s="18"/>
      <c r="B112" s="107"/>
      <c r="C112" s="107"/>
      <c r="D112" s="272"/>
      <c r="E112" s="107"/>
      <c r="F112" s="139" t="str" cm="1">
        <f t="array" ref="F112">IFERROR(_xlfn.SWITCH(LandTier2Table[[#This Row],[Methodology used (IPCC equivalent Tier)]],"Tier 3",0.1,"Tier 2",0.15,"Tier 1",0.2,"",""),"")</f>
        <v/>
      </c>
      <c r="G112" s="70"/>
      <c r="H112" s="188" t="s">
        <v>430</v>
      </c>
      <c r="I112" s="188">
        <f>LandTier2Table[[#This Row],[Land area in hectares (ha)]]</f>
        <v>0</v>
      </c>
      <c r="J112" s="188" t="s">
        <v>430</v>
      </c>
      <c r="K112" s="188" t="str">
        <f>IFERROR(LandTier2Table[[#This Row],[Emission kg CO2e]]/LandTier2Table[[#This Row],[Land area in hectares (ha)]],"")</f>
        <v/>
      </c>
      <c r="L112" s="70"/>
      <c r="M112" s="227"/>
      <c r="N112" s="226"/>
      <c r="O112" s="157">
        <v>0</v>
      </c>
      <c r="P112" s="157">
        <v>0</v>
      </c>
      <c r="Q112" s="157">
        <v>0</v>
      </c>
      <c r="R112" s="157">
        <v>0</v>
      </c>
      <c r="S112" s="157">
        <v>0</v>
      </c>
      <c r="T112" s="158" t="str">
        <f>IF(LandTier2Table[[#This Row],[Emission kg CO2e]]="", "",(LandTier2Table[[#This Row],[Emission kg CO2e]]*(1+LandTier2Table[[#This Row],[RSD estimate (+/-%)]])))</f>
        <v/>
      </c>
      <c r="U112" s="163" t="str">
        <f>IF(LandTier2Table[[#This Row],[Emission kg CO2e]]="", "",(LandTier2Table[[#This Row],[Emission kg CO2e]]*(1-LandTier2Table[[#This Row],[RSD estimate (+/-%)]])))</f>
        <v/>
      </c>
      <c r="V112" s="157">
        <f>LandTier2Table[[#This Row],[Emission kg CO2e]]</f>
        <v>0</v>
      </c>
      <c r="W112" s="30"/>
      <c r="X112" s="1" cm="1">
        <f t="array" ref="X112">IF(OR(ISERROR(B112:V112)),1,0)</f>
        <v>0</v>
      </c>
      <c r="Y112" s="1">
        <f t="shared" si="5"/>
        <v>0</v>
      </c>
    </row>
    <row r="113" spans="1:25" ht="15" thickBot="1" x14ac:dyDescent="0.4">
      <c r="A113" s="18"/>
      <c r="B113" s="107"/>
      <c r="C113" s="107"/>
      <c r="D113" s="272"/>
      <c r="E113" s="107"/>
      <c r="F113" s="139" t="str" cm="1">
        <f t="array" ref="F113">IFERROR(_xlfn.SWITCH(LandTier2Table[[#This Row],[Methodology used (IPCC equivalent Tier)]],"Tier 3",0.1,"Tier 2",0.15,"Tier 1",0.2,"",""),"")</f>
        <v/>
      </c>
      <c r="G113" s="70"/>
      <c r="H113" s="188" t="s">
        <v>430</v>
      </c>
      <c r="I113" s="188">
        <f>LandTier2Table[[#This Row],[Land area in hectares (ha)]]</f>
        <v>0</v>
      </c>
      <c r="J113" s="188" t="s">
        <v>430</v>
      </c>
      <c r="K113" s="188" t="str">
        <f>IFERROR(LandTier2Table[[#This Row],[Emission kg CO2e]]/LandTier2Table[[#This Row],[Land area in hectares (ha)]],"")</f>
        <v/>
      </c>
      <c r="L113" s="70"/>
      <c r="M113" s="227"/>
      <c r="N113" s="226"/>
      <c r="O113" s="157">
        <v>0</v>
      </c>
      <c r="P113" s="157">
        <v>0</v>
      </c>
      <c r="Q113" s="157">
        <v>0</v>
      </c>
      <c r="R113" s="157">
        <v>0</v>
      </c>
      <c r="S113" s="157">
        <v>0</v>
      </c>
      <c r="T113" s="158" t="str">
        <f>IF(LandTier2Table[[#This Row],[Emission kg CO2e]]="", "",(LandTier2Table[[#This Row],[Emission kg CO2e]]*(1+LandTier2Table[[#This Row],[RSD estimate (+/-%)]])))</f>
        <v/>
      </c>
      <c r="U113" s="163" t="str">
        <f>IF(LandTier2Table[[#This Row],[Emission kg CO2e]]="", "",(LandTier2Table[[#This Row],[Emission kg CO2e]]*(1-LandTier2Table[[#This Row],[RSD estimate (+/-%)]])))</f>
        <v/>
      </c>
      <c r="V113" s="157">
        <f>LandTier2Table[[#This Row],[Emission kg CO2e]]</f>
        <v>0</v>
      </c>
      <c r="W113" s="30"/>
      <c r="X113" s="1" cm="1">
        <f t="array" ref="X113">IF(OR(ISERROR(B113:V113)),1,0)</f>
        <v>0</v>
      </c>
      <c r="Y113" s="1">
        <f t="shared" si="5"/>
        <v>0</v>
      </c>
    </row>
    <row r="114" spans="1:25" ht="15" thickBot="1" x14ac:dyDescent="0.4">
      <c r="A114" s="18"/>
      <c r="B114" s="107"/>
      <c r="C114" s="107"/>
      <c r="D114" s="272"/>
      <c r="E114" s="107"/>
      <c r="F114" s="139" t="str" cm="1">
        <f t="array" ref="F114">IFERROR(_xlfn.SWITCH(LandTier2Table[[#This Row],[Methodology used (IPCC equivalent Tier)]],"Tier 3",0.1,"Tier 2",0.15,"Tier 1",0.2,"",""),"")</f>
        <v/>
      </c>
      <c r="G114" s="70"/>
      <c r="H114" s="188" t="s">
        <v>430</v>
      </c>
      <c r="I114" s="188">
        <f>LandTier2Table[[#This Row],[Land area in hectares (ha)]]</f>
        <v>0</v>
      </c>
      <c r="J114" s="188" t="s">
        <v>430</v>
      </c>
      <c r="K114" s="188" t="str">
        <f>IFERROR(LandTier2Table[[#This Row],[Emission kg CO2e]]/LandTier2Table[[#This Row],[Land area in hectares (ha)]],"")</f>
        <v/>
      </c>
      <c r="L114" s="70"/>
      <c r="M114" s="227"/>
      <c r="N114" s="226"/>
      <c r="O114" s="157">
        <v>0</v>
      </c>
      <c r="P114" s="157">
        <v>0</v>
      </c>
      <c r="Q114" s="157">
        <v>0</v>
      </c>
      <c r="R114" s="157">
        <v>0</v>
      </c>
      <c r="S114" s="157">
        <v>0</v>
      </c>
      <c r="T114" s="158" t="str">
        <f>IF(LandTier2Table[[#This Row],[Emission kg CO2e]]="", "",(LandTier2Table[[#This Row],[Emission kg CO2e]]*(1+LandTier2Table[[#This Row],[RSD estimate (+/-%)]])))</f>
        <v/>
      </c>
      <c r="U114" s="163" t="str">
        <f>IF(LandTier2Table[[#This Row],[Emission kg CO2e]]="", "",(LandTier2Table[[#This Row],[Emission kg CO2e]]*(1-LandTier2Table[[#This Row],[RSD estimate (+/-%)]])))</f>
        <v/>
      </c>
      <c r="V114" s="157">
        <f>LandTier2Table[[#This Row],[Emission kg CO2e]]</f>
        <v>0</v>
      </c>
      <c r="W114" s="30"/>
      <c r="X114" s="1" cm="1">
        <f t="array" ref="X114">IF(OR(ISERROR(B114:V114)),1,0)</f>
        <v>0</v>
      </c>
      <c r="Y114" s="1">
        <f t="shared" si="5"/>
        <v>0</v>
      </c>
    </row>
    <row r="115" spans="1:25" ht="15" thickBot="1" x14ac:dyDescent="0.4">
      <c r="A115" s="18"/>
      <c r="B115" s="107"/>
      <c r="C115" s="107"/>
      <c r="D115" s="272"/>
      <c r="E115" s="107"/>
      <c r="F115" s="139" t="str" cm="1">
        <f t="array" ref="F115">IFERROR(_xlfn.SWITCH(LandTier2Table[[#This Row],[Methodology used (IPCC equivalent Tier)]],"Tier 3",0.1,"Tier 2",0.15,"Tier 1",0.2,"",""),"")</f>
        <v/>
      </c>
      <c r="G115" s="70"/>
      <c r="H115" s="188" t="s">
        <v>430</v>
      </c>
      <c r="I115" s="188">
        <f>LandTier2Table[[#This Row],[Land area in hectares (ha)]]</f>
        <v>0</v>
      </c>
      <c r="J115" s="188" t="s">
        <v>430</v>
      </c>
      <c r="K115" s="188" t="str">
        <f>IFERROR(LandTier2Table[[#This Row],[Emission kg CO2e]]/LandTier2Table[[#This Row],[Land area in hectares (ha)]],"")</f>
        <v/>
      </c>
      <c r="L115" s="70"/>
      <c r="M115" s="227"/>
      <c r="N115" s="226"/>
      <c r="O115" s="157">
        <v>0</v>
      </c>
      <c r="P115" s="157">
        <v>0</v>
      </c>
      <c r="Q115" s="157">
        <v>0</v>
      </c>
      <c r="R115" s="157">
        <v>0</v>
      </c>
      <c r="S115" s="157">
        <v>0</v>
      </c>
      <c r="T115" s="158" t="str">
        <f>IF(LandTier2Table[[#This Row],[Emission kg CO2e]]="", "",(LandTier2Table[[#This Row],[Emission kg CO2e]]*(1+LandTier2Table[[#This Row],[RSD estimate (+/-%)]])))</f>
        <v/>
      </c>
      <c r="U115" s="163" t="str">
        <f>IF(LandTier2Table[[#This Row],[Emission kg CO2e]]="", "",(LandTier2Table[[#This Row],[Emission kg CO2e]]*(1-LandTier2Table[[#This Row],[RSD estimate (+/-%)]])))</f>
        <v/>
      </c>
      <c r="V115" s="157">
        <f>LandTier2Table[[#This Row],[Emission kg CO2e]]</f>
        <v>0</v>
      </c>
      <c r="W115" s="30"/>
      <c r="X115" s="1" cm="1">
        <f t="array" ref="X115">IF(OR(ISERROR(B115:V115)),1,0)</f>
        <v>0</v>
      </c>
      <c r="Y115" s="1">
        <f t="shared" si="5"/>
        <v>0</v>
      </c>
    </row>
    <row r="116" spans="1:25" ht="15" thickBot="1" x14ac:dyDescent="0.4">
      <c r="A116" s="18"/>
      <c r="B116" s="107"/>
      <c r="C116" s="107"/>
      <c r="D116" s="272"/>
      <c r="E116" s="107"/>
      <c r="F116" s="139" t="str" cm="1">
        <f t="array" ref="F116">IFERROR(_xlfn.SWITCH(LandTier2Table[[#This Row],[Methodology used (IPCC equivalent Tier)]],"Tier 3",0.1,"Tier 2",0.15,"Tier 1",0.2,"",""),"")</f>
        <v/>
      </c>
      <c r="G116" s="70"/>
      <c r="H116" s="188" t="s">
        <v>430</v>
      </c>
      <c r="I116" s="188">
        <f>LandTier2Table[[#This Row],[Land area in hectares (ha)]]</f>
        <v>0</v>
      </c>
      <c r="J116" s="188" t="s">
        <v>430</v>
      </c>
      <c r="K116" s="188" t="str">
        <f>IFERROR(LandTier2Table[[#This Row],[Emission kg CO2e]]/LandTier2Table[[#This Row],[Land area in hectares (ha)]],"")</f>
        <v/>
      </c>
      <c r="L116" s="70"/>
      <c r="M116" s="227"/>
      <c r="N116" s="226"/>
      <c r="O116" s="157">
        <v>0</v>
      </c>
      <c r="P116" s="157">
        <v>0</v>
      </c>
      <c r="Q116" s="157">
        <v>0</v>
      </c>
      <c r="R116" s="157">
        <v>0</v>
      </c>
      <c r="S116" s="157">
        <v>0</v>
      </c>
      <c r="T116" s="158" t="str">
        <f>IF(LandTier2Table[[#This Row],[Emission kg CO2e]]="", "",(LandTier2Table[[#This Row],[Emission kg CO2e]]*(1+LandTier2Table[[#This Row],[RSD estimate (+/-%)]])))</f>
        <v/>
      </c>
      <c r="U116" s="163" t="str">
        <f>IF(LandTier2Table[[#This Row],[Emission kg CO2e]]="", "",(LandTier2Table[[#This Row],[Emission kg CO2e]]*(1-LandTier2Table[[#This Row],[RSD estimate (+/-%)]])))</f>
        <v/>
      </c>
      <c r="V116" s="157">
        <f>LandTier2Table[[#This Row],[Emission kg CO2e]]</f>
        <v>0</v>
      </c>
      <c r="W116" s="30"/>
      <c r="X116" s="1" cm="1">
        <f t="array" ref="X116">IF(OR(ISERROR(B116:V116)),1,0)</f>
        <v>0</v>
      </c>
      <c r="Y116" s="1">
        <f t="shared" si="5"/>
        <v>0</v>
      </c>
    </row>
    <row r="117" spans="1:25" ht="15" thickBot="1" x14ac:dyDescent="0.4">
      <c r="A117" s="18"/>
      <c r="B117" s="107"/>
      <c r="C117" s="107"/>
      <c r="D117" s="272"/>
      <c r="E117" s="107"/>
      <c r="F117" s="139" t="str" cm="1">
        <f t="array" ref="F117">IFERROR(_xlfn.SWITCH(LandTier2Table[[#This Row],[Methodology used (IPCC equivalent Tier)]],"Tier 3",0.1,"Tier 2",0.15,"Tier 1",0.2,"",""),"")</f>
        <v/>
      </c>
      <c r="G117" s="70"/>
      <c r="H117" s="188" t="s">
        <v>430</v>
      </c>
      <c r="I117" s="188">
        <f>LandTier2Table[[#This Row],[Land area in hectares (ha)]]</f>
        <v>0</v>
      </c>
      <c r="J117" s="188" t="s">
        <v>430</v>
      </c>
      <c r="K117" s="188" t="str">
        <f>IFERROR(LandTier2Table[[#This Row],[Emission kg CO2e]]/LandTier2Table[[#This Row],[Land area in hectares (ha)]],"")</f>
        <v/>
      </c>
      <c r="L117" s="70"/>
      <c r="M117" s="227"/>
      <c r="N117" s="226"/>
      <c r="O117" s="157">
        <v>0</v>
      </c>
      <c r="P117" s="157">
        <v>0</v>
      </c>
      <c r="Q117" s="157">
        <v>0</v>
      </c>
      <c r="R117" s="157">
        <v>0</v>
      </c>
      <c r="S117" s="157">
        <v>0</v>
      </c>
      <c r="T117" s="158" t="str">
        <f>IF(LandTier2Table[[#This Row],[Emission kg CO2e]]="", "",(LandTier2Table[[#This Row],[Emission kg CO2e]]*(1+LandTier2Table[[#This Row],[RSD estimate (+/-%)]])))</f>
        <v/>
      </c>
      <c r="U117" s="163" t="str">
        <f>IF(LandTier2Table[[#This Row],[Emission kg CO2e]]="", "",(LandTier2Table[[#This Row],[Emission kg CO2e]]*(1-LandTier2Table[[#This Row],[RSD estimate (+/-%)]])))</f>
        <v/>
      </c>
      <c r="V117" s="157">
        <f>LandTier2Table[[#This Row],[Emission kg CO2e]]</f>
        <v>0</v>
      </c>
      <c r="W117" s="30"/>
      <c r="X117" s="1" cm="1">
        <f t="array" ref="X117">IF(OR(ISERROR(B117:V117)),1,0)</f>
        <v>0</v>
      </c>
      <c r="Y117" s="1">
        <f t="shared" si="5"/>
        <v>0</v>
      </c>
    </row>
    <row r="118" spans="1:25" ht="15" thickBot="1" x14ac:dyDescent="0.4">
      <c r="A118" s="18"/>
      <c r="B118" s="107"/>
      <c r="C118" s="107"/>
      <c r="D118" s="272"/>
      <c r="E118" s="107"/>
      <c r="F118" s="139" t="str" cm="1">
        <f t="array" ref="F118">IFERROR(_xlfn.SWITCH(LandTier2Table[[#This Row],[Methodology used (IPCC equivalent Tier)]],"Tier 3",0.1,"Tier 2",0.15,"Tier 1",0.2,"",""),"")</f>
        <v/>
      </c>
      <c r="G118" s="70"/>
      <c r="H118" s="188" t="s">
        <v>430</v>
      </c>
      <c r="I118" s="188">
        <f>LandTier2Table[[#This Row],[Land area in hectares (ha)]]</f>
        <v>0</v>
      </c>
      <c r="J118" s="188" t="s">
        <v>430</v>
      </c>
      <c r="K118" s="188" t="str">
        <f>IFERROR(LandTier2Table[[#This Row],[Emission kg CO2e]]/LandTier2Table[[#This Row],[Land area in hectares (ha)]],"")</f>
        <v/>
      </c>
      <c r="L118" s="70"/>
      <c r="M118" s="227"/>
      <c r="N118" s="226"/>
      <c r="O118" s="157">
        <v>0</v>
      </c>
      <c r="P118" s="157">
        <v>0</v>
      </c>
      <c r="Q118" s="157">
        <v>0</v>
      </c>
      <c r="R118" s="157">
        <v>0</v>
      </c>
      <c r="S118" s="157">
        <v>0</v>
      </c>
      <c r="T118" s="158" t="str">
        <f>IF(LandTier2Table[[#This Row],[Emission kg CO2e]]="", "",(LandTier2Table[[#This Row],[Emission kg CO2e]]*(1+LandTier2Table[[#This Row],[RSD estimate (+/-%)]])))</f>
        <v/>
      </c>
      <c r="U118" s="163" t="str">
        <f>IF(LandTier2Table[[#This Row],[Emission kg CO2e]]="", "",(LandTier2Table[[#This Row],[Emission kg CO2e]]*(1-LandTier2Table[[#This Row],[RSD estimate (+/-%)]])))</f>
        <v/>
      </c>
      <c r="V118" s="157">
        <f>LandTier2Table[[#This Row],[Emission kg CO2e]]</f>
        <v>0</v>
      </c>
      <c r="W118" s="30"/>
      <c r="X118" s="1" cm="1">
        <f t="array" ref="X118">IF(OR(ISERROR(B118:V118)),1,0)</f>
        <v>0</v>
      </c>
      <c r="Y118" s="1">
        <f t="shared" si="5"/>
        <v>0</v>
      </c>
    </row>
    <row r="119" spans="1:25" ht="15" thickBot="1" x14ac:dyDescent="0.4">
      <c r="A119" s="18"/>
      <c r="B119" s="107"/>
      <c r="C119" s="107"/>
      <c r="D119" s="272"/>
      <c r="E119" s="107"/>
      <c r="F119" s="139" t="str" cm="1">
        <f t="array" ref="F119">IFERROR(_xlfn.SWITCH(LandTier2Table[[#This Row],[Methodology used (IPCC equivalent Tier)]],"Tier 3",0.1,"Tier 2",0.15,"Tier 1",0.2,"",""),"")</f>
        <v/>
      </c>
      <c r="G119" s="70"/>
      <c r="H119" s="188" t="s">
        <v>430</v>
      </c>
      <c r="I119" s="188">
        <f>LandTier2Table[[#This Row],[Land area in hectares (ha)]]</f>
        <v>0</v>
      </c>
      <c r="J119" s="188" t="s">
        <v>430</v>
      </c>
      <c r="K119" s="188" t="str">
        <f>IFERROR(LandTier2Table[[#This Row],[Emission kg CO2e]]/LandTier2Table[[#This Row],[Land area in hectares (ha)]],"")</f>
        <v/>
      </c>
      <c r="L119" s="70"/>
      <c r="M119" s="227"/>
      <c r="N119" s="226"/>
      <c r="O119" s="157">
        <v>0</v>
      </c>
      <c r="P119" s="157">
        <v>0</v>
      </c>
      <c r="Q119" s="157">
        <v>0</v>
      </c>
      <c r="R119" s="157">
        <v>0</v>
      </c>
      <c r="S119" s="157">
        <v>0</v>
      </c>
      <c r="T119" s="158" t="str">
        <f>IF(LandTier2Table[[#This Row],[Emission kg CO2e]]="", "",(LandTier2Table[[#This Row],[Emission kg CO2e]]*(1+LandTier2Table[[#This Row],[RSD estimate (+/-%)]])))</f>
        <v/>
      </c>
      <c r="U119" s="163" t="str">
        <f>IF(LandTier2Table[[#This Row],[Emission kg CO2e]]="", "",(LandTier2Table[[#This Row],[Emission kg CO2e]]*(1-LandTier2Table[[#This Row],[RSD estimate (+/-%)]])))</f>
        <v/>
      </c>
      <c r="V119" s="157">
        <f>LandTier2Table[[#This Row],[Emission kg CO2e]]</f>
        <v>0</v>
      </c>
      <c r="W119" s="30"/>
      <c r="X119" s="1" cm="1">
        <f t="array" ref="X119">IF(OR(ISERROR(B119:V119)),1,0)</f>
        <v>0</v>
      </c>
      <c r="Y119" s="1">
        <f t="shared" si="5"/>
        <v>0</v>
      </c>
    </row>
    <row r="120" spans="1:25" ht="15" thickBot="1" x14ac:dyDescent="0.4">
      <c r="A120" s="18"/>
      <c r="B120" s="107"/>
      <c r="C120" s="107"/>
      <c r="D120" s="272"/>
      <c r="E120" s="107"/>
      <c r="F120" s="139" t="str" cm="1">
        <f t="array" ref="F120">IFERROR(_xlfn.SWITCH(LandTier2Table[[#This Row],[Methodology used (IPCC equivalent Tier)]],"Tier 3",0.1,"Tier 2",0.15,"Tier 1",0.2,"",""),"")</f>
        <v/>
      </c>
      <c r="G120" s="70"/>
      <c r="H120" s="188" t="s">
        <v>430</v>
      </c>
      <c r="I120" s="188">
        <f>LandTier2Table[[#This Row],[Land area in hectares (ha)]]</f>
        <v>0</v>
      </c>
      <c r="J120" s="188" t="s">
        <v>430</v>
      </c>
      <c r="K120" s="188" t="str">
        <f>IFERROR(LandTier2Table[[#This Row],[Emission kg CO2e]]/LandTier2Table[[#This Row],[Land area in hectares (ha)]],"")</f>
        <v/>
      </c>
      <c r="L120" s="70"/>
      <c r="M120" s="227"/>
      <c r="N120" s="226"/>
      <c r="O120" s="157">
        <v>0</v>
      </c>
      <c r="P120" s="157">
        <v>0</v>
      </c>
      <c r="Q120" s="157">
        <v>0</v>
      </c>
      <c r="R120" s="157">
        <v>0</v>
      </c>
      <c r="S120" s="157">
        <v>0</v>
      </c>
      <c r="T120" s="158" t="str">
        <f>IF(LandTier2Table[[#This Row],[Emission kg CO2e]]="", "",(LandTier2Table[[#This Row],[Emission kg CO2e]]*(1+LandTier2Table[[#This Row],[RSD estimate (+/-%)]])))</f>
        <v/>
      </c>
      <c r="U120" s="163" t="str">
        <f>IF(LandTier2Table[[#This Row],[Emission kg CO2e]]="", "",(LandTier2Table[[#This Row],[Emission kg CO2e]]*(1-LandTier2Table[[#This Row],[RSD estimate (+/-%)]])))</f>
        <v/>
      </c>
      <c r="V120" s="157">
        <f>LandTier2Table[[#This Row],[Emission kg CO2e]]</f>
        <v>0</v>
      </c>
      <c r="W120" s="30"/>
      <c r="X120" s="1" cm="1">
        <f t="array" ref="X120">IF(OR(ISERROR(B120:V120)),1,0)</f>
        <v>0</v>
      </c>
      <c r="Y120" s="1">
        <f t="shared" si="5"/>
        <v>0</v>
      </c>
    </row>
    <row r="121" spans="1:25" ht="15" thickBot="1" x14ac:dyDescent="0.4">
      <c r="A121" s="18"/>
      <c r="B121" s="107"/>
      <c r="C121" s="107"/>
      <c r="D121" s="272"/>
      <c r="E121" s="107"/>
      <c r="F121" s="139" t="str" cm="1">
        <f t="array" ref="F121">IFERROR(_xlfn.SWITCH(LandTier2Table[[#This Row],[Methodology used (IPCC equivalent Tier)]],"Tier 3",0.1,"Tier 2",0.15,"Tier 1",0.2,"",""),"")</f>
        <v/>
      </c>
      <c r="G121" s="70"/>
      <c r="H121" s="188" t="s">
        <v>430</v>
      </c>
      <c r="I121" s="188">
        <f>LandTier2Table[[#This Row],[Land area in hectares (ha)]]</f>
        <v>0</v>
      </c>
      <c r="J121" s="188" t="s">
        <v>430</v>
      </c>
      <c r="K121" s="188" t="str">
        <f>IFERROR(LandTier2Table[[#This Row],[Emission kg CO2e]]/LandTier2Table[[#This Row],[Land area in hectares (ha)]],"")</f>
        <v/>
      </c>
      <c r="L121" s="70"/>
      <c r="M121" s="227"/>
      <c r="N121" s="226"/>
      <c r="O121" s="157">
        <v>0</v>
      </c>
      <c r="P121" s="157">
        <v>0</v>
      </c>
      <c r="Q121" s="157">
        <v>0</v>
      </c>
      <c r="R121" s="157">
        <v>0</v>
      </c>
      <c r="S121" s="157">
        <v>0</v>
      </c>
      <c r="T121" s="158" t="str">
        <f>IF(LandTier2Table[[#This Row],[Emission kg CO2e]]="", "",(LandTier2Table[[#This Row],[Emission kg CO2e]]*(1+LandTier2Table[[#This Row],[RSD estimate (+/-%)]])))</f>
        <v/>
      </c>
      <c r="U121" s="163" t="str">
        <f>IF(LandTier2Table[[#This Row],[Emission kg CO2e]]="", "",(LandTier2Table[[#This Row],[Emission kg CO2e]]*(1-LandTier2Table[[#This Row],[RSD estimate (+/-%)]])))</f>
        <v/>
      </c>
      <c r="V121" s="157">
        <f>LandTier2Table[[#This Row],[Emission kg CO2e]]</f>
        <v>0</v>
      </c>
      <c r="W121" s="30"/>
      <c r="X121" s="1" cm="1">
        <f t="array" ref="X121">IF(OR(ISERROR(B121:V121)),1,0)</f>
        <v>0</v>
      </c>
      <c r="Y121" s="1">
        <f t="shared" si="5"/>
        <v>0</v>
      </c>
    </row>
    <row r="122" spans="1:25" ht="15" thickBot="1" x14ac:dyDescent="0.4">
      <c r="A122" s="18"/>
      <c r="B122" s="107"/>
      <c r="C122" s="107"/>
      <c r="D122" s="272"/>
      <c r="E122" s="107"/>
      <c r="F122" s="139" t="str" cm="1">
        <f t="array" ref="F122">IFERROR(_xlfn.SWITCH(LandTier2Table[[#This Row],[Methodology used (IPCC equivalent Tier)]],"Tier 3",0.1,"Tier 2",0.15,"Tier 1",0.2,"",""),"")</f>
        <v/>
      </c>
      <c r="G122" s="70"/>
      <c r="H122" s="188" t="s">
        <v>430</v>
      </c>
      <c r="I122" s="188">
        <f>LandTier2Table[[#This Row],[Land area in hectares (ha)]]</f>
        <v>0</v>
      </c>
      <c r="J122" s="188" t="s">
        <v>430</v>
      </c>
      <c r="K122" s="188" t="str">
        <f>IFERROR(LandTier2Table[[#This Row],[Emission kg CO2e]]/LandTier2Table[[#This Row],[Land area in hectares (ha)]],"")</f>
        <v/>
      </c>
      <c r="L122" s="70"/>
      <c r="M122" s="227"/>
      <c r="N122" s="226"/>
      <c r="O122" s="157">
        <v>0</v>
      </c>
      <c r="P122" s="157">
        <v>0</v>
      </c>
      <c r="Q122" s="157">
        <v>0</v>
      </c>
      <c r="R122" s="157">
        <v>0</v>
      </c>
      <c r="S122" s="157">
        <v>0</v>
      </c>
      <c r="T122" s="158" t="str">
        <f>IF(LandTier2Table[[#This Row],[Emission kg CO2e]]="", "",(LandTier2Table[[#This Row],[Emission kg CO2e]]*(1+LandTier2Table[[#This Row],[RSD estimate (+/-%)]])))</f>
        <v/>
      </c>
      <c r="U122" s="163" t="str">
        <f>IF(LandTier2Table[[#This Row],[Emission kg CO2e]]="", "",(LandTier2Table[[#This Row],[Emission kg CO2e]]*(1-LandTier2Table[[#This Row],[RSD estimate (+/-%)]])))</f>
        <v/>
      </c>
      <c r="V122" s="157">
        <f>LandTier2Table[[#This Row],[Emission kg CO2e]]</f>
        <v>0</v>
      </c>
      <c r="W122" s="30"/>
      <c r="X122" s="1" cm="1">
        <f t="array" ref="X122">IF(OR(ISERROR(B122:V122)),1,0)</f>
        <v>0</v>
      </c>
      <c r="Y122" s="1">
        <f t="shared" si="5"/>
        <v>0</v>
      </c>
    </row>
    <row r="123" spans="1:25" ht="15" thickBot="1" x14ac:dyDescent="0.4">
      <c r="A123" s="18"/>
      <c r="B123" s="107"/>
      <c r="C123" s="107"/>
      <c r="D123" s="272"/>
      <c r="E123" s="107"/>
      <c r="F123" s="139" t="str" cm="1">
        <f t="array" ref="F123">IFERROR(_xlfn.SWITCH(LandTier2Table[[#This Row],[Methodology used (IPCC equivalent Tier)]],"Tier 3",0.1,"Tier 2",0.15,"Tier 1",0.2,"",""),"")</f>
        <v/>
      </c>
      <c r="G123" s="70"/>
      <c r="H123" s="188" t="s">
        <v>430</v>
      </c>
      <c r="I123" s="188">
        <f>LandTier2Table[[#This Row],[Land area in hectares (ha)]]</f>
        <v>0</v>
      </c>
      <c r="J123" s="188" t="s">
        <v>430</v>
      </c>
      <c r="K123" s="188" t="str">
        <f>IFERROR(LandTier2Table[[#This Row],[Emission kg CO2e]]/LandTier2Table[[#This Row],[Land area in hectares (ha)]],"")</f>
        <v/>
      </c>
      <c r="L123" s="70"/>
      <c r="M123" s="227"/>
      <c r="N123" s="226"/>
      <c r="O123" s="157">
        <v>0</v>
      </c>
      <c r="P123" s="157">
        <v>0</v>
      </c>
      <c r="Q123" s="157">
        <v>0</v>
      </c>
      <c r="R123" s="157">
        <v>0</v>
      </c>
      <c r="S123" s="157">
        <v>0</v>
      </c>
      <c r="T123" s="158" t="str">
        <f>IF(LandTier2Table[[#This Row],[Emission kg CO2e]]="", "",(LandTier2Table[[#This Row],[Emission kg CO2e]]*(1+LandTier2Table[[#This Row],[RSD estimate (+/-%)]])))</f>
        <v/>
      </c>
      <c r="U123" s="163" t="str">
        <f>IF(LandTier2Table[[#This Row],[Emission kg CO2e]]="", "",(LandTier2Table[[#This Row],[Emission kg CO2e]]*(1-LandTier2Table[[#This Row],[RSD estimate (+/-%)]])))</f>
        <v/>
      </c>
      <c r="V123" s="157">
        <f>LandTier2Table[[#This Row],[Emission kg CO2e]]</f>
        <v>0</v>
      </c>
      <c r="W123" s="30"/>
      <c r="X123" s="1" cm="1">
        <f t="array" ref="X123">IF(OR(ISERROR(B123:V123)),1,0)</f>
        <v>0</v>
      </c>
      <c r="Y123" s="1">
        <f t="shared" si="5"/>
        <v>0</v>
      </c>
    </row>
    <row r="124" spans="1:25" ht="15" thickBot="1" x14ac:dyDescent="0.4">
      <c r="A124" s="18"/>
      <c r="B124" s="107"/>
      <c r="C124" s="107"/>
      <c r="D124" s="272"/>
      <c r="E124" s="107"/>
      <c r="F124" s="139" t="str" cm="1">
        <f t="array" ref="F124">IFERROR(_xlfn.SWITCH(LandTier2Table[[#This Row],[Methodology used (IPCC equivalent Tier)]],"Tier 3",0.1,"Tier 2",0.15,"Tier 1",0.2,"",""),"")</f>
        <v/>
      </c>
      <c r="G124" s="70"/>
      <c r="H124" s="188" t="s">
        <v>430</v>
      </c>
      <c r="I124" s="188">
        <f>LandTier2Table[[#This Row],[Land area in hectares (ha)]]</f>
        <v>0</v>
      </c>
      <c r="J124" s="188" t="s">
        <v>430</v>
      </c>
      <c r="K124" s="188" t="str">
        <f>IFERROR(LandTier2Table[[#This Row],[Emission kg CO2e]]/LandTier2Table[[#This Row],[Land area in hectares (ha)]],"")</f>
        <v/>
      </c>
      <c r="L124" s="70"/>
      <c r="M124" s="227"/>
      <c r="N124" s="226"/>
      <c r="O124" s="157">
        <v>0</v>
      </c>
      <c r="P124" s="157">
        <v>0</v>
      </c>
      <c r="Q124" s="157">
        <v>0</v>
      </c>
      <c r="R124" s="157">
        <v>0</v>
      </c>
      <c r="S124" s="157">
        <v>0</v>
      </c>
      <c r="T124" s="158" t="str">
        <f>IF(LandTier2Table[[#This Row],[Emission kg CO2e]]="", "",(LandTier2Table[[#This Row],[Emission kg CO2e]]*(1+LandTier2Table[[#This Row],[RSD estimate (+/-%)]])))</f>
        <v/>
      </c>
      <c r="U124" s="163" t="str">
        <f>IF(LandTier2Table[[#This Row],[Emission kg CO2e]]="", "",(LandTier2Table[[#This Row],[Emission kg CO2e]]*(1-LandTier2Table[[#This Row],[RSD estimate (+/-%)]])))</f>
        <v/>
      </c>
      <c r="V124" s="157">
        <f>LandTier2Table[[#This Row],[Emission kg CO2e]]</f>
        <v>0</v>
      </c>
      <c r="W124" s="30"/>
      <c r="X124" s="1" cm="1">
        <f t="array" ref="X124">IF(OR(ISERROR(B124:V124)),1,0)</f>
        <v>0</v>
      </c>
      <c r="Y124" s="1">
        <f t="shared" si="5"/>
        <v>0</v>
      </c>
    </row>
    <row r="125" spans="1:25" ht="15" thickBot="1" x14ac:dyDescent="0.4">
      <c r="A125" s="18"/>
      <c r="B125" s="107"/>
      <c r="C125" s="107"/>
      <c r="D125" s="272"/>
      <c r="E125" s="107"/>
      <c r="F125" s="139" t="str" cm="1">
        <f t="array" ref="F125">IFERROR(_xlfn.SWITCH(LandTier2Table[[#This Row],[Methodology used (IPCC equivalent Tier)]],"Tier 3",0.1,"Tier 2",0.15,"Tier 1",0.2,"",""),"")</f>
        <v/>
      </c>
      <c r="G125" s="70"/>
      <c r="H125" s="188" t="s">
        <v>430</v>
      </c>
      <c r="I125" s="188">
        <f>LandTier2Table[[#This Row],[Land area in hectares (ha)]]</f>
        <v>0</v>
      </c>
      <c r="J125" s="188" t="s">
        <v>430</v>
      </c>
      <c r="K125" s="188" t="str">
        <f>IFERROR(LandTier2Table[[#This Row],[Emission kg CO2e]]/LandTier2Table[[#This Row],[Land area in hectares (ha)]],"")</f>
        <v/>
      </c>
      <c r="L125" s="70"/>
      <c r="M125" s="227"/>
      <c r="N125" s="226"/>
      <c r="O125" s="157">
        <v>0</v>
      </c>
      <c r="P125" s="157">
        <v>0</v>
      </c>
      <c r="Q125" s="157">
        <v>0</v>
      </c>
      <c r="R125" s="157">
        <v>0</v>
      </c>
      <c r="S125" s="157">
        <v>0</v>
      </c>
      <c r="T125" s="158" t="str">
        <f>IF(LandTier2Table[[#This Row],[Emission kg CO2e]]="", "",(LandTier2Table[[#This Row],[Emission kg CO2e]]*(1+LandTier2Table[[#This Row],[RSD estimate (+/-%)]])))</f>
        <v/>
      </c>
      <c r="U125" s="163" t="str">
        <f>IF(LandTier2Table[[#This Row],[Emission kg CO2e]]="", "",(LandTier2Table[[#This Row],[Emission kg CO2e]]*(1-LandTier2Table[[#This Row],[RSD estimate (+/-%)]])))</f>
        <v/>
      </c>
      <c r="V125" s="157">
        <f>LandTier2Table[[#This Row],[Emission kg CO2e]]</f>
        <v>0</v>
      </c>
      <c r="W125" s="30"/>
      <c r="X125" s="1" cm="1">
        <f t="array" ref="X125">IF(OR(ISERROR(B125:V125)),1,0)</f>
        <v>0</v>
      </c>
      <c r="Y125" s="1">
        <f t="shared" si="5"/>
        <v>0</v>
      </c>
    </row>
    <row r="126" spans="1:25" ht="15" thickBot="1" x14ac:dyDescent="0.4">
      <c r="A126" s="18"/>
      <c r="B126" s="107"/>
      <c r="C126" s="107"/>
      <c r="D126" s="272"/>
      <c r="E126" s="107"/>
      <c r="F126" s="139" t="str" cm="1">
        <f t="array" ref="F126">IFERROR(_xlfn.SWITCH(LandTier2Table[[#This Row],[Methodology used (IPCC equivalent Tier)]],"Tier 3",0.1,"Tier 2",0.15,"Tier 1",0.2,"",""),"")</f>
        <v/>
      </c>
      <c r="G126" s="70"/>
      <c r="H126" s="188" t="s">
        <v>430</v>
      </c>
      <c r="I126" s="188">
        <f>LandTier2Table[[#This Row],[Land area in hectares (ha)]]</f>
        <v>0</v>
      </c>
      <c r="J126" s="188" t="s">
        <v>430</v>
      </c>
      <c r="K126" s="188" t="str">
        <f>IFERROR(LandTier2Table[[#This Row],[Emission kg CO2e]]/LandTier2Table[[#This Row],[Land area in hectares (ha)]],"")</f>
        <v/>
      </c>
      <c r="L126" s="70"/>
      <c r="M126" s="227"/>
      <c r="N126" s="226"/>
      <c r="O126" s="157">
        <v>0</v>
      </c>
      <c r="P126" s="157">
        <v>0</v>
      </c>
      <c r="Q126" s="157">
        <v>0</v>
      </c>
      <c r="R126" s="157">
        <v>0</v>
      </c>
      <c r="S126" s="157">
        <v>0</v>
      </c>
      <c r="T126" s="158" t="str">
        <f>IF(LandTier2Table[[#This Row],[Emission kg CO2e]]="", "",(LandTier2Table[[#This Row],[Emission kg CO2e]]*(1+LandTier2Table[[#This Row],[RSD estimate (+/-%)]])))</f>
        <v/>
      </c>
      <c r="U126" s="163" t="str">
        <f>IF(LandTier2Table[[#This Row],[Emission kg CO2e]]="", "",(LandTier2Table[[#This Row],[Emission kg CO2e]]*(1-LandTier2Table[[#This Row],[RSD estimate (+/-%)]])))</f>
        <v/>
      </c>
      <c r="V126" s="157">
        <f>LandTier2Table[[#This Row],[Emission kg CO2e]]</f>
        <v>0</v>
      </c>
      <c r="W126" s="30"/>
      <c r="X126" s="1" cm="1">
        <f t="array" ref="X126">IF(OR(ISERROR(B126:V126)),1,0)</f>
        <v>0</v>
      </c>
      <c r="Y126" s="1">
        <f t="shared" si="5"/>
        <v>0</v>
      </c>
    </row>
    <row r="127" spans="1:25" x14ac:dyDescent="0.35">
      <c r="B127" s="19"/>
      <c r="C127" s="19"/>
      <c r="D127" s="19"/>
      <c r="E127" s="19"/>
      <c r="F127" s="19"/>
      <c r="G127" s="19"/>
      <c r="H127" s="19"/>
      <c r="I127" s="19"/>
    </row>
    <row r="128" spans="1:25" ht="19" thickBot="1" x14ac:dyDescent="0.5">
      <c r="B128" s="99" t="s">
        <v>141</v>
      </c>
      <c r="C128" s="11"/>
      <c r="F128"/>
      <c r="G128" s="317" t="str">
        <f>IF($Y$129=0,"No data entered",IF($X$129=0,"No errors in this table","There are errors in this table see highlighted row(s)"))</f>
        <v>No data entered</v>
      </c>
      <c r="I128"/>
      <c r="O128" s="318" t="s">
        <v>174</v>
      </c>
      <c r="T128" s="26"/>
      <c r="U128" s="321"/>
      <c r="V128" s="30"/>
      <c r="X128" s="9" t="s">
        <v>175</v>
      </c>
      <c r="Y128" s="9" t="s">
        <v>161</v>
      </c>
    </row>
    <row r="129" spans="2:25" s="425" customFormat="1" ht="26.5" thickBot="1" x14ac:dyDescent="0.4">
      <c r="B129" s="262" t="s">
        <v>437</v>
      </c>
      <c r="C129" s="47" t="s">
        <v>438</v>
      </c>
      <c r="D129" s="47" t="s">
        <v>19</v>
      </c>
      <c r="E129" s="47" t="s">
        <v>180</v>
      </c>
      <c r="F129" s="47" t="s">
        <v>181</v>
      </c>
      <c r="G129" s="47" t="s">
        <v>182</v>
      </c>
      <c r="H129" s="47" t="s">
        <v>183</v>
      </c>
      <c r="I129" s="47" t="s">
        <v>184</v>
      </c>
      <c r="J129" s="47" t="s">
        <v>185</v>
      </c>
      <c r="K129" s="47" t="s">
        <v>439</v>
      </c>
      <c r="L129" s="47" t="s">
        <v>440</v>
      </c>
      <c r="M129" s="47" t="s">
        <v>188</v>
      </c>
      <c r="N129" s="47" t="s">
        <v>189</v>
      </c>
      <c r="O129" s="8" t="s">
        <v>92</v>
      </c>
      <c r="P129" s="8" t="s">
        <v>190</v>
      </c>
      <c r="Q129" s="8" t="s">
        <v>191</v>
      </c>
      <c r="R129" s="8" t="s">
        <v>192</v>
      </c>
      <c r="S129" s="8" t="s">
        <v>193</v>
      </c>
      <c r="T129" s="8" t="s">
        <v>100</v>
      </c>
      <c r="U129" s="322" t="s">
        <v>101</v>
      </c>
      <c r="V129" s="8" t="s">
        <v>96</v>
      </c>
      <c r="X129" s="9">
        <f>SUM(X130:X145)</f>
        <v>0</v>
      </c>
      <c r="Y129" s="9">
        <f>SUM(Y130:Y145)</f>
        <v>0</v>
      </c>
    </row>
    <row r="130" spans="2:25" ht="15" thickBot="1" x14ac:dyDescent="0.4">
      <c r="B130" s="76"/>
      <c r="C130" s="72"/>
      <c r="D130" s="42"/>
      <c r="E130" s="72"/>
      <c r="F130" s="77" t="str">
        <f>IF(E130="","",INDEX(Lists!$BA$4:$BC$31,MATCH(B130,Lists!$AZ$4:$AZ$31,0),MATCH(E130,Lists!$BA$3:$BC$3,0)))</f>
        <v/>
      </c>
      <c r="G130" s="70"/>
      <c r="H130" s="72"/>
      <c r="I130" s="75" t="str" cm="1">
        <f t="array" ref="I130">IF(OR($C130="",$B130="",$G130="",$H130=""),"",IF(H130=J130,G130,(INDEX('Emission factors'!$K$3:$V$201,MATCH(B130&amp;C130,'Emission factors'!$J$3:$J$201&amp;'Emission factors'!$K$3:$K$201,0),MATCH(AgricultureTable[[#Headers],[Converted data]],'Emission factors'!$K$2:$V$2,0)))*G130))</f>
        <v/>
      </c>
      <c r="J130" s="312" t="str">
        <f>IF(B130="","",INDEX('Emission factors'!$J$3:$V$201,MATCH('Land use &amp; agriculture'!$B130,'Emission factors'!$J$3:$J$201,0),MATCH($J$129,'Emission factors'!$J$2:$V$2,0)))</f>
        <v/>
      </c>
      <c r="K130" s="75" t="str" cm="1">
        <f t="array" ref="K130">IF(OR(C130="",G130=""),"",INDEX('Emission factors'!$K$3:$V$201,MATCH('Land use &amp; agriculture'!$B130&amp;$C130,'Emission factors'!$J$3:$J$201&amp;'Emission factors'!$K$3:$K$201,0),MATCH(AgricultureTable[[#Headers],[Total EF (kgCO2e/unit)]],'Emission factors'!$K$2:$V$2,0)))</f>
        <v/>
      </c>
      <c r="L130" s="156" t="str">
        <f>IF(OR(I130="",K130=""),"",SUM(AgricultureTable[[#This Row],[Direct]:[Indirect WTT]]))</f>
        <v/>
      </c>
      <c r="M130" s="71"/>
      <c r="N130" s="72"/>
      <c r="O130" s="157" t="str">
        <f>IF(OR($B130="",$G130=""),"",AgricultureTable[[#This Row],[Total EF (kgCO2e/unit)]]*$I130)</f>
        <v/>
      </c>
      <c r="P130" s="157" t="str" cm="1">
        <f t="array" ref="P130">IF(OR($B130="",$G130=""),"",(INDEX('Emission factors'!$K$3:$V$201,MATCH('Land use &amp; agriculture'!$B130&amp;$C130,'Emission factors'!$J$3:$J$201&amp;'Emission factors'!$K$3:$K$201,0),MATCH(AgricultureTable[[#Headers],[Indirect generation]],'Emission factors'!$K$2:$V$2,0)))*$I130)</f>
        <v/>
      </c>
      <c r="Q130" s="157" t="str" cm="1">
        <f t="array" ref="Q130">IF(OR($B130="",$G130=""),"",(INDEX('Emission factors'!$K$3:$V$201,MATCH('Land use &amp; agriculture'!$B130&amp;$C130,'Emission factors'!$J$3:$J$201&amp;'Emission factors'!$K$3:$K$201,0),MATCH(AgricultureTable[[#Headers],[Indirect service]],'Emission factors'!$K$2:$V$2,0)))*$I130)</f>
        <v/>
      </c>
      <c r="R130" s="157" t="str" cm="1">
        <f t="array" ref="R130">IF(OR($B130="",$G130=""),"",(INDEX('Emission factors'!$K$3:$V$201,MATCH('Land use &amp; agriculture'!$B130&amp;$C130,'Emission factors'!$J$3:$J$201&amp;'Emission factors'!$K$3:$K$201,0),MATCH(AgricultureTable[[#Headers],[Indirect T&amp;D]],'Emission factors'!$K$2:$V$2,0)))*$I130)</f>
        <v/>
      </c>
      <c r="S130" s="157" t="str" cm="1">
        <f t="array" ref="S130">IF(OR($B130="",$G130=""),"",(INDEX('Emission factors'!$K$3:$V$201,MATCH('Land use &amp; agriculture'!$B130&amp;$C130,'Emission factors'!$J$3:$J$201&amp;'Emission factors'!$K$3:$K$201,0),MATCH(AgricultureTable[[#Headers],[Indirect WTT]],'Emission factors'!$K$2:$V$2,0)))*$I130)</f>
        <v/>
      </c>
      <c r="T130" s="158" t="str">
        <f t="shared" ref="T130:T145" si="6">IF(OR($L130="",$F130=""),"",$L130*(1+$F130))</f>
        <v/>
      </c>
      <c r="U130" s="163" t="str">
        <f t="shared" ref="U130:U145" si="7">IF(OR($L130="",$F130=""),"",$L130*(1-$F130))</f>
        <v/>
      </c>
      <c r="V130" s="157" t="str" cm="1">
        <f t="array" ref="V130">IF(OR($B130="",$G130=""),"",(INDEX('Emission factors'!$K$3:$V$201,MATCH('Land use &amp; agriculture'!$B130&amp;$C130,'Emission factors'!$J$3:$J$201&amp;'Emission factors'!$K$3:$K$201,0),MATCH($V$129,'Emission factors'!$K$2:$V$2,0)))*$I130)</f>
        <v/>
      </c>
      <c r="X130" s="1" cm="1">
        <f t="array" ref="X130">IF(OR(ISERROR(B130:V130)),1,0)</f>
        <v>0</v>
      </c>
      <c r="Y130" s="1">
        <f>IF(AND(E130="",G130="",C130=""),0,1)</f>
        <v>0</v>
      </c>
    </row>
    <row r="131" spans="2:25" ht="15" thickBot="1" x14ac:dyDescent="0.4">
      <c r="B131" s="76"/>
      <c r="C131" s="72"/>
      <c r="D131" s="42"/>
      <c r="E131" s="72"/>
      <c r="F131" s="77" t="str">
        <f>IF(E131="","",INDEX(Lists!$BA$4:$BC$31,MATCH(B131,Lists!$AZ$4:$AZ$31,0),MATCH(E131,Lists!$BA$3:$BC$3,0)))</f>
        <v/>
      </c>
      <c r="G131" s="70"/>
      <c r="H131" s="72"/>
      <c r="I131" s="75" t="str" cm="1">
        <f t="array" ref="I131">IF(OR($C131="",$B131="",$G131="",$H131=""),"",IF(H131=J131,G131,(INDEX('Emission factors'!$K$3:$V$201,MATCH(B131&amp;C131,'Emission factors'!$J$3:$J$201&amp;'Emission factors'!$K$3:$K$201,0),MATCH(AgricultureTable[[#Headers],[Converted data]],'Emission factors'!$K$2:$V$2,0)))*G131))</f>
        <v/>
      </c>
      <c r="J131" s="312" t="str">
        <f>IF(B131="","",INDEX('Emission factors'!$J$3:$V$201,MATCH('Land use &amp; agriculture'!$B131,'Emission factors'!$J$3:$J$201,0),MATCH($J$129,'Emission factors'!$J$2:$V$2,0)))</f>
        <v/>
      </c>
      <c r="K131" s="75" t="str" cm="1">
        <f t="array" ref="K131">IF(OR(C131="",G131=""),"",INDEX('Emission factors'!$K$3:$V$201,MATCH('Land use &amp; agriculture'!$B131&amp;$C131,'Emission factors'!$J$3:$J$201&amp;'Emission factors'!$K$3:$K$201,0),MATCH(AgricultureTable[[#Headers],[Total EF (kgCO2e/unit)]],'Emission factors'!$K$2:$V$2,0)))</f>
        <v/>
      </c>
      <c r="L131" s="156" t="str">
        <f>IF(OR(I131="",K131=""),"",SUM(AgricultureTable[[#This Row],[Direct]:[Indirect WTT]]))</f>
        <v/>
      </c>
      <c r="M131" s="71"/>
      <c r="N131" s="72"/>
      <c r="O131" s="157" t="str">
        <f>IF(OR($B131="",$G131=""),"",AgricultureTable[[#This Row],[Total EF (kgCO2e/unit)]]*$I131)</f>
        <v/>
      </c>
      <c r="P131" s="157" t="str" cm="1">
        <f t="array" ref="P131">IF(OR($B131="",$G131=""),"",(INDEX('Emission factors'!$K$3:$V$201,MATCH('Land use &amp; agriculture'!$B131&amp;$C131,'Emission factors'!$J$3:$J$201&amp;'Emission factors'!$K$3:$K$201,0),MATCH(AgricultureTable[[#Headers],[Indirect generation]],'Emission factors'!$K$2:$V$2,0)))*$I131)</f>
        <v/>
      </c>
      <c r="Q131" s="157" t="str" cm="1">
        <f t="array" ref="Q131">IF(OR($B131="",$G131=""),"",(INDEX('Emission factors'!$K$3:$V$201,MATCH('Land use &amp; agriculture'!$B131&amp;$C131,'Emission factors'!$J$3:$J$201&amp;'Emission factors'!$K$3:$K$201,0),MATCH(AgricultureTable[[#Headers],[Indirect service]],'Emission factors'!$K$2:$V$2,0)))*$I131)</f>
        <v/>
      </c>
      <c r="R131" s="157" t="str" cm="1">
        <f t="array" ref="R131">IF(OR($B131="",$G131=""),"",(INDEX('Emission factors'!$K$3:$V$201,MATCH('Land use &amp; agriculture'!$B131&amp;$C131,'Emission factors'!$J$3:$J$201&amp;'Emission factors'!$K$3:$K$201,0),MATCH(AgricultureTable[[#Headers],[Indirect T&amp;D]],'Emission factors'!$K$2:$V$2,0)))*$I131)</f>
        <v/>
      </c>
      <c r="S131" s="157" t="str" cm="1">
        <f t="array" ref="S131">IF(OR($B131="",$G131=""),"",(INDEX('Emission factors'!$K$3:$V$201,MATCH('Land use &amp; agriculture'!$B131&amp;$C131,'Emission factors'!$J$3:$J$201&amp;'Emission factors'!$K$3:$K$201,0),MATCH(AgricultureTable[[#Headers],[Indirect WTT]],'Emission factors'!$K$2:$V$2,0)))*$I131)</f>
        <v/>
      </c>
      <c r="T131" s="158" t="str">
        <f t="shared" si="6"/>
        <v/>
      </c>
      <c r="U131" s="163" t="str">
        <f t="shared" si="7"/>
        <v/>
      </c>
      <c r="V131" s="157" t="str" cm="1">
        <f t="array" ref="V131">IF(OR($B131="",$G131=""),"",(INDEX('Emission factors'!$K$3:$V$201,MATCH('Land use &amp; agriculture'!$B131&amp;$C131,'Emission factors'!$J$3:$J$201&amp;'Emission factors'!$K$3:$K$201,0),MATCH($V$129,'Emission factors'!$K$2:$V$2,0)))*$I131)</f>
        <v/>
      </c>
      <c r="X131" s="1" cm="1">
        <f t="array" ref="X131">IF(OR(ISERROR(B131:V131)),1,0)</f>
        <v>0</v>
      </c>
      <c r="Y131" s="1">
        <f t="shared" ref="Y131:Y145" si="8">IF(AND(E131="",G131="",C131=""),0,1)</f>
        <v>0</v>
      </c>
    </row>
    <row r="132" spans="2:25" ht="15" thickBot="1" x14ac:dyDescent="0.4">
      <c r="B132" s="76"/>
      <c r="C132" s="72"/>
      <c r="D132" s="42"/>
      <c r="E132" s="72"/>
      <c r="F132" s="77" t="str">
        <f>IF(E132="","",INDEX(Lists!$BA$4:$BC$31,MATCH(B132,Lists!$AZ$4:$AZ$31,0),MATCH(E132,Lists!$BA$3:$BC$3,0)))</f>
        <v/>
      </c>
      <c r="G132" s="70"/>
      <c r="H132" s="72"/>
      <c r="I132" s="75" t="str" cm="1">
        <f t="array" ref="I132">IF(OR($C132="",$B132="",$G132="",$H132=""),"",IF(H132=J132,G132,(INDEX('Emission factors'!$K$3:$V$201,MATCH(B132&amp;C132,'Emission factors'!$J$3:$J$201&amp;'Emission factors'!$K$3:$K$201,0),MATCH(AgricultureTable[[#Headers],[Converted data]],'Emission factors'!$K$2:$V$2,0)))*G132))</f>
        <v/>
      </c>
      <c r="J132" s="312" t="str">
        <f>IF(B132="","",INDEX('Emission factors'!$J$3:$V$201,MATCH('Land use &amp; agriculture'!$B132,'Emission factors'!$J$3:$J$201,0),MATCH($J$129,'Emission factors'!$J$2:$V$2,0)))</f>
        <v/>
      </c>
      <c r="K132" s="75" t="str" cm="1">
        <f t="array" ref="K132">IF(OR(C132="",G132=""),"",INDEX('Emission factors'!$K$3:$V$201,MATCH('Land use &amp; agriculture'!$B132&amp;$C132,'Emission factors'!$J$3:$J$201&amp;'Emission factors'!$K$3:$K$201,0),MATCH(AgricultureTable[[#Headers],[Total EF (kgCO2e/unit)]],'Emission factors'!$K$2:$V$2,0)))</f>
        <v/>
      </c>
      <c r="L132" s="156" t="str">
        <f>IF(OR(I132="",K132=""),"",SUM(AgricultureTable[[#This Row],[Direct]:[Indirect WTT]]))</f>
        <v/>
      </c>
      <c r="M132" s="71"/>
      <c r="N132" s="72"/>
      <c r="O132" s="157" t="str">
        <f>IF(OR($B132="",$G132=""),"",AgricultureTable[[#This Row],[Total EF (kgCO2e/unit)]]*$I132)</f>
        <v/>
      </c>
      <c r="P132" s="157" t="str" cm="1">
        <f t="array" ref="P132">IF(OR($B132="",$G132=""),"",(INDEX('Emission factors'!$K$3:$V$201,MATCH('Land use &amp; agriculture'!$B132&amp;$C132,'Emission factors'!$J$3:$J$201&amp;'Emission factors'!$K$3:$K$201,0),MATCH(AgricultureTable[[#Headers],[Indirect generation]],'Emission factors'!$K$2:$V$2,0)))*$I132)</f>
        <v/>
      </c>
      <c r="Q132" s="157" t="str" cm="1">
        <f t="array" ref="Q132">IF(OR($B132="",$G132=""),"",(INDEX('Emission factors'!$K$3:$V$201,MATCH('Land use &amp; agriculture'!$B132&amp;$C132,'Emission factors'!$J$3:$J$201&amp;'Emission factors'!$K$3:$K$201,0),MATCH(AgricultureTable[[#Headers],[Indirect service]],'Emission factors'!$K$2:$V$2,0)))*$I132)</f>
        <v/>
      </c>
      <c r="R132" s="157" t="str" cm="1">
        <f t="array" ref="R132">IF(OR($B132="",$G132=""),"",(INDEX('Emission factors'!$K$3:$V$201,MATCH('Land use &amp; agriculture'!$B132&amp;$C132,'Emission factors'!$J$3:$J$201&amp;'Emission factors'!$K$3:$K$201,0),MATCH(AgricultureTable[[#Headers],[Indirect T&amp;D]],'Emission factors'!$K$2:$V$2,0)))*$I132)</f>
        <v/>
      </c>
      <c r="S132" s="157" t="str" cm="1">
        <f t="array" ref="S132">IF(OR($B132="",$G132=""),"",(INDEX('Emission factors'!$K$3:$V$201,MATCH('Land use &amp; agriculture'!$B132&amp;$C132,'Emission factors'!$J$3:$J$201&amp;'Emission factors'!$K$3:$K$201,0),MATCH(AgricultureTable[[#Headers],[Indirect WTT]],'Emission factors'!$K$2:$V$2,0)))*$I132)</f>
        <v/>
      </c>
      <c r="T132" s="158" t="str">
        <f t="shared" si="6"/>
        <v/>
      </c>
      <c r="U132" s="163" t="str">
        <f t="shared" si="7"/>
        <v/>
      </c>
      <c r="V132" s="157" t="str" cm="1">
        <f t="array" ref="V132">IF(OR($B132="",$G132=""),"",(INDEX('Emission factors'!$K$3:$V$201,MATCH('Land use &amp; agriculture'!$B132&amp;$C132,'Emission factors'!$J$3:$J$201&amp;'Emission factors'!$K$3:$K$201,0),MATCH($V$129,'Emission factors'!$K$2:$V$2,0)))*$I132)</f>
        <v/>
      </c>
      <c r="X132" s="1" cm="1">
        <f t="array" ref="X132">IF(OR(ISERROR(B132:V132)),1,0)</f>
        <v>0</v>
      </c>
      <c r="Y132" s="1">
        <f t="shared" si="8"/>
        <v>0</v>
      </c>
    </row>
    <row r="133" spans="2:25" ht="15" thickBot="1" x14ac:dyDescent="0.4">
      <c r="B133" s="76"/>
      <c r="C133" s="72"/>
      <c r="D133" s="42"/>
      <c r="E133" s="72"/>
      <c r="F133" s="77" t="str">
        <f>IF(E133="","",INDEX(Lists!$BA$4:$BC$31,MATCH(B133,Lists!$AZ$4:$AZ$31,0),MATCH(E133,Lists!$BA$3:$BC$3,0)))</f>
        <v/>
      </c>
      <c r="G133" s="70"/>
      <c r="H133" s="72"/>
      <c r="I133" s="75" t="str" cm="1">
        <f t="array" ref="I133">IF(OR($C133="",$B133="",$G133="",$H133=""),"",IF(H133=J133,G133,(INDEX('Emission factors'!$K$3:$V$201,MATCH(B133&amp;C133,'Emission factors'!$J$3:$J$201&amp;'Emission factors'!$K$3:$K$201,0),MATCH(AgricultureTable[[#Headers],[Converted data]],'Emission factors'!$K$2:$V$2,0)))*G133))</f>
        <v/>
      </c>
      <c r="J133" s="312" t="str">
        <f>IF(B133="","",INDEX('Emission factors'!$J$3:$V$201,MATCH('Land use &amp; agriculture'!$B133,'Emission factors'!$J$3:$J$201,0),MATCH($J$129,'Emission factors'!$J$2:$V$2,0)))</f>
        <v/>
      </c>
      <c r="K133" s="75" t="str" cm="1">
        <f t="array" ref="K133">IF(OR(C133="",G133=""),"",INDEX('Emission factors'!$K$3:$V$201,MATCH('Land use &amp; agriculture'!$B133&amp;$C133,'Emission factors'!$J$3:$J$201&amp;'Emission factors'!$K$3:$K$201,0),MATCH(AgricultureTable[[#Headers],[Total EF (kgCO2e/unit)]],'Emission factors'!$K$2:$V$2,0)))</f>
        <v/>
      </c>
      <c r="L133" s="156" t="str">
        <f>IF(OR(I133="",K133=""),"",SUM(AgricultureTable[[#This Row],[Direct]:[Indirect WTT]]))</f>
        <v/>
      </c>
      <c r="M133" s="71"/>
      <c r="N133" s="72"/>
      <c r="O133" s="157" t="str">
        <f>IF(OR($B133="",$G133=""),"",AgricultureTable[[#This Row],[Total EF (kgCO2e/unit)]]*$I133)</f>
        <v/>
      </c>
      <c r="P133" s="157" t="str" cm="1">
        <f t="array" ref="P133">IF(OR($B133="",$G133=""),"",(INDEX('Emission factors'!$K$3:$V$201,MATCH('Land use &amp; agriculture'!$B133&amp;$C133,'Emission factors'!$J$3:$J$201&amp;'Emission factors'!$K$3:$K$201,0),MATCH(AgricultureTable[[#Headers],[Indirect generation]],'Emission factors'!$K$2:$V$2,0)))*$I133)</f>
        <v/>
      </c>
      <c r="Q133" s="157" t="str" cm="1">
        <f t="array" ref="Q133">IF(OR($B133="",$G133=""),"",(INDEX('Emission factors'!$K$3:$V$201,MATCH('Land use &amp; agriculture'!$B133&amp;$C133,'Emission factors'!$J$3:$J$201&amp;'Emission factors'!$K$3:$K$201,0),MATCH(AgricultureTable[[#Headers],[Indirect service]],'Emission factors'!$K$2:$V$2,0)))*$I133)</f>
        <v/>
      </c>
      <c r="R133" s="157" t="str" cm="1">
        <f t="array" ref="R133">IF(OR($B133="",$G133=""),"",(INDEX('Emission factors'!$K$3:$V$201,MATCH('Land use &amp; agriculture'!$B133&amp;$C133,'Emission factors'!$J$3:$J$201&amp;'Emission factors'!$K$3:$K$201,0),MATCH(AgricultureTable[[#Headers],[Indirect T&amp;D]],'Emission factors'!$K$2:$V$2,0)))*$I133)</f>
        <v/>
      </c>
      <c r="S133" s="157" t="str" cm="1">
        <f t="array" ref="S133">IF(OR($B133="",$G133=""),"",(INDEX('Emission factors'!$K$3:$V$201,MATCH('Land use &amp; agriculture'!$B133&amp;$C133,'Emission factors'!$J$3:$J$201&amp;'Emission factors'!$K$3:$K$201,0),MATCH(AgricultureTable[[#Headers],[Indirect WTT]],'Emission factors'!$K$2:$V$2,0)))*$I133)</f>
        <v/>
      </c>
      <c r="T133" s="158" t="str">
        <f t="shared" si="6"/>
        <v/>
      </c>
      <c r="U133" s="163" t="str">
        <f t="shared" si="7"/>
        <v/>
      </c>
      <c r="V133" s="157" t="str" cm="1">
        <f t="array" ref="V133">IF(OR($B133="",$G133=""),"",(INDEX('Emission factors'!$K$3:$V$201,MATCH('Land use &amp; agriculture'!$B133&amp;$C133,'Emission factors'!$J$3:$J$201&amp;'Emission factors'!$K$3:$K$201,0),MATCH($V$129,'Emission factors'!$K$2:$V$2,0)))*$I133)</f>
        <v/>
      </c>
      <c r="X133" s="1" cm="1">
        <f t="array" ref="X133">IF(OR(ISERROR(B133:V133)),1,0)</f>
        <v>0</v>
      </c>
      <c r="Y133" s="1">
        <f t="shared" si="8"/>
        <v>0</v>
      </c>
    </row>
    <row r="134" spans="2:25" ht="15" thickBot="1" x14ac:dyDescent="0.4">
      <c r="B134" s="76"/>
      <c r="C134" s="72"/>
      <c r="D134" s="42"/>
      <c r="E134" s="72"/>
      <c r="F134" s="77" t="str">
        <f>IF(E134="","",INDEX(Lists!$BA$4:$BC$31,MATCH(B134,Lists!$AZ$4:$AZ$31,0),MATCH(E134,Lists!$BA$3:$BC$3,0)))</f>
        <v/>
      </c>
      <c r="G134" s="70"/>
      <c r="H134" s="72"/>
      <c r="I134" s="75" t="str" cm="1">
        <f t="array" ref="I134">IF(OR($C134="",$B134="",$G134="",$H134=""),"",IF(H134=J134,G134,(INDEX('Emission factors'!$K$3:$V$201,MATCH(B134&amp;C134,'Emission factors'!$J$3:$J$201&amp;'Emission factors'!$K$3:$K$201,0),MATCH(AgricultureTable[[#Headers],[Converted data]],'Emission factors'!$K$2:$V$2,0)))*G134))</f>
        <v/>
      </c>
      <c r="J134" s="312" t="str">
        <f>IF(B134="","",INDEX('Emission factors'!$J$3:$V$201,MATCH('Land use &amp; agriculture'!$B134,'Emission factors'!$J$3:$J$201,0),MATCH($J$129,'Emission factors'!$J$2:$V$2,0)))</f>
        <v/>
      </c>
      <c r="K134" s="75" t="str" cm="1">
        <f t="array" ref="K134">IF(OR(C134="",G134=""),"",INDEX('Emission factors'!$K$3:$V$201,MATCH('Land use &amp; agriculture'!$B134&amp;$C134,'Emission factors'!$J$3:$J$201&amp;'Emission factors'!$K$3:$K$201,0),MATCH(AgricultureTable[[#Headers],[Total EF (kgCO2e/unit)]],'Emission factors'!$K$2:$V$2,0)))</f>
        <v/>
      </c>
      <c r="L134" s="156" t="str">
        <f>IF(OR(I134="",K134=""),"",SUM(AgricultureTable[[#This Row],[Direct]:[Indirect WTT]]))</f>
        <v/>
      </c>
      <c r="M134" s="71"/>
      <c r="N134" s="72"/>
      <c r="O134" s="157" t="str">
        <f>IF(OR($B134="",$G134=""),"",AgricultureTable[[#This Row],[Total EF (kgCO2e/unit)]]*$I134)</f>
        <v/>
      </c>
      <c r="P134" s="157" t="str" cm="1">
        <f t="array" ref="P134">IF(OR($B134="",$G134=""),"",(INDEX('Emission factors'!$K$3:$V$201,MATCH('Land use &amp; agriculture'!$B134&amp;$C134,'Emission factors'!$J$3:$J$201&amp;'Emission factors'!$K$3:$K$201,0),MATCH(AgricultureTable[[#Headers],[Indirect generation]],'Emission factors'!$K$2:$V$2,0)))*$I134)</f>
        <v/>
      </c>
      <c r="Q134" s="157" t="str" cm="1">
        <f t="array" ref="Q134">IF(OR($B134="",$G134=""),"",(INDEX('Emission factors'!$K$3:$V$201,MATCH('Land use &amp; agriculture'!$B134&amp;$C134,'Emission factors'!$J$3:$J$201&amp;'Emission factors'!$K$3:$K$201,0),MATCH(AgricultureTable[[#Headers],[Indirect service]],'Emission factors'!$K$2:$V$2,0)))*$I134)</f>
        <v/>
      </c>
      <c r="R134" s="157" t="str" cm="1">
        <f t="array" ref="R134">IF(OR($B134="",$G134=""),"",(INDEX('Emission factors'!$K$3:$V$201,MATCH('Land use &amp; agriculture'!$B134&amp;$C134,'Emission factors'!$J$3:$J$201&amp;'Emission factors'!$K$3:$K$201,0),MATCH(AgricultureTable[[#Headers],[Indirect T&amp;D]],'Emission factors'!$K$2:$V$2,0)))*$I134)</f>
        <v/>
      </c>
      <c r="S134" s="157" t="str" cm="1">
        <f t="array" ref="S134">IF(OR($B134="",$G134=""),"",(INDEX('Emission factors'!$K$3:$V$201,MATCH('Land use &amp; agriculture'!$B134&amp;$C134,'Emission factors'!$J$3:$J$201&amp;'Emission factors'!$K$3:$K$201,0),MATCH(AgricultureTable[[#Headers],[Indirect WTT]],'Emission factors'!$K$2:$V$2,0)))*$I134)</f>
        <v/>
      </c>
      <c r="T134" s="158" t="str">
        <f t="shared" si="6"/>
        <v/>
      </c>
      <c r="U134" s="163" t="str">
        <f t="shared" si="7"/>
        <v/>
      </c>
      <c r="V134" s="157" t="str" cm="1">
        <f t="array" ref="V134">IF(OR($B134="",$G134=""),"",(INDEX('Emission factors'!$K$3:$V$201,MATCH('Land use &amp; agriculture'!$B134&amp;$C134,'Emission factors'!$J$3:$J$201&amp;'Emission factors'!$K$3:$K$201,0),MATCH($V$129,'Emission factors'!$K$2:$V$2,0)))*$I134)</f>
        <v/>
      </c>
      <c r="X134" s="1" cm="1">
        <f t="array" ref="X134">IF(OR(ISERROR(B134:V134)),1,0)</f>
        <v>0</v>
      </c>
      <c r="Y134" s="1">
        <f t="shared" si="8"/>
        <v>0</v>
      </c>
    </row>
    <row r="135" spans="2:25" ht="15" thickBot="1" x14ac:dyDescent="0.4">
      <c r="B135" s="76"/>
      <c r="C135" s="72"/>
      <c r="D135" s="42"/>
      <c r="E135" s="72"/>
      <c r="F135" s="77" t="str">
        <f>IF(E135="","",INDEX(Lists!$BA$4:$BC$31,MATCH(B135,Lists!$AZ$4:$AZ$31,0),MATCH(E135,Lists!$BA$3:$BC$3,0)))</f>
        <v/>
      </c>
      <c r="G135" s="70"/>
      <c r="H135" s="72"/>
      <c r="I135" s="75" t="str" cm="1">
        <f t="array" ref="I135">IF(OR($C135="",$B135="",$G135="",$H135=""),"",IF(H135=J135,G135,(INDEX('Emission factors'!$K$3:$V$201,MATCH(B135&amp;C135,'Emission factors'!$J$3:$J$201&amp;'Emission factors'!$K$3:$K$201,0),MATCH(AgricultureTable[[#Headers],[Converted data]],'Emission factors'!$K$2:$V$2,0)))*G135))</f>
        <v/>
      </c>
      <c r="J135" s="312" t="str">
        <f>IF(B135="","",INDEX('Emission factors'!$J$3:$V$201,MATCH('Land use &amp; agriculture'!$B135,'Emission factors'!$J$3:$J$201,0),MATCH($J$129,'Emission factors'!$J$2:$V$2,0)))</f>
        <v/>
      </c>
      <c r="K135" s="75" t="str" cm="1">
        <f t="array" ref="K135">IF(OR(C135="",G135=""),"",INDEX('Emission factors'!$K$3:$V$201,MATCH('Land use &amp; agriculture'!$B135&amp;$C135,'Emission factors'!$J$3:$J$201&amp;'Emission factors'!$K$3:$K$201,0),MATCH(AgricultureTable[[#Headers],[Total EF (kgCO2e/unit)]],'Emission factors'!$K$2:$V$2,0)))</f>
        <v/>
      </c>
      <c r="L135" s="156" t="str">
        <f>IF(OR(I135="",K135=""),"",SUM(AgricultureTable[[#This Row],[Direct]:[Indirect WTT]]))</f>
        <v/>
      </c>
      <c r="M135" s="71"/>
      <c r="N135" s="72"/>
      <c r="O135" s="157" t="str">
        <f>IF(OR($B135="",$G135=""),"",AgricultureTable[[#This Row],[Total EF (kgCO2e/unit)]]*$I135)</f>
        <v/>
      </c>
      <c r="P135" s="157" t="str" cm="1">
        <f t="array" ref="P135">IF(OR($B135="",$G135=""),"",(INDEX('Emission factors'!$K$3:$V$201,MATCH('Land use &amp; agriculture'!$B135&amp;$C135,'Emission factors'!$J$3:$J$201&amp;'Emission factors'!$K$3:$K$201,0),MATCH(AgricultureTable[[#Headers],[Indirect generation]],'Emission factors'!$K$2:$V$2,0)))*$I135)</f>
        <v/>
      </c>
      <c r="Q135" s="157" t="str" cm="1">
        <f t="array" ref="Q135">IF(OR($B135="",$G135=""),"",(INDEX('Emission factors'!$K$3:$V$201,MATCH('Land use &amp; agriculture'!$B135&amp;$C135,'Emission factors'!$J$3:$J$201&amp;'Emission factors'!$K$3:$K$201,0),MATCH(AgricultureTable[[#Headers],[Indirect service]],'Emission factors'!$K$2:$V$2,0)))*$I135)</f>
        <v/>
      </c>
      <c r="R135" s="157" t="str" cm="1">
        <f t="array" ref="R135">IF(OR($B135="",$G135=""),"",(INDEX('Emission factors'!$K$3:$V$201,MATCH('Land use &amp; agriculture'!$B135&amp;$C135,'Emission factors'!$J$3:$J$201&amp;'Emission factors'!$K$3:$K$201,0),MATCH(AgricultureTable[[#Headers],[Indirect T&amp;D]],'Emission factors'!$K$2:$V$2,0)))*$I135)</f>
        <v/>
      </c>
      <c r="S135" s="157" t="str" cm="1">
        <f t="array" ref="S135">IF(OR($B135="",$G135=""),"",(INDEX('Emission factors'!$K$3:$V$201,MATCH('Land use &amp; agriculture'!$B135&amp;$C135,'Emission factors'!$J$3:$J$201&amp;'Emission factors'!$K$3:$K$201,0),MATCH(AgricultureTable[[#Headers],[Indirect WTT]],'Emission factors'!$K$2:$V$2,0)))*$I135)</f>
        <v/>
      </c>
      <c r="T135" s="158" t="str">
        <f t="shared" si="6"/>
        <v/>
      </c>
      <c r="U135" s="163" t="str">
        <f t="shared" si="7"/>
        <v/>
      </c>
      <c r="V135" s="157" t="str" cm="1">
        <f t="array" ref="V135">IF(OR($B135="",$G135=""),"",(INDEX('Emission factors'!$K$3:$V$201,MATCH('Land use &amp; agriculture'!$B135&amp;$C135,'Emission factors'!$J$3:$J$201&amp;'Emission factors'!$K$3:$K$201,0),MATCH($V$129,'Emission factors'!$K$2:$V$2,0)))*$I135)</f>
        <v/>
      </c>
      <c r="X135" s="1" cm="1">
        <f t="array" ref="X135">IF(OR(ISERROR(B135:V135)),1,0)</f>
        <v>0</v>
      </c>
      <c r="Y135" s="1">
        <f t="shared" si="8"/>
        <v>0</v>
      </c>
    </row>
    <row r="136" spans="2:25" ht="15" thickBot="1" x14ac:dyDescent="0.4">
      <c r="B136" s="76"/>
      <c r="C136" s="72"/>
      <c r="D136" s="42"/>
      <c r="E136" s="72"/>
      <c r="F136" s="77" t="str">
        <f>IF(E136="","",INDEX(Lists!$BA$4:$BC$31,MATCH(B136,Lists!$AZ$4:$AZ$31,0),MATCH(E136,Lists!$BA$3:$BC$3,0)))</f>
        <v/>
      </c>
      <c r="G136" s="70"/>
      <c r="H136" s="72"/>
      <c r="I136" s="75" t="str" cm="1">
        <f t="array" ref="I136">IF(OR($C136="",$B136="",$G136="",$H136=""),"",IF(H136=J136,G136,(INDEX('Emission factors'!$K$3:$V$201,MATCH(B136&amp;C136,'Emission factors'!$J$3:$J$201&amp;'Emission factors'!$K$3:$K$201,0),MATCH(AgricultureTable[[#Headers],[Converted data]],'Emission factors'!$K$2:$V$2,0)))*G136))</f>
        <v/>
      </c>
      <c r="J136" s="312" t="str">
        <f>IF(B136="","",INDEX('Emission factors'!$J$3:$V$201,MATCH('Land use &amp; agriculture'!$B136,'Emission factors'!$J$3:$J$201,0),MATCH($J$129,'Emission factors'!$J$2:$V$2,0)))</f>
        <v/>
      </c>
      <c r="K136" s="75" t="str" cm="1">
        <f t="array" ref="K136">IF(OR(C136="",G136=""),"",INDEX('Emission factors'!$K$3:$V$201,MATCH('Land use &amp; agriculture'!$B136&amp;$C136,'Emission factors'!$J$3:$J$201&amp;'Emission factors'!$K$3:$K$201,0),MATCH(AgricultureTable[[#Headers],[Total EF (kgCO2e/unit)]],'Emission factors'!$K$2:$V$2,0)))</f>
        <v/>
      </c>
      <c r="L136" s="156" t="str">
        <f>IF(OR(I136="",K136=""),"",SUM(AgricultureTable[[#This Row],[Direct]:[Indirect WTT]]))</f>
        <v/>
      </c>
      <c r="M136" s="71"/>
      <c r="N136" s="72"/>
      <c r="O136" s="157" t="str">
        <f>IF(OR($B136="",$G136=""),"",AgricultureTable[[#This Row],[Total EF (kgCO2e/unit)]]*$I136)</f>
        <v/>
      </c>
      <c r="P136" s="157" t="str" cm="1">
        <f t="array" ref="P136">IF(OR($B136="",$G136=""),"",(INDEX('Emission factors'!$K$3:$V$201,MATCH('Land use &amp; agriculture'!$B136&amp;$C136,'Emission factors'!$J$3:$J$201&amp;'Emission factors'!$K$3:$K$201,0),MATCH(AgricultureTable[[#Headers],[Indirect generation]],'Emission factors'!$K$2:$V$2,0)))*$I136)</f>
        <v/>
      </c>
      <c r="Q136" s="157" t="str" cm="1">
        <f t="array" ref="Q136">IF(OR($B136="",$G136=""),"",(INDEX('Emission factors'!$K$3:$V$201,MATCH('Land use &amp; agriculture'!$B136&amp;$C136,'Emission factors'!$J$3:$J$201&amp;'Emission factors'!$K$3:$K$201,0),MATCH(AgricultureTable[[#Headers],[Indirect service]],'Emission factors'!$K$2:$V$2,0)))*$I136)</f>
        <v/>
      </c>
      <c r="R136" s="157" t="str" cm="1">
        <f t="array" ref="R136">IF(OR($B136="",$G136=""),"",(INDEX('Emission factors'!$K$3:$V$201,MATCH('Land use &amp; agriculture'!$B136&amp;$C136,'Emission factors'!$J$3:$J$201&amp;'Emission factors'!$K$3:$K$201,0),MATCH(AgricultureTable[[#Headers],[Indirect T&amp;D]],'Emission factors'!$K$2:$V$2,0)))*$I136)</f>
        <v/>
      </c>
      <c r="S136" s="157" t="str" cm="1">
        <f t="array" ref="S136">IF(OR($B136="",$G136=""),"",(INDEX('Emission factors'!$K$3:$V$201,MATCH('Land use &amp; agriculture'!$B136&amp;$C136,'Emission factors'!$J$3:$J$201&amp;'Emission factors'!$K$3:$K$201,0),MATCH(AgricultureTable[[#Headers],[Indirect WTT]],'Emission factors'!$K$2:$V$2,0)))*$I136)</f>
        <v/>
      </c>
      <c r="T136" s="158" t="str">
        <f t="shared" si="6"/>
        <v/>
      </c>
      <c r="U136" s="163" t="str">
        <f t="shared" si="7"/>
        <v/>
      </c>
      <c r="V136" s="157" t="str" cm="1">
        <f t="array" ref="V136">IF(OR($B136="",$G136=""),"",(INDEX('Emission factors'!$K$3:$V$201,MATCH('Land use &amp; agriculture'!$B136&amp;$C136,'Emission factors'!$J$3:$J$201&amp;'Emission factors'!$K$3:$K$201,0),MATCH($V$129,'Emission factors'!$K$2:$V$2,0)))*$I136)</f>
        <v/>
      </c>
      <c r="X136" s="1" cm="1">
        <f t="array" ref="X136">IF(OR(ISERROR(B136:V136)),1,0)</f>
        <v>0</v>
      </c>
      <c r="Y136" s="1">
        <f t="shared" si="8"/>
        <v>0</v>
      </c>
    </row>
    <row r="137" spans="2:25" ht="15" thickBot="1" x14ac:dyDescent="0.4">
      <c r="B137" s="76"/>
      <c r="C137" s="72"/>
      <c r="D137" s="42"/>
      <c r="E137" s="72"/>
      <c r="F137" s="77" t="str">
        <f>IF(E137="","",INDEX(Lists!$BA$4:$BC$31,MATCH(B137,Lists!$AZ$4:$AZ$31,0),MATCH(E137,Lists!$BA$3:$BC$3,0)))</f>
        <v/>
      </c>
      <c r="G137" s="70"/>
      <c r="H137" s="72"/>
      <c r="I137" s="75" t="str" cm="1">
        <f t="array" ref="I137">IF(OR($C137="",$B137="",$G137="",$H137=""),"",IF(H137=J137,G137,(INDEX('Emission factors'!$K$3:$V$201,MATCH(B137&amp;C137,'Emission factors'!$J$3:$J$201&amp;'Emission factors'!$K$3:$K$201,0),MATCH(AgricultureTable[[#Headers],[Converted data]],'Emission factors'!$K$2:$V$2,0)))*G137))</f>
        <v/>
      </c>
      <c r="J137" s="312" t="str">
        <f>IF(B137="","",INDEX('Emission factors'!$J$3:$V$201,MATCH('Land use &amp; agriculture'!$B137,'Emission factors'!$J$3:$J$201,0),MATCH($J$129,'Emission factors'!$J$2:$V$2,0)))</f>
        <v/>
      </c>
      <c r="K137" s="75" t="str" cm="1">
        <f t="array" ref="K137">IF(OR(C137="",G137=""),"",INDEX('Emission factors'!$K$3:$V$201,MATCH('Land use &amp; agriculture'!$B137&amp;$C137,'Emission factors'!$J$3:$J$201&amp;'Emission factors'!$K$3:$K$201,0),MATCH(AgricultureTable[[#Headers],[Total EF (kgCO2e/unit)]],'Emission factors'!$K$2:$V$2,0)))</f>
        <v/>
      </c>
      <c r="L137" s="156" t="str">
        <f>IF(OR(I137="",K137=""),"",SUM(AgricultureTable[[#This Row],[Direct]:[Indirect WTT]]))</f>
        <v/>
      </c>
      <c r="M137" s="71"/>
      <c r="N137" s="72"/>
      <c r="O137" s="157" t="str">
        <f>IF(OR($B137="",$G137=""),"",AgricultureTable[[#This Row],[Total EF (kgCO2e/unit)]]*$I137)</f>
        <v/>
      </c>
      <c r="P137" s="157" t="str" cm="1">
        <f t="array" ref="P137">IF(OR($B137="",$G137=""),"",(INDEX('Emission factors'!$K$3:$V$201,MATCH('Land use &amp; agriculture'!$B137&amp;$C137,'Emission factors'!$J$3:$J$201&amp;'Emission factors'!$K$3:$K$201,0),MATCH(AgricultureTable[[#Headers],[Indirect generation]],'Emission factors'!$K$2:$V$2,0)))*$I137)</f>
        <v/>
      </c>
      <c r="Q137" s="157" t="str" cm="1">
        <f t="array" ref="Q137">IF(OR($B137="",$G137=""),"",(INDEX('Emission factors'!$K$3:$V$201,MATCH('Land use &amp; agriculture'!$B137&amp;$C137,'Emission factors'!$J$3:$J$201&amp;'Emission factors'!$K$3:$K$201,0),MATCH(AgricultureTable[[#Headers],[Indirect service]],'Emission factors'!$K$2:$V$2,0)))*$I137)</f>
        <v/>
      </c>
      <c r="R137" s="157" t="str" cm="1">
        <f t="array" ref="R137">IF(OR($B137="",$G137=""),"",(INDEX('Emission factors'!$K$3:$V$201,MATCH('Land use &amp; agriculture'!$B137&amp;$C137,'Emission factors'!$J$3:$J$201&amp;'Emission factors'!$K$3:$K$201,0),MATCH(AgricultureTable[[#Headers],[Indirect T&amp;D]],'Emission factors'!$K$2:$V$2,0)))*$I137)</f>
        <v/>
      </c>
      <c r="S137" s="157" t="str" cm="1">
        <f t="array" ref="S137">IF(OR($B137="",$G137=""),"",(INDEX('Emission factors'!$K$3:$V$201,MATCH('Land use &amp; agriculture'!$B137&amp;$C137,'Emission factors'!$J$3:$J$201&amp;'Emission factors'!$K$3:$K$201,0),MATCH(AgricultureTable[[#Headers],[Indirect WTT]],'Emission factors'!$K$2:$V$2,0)))*$I137)</f>
        <v/>
      </c>
      <c r="T137" s="158" t="str">
        <f t="shared" si="6"/>
        <v/>
      </c>
      <c r="U137" s="163" t="str">
        <f t="shared" si="7"/>
        <v/>
      </c>
      <c r="V137" s="157" t="str" cm="1">
        <f t="array" ref="V137">IF(OR($B137="",$G137=""),"",(INDEX('Emission factors'!$K$3:$V$201,MATCH('Land use &amp; agriculture'!$B137&amp;$C137,'Emission factors'!$J$3:$J$201&amp;'Emission factors'!$K$3:$K$201,0),MATCH($V$129,'Emission factors'!$K$2:$V$2,0)))*$I137)</f>
        <v/>
      </c>
      <c r="X137" s="1" cm="1">
        <f t="array" ref="X137">IF(OR(ISERROR(B137:V137)),1,0)</f>
        <v>0</v>
      </c>
      <c r="Y137" s="1">
        <f t="shared" si="8"/>
        <v>0</v>
      </c>
    </row>
    <row r="138" spans="2:25" ht="15" thickBot="1" x14ac:dyDescent="0.4">
      <c r="B138" s="76"/>
      <c r="C138" s="72"/>
      <c r="D138" s="42"/>
      <c r="E138" s="72"/>
      <c r="F138" s="77" t="str">
        <f>IF(E138="","",INDEX(Lists!$BA$4:$BC$31,MATCH(B138,Lists!$AZ$4:$AZ$31,0),MATCH(E138,Lists!$BA$3:$BC$3,0)))</f>
        <v/>
      </c>
      <c r="G138" s="70"/>
      <c r="H138" s="72"/>
      <c r="I138" s="75" t="str" cm="1">
        <f t="array" ref="I138">IF(OR($C138="",$B138="",$G138="",$H138=""),"",IF(H138=J138,G138,(INDEX('Emission factors'!$K$3:$V$201,MATCH(B138&amp;C138,'Emission factors'!$J$3:$J$201&amp;'Emission factors'!$K$3:$K$201,0),MATCH(AgricultureTable[[#Headers],[Converted data]],'Emission factors'!$K$2:$V$2,0)))*G138))</f>
        <v/>
      </c>
      <c r="J138" s="312" t="str">
        <f>IF(B138="","",INDEX('Emission factors'!$J$3:$V$201,MATCH('Land use &amp; agriculture'!$B138,'Emission factors'!$J$3:$J$201,0),MATCH($J$129,'Emission factors'!$J$2:$V$2,0)))</f>
        <v/>
      </c>
      <c r="K138" s="75" t="str" cm="1">
        <f t="array" ref="K138">IF(OR(C138="",G138=""),"",INDEX('Emission factors'!$K$3:$V$201,MATCH('Land use &amp; agriculture'!$B138&amp;$C138,'Emission factors'!$J$3:$J$201&amp;'Emission factors'!$K$3:$K$201,0),MATCH(AgricultureTable[[#Headers],[Total EF (kgCO2e/unit)]],'Emission factors'!$K$2:$V$2,0)))</f>
        <v/>
      </c>
      <c r="L138" s="156" t="str">
        <f>IF(OR(I138="",K138=""),"",SUM(AgricultureTable[[#This Row],[Direct]:[Indirect WTT]]))</f>
        <v/>
      </c>
      <c r="M138" s="71"/>
      <c r="N138" s="72"/>
      <c r="O138" s="157" t="str">
        <f>IF(OR($B138="",$G138=""),"",AgricultureTable[[#This Row],[Total EF (kgCO2e/unit)]]*$I138)</f>
        <v/>
      </c>
      <c r="P138" s="157" t="str" cm="1">
        <f t="array" ref="P138">IF(OR($B138="",$G138=""),"",(INDEX('Emission factors'!$K$3:$V$201,MATCH('Land use &amp; agriculture'!$B138&amp;$C138,'Emission factors'!$J$3:$J$201&amp;'Emission factors'!$K$3:$K$201,0),MATCH(AgricultureTable[[#Headers],[Indirect generation]],'Emission factors'!$K$2:$V$2,0)))*$I138)</f>
        <v/>
      </c>
      <c r="Q138" s="157" t="str" cm="1">
        <f t="array" ref="Q138">IF(OR($B138="",$G138=""),"",(INDEX('Emission factors'!$K$3:$V$201,MATCH('Land use &amp; agriculture'!$B138&amp;$C138,'Emission factors'!$J$3:$J$201&amp;'Emission factors'!$K$3:$K$201,0),MATCH(AgricultureTable[[#Headers],[Indirect service]],'Emission factors'!$K$2:$V$2,0)))*$I138)</f>
        <v/>
      </c>
      <c r="R138" s="157" t="str" cm="1">
        <f t="array" ref="R138">IF(OR($B138="",$G138=""),"",(INDEX('Emission factors'!$K$3:$V$201,MATCH('Land use &amp; agriculture'!$B138&amp;$C138,'Emission factors'!$J$3:$J$201&amp;'Emission factors'!$K$3:$K$201,0),MATCH(AgricultureTable[[#Headers],[Indirect T&amp;D]],'Emission factors'!$K$2:$V$2,0)))*$I138)</f>
        <v/>
      </c>
      <c r="S138" s="157" t="str" cm="1">
        <f t="array" ref="S138">IF(OR($B138="",$G138=""),"",(INDEX('Emission factors'!$K$3:$V$201,MATCH('Land use &amp; agriculture'!$B138&amp;$C138,'Emission factors'!$J$3:$J$201&amp;'Emission factors'!$K$3:$K$201,0),MATCH(AgricultureTable[[#Headers],[Indirect WTT]],'Emission factors'!$K$2:$V$2,0)))*$I138)</f>
        <v/>
      </c>
      <c r="T138" s="158" t="str">
        <f t="shared" si="6"/>
        <v/>
      </c>
      <c r="U138" s="163" t="str">
        <f t="shared" si="7"/>
        <v/>
      </c>
      <c r="V138" s="157" t="str" cm="1">
        <f t="array" ref="V138">IF(OR($B138="",$G138=""),"",(INDEX('Emission factors'!$K$3:$V$201,MATCH('Land use &amp; agriculture'!$B138&amp;$C138,'Emission factors'!$J$3:$J$201&amp;'Emission factors'!$K$3:$K$201,0),MATCH($V$129,'Emission factors'!$K$2:$V$2,0)))*$I138)</f>
        <v/>
      </c>
      <c r="X138" s="1" cm="1">
        <f t="array" ref="X138">IF(OR(ISERROR(B138:V138)),1,0)</f>
        <v>0</v>
      </c>
      <c r="Y138" s="1">
        <f t="shared" si="8"/>
        <v>0</v>
      </c>
    </row>
    <row r="139" spans="2:25" ht="15" thickBot="1" x14ac:dyDescent="0.4">
      <c r="B139" s="76"/>
      <c r="C139" s="72"/>
      <c r="D139" s="42"/>
      <c r="E139" s="72"/>
      <c r="F139" s="77" t="str">
        <f>IF(E139="","",INDEX(Lists!$BA$4:$BC$31,MATCH(B139,Lists!$AZ$4:$AZ$31,0),MATCH(E139,Lists!$BA$3:$BC$3,0)))</f>
        <v/>
      </c>
      <c r="G139" s="70"/>
      <c r="H139" s="72"/>
      <c r="I139" s="75" t="str" cm="1">
        <f t="array" ref="I139">IF(OR($C139="",$B139="",$G139="",$H139=""),"",IF(H139=J139,G139,(INDEX('Emission factors'!$K$3:$V$201,MATCH(B139&amp;C139,'Emission factors'!$J$3:$J$201&amp;'Emission factors'!$K$3:$K$201,0),MATCH(AgricultureTable[[#Headers],[Converted data]],'Emission factors'!$K$2:$V$2,0)))*G139))</f>
        <v/>
      </c>
      <c r="J139" s="312" t="str">
        <f>IF(B139="","",INDEX('Emission factors'!$J$3:$V$201,MATCH('Land use &amp; agriculture'!$B139,'Emission factors'!$J$3:$J$201,0),MATCH($J$129,'Emission factors'!$J$2:$V$2,0)))</f>
        <v/>
      </c>
      <c r="K139" s="75" t="str" cm="1">
        <f t="array" ref="K139">IF(OR(C139="",G139=""),"",INDEX('Emission factors'!$K$3:$V$201,MATCH('Land use &amp; agriculture'!$B139&amp;$C139,'Emission factors'!$J$3:$J$201&amp;'Emission factors'!$K$3:$K$201,0),MATCH(AgricultureTable[[#Headers],[Total EF (kgCO2e/unit)]],'Emission factors'!$K$2:$V$2,0)))</f>
        <v/>
      </c>
      <c r="L139" s="156" t="str">
        <f>IF(OR(I139="",K139=""),"",SUM(AgricultureTable[[#This Row],[Direct]:[Indirect WTT]]))</f>
        <v/>
      </c>
      <c r="M139" s="71"/>
      <c r="N139" s="72"/>
      <c r="O139" s="157" t="str">
        <f>IF(OR($B139="",$G139=""),"",AgricultureTable[[#This Row],[Total EF (kgCO2e/unit)]]*$I139)</f>
        <v/>
      </c>
      <c r="P139" s="157" t="str" cm="1">
        <f t="array" ref="P139">IF(OR($B139="",$G139=""),"",(INDEX('Emission factors'!$K$3:$V$201,MATCH('Land use &amp; agriculture'!$B139&amp;$C139,'Emission factors'!$J$3:$J$201&amp;'Emission factors'!$K$3:$K$201,0),MATCH(AgricultureTable[[#Headers],[Indirect generation]],'Emission factors'!$K$2:$V$2,0)))*$I139)</f>
        <v/>
      </c>
      <c r="Q139" s="157" t="str" cm="1">
        <f t="array" ref="Q139">IF(OR($B139="",$G139=""),"",(INDEX('Emission factors'!$K$3:$V$201,MATCH('Land use &amp; agriculture'!$B139&amp;$C139,'Emission factors'!$J$3:$J$201&amp;'Emission factors'!$K$3:$K$201,0),MATCH(AgricultureTable[[#Headers],[Indirect service]],'Emission factors'!$K$2:$V$2,0)))*$I139)</f>
        <v/>
      </c>
      <c r="R139" s="157" t="str" cm="1">
        <f t="array" ref="R139">IF(OR($B139="",$G139=""),"",(INDEX('Emission factors'!$K$3:$V$201,MATCH('Land use &amp; agriculture'!$B139&amp;$C139,'Emission factors'!$J$3:$J$201&amp;'Emission factors'!$K$3:$K$201,0),MATCH(AgricultureTable[[#Headers],[Indirect T&amp;D]],'Emission factors'!$K$2:$V$2,0)))*$I139)</f>
        <v/>
      </c>
      <c r="S139" s="157" t="str" cm="1">
        <f t="array" ref="S139">IF(OR($B139="",$G139=""),"",(INDEX('Emission factors'!$K$3:$V$201,MATCH('Land use &amp; agriculture'!$B139&amp;$C139,'Emission factors'!$J$3:$J$201&amp;'Emission factors'!$K$3:$K$201,0),MATCH(AgricultureTable[[#Headers],[Indirect WTT]],'Emission factors'!$K$2:$V$2,0)))*$I139)</f>
        <v/>
      </c>
      <c r="T139" s="158" t="str">
        <f t="shared" si="6"/>
        <v/>
      </c>
      <c r="U139" s="163" t="str">
        <f t="shared" si="7"/>
        <v/>
      </c>
      <c r="V139" s="157" t="str" cm="1">
        <f t="array" ref="V139">IF(OR($B139="",$G139=""),"",(INDEX('Emission factors'!$K$3:$V$201,MATCH('Land use &amp; agriculture'!$B139&amp;$C139,'Emission factors'!$J$3:$J$201&amp;'Emission factors'!$K$3:$K$201,0),MATCH($V$129,'Emission factors'!$K$2:$V$2,0)))*$I139)</f>
        <v/>
      </c>
      <c r="X139" s="1" cm="1">
        <f t="array" ref="X139">IF(OR(ISERROR(B139:V139)),1,0)</f>
        <v>0</v>
      </c>
      <c r="Y139" s="1">
        <f t="shared" si="8"/>
        <v>0</v>
      </c>
    </row>
    <row r="140" spans="2:25" ht="15" thickBot="1" x14ac:dyDescent="0.4">
      <c r="B140" s="76"/>
      <c r="C140" s="72"/>
      <c r="D140" s="42"/>
      <c r="E140" s="72"/>
      <c r="F140" s="77" t="str">
        <f>IF(E140="","",INDEX(Lists!$BA$4:$BC$31,MATCH(B140,Lists!$AZ$4:$AZ$31,0),MATCH(E140,Lists!$BA$3:$BC$3,0)))</f>
        <v/>
      </c>
      <c r="G140" s="70"/>
      <c r="H140" s="72"/>
      <c r="I140" s="75" t="str" cm="1">
        <f t="array" ref="I140">IF(OR($C140="",$B140="",$G140="",$H140=""),"",IF(H140=J140,G140,(INDEX('Emission factors'!$K$3:$V$201,MATCH(B140&amp;C140,'Emission factors'!$J$3:$J$201&amp;'Emission factors'!$K$3:$K$201,0),MATCH(AgricultureTable[[#Headers],[Converted data]],'Emission factors'!$K$2:$V$2,0)))*G140))</f>
        <v/>
      </c>
      <c r="J140" s="312" t="str">
        <f>IF(B140="","",INDEX('Emission factors'!$J$3:$V$201,MATCH('Land use &amp; agriculture'!$B140,'Emission factors'!$J$3:$J$201,0),MATCH($J$129,'Emission factors'!$J$2:$V$2,0)))</f>
        <v/>
      </c>
      <c r="K140" s="75" t="str" cm="1">
        <f t="array" ref="K140">IF(OR(C140="",G140=""),"",INDEX('Emission factors'!$K$3:$V$201,MATCH('Land use &amp; agriculture'!$B140&amp;$C140,'Emission factors'!$J$3:$J$201&amp;'Emission factors'!$K$3:$K$201,0),MATCH(AgricultureTable[[#Headers],[Total EF (kgCO2e/unit)]],'Emission factors'!$K$2:$V$2,0)))</f>
        <v/>
      </c>
      <c r="L140" s="156" t="str">
        <f>IF(OR(I140="",K140=""),"",SUM(AgricultureTable[[#This Row],[Direct]:[Indirect WTT]]))</f>
        <v/>
      </c>
      <c r="M140" s="71"/>
      <c r="N140" s="72"/>
      <c r="O140" s="157" t="str">
        <f>IF(OR($B140="",$G140=""),"",AgricultureTable[[#This Row],[Total EF (kgCO2e/unit)]]*$I140)</f>
        <v/>
      </c>
      <c r="P140" s="157" t="str" cm="1">
        <f t="array" ref="P140">IF(OR($B140="",$G140=""),"",(INDEX('Emission factors'!$K$3:$V$201,MATCH('Land use &amp; agriculture'!$B140&amp;$C140,'Emission factors'!$J$3:$J$201&amp;'Emission factors'!$K$3:$K$201,0),MATCH(AgricultureTable[[#Headers],[Indirect generation]],'Emission factors'!$K$2:$V$2,0)))*$I140)</f>
        <v/>
      </c>
      <c r="Q140" s="157" t="str" cm="1">
        <f t="array" ref="Q140">IF(OR($B140="",$G140=""),"",(INDEX('Emission factors'!$K$3:$V$201,MATCH('Land use &amp; agriculture'!$B140&amp;$C140,'Emission factors'!$J$3:$J$201&amp;'Emission factors'!$K$3:$K$201,0),MATCH(AgricultureTable[[#Headers],[Indirect service]],'Emission factors'!$K$2:$V$2,0)))*$I140)</f>
        <v/>
      </c>
      <c r="R140" s="157" t="str" cm="1">
        <f t="array" ref="R140">IF(OR($B140="",$G140=""),"",(INDEX('Emission factors'!$K$3:$V$201,MATCH('Land use &amp; agriculture'!$B140&amp;$C140,'Emission factors'!$J$3:$J$201&amp;'Emission factors'!$K$3:$K$201,0),MATCH(AgricultureTable[[#Headers],[Indirect T&amp;D]],'Emission factors'!$K$2:$V$2,0)))*$I140)</f>
        <v/>
      </c>
      <c r="S140" s="157" t="str" cm="1">
        <f t="array" ref="S140">IF(OR($B140="",$G140=""),"",(INDEX('Emission factors'!$K$3:$V$201,MATCH('Land use &amp; agriculture'!$B140&amp;$C140,'Emission factors'!$J$3:$J$201&amp;'Emission factors'!$K$3:$K$201,0),MATCH(AgricultureTable[[#Headers],[Indirect WTT]],'Emission factors'!$K$2:$V$2,0)))*$I140)</f>
        <v/>
      </c>
      <c r="T140" s="158" t="str">
        <f t="shared" si="6"/>
        <v/>
      </c>
      <c r="U140" s="163" t="str">
        <f t="shared" si="7"/>
        <v/>
      </c>
      <c r="V140" s="157" t="str" cm="1">
        <f t="array" ref="V140">IF(OR($B140="",$G140=""),"",(INDEX('Emission factors'!$K$3:$V$201,MATCH('Land use &amp; agriculture'!$B140&amp;$C140,'Emission factors'!$J$3:$J$201&amp;'Emission factors'!$K$3:$K$201,0),MATCH($V$129,'Emission factors'!$K$2:$V$2,0)))*$I140)</f>
        <v/>
      </c>
      <c r="X140" s="1" cm="1">
        <f t="array" ref="X140">IF(OR(ISERROR(B140:V140)),1,0)</f>
        <v>0</v>
      </c>
      <c r="Y140" s="1">
        <f t="shared" si="8"/>
        <v>0</v>
      </c>
    </row>
    <row r="141" spans="2:25" ht="15" thickBot="1" x14ac:dyDescent="0.4">
      <c r="B141" s="76"/>
      <c r="C141" s="72"/>
      <c r="D141" s="42"/>
      <c r="E141" s="72"/>
      <c r="F141" s="77" t="str">
        <f>IF(E141="","",INDEX(Lists!$BA$4:$BC$31,MATCH(B141,Lists!$AZ$4:$AZ$31,0),MATCH(E141,Lists!$BA$3:$BC$3,0)))</f>
        <v/>
      </c>
      <c r="G141" s="70"/>
      <c r="H141" s="72"/>
      <c r="I141" s="75" t="str" cm="1">
        <f t="array" ref="I141">IF(OR($C141="",$B141="",$G141="",$H141=""),"",IF(H141=J141,G141,(INDEX('Emission factors'!$K$3:$V$201,MATCH(B141&amp;C141,'Emission factors'!$J$3:$J$201&amp;'Emission factors'!$K$3:$K$201,0),MATCH(AgricultureTable[[#Headers],[Converted data]],'Emission factors'!$K$2:$V$2,0)))*G141))</f>
        <v/>
      </c>
      <c r="J141" s="312" t="str">
        <f>IF(B141="","",INDEX('Emission factors'!$J$3:$V$201,MATCH('Land use &amp; agriculture'!$B141,'Emission factors'!$J$3:$J$201,0),MATCH($J$129,'Emission factors'!$J$2:$V$2,0)))</f>
        <v/>
      </c>
      <c r="K141" s="75" t="str" cm="1">
        <f t="array" ref="K141">IF(OR(C141="",G141=""),"",INDEX('Emission factors'!$K$3:$V$201,MATCH('Land use &amp; agriculture'!$B141&amp;$C141,'Emission factors'!$J$3:$J$201&amp;'Emission factors'!$K$3:$K$201,0),MATCH(AgricultureTable[[#Headers],[Total EF (kgCO2e/unit)]],'Emission factors'!$K$2:$V$2,0)))</f>
        <v/>
      </c>
      <c r="L141" s="156" t="str">
        <f>IF(OR(I141="",K141=""),"",SUM(AgricultureTable[[#This Row],[Direct]:[Indirect WTT]]))</f>
        <v/>
      </c>
      <c r="M141" s="71"/>
      <c r="N141" s="72"/>
      <c r="O141" s="157" t="str">
        <f>IF(OR($B141="",$G141=""),"",AgricultureTable[[#This Row],[Total EF (kgCO2e/unit)]]*$I141)</f>
        <v/>
      </c>
      <c r="P141" s="157" t="str" cm="1">
        <f t="array" ref="P141">IF(OR($B141="",$G141=""),"",(INDEX('Emission factors'!$K$3:$V$201,MATCH('Land use &amp; agriculture'!$B141&amp;$C141,'Emission factors'!$J$3:$J$201&amp;'Emission factors'!$K$3:$K$201,0),MATCH(AgricultureTable[[#Headers],[Indirect generation]],'Emission factors'!$K$2:$V$2,0)))*$I141)</f>
        <v/>
      </c>
      <c r="Q141" s="157" t="str" cm="1">
        <f t="array" ref="Q141">IF(OR($B141="",$G141=""),"",(INDEX('Emission factors'!$K$3:$V$201,MATCH('Land use &amp; agriculture'!$B141&amp;$C141,'Emission factors'!$J$3:$J$201&amp;'Emission factors'!$K$3:$K$201,0),MATCH(AgricultureTable[[#Headers],[Indirect service]],'Emission factors'!$K$2:$V$2,0)))*$I141)</f>
        <v/>
      </c>
      <c r="R141" s="157" t="str" cm="1">
        <f t="array" ref="R141">IF(OR($B141="",$G141=""),"",(INDEX('Emission factors'!$K$3:$V$201,MATCH('Land use &amp; agriculture'!$B141&amp;$C141,'Emission factors'!$J$3:$J$201&amp;'Emission factors'!$K$3:$K$201,0),MATCH(AgricultureTable[[#Headers],[Indirect T&amp;D]],'Emission factors'!$K$2:$V$2,0)))*$I141)</f>
        <v/>
      </c>
      <c r="S141" s="157" t="str" cm="1">
        <f t="array" ref="S141">IF(OR($B141="",$G141=""),"",(INDEX('Emission factors'!$K$3:$V$201,MATCH('Land use &amp; agriculture'!$B141&amp;$C141,'Emission factors'!$J$3:$J$201&amp;'Emission factors'!$K$3:$K$201,0),MATCH(AgricultureTable[[#Headers],[Indirect WTT]],'Emission factors'!$K$2:$V$2,0)))*$I141)</f>
        <v/>
      </c>
      <c r="T141" s="158" t="str">
        <f t="shared" si="6"/>
        <v/>
      </c>
      <c r="U141" s="163" t="str">
        <f t="shared" si="7"/>
        <v/>
      </c>
      <c r="V141" s="157" t="str" cm="1">
        <f t="array" ref="V141">IF(OR($B141="",$G141=""),"",(INDEX('Emission factors'!$K$3:$V$201,MATCH('Land use &amp; agriculture'!$B141&amp;$C141,'Emission factors'!$J$3:$J$201&amp;'Emission factors'!$K$3:$K$201,0),MATCH($V$129,'Emission factors'!$K$2:$V$2,0)))*$I141)</f>
        <v/>
      </c>
      <c r="X141" s="1" cm="1">
        <f t="array" ref="X141">IF(OR(ISERROR(B141:V141)),1,0)</f>
        <v>0</v>
      </c>
      <c r="Y141" s="1">
        <f t="shared" si="8"/>
        <v>0</v>
      </c>
    </row>
    <row r="142" spans="2:25" ht="15" thickBot="1" x14ac:dyDescent="0.4">
      <c r="B142" s="76"/>
      <c r="C142" s="72"/>
      <c r="D142" s="42"/>
      <c r="E142" s="72"/>
      <c r="F142" s="77" t="str">
        <f>IF(E142="","",INDEX(Lists!$BA$4:$BC$31,MATCH(B142,Lists!$AZ$4:$AZ$31,0),MATCH(E142,Lists!$BA$3:$BC$3,0)))</f>
        <v/>
      </c>
      <c r="G142" s="70"/>
      <c r="H142" s="72"/>
      <c r="I142" s="75" t="str" cm="1">
        <f t="array" ref="I142">IF(OR($C142="",$B142="",$G142="",$H142=""),"",IF(H142=J142,G142,(INDEX('Emission factors'!$K$3:$V$201,MATCH(B142&amp;C142,'Emission factors'!$J$3:$J$201&amp;'Emission factors'!$K$3:$K$201,0),MATCH(AgricultureTable[[#Headers],[Converted data]],'Emission factors'!$K$2:$V$2,0)))*G142))</f>
        <v/>
      </c>
      <c r="J142" s="312" t="str">
        <f>IF(B142="","",INDEX('Emission factors'!$J$3:$V$201,MATCH('Land use &amp; agriculture'!$B142,'Emission factors'!$J$3:$J$201,0),MATCH($J$129,'Emission factors'!$J$2:$V$2,0)))</f>
        <v/>
      </c>
      <c r="K142" s="75" t="str" cm="1">
        <f t="array" ref="K142">IF(OR(C142="",G142=""),"",INDEX('Emission factors'!$K$3:$V$201,MATCH('Land use &amp; agriculture'!$B142&amp;$C142,'Emission factors'!$J$3:$J$201&amp;'Emission factors'!$K$3:$K$201,0),MATCH(AgricultureTable[[#Headers],[Total EF (kgCO2e/unit)]],'Emission factors'!$K$2:$V$2,0)))</f>
        <v/>
      </c>
      <c r="L142" s="156" t="str">
        <f>IF(OR(I142="",K142=""),"",SUM(AgricultureTable[[#This Row],[Direct]:[Indirect WTT]]))</f>
        <v/>
      </c>
      <c r="M142" s="71"/>
      <c r="N142" s="72"/>
      <c r="O142" s="157" t="str">
        <f>IF(OR($B142="",$G142=""),"",AgricultureTable[[#This Row],[Total EF (kgCO2e/unit)]]*$I142)</f>
        <v/>
      </c>
      <c r="P142" s="157" t="str" cm="1">
        <f t="array" ref="P142">IF(OR($B142="",$G142=""),"",(INDEX('Emission factors'!$K$3:$V$201,MATCH('Land use &amp; agriculture'!$B142&amp;$C142,'Emission factors'!$J$3:$J$201&amp;'Emission factors'!$K$3:$K$201,0),MATCH(AgricultureTable[[#Headers],[Indirect generation]],'Emission factors'!$K$2:$V$2,0)))*$I142)</f>
        <v/>
      </c>
      <c r="Q142" s="157" t="str" cm="1">
        <f t="array" ref="Q142">IF(OR($B142="",$G142=""),"",(INDEX('Emission factors'!$K$3:$V$201,MATCH('Land use &amp; agriculture'!$B142&amp;$C142,'Emission factors'!$J$3:$J$201&amp;'Emission factors'!$K$3:$K$201,0),MATCH(AgricultureTable[[#Headers],[Indirect service]],'Emission factors'!$K$2:$V$2,0)))*$I142)</f>
        <v/>
      </c>
      <c r="R142" s="157" t="str" cm="1">
        <f t="array" ref="R142">IF(OR($B142="",$G142=""),"",(INDEX('Emission factors'!$K$3:$V$201,MATCH('Land use &amp; agriculture'!$B142&amp;$C142,'Emission factors'!$J$3:$J$201&amp;'Emission factors'!$K$3:$K$201,0),MATCH(AgricultureTable[[#Headers],[Indirect T&amp;D]],'Emission factors'!$K$2:$V$2,0)))*$I142)</f>
        <v/>
      </c>
      <c r="S142" s="157" t="str" cm="1">
        <f t="array" ref="S142">IF(OR($B142="",$G142=""),"",(INDEX('Emission factors'!$K$3:$V$201,MATCH('Land use &amp; agriculture'!$B142&amp;$C142,'Emission factors'!$J$3:$J$201&amp;'Emission factors'!$K$3:$K$201,0),MATCH(AgricultureTable[[#Headers],[Indirect WTT]],'Emission factors'!$K$2:$V$2,0)))*$I142)</f>
        <v/>
      </c>
      <c r="T142" s="158" t="str">
        <f t="shared" si="6"/>
        <v/>
      </c>
      <c r="U142" s="163" t="str">
        <f t="shared" si="7"/>
        <v/>
      </c>
      <c r="V142" s="157" t="str" cm="1">
        <f t="array" ref="V142">IF(OR($B142="",$G142=""),"",(INDEX('Emission factors'!$K$3:$V$201,MATCH('Land use &amp; agriculture'!$B142&amp;$C142,'Emission factors'!$J$3:$J$201&amp;'Emission factors'!$K$3:$K$201,0),MATCH($V$129,'Emission factors'!$K$2:$V$2,0)))*$I142)</f>
        <v/>
      </c>
      <c r="X142" s="1" cm="1">
        <f t="array" ref="X142">IF(OR(ISERROR(B142:V142)),1,0)</f>
        <v>0</v>
      </c>
      <c r="Y142" s="1">
        <f t="shared" si="8"/>
        <v>0</v>
      </c>
    </row>
    <row r="143" spans="2:25" ht="15" thickBot="1" x14ac:dyDescent="0.4">
      <c r="B143" s="76"/>
      <c r="C143" s="72"/>
      <c r="D143" s="42"/>
      <c r="E143" s="72"/>
      <c r="F143" s="77" t="str">
        <f>IF(E143="","",INDEX(Lists!$BA$4:$BC$31,MATCH(B143,Lists!$AZ$4:$AZ$31,0),MATCH(E143,Lists!$BA$3:$BC$3,0)))</f>
        <v/>
      </c>
      <c r="G143" s="70"/>
      <c r="H143" s="72"/>
      <c r="I143" s="75" t="str" cm="1">
        <f t="array" ref="I143">IF(OR($C143="",$B143="",$G143="",$H143=""),"",IF(H143=J143,G143,(INDEX('Emission factors'!$K$3:$V$201,MATCH(B143&amp;C143,'Emission factors'!$J$3:$J$201&amp;'Emission factors'!$K$3:$K$201,0),MATCH(AgricultureTable[[#Headers],[Converted data]],'Emission factors'!$K$2:$V$2,0)))*G143))</f>
        <v/>
      </c>
      <c r="J143" s="312" t="str">
        <f>IF(B143="","",INDEX('Emission factors'!$J$3:$V$201,MATCH('Land use &amp; agriculture'!$B143,'Emission factors'!$J$3:$J$201,0),MATCH($J$129,'Emission factors'!$J$2:$V$2,0)))</f>
        <v/>
      </c>
      <c r="K143" s="75" t="str" cm="1">
        <f t="array" ref="K143">IF(OR(C143="",G143=""),"",INDEX('Emission factors'!$K$3:$V$201,MATCH('Land use &amp; agriculture'!$B143&amp;$C143,'Emission factors'!$J$3:$J$201&amp;'Emission factors'!$K$3:$K$201,0),MATCH(AgricultureTable[[#Headers],[Total EF (kgCO2e/unit)]],'Emission factors'!$K$2:$V$2,0)))</f>
        <v/>
      </c>
      <c r="L143" s="156" t="str">
        <f>IF(OR(I143="",K143=""),"",SUM(AgricultureTable[[#This Row],[Direct]:[Indirect WTT]]))</f>
        <v/>
      </c>
      <c r="M143" s="71"/>
      <c r="N143" s="72"/>
      <c r="O143" s="157" t="str">
        <f>IF(OR($B143="",$G143=""),"",AgricultureTable[[#This Row],[Total EF (kgCO2e/unit)]]*$I143)</f>
        <v/>
      </c>
      <c r="P143" s="157" t="str" cm="1">
        <f t="array" ref="P143">IF(OR($B143="",$G143=""),"",(INDEX('Emission factors'!$K$3:$V$201,MATCH('Land use &amp; agriculture'!$B143&amp;$C143,'Emission factors'!$J$3:$J$201&amp;'Emission factors'!$K$3:$K$201,0),MATCH(AgricultureTable[[#Headers],[Indirect generation]],'Emission factors'!$K$2:$V$2,0)))*$I143)</f>
        <v/>
      </c>
      <c r="Q143" s="157" t="str" cm="1">
        <f t="array" ref="Q143">IF(OR($B143="",$G143=""),"",(INDEX('Emission factors'!$K$3:$V$201,MATCH('Land use &amp; agriculture'!$B143&amp;$C143,'Emission factors'!$J$3:$J$201&amp;'Emission factors'!$K$3:$K$201,0),MATCH(AgricultureTable[[#Headers],[Indirect service]],'Emission factors'!$K$2:$V$2,0)))*$I143)</f>
        <v/>
      </c>
      <c r="R143" s="157" t="str" cm="1">
        <f t="array" ref="R143">IF(OR($B143="",$G143=""),"",(INDEX('Emission factors'!$K$3:$V$201,MATCH('Land use &amp; agriculture'!$B143&amp;$C143,'Emission factors'!$J$3:$J$201&amp;'Emission factors'!$K$3:$K$201,0),MATCH(AgricultureTable[[#Headers],[Indirect T&amp;D]],'Emission factors'!$K$2:$V$2,0)))*$I143)</f>
        <v/>
      </c>
      <c r="S143" s="157" t="str" cm="1">
        <f t="array" ref="S143">IF(OR($B143="",$G143=""),"",(INDEX('Emission factors'!$K$3:$V$201,MATCH('Land use &amp; agriculture'!$B143&amp;$C143,'Emission factors'!$J$3:$J$201&amp;'Emission factors'!$K$3:$K$201,0),MATCH(AgricultureTable[[#Headers],[Indirect WTT]],'Emission factors'!$K$2:$V$2,0)))*$I143)</f>
        <v/>
      </c>
      <c r="T143" s="158" t="str">
        <f t="shared" si="6"/>
        <v/>
      </c>
      <c r="U143" s="163" t="str">
        <f t="shared" si="7"/>
        <v/>
      </c>
      <c r="V143" s="157" t="str" cm="1">
        <f t="array" ref="V143">IF(OR($B143="",$G143=""),"",(INDEX('Emission factors'!$K$3:$V$201,MATCH('Land use &amp; agriculture'!$B143&amp;$C143,'Emission factors'!$J$3:$J$201&amp;'Emission factors'!$K$3:$K$201,0),MATCH($V$129,'Emission factors'!$K$2:$V$2,0)))*$I143)</f>
        <v/>
      </c>
      <c r="X143" s="1" cm="1">
        <f t="array" ref="X143">IF(OR(ISERROR(B143:V143)),1,0)</f>
        <v>0</v>
      </c>
      <c r="Y143" s="1">
        <f t="shared" si="8"/>
        <v>0</v>
      </c>
    </row>
    <row r="144" spans="2:25" ht="15" thickBot="1" x14ac:dyDescent="0.4">
      <c r="B144" s="76"/>
      <c r="C144" s="72"/>
      <c r="D144" s="42"/>
      <c r="E144" s="72"/>
      <c r="F144" s="77" t="str">
        <f>IF(E144="","",INDEX(Lists!$BA$4:$BC$31,MATCH(B144,Lists!$AZ$4:$AZ$31,0),MATCH(E144,Lists!$BA$3:$BC$3,0)))</f>
        <v/>
      </c>
      <c r="G144" s="70"/>
      <c r="H144" s="72"/>
      <c r="I144" s="75" t="str" cm="1">
        <f t="array" ref="I144">IF(OR($C144="",$B144="",$G144="",$H144=""),"",IF(H144=J144,G144,(INDEX('Emission factors'!$K$3:$V$201,MATCH(B144&amp;C144,'Emission factors'!$J$3:$J$201&amp;'Emission factors'!$K$3:$K$201,0),MATCH(AgricultureTable[[#Headers],[Converted data]],'Emission factors'!$K$2:$V$2,0)))*G144))</f>
        <v/>
      </c>
      <c r="J144" s="312" t="str">
        <f>IF(B144="","",INDEX('Emission factors'!$J$3:$V$201,MATCH('Land use &amp; agriculture'!$B144,'Emission factors'!$J$3:$J$201,0),MATCH($J$129,'Emission factors'!$J$2:$V$2,0)))</f>
        <v/>
      </c>
      <c r="K144" s="75" t="str" cm="1">
        <f t="array" ref="K144">IF(OR(C144="",G144=""),"",INDEX('Emission factors'!$K$3:$V$201,MATCH('Land use &amp; agriculture'!$B144&amp;$C144,'Emission factors'!$J$3:$J$201&amp;'Emission factors'!$K$3:$K$201,0),MATCH(AgricultureTable[[#Headers],[Total EF (kgCO2e/unit)]],'Emission factors'!$K$2:$V$2,0)))</f>
        <v/>
      </c>
      <c r="L144" s="156" t="str">
        <f>IF(OR(I144="",K144=""),"",SUM(AgricultureTable[[#This Row],[Direct]:[Indirect WTT]]))</f>
        <v/>
      </c>
      <c r="M144" s="71"/>
      <c r="N144" s="72"/>
      <c r="O144" s="157" t="str">
        <f>IF(OR($B144="",$G144=""),"",AgricultureTable[[#This Row],[Total EF (kgCO2e/unit)]]*$I144)</f>
        <v/>
      </c>
      <c r="P144" s="157" t="str" cm="1">
        <f t="array" ref="P144">IF(OR($B144="",$G144=""),"",(INDEX('Emission factors'!$K$3:$V$201,MATCH('Land use &amp; agriculture'!$B144&amp;$C144,'Emission factors'!$J$3:$J$201&amp;'Emission factors'!$K$3:$K$201,0),MATCH(AgricultureTable[[#Headers],[Indirect generation]],'Emission factors'!$K$2:$V$2,0)))*$I144)</f>
        <v/>
      </c>
      <c r="Q144" s="157" t="str" cm="1">
        <f t="array" ref="Q144">IF(OR($B144="",$G144=""),"",(INDEX('Emission factors'!$K$3:$V$201,MATCH('Land use &amp; agriculture'!$B144&amp;$C144,'Emission factors'!$J$3:$J$201&amp;'Emission factors'!$K$3:$K$201,0),MATCH(AgricultureTable[[#Headers],[Indirect service]],'Emission factors'!$K$2:$V$2,0)))*$I144)</f>
        <v/>
      </c>
      <c r="R144" s="157" t="str" cm="1">
        <f t="array" ref="R144">IF(OR($B144="",$G144=""),"",(INDEX('Emission factors'!$K$3:$V$201,MATCH('Land use &amp; agriculture'!$B144&amp;$C144,'Emission factors'!$J$3:$J$201&amp;'Emission factors'!$K$3:$K$201,0),MATCH(AgricultureTable[[#Headers],[Indirect T&amp;D]],'Emission factors'!$K$2:$V$2,0)))*$I144)</f>
        <v/>
      </c>
      <c r="S144" s="157" t="str" cm="1">
        <f t="array" ref="S144">IF(OR($B144="",$G144=""),"",(INDEX('Emission factors'!$K$3:$V$201,MATCH('Land use &amp; agriculture'!$B144&amp;$C144,'Emission factors'!$J$3:$J$201&amp;'Emission factors'!$K$3:$K$201,0),MATCH(AgricultureTable[[#Headers],[Indirect WTT]],'Emission factors'!$K$2:$V$2,0)))*$I144)</f>
        <v/>
      </c>
      <c r="T144" s="158" t="str">
        <f t="shared" si="6"/>
        <v/>
      </c>
      <c r="U144" s="163" t="str">
        <f t="shared" si="7"/>
        <v/>
      </c>
      <c r="V144" s="157" t="str" cm="1">
        <f t="array" ref="V144">IF(OR($B144="",$G144=""),"",(INDEX('Emission factors'!$K$3:$V$201,MATCH('Land use &amp; agriculture'!$B144&amp;$C144,'Emission factors'!$J$3:$J$201&amp;'Emission factors'!$K$3:$K$201,0),MATCH($V$129,'Emission factors'!$K$2:$V$2,0)))*$I144)</f>
        <v/>
      </c>
      <c r="X144" s="1" cm="1">
        <f t="array" ref="X144">IF(OR(ISERROR(B144:V144)),1,0)</f>
        <v>0</v>
      </c>
      <c r="Y144" s="1">
        <f t="shared" si="8"/>
        <v>0</v>
      </c>
    </row>
    <row r="145" spans="2:25" ht="15" thickBot="1" x14ac:dyDescent="0.4">
      <c r="B145" s="76"/>
      <c r="C145" s="72"/>
      <c r="D145" s="42"/>
      <c r="E145" s="72"/>
      <c r="F145" s="77" t="str">
        <f>IF(E145="","",INDEX(Lists!$BA$4:$BC$31,MATCH(B145,Lists!$AZ$4:$AZ$31,0),MATCH(E145,Lists!$BA$3:$BC$3,0)))</f>
        <v/>
      </c>
      <c r="G145" s="70"/>
      <c r="H145" s="72"/>
      <c r="I145" s="75" t="str" cm="1">
        <f t="array" ref="I145">IF(OR($C145="",$B145="",$G145="",$H145=""),"",IF(H145=J145,G145,(INDEX('Emission factors'!$K$3:$V$201,MATCH(B145&amp;C145,'Emission factors'!$J$3:$J$201&amp;'Emission factors'!$K$3:$K$201,0),MATCH(AgricultureTable[[#Headers],[Converted data]],'Emission factors'!$K$2:$V$2,0)))*G145))</f>
        <v/>
      </c>
      <c r="J145" s="312" t="str">
        <f>IF(B145="","",INDEX('Emission factors'!$J$3:$V$201,MATCH('Land use &amp; agriculture'!$B145,'Emission factors'!$J$3:$J$201,0),MATCH($J$129,'Emission factors'!$J$2:$V$2,0)))</f>
        <v/>
      </c>
      <c r="K145" s="75" t="str" cm="1">
        <f t="array" ref="K145">IF(OR(C145="",G145=""),"",INDEX('Emission factors'!$K$3:$V$201,MATCH('Land use &amp; agriculture'!$B145&amp;$C145,'Emission factors'!$J$3:$J$201&amp;'Emission factors'!$K$3:$K$201,0),MATCH(AgricultureTable[[#Headers],[Total EF (kgCO2e/unit)]],'Emission factors'!$K$2:$V$2,0)))</f>
        <v/>
      </c>
      <c r="L145" s="156" t="str">
        <f>IF(OR(I145="",K145=""),"",SUM(AgricultureTable[[#This Row],[Direct]:[Indirect WTT]]))</f>
        <v/>
      </c>
      <c r="M145" s="71"/>
      <c r="N145" s="72"/>
      <c r="O145" s="157" t="str">
        <f>IF(OR($B145="",$G145=""),"",AgricultureTable[[#This Row],[Total EF (kgCO2e/unit)]]*$I145)</f>
        <v/>
      </c>
      <c r="P145" s="157" t="str" cm="1">
        <f t="array" ref="P145">IF(OR($B145="",$G145=""),"",(INDEX('Emission factors'!$K$3:$V$201,MATCH('Land use &amp; agriculture'!$B145&amp;$C145,'Emission factors'!$J$3:$J$201&amp;'Emission factors'!$K$3:$K$201,0),MATCH(AgricultureTable[[#Headers],[Indirect generation]],'Emission factors'!$K$2:$V$2,0)))*$I145)</f>
        <v/>
      </c>
      <c r="Q145" s="157" t="str" cm="1">
        <f t="array" ref="Q145">IF(OR($B145="",$G145=""),"",(INDEX('Emission factors'!$K$3:$V$201,MATCH('Land use &amp; agriculture'!$B145&amp;$C145,'Emission factors'!$J$3:$J$201&amp;'Emission factors'!$K$3:$K$201,0),MATCH(AgricultureTable[[#Headers],[Indirect service]],'Emission factors'!$K$2:$V$2,0)))*$I145)</f>
        <v/>
      </c>
      <c r="R145" s="157" t="str" cm="1">
        <f t="array" ref="R145">IF(OR($B145="",$G145=""),"",(INDEX('Emission factors'!$K$3:$V$201,MATCH('Land use &amp; agriculture'!$B145&amp;$C145,'Emission factors'!$J$3:$J$201&amp;'Emission factors'!$K$3:$K$201,0),MATCH(AgricultureTable[[#Headers],[Indirect T&amp;D]],'Emission factors'!$K$2:$V$2,0)))*$I145)</f>
        <v/>
      </c>
      <c r="S145" s="157" t="str" cm="1">
        <f t="array" ref="S145">IF(OR($B145="",$G145=""),"",(INDEX('Emission factors'!$K$3:$V$201,MATCH('Land use &amp; agriculture'!$B145&amp;$C145,'Emission factors'!$J$3:$J$201&amp;'Emission factors'!$K$3:$K$201,0),MATCH(AgricultureTable[[#Headers],[Indirect WTT]],'Emission factors'!$K$2:$V$2,0)))*$I145)</f>
        <v/>
      </c>
      <c r="T145" s="158" t="str">
        <f t="shared" si="6"/>
        <v/>
      </c>
      <c r="U145" s="163" t="str">
        <f t="shared" si="7"/>
        <v/>
      </c>
      <c r="V145" s="157" t="str" cm="1">
        <f t="array" ref="V145">IF(OR($B145="",$G145=""),"",(INDEX('Emission factors'!$K$3:$V$201,MATCH('Land use &amp; agriculture'!$B145&amp;$C145,'Emission factors'!$J$3:$J$201&amp;'Emission factors'!$K$3:$K$201,0),MATCH($V$129,'Emission factors'!$K$2:$V$2,0)))*$I145)</f>
        <v/>
      </c>
      <c r="X145" s="1" cm="1">
        <f t="array" ref="X145">IF(OR(ISERROR(B145:V145)),1,0)</f>
        <v>0</v>
      </c>
      <c r="Y145" s="1">
        <f t="shared" si="8"/>
        <v>0</v>
      </c>
    </row>
  </sheetData>
  <sheetProtection algorithmName="SHA-512" hashValue="/GwyLAWigxO8vQq5M30QESWRxITn47X9cBKbhbEGr+fY77BfOqSaOcib6TvC8cuc267nzsNoF7GO+FMqEs2rEQ==" saltValue="ES8HVvB4AXTCz8Wd2+HJSQ==" spinCount="100000" sheet="1" objects="1" scenarios="1"/>
  <mergeCells count="10">
    <mergeCell ref="B8:C8"/>
    <mergeCell ref="B9:C9"/>
    <mergeCell ref="B10:C10"/>
    <mergeCell ref="B11:C11"/>
    <mergeCell ref="B12:C12"/>
    <mergeCell ref="B2:F2"/>
    <mergeCell ref="B6:C6"/>
    <mergeCell ref="B7:C7"/>
    <mergeCell ref="B4:L4"/>
    <mergeCell ref="B3:L3"/>
  </mergeCells>
  <phoneticPr fontId="22" type="noConversion"/>
  <conditionalFormatting sqref="B16:V99 B104:B105 D104:V105 B106:V126 B130:V145">
    <cfRule type="expression" dxfId="21" priority="1">
      <formula>IF($X16=1,1,0)</formula>
    </cfRule>
  </conditionalFormatting>
  <conditionalFormatting sqref="C105">
    <cfRule type="expression" dxfId="20" priority="43">
      <formula>IF($X104=1,1,0)</formula>
    </cfRule>
  </conditionalFormatting>
  <conditionalFormatting sqref="G14">
    <cfRule type="containsText" dxfId="19" priority="6" operator="containsText" text="There are errors">
      <formula>NOT(ISERROR(SEARCH("There are errors",G14)))</formula>
    </cfRule>
    <cfRule type="containsText" dxfId="18" priority="7" operator="containsText" text="No errors in this table">
      <formula>NOT(ISERROR(SEARCH("No errors in this table",G14)))</formula>
    </cfRule>
  </conditionalFormatting>
  <conditionalFormatting sqref="G102">
    <cfRule type="containsText" dxfId="17" priority="4" operator="containsText" text="There are errors">
      <formula>NOT(ISERROR(SEARCH("There are errors",G102)))</formula>
    </cfRule>
    <cfRule type="containsText" dxfId="16" priority="5" operator="containsText" text="No errors in this table">
      <formula>NOT(ISERROR(SEARCH("No errors in this table",G102)))</formula>
    </cfRule>
  </conditionalFormatting>
  <conditionalFormatting sqref="G128">
    <cfRule type="containsText" dxfId="15" priority="2" operator="containsText" text="There are errors">
      <formula>NOT(ISERROR(SEARCH("There are errors",G128)))</formula>
    </cfRule>
    <cfRule type="containsText" dxfId="14" priority="3" operator="containsText" text="No errors in this table">
      <formula>NOT(ISERROR(SEARCH("No errors in this table",G128)))</formula>
    </cfRule>
  </conditionalFormatting>
  <dataValidations count="9">
    <dataValidation type="list" allowBlank="1" showInputMessage="1" showErrorMessage="1" sqref="B16:B99 D16:D99" xr:uid="{00000000-0002-0000-0600-000000000000}">
      <formula1>landuse</formula1>
    </dataValidation>
    <dataValidation type="list" allowBlank="1" showInputMessage="1" showErrorMessage="1" sqref="C16:C99" xr:uid="{00000000-0002-0000-0600-000001000000}">
      <formula1>soil</formula1>
    </dataValidation>
    <dataValidation type="list" allowBlank="1" showInputMessage="1" showErrorMessage="1" sqref="E104:E126" xr:uid="{00000000-0002-0000-0600-000003000000}">
      <formula1>Methodologyall</formula1>
    </dataValidation>
    <dataValidation type="decimal" operator="greaterThan" allowBlank="1" showInputMessage="1" showErrorMessage="1" errorTitle="Numeric data" error="Please enter a number greater than zero" sqref="G104:G126 G130:G145 G16:G99" xr:uid="{00000000-0002-0000-0600-000004000000}">
      <formula1>0</formula1>
    </dataValidation>
    <dataValidation type="list" allowBlank="1" showInputMessage="1" showErrorMessage="1" sqref="E130:E145" xr:uid="{1DAB85D2-0245-4F61-AEF6-38CAF6E80182}">
      <formula1>Methodologytier1</formula1>
    </dataValidation>
    <dataValidation type="list" allowBlank="1" showInputMessage="1" showErrorMessage="1" sqref="C130:C145" xr:uid="{00000000-0002-0000-0200-00000B000000}">
      <formula1>INDIRECT(SUBSTITUTE($B130," ",""))</formula1>
    </dataValidation>
    <dataValidation type="list" allowBlank="1" showInputMessage="1" showErrorMessage="1" sqref="N130:N145 N104:N126 N16:N99" xr:uid="{00000000-0002-0000-0200-000001000000}">
      <formula1>Ease</formula1>
    </dataValidation>
    <dataValidation type="list" allowBlank="1" showInputMessage="1" showErrorMessage="1" sqref="B130:B145" xr:uid="{42FC09E0-3971-40F1-B0BE-775047BD1759}">
      <formula1>INDIRECT(SUBSTITUTE($B$128," ",""))</formula1>
    </dataValidation>
    <dataValidation type="list" allowBlank="1" showInputMessage="1" showErrorMessage="1" sqref="H130:H145" xr:uid="{24F6AAB4-1C23-43EE-AC09-9C6BD5CAE8A5}">
      <formula1>INDIRECT(CONCATENATE(SUBSTITUTE($B130," ","")&amp;$H$129))</formula1>
    </dataValidation>
  </dataValidations>
  <pageMargins left="0.7" right="0.7" top="0.75" bottom="0.75" header="0.3" footer="0.3"/>
  <pageSetup paperSize="9" orientation="portrait" r:id="rId1"/>
  <tableParts count="3">
    <tablePart r:id="rId2"/>
    <tablePart r:id="rId3"/>
    <tablePart r:id="rId4"/>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tabColor rgb="FF27CCF9"/>
  </sheetPr>
  <dimension ref="A1:V105"/>
  <sheetViews>
    <sheetView showGridLines="0" topLeftCell="E3" zoomScale="85" zoomScaleNormal="85" workbookViewId="0">
      <selection activeCell="T4" sqref="T1:U1048576"/>
    </sheetView>
  </sheetViews>
  <sheetFormatPr defaultColWidth="8.54296875" defaultRowHeight="14.5" x14ac:dyDescent="0.35"/>
  <cols>
    <col min="1" max="1" width="2.36328125" style="1" customWidth="1"/>
    <col min="2" max="2" width="24.36328125" style="1" customWidth="1"/>
    <col min="3" max="3" width="13.6328125" style="1" customWidth="1"/>
    <col min="4" max="4" width="20.36328125" style="1" customWidth="1"/>
    <col min="5" max="5" width="20.6328125" style="1" customWidth="1"/>
    <col min="6" max="6" width="20.54296875" style="1" customWidth="1"/>
    <col min="7" max="7" width="21.453125" style="1" customWidth="1"/>
    <col min="8" max="8" width="15.36328125" style="1" customWidth="1"/>
    <col min="9" max="9" width="17" style="1" customWidth="1"/>
    <col min="10" max="10" width="19.36328125" style="1" customWidth="1"/>
    <col min="11" max="11" width="17.453125" style="1" customWidth="1"/>
    <col min="12" max="12" width="22.36328125" style="1" customWidth="1"/>
    <col min="13" max="13" width="21.36328125" style="1" customWidth="1"/>
    <col min="14" max="14" width="20.54296875" style="1" customWidth="1"/>
    <col min="15" max="15" width="21.6328125" style="1" customWidth="1"/>
    <col min="16" max="16" width="20.08984375" style="1" customWidth="1"/>
    <col min="17" max="17" width="17.6328125" style="1" customWidth="1"/>
    <col min="18" max="18" width="15.36328125" style="1" customWidth="1"/>
    <col min="19" max="19" width="8.54296875" style="1" customWidth="1"/>
    <col min="20" max="20" width="8.54296875" style="1" hidden="1" customWidth="1"/>
    <col min="21" max="21" width="0" style="1" hidden="1" customWidth="1"/>
    <col min="22" max="16384" width="8.54296875" style="1"/>
  </cols>
  <sheetData>
    <row r="1" spans="1:22" ht="15" thickBot="1" x14ac:dyDescent="0.4">
      <c r="B1" s="618" t="s">
        <v>143</v>
      </c>
      <c r="C1" s="619"/>
      <c r="D1" s="619"/>
      <c r="E1" s="619"/>
      <c r="F1" s="619"/>
      <c r="G1" s="619"/>
      <c r="H1" s="83" t="s">
        <v>155</v>
      </c>
      <c r="I1" s="80" t="s">
        <v>9</v>
      </c>
      <c r="J1" s="81" t="s">
        <v>13</v>
      </c>
      <c r="K1" s="67"/>
      <c r="L1" s="67"/>
      <c r="M1" s="67"/>
      <c r="N1" s="67"/>
      <c r="O1" s="67"/>
      <c r="P1" s="67"/>
      <c r="Q1" s="67"/>
    </row>
    <row r="2" spans="1:22" ht="21.5" thickBot="1" x14ac:dyDescent="0.4">
      <c r="B2" s="620"/>
      <c r="C2" s="621"/>
      <c r="D2" s="621"/>
      <c r="E2" s="621"/>
      <c r="F2" s="621"/>
      <c r="G2" s="621"/>
      <c r="H2" s="84"/>
      <c r="I2" s="79" t="s">
        <v>11</v>
      </c>
      <c r="J2" s="82" t="s">
        <v>15</v>
      </c>
      <c r="K2" s="67"/>
      <c r="L2" s="67"/>
      <c r="M2" s="67"/>
      <c r="N2" s="67"/>
      <c r="O2" s="67"/>
      <c r="P2" s="67"/>
      <c r="Q2" s="67"/>
    </row>
    <row r="3" spans="1:22" ht="108" customHeight="1" thickBot="1" x14ac:dyDescent="0.4">
      <c r="A3" s="18"/>
      <c r="B3" s="617" t="s">
        <v>441</v>
      </c>
      <c r="C3" s="566"/>
      <c r="D3" s="566"/>
      <c r="E3" s="566"/>
      <c r="F3" s="566"/>
      <c r="G3" s="566"/>
      <c r="H3" s="566"/>
      <c r="I3" s="566"/>
      <c r="J3" s="566"/>
      <c r="K3" s="67"/>
      <c r="L3" s="67"/>
      <c r="M3" s="67"/>
      <c r="N3" s="67"/>
      <c r="O3" s="67"/>
      <c r="P3" s="67"/>
      <c r="Q3" s="67"/>
    </row>
    <row r="4" spans="1:22" ht="121.25" customHeight="1" x14ac:dyDescent="0.35">
      <c r="A4" s="18"/>
      <c r="B4" s="617" t="s">
        <v>442</v>
      </c>
      <c r="C4" s="566"/>
      <c r="D4" s="566"/>
      <c r="E4" s="566"/>
      <c r="F4" s="566"/>
      <c r="G4" s="566"/>
      <c r="H4" s="566"/>
      <c r="I4" s="566"/>
      <c r="J4" s="566"/>
      <c r="K4" s="67"/>
      <c r="L4" s="67"/>
      <c r="M4" s="67"/>
      <c r="N4" s="67"/>
      <c r="O4" s="31"/>
      <c r="P4" s="30"/>
    </row>
    <row r="5" spans="1:22" x14ac:dyDescent="0.35">
      <c r="A5" s="7"/>
      <c r="B5" s="19"/>
      <c r="C5" s="85"/>
      <c r="D5" s="85"/>
      <c r="E5" s="19"/>
      <c r="F5" s="19"/>
      <c r="G5" s="19"/>
      <c r="H5" s="19"/>
      <c r="I5" s="19"/>
      <c r="J5" s="19"/>
    </row>
    <row r="6" spans="1:22" ht="18.5" x14ac:dyDescent="0.45">
      <c r="A6" s="7"/>
      <c r="B6" s="99" t="s">
        <v>443</v>
      </c>
      <c r="C6"/>
      <c r="D6"/>
      <c r="E6"/>
      <c r="F6"/>
      <c r="G6"/>
      <c r="H6"/>
      <c r="I6"/>
      <c r="J6"/>
      <c r="K6"/>
      <c r="L6"/>
      <c r="M6"/>
      <c r="N6"/>
      <c r="O6"/>
      <c r="P6"/>
      <c r="Q6"/>
      <c r="T6" s="9" t="s">
        <v>444</v>
      </c>
      <c r="U6" s="9" t="s">
        <v>445</v>
      </c>
      <c r="V6" s="9"/>
    </row>
    <row r="7" spans="1:22" ht="29.5" thickBot="1" x14ac:dyDescent="0.4">
      <c r="A7" s="7"/>
      <c r="B7" s="40" t="s">
        <v>446</v>
      </c>
      <c r="C7" s="39" t="s">
        <v>447</v>
      </c>
      <c r="D7" s="39" t="s">
        <v>448</v>
      </c>
      <c r="E7" s="40" t="s">
        <v>449</v>
      </c>
      <c r="F7" s="40" t="s">
        <v>230</v>
      </c>
      <c r="G7" s="40" t="s">
        <v>450</v>
      </c>
      <c r="H7" s="40" t="s">
        <v>451</v>
      </c>
      <c r="I7" s="40" t="s">
        <v>181</v>
      </c>
      <c r="J7" s="40" t="s">
        <v>452</v>
      </c>
      <c r="K7" s="40" t="s">
        <v>453</v>
      </c>
      <c r="L7" s="40" t="s">
        <v>454</v>
      </c>
      <c r="M7" s="40" t="s">
        <v>455</v>
      </c>
      <c r="N7" s="40" t="s">
        <v>456</v>
      </c>
      <c r="O7" s="40" t="s">
        <v>457</v>
      </c>
      <c r="P7" s="40" t="s">
        <v>458</v>
      </c>
      <c r="Q7" s="40" t="s">
        <v>188</v>
      </c>
      <c r="R7" s="41" t="s">
        <v>189</v>
      </c>
      <c r="T7" s="1">
        <f>SUM(T8:T32)</f>
        <v>0</v>
      </c>
      <c r="U7" s="1">
        <f>SUM(U8:U32)</f>
        <v>1</v>
      </c>
      <c r="V7" s="9"/>
    </row>
    <row r="8" spans="1:22" ht="15" thickBot="1" x14ac:dyDescent="0.4">
      <c r="A8" s="7"/>
      <c r="B8" s="114" t="s">
        <v>167</v>
      </c>
      <c r="C8" s="113" t="s">
        <v>459</v>
      </c>
      <c r="D8" s="113" t="s">
        <v>460</v>
      </c>
      <c r="E8" s="114" t="s">
        <v>461</v>
      </c>
      <c r="F8" s="114" t="s">
        <v>262</v>
      </c>
      <c r="G8" s="114" t="s">
        <v>462</v>
      </c>
      <c r="H8" s="114"/>
      <c r="I8" s="176">
        <f>IF(F8="","",INDEX(Lists!$BA$4:$BC$37,MATCH(RenewableElectricityTable[[#This Row],[Renewable Type]],Lists!$AZ$4:$AZ$37,0),MATCH(RenewableElectricityTable[[#This Row],[Methodology used]],Lists!$BA$3:$BC$3,0)))</f>
        <v>0.1</v>
      </c>
      <c r="J8" s="250"/>
      <c r="K8" s="248"/>
      <c r="L8" s="251">
        <f>SUM(RenewableElectricityTable[[#This Row],[kWh consumed by reporting organisation]:[kWh exported to other PSB]])</f>
        <v>0</v>
      </c>
      <c r="M8" s="253"/>
      <c r="N8" s="253"/>
      <c r="O8" s="253"/>
      <c r="P8" s="300"/>
      <c r="Q8" s="119"/>
      <c r="R8" s="119"/>
      <c r="T8" s="1" cm="1">
        <f t="array" ref="T8">IF(OR(ISERROR(B8:R8)),1,0)</f>
        <v>0</v>
      </c>
      <c r="U8" s="1">
        <f t="shared" ref="U8:U32" si="0">IF(AND(D8="",E8=""),0,1)</f>
        <v>1</v>
      </c>
    </row>
    <row r="9" spans="1:22" ht="15" thickBot="1" x14ac:dyDescent="0.4">
      <c r="A9" s="7"/>
      <c r="B9" s="114"/>
      <c r="C9" s="113"/>
      <c r="D9" s="113"/>
      <c r="E9" s="114"/>
      <c r="F9" s="114"/>
      <c r="G9" s="114"/>
      <c r="H9" s="114"/>
      <c r="I9" s="176" t="str">
        <f>IF(F9="","",INDEX(Lists!$BA$4:$BC$37,MATCH(RenewableElectricityTable[[#This Row],[Renewable Type]],Lists!$AZ$4:$AZ$37,0),MATCH(RenewableElectricityTable[[#This Row],[Methodology used]],Lists!$BA$3:$BC$3,0)))</f>
        <v/>
      </c>
      <c r="J9" s="250"/>
      <c r="K9" s="248"/>
      <c r="L9" s="251">
        <f>SUM(RenewableElectricityTable[[#This Row],[kWh consumed by reporting organisation]:[kWh exported to other PSB]])</f>
        <v>0</v>
      </c>
      <c r="M9" s="253"/>
      <c r="N9" s="253"/>
      <c r="O9" s="253"/>
      <c r="P9" s="300"/>
      <c r="Q9" s="119"/>
      <c r="R9" s="119"/>
      <c r="T9" s="1" cm="1">
        <f t="array" ref="T9">IF(OR(ISERROR(B9:R9)),1,0)</f>
        <v>0</v>
      </c>
      <c r="U9" s="1">
        <f t="shared" si="0"/>
        <v>0</v>
      </c>
    </row>
    <row r="10" spans="1:22" ht="15" thickBot="1" x14ac:dyDescent="0.4">
      <c r="A10" s="7"/>
      <c r="B10" s="114"/>
      <c r="C10" s="113"/>
      <c r="D10" s="113"/>
      <c r="E10" s="114"/>
      <c r="F10" s="114"/>
      <c r="G10" s="114"/>
      <c r="H10" s="114"/>
      <c r="I10" s="176" t="str">
        <f>IF(F10="","",INDEX(Lists!$BA$4:$BC$37,MATCH(RenewableElectricityTable[[#This Row],[Renewable Type]],Lists!$AZ$4:$AZ$37,0),MATCH(RenewableElectricityTable[[#This Row],[Methodology used]],Lists!$BA$3:$BC$3,0)))</f>
        <v/>
      </c>
      <c r="J10" s="250"/>
      <c r="K10" s="248"/>
      <c r="L10" s="251">
        <f>SUM(RenewableElectricityTable[[#This Row],[kWh consumed by reporting organisation]:[kWh exported to other PSB]])</f>
        <v>0</v>
      </c>
      <c r="M10" s="253"/>
      <c r="N10" s="253"/>
      <c r="O10" s="253"/>
      <c r="P10" s="300"/>
      <c r="Q10" s="119"/>
      <c r="R10" s="119"/>
      <c r="T10" s="1" cm="1">
        <f t="array" ref="T10">IF(OR(ISERROR(B10:R10)),1,0)</f>
        <v>0</v>
      </c>
      <c r="U10" s="1">
        <f t="shared" si="0"/>
        <v>0</v>
      </c>
    </row>
    <row r="11" spans="1:22" ht="15" thickBot="1" x14ac:dyDescent="0.4">
      <c r="A11" s="7"/>
      <c r="B11" s="114"/>
      <c r="C11" s="113"/>
      <c r="D11" s="113"/>
      <c r="E11" s="114"/>
      <c r="F11" s="114"/>
      <c r="G11" s="114"/>
      <c r="H11" s="114"/>
      <c r="I11" s="176" t="str">
        <f>IF(F11="","",INDEX(Lists!$BA$4:$BC$37,MATCH(RenewableElectricityTable[[#This Row],[Renewable Type]],Lists!$AZ$4:$AZ$37,0),MATCH(RenewableElectricityTable[[#This Row],[Methodology used]],Lists!$BA$3:$BC$3,0)))</f>
        <v/>
      </c>
      <c r="J11" s="250"/>
      <c r="K11" s="248"/>
      <c r="L11" s="251">
        <f>SUM(RenewableElectricityTable[[#This Row],[kWh consumed by reporting organisation]:[kWh exported to other PSB]])</f>
        <v>0</v>
      </c>
      <c r="M11" s="253"/>
      <c r="N11" s="253"/>
      <c r="O11" s="253"/>
      <c r="P11" s="300"/>
      <c r="Q11" s="119"/>
      <c r="R11" s="119"/>
      <c r="T11" s="1" cm="1">
        <f t="array" ref="T11">IF(OR(ISERROR(B11:R11)),1,0)</f>
        <v>0</v>
      </c>
      <c r="U11" s="1">
        <f t="shared" si="0"/>
        <v>0</v>
      </c>
    </row>
    <row r="12" spans="1:22" ht="15" thickBot="1" x14ac:dyDescent="0.4">
      <c r="A12" s="7"/>
      <c r="B12" s="114"/>
      <c r="C12" s="113"/>
      <c r="D12" s="113"/>
      <c r="E12" s="114"/>
      <c r="F12" s="114"/>
      <c r="G12" s="114"/>
      <c r="H12" s="114"/>
      <c r="I12" s="176" t="str">
        <f>IF(F12="","",INDEX(Lists!$BA$4:$BC$37,MATCH(RenewableElectricityTable[[#This Row],[Renewable Type]],Lists!$AZ$4:$AZ$37,0),MATCH(RenewableElectricityTable[[#This Row],[Methodology used]],Lists!$BA$3:$BC$3,0)))</f>
        <v/>
      </c>
      <c r="J12" s="250"/>
      <c r="K12" s="248"/>
      <c r="L12" s="251">
        <f>SUM(RenewableElectricityTable[[#This Row],[kWh consumed by reporting organisation]:[kWh exported to other PSB]])</f>
        <v>0</v>
      </c>
      <c r="M12" s="253"/>
      <c r="N12" s="253"/>
      <c r="O12" s="253"/>
      <c r="P12" s="300"/>
      <c r="Q12" s="119"/>
      <c r="R12" s="119"/>
      <c r="T12" s="1" cm="1">
        <f t="array" ref="T12">IF(OR(ISERROR(B12:R12)),1,0)</f>
        <v>0</v>
      </c>
      <c r="U12" s="1">
        <f t="shared" si="0"/>
        <v>0</v>
      </c>
    </row>
    <row r="13" spans="1:22" ht="15" thickBot="1" x14ac:dyDescent="0.4">
      <c r="A13" s="7"/>
      <c r="B13" s="114"/>
      <c r="C13" s="113"/>
      <c r="D13" s="113"/>
      <c r="E13" s="114"/>
      <c r="F13" s="114"/>
      <c r="G13" s="114"/>
      <c r="H13" s="114"/>
      <c r="I13" s="176" t="str">
        <f>IF(F13="","",INDEX(Lists!$BA$4:$BC$37,MATCH(RenewableElectricityTable[[#This Row],[Renewable Type]],Lists!$AZ$4:$AZ$37,0),MATCH(RenewableElectricityTable[[#This Row],[Methodology used]],Lists!$BA$3:$BC$3,0)))</f>
        <v/>
      </c>
      <c r="J13" s="250"/>
      <c r="K13" s="248"/>
      <c r="L13" s="251">
        <f>SUM(RenewableElectricityTable[[#This Row],[kWh consumed by reporting organisation]:[kWh exported to other PSB]])</f>
        <v>0</v>
      </c>
      <c r="M13" s="253"/>
      <c r="N13" s="253"/>
      <c r="O13" s="253"/>
      <c r="P13" s="300"/>
      <c r="Q13" s="119"/>
      <c r="R13" s="119"/>
      <c r="T13" s="1" cm="1">
        <f t="array" ref="T13">IF(OR(ISERROR(B13:R13)),1,0)</f>
        <v>0</v>
      </c>
      <c r="U13" s="1">
        <f t="shared" si="0"/>
        <v>0</v>
      </c>
    </row>
    <row r="14" spans="1:22" ht="15" thickBot="1" x14ac:dyDescent="0.4">
      <c r="A14" s="7"/>
      <c r="B14" s="114"/>
      <c r="C14" s="113"/>
      <c r="D14" s="113"/>
      <c r="E14" s="114"/>
      <c r="F14" s="114"/>
      <c r="G14" s="114"/>
      <c r="H14" s="114"/>
      <c r="I14" s="176" t="str">
        <f>IF(F14="","",INDEX(Lists!$BA$4:$BC$37,MATCH(RenewableElectricityTable[[#This Row],[Renewable Type]],Lists!$AZ$4:$AZ$37,0),MATCH(RenewableElectricityTable[[#This Row],[Methodology used]],Lists!$BA$3:$BC$3,0)))</f>
        <v/>
      </c>
      <c r="J14" s="250"/>
      <c r="K14" s="248"/>
      <c r="L14" s="251">
        <f>SUM(RenewableElectricityTable[[#This Row],[kWh consumed by reporting organisation]:[kWh exported to other PSB]])</f>
        <v>0</v>
      </c>
      <c r="M14" s="253"/>
      <c r="N14" s="253"/>
      <c r="O14" s="253"/>
      <c r="P14" s="300"/>
      <c r="Q14" s="119"/>
      <c r="R14" s="119"/>
      <c r="T14" s="1" cm="1">
        <f t="array" ref="T14">IF(OR(ISERROR(B14:R14)),1,0)</f>
        <v>0</v>
      </c>
      <c r="U14" s="1">
        <f t="shared" si="0"/>
        <v>0</v>
      </c>
    </row>
    <row r="15" spans="1:22" ht="15" thickBot="1" x14ac:dyDescent="0.4">
      <c r="A15" s="7"/>
      <c r="B15" s="114"/>
      <c r="C15" s="113"/>
      <c r="D15" s="113"/>
      <c r="E15" s="114"/>
      <c r="F15" s="114"/>
      <c r="G15" s="114"/>
      <c r="H15" s="114"/>
      <c r="I15" s="176" t="str">
        <f>IF(F15="","",INDEX(Lists!$BA$4:$BC$37,MATCH(RenewableElectricityTable[[#This Row],[Renewable Type]],Lists!$AZ$4:$AZ$37,0),MATCH(RenewableElectricityTable[[#This Row],[Methodology used]],Lists!$BA$3:$BC$3,0)))</f>
        <v/>
      </c>
      <c r="J15" s="250"/>
      <c r="K15" s="248"/>
      <c r="L15" s="251">
        <f>SUM(RenewableElectricityTable[[#This Row],[kWh consumed by reporting organisation]:[kWh exported to other PSB]])</f>
        <v>0</v>
      </c>
      <c r="M15" s="253"/>
      <c r="N15" s="253"/>
      <c r="O15" s="253"/>
      <c r="P15" s="300"/>
      <c r="Q15" s="119"/>
      <c r="R15" s="119"/>
      <c r="T15" s="1" cm="1">
        <f t="array" ref="T15">IF(OR(ISERROR(B15:R15)),1,0)</f>
        <v>0</v>
      </c>
      <c r="U15" s="1">
        <f t="shared" si="0"/>
        <v>0</v>
      </c>
    </row>
    <row r="16" spans="1:22" ht="15" thickBot="1" x14ac:dyDescent="0.4">
      <c r="A16" s="7"/>
      <c r="B16" s="114"/>
      <c r="C16" s="113"/>
      <c r="D16" s="113"/>
      <c r="E16" s="114"/>
      <c r="F16" s="114"/>
      <c r="G16" s="114"/>
      <c r="H16" s="114"/>
      <c r="I16" s="176" t="str">
        <f>IF(F16="","",INDEX(Lists!$BA$4:$BC$37,MATCH(RenewableElectricityTable[[#This Row],[Renewable Type]],Lists!$AZ$4:$AZ$37,0),MATCH(RenewableElectricityTable[[#This Row],[Methodology used]],Lists!$BA$3:$BC$3,0)))</f>
        <v/>
      </c>
      <c r="J16" s="250"/>
      <c r="K16" s="248"/>
      <c r="L16" s="251">
        <f>SUM(RenewableElectricityTable[[#This Row],[kWh consumed by reporting organisation]:[kWh exported to other PSB]])</f>
        <v>0</v>
      </c>
      <c r="M16" s="253"/>
      <c r="N16" s="253"/>
      <c r="O16" s="253"/>
      <c r="P16" s="300"/>
      <c r="Q16" s="119"/>
      <c r="R16" s="119"/>
      <c r="T16" s="1" cm="1">
        <f t="array" ref="T16">IF(OR(ISERROR(B16:R16)),1,0)</f>
        <v>0</v>
      </c>
      <c r="U16" s="1">
        <f t="shared" si="0"/>
        <v>0</v>
      </c>
    </row>
    <row r="17" spans="1:21" ht="15" thickBot="1" x14ac:dyDescent="0.4">
      <c r="A17" s="7"/>
      <c r="B17" s="114"/>
      <c r="C17" s="113"/>
      <c r="D17" s="113"/>
      <c r="E17" s="114"/>
      <c r="F17" s="114"/>
      <c r="G17" s="114"/>
      <c r="H17" s="114"/>
      <c r="I17" s="176" t="str">
        <f>IF(F17="","",INDEX(Lists!$BA$4:$BC$37,MATCH(RenewableElectricityTable[[#This Row],[Renewable Type]],Lists!$AZ$4:$AZ$37,0),MATCH(RenewableElectricityTable[[#This Row],[Methodology used]],Lists!$BA$3:$BC$3,0)))</f>
        <v/>
      </c>
      <c r="J17" s="250"/>
      <c r="K17" s="248"/>
      <c r="L17" s="251">
        <f>SUM(RenewableElectricityTable[[#This Row],[kWh consumed by reporting organisation]:[kWh exported to other PSB]])</f>
        <v>0</v>
      </c>
      <c r="M17" s="253"/>
      <c r="N17" s="253"/>
      <c r="O17" s="253"/>
      <c r="P17" s="300"/>
      <c r="Q17" s="119"/>
      <c r="R17" s="119"/>
      <c r="T17" s="1" cm="1">
        <f t="array" ref="T17">IF(OR(ISERROR(B17:R17)),1,0)</f>
        <v>0</v>
      </c>
      <c r="U17" s="1">
        <f t="shared" si="0"/>
        <v>0</v>
      </c>
    </row>
    <row r="18" spans="1:21" ht="15" thickBot="1" x14ac:dyDescent="0.4">
      <c r="A18" s="7"/>
      <c r="B18" s="114"/>
      <c r="C18" s="113"/>
      <c r="D18" s="113"/>
      <c r="E18" s="114"/>
      <c r="F18" s="114"/>
      <c r="G18" s="114"/>
      <c r="H18" s="114"/>
      <c r="I18" s="176" t="str">
        <f>IF(F18="","",INDEX(Lists!$BA$4:$BC$37,MATCH(RenewableElectricityTable[[#This Row],[Renewable Type]],Lists!$AZ$4:$AZ$37,0),MATCH(RenewableElectricityTable[[#This Row],[Methodology used]],Lists!$BA$3:$BC$3,0)))</f>
        <v/>
      </c>
      <c r="J18" s="250"/>
      <c r="K18" s="248"/>
      <c r="L18" s="251">
        <f>SUM(RenewableElectricityTable[[#This Row],[kWh consumed by reporting organisation]:[kWh exported to other PSB]])</f>
        <v>0</v>
      </c>
      <c r="M18" s="253"/>
      <c r="N18" s="253"/>
      <c r="O18" s="253"/>
      <c r="P18" s="300"/>
      <c r="Q18" s="119"/>
      <c r="R18" s="119"/>
      <c r="T18" s="1" cm="1">
        <f t="array" ref="T18">IF(OR(ISERROR(B18:R18)),1,0)</f>
        <v>0</v>
      </c>
      <c r="U18" s="1">
        <f t="shared" si="0"/>
        <v>0</v>
      </c>
    </row>
    <row r="19" spans="1:21" ht="15" thickBot="1" x14ac:dyDescent="0.4">
      <c r="A19" s="7"/>
      <c r="B19" s="114"/>
      <c r="C19" s="113"/>
      <c r="D19" s="113"/>
      <c r="E19" s="114"/>
      <c r="F19" s="114"/>
      <c r="G19" s="114"/>
      <c r="H19" s="114"/>
      <c r="I19" s="176" t="str">
        <f>IF(F19="","",INDEX(Lists!$BA$4:$BC$37,MATCH(RenewableElectricityTable[[#This Row],[Renewable Type]],Lists!$AZ$4:$AZ$37,0),MATCH(RenewableElectricityTable[[#This Row],[Methodology used]],Lists!$BA$3:$BC$3,0)))</f>
        <v/>
      </c>
      <c r="J19" s="250"/>
      <c r="K19" s="248"/>
      <c r="L19" s="251">
        <f>SUM(RenewableElectricityTable[[#This Row],[kWh consumed by reporting organisation]:[kWh exported to other PSB]])</f>
        <v>0</v>
      </c>
      <c r="M19" s="253"/>
      <c r="N19" s="253"/>
      <c r="O19" s="253"/>
      <c r="P19" s="300"/>
      <c r="Q19" s="119"/>
      <c r="R19" s="119"/>
      <c r="T19" s="1" cm="1">
        <f t="array" ref="T19">IF(OR(ISERROR(B19:R19)),1,0)</f>
        <v>0</v>
      </c>
      <c r="U19" s="1">
        <f t="shared" si="0"/>
        <v>0</v>
      </c>
    </row>
    <row r="20" spans="1:21" ht="15" thickBot="1" x14ac:dyDescent="0.4">
      <c r="A20" s="7"/>
      <c r="B20" s="114"/>
      <c r="C20" s="113"/>
      <c r="D20" s="113"/>
      <c r="E20" s="114"/>
      <c r="F20" s="114"/>
      <c r="G20" s="114"/>
      <c r="H20" s="114"/>
      <c r="I20" s="176" t="str">
        <f>IF(F20="","",INDEX(Lists!$BA$4:$BC$37,MATCH(RenewableElectricityTable[[#This Row],[Renewable Type]],Lists!$AZ$4:$AZ$37,0),MATCH(RenewableElectricityTable[[#This Row],[Methodology used]],Lists!$BA$3:$BC$3,0)))</f>
        <v/>
      </c>
      <c r="J20" s="250"/>
      <c r="K20" s="248"/>
      <c r="L20" s="251">
        <f>SUM(RenewableElectricityTable[[#This Row],[kWh consumed by reporting organisation]:[kWh exported to other PSB]])</f>
        <v>0</v>
      </c>
      <c r="M20" s="253"/>
      <c r="N20" s="253"/>
      <c r="O20" s="253"/>
      <c r="P20" s="300"/>
      <c r="Q20" s="119"/>
      <c r="R20" s="119"/>
      <c r="T20" s="1" cm="1">
        <f t="array" ref="T20">IF(OR(ISERROR(B20:R20)),1,0)</f>
        <v>0</v>
      </c>
      <c r="U20" s="1">
        <f t="shared" si="0"/>
        <v>0</v>
      </c>
    </row>
    <row r="21" spans="1:21" ht="15" thickBot="1" x14ac:dyDescent="0.4">
      <c r="A21" s="7"/>
      <c r="B21" s="114"/>
      <c r="C21" s="113"/>
      <c r="D21" s="113"/>
      <c r="E21" s="114"/>
      <c r="F21" s="114"/>
      <c r="G21" s="114"/>
      <c r="H21" s="114"/>
      <c r="I21" s="176" t="str">
        <f>IF(F21="","",INDEX(Lists!$BA$4:$BC$37,MATCH(RenewableElectricityTable[[#This Row],[Renewable Type]],Lists!$AZ$4:$AZ$37,0),MATCH(RenewableElectricityTable[[#This Row],[Methodology used]],Lists!$BA$3:$BC$3,0)))</f>
        <v/>
      </c>
      <c r="J21" s="250"/>
      <c r="K21" s="248"/>
      <c r="L21" s="251">
        <f>SUM(RenewableElectricityTable[[#This Row],[kWh consumed by reporting organisation]:[kWh exported to other PSB]])</f>
        <v>0</v>
      </c>
      <c r="M21" s="253"/>
      <c r="N21" s="253"/>
      <c r="O21" s="253"/>
      <c r="P21" s="300"/>
      <c r="Q21" s="119"/>
      <c r="R21" s="119"/>
      <c r="T21" s="1" cm="1">
        <f t="array" ref="T21">IF(OR(ISERROR(B21:R21)),1,0)</f>
        <v>0</v>
      </c>
      <c r="U21" s="1">
        <f t="shared" si="0"/>
        <v>0</v>
      </c>
    </row>
    <row r="22" spans="1:21" ht="15" thickBot="1" x14ac:dyDescent="0.4">
      <c r="A22" s="7"/>
      <c r="B22" s="114"/>
      <c r="C22" s="113"/>
      <c r="D22" s="113"/>
      <c r="E22" s="114"/>
      <c r="F22" s="114"/>
      <c r="G22" s="114"/>
      <c r="H22" s="114"/>
      <c r="I22" s="176" t="str">
        <f>IF(F22="","",INDEX(Lists!$BA$4:$BC$37,MATCH(RenewableElectricityTable[[#This Row],[Renewable Type]],Lists!$AZ$4:$AZ$37,0),MATCH(RenewableElectricityTable[[#This Row],[Methodology used]],Lists!$BA$3:$BC$3,0)))</f>
        <v/>
      </c>
      <c r="J22" s="250"/>
      <c r="K22" s="248"/>
      <c r="L22" s="251">
        <f>SUM(RenewableElectricityTable[[#This Row],[kWh consumed by reporting organisation]:[kWh exported to other PSB]])</f>
        <v>0</v>
      </c>
      <c r="M22" s="253"/>
      <c r="N22" s="253"/>
      <c r="O22" s="253"/>
      <c r="P22" s="300"/>
      <c r="Q22" s="119"/>
      <c r="R22" s="119"/>
      <c r="T22" s="1" cm="1">
        <f t="array" ref="T22">IF(OR(ISERROR(B22:R22)),1,0)</f>
        <v>0</v>
      </c>
      <c r="U22" s="1">
        <f t="shared" si="0"/>
        <v>0</v>
      </c>
    </row>
    <row r="23" spans="1:21" ht="15" thickBot="1" x14ac:dyDescent="0.4">
      <c r="A23" s="7"/>
      <c r="B23" s="114"/>
      <c r="C23" s="113"/>
      <c r="D23" s="113"/>
      <c r="E23" s="114"/>
      <c r="F23" s="114"/>
      <c r="G23" s="114"/>
      <c r="H23" s="114"/>
      <c r="I23" s="176" t="str">
        <f>IF(F23="","",INDEX(Lists!$BA$4:$BC$37,MATCH(RenewableElectricityTable[[#This Row],[Renewable Type]],Lists!$AZ$4:$AZ$37,0),MATCH(RenewableElectricityTable[[#This Row],[Methodology used]],Lists!$BA$3:$BC$3,0)))</f>
        <v/>
      </c>
      <c r="J23" s="250"/>
      <c r="K23" s="248"/>
      <c r="L23" s="251">
        <f>SUM(RenewableElectricityTable[[#This Row],[kWh consumed by reporting organisation]:[kWh exported to other PSB]])</f>
        <v>0</v>
      </c>
      <c r="M23" s="253"/>
      <c r="N23" s="253"/>
      <c r="O23" s="253"/>
      <c r="P23" s="300"/>
      <c r="Q23" s="119"/>
      <c r="R23" s="119"/>
      <c r="T23" s="1" cm="1">
        <f t="array" ref="T23">IF(OR(ISERROR(B23:R23)),1,0)</f>
        <v>0</v>
      </c>
      <c r="U23" s="1">
        <f t="shared" si="0"/>
        <v>0</v>
      </c>
    </row>
    <row r="24" spans="1:21" ht="15" thickBot="1" x14ac:dyDescent="0.4">
      <c r="A24" s="7"/>
      <c r="B24" s="114"/>
      <c r="C24" s="113"/>
      <c r="D24" s="113"/>
      <c r="E24" s="114"/>
      <c r="F24" s="114"/>
      <c r="G24" s="114"/>
      <c r="H24" s="114"/>
      <c r="I24" s="176" t="str">
        <f>IF(F24="","",INDEX(Lists!$BA$4:$BC$37,MATCH(RenewableElectricityTable[[#This Row],[Renewable Type]],Lists!$AZ$4:$AZ$37,0),MATCH(RenewableElectricityTable[[#This Row],[Methodology used]],Lists!$BA$3:$BC$3,0)))</f>
        <v/>
      </c>
      <c r="J24" s="250"/>
      <c r="K24" s="248"/>
      <c r="L24" s="251">
        <f>SUM(RenewableElectricityTable[[#This Row],[kWh consumed by reporting organisation]:[kWh exported to other PSB]])</f>
        <v>0</v>
      </c>
      <c r="M24" s="253"/>
      <c r="N24" s="253"/>
      <c r="O24" s="253"/>
      <c r="P24" s="300"/>
      <c r="Q24" s="119"/>
      <c r="R24" s="119"/>
      <c r="T24" s="1" cm="1">
        <f t="array" ref="T24">IF(OR(ISERROR(B24:R24)),1,0)</f>
        <v>0</v>
      </c>
      <c r="U24" s="1">
        <f t="shared" si="0"/>
        <v>0</v>
      </c>
    </row>
    <row r="25" spans="1:21" ht="15" thickBot="1" x14ac:dyDescent="0.4">
      <c r="A25" s="7"/>
      <c r="B25" s="114"/>
      <c r="C25" s="113"/>
      <c r="D25" s="113"/>
      <c r="E25" s="114"/>
      <c r="F25" s="114"/>
      <c r="G25" s="114"/>
      <c r="H25" s="114"/>
      <c r="I25" s="176" t="str">
        <f>IF(F25="","",INDEX(Lists!$BA$4:$BC$37,MATCH(RenewableElectricityTable[[#This Row],[Renewable Type]],Lists!$AZ$4:$AZ$37,0),MATCH(RenewableElectricityTable[[#This Row],[Methodology used]],Lists!$BA$3:$BC$3,0)))</f>
        <v/>
      </c>
      <c r="J25" s="250"/>
      <c r="K25" s="248"/>
      <c r="L25" s="251">
        <f>SUM(RenewableElectricityTable[[#This Row],[kWh consumed by reporting organisation]:[kWh exported to other PSB]])</f>
        <v>0</v>
      </c>
      <c r="M25" s="253"/>
      <c r="N25" s="253"/>
      <c r="O25" s="253"/>
      <c r="P25" s="300"/>
      <c r="Q25" s="119"/>
      <c r="R25" s="119"/>
      <c r="T25" s="1" cm="1">
        <f t="array" ref="T25">IF(OR(ISERROR(B25:R25)),1,0)</f>
        <v>0</v>
      </c>
      <c r="U25" s="1">
        <f t="shared" si="0"/>
        <v>0</v>
      </c>
    </row>
    <row r="26" spans="1:21" ht="15" thickBot="1" x14ac:dyDescent="0.4">
      <c r="A26" s="7"/>
      <c r="B26" s="114"/>
      <c r="C26" s="113"/>
      <c r="D26" s="113"/>
      <c r="E26" s="114"/>
      <c r="F26" s="114"/>
      <c r="G26" s="114"/>
      <c r="H26" s="114"/>
      <c r="I26" s="176" t="str">
        <f>IF(F26="","",INDEX(Lists!$BA$4:$BC$37,MATCH(RenewableElectricityTable[[#This Row],[Renewable Type]],Lists!$AZ$4:$AZ$37,0),MATCH(RenewableElectricityTable[[#This Row],[Methodology used]],Lists!$BA$3:$BC$3,0)))</f>
        <v/>
      </c>
      <c r="J26" s="250"/>
      <c r="K26" s="248"/>
      <c r="L26" s="251">
        <f>SUM(RenewableElectricityTable[[#This Row],[kWh consumed by reporting organisation]:[kWh exported to other PSB]])</f>
        <v>0</v>
      </c>
      <c r="M26" s="253"/>
      <c r="N26" s="253"/>
      <c r="O26" s="253"/>
      <c r="P26" s="300"/>
      <c r="Q26" s="119"/>
      <c r="R26" s="119"/>
      <c r="T26" s="1" cm="1">
        <f t="array" ref="T26">IF(OR(ISERROR(B26:R26)),1,0)</f>
        <v>0</v>
      </c>
      <c r="U26" s="1">
        <f t="shared" si="0"/>
        <v>0</v>
      </c>
    </row>
    <row r="27" spans="1:21" ht="15" thickBot="1" x14ac:dyDescent="0.4">
      <c r="A27" s="7"/>
      <c r="B27" s="114"/>
      <c r="C27" s="113"/>
      <c r="D27" s="113"/>
      <c r="E27" s="114"/>
      <c r="F27" s="114"/>
      <c r="G27" s="114"/>
      <c r="H27" s="114"/>
      <c r="I27" s="176" t="str">
        <f>IF(F27="","",INDEX(Lists!$BA$4:$BC$37,MATCH(RenewableElectricityTable[[#This Row],[Renewable Type]],Lists!$AZ$4:$AZ$37,0),MATCH(RenewableElectricityTable[[#This Row],[Methodology used]],Lists!$BA$3:$BC$3,0)))</f>
        <v/>
      </c>
      <c r="J27" s="250"/>
      <c r="K27" s="248"/>
      <c r="L27" s="251">
        <f>SUM(RenewableElectricityTable[[#This Row],[kWh consumed by reporting organisation]:[kWh exported to other PSB]])</f>
        <v>0</v>
      </c>
      <c r="M27" s="253"/>
      <c r="N27" s="253"/>
      <c r="O27" s="253"/>
      <c r="P27" s="300"/>
      <c r="Q27" s="119"/>
      <c r="R27" s="119"/>
      <c r="T27" s="1" cm="1">
        <f t="array" ref="T27">IF(OR(ISERROR(B27:R27)),1,0)</f>
        <v>0</v>
      </c>
      <c r="U27" s="1">
        <f t="shared" si="0"/>
        <v>0</v>
      </c>
    </row>
    <row r="28" spans="1:21" ht="15" thickBot="1" x14ac:dyDescent="0.4">
      <c r="A28" s="7"/>
      <c r="B28" s="114"/>
      <c r="C28" s="113"/>
      <c r="D28" s="113"/>
      <c r="E28" s="114"/>
      <c r="F28" s="114"/>
      <c r="G28" s="114"/>
      <c r="H28" s="114"/>
      <c r="I28" s="176" t="str">
        <f>IF(F28="","",INDEX(Lists!$BA$4:$BC$37,MATCH(RenewableElectricityTable[[#This Row],[Renewable Type]],Lists!$AZ$4:$AZ$37,0),MATCH(RenewableElectricityTable[[#This Row],[Methodology used]],Lists!$BA$3:$BC$3,0)))</f>
        <v/>
      </c>
      <c r="J28" s="250"/>
      <c r="K28" s="248"/>
      <c r="L28" s="251">
        <f>SUM(RenewableElectricityTable[[#This Row],[kWh consumed by reporting organisation]:[kWh exported to other PSB]])</f>
        <v>0</v>
      </c>
      <c r="M28" s="253"/>
      <c r="N28" s="253"/>
      <c r="O28" s="253"/>
      <c r="P28" s="300"/>
      <c r="Q28" s="119"/>
      <c r="R28" s="119"/>
      <c r="T28" s="1" cm="1">
        <f t="array" ref="T28">IF(OR(ISERROR(B28:R28)),1,0)</f>
        <v>0</v>
      </c>
      <c r="U28" s="1">
        <f t="shared" si="0"/>
        <v>0</v>
      </c>
    </row>
    <row r="29" spans="1:21" ht="15" thickBot="1" x14ac:dyDescent="0.4">
      <c r="A29" s="7"/>
      <c r="B29" s="114"/>
      <c r="C29" s="113"/>
      <c r="D29" s="113"/>
      <c r="E29" s="114"/>
      <c r="F29" s="114"/>
      <c r="G29" s="114"/>
      <c r="H29" s="114"/>
      <c r="I29" s="176" t="str">
        <f>IF(F29="","",INDEX(Lists!$BA$4:$BC$37,MATCH(RenewableElectricityTable[[#This Row],[Renewable Type]],Lists!$AZ$4:$AZ$37,0),MATCH(RenewableElectricityTable[[#This Row],[Methodology used]],Lists!$BA$3:$BC$3,0)))</f>
        <v/>
      </c>
      <c r="J29" s="250"/>
      <c r="K29" s="248"/>
      <c r="L29" s="251">
        <f>SUM(RenewableElectricityTable[[#This Row],[kWh consumed by reporting organisation]:[kWh exported to other PSB]])</f>
        <v>0</v>
      </c>
      <c r="M29" s="253"/>
      <c r="N29" s="253"/>
      <c r="O29" s="253"/>
      <c r="P29" s="300"/>
      <c r="Q29" s="119"/>
      <c r="R29" s="119"/>
      <c r="T29" s="1" cm="1">
        <f t="array" ref="T29">IF(OR(ISERROR(B29:R29)),1,0)</f>
        <v>0</v>
      </c>
      <c r="U29" s="1">
        <f t="shared" si="0"/>
        <v>0</v>
      </c>
    </row>
    <row r="30" spans="1:21" ht="15" thickBot="1" x14ac:dyDescent="0.4">
      <c r="A30" s="7"/>
      <c r="B30" s="114"/>
      <c r="C30" s="113"/>
      <c r="D30" s="113"/>
      <c r="E30" s="114"/>
      <c r="F30" s="114"/>
      <c r="G30" s="114"/>
      <c r="H30" s="114"/>
      <c r="I30" s="176" t="str">
        <f>IF(F30="","",INDEX(Lists!$BA$4:$BC$37,MATCH(RenewableElectricityTable[[#This Row],[Renewable Type]],Lists!$AZ$4:$AZ$37,0),MATCH(RenewableElectricityTable[[#This Row],[Methodology used]],Lists!$BA$3:$BC$3,0)))</f>
        <v/>
      </c>
      <c r="J30" s="250"/>
      <c r="K30" s="248"/>
      <c r="L30" s="251">
        <f>SUM(RenewableElectricityTable[[#This Row],[kWh consumed by reporting organisation]:[kWh exported to other PSB]])</f>
        <v>0</v>
      </c>
      <c r="M30" s="253"/>
      <c r="N30" s="253"/>
      <c r="O30" s="253"/>
      <c r="P30" s="300"/>
      <c r="Q30" s="119"/>
      <c r="R30" s="119"/>
      <c r="T30" s="1" cm="1">
        <f t="array" ref="T30">IF(OR(ISERROR(B30:R30)),1,0)</f>
        <v>0</v>
      </c>
      <c r="U30" s="1">
        <f t="shared" si="0"/>
        <v>0</v>
      </c>
    </row>
    <row r="31" spans="1:21" ht="15" thickBot="1" x14ac:dyDescent="0.4">
      <c r="A31" s="7"/>
      <c r="B31" s="114"/>
      <c r="C31" s="115"/>
      <c r="D31" s="115"/>
      <c r="E31" s="116"/>
      <c r="F31" s="116"/>
      <c r="G31" s="116"/>
      <c r="H31" s="116"/>
      <c r="I31" s="176" t="str">
        <f>IF(F31="","",INDEX(Lists!$BA$4:$BC$37,MATCH(RenewableElectricityTable[[#This Row],[Renewable Type]],Lists!$AZ$4:$AZ$37,0),MATCH(RenewableElectricityTable[[#This Row],[Methodology used]],Lists!$BA$3:$BC$3,0)))</f>
        <v/>
      </c>
      <c r="J31" s="250"/>
      <c r="K31" s="249"/>
      <c r="L31" s="252">
        <f>SUM(RenewableElectricityTable[[#This Row],[kWh consumed by reporting organisation]:[kWh exported to other PSB]])</f>
        <v>0</v>
      </c>
      <c r="M31" s="254"/>
      <c r="N31" s="254"/>
      <c r="O31" s="254"/>
      <c r="P31" s="300"/>
      <c r="Q31" s="119"/>
      <c r="R31" s="120"/>
      <c r="T31" s="1" cm="1">
        <f t="array" ref="T31">IF(OR(ISERROR(B31:R31)),1,0)</f>
        <v>0</v>
      </c>
      <c r="U31" s="1">
        <f t="shared" si="0"/>
        <v>0</v>
      </c>
    </row>
    <row r="32" spans="1:21" ht="15" thickBot="1" x14ac:dyDescent="0.4">
      <c r="A32" s="7"/>
      <c r="B32" s="498"/>
      <c r="C32" s="113"/>
      <c r="D32" s="113"/>
      <c r="E32" s="114"/>
      <c r="F32" s="114"/>
      <c r="G32" s="114"/>
      <c r="H32" s="114"/>
      <c r="I32" s="176" t="str">
        <f>IF(F32="","",INDEX(Lists!$BA$4:$BC$37,MATCH(RenewableElectricityTable[[#This Row],[Renewable Type]],Lists!$AZ$4:$AZ$37,0),MATCH(RenewableElectricityTable[[#This Row],[Methodology used]],Lists!$BA$3:$BC$3,0)))</f>
        <v/>
      </c>
      <c r="J32" s="250"/>
      <c r="K32" s="248"/>
      <c r="L32" s="251">
        <f>SUM(RenewableElectricityTable[[#This Row],[kWh consumed by reporting organisation]:[kWh exported to other PSB]])</f>
        <v>0</v>
      </c>
      <c r="M32" s="253"/>
      <c r="N32" s="253"/>
      <c r="O32" s="253"/>
      <c r="P32" s="301"/>
      <c r="Q32" s="119"/>
      <c r="R32" s="119"/>
      <c r="T32" s="1" cm="1">
        <f t="array" ref="T32">IF(OR(ISERROR(B32:R32)),1,0)</f>
        <v>0</v>
      </c>
      <c r="U32" s="1">
        <f t="shared" si="0"/>
        <v>0</v>
      </c>
    </row>
    <row r="33" spans="1:21" x14ac:dyDescent="0.35">
      <c r="A33" s="7"/>
      <c r="B33"/>
      <c r="C33" s="85"/>
      <c r="D33" s="85"/>
      <c r="E33" s="62"/>
      <c r="F33" s="19"/>
      <c r="G33"/>
      <c r="H33"/>
      <c r="I33"/>
      <c r="J33" s="19"/>
      <c r="K33" s="19"/>
      <c r="L33" s="18"/>
      <c r="M33" s="33"/>
      <c r="N33" s="33"/>
      <c r="O33" s="30"/>
    </row>
    <row r="34" spans="1:21" ht="18" customHeight="1" x14ac:dyDescent="0.35">
      <c r="B34"/>
      <c r="C34" s="85"/>
      <c r="D34" s="85"/>
      <c r="E34" s="62"/>
      <c r="F34" s="19"/>
      <c r="G34"/>
      <c r="H34"/>
      <c r="I34"/>
      <c r="J34" s="19"/>
      <c r="K34" s="19"/>
      <c r="L34" s="18"/>
      <c r="M34" s="33"/>
      <c r="N34" s="33"/>
      <c r="O34" s="30"/>
    </row>
    <row r="35" spans="1:21" ht="18.5" x14ac:dyDescent="0.35">
      <c r="A35" s="19"/>
      <c r="B35" s="20" t="s">
        <v>463</v>
      </c>
      <c r="E35" s="92"/>
      <c r="F35" s="92"/>
      <c r="G35"/>
      <c r="H35"/>
      <c r="I35"/>
      <c r="J35" s="19"/>
      <c r="K35" s="19"/>
      <c r="M35" s="33"/>
      <c r="N35" s="622" t="s">
        <v>464</v>
      </c>
      <c r="O35" s="623"/>
      <c r="P35" s="624"/>
      <c r="T35" s="9" t="s">
        <v>444</v>
      </c>
      <c r="U35" s="9" t="s">
        <v>445</v>
      </c>
    </row>
    <row r="36" spans="1:21" ht="29.5" thickBot="1" x14ac:dyDescent="0.4">
      <c r="B36" s="40" t="s">
        <v>446</v>
      </c>
      <c r="C36" s="39" t="s">
        <v>447</v>
      </c>
      <c r="D36" s="39" t="s">
        <v>448</v>
      </c>
      <c r="E36" s="40" t="s">
        <v>449</v>
      </c>
      <c r="F36" s="40" t="s">
        <v>230</v>
      </c>
      <c r="G36" s="40" t="s">
        <v>450</v>
      </c>
      <c r="H36" s="40" t="s">
        <v>451</v>
      </c>
      <c r="I36" s="40" t="s">
        <v>181</v>
      </c>
      <c r="J36" s="40" t="s">
        <v>465</v>
      </c>
      <c r="K36" s="96" t="s">
        <v>19</v>
      </c>
      <c r="L36" s="40" t="s">
        <v>454</v>
      </c>
      <c r="M36" s="40" t="s">
        <v>455</v>
      </c>
      <c r="N36" s="40" t="s">
        <v>466</v>
      </c>
      <c r="O36" s="40" t="s">
        <v>457</v>
      </c>
      <c r="P36" s="40" t="s">
        <v>458</v>
      </c>
      <c r="Q36" s="40" t="s">
        <v>188</v>
      </c>
      <c r="R36" s="41" t="s">
        <v>189</v>
      </c>
      <c r="T36" s="1">
        <f>SUM(T37:T60)</f>
        <v>0</v>
      </c>
      <c r="U36" s="1">
        <f>SUM(U37:U60)</f>
        <v>0</v>
      </c>
    </row>
    <row r="37" spans="1:21" ht="15" thickBot="1" x14ac:dyDescent="0.4">
      <c r="B37" s="114"/>
      <c r="C37" s="234" t="s">
        <v>459</v>
      </c>
      <c r="D37" s="113"/>
      <c r="E37" s="114"/>
      <c r="F37" s="114"/>
      <c r="G37" s="114"/>
      <c r="H37" s="114"/>
      <c r="I37" s="176" t="str">
        <f>IF(F37="","",INDEX(Lists!$BA$4:$BC$37,MATCH(OnsiteHeatTable[[#This Row],[Renewable Type]],Lists!$AZ$4:$AZ$37,0),MATCH(OnsiteHeatTable[[#This Row],[Methodology used]],Lists!$BA$3:$BC$3,0)))</f>
        <v/>
      </c>
      <c r="J37" s="117"/>
      <c r="K37" s="42"/>
      <c r="L37" s="251">
        <f>SUM(OnsiteHeatTable[[#This Row],[kWh consumed by reporting organisation]:[kWh exported to other PSB]])</f>
        <v>0</v>
      </c>
      <c r="M37" s="253"/>
      <c r="N37" s="253"/>
      <c r="O37" s="253"/>
      <c r="P37" s="300"/>
      <c r="Q37" s="119"/>
      <c r="R37" s="119"/>
      <c r="T37" s="1" cm="1">
        <f t="array" ref="T37">IF(OR(ISERROR(B37:R37)),1,0)</f>
        <v>0</v>
      </c>
      <c r="U37" s="1">
        <f t="shared" ref="U37:U60" si="1">IF(AND(D37="",E37=""),0,1)</f>
        <v>0</v>
      </c>
    </row>
    <row r="38" spans="1:21" ht="15" thickBot="1" x14ac:dyDescent="0.4">
      <c r="B38" s="114"/>
      <c r="C38" s="234" t="s">
        <v>459</v>
      </c>
      <c r="D38" s="113"/>
      <c r="E38" s="114"/>
      <c r="F38" s="114"/>
      <c r="G38" s="114"/>
      <c r="H38" s="114"/>
      <c r="I38" s="176" t="str">
        <f>IF(F38="","",INDEX(Lists!$BA$4:$BC$37,MATCH(OnsiteHeatTable[[#This Row],[Renewable Type]],Lists!$AZ$4:$AZ$37,0),MATCH(OnsiteHeatTable[[#This Row],[Methodology used]],Lists!$BA$3:$BC$3,0)))</f>
        <v/>
      </c>
      <c r="J38" s="117"/>
      <c r="K38" s="42"/>
      <c r="L38" s="251">
        <f>SUM(OnsiteHeatTable[[#This Row],[kWh consumed by reporting organisation]:[kWh exported to other PSB]])</f>
        <v>0</v>
      </c>
      <c r="M38" s="253"/>
      <c r="N38" s="253"/>
      <c r="O38" s="253"/>
      <c r="P38" s="300"/>
      <c r="Q38" s="119"/>
      <c r="R38" s="119"/>
      <c r="T38" s="1" cm="1">
        <f t="array" ref="T38">IF(OR(ISERROR(B38:R38)),1,0)</f>
        <v>0</v>
      </c>
      <c r="U38" s="1">
        <f t="shared" si="1"/>
        <v>0</v>
      </c>
    </row>
    <row r="39" spans="1:21" ht="15" thickBot="1" x14ac:dyDescent="0.4">
      <c r="B39" s="114"/>
      <c r="C39" s="234" t="s">
        <v>459</v>
      </c>
      <c r="D39" s="113"/>
      <c r="E39" s="114"/>
      <c r="F39" s="114"/>
      <c r="G39" s="114"/>
      <c r="H39" s="114"/>
      <c r="I39" s="176" t="str">
        <f>IF(F39="","",INDEX(Lists!$BA$4:$BC$37,MATCH(OnsiteHeatTable[[#This Row],[Renewable Type]],Lists!$AZ$4:$AZ$37,0),MATCH(OnsiteHeatTable[[#This Row],[Methodology used]],Lists!$BA$3:$BC$3,0)))</f>
        <v/>
      </c>
      <c r="J39" s="117"/>
      <c r="K39" s="42"/>
      <c r="L39" s="251">
        <f>SUM(OnsiteHeatTable[[#This Row],[kWh consumed by reporting organisation]:[kWh exported to other PSB]])</f>
        <v>0</v>
      </c>
      <c r="M39" s="253"/>
      <c r="N39" s="253"/>
      <c r="O39" s="253"/>
      <c r="P39" s="300"/>
      <c r="Q39" s="119"/>
      <c r="R39" s="119"/>
      <c r="T39" s="1" cm="1">
        <f t="array" ref="T39">IF(OR(ISERROR(B39:R39)),1,0)</f>
        <v>0</v>
      </c>
      <c r="U39" s="1">
        <f t="shared" si="1"/>
        <v>0</v>
      </c>
    </row>
    <row r="40" spans="1:21" ht="15" thickBot="1" x14ac:dyDescent="0.4">
      <c r="B40" s="114"/>
      <c r="C40" s="234" t="s">
        <v>459</v>
      </c>
      <c r="D40" s="113"/>
      <c r="E40" s="114"/>
      <c r="F40" s="114"/>
      <c r="G40" s="114"/>
      <c r="H40" s="114"/>
      <c r="I40" s="176" t="str">
        <f>IF(F40="","",INDEX(Lists!$BA$4:$BC$37,MATCH(OnsiteHeatTable[[#This Row],[Renewable Type]],Lists!$AZ$4:$AZ$37,0),MATCH(OnsiteHeatTable[[#This Row],[Methodology used]],Lists!$BA$3:$BC$3,0)))</f>
        <v/>
      </c>
      <c r="J40" s="117"/>
      <c r="K40" s="42"/>
      <c r="L40" s="251">
        <f>SUM(OnsiteHeatTable[[#This Row],[kWh consumed by reporting organisation]:[kWh exported to other PSB]])</f>
        <v>0</v>
      </c>
      <c r="M40" s="253"/>
      <c r="N40" s="253"/>
      <c r="O40" s="253"/>
      <c r="P40" s="300"/>
      <c r="Q40" s="119"/>
      <c r="R40" s="119"/>
      <c r="T40" s="1" cm="1">
        <f t="array" ref="T40">IF(OR(ISERROR(B40:R40)),1,0)</f>
        <v>0</v>
      </c>
      <c r="U40" s="1">
        <f t="shared" si="1"/>
        <v>0</v>
      </c>
    </row>
    <row r="41" spans="1:21" ht="15" thickBot="1" x14ac:dyDescent="0.4">
      <c r="B41" s="114"/>
      <c r="C41" s="234" t="s">
        <v>459</v>
      </c>
      <c r="D41" s="113"/>
      <c r="E41" s="114"/>
      <c r="F41" s="114"/>
      <c r="G41" s="114"/>
      <c r="H41" s="114"/>
      <c r="I41" s="176" t="str">
        <f>IF(F41="","",INDEX(Lists!$BA$4:$BC$37,MATCH(OnsiteHeatTable[[#This Row],[Renewable Type]],Lists!$AZ$4:$AZ$37,0),MATCH(OnsiteHeatTable[[#This Row],[Methodology used]],Lists!$BA$3:$BC$3,0)))</f>
        <v/>
      </c>
      <c r="J41" s="117"/>
      <c r="K41" s="42"/>
      <c r="L41" s="251">
        <f>SUM(OnsiteHeatTable[[#This Row],[kWh consumed by reporting organisation]:[kWh exported to other PSB]])</f>
        <v>0</v>
      </c>
      <c r="M41" s="253"/>
      <c r="N41" s="253"/>
      <c r="O41" s="253"/>
      <c r="P41" s="300"/>
      <c r="Q41" s="119"/>
      <c r="R41" s="119"/>
      <c r="T41" s="1" cm="1">
        <f t="array" ref="T41">IF(OR(ISERROR(B41:R41)),1,0)</f>
        <v>0</v>
      </c>
      <c r="U41" s="1">
        <f t="shared" si="1"/>
        <v>0</v>
      </c>
    </row>
    <row r="42" spans="1:21" ht="15" thickBot="1" x14ac:dyDescent="0.4">
      <c r="B42" s="114"/>
      <c r="C42" s="234" t="s">
        <v>459</v>
      </c>
      <c r="D42" s="113"/>
      <c r="E42" s="114"/>
      <c r="F42" s="114"/>
      <c r="G42" s="114"/>
      <c r="H42" s="114"/>
      <c r="I42" s="176" t="str">
        <f>IF(F42="","",INDEX(Lists!$BA$4:$BC$37,MATCH(OnsiteHeatTable[[#This Row],[Renewable Type]],Lists!$AZ$4:$AZ$37,0),MATCH(OnsiteHeatTable[[#This Row],[Methodology used]],Lists!$BA$3:$BC$3,0)))</f>
        <v/>
      </c>
      <c r="J42" s="117"/>
      <c r="K42" s="42"/>
      <c r="L42" s="251">
        <f>SUM(OnsiteHeatTable[[#This Row],[kWh consumed by reporting organisation]:[kWh exported to other PSB]])</f>
        <v>0</v>
      </c>
      <c r="M42" s="253"/>
      <c r="N42" s="253"/>
      <c r="O42" s="253"/>
      <c r="P42" s="300"/>
      <c r="Q42" s="119"/>
      <c r="R42" s="119"/>
      <c r="T42" s="1" cm="1">
        <f t="array" ref="T42">IF(OR(ISERROR(B42:R42)),1,0)</f>
        <v>0</v>
      </c>
      <c r="U42" s="1">
        <f t="shared" si="1"/>
        <v>0</v>
      </c>
    </row>
    <row r="43" spans="1:21" ht="15" thickBot="1" x14ac:dyDescent="0.4">
      <c r="B43" s="114"/>
      <c r="C43" s="234" t="s">
        <v>459</v>
      </c>
      <c r="D43" s="113"/>
      <c r="E43" s="114"/>
      <c r="F43" s="114"/>
      <c r="G43" s="114"/>
      <c r="H43" s="114"/>
      <c r="I43" s="176" t="str">
        <f>IF(F43="","",INDEX(Lists!$BA$4:$BC$37,MATCH(OnsiteHeatTable[[#This Row],[Renewable Type]],Lists!$AZ$4:$AZ$37,0),MATCH(OnsiteHeatTable[[#This Row],[Methodology used]],Lists!$BA$3:$BC$3,0)))</f>
        <v/>
      </c>
      <c r="J43" s="117"/>
      <c r="K43" s="42"/>
      <c r="L43" s="251">
        <f>SUM(OnsiteHeatTable[[#This Row],[kWh consumed by reporting organisation]:[kWh exported to other PSB]])</f>
        <v>0</v>
      </c>
      <c r="M43" s="253"/>
      <c r="N43" s="253"/>
      <c r="O43" s="253"/>
      <c r="P43" s="300"/>
      <c r="Q43" s="119"/>
      <c r="R43" s="119"/>
      <c r="T43" s="1" cm="1">
        <f t="array" ref="T43">IF(OR(ISERROR(B43:R43)),1,0)</f>
        <v>0</v>
      </c>
      <c r="U43" s="1">
        <f t="shared" si="1"/>
        <v>0</v>
      </c>
    </row>
    <row r="44" spans="1:21" ht="15" thickBot="1" x14ac:dyDescent="0.4">
      <c r="B44" s="114"/>
      <c r="C44" s="234" t="s">
        <v>459</v>
      </c>
      <c r="D44" s="113"/>
      <c r="E44" s="114"/>
      <c r="F44" s="114"/>
      <c r="G44" s="114"/>
      <c r="H44" s="114"/>
      <c r="I44" s="176" t="str">
        <f>IF(F44="","",INDEX(Lists!$BA$4:$BC$37,MATCH(OnsiteHeatTable[[#This Row],[Renewable Type]],Lists!$AZ$4:$AZ$37,0),MATCH(OnsiteHeatTable[[#This Row],[Methodology used]],Lists!$BA$3:$BC$3,0)))</f>
        <v/>
      </c>
      <c r="J44" s="117"/>
      <c r="K44" s="42"/>
      <c r="L44" s="251">
        <f>SUM(OnsiteHeatTable[[#This Row],[kWh consumed by reporting organisation]:[kWh exported to other PSB]])</f>
        <v>0</v>
      </c>
      <c r="M44" s="253"/>
      <c r="N44" s="253"/>
      <c r="O44" s="253"/>
      <c r="P44" s="300"/>
      <c r="Q44" s="119"/>
      <c r="R44" s="119"/>
      <c r="T44" s="1" cm="1">
        <f t="array" ref="T44">IF(OR(ISERROR(B44:R44)),1,0)</f>
        <v>0</v>
      </c>
      <c r="U44" s="1">
        <f t="shared" si="1"/>
        <v>0</v>
      </c>
    </row>
    <row r="45" spans="1:21" ht="15" thickBot="1" x14ac:dyDescent="0.4">
      <c r="B45" s="114"/>
      <c r="C45" s="234" t="s">
        <v>459</v>
      </c>
      <c r="D45" s="113"/>
      <c r="E45" s="114"/>
      <c r="F45" s="114"/>
      <c r="G45" s="114"/>
      <c r="H45" s="114"/>
      <c r="I45" s="176" t="str">
        <f>IF(F45="","",INDEX(Lists!$BA$4:$BC$37,MATCH(OnsiteHeatTable[[#This Row],[Renewable Type]],Lists!$AZ$4:$AZ$37,0),MATCH(OnsiteHeatTable[[#This Row],[Methodology used]],Lists!$BA$3:$BC$3,0)))</f>
        <v/>
      </c>
      <c r="J45" s="117"/>
      <c r="K45" s="42"/>
      <c r="L45" s="251">
        <f>SUM(OnsiteHeatTable[[#This Row],[kWh consumed by reporting organisation]:[kWh exported to other PSB]])</f>
        <v>0</v>
      </c>
      <c r="M45" s="253"/>
      <c r="N45" s="253"/>
      <c r="O45" s="253"/>
      <c r="P45" s="300"/>
      <c r="Q45" s="119"/>
      <c r="R45" s="119"/>
      <c r="T45" s="1" cm="1">
        <f t="array" ref="T45">IF(OR(ISERROR(B45:R45)),1,0)</f>
        <v>0</v>
      </c>
      <c r="U45" s="1">
        <f t="shared" si="1"/>
        <v>0</v>
      </c>
    </row>
    <row r="46" spans="1:21" ht="15" thickBot="1" x14ac:dyDescent="0.4">
      <c r="B46" s="114"/>
      <c r="C46" s="234" t="s">
        <v>459</v>
      </c>
      <c r="D46" s="113"/>
      <c r="E46" s="114"/>
      <c r="F46" s="114"/>
      <c r="G46" s="114"/>
      <c r="H46" s="114"/>
      <c r="I46" s="176" t="str">
        <f>IF(F46="","",INDEX(Lists!$BA$4:$BC$37,MATCH(OnsiteHeatTable[[#This Row],[Renewable Type]],Lists!$AZ$4:$AZ$37,0),MATCH(OnsiteHeatTable[[#This Row],[Methodology used]],Lists!$BA$3:$BC$3,0)))</f>
        <v/>
      </c>
      <c r="J46" s="117"/>
      <c r="K46" s="42"/>
      <c r="L46" s="251">
        <f>SUM(OnsiteHeatTable[[#This Row],[kWh consumed by reporting organisation]:[kWh exported to other PSB]])</f>
        <v>0</v>
      </c>
      <c r="M46" s="253"/>
      <c r="N46" s="253"/>
      <c r="O46" s="253"/>
      <c r="P46" s="300"/>
      <c r="Q46" s="119"/>
      <c r="R46" s="119"/>
      <c r="T46" s="1" cm="1">
        <f t="array" ref="T46">IF(OR(ISERROR(B46:R46)),1,0)</f>
        <v>0</v>
      </c>
      <c r="U46" s="1">
        <f t="shared" si="1"/>
        <v>0</v>
      </c>
    </row>
    <row r="47" spans="1:21" ht="15" thickBot="1" x14ac:dyDescent="0.4">
      <c r="B47" s="114"/>
      <c r="C47" s="234" t="s">
        <v>459</v>
      </c>
      <c r="D47" s="113"/>
      <c r="E47" s="114"/>
      <c r="F47" s="114"/>
      <c r="G47" s="114"/>
      <c r="H47" s="114"/>
      <c r="I47" s="176" t="str">
        <f>IF(F47="","",INDEX(Lists!$BA$4:$BC$37,MATCH(OnsiteHeatTable[[#This Row],[Renewable Type]],Lists!$AZ$4:$AZ$37,0),MATCH(OnsiteHeatTable[[#This Row],[Methodology used]],Lists!$BA$3:$BC$3,0)))</f>
        <v/>
      </c>
      <c r="J47" s="117"/>
      <c r="K47" s="42"/>
      <c r="L47" s="251">
        <f>SUM(OnsiteHeatTable[[#This Row],[kWh consumed by reporting organisation]:[kWh exported to other PSB]])</f>
        <v>0</v>
      </c>
      <c r="M47" s="253"/>
      <c r="N47" s="253"/>
      <c r="O47" s="253"/>
      <c r="P47" s="300"/>
      <c r="Q47" s="119"/>
      <c r="R47" s="119"/>
      <c r="T47" s="1" cm="1">
        <f t="array" ref="T47">IF(OR(ISERROR(B47:R47)),1,0)</f>
        <v>0</v>
      </c>
      <c r="U47" s="1">
        <f t="shared" si="1"/>
        <v>0</v>
      </c>
    </row>
    <row r="48" spans="1:21" ht="15" thickBot="1" x14ac:dyDescent="0.4">
      <c r="B48" s="114"/>
      <c r="C48" s="234" t="s">
        <v>459</v>
      </c>
      <c r="D48" s="113"/>
      <c r="E48" s="114"/>
      <c r="F48" s="114"/>
      <c r="G48" s="114"/>
      <c r="H48" s="114"/>
      <c r="I48" s="176" t="str">
        <f>IF(F48="","",INDEX(Lists!$BA$4:$BC$37,MATCH(OnsiteHeatTable[[#This Row],[Renewable Type]],Lists!$AZ$4:$AZ$37,0),MATCH(OnsiteHeatTable[[#This Row],[Methodology used]],Lists!$BA$3:$BC$3,0)))</f>
        <v/>
      </c>
      <c r="J48" s="117"/>
      <c r="K48" s="42"/>
      <c r="L48" s="251">
        <f>SUM(OnsiteHeatTable[[#This Row],[kWh consumed by reporting organisation]:[kWh exported to other PSB]])</f>
        <v>0</v>
      </c>
      <c r="M48" s="253"/>
      <c r="N48" s="253"/>
      <c r="O48" s="253"/>
      <c r="P48" s="300"/>
      <c r="Q48" s="119"/>
      <c r="R48" s="119"/>
      <c r="T48" s="1" cm="1">
        <f t="array" ref="T48">IF(OR(ISERROR(B48:R48)),1,0)</f>
        <v>0</v>
      </c>
      <c r="U48" s="1">
        <f t="shared" si="1"/>
        <v>0</v>
      </c>
    </row>
    <row r="49" spans="2:21" ht="15" thickBot="1" x14ac:dyDescent="0.4">
      <c r="B49" s="114"/>
      <c r="C49" s="234" t="s">
        <v>459</v>
      </c>
      <c r="D49" s="113"/>
      <c r="E49" s="114"/>
      <c r="F49" s="114"/>
      <c r="G49" s="114"/>
      <c r="H49" s="114"/>
      <c r="I49" s="176" t="str">
        <f>IF(F49="","",INDEX(Lists!$BA$4:$BC$37,MATCH(OnsiteHeatTable[[#This Row],[Renewable Type]],Lists!$AZ$4:$AZ$37,0),MATCH(OnsiteHeatTable[[#This Row],[Methodology used]],Lists!$BA$3:$BC$3,0)))</f>
        <v/>
      </c>
      <c r="J49" s="117"/>
      <c r="K49" s="42"/>
      <c r="L49" s="251">
        <f>SUM(OnsiteHeatTable[[#This Row],[kWh consumed by reporting organisation]:[kWh exported to other PSB]])</f>
        <v>0</v>
      </c>
      <c r="M49" s="253"/>
      <c r="N49" s="253"/>
      <c r="O49" s="253"/>
      <c r="P49" s="300"/>
      <c r="Q49" s="119"/>
      <c r="R49" s="119"/>
      <c r="T49" s="1" cm="1">
        <f t="array" ref="T49">IF(OR(ISERROR(B49:R49)),1,0)</f>
        <v>0</v>
      </c>
      <c r="U49" s="1">
        <f t="shared" si="1"/>
        <v>0</v>
      </c>
    </row>
    <row r="50" spans="2:21" ht="15" thickBot="1" x14ac:dyDescent="0.4">
      <c r="B50" s="114"/>
      <c r="C50" s="234" t="s">
        <v>459</v>
      </c>
      <c r="D50" s="113"/>
      <c r="E50" s="114"/>
      <c r="F50" s="114"/>
      <c r="G50" s="114"/>
      <c r="H50" s="114"/>
      <c r="I50" s="176" t="str">
        <f>IF(F50="","",INDEX(Lists!$BA$4:$BC$37,MATCH(OnsiteHeatTable[[#This Row],[Renewable Type]],Lists!$AZ$4:$AZ$37,0),MATCH(OnsiteHeatTable[[#This Row],[Methodology used]],Lists!$BA$3:$BC$3,0)))</f>
        <v/>
      </c>
      <c r="J50" s="117"/>
      <c r="K50" s="42"/>
      <c r="L50" s="251">
        <f>SUM(OnsiteHeatTable[[#This Row],[kWh consumed by reporting organisation]:[kWh exported to other PSB]])</f>
        <v>0</v>
      </c>
      <c r="M50" s="253"/>
      <c r="N50" s="253"/>
      <c r="O50" s="253"/>
      <c r="P50" s="300"/>
      <c r="Q50" s="119"/>
      <c r="R50" s="119"/>
      <c r="T50" s="1" cm="1">
        <f t="array" ref="T50">IF(OR(ISERROR(B50:R50)),1,0)</f>
        <v>0</v>
      </c>
      <c r="U50" s="1">
        <f t="shared" si="1"/>
        <v>0</v>
      </c>
    </row>
    <row r="51" spans="2:21" ht="15" thickBot="1" x14ac:dyDescent="0.4">
      <c r="B51" s="114"/>
      <c r="C51" s="234" t="s">
        <v>459</v>
      </c>
      <c r="D51" s="113"/>
      <c r="E51" s="114"/>
      <c r="F51" s="114"/>
      <c r="G51" s="114"/>
      <c r="H51" s="114"/>
      <c r="I51" s="176" t="str">
        <f>IF(F51="","",INDEX(Lists!$BA$4:$BC$37,MATCH(OnsiteHeatTable[[#This Row],[Renewable Type]],Lists!$AZ$4:$AZ$37,0),MATCH(OnsiteHeatTable[[#This Row],[Methodology used]],Lists!$BA$3:$BC$3,0)))</f>
        <v/>
      </c>
      <c r="J51" s="117"/>
      <c r="K51" s="42"/>
      <c r="L51" s="251">
        <f>SUM(OnsiteHeatTable[[#This Row],[kWh consumed by reporting organisation]:[kWh exported to other PSB]])</f>
        <v>0</v>
      </c>
      <c r="M51" s="253"/>
      <c r="N51" s="253"/>
      <c r="O51" s="253"/>
      <c r="P51" s="300"/>
      <c r="Q51" s="119"/>
      <c r="R51" s="119"/>
      <c r="T51" s="1" cm="1">
        <f t="array" ref="T51">IF(OR(ISERROR(B51:R51)),1,0)</f>
        <v>0</v>
      </c>
      <c r="U51" s="1">
        <f t="shared" si="1"/>
        <v>0</v>
      </c>
    </row>
    <row r="52" spans="2:21" ht="15" thickBot="1" x14ac:dyDescent="0.4">
      <c r="B52" s="114"/>
      <c r="C52" s="234" t="s">
        <v>459</v>
      </c>
      <c r="D52" s="113"/>
      <c r="E52" s="114"/>
      <c r="F52" s="114"/>
      <c r="G52" s="114"/>
      <c r="H52" s="114"/>
      <c r="I52" s="176" t="str">
        <f>IF(F52="","",INDEX(Lists!$BA$4:$BC$37,MATCH(OnsiteHeatTable[[#This Row],[Renewable Type]],Lists!$AZ$4:$AZ$37,0),MATCH(OnsiteHeatTable[[#This Row],[Methodology used]],Lists!$BA$3:$BC$3,0)))</f>
        <v/>
      </c>
      <c r="J52" s="117"/>
      <c r="K52" s="42"/>
      <c r="L52" s="251">
        <f>SUM(OnsiteHeatTable[[#This Row],[kWh consumed by reporting organisation]:[kWh exported to other PSB]])</f>
        <v>0</v>
      </c>
      <c r="M52" s="253"/>
      <c r="N52" s="253"/>
      <c r="O52" s="253"/>
      <c r="P52" s="300"/>
      <c r="Q52" s="119"/>
      <c r="R52" s="119"/>
      <c r="T52" s="1" cm="1">
        <f t="array" ref="T52">IF(OR(ISERROR(B52:R52)),1,0)</f>
        <v>0</v>
      </c>
      <c r="U52" s="1">
        <f t="shared" si="1"/>
        <v>0</v>
      </c>
    </row>
    <row r="53" spans="2:21" ht="15" thickBot="1" x14ac:dyDescent="0.4">
      <c r="B53" s="114"/>
      <c r="C53" s="234" t="s">
        <v>459</v>
      </c>
      <c r="D53" s="113"/>
      <c r="E53" s="114"/>
      <c r="F53" s="114"/>
      <c r="G53" s="114"/>
      <c r="H53" s="114"/>
      <c r="I53" s="176" t="str">
        <f>IF(F53="","",INDEX(Lists!$BA$4:$BC$37,MATCH(OnsiteHeatTable[[#This Row],[Renewable Type]],Lists!$AZ$4:$AZ$37,0),MATCH(OnsiteHeatTable[[#This Row],[Methodology used]],Lists!$BA$3:$BC$3,0)))</f>
        <v/>
      </c>
      <c r="J53" s="117"/>
      <c r="K53" s="42"/>
      <c r="L53" s="251">
        <f>SUM(OnsiteHeatTable[[#This Row],[kWh consumed by reporting organisation]:[kWh exported to other PSB]])</f>
        <v>0</v>
      </c>
      <c r="M53" s="253"/>
      <c r="N53" s="253"/>
      <c r="O53" s="253"/>
      <c r="P53" s="300"/>
      <c r="Q53" s="119"/>
      <c r="R53" s="119"/>
      <c r="T53" s="1" cm="1">
        <f t="array" ref="T53">IF(OR(ISERROR(B53:R53)),1,0)</f>
        <v>0</v>
      </c>
      <c r="U53" s="1">
        <f t="shared" si="1"/>
        <v>0</v>
      </c>
    </row>
    <row r="54" spans="2:21" ht="15" thickBot="1" x14ac:dyDescent="0.4">
      <c r="B54" s="114"/>
      <c r="C54" s="234" t="s">
        <v>459</v>
      </c>
      <c r="D54" s="113"/>
      <c r="E54" s="114"/>
      <c r="F54" s="114"/>
      <c r="G54" s="114"/>
      <c r="H54" s="114"/>
      <c r="I54" s="176" t="str">
        <f>IF(F54="","",INDEX(Lists!$BA$4:$BC$37,MATCH(OnsiteHeatTable[[#This Row],[Renewable Type]],Lists!$AZ$4:$AZ$37,0),MATCH(OnsiteHeatTable[[#This Row],[Methodology used]],Lists!$BA$3:$BC$3,0)))</f>
        <v/>
      </c>
      <c r="J54" s="117"/>
      <c r="K54" s="42"/>
      <c r="L54" s="251">
        <f>SUM(OnsiteHeatTable[[#This Row],[kWh consumed by reporting organisation]:[kWh exported to other PSB]])</f>
        <v>0</v>
      </c>
      <c r="M54" s="253"/>
      <c r="N54" s="253"/>
      <c r="O54" s="253"/>
      <c r="P54" s="300"/>
      <c r="Q54" s="119"/>
      <c r="R54" s="119"/>
      <c r="T54" s="1" cm="1">
        <f t="array" ref="T54">IF(OR(ISERROR(B54:R54)),1,0)</f>
        <v>0</v>
      </c>
      <c r="U54" s="1">
        <f t="shared" si="1"/>
        <v>0</v>
      </c>
    </row>
    <row r="55" spans="2:21" ht="15" thickBot="1" x14ac:dyDescent="0.4">
      <c r="B55" s="114"/>
      <c r="C55" s="234" t="s">
        <v>459</v>
      </c>
      <c r="D55" s="113"/>
      <c r="E55" s="114"/>
      <c r="F55" s="114"/>
      <c r="G55" s="114"/>
      <c r="H55" s="114"/>
      <c r="I55" s="176" t="str">
        <f>IF(F55="","",INDEX(Lists!$BA$4:$BC$37,MATCH(OnsiteHeatTable[[#This Row],[Renewable Type]],Lists!$AZ$4:$AZ$37,0),MATCH(OnsiteHeatTable[[#This Row],[Methodology used]],Lists!$BA$3:$BC$3,0)))</f>
        <v/>
      </c>
      <c r="J55" s="117"/>
      <c r="K55" s="42"/>
      <c r="L55" s="251">
        <f>SUM(OnsiteHeatTable[[#This Row],[kWh consumed by reporting organisation]:[kWh exported to other PSB]])</f>
        <v>0</v>
      </c>
      <c r="M55" s="253"/>
      <c r="N55" s="253"/>
      <c r="O55" s="253"/>
      <c r="P55" s="300"/>
      <c r="Q55" s="119"/>
      <c r="R55" s="119"/>
      <c r="T55" s="1" cm="1">
        <f t="array" ref="T55">IF(OR(ISERROR(B55:R55)),1,0)</f>
        <v>0</v>
      </c>
      <c r="U55" s="1">
        <f t="shared" si="1"/>
        <v>0</v>
      </c>
    </row>
    <row r="56" spans="2:21" ht="15" thickBot="1" x14ac:dyDescent="0.4">
      <c r="B56" s="114"/>
      <c r="C56" s="234" t="s">
        <v>459</v>
      </c>
      <c r="D56" s="113"/>
      <c r="E56" s="114"/>
      <c r="F56" s="114"/>
      <c r="G56" s="114"/>
      <c r="H56" s="114"/>
      <c r="I56" s="176" t="str">
        <f>IF(F56="","",INDEX(Lists!$BA$4:$BC$37,MATCH(OnsiteHeatTable[[#This Row],[Renewable Type]],Lists!$AZ$4:$AZ$37,0),MATCH(OnsiteHeatTable[[#This Row],[Methodology used]],Lists!$BA$3:$BC$3,0)))</f>
        <v/>
      </c>
      <c r="J56" s="117"/>
      <c r="K56" s="42"/>
      <c r="L56" s="251">
        <f>SUM(OnsiteHeatTable[[#This Row],[kWh consumed by reporting organisation]:[kWh exported to other PSB]])</f>
        <v>0</v>
      </c>
      <c r="M56" s="253"/>
      <c r="N56" s="253"/>
      <c r="O56" s="253"/>
      <c r="P56" s="300"/>
      <c r="Q56" s="119"/>
      <c r="R56" s="119"/>
      <c r="T56" s="1" cm="1">
        <f t="array" ref="T56">IF(OR(ISERROR(B56:R56)),1,0)</f>
        <v>0</v>
      </c>
      <c r="U56" s="1">
        <f t="shared" si="1"/>
        <v>0</v>
      </c>
    </row>
    <row r="57" spans="2:21" ht="15" thickBot="1" x14ac:dyDescent="0.4">
      <c r="B57" s="114"/>
      <c r="C57" s="234" t="s">
        <v>459</v>
      </c>
      <c r="D57" s="113"/>
      <c r="E57" s="114"/>
      <c r="F57" s="114"/>
      <c r="G57" s="114"/>
      <c r="H57" s="114"/>
      <c r="I57" s="176" t="str">
        <f>IF(F57="","",INDEX(Lists!$BA$4:$BC$37,MATCH(OnsiteHeatTable[[#This Row],[Renewable Type]],Lists!$AZ$4:$AZ$37,0),MATCH(OnsiteHeatTable[[#This Row],[Methodology used]],Lists!$BA$3:$BC$3,0)))</f>
        <v/>
      </c>
      <c r="J57" s="117"/>
      <c r="K57" s="42"/>
      <c r="L57" s="251">
        <f>SUM(OnsiteHeatTable[[#This Row],[kWh consumed by reporting organisation]:[kWh exported to other PSB]])</f>
        <v>0</v>
      </c>
      <c r="M57" s="253"/>
      <c r="N57" s="253"/>
      <c r="O57" s="253"/>
      <c r="P57" s="300"/>
      <c r="Q57" s="119"/>
      <c r="R57" s="119"/>
      <c r="T57" s="1" cm="1">
        <f t="array" ref="T57">IF(OR(ISERROR(B57:R57)),1,0)</f>
        <v>0</v>
      </c>
      <c r="U57" s="1">
        <f t="shared" si="1"/>
        <v>0</v>
      </c>
    </row>
    <row r="58" spans="2:21" ht="15" thickBot="1" x14ac:dyDescent="0.4">
      <c r="B58" s="114"/>
      <c r="C58" s="234" t="s">
        <v>459</v>
      </c>
      <c r="D58" s="113"/>
      <c r="E58" s="114"/>
      <c r="F58" s="114"/>
      <c r="G58" s="114"/>
      <c r="H58" s="114"/>
      <c r="I58" s="176" t="str">
        <f>IF(F58="","",INDEX(Lists!$BA$4:$BC$37,MATCH(OnsiteHeatTable[[#This Row],[Renewable Type]],Lists!$AZ$4:$AZ$37,0),MATCH(OnsiteHeatTable[[#This Row],[Methodology used]],Lists!$BA$3:$BC$3,0)))</f>
        <v/>
      </c>
      <c r="J58" s="117"/>
      <c r="K58" s="42"/>
      <c r="L58" s="251">
        <f>SUM(OnsiteHeatTable[[#This Row],[kWh consumed by reporting organisation]:[kWh exported to other PSB]])</f>
        <v>0</v>
      </c>
      <c r="M58" s="253"/>
      <c r="N58" s="253"/>
      <c r="O58" s="253"/>
      <c r="P58" s="300"/>
      <c r="Q58" s="119"/>
      <c r="R58" s="119"/>
      <c r="T58" s="1" cm="1">
        <f t="array" ref="T58">IF(OR(ISERROR(B58:R58)),1,0)</f>
        <v>0</v>
      </c>
      <c r="U58" s="1">
        <f t="shared" si="1"/>
        <v>0</v>
      </c>
    </row>
    <row r="59" spans="2:21" ht="15" thickBot="1" x14ac:dyDescent="0.4">
      <c r="B59" s="114"/>
      <c r="C59" s="234" t="s">
        <v>459</v>
      </c>
      <c r="D59" s="113"/>
      <c r="E59" s="114"/>
      <c r="F59" s="114"/>
      <c r="G59" s="114"/>
      <c r="H59" s="114"/>
      <c r="I59" s="176" t="str">
        <f>IF(F59="","",INDEX(Lists!$BA$4:$BC$37,MATCH(OnsiteHeatTable[[#This Row],[Renewable Type]],Lists!$AZ$4:$AZ$37,0),MATCH(OnsiteHeatTable[[#This Row],[Methodology used]],Lists!$BA$3:$BC$3,0)))</f>
        <v/>
      </c>
      <c r="J59" s="117"/>
      <c r="K59" s="42"/>
      <c r="L59" s="251">
        <f>SUM(OnsiteHeatTable[[#This Row],[kWh consumed by reporting organisation]:[kWh exported to other PSB]])</f>
        <v>0</v>
      </c>
      <c r="M59" s="253"/>
      <c r="N59" s="253"/>
      <c r="O59" s="253"/>
      <c r="P59" s="300"/>
      <c r="Q59" s="119"/>
      <c r="R59" s="119"/>
      <c r="T59" s="1" cm="1">
        <f t="array" ref="T59">IF(OR(ISERROR(B59:R59)),1,0)</f>
        <v>0</v>
      </c>
      <c r="U59" s="1">
        <f t="shared" si="1"/>
        <v>0</v>
      </c>
    </row>
    <row r="60" spans="2:21" ht="15" thickBot="1" x14ac:dyDescent="0.4">
      <c r="B60" s="114"/>
      <c r="C60" s="234" t="s">
        <v>459</v>
      </c>
      <c r="D60" s="115"/>
      <c r="E60" s="116"/>
      <c r="F60" s="116"/>
      <c r="G60" s="116"/>
      <c r="H60" s="116"/>
      <c r="I60" s="176" t="str">
        <f>IF(F60="","",INDEX(Lists!$BA$4:$BC$37,MATCH(OnsiteHeatTable[[#This Row],[Renewable Type]],Lists!$AZ$4:$AZ$37,0),MATCH(OnsiteHeatTable[[#This Row],[Methodology used]],Lists!$BA$3:$BC$3,0)))</f>
        <v/>
      </c>
      <c r="J60" s="117"/>
      <c r="K60" s="42"/>
      <c r="L60" s="252">
        <f>SUM(OnsiteHeatTable[[#This Row],[kWh consumed by reporting organisation]:[kWh exported to other PSB]])</f>
        <v>0</v>
      </c>
      <c r="M60" s="254"/>
      <c r="N60" s="254"/>
      <c r="O60" s="254"/>
      <c r="P60" s="300"/>
      <c r="Q60" s="119"/>
      <c r="R60" s="120"/>
      <c r="T60" s="1" cm="1">
        <f t="array" ref="T60">IF(OR(ISERROR(B60:R60)),1,0)</f>
        <v>0</v>
      </c>
      <c r="U60" s="1">
        <f t="shared" si="1"/>
        <v>0</v>
      </c>
    </row>
    <row r="62" spans="2:21" ht="18" customHeight="1" x14ac:dyDescent="0.35">
      <c r="B62"/>
      <c r="C62"/>
      <c r="D62"/>
      <c r="E62"/>
      <c r="F62"/>
      <c r="G62"/>
      <c r="H62"/>
      <c r="I62"/>
      <c r="J62"/>
      <c r="K62"/>
      <c r="L62"/>
      <c r="M62"/>
      <c r="N62"/>
      <c r="O62"/>
      <c r="P62"/>
      <c r="Q62"/>
    </row>
    <row r="63" spans="2:21" ht="18.5" x14ac:dyDescent="0.45">
      <c r="B63" s="99" t="s">
        <v>467</v>
      </c>
      <c r="C63"/>
      <c r="D63"/>
      <c r="E63"/>
      <c r="F63"/>
      <c r="G63"/>
      <c r="H63"/>
      <c r="I63"/>
      <c r="J63"/>
      <c r="K63"/>
      <c r="M63"/>
      <c r="N63" s="615" t="s">
        <v>464</v>
      </c>
      <c r="O63" s="616"/>
      <c r="P63" s="616"/>
      <c r="Q63"/>
      <c r="T63" s="9" t="s">
        <v>444</v>
      </c>
      <c r="U63" s="9" t="s">
        <v>445</v>
      </c>
    </row>
    <row r="64" spans="2:21" ht="29.5" thickBot="1" x14ac:dyDescent="0.4">
      <c r="B64" s="40" t="s">
        <v>446</v>
      </c>
      <c r="C64" s="39" t="s">
        <v>447</v>
      </c>
      <c r="D64" s="39" t="s">
        <v>448</v>
      </c>
      <c r="E64" s="40" t="s">
        <v>449</v>
      </c>
      <c r="F64" s="40" t="s">
        <v>230</v>
      </c>
      <c r="G64" s="40" t="s">
        <v>450</v>
      </c>
      <c r="H64" s="40" t="s">
        <v>451</v>
      </c>
      <c r="I64" s="40" t="s">
        <v>181</v>
      </c>
      <c r="J64" s="40" t="s">
        <v>465</v>
      </c>
      <c r="K64" s="96" t="s">
        <v>19</v>
      </c>
      <c r="L64" s="40" t="s">
        <v>454</v>
      </c>
      <c r="M64" s="40" t="s">
        <v>455</v>
      </c>
      <c r="N64" s="40" t="s">
        <v>456</v>
      </c>
      <c r="O64" s="40" t="s">
        <v>457</v>
      </c>
      <c r="P64" s="40" t="s">
        <v>458</v>
      </c>
      <c r="Q64" s="40" t="s">
        <v>188</v>
      </c>
      <c r="R64" s="41" t="s">
        <v>189</v>
      </c>
      <c r="T64" s="1">
        <f>SUM(T65:T88)</f>
        <v>0</v>
      </c>
      <c r="U64" s="1">
        <f>SUM(U65:U88)</f>
        <v>0</v>
      </c>
    </row>
    <row r="65" spans="2:21" ht="15" thickBot="1" x14ac:dyDescent="0.4">
      <c r="B65" s="114"/>
      <c r="C65" s="234" t="s">
        <v>468</v>
      </c>
      <c r="D65" s="113"/>
      <c r="E65" s="114"/>
      <c r="F65" s="114"/>
      <c r="G65" s="114"/>
      <c r="H65" s="114"/>
      <c r="I65" s="176" t="str">
        <f>IF(F65="","",INDEX(Lists!$BA$4:$BC$37,MATCH(OffsiteHeatTable[[#This Row],[Renewable Type]],Lists!$AZ$4:$AZ$37,0),MATCH(OffsiteHeatTable[[#This Row],[Methodology used]],Lists!$BA$3:$BC$3,0)))</f>
        <v/>
      </c>
      <c r="J65" s="117"/>
      <c r="K65" s="42"/>
      <c r="L65" s="251">
        <f>SUM(OffsiteHeatTable[[#This Row],[kWh consumed by reporting organisation]:[kWh exported to other PSB]])</f>
        <v>0</v>
      </c>
      <c r="M65" s="253"/>
      <c r="N65" s="253"/>
      <c r="O65" s="253"/>
      <c r="P65" s="300"/>
      <c r="Q65" s="119"/>
      <c r="R65" s="119"/>
      <c r="T65" s="1" cm="1">
        <f t="array" ref="T65">IF(OR(ISERROR(B65:R65)),1,0)</f>
        <v>0</v>
      </c>
      <c r="U65" s="1">
        <f t="shared" ref="U65:U88" si="2">IF(AND(D65="",E65=""),0,1)</f>
        <v>0</v>
      </c>
    </row>
    <row r="66" spans="2:21" ht="15" thickBot="1" x14ac:dyDescent="0.4">
      <c r="B66" s="114"/>
      <c r="C66" s="234" t="s">
        <v>468</v>
      </c>
      <c r="D66" s="113"/>
      <c r="E66" s="114"/>
      <c r="F66" s="114"/>
      <c r="G66" s="114"/>
      <c r="H66" s="114"/>
      <c r="I66" s="176" t="str">
        <f>IF(F66="","",INDEX(Lists!$BA$4:$BC$37,MATCH(OffsiteHeatTable[[#This Row],[Renewable Type]],Lists!$AZ$4:$AZ$37,0),MATCH(OffsiteHeatTable[[#This Row],[Methodology used]],Lists!$BA$3:$BC$3,0)))</f>
        <v/>
      </c>
      <c r="J66" s="117"/>
      <c r="K66" s="42"/>
      <c r="L66" s="251">
        <f>SUM(OffsiteHeatTable[[#This Row],[kWh consumed by reporting organisation]:[kWh exported to other PSB]])</f>
        <v>0</v>
      </c>
      <c r="M66" s="253"/>
      <c r="N66" s="253"/>
      <c r="O66" s="253"/>
      <c r="P66" s="300"/>
      <c r="Q66" s="119"/>
      <c r="R66" s="119"/>
      <c r="T66" s="1" cm="1">
        <f t="array" ref="T66">IF(OR(ISERROR(B66:R66)),1,0)</f>
        <v>0</v>
      </c>
      <c r="U66" s="1">
        <f t="shared" si="2"/>
        <v>0</v>
      </c>
    </row>
    <row r="67" spans="2:21" ht="15" thickBot="1" x14ac:dyDescent="0.4">
      <c r="B67" s="114"/>
      <c r="C67" s="234" t="s">
        <v>468</v>
      </c>
      <c r="D67" s="113"/>
      <c r="E67" s="114"/>
      <c r="F67" s="114"/>
      <c r="G67" s="114"/>
      <c r="H67" s="114"/>
      <c r="I67" s="176" t="str">
        <f>IF(F67="","",INDEX(Lists!$BA$4:$BC$37,MATCH(OffsiteHeatTable[[#This Row],[Renewable Type]],Lists!$AZ$4:$AZ$37,0),MATCH(OffsiteHeatTable[[#This Row],[Methodology used]],Lists!$BA$3:$BC$3,0)))</f>
        <v/>
      </c>
      <c r="J67" s="117"/>
      <c r="K67" s="42"/>
      <c r="L67" s="251">
        <f>SUM(OffsiteHeatTable[[#This Row],[kWh consumed by reporting organisation]:[kWh exported to other PSB]])</f>
        <v>0</v>
      </c>
      <c r="M67" s="253"/>
      <c r="N67" s="253"/>
      <c r="O67" s="253"/>
      <c r="P67" s="300"/>
      <c r="Q67" s="119"/>
      <c r="R67" s="119"/>
      <c r="T67" s="1" cm="1">
        <f t="array" ref="T67">IF(OR(ISERROR(B67:R67)),1,0)</f>
        <v>0</v>
      </c>
      <c r="U67" s="1">
        <f t="shared" si="2"/>
        <v>0</v>
      </c>
    </row>
    <row r="68" spans="2:21" ht="15" thickBot="1" x14ac:dyDescent="0.4">
      <c r="B68" s="114"/>
      <c r="C68" s="234" t="s">
        <v>468</v>
      </c>
      <c r="D68" s="113"/>
      <c r="E68" s="114"/>
      <c r="F68" s="114"/>
      <c r="G68" s="114"/>
      <c r="H68" s="114"/>
      <c r="I68" s="176" t="str">
        <f>IF(F68="","",INDEX(Lists!$BA$4:$BC$37,MATCH(OffsiteHeatTable[[#This Row],[Renewable Type]],Lists!$AZ$4:$AZ$37,0),MATCH(OffsiteHeatTable[[#This Row],[Methodology used]],Lists!$BA$3:$BC$3,0)))</f>
        <v/>
      </c>
      <c r="J68" s="117"/>
      <c r="K68" s="42"/>
      <c r="L68" s="251">
        <f>SUM(OffsiteHeatTable[[#This Row],[kWh consumed by reporting organisation]:[kWh exported to other PSB]])</f>
        <v>0</v>
      </c>
      <c r="M68" s="253"/>
      <c r="N68" s="253"/>
      <c r="O68" s="253"/>
      <c r="P68" s="300"/>
      <c r="Q68" s="119"/>
      <c r="R68" s="119"/>
      <c r="T68" s="1" cm="1">
        <f t="array" ref="T68">IF(OR(ISERROR(B68:R68)),1,0)</f>
        <v>0</v>
      </c>
      <c r="U68" s="1">
        <f t="shared" si="2"/>
        <v>0</v>
      </c>
    </row>
    <row r="69" spans="2:21" ht="15" thickBot="1" x14ac:dyDescent="0.4">
      <c r="B69" s="114"/>
      <c r="C69" s="234" t="s">
        <v>468</v>
      </c>
      <c r="D69" s="113"/>
      <c r="E69" s="114"/>
      <c r="F69" s="114"/>
      <c r="G69" s="114"/>
      <c r="H69" s="114"/>
      <c r="I69" s="176" t="str">
        <f>IF(F69="","",INDEX(Lists!$BA$4:$BC$37,MATCH(OffsiteHeatTable[[#This Row],[Renewable Type]],Lists!$AZ$4:$AZ$37,0),MATCH(OffsiteHeatTable[[#This Row],[Methodology used]],Lists!$BA$3:$BC$3,0)))</f>
        <v/>
      </c>
      <c r="J69" s="117"/>
      <c r="K69" s="42"/>
      <c r="L69" s="251">
        <f>SUM(OffsiteHeatTable[[#This Row],[kWh consumed by reporting organisation]:[kWh exported to other PSB]])</f>
        <v>0</v>
      </c>
      <c r="M69" s="253"/>
      <c r="N69" s="253"/>
      <c r="O69" s="253"/>
      <c r="P69" s="300"/>
      <c r="Q69" s="119"/>
      <c r="R69" s="119"/>
      <c r="T69" s="1" cm="1">
        <f t="array" ref="T69">IF(OR(ISERROR(B69:R69)),1,0)</f>
        <v>0</v>
      </c>
      <c r="U69" s="1">
        <f t="shared" si="2"/>
        <v>0</v>
      </c>
    </row>
    <row r="70" spans="2:21" ht="15" thickBot="1" x14ac:dyDescent="0.4">
      <c r="B70" s="114"/>
      <c r="C70" s="234" t="s">
        <v>468</v>
      </c>
      <c r="D70" s="113"/>
      <c r="E70" s="114"/>
      <c r="F70" s="114"/>
      <c r="G70" s="114"/>
      <c r="H70" s="114"/>
      <c r="I70" s="176" t="str">
        <f>IF(F70="","",INDEX(Lists!$BA$4:$BC$37,MATCH(OffsiteHeatTable[[#This Row],[Renewable Type]],Lists!$AZ$4:$AZ$37,0),MATCH(OffsiteHeatTable[[#This Row],[Methodology used]],Lists!$BA$3:$BC$3,0)))</f>
        <v/>
      </c>
      <c r="J70" s="117"/>
      <c r="K70" s="42"/>
      <c r="L70" s="251">
        <f>SUM(OffsiteHeatTable[[#This Row],[kWh consumed by reporting organisation]:[kWh exported to other PSB]])</f>
        <v>0</v>
      </c>
      <c r="M70" s="253"/>
      <c r="N70" s="253"/>
      <c r="O70" s="253"/>
      <c r="P70" s="300"/>
      <c r="Q70" s="119"/>
      <c r="R70" s="119"/>
      <c r="T70" s="1" cm="1">
        <f t="array" ref="T70">IF(OR(ISERROR(B70:R70)),1,0)</f>
        <v>0</v>
      </c>
      <c r="U70" s="1">
        <f t="shared" si="2"/>
        <v>0</v>
      </c>
    </row>
    <row r="71" spans="2:21" ht="15" thickBot="1" x14ac:dyDescent="0.4">
      <c r="B71" s="114"/>
      <c r="C71" s="234" t="s">
        <v>468</v>
      </c>
      <c r="D71" s="113"/>
      <c r="E71" s="114"/>
      <c r="F71" s="114"/>
      <c r="G71" s="114"/>
      <c r="H71" s="114"/>
      <c r="I71" s="176" t="str">
        <f>IF(F71="","",INDEX(Lists!$BA$4:$BC$37,MATCH(OffsiteHeatTable[[#This Row],[Renewable Type]],Lists!$AZ$4:$AZ$37,0),MATCH(OffsiteHeatTable[[#This Row],[Methodology used]],Lists!$BA$3:$BC$3,0)))</f>
        <v/>
      </c>
      <c r="J71" s="117"/>
      <c r="K71" s="42"/>
      <c r="L71" s="251">
        <f>SUM(OffsiteHeatTable[[#This Row],[kWh consumed by reporting organisation]:[kWh exported to other PSB]])</f>
        <v>0</v>
      </c>
      <c r="M71" s="253"/>
      <c r="N71" s="253"/>
      <c r="O71" s="253"/>
      <c r="P71" s="300"/>
      <c r="Q71" s="119"/>
      <c r="R71" s="119"/>
      <c r="T71" s="1" cm="1">
        <f t="array" ref="T71">IF(OR(ISERROR(B71:R71)),1,0)</f>
        <v>0</v>
      </c>
      <c r="U71" s="1">
        <f t="shared" si="2"/>
        <v>0</v>
      </c>
    </row>
    <row r="72" spans="2:21" ht="15" thickBot="1" x14ac:dyDescent="0.4">
      <c r="B72" s="114"/>
      <c r="C72" s="234" t="s">
        <v>468</v>
      </c>
      <c r="D72" s="113"/>
      <c r="E72" s="114"/>
      <c r="F72" s="114"/>
      <c r="G72" s="114"/>
      <c r="H72" s="114"/>
      <c r="I72" s="176" t="str">
        <f>IF(F72="","",INDEX(Lists!$BA$4:$BC$37,MATCH(OffsiteHeatTable[[#This Row],[Renewable Type]],Lists!$AZ$4:$AZ$37,0),MATCH(OffsiteHeatTable[[#This Row],[Methodology used]],Lists!$BA$3:$BC$3,0)))</f>
        <v/>
      </c>
      <c r="J72" s="117"/>
      <c r="K72" s="42"/>
      <c r="L72" s="251">
        <f>SUM(OffsiteHeatTable[[#This Row],[kWh consumed by reporting organisation]:[kWh exported to other PSB]])</f>
        <v>0</v>
      </c>
      <c r="M72" s="253"/>
      <c r="N72" s="253"/>
      <c r="O72" s="253"/>
      <c r="P72" s="300"/>
      <c r="Q72" s="119"/>
      <c r="R72" s="119"/>
      <c r="T72" s="1" cm="1">
        <f t="array" ref="T72">IF(OR(ISERROR(B72:R72)),1,0)</f>
        <v>0</v>
      </c>
      <c r="U72" s="1">
        <f t="shared" si="2"/>
        <v>0</v>
      </c>
    </row>
    <row r="73" spans="2:21" ht="15" thickBot="1" x14ac:dyDescent="0.4">
      <c r="B73" s="114"/>
      <c r="C73" s="234" t="s">
        <v>468</v>
      </c>
      <c r="D73" s="113"/>
      <c r="E73" s="114"/>
      <c r="F73" s="114"/>
      <c r="G73" s="114"/>
      <c r="H73" s="114"/>
      <c r="I73" s="176" t="str">
        <f>IF(F73="","",INDEX(Lists!$BA$4:$BC$37,MATCH(OffsiteHeatTable[[#This Row],[Renewable Type]],Lists!$AZ$4:$AZ$37,0),MATCH(OffsiteHeatTable[[#This Row],[Methodology used]],Lists!$BA$3:$BC$3,0)))</f>
        <v/>
      </c>
      <c r="J73" s="117"/>
      <c r="K73" s="42"/>
      <c r="L73" s="251">
        <f>SUM(OffsiteHeatTable[[#This Row],[kWh consumed by reporting organisation]:[kWh exported to other PSB]])</f>
        <v>0</v>
      </c>
      <c r="M73" s="253"/>
      <c r="N73" s="253"/>
      <c r="O73" s="253"/>
      <c r="P73" s="300"/>
      <c r="Q73" s="119"/>
      <c r="R73" s="119"/>
      <c r="T73" s="1" cm="1">
        <f t="array" ref="T73">IF(OR(ISERROR(B73:R73)),1,0)</f>
        <v>0</v>
      </c>
      <c r="U73" s="1">
        <f t="shared" si="2"/>
        <v>0</v>
      </c>
    </row>
    <row r="74" spans="2:21" ht="15" thickBot="1" x14ac:dyDescent="0.4">
      <c r="B74" s="114"/>
      <c r="C74" s="234" t="s">
        <v>468</v>
      </c>
      <c r="D74" s="113"/>
      <c r="E74" s="114"/>
      <c r="F74" s="114"/>
      <c r="G74" s="114"/>
      <c r="H74" s="114"/>
      <c r="I74" s="176" t="str">
        <f>IF(F74="","",INDEX(Lists!$BA$4:$BC$37,MATCH(OffsiteHeatTable[[#This Row],[Renewable Type]],Lists!$AZ$4:$AZ$37,0),MATCH(OffsiteHeatTable[[#This Row],[Methodology used]],Lists!$BA$3:$BC$3,0)))</f>
        <v/>
      </c>
      <c r="J74" s="117"/>
      <c r="K74" s="42"/>
      <c r="L74" s="251">
        <f>SUM(OffsiteHeatTable[[#This Row],[kWh consumed by reporting organisation]:[kWh exported to other PSB]])</f>
        <v>0</v>
      </c>
      <c r="M74" s="253"/>
      <c r="N74" s="253"/>
      <c r="O74" s="253"/>
      <c r="P74" s="300"/>
      <c r="Q74" s="119"/>
      <c r="R74" s="119"/>
      <c r="T74" s="1" cm="1">
        <f t="array" ref="T74">IF(OR(ISERROR(B74:R74)),1,0)</f>
        <v>0</v>
      </c>
      <c r="U74" s="1">
        <f t="shared" si="2"/>
        <v>0</v>
      </c>
    </row>
    <row r="75" spans="2:21" ht="15" thickBot="1" x14ac:dyDescent="0.4">
      <c r="B75" s="114"/>
      <c r="C75" s="234" t="s">
        <v>468</v>
      </c>
      <c r="D75" s="113"/>
      <c r="E75" s="114"/>
      <c r="F75" s="114"/>
      <c r="G75" s="114"/>
      <c r="H75" s="114"/>
      <c r="I75" s="176" t="str">
        <f>IF(F75="","",INDEX(Lists!$BA$4:$BC$37,MATCH(OffsiteHeatTable[[#This Row],[Renewable Type]],Lists!$AZ$4:$AZ$37,0),MATCH(OffsiteHeatTable[[#This Row],[Methodology used]],Lists!$BA$3:$BC$3,0)))</f>
        <v/>
      </c>
      <c r="J75" s="117"/>
      <c r="K75" s="42"/>
      <c r="L75" s="251">
        <f>SUM(OffsiteHeatTable[[#This Row],[kWh consumed by reporting organisation]:[kWh exported to other PSB]])</f>
        <v>0</v>
      </c>
      <c r="M75" s="253"/>
      <c r="N75" s="253"/>
      <c r="O75" s="253"/>
      <c r="P75" s="300"/>
      <c r="Q75" s="119"/>
      <c r="R75" s="119"/>
      <c r="T75" s="1" cm="1">
        <f t="array" ref="T75">IF(OR(ISERROR(B75:R75)),1,0)</f>
        <v>0</v>
      </c>
      <c r="U75" s="1">
        <f t="shared" si="2"/>
        <v>0</v>
      </c>
    </row>
    <row r="76" spans="2:21" ht="14.15" customHeight="1" thickBot="1" x14ac:dyDescent="0.4">
      <c r="B76" s="114"/>
      <c r="C76" s="234" t="s">
        <v>468</v>
      </c>
      <c r="D76" s="113"/>
      <c r="E76" s="114"/>
      <c r="F76" s="114"/>
      <c r="G76" s="114"/>
      <c r="H76" s="114"/>
      <c r="I76" s="176" t="str">
        <f>IF(F76="","",INDEX(Lists!$BA$4:$BC$37,MATCH(OffsiteHeatTable[[#This Row],[Renewable Type]],Lists!$AZ$4:$AZ$37,0),MATCH(OffsiteHeatTable[[#This Row],[Methodology used]],Lists!$BA$3:$BC$3,0)))</f>
        <v/>
      </c>
      <c r="J76" s="117"/>
      <c r="K76" s="42"/>
      <c r="L76" s="251">
        <f>SUM(OffsiteHeatTable[[#This Row],[kWh consumed by reporting organisation]:[kWh exported to other PSB]])</f>
        <v>0</v>
      </c>
      <c r="M76" s="253"/>
      <c r="N76" s="253"/>
      <c r="O76" s="253"/>
      <c r="P76" s="300"/>
      <c r="Q76" s="119"/>
      <c r="R76" s="119"/>
      <c r="T76" s="1" cm="1">
        <f t="array" ref="T76">IF(OR(ISERROR(B76:R76)),1,0)</f>
        <v>0</v>
      </c>
      <c r="U76" s="1">
        <f t="shared" si="2"/>
        <v>0</v>
      </c>
    </row>
    <row r="77" spans="2:21" ht="15" thickBot="1" x14ac:dyDescent="0.4">
      <c r="B77" s="114"/>
      <c r="C77" s="234" t="s">
        <v>468</v>
      </c>
      <c r="D77" s="113"/>
      <c r="E77" s="114"/>
      <c r="F77" s="114"/>
      <c r="G77" s="114"/>
      <c r="H77" s="114"/>
      <c r="I77" s="176" t="str">
        <f>IF(F77="","",INDEX(Lists!$BA$4:$BC$37,MATCH(OffsiteHeatTable[[#This Row],[Renewable Type]],Lists!$AZ$4:$AZ$37,0),MATCH(OffsiteHeatTable[[#This Row],[Methodology used]],Lists!$BA$3:$BC$3,0)))</f>
        <v/>
      </c>
      <c r="J77" s="117"/>
      <c r="K77" s="42"/>
      <c r="L77" s="251">
        <f>SUM(OffsiteHeatTable[[#This Row],[kWh consumed by reporting organisation]:[kWh exported to other PSB]])</f>
        <v>0</v>
      </c>
      <c r="M77" s="253"/>
      <c r="N77" s="253"/>
      <c r="O77" s="253"/>
      <c r="P77" s="300"/>
      <c r="Q77" s="119"/>
      <c r="R77" s="119"/>
      <c r="T77" s="1" cm="1">
        <f t="array" ref="T77">IF(OR(ISERROR(B77:R77)),1,0)</f>
        <v>0</v>
      </c>
      <c r="U77" s="1">
        <f t="shared" si="2"/>
        <v>0</v>
      </c>
    </row>
    <row r="78" spans="2:21" ht="15" thickBot="1" x14ac:dyDescent="0.4">
      <c r="B78" s="114"/>
      <c r="C78" s="234" t="s">
        <v>468</v>
      </c>
      <c r="D78" s="113"/>
      <c r="E78" s="114"/>
      <c r="F78" s="114"/>
      <c r="G78" s="114"/>
      <c r="H78" s="114"/>
      <c r="I78" s="176" t="str">
        <f>IF(F78="","",INDEX(Lists!$BA$4:$BC$37,MATCH(OffsiteHeatTable[[#This Row],[Renewable Type]],Lists!$AZ$4:$AZ$37,0),MATCH(OffsiteHeatTable[[#This Row],[Methodology used]],Lists!$BA$3:$BC$3,0)))</f>
        <v/>
      </c>
      <c r="J78" s="117"/>
      <c r="K78" s="42"/>
      <c r="L78" s="251">
        <f>SUM(OffsiteHeatTable[[#This Row],[kWh consumed by reporting organisation]:[kWh exported to other PSB]])</f>
        <v>0</v>
      </c>
      <c r="M78" s="253"/>
      <c r="N78" s="253"/>
      <c r="O78" s="253"/>
      <c r="P78" s="300"/>
      <c r="Q78" s="119"/>
      <c r="R78" s="119"/>
      <c r="T78" s="1" cm="1">
        <f t="array" ref="T78">IF(OR(ISERROR(B78:R78)),1,0)</f>
        <v>0</v>
      </c>
      <c r="U78" s="1">
        <f t="shared" si="2"/>
        <v>0</v>
      </c>
    </row>
    <row r="79" spans="2:21" ht="15" thickBot="1" x14ac:dyDescent="0.4">
      <c r="B79" s="114"/>
      <c r="C79" s="234" t="s">
        <v>468</v>
      </c>
      <c r="D79" s="113"/>
      <c r="E79" s="114"/>
      <c r="F79" s="114"/>
      <c r="G79" s="114"/>
      <c r="H79" s="114"/>
      <c r="I79" s="176" t="str">
        <f>IF(F79="","",INDEX(Lists!$BA$4:$BC$37,MATCH(OffsiteHeatTable[[#This Row],[Renewable Type]],Lists!$AZ$4:$AZ$37,0),MATCH(OffsiteHeatTable[[#This Row],[Methodology used]],Lists!$BA$3:$BC$3,0)))</f>
        <v/>
      </c>
      <c r="J79" s="117"/>
      <c r="K79" s="42"/>
      <c r="L79" s="251">
        <f>SUM(OffsiteHeatTable[[#This Row],[kWh consumed by reporting organisation]:[kWh exported to other PSB]])</f>
        <v>0</v>
      </c>
      <c r="M79" s="253"/>
      <c r="N79" s="253"/>
      <c r="O79" s="253"/>
      <c r="P79" s="300"/>
      <c r="Q79" s="119"/>
      <c r="R79" s="119"/>
      <c r="T79" s="1" cm="1">
        <f t="array" ref="T79">IF(OR(ISERROR(B79:R79)),1,0)</f>
        <v>0</v>
      </c>
      <c r="U79" s="1">
        <f t="shared" si="2"/>
        <v>0</v>
      </c>
    </row>
    <row r="80" spans="2:21" ht="15" thickBot="1" x14ac:dyDescent="0.4">
      <c r="B80" s="114"/>
      <c r="C80" s="234" t="s">
        <v>468</v>
      </c>
      <c r="D80" s="113"/>
      <c r="E80" s="114"/>
      <c r="F80" s="114"/>
      <c r="G80" s="114"/>
      <c r="H80" s="114"/>
      <c r="I80" s="176" t="str">
        <f>IF(F80="","",INDEX(Lists!$BA$4:$BC$37,MATCH(OffsiteHeatTable[[#This Row],[Renewable Type]],Lists!$AZ$4:$AZ$37,0),MATCH(OffsiteHeatTable[[#This Row],[Methodology used]],Lists!$BA$3:$BC$3,0)))</f>
        <v/>
      </c>
      <c r="J80" s="117"/>
      <c r="K80" s="42"/>
      <c r="L80" s="251">
        <f>SUM(OffsiteHeatTable[[#This Row],[kWh consumed by reporting organisation]:[kWh exported to other PSB]])</f>
        <v>0</v>
      </c>
      <c r="M80" s="253"/>
      <c r="N80" s="253"/>
      <c r="O80" s="253"/>
      <c r="P80" s="300"/>
      <c r="Q80" s="119"/>
      <c r="R80" s="119"/>
      <c r="T80" s="1" cm="1">
        <f t="array" ref="T80">IF(OR(ISERROR(B80:R80)),1,0)</f>
        <v>0</v>
      </c>
      <c r="U80" s="1">
        <f t="shared" si="2"/>
        <v>0</v>
      </c>
    </row>
    <row r="81" spans="2:21" ht="15" thickBot="1" x14ac:dyDescent="0.4">
      <c r="B81" s="114"/>
      <c r="C81" s="234" t="s">
        <v>468</v>
      </c>
      <c r="D81" s="113"/>
      <c r="E81" s="114"/>
      <c r="F81" s="114"/>
      <c r="G81" s="114"/>
      <c r="H81" s="114"/>
      <c r="I81" s="176" t="str">
        <f>IF(F81="","",INDEX(Lists!$BA$4:$BC$37,MATCH(OffsiteHeatTable[[#This Row],[Renewable Type]],Lists!$AZ$4:$AZ$37,0),MATCH(OffsiteHeatTable[[#This Row],[Methodology used]],Lists!$BA$3:$BC$3,0)))</f>
        <v/>
      </c>
      <c r="J81" s="117"/>
      <c r="K81" s="42"/>
      <c r="L81" s="251">
        <f>SUM(OffsiteHeatTable[[#This Row],[kWh consumed by reporting organisation]:[kWh exported to other PSB]])</f>
        <v>0</v>
      </c>
      <c r="M81" s="253"/>
      <c r="N81" s="253"/>
      <c r="O81" s="253"/>
      <c r="P81" s="300"/>
      <c r="Q81" s="119"/>
      <c r="R81" s="119"/>
      <c r="T81" s="1" cm="1">
        <f t="array" ref="T81">IF(OR(ISERROR(B81:R81)),1,0)</f>
        <v>0</v>
      </c>
      <c r="U81" s="1">
        <f t="shared" si="2"/>
        <v>0</v>
      </c>
    </row>
    <row r="82" spans="2:21" ht="15" thickBot="1" x14ac:dyDescent="0.4">
      <c r="B82" s="114"/>
      <c r="C82" s="234" t="s">
        <v>468</v>
      </c>
      <c r="D82" s="113"/>
      <c r="E82" s="114"/>
      <c r="F82" s="114"/>
      <c r="G82" s="114"/>
      <c r="H82" s="114"/>
      <c r="I82" s="176" t="str">
        <f>IF(F82="","",INDEX(Lists!$BA$4:$BC$37,MATCH(OffsiteHeatTable[[#This Row],[Renewable Type]],Lists!$AZ$4:$AZ$37,0),MATCH(OffsiteHeatTable[[#This Row],[Methodology used]],Lists!$BA$3:$BC$3,0)))</f>
        <v/>
      </c>
      <c r="J82" s="117"/>
      <c r="K82" s="42"/>
      <c r="L82" s="251">
        <f>SUM(OffsiteHeatTable[[#This Row],[kWh consumed by reporting organisation]:[kWh exported to other PSB]])</f>
        <v>0</v>
      </c>
      <c r="M82" s="253"/>
      <c r="N82" s="253"/>
      <c r="O82" s="253"/>
      <c r="P82" s="300"/>
      <c r="Q82" s="119"/>
      <c r="R82" s="119"/>
      <c r="T82" s="1" cm="1">
        <f t="array" ref="T82">IF(OR(ISERROR(B82:R82)),1,0)</f>
        <v>0</v>
      </c>
      <c r="U82" s="1">
        <f t="shared" si="2"/>
        <v>0</v>
      </c>
    </row>
    <row r="83" spans="2:21" ht="15" thickBot="1" x14ac:dyDescent="0.4">
      <c r="B83" s="114"/>
      <c r="C83" s="234" t="s">
        <v>468</v>
      </c>
      <c r="D83" s="113"/>
      <c r="E83" s="114"/>
      <c r="F83" s="114"/>
      <c r="G83" s="114"/>
      <c r="H83" s="114"/>
      <c r="I83" s="176" t="str">
        <f>IF(F83="","",INDEX(Lists!$BA$4:$BC$37,MATCH(OffsiteHeatTable[[#This Row],[Renewable Type]],Lists!$AZ$4:$AZ$37,0),MATCH(OffsiteHeatTable[[#This Row],[Methodology used]],Lists!$BA$3:$BC$3,0)))</f>
        <v/>
      </c>
      <c r="J83" s="117"/>
      <c r="K83" s="42"/>
      <c r="L83" s="251">
        <f>SUM(OffsiteHeatTable[[#This Row],[kWh consumed by reporting organisation]:[kWh exported to other PSB]])</f>
        <v>0</v>
      </c>
      <c r="M83" s="253"/>
      <c r="N83" s="253"/>
      <c r="O83" s="253"/>
      <c r="P83" s="300"/>
      <c r="Q83" s="119"/>
      <c r="R83" s="119"/>
      <c r="T83" s="1" cm="1">
        <f t="array" ref="T83">IF(OR(ISERROR(B83:R83)),1,0)</f>
        <v>0</v>
      </c>
      <c r="U83" s="1">
        <f t="shared" si="2"/>
        <v>0</v>
      </c>
    </row>
    <row r="84" spans="2:21" ht="15" thickBot="1" x14ac:dyDescent="0.4">
      <c r="B84" s="114"/>
      <c r="C84" s="234" t="s">
        <v>468</v>
      </c>
      <c r="D84" s="113"/>
      <c r="E84" s="114"/>
      <c r="F84" s="114"/>
      <c r="G84" s="114"/>
      <c r="H84" s="114"/>
      <c r="I84" s="176" t="str">
        <f>IF(F84="","",INDEX(Lists!$BA$4:$BC$37,MATCH(OffsiteHeatTable[[#This Row],[Renewable Type]],Lists!$AZ$4:$AZ$37,0),MATCH(OffsiteHeatTable[[#This Row],[Methodology used]],Lists!$BA$3:$BC$3,0)))</f>
        <v/>
      </c>
      <c r="J84" s="117"/>
      <c r="K84" s="42"/>
      <c r="L84" s="251">
        <f>SUM(OffsiteHeatTable[[#This Row],[kWh consumed by reporting organisation]:[kWh exported to other PSB]])</f>
        <v>0</v>
      </c>
      <c r="M84" s="253"/>
      <c r="N84" s="253"/>
      <c r="O84" s="253"/>
      <c r="P84" s="300"/>
      <c r="Q84" s="119"/>
      <c r="R84" s="119"/>
      <c r="T84" s="1" cm="1">
        <f t="array" ref="T84">IF(OR(ISERROR(B84:R84)),1,0)</f>
        <v>0</v>
      </c>
      <c r="U84" s="1">
        <f t="shared" si="2"/>
        <v>0</v>
      </c>
    </row>
    <row r="85" spans="2:21" ht="15" thickBot="1" x14ac:dyDescent="0.4">
      <c r="B85" s="114"/>
      <c r="C85" s="234" t="s">
        <v>468</v>
      </c>
      <c r="D85" s="113"/>
      <c r="E85" s="114"/>
      <c r="F85" s="114"/>
      <c r="G85" s="114"/>
      <c r="H85" s="114"/>
      <c r="I85" s="176" t="str">
        <f>IF(F85="","",INDEX(Lists!$BA$4:$BC$37,MATCH(OffsiteHeatTable[[#This Row],[Renewable Type]],Lists!$AZ$4:$AZ$37,0),MATCH(OffsiteHeatTable[[#This Row],[Methodology used]],Lists!$BA$3:$BC$3,0)))</f>
        <v/>
      </c>
      <c r="J85" s="117"/>
      <c r="K85" s="42"/>
      <c r="L85" s="251">
        <f>SUM(OffsiteHeatTable[[#This Row],[kWh consumed by reporting organisation]:[kWh exported to other PSB]])</f>
        <v>0</v>
      </c>
      <c r="M85" s="253"/>
      <c r="N85" s="253"/>
      <c r="O85" s="253"/>
      <c r="P85" s="300"/>
      <c r="Q85" s="119"/>
      <c r="R85" s="119"/>
      <c r="T85" s="1" cm="1">
        <f t="array" ref="T85">IF(OR(ISERROR(B85:R85)),1,0)</f>
        <v>0</v>
      </c>
      <c r="U85" s="1">
        <f t="shared" si="2"/>
        <v>0</v>
      </c>
    </row>
    <row r="86" spans="2:21" ht="15" thickBot="1" x14ac:dyDescent="0.4">
      <c r="B86" s="114"/>
      <c r="C86" s="234" t="s">
        <v>468</v>
      </c>
      <c r="D86" s="113"/>
      <c r="E86" s="114"/>
      <c r="F86" s="114"/>
      <c r="G86" s="114"/>
      <c r="H86" s="114"/>
      <c r="I86" s="176" t="str">
        <f>IF(F86="","",INDEX(Lists!$BA$4:$BC$37,MATCH(OffsiteHeatTable[[#This Row],[Renewable Type]],Lists!$AZ$4:$AZ$37,0),MATCH(OffsiteHeatTable[[#This Row],[Methodology used]],Lists!$BA$3:$BC$3,0)))</f>
        <v/>
      </c>
      <c r="J86" s="117"/>
      <c r="K86" s="42"/>
      <c r="L86" s="251">
        <f>SUM(OffsiteHeatTable[[#This Row],[kWh consumed by reporting organisation]:[kWh exported to other PSB]])</f>
        <v>0</v>
      </c>
      <c r="M86" s="253"/>
      <c r="N86" s="253"/>
      <c r="O86" s="253"/>
      <c r="P86" s="300"/>
      <c r="Q86" s="119"/>
      <c r="R86" s="119"/>
      <c r="T86" s="1" cm="1">
        <f t="array" ref="T86">IF(OR(ISERROR(B86:R86)),1,0)</f>
        <v>0</v>
      </c>
      <c r="U86" s="1">
        <f t="shared" si="2"/>
        <v>0</v>
      </c>
    </row>
    <row r="87" spans="2:21" ht="15" thickBot="1" x14ac:dyDescent="0.4">
      <c r="B87" s="114"/>
      <c r="C87" s="234" t="s">
        <v>468</v>
      </c>
      <c r="D87" s="113"/>
      <c r="E87" s="114"/>
      <c r="F87" s="114"/>
      <c r="G87" s="114"/>
      <c r="H87" s="114"/>
      <c r="I87" s="176" t="str">
        <f>IF(F87="","",INDEX(Lists!$BA$4:$BC$37,MATCH(OffsiteHeatTable[[#This Row],[Renewable Type]],Lists!$AZ$4:$AZ$37,0),MATCH(OffsiteHeatTable[[#This Row],[Methodology used]],Lists!$BA$3:$BC$3,0)))</f>
        <v/>
      </c>
      <c r="J87" s="117"/>
      <c r="K87" s="42"/>
      <c r="L87" s="251">
        <f>SUM(OffsiteHeatTable[[#This Row],[kWh consumed by reporting organisation]:[kWh exported to other PSB]])</f>
        <v>0</v>
      </c>
      <c r="M87" s="253"/>
      <c r="N87" s="253"/>
      <c r="O87" s="253"/>
      <c r="P87" s="300"/>
      <c r="Q87" s="119"/>
      <c r="R87" s="119"/>
      <c r="T87" s="1" cm="1">
        <f t="array" ref="T87">IF(OR(ISERROR(B87:R87)),1,0)</f>
        <v>0</v>
      </c>
      <c r="U87" s="1">
        <f t="shared" si="2"/>
        <v>0</v>
      </c>
    </row>
    <row r="88" spans="2:21" ht="15" thickBot="1" x14ac:dyDescent="0.4">
      <c r="B88" s="114"/>
      <c r="C88" s="234" t="s">
        <v>468</v>
      </c>
      <c r="D88" s="115"/>
      <c r="E88" s="116"/>
      <c r="F88" s="116"/>
      <c r="G88" s="116"/>
      <c r="H88" s="116"/>
      <c r="I88" s="176" t="str">
        <f>IF(F88="","",INDEX(Lists!$BA$4:$BC$37,MATCH(OffsiteHeatTable[[#This Row],[Renewable Type]],Lists!$AZ$4:$AZ$37,0),MATCH(OffsiteHeatTable[[#This Row],[Methodology used]],Lists!$BA$3:$BC$3,0)))</f>
        <v/>
      </c>
      <c r="J88" s="117"/>
      <c r="K88" s="42"/>
      <c r="L88" s="252">
        <f>SUM(OffsiteHeatTable[[#This Row],[kWh consumed by reporting organisation]:[kWh exported to other PSB]])</f>
        <v>0</v>
      </c>
      <c r="M88" s="254"/>
      <c r="N88" s="254"/>
      <c r="O88" s="254"/>
      <c r="P88" s="300"/>
      <c r="Q88" s="119"/>
      <c r="R88" s="120"/>
      <c r="T88" s="1" cm="1">
        <f t="array" ref="T88">IF(OR(ISERROR(B88:R88)),1,0)</f>
        <v>0</v>
      </c>
      <c r="U88" s="1">
        <f t="shared" si="2"/>
        <v>0</v>
      </c>
    </row>
    <row r="89" spans="2:21" x14ac:dyDescent="0.35">
      <c r="B89"/>
    </row>
    <row r="90" spans="2:21" ht="18.5" x14ac:dyDescent="0.35">
      <c r="B90" s="20" t="s">
        <v>469</v>
      </c>
      <c r="D90" s="11" t="s">
        <v>470</v>
      </c>
    </row>
    <row r="91" spans="2:21" ht="15" thickBot="1" x14ac:dyDescent="0.4">
      <c r="B91" s="39" t="s">
        <v>448</v>
      </c>
      <c r="C91" s="40" t="s">
        <v>471</v>
      </c>
      <c r="D91" s="40" t="s">
        <v>230</v>
      </c>
      <c r="E91" s="40" t="s">
        <v>181</v>
      </c>
      <c r="F91" s="40" t="s">
        <v>472</v>
      </c>
      <c r="G91" s="96" t="s">
        <v>19</v>
      </c>
      <c r="H91" s="96" t="s">
        <v>473</v>
      </c>
      <c r="I91" s="40" t="s">
        <v>188</v>
      </c>
      <c r="J91" s="41" t="s">
        <v>189</v>
      </c>
    </row>
    <row r="92" spans="2:21" ht="15" thickBot="1" x14ac:dyDescent="0.4">
      <c r="B92" s="113"/>
      <c r="C92" s="114"/>
      <c r="D92" s="114"/>
      <c r="E92" s="94" t="str">
        <f>IF(D92="","",INDEX(Lists!$BA$4:$BC$37,MATCH(PurchasedRenewablesTable[[#This Row],[Renewable Type]],Lists!$AZ$4:$AZ$37,0),MATCH(PurchasedRenewablesTable[[#This Row],[Methodology used]],Lists!$BA$3:$BC$3,0)))</f>
        <v/>
      </c>
      <c r="F92" s="117"/>
      <c r="G92" s="175"/>
      <c r="H92" s="95"/>
      <c r="I92" s="119"/>
      <c r="J92" s="119"/>
    </row>
    <row r="93" spans="2:21" ht="15" thickBot="1" x14ac:dyDescent="0.4">
      <c r="B93" s="113"/>
      <c r="C93" s="114"/>
      <c r="D93" s="114"/>
      <c r="E93" s="94" t="str">
        <f>IF(D93="","",INDEX(Lists!$BA$4:$BC$37,MATCH(PurchasedRenewablesTable[[#This Row],[Renewable Type]],Lists!$AZ$4:$AZ$37,0),MATCH(PurchasedRenewablesTable[[#This Row],[Methodology used]],Lists!$BA$3:$BC$3,0)))</f>
        <v/>
      </c>
      <c r="F93" s="117"/>
      <c r="G93" s="175"/>
      <c r="H93" s="95"/>
      <c r="I93" s="119"/>
      <c r="J93" s="119"/>
    </row>
    <row r="94" spans="2:21" ht="15" thickBot="1" x14ac:dyDescent="0.4">
      <c r="B94" s="113"/>
      <c r="C94" s="114"/>
      <c r="D94" s="114"/>
      <c r="E94" s="94" t="str">
        <f>IF(D94="","",INDEX(Lists!$BA$4:$BC$37,MATCH(PurchasedRenewablesTable[[#This Row],[Renewable Type]],Lists!$AZ$4:$AZ$37,0),MATCH(PurchasedRenewablesTable[[#This Row],[Methodology used]],Lists!$BA$3:$BC$3,0)))</f>
        <v/>
      </c>
      <c r="F94" s="117"/>
      <c r="G94" s="175"/>
      <c r="H94" s="95"/>
      <c r="I94" s="119"/>
      <c r="J94" s="119"/>
    </row>
    <row r="95" spans="2:21" ht="15" thickBot="1" x14ac:dyDescent="0.4">
      <c r="B95" s="113"/>
      <c r="C95" s="114"/>
      <c r="D95" s="114"/>
      <c r="E95" s="94" t="str">
        <f>IF(D95="","",INDEX(Lists!$BA$4:$BC$37,MATCH(PurchasedRenewablesTable[[#This Row],[Renewable Type]],Lists!$AZ$4:$AZ$37,0),MATCH(PurchasedRenewablesTable[[#This Row],[Methodology used]],Lists!$BA$3:$BC$3,0)))</f>
        <v/>
      </c>
      <c r="F95" s="117"/>
      <c r="G95" s="175"/>
      <c r="H95" s="95"/>
      <c r="I95" s="119"/>
      <c r="J95" s="119"/>
    </row>
    <row r="96" spans="2:21" ht="15" thickBot="1" x14ac:dyDescent="0.4">
      <c r="B96" s="113"/>
      <c r="C96" s="114"/>
      <c r="D96" s="114"/>
      <c r="E96" s="94" t="str">
        <f>IF(D96="","",INDEX(Lists!$BA$4:$BC$37,MATCH(PurchasedRenewablesTable[[#This Row],[Renewable Type]],Lists!$AZ$4:$AZ$37,0),MATCH(PurchasedRenewablesTable[[#This Row],[Methodology used]],Lists!$BA$3:$BC$3,0)))</f>
        <v/>
      </c>
      <c r="F96" s="117"/>
      <c r="G96" s="175"/>
      <c r="H96" s="95"/>
      <c r="I96" s="119"/>
      <c r="J96" s="119"/>
    </row>
    <row r="97" spans="2:10" ht="15" thickBot="1" x14ac:dyDescent="0.4">
      <c r="B97" s="113"/>
      <c r="C97" s="114"/>
      <c r="D97" s="114"/>
      <c r="E97" s="94" t="str">
        <f>IF(D97="","",INDEX(Lists!$BA$4:$BC$37,MATCH(PurchasedRenewablesTable[[#This Row],[Renewable Type]],Lists!$AZ$4:$AZ$37,0),MATCH(PurchasedRenewablesTable[[#This Row],[Methodology used]],Lists!$BA$3:$BC$3,0)))</f>
        <v/>
      </c>
      <c r="F97" s="117"/>
      <c r="G97" s="175"/>
      <c r="H97" s="95"/>
      <c r="I97" s="119"/>
      <c r="J97" s="119"/>
    </row>
    <row r="98" spans="2:10" ht="15" thickBot="1" x14ac:dyDescent="0.4">
      <c r="B98" s="113"/>
      <c r="C98" s="114"/>
      <c r="D98" s="114"/>
      <c r="E98" s="94" t="str">
        <f>IF(D98="","",INDEX(Lists!$BA$4:$BC$37,MATCH(PurchasedRenewablesTable[[#This Row],[Renewable Type]],Lists!$AZ$4:$AZ$37,0),MATCH(PurchasedRenewablesTable[[#This Row],[Methodology used]],Lists!$BA$3:$BC$3,0)))</f>
        <v/>
      </c>
      <c r="F98" s="117"/>
      <c r="G98" s="175"/>
      <c r="H98" s="95"/>
      <c r="I98" s="119"/>
      <c r="J98" s="119"/>
    </row>
    <row r="99" spans="2:10" ht="15" thickBot="1" x14ac:dyDescent="0.4">
      <c r="B99" s="113"/>
      <c r="C99" s="114"/>
      <c r="D99" s="114"/>
      <c r="E99" s="94" t="str">
        <f>IF(D99="","",INDEX(Lists!$BA$4:$BC$37,MATCH(PurchasedRenewablesTable[[#This Row],[Renewable Type]],Lists!$AZ$4:$AZ$37,0),MATCH(PurchasedRenewablesTable[[#This Row],[Methodology used]],Lists!$BA$3:$BC$3,0)))</f>
        <v/>
      </c>
      <c r="F99" s="117"/>
      <c r="G99" s="175"/>
      <c r="H99" s="95"/>
      <c r="I99" s="119"/>
      <c r="J99" s="119"/>
    </row>
    <row r="100" spans="2:10" ht="15" thickBot="1" x14ac:dyDescent="0.4">
      <c r="B100" s="113"/>
      <c r="C100" s="114"/>
      <c r="D100" s="114"/>
      <c r="E100" s="94" t="str">
        <f>IF(D100="","",INDEX(Lists!$BA$4:$BC$37,MATCH(PurchasedRenewablesTable[[#This Row],[Renewable Type]],Lists!$AZ$4:$AZ$37,0),MATCH(PurchasedRenewablesTable[[#This Row],[Methodology used]],Lists!$BA$3:$BC$3,0)))</f>
        <v/>
      </c>
      <c r="F100" s="117"/>
      <c r="G100" s="175"/>
      <c r="H100" s="95"/>
      <c r="I100" s="119"/>
      <c r="J100" s="119"/>
    </row>
    <row r="101" spans="2:10" ht="15" thickBot="1" x14ac:dyDescent="0.4">
      <c r="B101" s="113"/>
      <c r="C101" s="114"/>
      <c r="D101" s="114"/>
      <c r="E101" s="94" t="str">
        <f>IF(D101="","",INDEX(Lists!$BA$4:$BC$37,MATCH(PurchasedRenewablesTable[[#This Row],[Renewable Type]],Lists!$AZ$4:$AZ$37,0),MATCH(PurchasedRenewablesTable[[#This Row],[Methodology used]],Lists!$BA$3:$BC$3,0)))</f>
        <v/>
      </c>
      <c r="F101" s="117"/>
      <c r="G101" s="175"/>
      <c r="H101" s="95"/>
      <c r="I101" s="119"/>
      <c r="J101" s="119"/>
    </row>
    <row r="102" spans="2:10" ht="15" thickBot="1" x14ac:dyDescent="0.4">
      <c r="B102" s="113"/>
      <c r="C102" s="114"/>
      <c r="D102" s="114"/>
      <c r="E102" s="94" t="str">
        <f>IF(D102="","",INDEX(Lists!$BA$4:$BC$37,MATCH(PurchasedRenewablesTable[[#This Row],[Renewable Type]],Lists!$AZ$4:$AZ$37,0),MATCH(PurchasedRenewablesTable[[#This Row],[Methodology used]],Lists!$BA$3:$BC$3,0)))</f>
        <v/>
      </c>
      <c r="F102" s="117"/>
      <c r="G102" s="175"/>
      <c r="H102" s="95"/>
      <c r="I102" s="119"/>
      <c r="J102" s="119"/>
    </row>
    <row r="103" spans="2:10" ht="15" thickBot="1" x14ac:dyDescent="0.4">
      <c r="B103" s="113"/>
      <c r="C103" s="114"/>
      <c r="D103" s="114"/>
      <c r="E103" s="94" t="str">
        <f>IF(D103="","",INDEX(Lists!$BA$4:$BC$37,MATCH(PurchasedRenewablesTable[[#This Row],[Renewable Type]],Lists!$AZ$4:$AZ$37,0),MATCH(PurchasedRenewablesTable[[#This Row],[Methodology used]],Lists!$BA$3:$BC$3,0)))</f>
        <v/>
      </c>
      <c r="F103" s="117"/>
      <c r="G103" s="175"/>
      <c r="H103" s="95"/>
      <c r="I103" s="119"/>
      <c r="J103" s="119"/>
    </row>
    <row r="104" spans="2:10" ht="15" thickBot="1" x14ac:dyDescent="0.4">
      <c r="B104" s="113"/>
      <c r="C104" s="114"/>
      <c r="D104" s="114"/>
      <c r="E104" s="94" t="str">
        <f>IF(D104="","",INDEX(Lists!$BA$4:$BC$37,MATCH(PurchasedRenewablesTable[[#This Row],[Renewable Type]],Lists!$AZ$4:$AZ$37,0),MATCH(PurchasedRenewablesTable[[#This Row],[Methodology used]],Lists!$BA$3:$BC$3,0)))</f>
        <v/>
      </c>
      <c r="F104" s="117"/>
      <c r="G104" s="175"/>
      <c r="H104" s="95"/>
      <c r="I104" s="119"/>
      <c r="J104" s="119"/>
    </row>
    <row r="105" spans="2:10" ht="15" thickBot="1" x14ac:dyDescent="0.4">
      <c r="B105" s="115"/>
      <c r="C105" s="116"/>
      <c r="D105" s="116"/>
      <c r="E105" s="94" t="str">
        <f>IF(D105="","",INDEX(Lists!$BA$4:$BC$37,MATCH(PurchasedRenewablesTable[[#This Row],[Renewable Type]],Lists!$AZ$4:$AZ$37,0),MATCH(PurchasedRenewablesTable[[#This Row],[Methodology used]],Lists!$BA$3:$BC$3,0)))</f>
        <v/>
      </c>
      <c r="F105" s="118"/>
      <c r="G105" s="175"/>
      <c r="H105" s="95"/>
      <c r="I105" s="119"/>
      <c r="J105" s="120"/>
    </row>
  </sheetData>
  <sheetProtection algorithmName="SHA-512" hashValue="TGm2LQma4HMSrsZXJkBuvwijIEfwTuw+kQc2CTduH5mlY3p0ET7OpUNepB/nrGKEW3zFFyzROCLtlTGzbBNYew==" saltValue="blV3bjXu4h1/VE94VJndvg==" spinCount="100000" sheet="1" objects="1" scenarios="1"/>
  <mergeCells count="5">
    <mergeCell ref="N63:P63"/>
    <mergeCell ref="B3:J3"/>
    <mergeCell ref="B4:J4"/>
    <mergeCell ref="B1:G2"/>
    <mergeCell ref="N35:P35"/>
  </mergeCells>
  <conditionalFormatting sqref="B3:B4">
    <cfRule type="expression" dxfId="13" priority="9">
      <formula>ISERROR($L3)</formula>
    </cfRule>
  </conditionalFormatting>
  <conditionalFormatting sqref="K37:K60">
    <cfRule type="expression" dxfId="12" priority="2">
      <formula>IF($X36=1,1,0)</formula>
    </cfRule>
  </conditionalFormatting>
  <conditionalFormatting sqref="K65:K88">
    <cfRule type="expression" dxfId="11" priority="1">
      <formula>IF($X64=1,1,0)</formula>
    </cfRule>
  </conditionalFormatting>
  <dataValidations count="32">
    <dataValidation type="list" allowBlank="1" showInputMessage="1" showErrorMessage="1" sqref="R37:R60 J92:J105 R65:R88 R8:R32" xr:uid="{00000000-0002-0000-0800-000000000000}">
      <formula1>Ease</formula1>
    </dataValidation>
    <dataValidation type="list" allowBlank="1" showInputMessage="1" showErrorMessage="1" sqref="D37:D60 D10:D32 D67:D88" xr:uid="{00000000-0002-0000-0800-000002000000}">
      <formula1>INDIRECT(SUBSTITUTE($B$35," ",""))</formula1>
    </dataValidation>
    <dataValidation type="list" allowBlank="1" showInputMessage="1" showErrorMessage="1" sqref="E37:E60 E8:E32 E65:E88" xr:uid="{00000000-0002-0000-0800-000003000000}">
      <formula1>INDIRECT(CONCATENATE(SUBSTITUTE(D8," ","")&amp;SUBSTITUTE(E$36," ","")))</formula1>
    </dataValidation>
    <dataValidation type="list" allowBlank="1" showInputMessage="1" showErrorMessage="1" sqref="B92:B105" xr:uid="{00000000-0002-0000-0800-000004000000}">
      <formula1>INDIRECT(SUBSTITUTE($B$90," ",""))</formula1>
    </dataValidation>
    <dataValidation type="list" allowBlank="1" showInputMessage="1" showErrorMessage="1" sqref="C92:C105" xr:uid="{00000000-0002-0000-0800-000005000000}">
      <formula1>INDIRECT(CONCATENATE(SUBSTITUTE(B92," ","")&amp;SUBSTITUTE(C$91," ","")))</formula1>
    </dataValidation>
    <dataValidation type="list" allowBlank="1" showInputMessage="1" showErrorMessage="1" sqref="D92:D105" xr:uid="{90BBAA99-ED03-4F4B-A697-8C533EEF011F}">
      <formula1>Methodologytier3</formula1>
    </dataValidation>
    <dataValidation type="list" allowBlank="1" showInputMessage="1" showErrorMessage="1" sqref="F37:F60 F65:F88 F8:F32" xr:uid="{00000000-0002-0000-0800-000001000000}">
      <formula1>Methodologyall</formula1>
    </dataValidation>
    <dataValidation type="list" allowBlank="1" showInputMessage="1" showErrorMessage="1" sqref="G37:G60 G65:G88 G8:G32" xr:uid="{20B61A10-DC96-4B4A-8885-2CB3974F06F1}">
      <formula1>Renewableelectricityownership</formula1>
    </dataValidation>
    <dataValidation allowBlank="1" showInputMessage="1" showErrorMessage="1" promptTitle="Info" prompt="Please enter the name of the site if known, or if aggregating all g renewable generation then please write 'All sites'" sqref="B36 B64 B7" xr:uid="{412287A2-0531-42B7-A7A9-10EFCA4AF994}"/>
    <dataValidation allowBlank="1" showInputMessage="1" showErrorMessage="1" promptTitle="Info" prompt="Please use the dropdown to select the type of generation" sqref="D36 D64 D7" xr:uid="{26D9273E-374A-46BE-BF1A-3EE50E1A19D9}"/>
    <dataValidation allowBlank="1" showInputMessage="1" showErrorMessage="1" promptTitle="Info" prompt="Please use the dropdown to select the renewable generation technology" sqref="E36 E64 E7" xr:uid="{61798D9D-636D-49BD-B7AF-414C13D3F319}"/>
    <dataValidation allowBlank="1" showInputMessage="1" showErrorMessage="1" promptTitle="Info" prompt="Please select the methodology tier, see guidance - table 34 for more info" sqref="F36 F64 F7" xr:uid="{907E9D19-99B6-49BE-8E7C-D99A84FBF6CB}"/>
    <dataValidation allowBlank="1" showInputMessage="1" showErrorMessage="1" promptTitle="Info" prompt="Please use the dropdown to select the onwership type of the generating asset" sqref="G36 G64 G7" xr:uid="{4BD50CEA-402E-4EEC-A674-2D1B69E08E2B}"/>
    <dataValidation allowBlank="1" showInputMessage="1" showErrorMessage="1" promptTitle="Info" prompt="Please enter the total maximum potential elecrical output capacity in Megawatts of the generating asset as measured at the inverter. If unknown then use the rated capacity of the assets themselves." sqref="J36 J64" xr:uid="{ECE9CD79-E783-498D-87AE-7EA4CC736B58}"/>
    <dataValidation allowBlank="1" showInputMessage="1" showErrorMessage="1" promptTitle="Info" prompt="Please enter data in kWh for the total energy generated by the asset in the reporting year." sqref="L36 L64" xr:uid="{C03F52CA-2D2F-4291-9D7C-AA5238282345}"/>
    <dataValidation allowBlank="1" showInputMessage="1" showErrorMessage="1" promptTitle="Info" prompt="Please enter data for how much of the energy genertaed in the reporting year was consumed by the reporting organisation" sqref="M36 M64 M7" xr:uid="{1338E05B-1BBB-416C-8A9D-69F4B645BD8D}"/>
    <dataValidation allowBlank="1" showInputMessage="1" showErrorMessage="1" promptTitle="Info" prompt="Please enter how much energy (in kWh) was exported to the grid by the generation asset within the reporting year" sqref="N36 N64 N7" xr:uid="{F2BC5CB3-76AF-4A87-B23B-17667CDDEF8F}"/>
    <dataValidation allowBlank="1" showInputMessage="1" showErrorMessage="1" promptTitle="Info" prompt="Please enter data for the amount of energy that was exported to another Welsh Public Sector Body in kWh during the reporting year" sqref="O36 O64 O7" xr:uid="{069EC8F9-93E7-4876-9253-9C779678302F}"/>
    <dataValidation allowBlank="1" showInputMessage="1" showErrorMessage="1" promptTitle="Info" prompt="If energy is exported to another Welsh Public Sector Body during the reporting year then please enter the name of that organisation here." sqref="P36 P64 P7" xr:uid="{99F97E27-61BE-44E0-99CF-A10B8A77BF98}"/>
    <dataValidation allowBlank="1" showInputMessage="1" showErrorMessage="1" promptTitle="Info" prompt="Please state whether this generating asset is onsite or offsite" sqref="C36 C64 C7" xr:uid="{E1382A43-0728-4BF1-AC34-FB0BC5136221}"/>
    <dataValidation type="list" allowBlank="1" showInputMessage="1" showErrorMessage="1" sqref="C8:C32" xr:uid="{B1B94E94-3114-481D-B244-13450450EFEE}">
      <formula1>"Onsite,Offsite"</formula1>
    </dataValidation>
    <dataValidation allowBlank="1" showInputMessage="1" showErrorMessage="1" promptTitle="Info" prompt="Please enter the age of the genrating asset to the nearest year, since first generation" sqref="H36 H64 H7" xr:uid="{19BE510F-920F-48A3-A9D3-06027E92B42D}"/>
    <dataValidation type="whole" allowBlank="1" showInputMessage="1" showErrorMessage="1" errorTitle="Error" error="Please enter a whole number" sqref="H37:H60 H65:H88 H8:H32" xr:uid="{4569174F-9324-48D6-83C0-5DD8B328D62F}">
      <formula1>0</formula1>
      <formula2>30</formula2>
    </dataValidation>
    <dataValidation type="list" allowBlank="1" showInputMessage="1" showErrorMessage="1" sqref="D65:D66" xr:uid="{99A7A3AE-48E4-49CE-BD2D-56C70C8DDCAF}">
      <formula1>INDIRECT(SUBSTITUTE($B$63," ",""))</formula1>
    </dataValidation>
    <dataValidation type="list" allowBlank="1" showInputMessage="1" showErrorMessage="1" sqref="C37:C60" xr:uid="{B2B5EA66-C20F-46E2-A74E-B83BFAC23F5E}">
      <formula1>"Onsite"</formula1>
    </dataValidation>
    <dataValidation type="list" allowBlank="1" showInputMessage="1" showErrorMessage="1" sqref="C65:C88" xr:uid="{620F6C6D-2A3D-4DEB-B71A-9E79711E5185}">
      <formula1>"Offsite"</formula1>
    </dataValidation>
    <dataValidation type="list" allowBlank="1" showInputMessage="1" showErrorMessage="1" sqref="D9" xr:uid="{E72C2E48-20C5-4951-A497-3B5DCEFA4EC0}">
      <formula1>INDIRECT(SUBSTITUTE(#REF!," ",""))</formula1>
    </dataValidation>
    <dataValidation type="whole" allowBlank="1" showInputMessage="1" showErrorMessage="1" sqref="L8:L32" xr:uid="{13288AA6-E1C6-4BCF-A65E-F0B72D362767}">
      <formula1>0</formula1>
      <formula2>100</formula2>
    </dataValidation>
    <dataValidation allowBlank="1" showInputMessage="1" showErrorMessage="1" promptTitle="Info" prompt="State the percentage of the reporting year the electricity generating station was available to generate electricity. " sqref="K7" xr:uid="{688EBCB4-283D-46E1-B9D8-D782F99B0424}"/>
    <dataValidation allowBlank="1" showInputMessage="1" showErrorMessage="1" promptTitle="Info" prompt="Please enter the total maximum potential elecrical output capacity in kilowatts of the generating asset as measured at the inverter. If unknown then use the rated capacity of the assets themselves." sqref="J7" xr:uid="{09DC7584-C43A-4A92-A666-ADB07330A39D}"/>
    <dataValidation allowBlank="1" showInputMessage="1" showErrorMessage="1" promptTitle="Info" sqref="K36 K64" xr:uid="{D49A9B40-B013-487C-8A37-73CDB9E9ECDF}"/>
    <dataValidation type="list" allowBlank="1" showInputMessage="1" showErrorMessage="1" sqref="D8" xr:uid="{E0FB0C2A-7ACC-40A7-AF57-AB39221EC624}">
      <formula1>INDIRECT(SUBSTITUTE($B$6," ",""))</formula1>
    </dataValidation>
  </dataValidations>
  <pageMargins left="0.7" right="0.7" top="0.75" bottom="0.75" header="0.3" footer="0.3"/>
  <pageSetup paperSize="9" orientation="portrait" r:id="rId1"/>
  <tableParts count="4">
    <tablePart r:id="rId2"/>
    <tablePart r:id="rId3"/>
    <tablePart r:id="rId4"/>
    <tablePart r:id="rId5"/>
  </tableParts>
  <extLst>
    <ext xmlns:x14="http://schemas.microsoft.com/office/spreadsheetml/2009/9/main" uri="{CCE6A557-97BC-4b89-ADB6-D9C93CAAB3DF}">
      <x14:dataValidations xmlns:xm="http://schemas.microsoft.com/office/excel/2006/main" count="1">
        <x14:dataValidation type="list" allowBlank="1" showInputMessage="1" showErrorMessage="1" xr:uid="{64BA41FA-1C72-470A-86A3-3D032905006F}">
          <x14:formula1>
            <xm:f>'Site Information'!$B$7:$B$1000</xm:f>
          </x14:formula1>
          <xm:sqref>B37:B60 B8:B32 B65:B88</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1F2AE-0752-4CC8-914C-0BF961D70A21}">
  <sheetPr>
    <tabColor theme="2" tint="-9.9978637043366805E-2"/>
  </sheetPr>
  <dimension ref="B1:AJ1729"/>
  <sheetViews>
    <sheetView topLeftCell="A1158" zoomScale="70" zoomScaleNormal="70" workbookViewId="0">
      <selection activeCell="J1180" sqref="J1180"/>
    </sheetView>
  </sheetViews>
  <sheetFormatPr defaultRowHeight="14.5" x14ac:dyDescent="0.35"/>
  <cols>
    <col min="2" max="2" width="13.54296875" bestFit="1" customWidth="1"/>
    <col min="3" max="3" width="10.54296875" bestFit="1" customWidth="1"/>
    <col min="4" max="4" width="16.54296875" customWidth="1"/>
    <col min="5" max="5" width="17.54296875" customWidth="1"/>
    <col min="6" max="6" width="9.6328125" customWidth="1"/>
    <col min="7" max="7" width="39.90625" customWidth="1"/>
    <col min="8" max="14" width="12.36328125" customWidth="1"/>
    <col min="15" max="15" width="13.36328125" customWidth="1"/>
    <col min="19" max="19" width="14.6328125" customWidth="1"/>
    <col min="20" max="20" width="13.6328125" customWidth="1"/>
    <col min="21" max="21" width="19.6328125" customWidth="1"/>
    <col min="22" max="22" width="21.54296875" customWidth="1"/>
    <col min="24" max="24" width="15.6328125" customWidth="1"/>
    <col min="26" max="26" width="17.54296875" customWidth="1"/>
    <col min="27" max="27" width="14.453125" customWidth="1"/>
    <col min="28" max="28" width="12.36328125" customWidth="1"/>
    <col min="29" max="29" width="12.54296875" customWidth="1"/>
    <col min="32" max="32" width="16.36328125" customWidth="1"/>
    <col min="34" max="34" width="10.36328125" bestFit="1" customWidth="1"/>
    <col min="35" max="35" width="16.36328125" bestFit="1" customWidth="1"/>
  </cols>
  <sheetData>
    <row r="1" spans="2:36" ht="15" thickBot="1" x14ac:dyDescent="0.4"/>
    <row r="2" spans="2:36" s="178" customFormat="1" ht="41" x14ac:dyDescent="0.3">
      <c r="B2" s="208" t="s">
        <v>474</v>
      </c>
      <c r="C2" s="208" t="s">
        <v>475</v>
      </c>
      <c r="D2" s="208" t="s">
        <v>476</v>
      </c>
      <c r="E2" s="208" t="s">
        <v>477</v>
      </c>
      <c r="F2" s="208" t="s">
        <v>478</v>
      </c>
      <c r="G2" s="208" t="s">
        <v>479</v>
      </c>
      <c r="H2" s="208" t="s">
        <v>480</v>
      </c>
      <c r="I2" s="208" t="s">
        <v>481</v>
      </c>
      <c r="J2" s="208" t="s">
        <v>482</v>
      </c>
      <c r="K2" s="208" t="s">
        <v>164</v>
      </c>
      <c r="L2" s="208" t="s">
        <v>483</v>
      </c>
      <c r="M2" s="208" t="s">
        <v>484</v>
      </c>
      <c r="N2" s="208" t="s">
        <v>485</v>
      </c>
      <c r="O2" s="208" t="s">
        <v>220</v>
      </c>
      <c r="P2" s="208" t="s">
        <v>180</v>
      </c>
      <c r="Q2" s="208" t="s">
        <v>181</v>
      </c>
      <c r="R2" s="208" t="s">
        <v>182</v>
      </c>
      <c r="S2" s="208" t="s">
        <v>183</v>
      </c>
      <c r="T2" s="208" t="s">
        <v>184</v>
      </c>
      <c r="U2" s="208" t="s">
        <v>185</v>
      </c>
      <c r="V2" s="208" t="s">
        <v>439</v>
      </c>
      <c r="W2" s="208" t="s">
        <v>440</v>
      </c>
      <c r="X2" s="208" t="s">
        <v>188</v>
      </c>
      <c r="Y2" s="208" t="s">
        <v>189</v>
      </c>
      <c r="Z2" s="208" t="s">
        <v>92</v>
      </c>
      <c r="AA2" s="208" t="s">
        <v>190</v>
      </c>
      <c r="AB2" s="208" t="s">
        <v>191</v>
      </c>
      <c r="AC2" s="208" t="s">
        <v>192</v>
      </c>
      <c r="AD2" s="208" t="s">
        <v>193</v>
      </c>
      <c r="AE2" s="208" t="s">
        <v>100</v>
      </c>
      <c r="AF2" s="208" t="s">
        <v>101</v>
      </c>
      <c r="AG2" s="208" t="s">
        <v>96</v>
      </c>
      <c r="AI2" s="192" t="s">
        <v>486</v>
      </c>
      <c r="AJ2" s="192" t="s">
        <v>487</v>
      </c>
    </row>
    <row r="3" spans="2:36" x14ac:dyDescent="0.35">
      <c r="B3" s="193" t="e">
        <f>"2024_"&amp;MATCH(Totals!D3,OrgType,0)&amp;"_"&amp;MATCH(Totals!E3,Organisations,0)&amp;"_"&amp;LEFT(Totals!F3,1)&amp;"_"&amp;LEFT(G3,1)&amp;"_"&amp;COUNTIF($G$3:G3,G3)</f>
        <v>#N/A</v>
      </c>
      <c r="C3" s="193">
        <v>2025</v>
      </c>
      <c r="D3" s="193">
        <f>Introduction!$D$7</f>
        <v>0</v>
      </c>
      <c r="E3" s="193">
        <f>Introduction!$D$8</f>
        <v>0</v>
      </c>
      <c r="F3" s="193" t="s">
        <v>488</v>
      </c>
      <c r="G3" s="193" t="s">
        <v>489</v>
      </c>
      <c r="H3" s="195">
        <f>'Site Information'!B7</f>
        <v>0</v>
      </c>
      <c r="I3" s="237"/>
      <c r="J3" s="193">
        <f>'Site Information'!C7</f>
        <v>0</v>
      </c>
      <c r="K3" s="193">
        <f>'Site Information'!D7</f>
        <v>0</v>
      </c>
      <c r="L3" s="193">
        <f>'Site Information'!E7</f>
        <v>0</v>
      </c>
      <c r="M3" s="237"/>
      <c r="N3" s="237"/>
      <c r="O3" s="237"/>
      <c r="P3" s="237"/>
      <c r="Q3" s="237"/>
      <c r="R3" s="193">
        <f>'Site Information'!F7</f>
        <v>0</v>
      </c>
      <c r="S3" s="237"/>
      <c r="T3" s="237"/>
      <c r="U3" s="237"/>
      <c r="V3" s="237"/>
      <c r="W3" s="237"/>
      <c r="X3" s="237"/>
      <c r="Y3" s="237"/>
      <c r="Z3" s="237"/>
      <c r="AA3" s="237"/>
      <c r="AB3" s="237"/>
      <c r="AC3" s="237"/>
      <c r="AD3" s="237"/>
      <c r="AE3" s="237"/>
      <c r="AF3" s="237"/>
      <c r="AG3" s="237"/>
      <c r="AI3" s="193">
        <f>IF(AND(V3="",R3&lt;&gt;0),1,0)</f>
        <v>0</v>
      </c>
      <c r="AJ3" s="193">
        <f>IF(AND(W3="",R3&lt;&gt;0),1,0)</f>
        <v>0</v>
      </c>
    </row>
    <row r="4" spans="2:36" x14ac:dyDescent="0.35">
      <c r="B4" s="193" t="e">
        <f>"2024"&amp;MATCH(Totals!D4,OrgType,0)&amp;"_"&amp;MATCH(Totals!E4,Organisations,0)&amp;"_"&amp;LEFT(Totals!F4,1)&amp;"_"&amp;LEFT(G4,1)&amp;"_"&amp;COUNTIF($G$3:G4,G4)</f>
        <v>#N/A</v>
      </c>
      <c r="C4" s="193">
        <v>2025</v>
      </c>
      <c r="D4" s="193">
        <f>Introduction!$D$7</f>
        <v>0</v>
      </c>
      <c r="E4" s="193">
        <f>Introduction!$D$8</f>
        <v>0</v>
      </c>
      <c r="F4" s="193" t="s">
        <v>488</v>
      </c>
      <c r="G4" s="193" t="s">
        <v>489</v>
      </c>
      <c r="H4" s="195">
        <f>'Site Information'!B8</f>
        <v>0</v>
      </c>
      <c r="I4" s="237"/>
      <c r="J4" s="193">
        <f>'Site Information'!C8</f>
        <v>0</v>
      </c>
      <c r="K4" s="193">
        <f>'Site Information'!D8</f>
        <v>0</v>
      </c>
      <c r="L4" s="193">
        <f>'Site Information'!E8</f>
        <v>0</v>
      </c>
      <c r="M4" s="237"/>
      <c r="N4" s="237"/>
      <c r="O4" s="237"/>
      <c r="P4" s="237"/>
      <c r="Q4" s="237"/>
      <c r="R4" s="193">
        <f>'Site Information'!F8</f>
        <v>0</v>
      </c>
      <c r="S4" s="237"/>
      <c r="T4" s="237"/>
      <c r="U4" s="237"/>
      <c r="V4" s="237"/>
      <c r="W4" s="237"/>
      <c r="X4" s="237"/>
      <c r="Y4" s="237"/>
      <c r="Z4" s="237"/>
      <c r="AA4" s="237"/>
      <c r="AB4" s="237"/>
      <c r="AC4" s="237"/>
      <c r="AD4" s="237"/>
      <c r="AE4" s="237"/>
      <c r="AF4" s="237"/>
      <c r="AG4" s="237"/>
      <c r="AI4" s="193">
        <f t="shared" ref="AI4:AI53" si="0">IF(AND(V4="",R4&lt;&gt;0),1,0)</f>
        <v>0</v>
      </c>
      <c r="AJ4" s="193">
        <f t="shared" ref="AJ4:AJ53" si="1">IF(AND(W4="",R4&lt;&gt;0),1,0)</f>
        <v>0</v>
      </c>
    </row>
    <row r="5" spans="2:36" x14ac:dyDescent="0.35">
      <c r="B5" s="193" t="e">
        <f>"2024"&amp;MATCH(Totals!D5,OrgType,0)&amp;"_"&amp;MATCH(Totals!E5,Organisations,0)&amp;"_"&amp;LEFT(Totals!F5,1)&amp;"_"&amp;LEFT(G5,1)&amp;"_"&amp;COUNTIF($G$3:G5,G5)</f>
        <v>#N/A</v>
      </c>
      <c r="C5" s="193">
        <v>2025</v>
      </c>
      <c r="D5" s="193">
        <f>Introduction!$D$7</f>
        <v>0</v>
      </c>
      <c r="E5" s="193">
        <f>Introduction!$D$8</f>
        <v>0</v>
      </c>
      <c r="F5" s="193" t="s">
        <v>488</v>
      </c>
      <c r="G5" s="193" t="s">
        <v>489</v>
      </c>
      <c r="H5" s="195">
        <f>'Site Information'!B9</f>
        <v>0</v>
      </c>
      <c r="I5" s="237"/>
      <c r="J5" s="193">
        <f>'Site Information'!C9</f>
        <v>0</v>
      </c>
      <c r="K5" s="193">
        <f>'Site Information'!D9</f>
        <v>0</v>
      </c>
      <c r="L5" s="193">
        <f>'Site Information'!E9</f>
        <v>0</v>
      </c>
      <c r="M5" s="237"/>
      <c r="N5" s="237"/>
      <c r="O5" s="237"/>
      <c r="P5" s="237"/>
      <c r="Q5" s="237"/>
      <c r="R5" s="193">
        <f>'Site Information'!F9</f>
        <v>0</v>
      </c>
      <c r="S5" s="237"/>
      <c r="T5" s="237"/>
      <c r="U5" s="237"/>
      <c r="V5" s="237"/>
      <c r="W5" s="237"/>
      <c r="X5" s="237"/>
      <c r="Y5" s="237"/>
      <c r="Z5" s="237"/>
      <c r="AA5" s="237"/>
      <c r="AB5" s="237"/>
      <c r="AC5" s="237"/>
      <c r="AD5" s="237"/>
      <c r="AE5" s="237"/>
      <c r="AF5" s="237"/>
      <c r="AG5" s="237"/>
      <c r="AI5" s="193">
        <f t="shared" si="0"/>
        <v>0</v>
      </c>
      <c r="AJ5" s="193">
        <f t="shared" si="1"/>
        <v>0</v>
      </c>
    </row>
    <row r="6" spans="2:36" x14ac:dyDescent="0.35">
      <c r="B6" s="193" t="e">
        <f>"2024"&amp;MATCH(Totals!D6,OrgType,0)&amp;"_"&amp;MATCH(Totals!E6,Organisations,0)&amp;"_"&amp;LEFT(Totals!F6,1)&amp;"_"&amp;LEFT(G6,1)&amp;"_"&amp;COUNTIF($G$3:G6,G6)</f>
        <v>#N/A</v>
      </c>
      <c r="C6" s="193">
        <v>2025</v>
      </c>
      <c r="D6" s="193">
        <f>Introduction!$D$7</f>
        <v>0</v>
      </c>
      <c r="E6" s="193">
        <f>Introduction!$D$8</f>
        <v>0</v>
      </c>
      <c r="F6" s="193" t="s">
        <v>488</v>
      </c>
      <c r="G6" s="193" t="s">
        <v>489</v>
      </c>
      <c r="H6" s="195">
        <f>'Site Information'!B10</f>
        <v>0</v>
      </c>
      <c r="I6" s="237"/>
      <c r="J6" s="193">
        <f>'Site Information'!C10</f>
        <v>0</v>
      </c>
      <c r="K6" s="193">
        <f>'Site Information'!D10</f>
        <v>0</v>
      </c>
      <c r="L6" s="193">
        <f>'Site Information'!E10</f>
        <v>0</v>
      </c>
      <c r="M6" s="237"/>
      <c r="N6" s="237"/>
      <c r="O6" s="237"/>
      <c r="P6" s="237"/>
      <c r="Q6" s="237"/>
      <c r="R6" s="193">
        <f>'Site Information'!F10</f>
        <v>0</v>
      </c>
      <c r="S6" s="237"/>
      <c r="T6" s="237"/>
      <c r="U6" s="237"/>
      <c r="V6" s="237"/>
      <c r="W6" s="237"/>
      <c r="X6" s="237"/>
      <c r="Y6" s="237"/>
      <c r="Z6" s="237"/>
      <c r="AA6" s="237"/>
      <c r="AB6" s="237"/>
      <c r="AC6" s="237"/>
      <c r="AD6" s="237"/>
      <c r="AE6" s="237"/>
      <c r="AF6" s="237"/>
      <c r="AG6" s="237"/>
      <c r="AI6" s="193">
        <f t="shared" si="0"/>
        <v>0</v>
      </c>
      <c r="AJ6" s="193">
        <f t="shared" si="1"/>
        <v>0</v>
      </c>
    </row>
    <row r="7" spans="2:36" x14ac:dyDescent="0.35">
      <c r="B7" s="193" t="e">
        <f>"2024"&amp;MATCH(Totals!D7,OrgType,0)&amp;"_"&amp;MATCH(Totals!E7,Organisations,0)&amp;"_"&amp;LEFT(Totals!F7,1)&amp;"_"&amp;LEFT(G7,1)&amp;"_"&amp;COUNTIF($G$3:G7,G7)</f>
        <v>#N/A</v>
      </c>
      <c r="C7" s="193">
        <v>2025</v>
      </c>
      <c r="D7" s="193">
        <f>Introduction!$D$7</f>
        <v>0</v>
      </c>
      <c r="E7" s="193">
        <f>Introduction!$D$8</f>
        <v>0</v>
      </c>
      <c r="F7" s="193" t="s">
        <v>488</v>
      </c>
      <c r="G7" s="193" t="s">
        <v>489</v>
      </c>
      <c r="H7" s="195">
        <f>'Site Information'!B11</f>
        <v>0</v>
      </c>
      <c r="I7" s="237"/>
      <c r="J7" s="193">
        <f>'Site Information'!C11</f>
        <v>0</v>
      </c>
      <c r="K7" s="193">
        <f>'Site Information'!D11</f>
        <v>0</v>
      </c>
      <c r="L7" s="193">
        <f>'Site Information'!E11</f>
        <v>0</v>
      </c>
      <c r="M7" s="237"/>
      <c r="N7" s="237"/>
      <c r="O7" s="237"/>
      <c r="P7" s="237"/>
      <c r="Q7" s="237"/>
      <c r="R7" s="193">
        <f>'Site Information'!F11</f>
        <v>0</v>
      </c>
      <c r="S7" s="237"/>
      <c r="T7" s="237"/>
      <c r="U7" s="237"/>
      <c r="V7" s="237"/>
      <c r="W7" s="237"/>
      <c r="X7" s="237"/>
      <c r="Y7" s="237"/>
      <c r="Z7" s="237"/>
      <c r="AA7" s="237"/>
      <c r="AB7" s="237"/>
      <c r="AC7" s="237"/>
      <c r="AD7" s="237"/>
      <c r="AE7" s="237"/>
      <c r="AF7" s="237"/>
      <c r="AG7" s="237"/>
      <c r="AI7" s="193">
        <f t="shared" si="0"/>
        <v>0</v>
      </c>
      <c r="AJ7" s="193">
        <f t="shared" si="1"/>
        <v>0</v>
      </c>
    </row>
    <row r="8" spans="2:36" x14ac:dyDescent="0.35">
      <c r="B8" s="193" t="e">
        <f>"2024"&amp;MATCH(Totals!D8,OrgType,0)&amp;"_"&amp;MATCH(Totals!E8,Organisations,0)&amp;"_"&amp;LEFT(Totals!F8,1)&amp;"_"&amp;LEFT(G8,1)&amp;"_"&amp;COUNTIF($G$3:G8,G8)</f>
        <v>#N/A</v>
      </c>
      <c r="C8" s="193">
        <v>2025</v>
      </c>
      <c r="D8" s="193">
        <f>Introduction!$D$7</f>
        <v>0</v>
      </c>
      <c r="E8" s="193">
        <f>Introduction!$D$8</f>
        <v>0</v>
      </c>
      <c r="F8" s="193" t="s">
        <v>488</v>
      </c>
      <c r="G8" s="193" t="s">
        <v>489</v>
      </c>
      <c r="H8" s="195">
        <f>'Site Information'!B12</f>
        <v>0</v>
      </c>
      <c r="I8" s="237"/>
      <c r="J8" s="193">
        <f>'Site Information'!C12</f>
        <v>0</v>
      </c>
      <c r="K8" s="193">
        <f>'Site Information'!D12</f>
        <v>0</v>
      </c>
      <c r="L8" s="193">
        <f>'Site Information'!E12</f>
        <v>0</v>
      </c>
      <c r="M8" s="237"/>
      <c r="N8" s="237"/>
      <c r="O8" s="237"/>
      <c r="P8" s="237"/>
      <c r="Q8" s="237"/>
      <c r="R8" s="193">
        <f>'Site Information'!F12</f>
        <v>0</v>
      </c>
      <c r="S8" s="237"/>
      <c r="T8" s="237"/>
      <c r="U8" s="237"/>
      <c r="V8" s="237"/>
      <c r="W8" s="237"/>
      <c r="X8" s="237"/>
      <c r="Y8" s="237"/>
      <c r="Z8" s="237"/>
      <c r="AA8" s="237"/>
      <c r="AB8" s="237"/>
      <c r="AC8" s="237"/>
      <c r="AD8" s="237"/>
      <c r="AE8" s="237"/>
      <c r="AF8" s="237"/>
      <c r="AG8" s="237"/>
      <c r="AI8" s="193">
        <f t="shared" si="0"/>
        <v>0</v>
      </c>
      <c r="AJ8" s="193">
        <f t="shared" si="1"/>
        <v>0</v>
      </c>
    </row>
    <row r="9" spans="2:36" x14ac:dyDescent="0.35">
      <c r="B9" s="193" t="e">
        <f>"2024"&amp;MATCH(Totals!D9,OrgType,0)&amp;"_"&amp;MATCH(Totals!E9,Organisations,0)&amp;"_"&amp;LEFT(Totals!F9,1)&amp;"_"&amp;LEFT(G9,1)&amp;"_"&amp;COUNTIF($G$3:G9,G9)</f>
        <v>#N/A</v>
      </c>
      <c r="C9" s="193">
        <v>2025</v>
      </c>
      <c r="D9" s="193">
        <f>Introduction!$D$7</f>
        <v>0</v>
      </c>
      <c r="E9" s="193">
        <f>Introduction!$D$8</f>
        <v>0</v>
      </c>
      <c r="F9" s="193" t="s">
        <v>488</v>
      </c>
      <c r="G9" s="193" t="s">
        <v>489</v>
      </c>
      <c r="H9" s="195">
        <f>'Site Information'!B13</f>
        <v>0</v>
      </c>
      <c r="I9" s="237"/>
      <c r="J9" s="193">
        <f>'Site Information'!C13</f>
        <v>0</v>
      </c>
      <c r="K9" s="193">
        <f>'Site Information'!D13</f>
        <v>0</v>
      </c>
      <c r="L9" s="193">
        <f>'Site Information'!E13</f>
        <v>0</v>
      </c>
      <c r="M9" s="237"/>
      <c r="N9" s="237"/>
      <c r="O9" s="237"/>
      <c r="P9" s="237"/>
      <c r="Q9" s="237"/>
      <c r="R9" s="193">
        <f>'Site Information'!F13</f>
        <v>0</v>
      </c>
      <c r="S9" s="237"/>
      <c r="T9" s="237"/>
      <c r="U9" s="237"/>
      <c r="V9" s="237"/>
      <c r="W9" s="237"/>
      <c r="X9" s="237"/>
      <c r="Y9" s="237"/>
      <c r="Z9" s="237"/>
      <c r="AA9" s="237"/>
      <c r="AB9" s="237"/>
      <c r="AC9" s="237"/>
      <c r="AD9" s="237"/>
      <c r="AE9" s="237"/>
      <c r="AF9" s="237"/>
      <c r="AG9" s="237"/>
      <c r="AI9" s="193">
        <f t="shared" si="0"/>
        <v>0</v>
      </c>
      <c r="AJ9" s="193">
        <f t="shared" si="1"/>
        <v>0</v>
      </c>
    </row>
    <row r="10" spans="2:36" x14ac:dyDescent="0.35">
      <c r="B10" s="193" t="e">
        <f>"2024"&amp;MATCH(Totals!D10,OrgType,0)&amp;"_"&amp;MATCH(Totals!E10,Organisations,0)&amp;"_"&amp;LEFT(Totals!F10,1)&amp;"_"&amp;LEFT(G10,1)&amp;"_"&amp;COUNTIF($G$3:G10,G10)</f>
        <v>#N/A</v>
      </c>
      <c r="C10" s="193">
        <v>2025</v>
      </c>
      <c r="D10" s="193">
        <f>Introduction!$D$7</f>
        <v>0</v>
      </c>
      <c r="E10" s="193">
        <f>Introduction!$D$8</f>
        <v>0</v>
      </c>
      <c r="F10" s="193" t="s">
        <v>488</v>
      </c>
      <c r="G10" s="193" t="s">
        <v>489</v>
      </c>
      <c r="H10" s="195">
        <f>'Site Information'!B14</f>
        <v>0</v>
      </c>
      <c r="I10" s="237"/>
      <c r="J10" s="193">
        <f>'Site Information'!C14</f>
        <v>0</v>
      </c>
      <c r="K10" s="193">
        <f>'Site Information'!D14</f>
        <v>0</v>
      </c>
      <c r="L10" s="193">
        <f>'Site Information'!E14</f>
        <v>0</v>
      </c>
      <c r="M10" s="237"/>
      <c r="N10" s="237"/>
      <c r="O10" s="237"/>
      <c r="P10" s="237"/>
      <c r="Q10" s="237"/>
      <c r="R10" s="193">
        <f>'Site Information'!F14</f>
        <v>0</v>
      </c>
      <c r="S10" s="237"/>
      <c r="T10" s="237"/>
      <c r="U10" s="237"/>
      <c r="V10" s="237"/>
      <c r="W10" s="237"/>
      <c r="X10" s="237"/>
      <c r="Y10" s="237"/>
      <c r="Z10" s="237"/>
      <c r="AA10" s="237"/>
      <c r="AB10" s="237"/>
      <c r="AC10" s="237"/>
      <c r="AD10" s="237"/>
      <c r="AE10" s="237"/>
      <c r="AF10" s="237"/>
      <c r="AG10" s="237"/>
      <c r="AI10" s="193">
        <f t="shared" si="0"/>
        <v>0</v>
      </c>
      <c r="AJ10" s="193">
        <f t="shared" si="1"/>
        <v>0</v>
      </c>
    </row>
    <row r="11" spans="2:36" x14ac:dyDescent="0.35">
      <c r="B11" s="193" t="e">
        <f>"2024"&amp;MATCH(Totals!D11,OrgType,0)&amp;"_"&amp;MATCH(Totals!E11,Organisations,0)&amp;"_"&amp;LEFT(Totals!F11,1)&amp;"_"&amp;LEFT(G11,1)&amp;"_"&amp;COUNTIF($G$3:G11,G11)</f>
        <v>#N/A</v>
      </c>
      <c r="C11" s="193">
        <v>2025</v>
      </c>
      <c r="D11" s="193">
        <f>Introduction!$D$7</f>
        <v>0</v>
      </c>
      <c r="E11" s="193">
        <f>Introduction!$D$8</f>
        <v>0</v>
      </c>
      <c r="F11" s="193" t="s">
        <v>488</v>
      </c>
      <c r="G11" s="193" t="s">
        <v>489</v>
      </c>
      <c r="H11" s="195">
        <f>'Site Information'!B15</f>
        <v>0</v>
      </c>
      <c r="I11" s="237"/>
      <c r="J11" s="193">
        <f>'Site Information'!C15</f>
        <v>0</v>
      </c>
      <c r="K11" s="193">
        <f>'Site Information'!D15</f>
        <v>0</v>
      </c>
      <c r="L11" s="193">
        <f>'Site Information'!E15</f>
        <v>0</v>
      </c>
      <c r="M11" s="237"/>
      <c r="N11" s="237"/>
      <c r="O11" s="237"/>
      <c r="P11" s="237"/>
      <c r="Q11" s="237"/>
      <c r="R11" s="193">
        <f>'Site Information'!F15</f>
        <v>0</v>
      </c>
      <c r="S11" s="237"/>
      <c r="T11" s="237"/>
      <c r="U11" s="237"/>
      <c r="V11" s="237"/>
      <c r="W11" s="237"/>
      <c r="X11" s="237"/>
      <c r="Y11" s="237"/>
      <c r="Z11" s="237"/>
      <c r="AA11" s="237"/>
      <c r="AB11" s="237"/>
      <c r="AC11" s="237"/>
      <c r="AD11" s="237"/>
      <c r="AE11" s="237"/>
      <c r="AF11" s="237"/>
      <c r="AG11" s="237"/>
      <c r="AI11" s="193">
        <f t="shared" si="0"/>
        <v>0</v>
      </c>
      <c r="AJ11" s="193">
        <f t="shared" si="1"/>
        <v>0</v>
      </c>
    </row>
    <row r="12" spans="2:36" x14ac:dyDescent="0.35">
      <c r="B12" s="193" t="e">
        <f>"2024"&amp;MATCH(Totals!D12,OrgType,0)&amp;"_"&amp;MATCH(Totals!E12,Organisations,0)&amp;"_"&amp;LEFT(Totals!F12,1)&amp;"_"&amp;LEFT(G12,1)&amp;"_"&amp;COUNTIF($G$3:G12,G12)</f>
        <v>#N/A</v>
      </c>
      <c r="C12" s="193">
        <v>2025</v>
      </c>
      <c r="D12" s="193">
        <f>Introduction!$D$7</f>
        <v>0</v>
      </c>
      <c r="E12" s="193">
        <f>Introduction!$D$8</f>
        <v>0</v>
      </c>
      <c r="F12" s="193" t="s">
        <v>488</v>
      </c>
      <c r="G12" s="193" t="s">
        <v>489</v>
      </c>
      <c r="H12" s="195">
        <f>'Site Information'!B16</f>
        <v>0</v>
      </c>
      <c r="I12" s="237"/>
      <c r="J12" s="193">
        <f>'Site Information'!C16</f>
        <v>0</v>
      </c>
      <c r="K12" s="193">
        <f>'Site Information'!D16</f>
        <v>0</v>
      </c>
      <c r="L12" s="193">
        <f>'Site Information'!E16</f>
        <v>0</v>
      </c>
      <c r="M12" s="237"/>
      <c r="N12" s="237"/>
      <c r="O12" s="237"/>
      <c r="P12" s="237"/>
      <c r="Q12" s="237"/>
      <c r="R12" s="193">
        <f>'Site Information'!F16</f>
        <v>0</v>
      </c>
      <c r="S12" s="237"/>
      <c r="T12" s="237"/>
      <c r="U12" s="237"/>
      <c r="V12" s="237"/>
      <c r="W12" s="237"/>
      <c r="X12" s="237"/>
      <c r="Y12" s="237"/>
      <c r="Z12" s="237"/>
      <c r="AA12" s="237"/>
      <c r="AB12" s="237"/>
      <c r="AC12" s="237"/>
      <c r="AD12" s="237"/>
      <c r="AE12" s="237"/>
      <c r="AF12" s="237"/>
      <c r="AG12" s="237"/>
      <c r="AI12" s="193">
        <f t="shared" si="0"/>
        <v>0</v>
      </c>
      <c r="AJ12" s="193">
        <f t="shared" si="1"/>
        <v>0</v>
      </c>
    </row>
    <row r="13" spans="2:36" x14ac:dyDescent="0.35">
      <c r="B13" s="193" t="e">
        <f>"2024"&amp;MATCH(Totals!D13,OrgType,0)&amp;"_"&amp;MATCH(Totals!E13,Organisations,0)&amp;"_"&amp;LEFT(Totals!F13,1)&amp;"_"&amp;LEFT(G13,1)&amp;"_"&amp;COUNTIF($G$3:G13,G13)</f>
        <v>#N/A</v>
      </c>
      <c r="C13" s="193">
        <v>2025</v>
      </c>
      <c r="D13" s="193">
        <f>Introduction!$D$7</f>
        <v>0</v>
      </c>
      <c r="E13" s="193">
        <f>Introduction!$D$8</f>
        <v>0</v>
      </c>
      <c r="F13" s="193" t="s">
        <v>488</v>
      </c>
      <c r="G13" s="193" t="s">
        <v>489</v>
      </c>
      <c r="H13" s="195">
        <f>'Site Information'!B17</f>
        <v>0</v>
      </c>
      <c r="I13" s="237"/>
      <c r="J13" s="193">
        <f>'Site Information'!C17</f>
        <v>0</v>
      </c>
      <c r="K13" s="193">
        <f>'Site Information'!D17</f>
        <v>0</v>
      </c>
      <c r="L13" s="193">
        <f>'Site Information'!E17</f>
        <v>0</v>
      </c>
      <c r="M13" s="237"/>
      <c r="N13" s="237"/>
      <c r="O13" s="237"/>
      <c r="P13" s="237"/>
      <c r="Q13" s="237"/>
      <c r="R13" s="193">
        <f>'Site Information'!F17</f>
        <v>0</v>
      </c>
      <c r="S13" s="237"/>
      <c r="T13" s="237"/>
      <c r="U13" s="237"/>
      <c r="V13" s="237"/>
      <c r="W13" s="237"/>
      <c r="X13" s="237"/>
      <c r="Y13" s="237"/>
      <c r="Z13" s="237"/>
      <c r="AA13" s="237"/>
      <c r="AB13" s="237"/>
      <c r="AC13" s="237"/>
      <c r="AD13" s="237"/>
      <c r="AE13" s="237"/>
      <c r="AF13" s="237"/>
      <c r="AG13" s="237"/>
      <c r="AI13" s="193">
        <f t="shared" si="0"/>
        <v>0</v>
      </c>
      <c r="AJ13" s="193">
        <f t="shared" si="1"/>
        <v>0</v>
      </c>
    </row>
    <row r="14" spans="2:36" x14ac:dyDescent="0.35">
      <c r="B14" s="193" t="e">
        <f>"2024"&amp;MATCH(Totals!D14,OrgType,0)&amp;"_"&amp;MATCH(Totals!E14,Organisations,0)&amp;"_"&amp;LEFT(Totals!F14,1)&amp;"_"&amp;LEFT(G14,1)&amp;"_"&amp;COUNTIF($G$3:G14,G14)</f>
        <v>#N/A</v>
      </c>
      <c r="C14" s="193">
        <v>2025</v>
      </c>
      <c r="D14" s="193">
        <f>Introduction!$D$7</f>
        <v>0</v>
      </c>
      <c r="E14" s="193">
        <f>Introduction!$D$8</f>
        <v>0</v>
      </c>
      <c r="F14" s="193" t="s">
        <v>488</v>
      </c>
      <c r="G14" s="193" t="s">
        <v>489</v>
      </c>
      <c r="H14" s="195">
        <f>'Site Information'!B18</f>
        <v>0</v>
      </c>
      <c r="I14" s="237"/>
      <c r="J14" s="193">
        <f>'Site Information'!C18</f>
        <v>0</v>
      </c>
      <c r="K14" s="193">
        <f>'Site Information'!D18</f>
        <v>0</v>
      </c>
      <c r="L14" s="193">
        <f>'Site Information'!E18</f>
        <v>0</v>
      </c>
      <c r="M14" s="237"/>
      <c r="N14" s="237"/>
      <c r="O14" s="237"/>
      <c r="P14" s="237"/>
      <c r="Q14" s="237"/>
      <c r="R14" s="193">
        <f>'Site Information'!F18</f>
        <v>0</v>
      </c>
      <c r="S14" s="237"/>
      <c r="T14" s="237"/>
      <c r="U14" s="237"/>
      <c r="V14" s="237"/>
      <c r="W14" s="237"/>
      <c r="X14" s="237"/>
      <c r="Y14" s="237"/>
      <c r="Z14" s="237"/>
      <c r="AA14" s="237"/>
      <c r="AB14" s="237"/>
      <c r="AC14" s="237"/>
      <c r="AD14" s="237"/>
      <c r="AE14" s="237"/>
      <c r="AF14" s="237"/>
      <c r="AG14" s="237"/>
      <c r="AI14" s="193">
        <f t="shared" si="0"/>
        <v>0</v>
      </c>
      <c r="AJ14" s="193">
        <f t="shared" si="1"/>
        <v>0</v>
      </c>
    </row>
    <row r="15" spans="2:36" x14ac:dyDescent="0.35">
      <c r="B15" s="193" t="e">
        <f>"2024"&amp;MATCH(Totals!D15,OrgType,0)&amp;"_"&amp;MATCH(Totals!E15,Organisations,0)&amp;"_"&amp;LEFT(Totals!F15,1)&amp;"_"&amp;LEFT(G15,1)&amp;"_"&amp;COUNTIF($G$3:G15,G15)</f>
        <v>#N/A</v>
      </c>
      <c r="C15" s="193">
        <v>2025</v>
      </c>
      <c r="D15" s="193">
        <f>Introduction!$D$7</f>
        <v>0</v>
      </c>
      <c r="E15" s="193">
        <f>Introduction!$D$8</f>
        <v>0</v>
      </c>
      <c r="F15" s="193" t="s">
        <v>488</v>
      </c>
      <c r="G15" s="193" t="s">
        <v>489</v>
      </c>
      <c r="H15" s="195">
        <f>'Site Information'!B19</f>
        <v>0</v>
      </c>
      <c r="I15" s="237"/>
      <c r="J15" s="193">
        <f>'Site Information'!C19</f>
        <v>0</v>
      </c>
      <c r="K15" s="193">
        <f>'Site Information'!D19</f>
        <v>0</v>
      </c>
      <c r="L15" s="193">
        <f>'Site Information'!E19</f>
        <v>0</v>
      </c>
      <c r="M15" s="237"/>
      <c r="N15" s="237"/>
      <c r="O15" s="237"/>
      <c r="P15" s="237"/>
      <c r="Q15" s="237"/>
      <c r="R15" s="193">
        <f>'Site Information'!F19</f>
        <v>0</v>
      </c>
      <c r="S15" s="237"/>
      <c r="T15" s="237"/>
      <c r="U15" s="237"/>
      <c r="V15" s="237"/>
      <c r="W15" s="237"/>
      <c r="X15" s="237"/>
      <c r="Y15" s="237"/>
      <c r="Z15" s="237"/>
      <c r="AA15" s="237"/>
      <c r="AB15" s="237"/>
      <c r="AC15" s="237"/>
      <c r="AD15" s="237"/>
      <c r="AE15" s="237"/>
      <c r="AF15" s="237"/>
      <c r="AG15" s="237"/>
      <c r="AI15" s="193">
        <f t="shared" si="0"/>
        <v>0</v>
      </c>
      <c r="AJ15" s="193">
        <f t="shared" si="1"/>
        <v>0</v>
      </c>
    </row>
    <row r="16" spans="2:36" x14ac:dyDescent="0.35">
      <c r="B16" s="193" t="e">
        <f>"2024"&amp;MATCH(Totals!D16,OrgType,0)&amp;"_"&amp;MATCH(Totals!E16,Organisations,0)&amp;"_"&amp;LEFT(Totals!F16,1)&amp;"_"&amp;LEFT(G16,1)&amp;"_"&amp;COUNTIF($G$3:G16,G16)</f>
        <v>#N/A</v>
      </c>
      <c r="C16" s="193">
        <v>2025</v>
      </c>
      <c r="D16" s="193">
        <f>Introduction!$D$7</f>
        <v>0</v>
      </c>
      <c r="E16" s="193">
        <f>Introduction!$D$8</f>
        <v>0</v>
      </c>
      <c r="F16" s="193" t="s">
        <v>488</v>
      </c>
      <c r="G16" s="193" t="s">
        <v>489</v>
      </c>
      <c r="H16" s="195">
        <f>'Site Information'!B20</f>
        <v>0</v>
      </c>
      <c r="I16" s="237"/>
      <c r="J16" s="193">
        <f>'Site Information'!C20</f>
        <v>0</v>
      </c>
      <c r="K16" s="193">
        <f>'Site Information'!D20</f>
        <v>0</v>
      </c>
      <c r="L16" s="193">
        <f>'Site Information'!E20</f>
        <v>0</v>
      </c>
      <c r="M16" s="237"/>
      <c r="N16" s="237"/>
      <c r="O16" s="237"/>
      <c r="P16" s="237"/>
      <c r="Q16" s="237"/>
      <c r="R16" s="193">
        <f>'Site Information'!F20</f>
        <v>0</v>
      </c>
      <c r="S16" s="237"/>
      <c r="T16" s="237"/>
      <c r="U16" s="237"/>
      <c r="V16" s="237"/>
      <c r="W16" s="237"/>
      <c r="X16" s="237"/>
      <c r="Y16" s="237"/>
      <c r="Z16" s="237"/>
      <c r="AA16" s="237"/>
      <c r="AB16" s="237"/>
      <c r="AC16" s="237"/>
      <c r="AD16" s="237"/>
      <c r="AE16" s="237"/>
      <c r="AF16" s="237"/>
      <c r="AG16" s="237"/>
      <c r="AI16" s="193">
        <f t="shared" si="0"/>
        <v>0</v>
      </c>
      <c r="AJ16" s="193">
        <f t="shared" si="1"/>
        <v>0</v>
      </c>
    </row>
    <row r="17" spans="2:36" x14ac:dyDescent="0.35">
      <c r="B17" s="193" t="e">
        <f>"2024"&amp;MATCH(Totals!D17,OrgType,0)&amp;"_"&amp;MATCH(Totals!E17,Organisations,0)&amp;"_"&amp;LEFT(Totals!F17,1)&amp;"_"&amp;LEFT(G17,1)&amp;"_"&amp;COUNTIF($G$3:G17,G17)</f>
        <v>#N/A</v>
      </c>
      <c r="C17" s="193">
        <v>2025</v>
      </c>
      <c r="D17" s="193">
        <f>Introduction!$D$7</f>
        <v>0</v>
      </c>
      <c r="E17" s="193">
        <f>Introduction!$D$8</f>
        <v>0</v>
      </c>
      <c r="F17" s="193" t="s">
        <v>488</v>
      </c>
      <c r="G17" s="193" t="s">
        <v>489</v>
      </c>
      <c r="H17" s="195">
        <f>'Site Information'!B21</f>
        <v>0</v>
      </c>
      <c r="I17" s="237"/>
      <c r="J17" s="193">
        <f>'Site Information'!C21</f>
        <v>0</v>
      </c>
      <c r="K17" s="193">
        <f>'Site Information'!D21</f>
        <v>0</v>
      </c>
      <c r="L17" s="193">
        <f>'Site Information'!E21</f>
        <v>0</v>
      </c>
      <c r="M17" s="237"/>
      <c r="N17" s="237"/>
      <c r="O17" s="237"/>
      <c r="P17" s="237"/>
      <c r="Q17" s="237"/>
      <c r="R17" s="193">
        <f>'Site Information'!F21</f>
        <v>0</v>
      </c>
      <c r="S17" s="237"/>
      <c r="T17" s="237"/>
      <c r="U17" s="237"/>
      <c r="V17" s="237"/>
      <c r="W17" s="237"/>
      <c r="X17" s="237"/>
      <c r="Y17" s="237"/>
      <c r="Z17" s="237"/>
      <c r="AA17" s="237"/>
      <c r="AB17" s="237"/>
      <c r="AC17" s="237"/>
      <c r="AD17" s="237"/>
      <c r="AE17" s="237"/>
      <c r="AF17" s="237"/>
      <c r="AG17" s="237"/>
      <c r="AI17" s="193">
        <f t="shared" si="0"/>
        <v>0</v>
      </c>
      <c r="AJ17" s="193">
        <f t="shared" si="1"/>
        <v>0</v>
      </c>
    </row>
    <row r="18" spans="2:36" x14ac:dyDescent="0.35">
      <c r="B18" s="193" t="e">
        <f>"2024"&amp;MATCH(Totals!D18,OrgType,0)&amp;"_"&amp;MATCH(Totals!E18,Organisations,0)&amp;"_"&amp;LEFT(Totals!F18,1)&amp;"_"&amp;LEFT(G18,1)&amp;"_"&amp;COUNTIF($G$3:G18,G18)</f>
        <v>#N/A</v>
      </c>
      <c r="C18" s="193">
        <v>2025</v>
      </c>
      <c r="D18" s="193">
        <f>Introduction!$D$7</f>
        <v>0</v>
      </c>
      <c r="E18" s="193">
        <f>Introduction!$D$8</f>
        <v>0</v>
      </c>
      <c r="F18" s="193" t="s">
        <v>488</v>
      </c>
      <c r="G18" s="193" t="s">
        <v>489</v>
      </c>
      <c r="H18" s="195">
        <f>'Site Information'!B22</f>
        <v>0</v>
      </c>
      <c r="I18" s="237"/>
      <c r="J18" s="193">
        <f>'Site Information'!C22</f>
        <v>0</v>
      </c>
      <c r="K18" s="193">
        <f>'Site Information'!D22</f>
        <v>0</v>
      </c>
      <c r="L18" s="193">
        <f>'Site Information'!E22</f>
        <v>0</v>
      </c>
      <c r="M18" s="237"/>
      <c r="N18" s="237"/>
      <c r="O18" s="237"/>
      <c r="P18" s="237"/>
      <c r="Q18" s="237"/>
      <c r="R18" s="193">
        <f>'Site Information'!F22</f>
        <v>0</v>
      </c>
      <c r="S18" s="237"/>
      <c r="T18" s="237"/>
      <c r="U18" s="237"/>
      <c r="V18" s="237"/>
      <c r="W18" s="237"/>
      <c r="X18" s="237"/>
      <c r="Y18" s="237"/>
      <c r="Z18" s="237"/>
      <c r="AA18" s="237"/>
      <c r="AB18" s="237"/>
      <c r="AC18" s="237"/>
      <c r="AD18" s="237"/>
      <c r="AE18" s="237"/>
      <c r="AF18" s="237"/>
      <c r="AG18" s="237"/>
      <c r="AI18" s="193">
        <f t="shared" si="0"/>
        <v>0</v>
      </c>
      <c r="AJ18" s="193">
        <f t="shared" si="1"/>
        <v>0</v>
      </c>
    </row>
    <row r="19" spans="2:36" x14ac:dyDescent="0.35">
      <c r="B19" s="193" t="e">
        <f>"2024"&amp;MATCH(Totals!D19,OrgType,0)&amp;"_"&amp;MATCH(Totals!E19,Organisations,0)&amp;"_"&amp;LEFT(Totals!F19,1)&amp;"_"&amp;LEFT(G19,1)&amp;"_"&amp;COUNTIF($G$3:G19,G19)</f>
        <v>#N/A</v>
      </c>
      <c r="C19" s="193">
        <v>2025</v>
      </c>
      <c r="D19" s="193">
        <f>Introduction!$D$7</f>
        <v>0</v>
      </c>
      <c r="E19" s="193">
        <f>Introduction!$D$8</f>
        <v>0</v>
      </c>
      <c r="F19" s="193" t="s">
        <v>488</v>
      </c>
      <c r="G19" s="193" t="s">
        <v>489</v>
      </c>
      <c r="H19" s="195">
        <f>'Site Information'!B23</f>
        <v>0</v>
      </c>
      <c r="I19" s="237"/>
      <c r="J19" s="193">
        <f>'Site Information'!C23</f>
        <v>0</v>
      </c>
      <c r="K19" s="193">
        <f>'Site Information'!D23</f>
        <v>0</v>
      </c>
      <c r="L19" s="193">
        <f>'Site Information'!E23</f>
        <v>0</v>
      </c>
      <c r="M19" s="237"/>
      <c r="N19" s="237"/>
      <c r="O19" s="237"/>
      <c r="P19" s="237"/>
      <c r="Q19" s="237"/>
      <c r="R19" s="193">
        <f>'Site Information'!F23</f>
        <v>0</v>
      </c>
      <c r="S19" s="237"/>
      <c r="T19" s="237"/>
      <c r="U19" s="237"/>
      <c r="V19" s="237"/>
      <c r="W19" s="237"/>
      <c r="X19" s="237"/>
      <c r="Y19" s="237"/>
      <c r="Z19" s="237"/>
      <c r="AA19" s="237"/>
      <c r="AB19" s="237"/>
      <c r="AC19" s="237"/>
      <c r="AD19" s="237"/>
      <c r="AE19" s="237"/>
      <c r="AF19" s="237"/>
      <c r="AG19" s="237"/>
      <c r="AI19" s="193">
        <f t="shared" si="0"/>
        <v>0</v>
      </c>
      <c r="AJ19" s="193">
        <f t="shared" si="1"/>
        <v>0</v>
      </c>
    </row>
    <row r="20" spans="2:36" x14ac:dyDescent="0.35">
      <c r="B20" s="193" t="e">
        <f>"2024"&amp;MATCH(Totals!D20,OrgType,0)&amp;"_"&amp;MATCH(Totals!E20,Organisations,0)&amp;"_"&amp;LEFT(Totals!F20,1)&amp;"_"&amp;LEFT(G20,1)&amp;"_"&amp;COUNTIF($G$3:G20,G20)</f>
        <v>#N/A</v>
      </c>
      <c r="C20" s="193">
        <v>2025</v>
      </c>
      <c r="D20" s="193">
        <f>Introduction!$D$7</f>
        <v>0</v>
      </c>
      <c r="E20" s="193">
        <f>Introduction!$D$8</f>
        <v>0</v>
      </c>
      <c r="F20" s="193" t="s">
        <v>488</v>
      </c>
      <c r="G20" s="193" t="s">
        <v>489</v>
      </c>
      <c r="H20" s="195">
        <f>'Site Information'!B24</f>
        <v>0</v>
      </c>
      <c r="I20" s="237"/>
      <c r="J20" s="193">
        <f>'Site Information'!C24</f>
        <v>0</v>
      </c>
      <c r="K20" s="193">
        <f>'Site Information'!D24</f>
        <v>0</v>
      </c>
      <c r="L20" s="193">
        <f>'Site Information'!E24</f>
        <v>0</v>
      </c>
      <c r="M20" s="237"/>
      <c r="N20" s="237"/>
      <c r="O20" s="237"/>
      <c r="P20" s="237"/>
      <c r="Q20" s="237"/>
      <c r="R20" s="193">
        <f>'Site Information'!F24</f>
        <v>0</v>
      </c>
      <c r="S20" s="237"/>
      <c r="T20" s="237"/>
      <c r="U20" s="237"/>
      <c r="V20" s="237"/>
      <c r="W20" s="237"/>
      <c r="X20" s="237"/>
      <c r="Y20" s="237"/>
      <c r="Z20" s="237"/>
      <c r="AA20" s="237"/>
      <c r="AB20" s="237"/>
      <c r="AC20" s="237"/>
      <c r="AD20" s="237"/>
      <c r="AE20" s="237"/>
      <c r="AF20" s="237"/>
      <c r="AG20" s="237"/>
      <c r="AI20" s="193">
        <f t="shared" si="0"/>
        <v>0</v>
      </c>
      <c r="AJ20" s="193">
        <f t="shared" si="1"/>
        <v>0</v>
      </c>
    </row>
    <row r="21" spans="2:36" x14ac:dyDescent="0.35">
      <c r="B21" s="193" t="e">
        <f>"2024"&amp;MATCH(Totals!D21,OrgType,0)&amp;"_"&amp;MATCH(Totals!E21,Organisations,0)&amp;"_"&amp;LEFT(Totals!F21,1)&amp;"_"&amp;LEFT(G21,1)&amp;"_"&amp;COUNTIF($G$3:G21,G21)</f>
        <v>#N/A</v>
      </c>
      <c r="C21" s="193">
        <v>2025</v>
      </c>
      <c r="D21" s="193">
        <f>Introduction!$D$7</f>
        <v>0</v>
      </c>
      <c r="E21" s="193">
        <f>Introduction!$D$8</f>
        <v>0</v>
      </c>
      <c r="F21" s="193" t="s">
        <v>488</v>
      </c>
      <c r="G21" s="193" t="s">
        <v>489</v>
      </c>
      <c r="H21" s="195">
        <f>'Site Information'!B25</f>
        <v>0</v>
      </c>
      <c r="I21" s="237"/>
      <c r="J21" s="193">
        <f>'Site Information'!C25</f>
        <v>0</v>
      </c>
      <c r="K21" s="193">
        <f>'Site Information'!D25</f>
        <v>0</v>
      </c>
      <c r="L21" s="193">
        <f>'Site Information'!E25</f>
        <v>0</v>
      </c>
      <c r="M21" s="237"/>
      <c r="N21" s="237"/>
      <c r="O21" s="237"/>
      <c r="P21" s="237"/>
      <c r="Q21" s="237"/>
      <c r="R21" s="193">
        <f>'Site Information'!F25</f>
        <v>0</v>
      </c>
      <c r="S21" s="237"/>
      <c r="T21" s="237"/>
      <c r="U21" s="237"/>
      <c r="V21" s="237"/>
      <c r="W21" s="237"/>
      <c r="X21" s="237"/>
      <c r="Y21" s="237"/>
      <c r="Z21" s="237"/>
      <c r="AA21" s="237"/>
      <c r="AB21" s="237"/>
      <c r="AC21" s="237"/>
      <c r="AD21" s="237"/>
      <c r="AE21" s="237"/>
      <c r="AF21" s="237"/>
      <c r="AG21" s="237"/>
      <c r="AI21" s="193">
        <f t="shared" si="0"/>
        <v>0</v>
      </c>
      <c r="AJ21" s="193">
        <f t="shared" si="1"/>
        <v>0</v>
      </c>
    </row>
    <row r="22" spans="2:36" x14ac:dyDescent="0.35">
      <c r="B22" s="193" t="e">
        <f>"2024"&amp;MATCH(Totals!D22,OrgType,0)&amp;"_"&amp;MATCH(Totals!E22,Organisations,0)&amp;"_"&amp;LEFT(Totals!F22,1)&amp;"_"&amp;LEFT(G22,1)&amp;"_"&amp;COUNTIF($G$3:G22,G22)</f>
        <v>#N/A</v>
      </c>
      <c r="C22" s="193">
        <v>2025</v>
      </c>
      <c r="D22" s="193">
        <f>Introduction!$D$7</f>
        <v>0</v>
      </c>
      <c r="E22" s="193">
        <f>Introduction!$D$8</f>
        <v>0</v>
      </c>
      <c r="F22" s="193" t="s">
        <v>488</v>
      </c>
      <c r="G22" s="193" t="s">
        <v>489</v>
      </c>
      <c r="H22" s="195">
        <f>'Site Information'!B26</f>
        <v>0</v>
      </c>
      <c r="I22" s="237"/>
      <c r="J22" s="193">
        <f>'Site Information'!C26</f>
        <v>0</v>
      </c>
      <c r="K22" s="193">
        <f>'Site Information'!D26</f>
        <v>0</v>
      </c>
      <c r="L22" s="193">
        <f>'Site Information'!E26</f>
        <v>0</v>
      </c>
      <c r="M22" s="237"/>
      <c r="N22" s="237"/>
      <c r="O22" s="237"/>
      <c r="P22" s="237"/>
      <c r="Q22" s="237"/>
      <c r="R22" s="193">
        <f>'Site Information'!F26</f>
        <v>0</v>
      </c>
      <c r="S22" s="237"/>
      <c r="T22" s="237"/>
      <c r="U22" s="237"/>
      <c r="V22" s="237"/>
      <c r="W22" s="237"/>
      <c r="X22" s="237"/>
      <c r="Y22" s="237"/>
      <c r="Z22" s="237"/>
      <c r="AA22" s="237"/>
      <c r="AB22" s="237"/>
      <c r="AC22" s="237"/>
      <c r="AD22" s="237"/>
      <c r="AE22" s="237"/>
      <c r="AF22" s="237"/>
      <c r="AG22" s="237"/>
      <c r="AI22" s="193">
        <f t="shared" si="0"/>
        <v>0</v>
      </c>
      <c r="AJ22" s="193">
        <f t="shared" si="1"/>
        <v>0</v>
      </c>
    </row>
    <row r="23" spans="2:36" x14ac:dyDescent="0.35">
      <c r="B23" s="193" t="e">
        <f>"2024"&amp;MATCH(Totals!D23,OrgType,0)&amp;"_"&amp;MATCH(Totals!E23,Organisations,0)&amp;"_"&amp;LEFT(Totals!F23,1)&amp;"_"&amp;LEFT(G23,1)&amp;"_"&amp;COUNTIF($G$3:G23,G23)</f>
        <v>#N/A</v>
      </c>
      <c r="C23" s="193">
        <v>2025</v>
      </c>
      <c r="D23" s="193">
        <f>Introduction!$D$7</f>
        <v>0</v>
      </c>
      <c r="E23" s="193">
        <f>Introduction!$D$8</f>
        <v>0</v>
      </c>
      <c r="F23" s="193" t="s">
        <v>488</v>
      </c>
      <c r="G23" s="193" t="s">
        <v>489</v>
      </c>
      <c r="H23" s="195">
        <f>'Site Information'!B27</f>
        <v>0</v>
      </c>
      <c r="I23" s="237"/>
      <c r="J23" s="193">
        <f>'Site Information'!C27</f>
        <v>0</v>
      </c>
      <c r="K23" s="193">
        <f>'Site Information'!D27</f>
        <v>0</v>
      </c>
      <c r="L23" s="193">
        <f>'Site Information'!E27</f>
        <v>0</v>
      </c>
      <c r="M23" s="237"/>
      <c r="N23" s="237"/>
      <c r="O23" s="237"/>
      <c r="P23" s="237"/>
      <c r="Q23" s="237"/>
      <c r="R23" s="193">
        <f>'Site Information'!F27</f>
        <v>0</v>
      </c>
      <c r="S23" s="237"/>
      <c r="T23" s="237"/>
      <c r="U23" s="237"/>
      <c r="V23" s="237"/>
      <c r="W23" s="237"/>
      <c r="X23" s="237"/>
      <c r="Y23" s="237"/>
      <c r="Z23" s="237"/>
      <c r="AA23" s="237"/>
      <c r="AB23" s="237"/>
      <c r="AC23" s="237"/>
      <c r="AD23" s="237"/>
      <c r="AE23" s="237"/>
      <c r="AF23" s="237"/>
      <c r="AG23" s="237"/>
      <c r="AI23" s="193">
        <f t="shared" si="0"/>
        <v>0</v>
      </c>
      <c r="AJ23" s="193">
        <f t="shared" si="1"/>
        <v>0</v>
      </c>
    </row>
    <row r="24" spans="2:36" x14ac:dyDescent="0.35">
      <c r="B24" s="193" t="e">
        <f>"2024"&amp;MATCH(Totals!D24,OrgType,0)&amp;"_"&amp;MATCH(Totals!E24,Organisations,0)&amp;"_"&amp;LEFT(Totals!F24,1)&amp;"_"&amp;LEFT(G24,1)&amp;"_"&amp;COUNTIF($G$3:G24,G24)</f>
        <v>#N/A</v>
      </c>
      <c r="C24" s="193">
        <v>2025</v>
      </c>
      <c r="D24" s="193">
        <f>Introduction!$D$7</f>
        <v>0</v>
      </c>
      <c r="E24" s="193">
        <f>Introduction!$D$8</f>
        <v>0</v>
      </c>
      <c r="F24" s="193" t="s">
        <v>488</v>
      </c>
      <c r="G24" s="193" t="s">
        <v>489</v>
      </c>
      <c r="H24" s="195">
        <f>'Site Information'!B28</f>
        <v>0</v>
      </c>
      <c r="I24" s="237"/>
      <c r="J24" s="193">
        <f>'Site Information'!C28</f>
        <v>0</v>
      </c>
      <c r="K24" s="193">
        <f>'Site Information'!D28</f>
        <v>0</v>
      </c>
      <c r="L24" s="193">
        <f>'Site Information'!E28</f>
        <v>0</v>
      </c>
      <c r="M24" s="237"/>
      <c r="N24" s="237"/>
      <c r="O24" s="237"/>
      <c r="P24" s="237"/>
      <c r="Q24" s="237"/>
      <c r="R24" s="193">
        <f>'Site Information'!F28</f>
        <v>0</v>
      </c>
      <c r="S24" s="237"/>
      <c r="T24" s="237"/>
      <c r="U24" s="237"/>
      <c r="V24" s="237"/>
      <c r="W24" s="237"/>
      <c r="X24" s="237"/>
      <c r="Y24" s="237"/>
      <c r="Z24" s="237"/>
      <c r="AA24" s="237"/>
      <c r="AB24" s="237"/>
      <c r="AC24" s="237"/>
      <c r="AD24" s="237"/>
      <c r="AE24" s="237"/>
      <c r="AF24" s="237"/>
      <c r="AG24" s="237"/>
      <c r="AI24" s="193">
        <f t="shared" si="0"/>
        <v>0</v>
      </c>
      <c r="AJ24" s="193">
        <f t="shared" si="1"/>
        <v>0</v>
      </c>
    </row>
    <row r="25" spans="2:36" x14ac:dyDescent="0.35">
      <c r="B25" s="193" t="e">
        <f>"2024"&amp;MATCH(Totals!D25,OrgType,0)&amp;"_"&amp;MATCH(Totals!E25,Organisations,0)&amp;"_"&amp;LEFT(Totals!F25,1)&amp;"_"&amp;LEFT(G25,1)&amp;"_"&amp;COUNTIF($G$3:G25,G25)</f>
        <v>#N/A</v>
      </c>
      <c r="C25" s="193">
        <v>2025</v>
      </c>
      <c r="D25" s="193">
        <f>Introduction!$D$7</f>
        <v>0</v>
      </c>
      <c r="E25" s="193">
        <f>Introduction!$D$8</f>
        <v>0</v>
      </c>
      <c r="F25" s="193" t="s">
        <v>488</v>
      </c>
      <c r="G25" s="193" t="s">
        <v>489</v>
      </c>
      <c r="H25" s="195">
        <f>'Site Information'!B29</f>
        <v>0</v>
      </c>
      <c r="I25" s="237"/>
      <c r="J25" s="193">
        <f>'Site Information'!C29</f>
        <v>0</v>
      </c>
      <c r="K25" s="193">
        <f>'Site Information'!D29</f>
        <v>0</v>
      </c>
      <c r="L25" s="193">
        <f>'Site Information'!E29</f>
        <v>0</v>
      </c>
      <c r="M25" s="237"/>
      <c r="N25" s="237"/>
      <c r="O25" s="237"/>
      <c r="P25" s="237"/>
      <c r="Q25" s="237"/>
      <c r="R25" s="193">
        <f>'Site Information'!F29</f>
        <v>0</v>
      </c>
      <c r="S25" s="237"/>
      <c r="T25" s="237"/>
      <c r="U25" s="237"/>
      <c r="V25" s="237"/>
      <c r="W25" s="237"/>
      <c r="X25" s="237"/>
      <c r="Y25" s="237"/>
      <c r="Z25" s="237"/>
      <c r="AA25" s="237"/>
      <c r="AB25" s="237"/>
      <c r="AC25" s="237"/>
      <c r="AD25" s="237"/>
      <c r="AE25" s="237"/>
      <c r="AF25" s="237"/>
      <c r="AG25" s="237"/>
      <c r="AI25" s="193">
        <f t="shared" si="0"/>
        <v>0</v>
      </c>
      <c r="AJ25" s="193">
        <f t="shared" si="1"/>
        <v>0</v>
      </c>
    </row>
    <row r="26" spans="2:36" x14ac:dyDescent="0.35">
      <c r="B26" s="193" t="e">
        <f>"2024"&amp;MATCH(Totals!D26,OrgType,0)&amp;"_"&amp;MATCH(Totals!E26,Organisations,0)&amp;"_"&amp;LEFT(Totals!F26,1)&amp;"_"&amp;LEFT(G26,1)&amp;"_"&amp;COUNTIF($G$3:G26,G26)</f>
        <v>#N/A</v>
      </c>
      <c r="C26" s="193">
        <v>2025</v>
      </c>
      <c r="D26" s="193">
        <f>Introduction!$D$7</f>
        <v>0</v>
      </c>
      <c r="E26" s="193">
        <f>Introduction!$D$8</f>
        <v>0</v>
      </c>
      <c r="F26" s="193" t="s">
        <v>488</v>
      </c>
      <c r="G26" s="193" t="s">
        <v>489</v>
      </c>
      <c r="H26" s="195">
        <f>'Site Information'!B30</f>
        <v>0</v>
      </c>
      <c r="I26" s="237"/>
      <c r="J26" s="193">
        <f>'Site Information'!C30</f>
        <v>0</v>
      </c>
      <c r="K26" s="193">
        <f>'Site Information'!D30</f>
        <v>0</v>
      </c>
      <c r="L26" s="193">
        <f>'Site Information'!E30</f>
        <v>0</v>
      </c>
      <c r="M26" s="237"/>
      <c r="N26" s="237"/>
      <c r="O26" s="237"/>
      <c r="P26" s="237"/>
      <c r="Q26" s="237"/>
      <c r="R26" s="193">
        <f>'Site Information'!F30</f>
        <v>0</v>
      </c>
      <c r="S26" s="237"/>
      <c r="T26" s="237"/>
      <c r="U26" s="237"/>
      <c r="V26" s="237"/>
      <c r="W26" s="237"/>
      <c r="X26" s="237"/>
      <c r="Y26" s="237"/>
      <c r="Z26" s="237"/>
      <c r="AA26" s="237"/>
      <c r="AB26" s="237"/>
      <c r="AC26" s="237"/>
      <c r="AD26" s="237"/>
      <c r="AE26" s="237"/>
      <c r="AF26" s="237"/>
      <c r="AG26" s="237"/>
      <c r="AI26" s="193">
        <f t="shared" si="0"/>
        <v>0</v>
      </c>
      <c r="AJ26" s="193">
        <f t="shared" si="1"/>
        <v>0</v>
      </c>
    </row>
    <row r="27" spans="2:36" x14ac:dyDescent="0.35">
      <c r="B27" s="193" t="e">
        <f>"2024"&amp;MATCH(Totals!D27,OrgType,0)&amp;"_"&amp;MATCH(Totals!E27,Organisations,0)&amp;"_"&amp;LEFT(Totals!F27,1)&amp;"_"&amp;LEFT(G27,1)&amp;"_"&amp;COUNTIF($G$3:G27,G27)</f>
        <v>#N/A</v>
      </c>
      <c r="C27" s="193">
        <v>2025</v>
      </c>
      <c r="D27" s="193">
        <f>Introduction!$D$7</f>
        <v>0</v>
      </c>
      <c r="E27" s="193">
        <f>Introduction!$D$8</f>
        <v>0</v>
      </c>
      <c r="F27" s="193" t="s">
        <v>488</v>
      </c>
      <c r="G27" s="193" t="s">
        <v>489</v>
      </c>
      <c r="H27" s="195">
        <f>'Site Information'!B31</f>
        <v>0</v>
      </c>
      <c r="I27" s="237"/>
      <c r="J27" s="193">
        <f>'Site Information'!C31</f>
        <v>0</v>
      </c>
      <c r="K27" s="193">
        <f>'Site Information'!D31</f>
        <v>0</v>
      </c>
      <c r="L27" s="193">
        <f>'Site Information'!E31</f>
        <v>0</v>
      </c>
      <c r="M27" s="237"/>
      <c r="N27" s="237"/>
      <c r="O27" s="237"/>
      <c r="P27" s="237"/>
      <c r="Q27" s="237"/>
      <c r="R27" s="193">
        <f>'Site Information'!F31</f>
        <v>0</v>
      </c>
      <c r="S27" s="237"/>
      <c r="T27" s="237"/>
      <c r="U27" s="237"/>
      <c r="V27" s="237"/>
      <c r="W27" s="237"/>
      <c r="X27" s="237"/>
      <c r="Y27" s="237"/>
      <c r="Z27" s="237"/>
      <c r="AA27" s="237"/>
      <c r="AB27" s="237"/>
      <c r="AC27" s="237"/>
      <c r="AD27" s="237"/>
      <c r="AE27" s="237"/>
      <c r="AF27" s="237"/>
      <c r="AG27" s="237"/>
      <c r="AI27" s="193">
        <f t="shared" si="0"/>
        <v>0</v>
      </c>
      <c r="AJ27" s="193">
        <f t="shared" si="1"/>
        <v>0</v>
      </c>
    </row>
    <row r="28" spans="2:36" x14ac:dyDescent="0.35">
      <c r="B28" s="193" t="e">
        <f>"2024"&amp;MATCH(Totals!D28,OrgType,0)&amp;"_"&amp;MATCH(Totals!E28,Organisations,0)&amp;"_"&amp;LEFT(Totals!F28,1)&amp;"_"&amp;LEFT(G28,1)&amp;"_"&amp;COUNTIF($G$3:G28,G28)</f>
        <v>#N/A</v>
      </c>
      <c r="C28" s="193">
        <v>2025</v>
      </c>
      <c r="D28" s="193">
        <f>Introduction!$D$7</f>
        <v>0</v>
      </c>
      <c r="E28" s="193">
        <f>Introduction!$D$8</f>
        <v>0</v>
      </c>
      <c r="F28" s="193" t="s">
        <v>488</v>
      </c>
      <c r="G28" s="193" t="s">
        <v>489</v>
      </c>
      <c r="H28" s="195">
        <f>'Site Information'!B32</f>
        <v>0</v>
      </c>
      <c r="I28" s="237"/>
      <c r="J28" s="193">
        <f>'Site Information'!C32</f>
        <v>0</v>
      </c>
      <c r="K28" s="193">
        <f>'Site Information'!D32</f>
        <v>0</v>
      </c>
      <c r="L28" s="193">
        <f>'Site Information'!E32</f>
        <v>0</v>
      </c>
      <c r="M28" s="237"/>
      <c r="N28" s="237"/>
      <c r="O28" s="237"/>
      <c r="P28" s="237"/>
      <c r="Q28" s="237"/>
      <c r="R28" s="193">
        <f>'Site Information'!F32</f>
        <v>0</v>
      </c>
      <c r="S28" s="237"/>
      <c r="T28" s="237"/>
      <c r="U28" s="237"/>
      <c r="V28" s="237"/>
      <c r="W28" s="237"/>
      <c r="X28" s="237"/>
      <c r="Y28" s="237"/>
      <c r="Z28" s="237"/>
      <c r="AA28" s="237"/>
      <c r="AB28" s="237"/>
      <c r="AC28" s="237"/>
      <c r="AD28" s="237"/>
      <c r="AE28" s="237"/>
      <c r="AF28" s="237"/>
      <c r="AG28" s="237"/>
      <c r="AI28" s="193">
        <f t="shared" si="0"/>
        <v>0</v>
      </c>
      <c r="AJ28" s="193">
        <f t="shared" si="1"/>
        <v>0</v>
      </c>
    </row>
    <row r="29" spans="2:36" x14ac:dyDescent="0.35">
      <c r="B29" s="193" t="e">
        <f>"2024"&amp;MATCH(Totals!D29,OrgType,0)&amp;"_"&amp;MATCH(Totals!E29,Organisations,0)&amp;"_"&amp;LEFT(Totals!F29,1)&amp;"_"&amp;LEFT(G29,1)&amp;"_"&amp;COUNTIF($G$3:G29,G29)</f>
        <v>#N/A</v>
      </c>
      <c r="C29" s="193">
        <v>2025</v>
      </c>
      <c r="D29" s="193">
        <f>Introduction!$D$7</f>
        <v>0</v>
      </c>
      <c r="E29" s="193">
        <f>Introduction!$D$8</f>
        <v>0</v>
      </c>
      <c r="F29" s="193" t="s">
        <v>488</v>
      </c>
      <c r="G29" s="193" t="s">
        <v>489</v>
      </c>
      <c r="H29" s="195">
        <f>'Site Information'!B33</f>
        <v>0</v>
      </c>
      <c r="I29" s="237"/>
      <c r="J29" s="193">
        <f>'Site Information'!C33</f>
        <v>0</v>
      </c>
      <c r="K29" s="193">
        <f>'Site Information'!D33</f>
        <v>0</v>
      </c>
      <c r="L29" s="193">
        <f>'Site Information'!E33</f>
        <v>0</v>
      </c>
      <c r="M29" s="237"/>
      <c r="N29" s="237"/>
      <c r="O29" s="237"/>
      <c r="P29" s="237"/>
      <c r="Q29" s="237"/>
      <c r="R29" s="193">
        <f>'Site Information'!F33</f>
        <v>0</v>
      </c>
      <c r="S29" s="237"/>
      <c r="T29" s="237"/>
      <c r="U29" s="237"/>
      <c r="V29" s="237"/>
      <c r="W29" s="237"/>
      <c r="X29" s="237"/>
      <c r="Y29" s="237"/>
      <c r="Z29" s="237"/>
      <c r="AA29" s="237"/>
      <c r="AB29" s="237"/>
      <c r="AC29" s="237"/>
      <c r="AD29" s="237"/>
      <c r="AE29" s="237"/>
      <c r="AF29" s="237"/>
      <c r="AG29" s="237"/>
      <c r="AI29" s="193">
        <f t="shared" si="0"/>
        <v>0</v>
      </c>
      <c r="AJ29" s="193">
        <f t="shared" si="1"/>
        <v>0</v>
      </c>
    </row>
    <row r="30" spans="2:36" x14ac:dyDescent="0.35">
      <c r="B30" s="193" t="e">
        <f>"2024"&amp;MATCH(Totals!D30,OrgType,0)&amp;"_"&amp;MATCH(Totals!E30,Organisations,0)&amp;"_"&amp;LEFT(Totals!F30,1)&amp;"_"&amp;LEFT(G30,1)&amp;"_"&amp;COUNTIF($G$3:G30,G30)</f>
        <v>#N/A</v>
      </c>
      <c r="C30" s="193">
        <v>2025</v>
      </c>
      <c r="D30" s="193">
        <f>Introduction!$D$7</f>
        <v>0</v>
      </c>
      <c r="E30" s="193">
        <f>Introduction!$D$8</f>
        <v>0</v>
      </c>
      <c r="F30" s="193" t="s">
        <v>488</v>
      </c>
      <c r="G30" s="193" t="s">
        <v>489</v>
      </c>
      <c r="H30" s="195">
        <f>'Site Information'!B34</f>
        <v>0</v>
      </c>
      <c r="I30" s="237"/>
      <c r="J30" s="193">
        <f>'Site Information'!C34</f>
        <v>0</v>
      </c>
      <c r="K30" s="193">
        <f>'Site Information'!D34</f>
        <v>0</v>
      </c>
      <c r="L30" s="193">
        <f>'Site Information'!E34</f>
        <v>0</v>
      </c>
      <c r="M30" s="237"/>
      <c r="N30" s="237"/>
      <c r="O30" s="237"/>
      <c r="P30" s="237"/>
      <c r="Q30" s="237"/>
      <c r="R30" s="193">
        <f>'Site Information'!F34</f>
        <v>0</v>
      </c>
      <c r="S30" s="237"/>
      <c r="T30" s="237"/>
      <c r="U30" s="237"/>
      <c r="V30" s="237"/>
      <c r="W30" s="237"/>
      <c r="X30" s="237"/>
      <c r="Y30" s="237"/>
      <c r="Z30" s="237"/>
      <c r="AA30" s="237"/>
      <c r="AB30" s="237"/>
      <c r="AC30" s="237"/>
      <c r="AD30" s="237"/>
      <c r="AE30" s="237"/>
      <c r="AF30" s="237"/>
      <c r="AG30" s="237"/>
      <c r="AI30" s="193">
        <f t="shared" si="0"/>
        <v>0</v>
      </c>
      <c r="AJ30" s="193">
        <f t="shared" si="1"/>
        <v>0</v>
      </c>
    </row>
    <row r="31" spans="2:36" x14ac:dyDescent="0.35">
      <c r="B31" s="193" t="e">
        <f>"2024"&amp;MATCH(Totals!D31,OrgType,0)&amp;"_"&amp;MATCH(Totals!E31,Organisations,0)&amp;"_"&amp;LEFT(Totals!F31,1)&amp;"_"&amp;LEFT(G31,1)&amp;"_"&amp;COUNTIF($G$3:G31,G31)</f>
        <v>#N/A</v>
      </c>
      <c r="C31" s="193">
        <v>2025</v>
      </c>
      <c r="D31" s="193">
        <f>Introduction!$D$7</f>
        <v>0</v>
      </c>
      <c r="E31" s="193">
        <f>Introduction!$D$8</f>
        <v>0</v>
      </c>
      <c r="F31" s="193" t="s">
        <v>488</v>
      </c>
      <c r="G31" s="193" t="s">
        <v>489</v>
      </c>
      <c r="H31" s="195">
        <f>'Site Information'!B35</f>
        <v>0</v>
      </c>
      <c r="I31" s="237"/>
      <c r="J31" s="193">
        <f>'Site Information'!C35</f>
        <v>0</v>
      </c>
      <c r="K31" s="193">
        <f>'Site Information'!D35</f>
        <v>0</v>
      </c>
      <c r="L31" s="193">
        <f>'Site Information'!E35</f>
        <v>0</v>
      </c>
      <c r="M31" s="237"/>
      <c r="N31" s="237"/>
      <c r="O31" s="237"/>
      <c r="P31" s="237"/>
      <c r="Q31" s="237"/>
      <c r="R31" s="193">
        <f>'Site Information'!F35</f>
        <v>0</v>
      </c>
      <c r="S31" s="237"/>
      <c r="T31" s="237"/>
      <c r="U31" s="237"/>
      <c r="V31" s="237"/>
      <c r="W31" s="237"/>
      <c r="X31" s="237"/>
      <c r="Y31" s="237"/>
      <c r="Z31" s="237"/>
      <c r="AA31" s="237"/>
      <c r="AB31" s="237"/>
      <c r="AC31" s="237"/>
      <c r="AD31" s="237"/>
      <c r="AE31" s="237"/>
      <c r="AF31" s="237"/>
      <c r="AG31" s="237"/>
      <c r="AI31" s="193">
        <f t="shared" si="0"/>
        <v>0</v>
      </c>
      <c r="AJ31" s="193">
        <f t="shared" si="1"/>
        <v>0</v>
      </c>
    </row>
    <row r="32" spans="2:36" x14ac:dyDescent="0.35">
      <c r="B32" s="193" t="e">
        <f>"2024"&amp;MATCH(Totals!D32,OrgType,0)&amp;"_"&amp;MATCH(Totals!E32,Organisations,0)&amp;"_"&amp;LEFT(Totals!F32,1)&amp;"_"&amp;LEFT(G32,1)&amp;"_"&amp;COUNTIF($G$3:G32,G32)</f>
        <v>#N/A</v>
      </c>
      <c r="C32" s="193">
        <v>2025</v>
      </c>
      <c r="D32" s="193">
        <f>Introduction!$D$7</f>
        <v>0</v>
      </c>
      <c r="E32" s="193">
        <f>Introduction!$D$8</f>
        <v>0</v>
      </c>
      <c r="F32" s="193" t="s">
        <v>488</v>
      </c>
      <c r="G32" s="193" t="s">
        <v>489</v>
      </c>
      <c r="H32" s="195">
        <f>'Site Information'!B36</f>
        <v>0</v>
      </c>
      <c r="I32" s="237"/>
      <c r="J32" s="193">
        <f>'Site Information'!C36</f>
        <v>0</v>
      </c>
      <c r="K32" s="193">
        <f>'Site Information'!D36</f>
        <v>0</v>
      </c>
      <c r="L32" s="193">
        <f>'Site Information'!E36</f>
        <v>0</v>
      </c>
      <c r="M32" s="237"/>
      <c r="N32" s="237"/>
      <c r="O32" s="237"/>
      <c r="P32" s="237"/>
      <c r="Q32" s="237"/>
      <c r="R32" s="193">
        <f>'Site Information'!F36</f>
        <v>0</v>
      </c>
      <c r="S32" s="237"/>
      <c r="T32" s="237"/>
      <c r="U32" s="237"/>
      <c r="V32" s="237"/>
      <c r="W32" s="237"/>
      <c r="X32" s="237"/>
      <c r="Y32" s="237"/>
      <c r="Z32" s="237"/>
      <c r="AA32" s="237"/>
      <c r="AB32" s="237"/>
      <c r="AC32" s="237"/>
      <c r="AD32" s="237"/>
      <c r="AE32" s="237"/>
      <c r="AF32" s="237"/>
      <c r="AG32" s="237"/>
      <c r="AI32" s="193">
        <f t="shared" si="0"/>
        <v>0</v>
      </c>
      <c r="AJ32" s="193">
        <f t="shared" si="1"/>
        <v>0</v>
      </c>
    </row>
    <row r="33" spans="2:36" x14ac:dyDescent="0.35">
      <c r="B33" s="193" t="e">
        <f>"2024"&amp;MATCH(Totals!D33,OrgType,0)&amp;"_"&amp;MATCH(Totals!E33,Organisations,0)&amp;"_"&amp;LEFT(Totals!F33,1)&amp;"_"&amp;LEFT(G33,1)&amp;"_"&amp;COUNTIF($G$3:G33,G33)</f>
        <v>#N/A</v>
      </c>
      <c r="C33" s="193">
        <v>2025</v>
      </c>
      <c r="D33" s="193">
        <f>Introduction!$D$7</f>
        <v>0</v>
      </c>
      <c r="E33" s="193">
        <f>Introduction!$D$8</f>
        <v>0</v>
      </c>
      <c r="F33" s="193" t="s">
        <v>488</v>
      </c>
      <c r="G33" s="193" t="s">
        <v>489</v>
      </c>
      <c r="H33" s="195">
        <f>'Site Information'!B37</f>
        <v>0</v>
      </c>
      <c r="I33" s="237"/>
      <c r="J33" s="193">
        <f>'Site Information'!C37</f>
        <v>0</v>
      </c>
      <c r="K33" s="193">
        <f>'Site Information'!D37</f>
        <v>0</v>
      </c>
      <c r="L33" s="193">
        <f>'Site Information'!E37</f>
        <v>0</v>
      </c>
      <c r="M33" s="237"/>
      <c r="N33" s="237"/>
      <c r="O33" s="237"/>
      <c r="P33" s="237"/>
      <c r="Q33" s="237"/>
      <c r="R33" s="193">
        <f>'Site Information'!F37</f>
        <v>0</v>
      </c>
      <c r="S33" s="237"/>
      <c r="T33" s="237"/>
      <c r="U33" s="237"/>
      <c r="V33" s="237"/>
      <c r="W33" s="237"/>
      <c r="X33" s="237"/>
      <c r="Y33" s="237"/>
      <c r="Z33" s="237"/>
      <c r="AA33" s="237"/>
      <c r="AB33" s="237"/>
      <c r="AC33" s="237"/>
      <c r="AD33" s="237"/>
      <c r="AE33" s="237"/>
      <c r="AF33" s="237"/>
      <c r="AG33" s="237"/>
      <c r="AI33" s="193">
        <f t="shared" si="0"/>
        <v>0</v>
      </c>
      <c r="AJ33" s="193">
        <f t="shared" si="1"/>
        <v>0</v>
      </c>
    </row>
    <row r="34" spans="2:36" x14ac:dyDescent="0.35">
      <c r="B34" s="193" t="e">
        <f>"2024"&amp;MATCH(Totals!D34,OrgType,0)&amp;"_"&amp;MATCH(Totals!E34,Organisations,0)&amp;"_"&amp;LEFT(Totals!F34,1)&amp;"_"&amp;LEFT(G34,1)&amp;"_"&amp;COUNTIF($G$3:G34,G34)</f>
        <v>#N/A</v>
      </c>
      <c r="C34" s="193">
        <v>2025</v>
      </c>
      <c r="D34" s="193">
        <f>Introduction!$D$7</f>
        <v>0</v>
      </c>
      <c r="E34" s="193">
        <f>Introduction!$D$8</f>
        <v>0</v>
      </c>
      <c r="F34" s="193" t="s">
        <v>488</v>
      </c>
      <c r="G34" s="193" t="s">
        <v>489</v>
      </c>
      <c r="H34" s="195">
        <f>'Site Information'!B38</f>
        <v>0</v>
      </c>
      <c r="I34" s="237"/>
      <c r="J34" s="193">
        <f>'Site Information'!C38</f>
        <v>0</v>
      </c>
      <c r="K34" s="193">
        <f>'Site Information'!D38</f>
        <v>0</v>
      </c>
      <c r="L34" s="193">
        <f>'Site Information'!E38</f>
        <v>0</v>
      </c>
      <c r="M34" s="237"/>
      <c r="N34" s="237"/>
      <c r="O34" s="237"/>
      <c r="P34" s="237"/>
      <c r="Q34" s="237"/>
      <c r="R34" s="193">
        <f>'Site Information'!F38</f>
        <v>0</v>
      </c>
      <c r="S34" s="237"/>
      <c r="T34" s="237"/>
      <c r="U34" s="237"/>
      <c r="V34" s="237"/>
      <c r="W34" s="237"/>
      <c r="X34" s="237"/>
      <c r="Y34" s="237"/>
      <c r="Z34" s="237"/>
      <c r="AA34" s="237"/>
      <c r="AB34" s="237"/>
      <c r="AC34" s="237"/>
      <c r="AD34" s="237"/>
      <c r="AE34" s="237"/>
      <c r="AF34" s="237"/>
      <c r="AG34" s="237"/>
      <c r="AI34" s="193">
        <f t="shared" si="0"/>
        <v>0</v>
      </c>
      <c r="AJ34" s="193">
        <f t="shared" si="1"/>
        <v>0</v>
      </c>
    </row>
    <row r="35" spans="2:36" x14ac:dyDescent="0.35">
      <c r="B35" s="193" t="e">
        <f>"2024"&amp;MATCH(Totals!D35,OrgType,0)&amp;"_"&amp;MATCH(Totals!E35,Organisations,0)&amp;"_"&amp;LEFT(Totals!F35,1)&amp;"_"&amp;LEFT(G35,1)&amp;"_"&amp;COUNTIF($G$3:G35,G35)</f>
        <v>#N/A</v>
      </c>
      <c r="C35" s="193">
        <v>2025</v>
      </c>
      <c r="D35" s="193">
        <f>Introduction!$D$7</f>
        <v>0</v>
      </c>
      <c r="E35" s="193">
        <f>Introduction!$D$8</f>
        <v>0</v>
      </c>
      <c r="F35" s="193" t="s">
        <v>488</v>
      </c>
      <c r="G35" s="193" t="s">
        <v>489</v>
      </c>
      <c r="H35" s="195">
        <f>'Site Information'!B39</f>
        <v>0</v>
      </c>
      <c r="I35" s="237"/>
      <c r="J35" s="193">
        <f>'Site Information'!C39</f>
        <v>0</v>
      </c>
      <c r="K35" s="193">
        <f>'Site Information'!D39</f>
        <v>0</v>
      </c>
      <c r="L35" s="193">
        <f>'Site Information'!E39</f>
        <v>0</v>
      </c>
      <c r="M35" s="237"/>
      <c r="N35" s="237"/>
      <c r="O35" s="237"/>
      <c r="P35" s="237"/>
      <c r="Q35" s="237"/>
      <c r="R35" s="193">
        <f>'Site Information'!F39</f>
        <v>0</v>
      </c>
      <c r="S35" s="237"/>
      <c r="T35" s="237"/>
      <c r="U35" s="237"/>
      <c r="V35" s="237"/>
      <c r="W35" s="237"/>
      <c r="X35" s="237"/>
      <c r="Y35" s="237"/>
      <c r="Z35" s="237"/>
      <c r="AA35" s="237"/>
      <c r="AB35" s="237"/>
      <c r="AC35" s="237"/>
      <c r="AD35" s="237"/>
      <c r="AE35" s="237"/>
      <c r="AF35" s="237"/>
      <c r="AG35" s="237"/>
      <c r="AI35" s="193">
        <f t="shared" si="0"/>
        <v>0</v>
      </c>
      <c r="AJ35" s="193">
        <f t="shared" si="1"/>
        <v>0</v>
      </c>
    </row>
    <row r="36" spans="2:36" x14ac:dyDescent="0.35">
      <c r="B36" s="193" t="e">
        <f>"2024"&amp;MATCH(Totals!D36,OrgType,0)&amp;"_"&amp;MATCH(Totals!E36,Organisations,0)&amp;"_"&amp;LEFT(Totals!F36,1)&amp;"_"&amp;LEFT(G36,1)&amp;"_"&amp;COUNTIF($G$3:G36,G36)</f>
        <v>#N/A</v>
      </c>
      <c r="C36" s="193">
        <v>2025</v>
      </c>
      <c r="D36" s="193">
        <f>Introduction!$D$7</f>
        <v>0</v>
      </c>
      <c r="E36" s="193">
        <f>Introduction!$D$8</f>
        <v>0</v>
      </c>
      <c r="F36" s="193" t="s">
        <v>488</v>
      </c>
      <c r="G36" s="193" t="s">
        <v>489</v>
      </c>
      <c r="H36" s="195">
        <f>'Site Information'!B40</f>
        <v>0</v>
      </c>
      <c r="I36" s="237"/>
      <c r="J36" s="193">
        <f>'Site Information'!C40</f>
        <v>0</v>
      </c>
      <c r="K36" s="193">
        <f>'Site Information'!D40</f>
        <v>0</v>
      </c>
      <c r="L36" s="193">
        <f>'Site Information'!E40</f>
        <v>0</v>
      </c>
      <c r="M36" s="237"/>
      <c r="N36" s="237"/>
      <c r="O36" s="237"/>
      <c r="P36" s="237"/>
      <c r="Q36" s="237"/>
      <c r="R36" s="193">
        <f>'Site Information'!F40</f>
        <v>0</v>
      </c>
      <c r="S36" s="237"/>
      <c r="T36" s="237"/>
      <c r="U36" s="237"/>
      <c r="V36" s="237"/>
      <c r="W36" s="237"/>
      <c r="X36" s="237"/>
      <c r="Y36" s="237"/>
      <c r="Z36" s="237"/>
      <c r="AA36" s="237"/>
      <c r="AB36" s="237"/>
      <c r="AC36" s="237"/>
      <c r="AD36" s="237"/>
      <c r="AE36" s="237"/>
      <c r="AF36" s="237"/>
      <c r="AG36" s="237"/>
      <c r="AI36" s="193">
        <f t="shared" si="0"/>
        <v>0</v>
      </c>
      <c r="AJ36" s="193">
        <f t="shared" si="1"/>
        <v>0</v>
      </c>
    </row>
    <row r="37" spans="2:36" x14ac:dyDescent="0.35">
      <c r="B37" s="193" t="e">
        <f>"2024"&amp;MATCH(Totals!D37,OrgType,0)&amp;"_"&amp;MATCH(Totals!E37,Organisations,0)&amp;"_"&amp;LEFT(Totals!F37,1)&amp;"_"&amp;LEFT(G37,1)&amp;"_"&amp;COUNTIF($G$3:G37,G37)</f>
        <v>#N/A</v>
      </c>
      <c r="C37" s="193">
        <v>2025</v>
      </c>
      <c r="D37" s="193">
        <f>Introduction!$D$7</f>
        <v>0</v>
      </c>
      <c r="E37" s="193">
        <f>Introduction!$D$8</f>
        <v>0</v>
      </c>
      <c r="F37" s="193" t="s">
        <v>488</v>
      </c>
      <c r="G37" s="193" t="s">
        <v>489</v>
      </c>
      <c r="H37" s="195">
        <f>'Site Information'!B41</f>
        <v>0</v>
      </c>
      <c r="I37" s="237"/>
      <c r="J37" s="193">
        <f>'Site Information'!C41</f>
        <v>0</v>
      </c>
      <c r="K37" s="193">
        <f>'Site Information'!D41</f>
        <v>0</v>
      </c>
      <c r="L37" s="193">
        <f>'Site Information'!E41</f>
        <v>0</v>
      </c>
      <c r="M37" s="237"/>
      <c r="N37" s="237"/>
      <c r="O37" s="237"/>
      <c r="P37" s="237"/>
      <c r="Q37" s="237"/>
      <c r="R37" s="193">
        <f>'Site Information'!F41</f>
        <v>0</v>
      </c>
      <c r="S37" s="237"/>
      <c r="T37" s="237"/>
      <c r="U37" s="237"/>
      <c r="V37" s="237"/>
      <c r="W37" s="237"/>
      <c r="X37" s="237"/>
      <c r="Y37" s="237"/>
      <c r="Z37" s="237"/>
      <c r="AA37" s="237"/>
      <c r="AB37" s="237"/>
      <c r="AC37" s="237"/>
      <c r="AD37" s="237"/>
      <c r="AE37" s="237"/>
      <c r="AF37" s="237"/>
      <c r="AG37" s="237"/>
      <c r="AI37" s="193">
        <f t="shared" si="0"/>
        <v>0</v>
      </c>
      <c r="AJ37" s="193">
        <f t="shared" si="1"/>
        <v>0</v>
      </c>
    </row>
    <row r="38" spans="2:36" x14ac:dyDescent="0.35">
      <c r="B38" s="193" t="e">
        <f>"2024"&amp;MATCH(Totals!D38,OrgType,0)&amp;"_"&amp;MATCH(Totals!E38,Organisations,0)&amp;"_"&amp;LEFT(Totals!F38,1)&amp;"_"&amp;LEFT(G38,1)&amp;"_"&amp;COUNTIF($G$3:G38,G38)</f>
        <v>#N/A</v>
      </c>
      <c r="C38" s="193">
        <v>2025</v>
      </c>
      <c r="D38" s="193">
        <f>Introduction!$D$7</f>
        <v>0</v>
      </c>
      <c r="E38" s="193">
        <f>Introduction!$D$8</f>
        <v>0</v>
      </c>
      <c r="F38" s="193" t="s">
        <v>488</v>
      </c>
      <c r="G38" s="193" t="s">
        <v>489</v>
      </c>
      <c r="H38" s="195">
        <f>'Site Information'!B42</f>
        <v>0</v>
      </c>
      <c r="I38" s="237"/>
      <c r="J38" s="193">
        <f>'Site Information'!C42</f>
        <v>0</v>
      </c>
      <c r="K38" s="193">
        <f>'Site Information'!D42</f>
        <v>0</v>
      </c>
      <c r="L38" s="193">
        <f>'Site Information'!E42</f>
        <v>0</v>
      </c>
      <c r="M38" s="237"/>
      <c r="N38" s="237"/>
      <c r="O38" s="237"/>
      <c r="P38" s="237"/>
      <c r="Q38" s="237"/>
      <c r="R38" s="193">
        <f>'Site Information'!F42</f>
        <v>0</v>
      </c>
      <c r="S38" s="237"/>
      <c r="T38" s="237"/>
      <c r="U38" s="237"/>
      <c r="V38" s="237"/>
      <c r="W38" s="237"/>
      <c r="X38" s="237"/>
      <c r="Y38" s="237"/>
      <c r="Z38" s="237"/>
      <c r="AA38" s="237"/>
      <c r="AB38" s="237"/>
      <c r="AC38" s="237"/>
      <c r="AD38" s="237"/>
      <c r="AE38" s="237"/>
      <c r="AF38" s="237"/>
      <c r="AG38" s="237"/>
      <c r="AI38" s="193">
        <f t="shared" si="0"/>
        <v>0</v>
      </c>
      <c r="AJ38" s="193">
        <f t="shared" si="1"/>
        <v>0</v>
      </c>
    </row>
    <row r="39" spans="2:36" x14ac:dyDescent="0.35">
      <c r="B39" s="193" t="e">
        <f>"2024"&amp;MATCH(Totals!D39,OrgType,0)&amp;"_"&amp;MATCH(Totals!E39,Organisations,0)&amp;"_"&amp;LEFT(Totals!F39,1)&amp;"_"&amp;LEFT(G39,1)&amp;"_"&amp;COUNTIF($G$3:G39,G39)</f>
        <v>#N/A</v>
      </c>
      <c r="C39" s="193">
        <v>2025</v>
      </c>
      <c r="D39" s="193">
        <f>Introduction!$D$7</f>
        <v>0</v>
      </c>
      <c r="E39" s="193">
        <f>Introduction!$D$8</f>
        <v>0</v>
      </c>
      <c r="F39" s="193" t="s">
        <v>488</v>
      </c>
      <c r="G39" s="193" t="s">
        <v>489</v>
      </c>
      <c r="H39" s="195">
        <f>'Site Information'!B43</f>
        <v>0</v>
      </c>
      <c r="I39" s="237"/>
      <c r="J39" s="193">
        <f>'Site Information'!C43</f>
        <v>0</v>
      </c>
      <c r="K39" s="193">
        <f>'Site Information'!D43</f>
        <v>0</v>
      </c>
      <c r="L39" s="193">
        <f>'Site Information'!E43</f>
        <v>0</v>
      </c>
      <c r="M39" s="237"/>
      <c r="N39" s="237"/>
      <c r="O39" s="237"/>
      <c r="P39" s="237"/>
      <c r="Q39" s="237"/>
      <c r="R39" s="193">
        <f>'Site Information'!F43</f>
        <v>0</v>
      </c>
      <c r="S39" s="237"/>
      <c r="T39" s="237"/>
      <c r="U39" s="237"/>
      <c r="V39" s="237"/>
      <c r="W39" s="237"/>
      <c r="X39" s="237"/>
      <c r="Y39" s="237"/>
      <c r="Z39" s="237"/>
      <c r="AA39" s="237"/>
      <c r="AB39" s="237"/>
      <c r="AC39" s="237"/>
      <c r="AD39" s="237"/>
      <c r="AE39" s="237"/>
      <c r="AF39" s="237"/>
      <c r="AG39" s="237"/>
      <c r="AI39" s="193">
        <f t="shared" si="0"/>
        <v>0</v>
      </c>
      <c r="AJ39" s="193">
        <f t="shared" si="1"/>
        <v>0</v>
      </c>
    </row>
    <row r="40" spans="2:36" x14ac:dyDescent="0.35">
      <c r="B40" s="193" t="e">
        <f>"2024"&amp;MATCH(Totals!D40,OrgType,0)&amp;"_"&amp;MATCH(Totals!E40,Organisations,0)&amp;"_"&amp;LEFT(Totals!F40,1)&amp;"_"&amp;LEFT(G40,1)&amp;"_"&amp;COUNTIF($G$3:G40,G40)</f>
        <v>#N/A</v>
      </c>
      <c r="C40" s="193">
        <v>2025</v>
      </c>
      <c r="D40" s="193">
        <f>Introduction!$D$7</f>
        <v>0</v>
      </c>
      <c r="E40" s="193">
        <f>Introduction!$D$8</f>
        <v>0</v>
      </c>
      <c r="F40" s="193" t="s">
        <v>488</v>
      </c>
      <c r="G40" s="193" t="s">
        <v>489</v>
      </c>
      <c r="H40" s="195">
        <f>'Site Information'!B44</f>
        <v>0</v>
      </c>
      <c r="I40" s="237"/>
      <c r="J40" s="193">
        <f>'Site Information'!C44</f>
        <v>0</v>
      </c>
      <c r="K40" s="193">
        <f>'Site Information'!D44</f>
        <v>0</v>
      </c>
      <c r="L40" s="193">
        <f>'Site Information'!E44</f>
        <v>0</v>
      </c>
      <c r="M40" s="237"/>
      <c r="N40" s="237"/>
      <c r="O40" s="237"/>
      <c r="P40" s="237"/>
      <c r="Q40" s="237"/>
      <c r="R40" s="193">
        <f>'Site Information'!F44</f>
        <v>0</v>
      </c>
      <c r="S40" s="237"/>
      <c r="T40" s="237"/>
      <c r="U40" s="237"/>
      <c r="V40" s="237"/>
      <c r="W40" s="237"/>
      <c r="X40" s="237"/>
      <c r="Y40" s="237"/>
      <c r="Z40" s="237"/>
      <c r="AA40" s="237"/>
      <c r="AB40" s="237"/>
      <c r="AC40" s="237"/>
      <c r="AD40" s="237"/>
      <c r="AE40" s="237"/>
      <c r="AF40" s="237"/>
      <c r="AG40" s="237"/>
      <c r="AI40" s="193">
        <f t="shared" si="0"/>
        <v>0</v>
      </c>
      <c r="AJ40" s="193">
        <f t="shared" si="1"/>
        <v>0</v>
      </c>
    </row>
    <row r="41" spans="2:36" x14ac:dyDescent="0.35">
      <c r="B41" s="193" t="e">
        <f>"2024"&amp;MATCH(Totals!D41,OrgType,0)&amp;"_"&amp;MATCH(Totals!E41,Organisations,0)&amp;"_"&amp;LEFT(Totals!F41,1)&amp;"_"&amp;LEFT(G41,1)&amp;"_"&amp;COUNTIF($G$3:G41,G41)</f>
        <v>#N/A</v>
      </c>
      <c r="C41" s="193">
        <v>2025</v>
      </c>
      <c r="D41" s="193">
        <f>Introduction!$D$7</f>
        <v>0</v>
      </c>
      <c r="E41" s="193">
        <f>Introduction!$D$8</f>
        <v>0</v>
      </c>
      <c r="F41" s="193" t="s">
        <v>488</v>
      </c>
      <c r="G41" s="193" t="s">
        <v>489</v>
      </c>
      <c r="H41" s="195">
        <f>'Site Information'!B45</f>
        <v>0</v>
      </c>
      <c r="I41" s="237"/>
      <c r="J41" s="193">
        <f>'Site Information'!C45</f>
        <v>0</v>
      </c>
      <c r="K41" s="193">
        <f>'Site Information'!D45</f>
        <v>0</v>
      </c>
      <c r="L41" s="193">
        <f>'Site Information'!E45</f>
        <v>0</v>
      </c>
      <c r="M41" s="237"/>
      <c r="N41" s="237"/>
      <c r="O41" s="237"/>
      <c r="P41" s="237"/>
      <c r="Q41" s="237"/>
      <c r="R41" s="193">
        <f>'Site Information'!F45</f>
        <v>0</v>
      </c>
      <c r="S41" s="237"/>
      <c r="T41" s="237"/>
      <c r="U41" s="237"/>
      <c r="V41" s="237"/>
      <c r="W41" s="237"/>
      <c r="X41" s="237"/>
      <c r="Y41" s="237"/>
      <c r="Z41" s="237"/>
      <c r="AA41" s="237"/>
      <c r="AB41" s="237"/>
      <c r="AC41" s="237"/>
      <c r="AD41" s="237"/>
      <c r="AE41" s="237"/>
      <c r="AF41" s="237"/>
      <c r="AG41" s="237"/>
      <c r="AI41" s="193">
        <f t="shared" si="0"/>
        <v>0</v>
      </c>
      <c r="AJ41" s="193">
        <f t="shared" si="1"/>
        <v>0</v>
      </c>
    </row>
    <row r="42" spans="2:36" x14ac:dyDescent="0.35">
      <c r="B42" s="193" t="e">
        <f>"2024"&amp;MATCH(Totals!D42,OrgType,0)&amp;"_"&amp;MATCH(Totals!E42,Organisations,0)&amp;"_"&amp;LEFT(Totals!F42,1)&amp;"_"&amp;LEFT(G42,1)&amp;"_"&amp;COUNTIF($G$3:G42,G42)</f>
        <v>#N/A</v>
      </c>
      <c r="C42" s="193">
        <v>2025</v>
      </c>
      <c r="D42" s="193">
        <f>Introduction!$D$7</f>
        <v>0</v>
      </c>
      <c r="E42" s="193">
        <f>Introduction!$D$8</f>
        <v>0</v>
      </c>
      <c r="F42" s="193" t="s">
        <v>488</v>
      </c>
      <c r="G42" s="193" t="s">
        <v>489</v>
      </c>
      <c r="H42" s="195">
        <f>'Site Information'!B46</f>
        <v>0</v>
      </c>
      <c r="I42" s="237"/>
      <c r="J42" s="193">
        <f>'Site Information'!C46</f>
        <v>0</v>
      </c>
      <c r="K42" s="193">
        <f>'Site Information'!D46</f>
        <v>0</v>
      </c>
      <c r="L42" s="193">
        <f>'Site Information'!E46</f>
        <v>0</v>
      </c>
      <c r="M42" s="237"/>
      <c r="N42" s="237"/>
      <c r="O42" s="237"/>
      <c r="P42" s="237"/>
      <c r="Q42" s="237"/>
      <c r="R42" s="193">
        <f>'Site Information'!F46</f>
        <v>0</v>
      </c>
      <c r="S42" s="237"/>
      <c r="T42" s="237"/>
      <c r="U42" s="237"/>
      <c r="V42" s="237"/>
      <c r="W42" s="237"/>
      <c r="X42" s="237"/>
      <c r="Y42" s="237"/>
      <c r="Z42" s="237"/>
      <c r="AA42" s="237"/>
      <c r="AB42" s="237"/>
      <c r="AC42" s="237"/>
      <c r="AD42" s="237"/>
      <c r="AE42" s="237"/>
      <c r="AF42" s="237"/>
      <c r="AG42" s="237"/>
      <c r="AI42" s="193">
        <f t="shared" si="0"/>
        <v>0</v>
      </c>
      <c r="AJ42" s="193">
        <f t="shared" si="1"/>
        <v>0</v>
      </c>
    </row>
    <row r="43" spans="2:36" x14ac:dyDescent="0.35">
      <c r="B43" s="193" t="e">
        <f>"2024"&amp;MATCH(Totals!D43,OrgType,0)&amp;"_"&amp;MATCH(Totals!E43,Organisations,0)&amp;"_"&amp;LEFT(Totals!F43,1)&amp;"_"&amp;LEFT(G43,1)&amp;"_"&amp;COUNTIF($G$3:G43,G43)</f>
        <v>#N/A</v>
      </c>
      <c r="C43" s="193">
        <v>2025</v>
      </c>
      <c r="D43" s="193">
        <f>Introduction!$D$7</f>
        <v>0</v>
      </c>
      <c r="E43" s="193">
        <f>Introduction!$D$8</f>
        <v>0</v>
      </c>
      <c r="F43" s="193" t="s">
        <v>488</v>
      </c>
      <c r="G43" s="193" t="s">
        <v>489</v>
      </c>
      <c r="H43" s="195">
        <f>'Site Information'!B47</f>
        <v>0</v>
      </c>
      <c r="I43" s="237"/>
      <c r="J43" s="193">
        <f>'Site Information'!C47</f>
        <v>0</v>
      </c>
      <c r="K43" s="193">
        <f>'Site Information'!D47</f>
        <v>0</v>
      </c>
      <c r="L43" s="193">
        <f>'Site Information'!E47</f>
        <v>0</v>
      </c>
      <c r="M43" s="237"/>
      <c r="N43" s="237"/>
      <c r="O43" s="237"/>
      <c r="P43" s="237"/>
      <c r="Q43" s="237"/>
      <c r="R43" s="193">
        <f>'Site Information'!F47</f>
        <v>0</v>
      </c>
      <c r="S43" s="237"/>
      <c r="T43" s="237"/>
      <c r="U43" s="237"/>
      <c r="V43" s="237"/>
      <c r="W43" s="237"/>
      <c r="X43" s="237"/>
      <c r="Y43" s="237"/>
      <c r="Z43" s="237"/>
      <c r="AA43" s="237"/>
      <c r="AB43" s="237"/>
      <c r="AC43" s="237"/>
      <c r="AD43" s="237"/>
      <c r="AE43" s="237"/>
      <c r="AF43" s="237"/>
      <c r="AG43" s="237"/>
      <c r="AI43" s="193">
        <f t="shared" si="0"/>
        <v>0</v>
      </c>
      <c r="AJ43" s="193">
        <f t="shared" si="1"/>
        <v>0</v>
      </c>
    </row>
    <row r="44" spans="2:36" x14ac:dyDescent="0.35">
      <c r="B44" s="193" t="e">
        <f>"2024"&amp;MATCH(Totals!D44,OrgType,0)&amp;"_"&amp;MATCH(Totals!E44,Organisations,0)&amp;"_"&amp;LEFT(Totals!F44,1)&amp;"_"&amp;LEFT(G44,1)&amp;"_"&amp;COUNTIF($G$3:G44,G44)</f>
        <v>#N/A</v>
      </c>
      <c r="C44" s="193">
        <v>2025</v>
      </c>
      <c r="D44" s="193">
        <f>Introduction!$D$7</f>
        <v>0</v>
      </c>
      <c r="E44" s="193">
        <f>Introduction!$D$8</f>
        <v>0</v>
      </c>
      <c r="F44" s="193" t="s">
        <v>488</v>
      </c>
      <c r="G44" s="193" t="s">
        <v>489</v>
      </c>
      <c r="H44" s="195">
        <f>'Site Information'!B48</f>
        <v>0</v>
      </c>
      <c r="I44" s="237"/>
      <c r="J44" s="193">
        <f>'Site Information'!C48</f>
        <v>0</v>
      </c>
      <c r="K44" s="193">
        <f>'Site Information'!D48</f>
        <v>0</v>
      </c>
      <c r="L44" s="193">
        <f>'Site Information'!E48</f>
        <v>0</v>
      </c>
      <c r="M44" s="237"/>
      <c r="N44" s="237"/>
      <c r="O44" s="237"/>
      <c r="P44" s="237"/>
      <c r="Q44" s="237"/>
      <c r="R44" s="193">
        <f>'Site Information'!F48</f>
        <v>0</v>
      </c>
      <c r="S44" s="237"/>
      <c r="T44" s="237"/>
      <c r="U44" s="237"/>
      <c r="V44" s="237"/>
      <c r="W44" s="237"/>
      <c r="X44" s="237"/>
      <c r="Y44" s="237"/>
      <c r="Z44" s="237"/>
      <c r="AA44" s="237"/>
      <c r="AB44" s="237"/>
      <c r="AC44" s="237"/>
      <c r="AD44" s="237"/>
      <c r="AE44" s="237"/>
      <c r="AF44" s="237"/>
      <c r="AG44" s="237"/>
      <c r="AI44" s="193">
        <f t="shared" si="0"/>
        <v>0</v>
      </c>
      <c r="AJ44" s="193">
        <f t="shared" si="1"/>
        <v>0</v>
      </c>
    </row>
    <row r="45" spans="2:36" x14ac:dyDescent="0.35">
      <c r="B45" s="193" t="e">
        <f>"2024"&amp;MATCH(Totals!D45,OrgType,0)&amp;"_"&amp;MATCH(Totals!E45,Organisations,0)&amp;"_"&amp;LEFT(Totals!F45,1)&amp;"_"&amp;LEFT(G45,1)&amp;"_"&amp;COUNTIF($G$3:G45,G45)</f>
        <v>#N/A</v>
      </c>
      <c r="C45" s="193">
        <v>2025</v>
      </c>
      <c r="D45" s="193">
        <f>Introduction!$D$7</f>
        <v>0</v>
      </c>
      <c r="E45" s="193">
        <f>Introduction!$D$8</f>
        <v>0</v>
      </c>
      <c r="F45" s="193" t="s">
        <v>488</v>
      </c>
      <c r="G45" s="193" t="s">
        <v>489</v>
      </c>
      <c r="H45" s="195">
        <f>'Site Information'!B49</f>
        <v>0</v>
      </c>
      <c r="I45" s="237"/>
      <c r="J45" s="193">
        <f>'Site Information'!C49</f>
        <v>0</v>
      </c>
      <c r="K45" s="193">
        <f>'Site Information'!D49</f>
        <v>0</v>
      </c>
      <c r="L45" s="193">
        <f>'Site Information'!E49</f>
        <v>0</v>
      </c>
      <c r="M45" s="237"/>
      <c r="N45" s="237"/>
      <c r="O45" s="237"/>
      <c r="P45" s="237"/>
      <c r="Q45" s="237"/>
      <c r="R45" s="193">
        <f>'Site Information'!F49</f>
        <v>0</v>
      </c>
      <c r="S45" s="237"/>
      <c r="T45" s="237"/>
      <c r="U45" s="237"/>
      <c r="V45" s="237"/>
      <c r="W45" s="237"/>
      <c r="X45" s="237"/>
      <c r="Y45" s="237"/>
      <c r="Z45" s="237"/>
      <c r="AA45" s="237"/>
      <c r="AB45" s="237"/>
      <c r="AC45" s="237"/>
      <c r="AD45" s="237"/>
      <c r="AE45" s="237"/>
      <c r="AF45" s="237"/>
      <c r="AG45" s="237"/>
      <c r="AI45" s="193">
        <f t="shared" si="0"/>
        <v>0</v>
      </c>
      <c r="AJ45" s="193">
        <f t="shared" si="1"/>
        <v>0</v>
      </c>
    </row>
    <row r="46" spans="2:36" x14ac:dyDescent="0.35">
      <c r="B46" s="193" t="e">
        <f>"2024"&amp;MATCH(Totals!D46,OrgType,0)&amp;"_"&amp;MATCH(Totals!E46,Organisations,0)&amp;"_"&amp;LEFT(Totals!F46,1)&amp;"_"&amp;LEFT(G46,1)&amp;"_"&amp;COUNTIF($G$3:G46,G46)</f>
        <v>#N/A</v>
      </c>
      <c r="C46" s="193">
        <v>2025</v>
      </c>
      <c r="D46" s="193">
        <f>Introduction!$D$7</f>
        <v>0</v>
      </c>
      <c r="E46" s="193">
        <f>Introduction!$D$8</f>
        <v>0</v>
      </c>
      <c r="F46" s="193" t="s">
        <v>488</v>
      </c>
      <c r="G46" s="193" t="s">
        <v>489</v>
      </c>
      <c r="H46" s="195">
        <f>'Site Information'!B50</f>
        <v>0</v>
      </c>
      <c r="I46" s="237"/>
      <c r="J46" s="193">
        <f>'Site Information'!C50</f>
        <v>0</v>
      </c>
      <c r="K46" s="193">
        <f>'Site Information'!D50</f>
        <v>0</v>
      </c>
      <c r="L46" s="193">
        <f>'Site Information'!E50</f>
        <v>0</v>
      </c>
      <c r="M46" s="237"/>
      <c r="N46" s="237"/>
      <c r="O46" s="237"/>
      <c r="P46" s="237"/>
      <c r="Q46" s="237"/>
      <c r="R46" s="193">
        <f>'Site Information'!F50</f>
        <v>0</v>
      </c>
      <c r="S46" s="237"/>
      <c r="T46" s="237"/>
      <c r="U46" s="237"/>
      <c r="V46" s="237"/>
      <c r="W46" s="237"/>
      <c r="X46" s="237"/>
      <c r="Y46" s="237"/>
      <c r="Z46" s="237"/>
      <c r="AA46" s="237"/>
      <c r="AB46" s="237"/>
      <c r="AC46" s="237"/>
      <c r="AD46" s="237"/>
      <c r="AE46" s="237"/>
      <c r="AF46" s="237"/>
      <c r="AG46" s="237"/>
      <c r="AI46" s="193">
        <f t="shared" si="0"/>
        <v>0</v>
      </c>
      <c r="AJ46" s="193">
        <f t="shared" si="1"/>
        <v>0</v>
      </c>
    </row>
    <row r="47" spans="2:36" x14ac:dyDescent="0.35">
      <c r="B47" s="193" t="e">
        <f>"2024"&amp;MATCH(Totals!D47,OrgType,0)&amp;"_"&amp;MATCH(Totals!E47,Organisations,0)&amp;"_"&amp;LEFT(Totals!F47,1)&amp;"_"&amp;LEFT(G47,1)&amp;"_"&amp;COUNTIF($G$3:G47,G47)</f>
        <v>#N/A</v>
      </c>
      <c r="C47" s="193">
        <v>2025</v>
      </c>
      <c r="D47" s="193">
        <f>Introduction!$D$7</f>
        <v>0</v>
      </c>
      <c r="E47" s="193">
        <f>Introduction!$D$8</f>
        <v>0</v>
      </c>
      <c r="F47" s="193" t="s">
        <v>488</v>
      </c>
      <c r="G47" s="193" t="s">
        <v>489</v>
      </c>
      <c r="H47" s="195">
        <f>'Site Information'!B51</f>
        <v>0</v>
      </c>
      <c r="I47" s="237"/>
      <c r="J47" s="193">
        <f>'Site Information'!C51</f>
        <v>0</v>
      </c>
      <c r="K47" s="193">
        <f>'Site Information'!D51</f>
        <v>0</v>
      </c>
      <c r="L47" s="193">
        <f>'Site Information'!E51</f>
        <v>0</v>
      </c>
      <c r="M47" s="237"/>
      <c r="N47" s="237"/>
      <c r="O47" s="237"/>
      <c r="P47" s="237"/>
      <c r="Q47" s="237"/>
      <c r="R47" s="193">
        <f>'Site Information'!F51</f>
        <v>0</v>
      </c>
      <c r="S47" s="237"/>
      <c r="T47" s="237"/>
      <c r="U47" s="237"/>
      <c r="V47" s="237"/>
      <c r="W47" s="237"/>
      <c r="X47" s="237"/>
      <c r="Y47" s="237"/>
      <c r="Z47" s="237"/>
      <c r="AA47" s="237"/>
      <c r="AB47" s="237"/>
      <c r="AC47" s="237"/>
      <c r="AD47" s="237"/>
      <c r="AE47" s="237"/>
      <c r="AF47" s="237"/>
      <c r="AG47" s="237"/>
      <c r="AI47" s="193">
        <f t="shared" si="0"/>
        <v>0</v>
      </c>
      <c r="AJ47" s="193">
        <f t="shared" si="1"/>
        <v>0</v>
      </c>
    </row>
    <row r="48" spans="2:36" x14ac:dyDescent="0.35">
      <c r="B48" s="193" t="e">
        <f>"2024"&amp;MATCH(Totals!D48,OrgType,0)&amp;"_"&amp;MATCH(Totals!E48,Organisations,0)&amp;"_"&amp;LEFT(Totals!F48,1)&amp;"_"&amp;LEFT(G48,1)&amp;"_"&amp;COUNTIF($G$3:G48,G48)</f>
        <v>#N/A</v>
      </c>
      <c r="C48" s="193">
        <v>2025</v>
      </c>
      <c r="D48" s="193">
        <f>Introduction!$D$7</f>
        <v>0</v>
      </c>
      <c r="E48" s="193">
        <f>Introduction!$D$8</f>
        <v>0</v>
      </c>
      <c r="F48" s="193" t="s">
        <v>488</v>
      </c>
      <c r="G48" s="193" t="s">
        <v>489</v>
      </c>
      <c r="H48" s="195">
        <f>'Site Information'!B52</f>
        <v>0</v>
      </c>
      <c r="I48" s="237"/>
      <c r="J48" s="193">
        <f>'Site Information'!C52</f>
        <v>0</v>
      </c>
      <c r="K48" s="193">
        <f>'Site Information'!D52</f>
        <v>0</v>
      </c>
      <c r="L48" s="193">
        <f>'Site Information'!E52</f>
        <v>0</v>
      </c>
      <c r="M48" s="237"/>
      <c r="N48" s="237"/>
      <c r="O48" s="237"/>
      <c r="P48" s="237"/>
      <c r="Q48" s="237"/>
      <c r="R48" s="193">
        <f>'Site Information'!F52</f>
        <v>0</v>
      </c>
      <c r="S48" s="237"/>
      <c r="T48" s="237"/>
      <c r="U48" s="237"/>
      <c r="V48" s="237"/>
      <c r="W48" s="237"/>
      <c r="X48" s="237"/>
      <c r="Y48" s="237"/>
      <c r="Z48" s="237"/>
      <c r="AA48" s="237"/>
      <c r="AB48" s="237"/>
      <c r="AC48" s="237"/>
      <c r="AD48" s="237"/>
      <c r="AE48" s="237"/>
      <c r="AF48" s="237"/>
      <c r="AG48" s="237"/>
      <c r="AI48" s="193">
        <f t="shared" si="0"/>
        <v>0</v>
      </c>
      <c r="AJ48" s="193">
        <f t="shared" si="1"/>
        <v>0</v>
      </c>
    </row>
    <row r="49" spans="2:36" x14ac:dyDescent="0.35">
      <c r="B49" s="193" t="e">
        <f>"2024"&amp;MATCH(Totals!D49,OrgType,0)&amp;"_"&amp;MATCH(Totals!E49,Organisations,0)&amp;"_"&amp;LEFT(Totals!F49,1)&amp;"_"&amp;LEFT(G49,1)&amp;"_"&amp;COUNTIF($G$3:G49,G49)</f>
        <v>#N/A</v>
      </c>
      <c r="C49" s="193">
        <v>2025</v>
      </c>
      <c r="D49" s="193">
        <f>Introduction!$D$7</f>
        <v>0</v>
      </c>
      <c r="E49" s="193">
        <f>Introduction!$D$8</f>
        <v>0</v>
      </c>
      <c r="F49" s="193" t="s">
        <v>488</v>
      </c>
      <c r="G49" s="193" t="s">
        <v>489</v>
      </c>
      <c r="H49" s="195">
        <f>'Site Information'!B53</f>
        <v>0</v>
      </c>
      <c r="I49" s="237"/>
      <c r="J49" s="193">
        <f>'Site Information'!C53</f>
        <v>0</v>
      </c>
      <c r="K49" s="193">
        <f>'Site Information'!D53</f>
        <v>0</v>
      </c>
      <c r="L49" s="193">
        <f>'Site Information'!E53</f>
        <v>0</v>
      </c>
      <c r="M49" s="237"/>
      <c r="N49" s="237"/>
      <c r="O49" s="237"/>
      <c r="P49" s="237"/>
      <c r="Q49" s="237"/>
      <c r="R49" s="193">
        <f>'Site Information'!F53</f>
        <v>0</v>
      </c>
      <c r="S49" s="237"/>
      <c r="T49" s="237"/>
      <c r="U49" s="237"/>
      <c r="V49" s="237"/>
      <c r="W49" s="237"/>
      <c r="X49" s="237"/>
      <c r="Y49" s="237"/>
      <c r="Z49" s="237"/>
      <c r="AA49" s="237"/>
      <c r="AB49" s="237"/>
      <c r="AC49" s="237"/>
      <c r="AD49" s="237"/>
      <c r="AE49" s="237"/>
      <c r="AF49" s="237"/>
      <c r="AG49" s="237"/>
      <c r="AI49" s="193">
        <f t="shared" si="0"/>
        <v>0</v>
      </c>
      <c r="AJ49" s="193">
        <f t="shared" si="1"/>
        <v>0</v>
      </c>
    </row>
    <row r="50" spans="2:36" x14ac:dyDescent="0.35">
      <c r="B50" s="193" t="e">
        <f>"2024"&amp;MATCH(Totals!D50,OrgType,0)&amp;"_"&amp;MATCH(Totals!E50,Organisations,0)&amp;"_"&amp;LEFT(Totals!F50,1)&amp;"_"&amp;LEFT(G50,1)&amp;"_"&amp;COUNTIF($G$3:G50,G50)</f>
        <v>#N/A</v>
      </c>
      <c r="C50" s="193">
        <v>2025</v>
      </c>
      <c r="D50" s="193">
        <f>Introduction!$D$7</f>
        <v>0</v>
      </c>
      <c r="E50" s="193">
        <f>Introduction!$D$8</f>
        <v>0</v>
      </c>
      <c r="F50" s="193" t="s">
        <v>488</v>
      </c>
      <c r="G50" s="193" t="s">
        <v>489</v>
      </c>
      <c r="H50" s="195">
        <f>'Site Information'!B54</f>
        <v>0</v>
      </c>
      <c r="I50" s="237"/>
      <c r="J50" s="193">
        <f>'Site Information'!C54</f>
        <v>0</v>
      </c>
      <c r="K50" s="193">
        <f>'Site Information'!D54</f>
        <v>0</v>
      </c>
      <c r="L50" s="193">
        <f>'Site Information'!E54</f>
        <v>0</v>
      </c>
      <c r="M50" s="237"/>
      <c r="N50" s="237"/>
      <c r="O50" s="237"/>
      <c r="P50" s="237"/>
      <c r="Q50" s="237"/>
      <c r="R50" s="193">
        <f>'Site Information'!F54</f>
        <v>0</v>
      </c>
      <c r="S50" s="237"/>
      <c r="T50" s="237"/>
      <c r="U50" s="237"/>
      <c r="V50" s="237"/>
      <c r="W50" s="237"/>
      <c r="X50" s="237"/>
      <c r="Y50" s="237"/>
      <c r="Z50" s="237"/>
      <c r="AA50" s="237"/>
      <c r="AB50" s="237"/>
      <c r="AC50" s="237"/>
      <c r="AD50" s="237"/>
      <c r="AE50" s="237"/>
      <c r="AF50" s="237"/>
      <c r="AG50" s="237"/>
      <c r="AI50" s="193">
        <f t="shared" si="0"/>
        <v>0</v>
      </c>
      <c r="AJ50" s="193">
        <f t="shared" si="1"/>
        <v>0</v>
      </c>
    </row>
    <row r="51" spans="2:36" x14ac:dyDescent="0.35">
      <c r="B51" s="193" t="e">
        <f>"2024"&amp;MATCH(Totals!D51,OrgType,0)&amp;"_"&amp;MATCH(Totals!E51,Organisations,0)&amp;"_"&amp;LEFT(Totals!F51,1)&amp;"_"&amp;LEFT(G51,1)&amp;"_"&amp;COUNTIF($G$3:G51,G51)</f>
        <v>#N/A</v>
      </c>
      <c r="C51" s="193">
        <v>2025</v>
      </c>
      <c r="D51" s="193">
        <f>Introduction!$D$7</f>
        <v>0</v>
      </c>
      <c r="E51" s="193">
        <f>Introduction!$D$8</f>
        <v>0</v>
      </c>
      <c r="F51" s="193" t="s">
        <v>488</v>
      </c>
      <c r="G51" s="193" t="s">
        <v>489</v>
      </c>
      <c r="H51" s="195">
        <f>'Site Information'!B55</f>
        <v>0</v>
      </c>
      <c r="I51" s="237"/>
      <c r="J51" s="193">
        <f>'Site Information'!C55</f>
        <v>0</v>
      </c>
      <c r="K51" s="193">
        <f>'Site Information'!D55</f>
        <v>0</v>
      </c>
      <c r="L51" s="193">
        <f>'Site Information'!E55</f>
        <v>0</v>
      </c>
      <c r="M51" s="237"/>
      <c r="N51" s="237"/>
      <c r="O51" s="237"/>
      <c r="P51" s="237"/>
      <c r="Q51" s="237"/>
      <c r="R51" s="193">
        <f>'Site Information'!F55</f>
        <v>0</v>
      </c>
      <c r="S51" s="237"/>
      <c r="T51" s="237"/>
      <c r="U51" s="237"/>
      <c r="V51" s="237"/>
      <c r="W51" s="237"/>
      <c r="X51" s="237"/>
      <c r="Y51" s="237"/>
      <c r="Z51" s="237"/>
      <c r="AA51" s="237"/>
      <c r="AB51" s="237"/>
      <c r="AC51" s="237"/>
      <c r="AD51" s="237"/>
      <c r="AE51" s="237"/>
      <c r="AF51" s="237"/>
      <c r="AG51" s="237"/>
      <c r="AI51" s="193">
        <f t="shared" si="0"/>
        <v>0</v>
      </c>
      <c r="AJ51" s="193">
        <f t="shared" si="1"/>
        <v>0</v>
      </c>
    </row>
    <row r="52" spans="2:36" x14ac:dyDescent="0.35">
      <c r="B52" s="193" t="e">
        <f>"2024"&amp;MATCH(Totals!D52,OrgType,0)&amp;"_"&amp;MATCH(Totals!E52,Organisations,0)&amp;"_"&amp;LEFT(Totals!F52,1)&amp;"_"&amp;LEFT(G52,1)&amp;"_"&amp;COUNTIF($G$3:G52,G52)</f>
        <v>#N/A</v>
      </c>
      <c r="C52" s="193">
        <v>2025</v>
      </c>
      <c r="D52" s="193">
        <f>Introduction!$D$7</f>
        <v>0</v>
      </c>
      <c r="E52" s="193">
        <f>Introduction!$D$8</f>
        <v>0</v>
      </c>
      <c r="F52" s="193" t="s">
        <v>488</v>
      </c>
      <c r="G52" s="193" t="s">
        <v>489</v>
      </c>
      <c r="H52" s="195">
        <f>'Site Information'!B56</f>
        <v>0</v>
      </c>
      <c r="I52" s="237"/>
      <c r="J52" s="193">
        <f>'Site Information'!C56</f>
        <v>0</v>
      </c>
      <c r="K52" s="193">
        <f>'Site Information'!D56</f>
        <v>0</v>
      </c>
      <c r="L52" s="193">
        <f>'Site Information'!E56</f>
        <v>0</v>
      </c>
      <c r="M52" s="237"/>
      <c r="N52" s="237"/>
      <c r="O52" s="237"/>
      <c r="P52" s="237"/>
      <c r="Q52" s="237"/>
      <c r="R52" s="193">
        <f>'Site Information'!F56</f>
        <v>0</v>
      </c>
      <c r="S52" s="237"/>
      <c r="T52" s="237"/>
      <c r="U52" s="237"/>
      <c r="V52" s="237"/>
      <c r="W52" s="237"/>
      <c r="X52" s="237"/>
      <c r="Y52" s="237"/>
      <c r="Z52" s="237"/>
      <c r="AA52" s="237"/>
      <c r="AB52" s="237"/>
      <c r="AC52" s="237"/>
      <c r="AD52" s="237"/>
      <c r="AE52" s="237"/>
      <c r="AF52" s="237"/>
      <c r="AG52" s="237"/>
      <c r="AI52" s="193">
        <f t="shared" si="0"/>
        <v>0</v>
      </c>
      <c r="AJ52" s="193">
        <f t="shared" si="1"/>
        <v>0</v>
      </c>
    </row>
    <row r="53" spans="2:36" x14ac:dyDescent="0.35">
      <c r="B53" s="193" t="e">
        <f>"2024"&amp;MATCH(Totals!D53,OrgType,0)&amp;"_"&amp;MATCH(Totals!E53,Organisations,0)&amp;"_"&amp;LEFT(Totals!F53,1)&amp;"_"&amp;LEFT(G53,1)&amp;"_"&amp;COUNTIF($G$3:G53,G53)</f>
        <v>#N/A</v>
      </c>
      <c r="C53" s="193">
        <v>2025</v>
      </c>
      <c r="D53" s="193">
        <f>Introduction!$D$7</f>
        <v>0</v>
      </c>
      <c r="E53" s="193">
        <f>Introduction!$D$8</f>
        <v>0</v>
      </c>
      <c r="F53" s="193" t="s">
        <v>488</v>
      </c>
      <c r="G53" s="193" t="s">
        <v>489</v>
      </c>
      <c r="H53" s="195">
        <f>'Site Information'!B57</f>
        <v>0</v>
      </c>
      <c r="I53" s="237"/>
      <c r="J53" s="193">
        <f>'Site Information'!C57</f>
        <v>0</v>
      </c>
      <c r="K53" s="193">
        <f>'Site Information'!D57</f>
        <v>0</v>
      </c>
      <c r="L53" s="193">
        <f>'Site Information'!E57</f>
        <v>0</v>
      </c>
      <c r="M53" s="237"/>
      <c r="N53" s="237"/>
      <c r="O53" s="237"/>
      <c r="P53" s="237"/>
      <c r="Q53" s="237"/>
      <c r="R53" s="193">
        <f>'Site Information'!F57</f>
        <v>0</v>
      </c>
      <c r="S53" s="237"/>
      <c r="T53" s="237"/>
      <c r="U53" s="237"/>
      <c r="V53" s="237"/>
      <c r="W53" s="237"/>
      <c r="X53" s="237"/>
      <c r="Y53" s="237"/>
      <c r="Z53" s="237"/>
      <c r="AA53" s="237"/>
      <c r="AB53" s="237"/>
      <c r="AC53" s="237"/>
      <c r="AD53" s="237"/>
      <c r="AE53" s="237"/>
      <c r="AF53" s="237"/>
      <c r="AG53" s="237"/>
      <c r="AI53" s="193">
        <f t="shared" si="0"/>
        <v>0</v>
      </c>
      <c r="AJ53" s="193">
        <f t="shared" si="1"/>
        <v>0</v>
      </c>
    </row>
    <row r="54" spans="2:36" x14ac:dyDescent="0.35">
      <c r="B54" s="193" t="e">
        <f>"2024"&amp;MATCH(Totals!D54,OrgType,0)&amp;"_"&amp;MATCH(Totals!E54,Organisations,0)&amp;"_"&amp;LEFT(Totals!F54,1)&amp;"_"&amp;LEFT(G54,1)&amp;"_"&amp;COUNTIF($G$3:G54,G54)</f>
        <v>#N/A</v>
      </c>
      <c r="C54" s="193">
        <v>2025</v>
      </c>
      <c r="D54" s="193">
        <f>Introduction!$D$7</f>
        <v>0</v>
      </c>
      <c r="E54" s="193">
        <f>Introduction!$D$8</f>
        <v>0</v>
      </c>
      <c r="F54" s="193" t="s">
        <v>488</v>
      </c>
      <c r="G54" s="193" t="s">
        <v>489</v>
      </c>
      <c r="H54" s="195">
        <f>'Site Information'!B58</f>
        <v>0</v>
      </c>
      <c r="I54" s="237"/>
      <c r="J54" s="193">
        <f>'Site Information'!C58</f>
        <v>0</v>
      </c>
      <c r="K54" s="193">
        <f>'Site Information'!D58</f>
        <v>0</v>
      </c>
      <c r="L54" s="193">
        <f>'Site Information'!E58</f>
        <v>0</v>
      </c>
      <c r="M54" s="237"/>
      <c r="N54" s="237"/>
      <c r="O54" s="237"/>
      <c r="P54" s="237"/>
      <c r="Q54" s="237"/>
      <c r="R54" s="193">
        <f>'Site Information'!F58</f>
        <v>0</v>
      </c>
      <c r="S54" s="237"/>
      <c r="T54" s="237"/>
      <c r="U54" s="237"/>
      <c r="V54" s="237"/>
      <c r="W54" s="237"/>
      <c r="X54" s="237"/>
      <c r="Y54" s="237"/>
      <c r="Z54" s="237"/>
      <c r="AA54" s="237"/>
      <c r="AB54" s="237"/>
      <c r="AC54" s="237"/>
      <c r="AD54" s="237"/>
      <c r="AE54" s="237"/>
      <c r="AF54" s="237"/>
      <c r="AG54" s="237"/>
      <c r="AI54" s="193">
        <f t="shared" ref="AI54:AI67" si="2">IF(AND(V54="",R54&lt;&gt;0),1,0)</f>
        <v>0</v>
      </c>
      <c r="AJ54" s="193">
        <f t="shared" ref="AJ54:AJ67" si="3">IF(AND(W54="",R54&lt;&gt;0),1,0)</f>
        <v>0</v>
      </c>
    </row>
    <row r="55" spans="2:36" x14ac:dyDescent="0.35">
      <c r="B55" s="193" t="e">
        <f>"2024"&amp;MATCH(Totals!D55,OrgType,0)&amp;"_"&amp;MATCH(Totals!E55,Organisations,0)&amp;"_"&amp;LEFT(Totals!F55,1)&amp;"_"&amp;LEFT(G55,1)&amp;"_"&amp;COUNTIF($G$3:G55,G55)</f>
        <v>#N/A</v>
      </c>
      <c r="C55" s="193">
        <v>2025</v>
      </c>
      <c r="D55" s="193">
        <f>Introduction!$D$7</f>
        <v>0</v>
      </c>
      <c r="E55" s="193">
        <f>Introduction!$D$8</f>
        <v>0</v>
      </c>
      <c r="F55" s="193" t="s">
        <v>488</v>
      </c>
      <c r="G55" s="193" t="s">
        <v>489</v>
      </c>
      <c r="H55" s="195">
        <f>'Site Information'!B59</f>
        <v>0</v>
      </c>
      <c r="I55" s="237"/>
      <c r="J55" s="193">
        <f>'Site Information'!C59</f>
        <v>0</v>
      </c>
      <c r="K55" s="193">
        <f>'Site Information'!D59</f>
        <v>0</v>
      </c>
      <c r="L55" s="193">
        <f>'Site Information'!E59</f>
        <v>0</v>
      </c>
      <c r="M55" s="237"/>
      <c r="N55" s="237"/>
      <c r="O55" s="237"/>
      <c r="P55" s="237"/>
      <c r="Q55" s="237"/>
      <c r="R55" s="193">
        <f>'Site Information'!F59</f>
        <v>0</v>
      </c>
      <c r="S55" s="237"/>
      <c r="T55" s="237"/>
      <c r="U55" s="237"/>
      <c r="V55" s="237"/>
      <c r="W55" s="237"/>
      <c r="X55" s="237"/>
      <c r="Y55" s="237"/>
      <c r="Z55" s="237"/>
      <c r="AA55" s="237"/>
      <c r="AB55" s="237"/>
      <c r="AC55" s="237"/>
      <c r="AD55" s="237"/>
      <c r="AE55" s="237"/>
      <c r="AF55" s="237"/>
      <c r="AG55" s="237"/>
      <c r="AI55" s="193">
        <f t="shared" si="2"/>
        <v>0</v>
      </c>
      <c r="AJ55" s="193">
        <f t="shared" si="3"/>
        <v>0</v>
      </c>
    </row>
    <row r="56" spans="2:36" x14ac:dyDescent="0.35">
      <c r="B56" s="193" t="e">
        <f>"2024"&amp;MATCH(Totals!D56,OrgType,0)&amp;"_"&amp;MATCH(Totals!E56,Organisations,0)&amp;"_"&amp;LEFT(Totals!F56,1)&amp;"_"&amp;LEFT(G56,1)&amp;"_"&amp;COUNTIF($G$3:G56,G56)</f>
        <v>#N/A</v>
      </c>
      <c r="C56" s="193">
        <v>2025</v>
      </c>
      <c r="D56" s="193">
        <f>Introduction!$D$7</f>
        <v>0</v>
      </c>
      <c r="E56" s="193">
        <f>Introduction!$D$8</f>
        <v>0</v>
      </c>
      <c r="F56" s="193" t="s">
        <v>488</v>
      </c>
      <c r="G56" s="193" t="s">
        <v>489</v>
      </c>
      <c r="H56" s="195">
        <f>'Site Information'!B60</f>
        <v>0</v>
      </c>
      <c r="I56" s="237"/>
      <c r="J56" s="193">
        <f>'Site Information'!C60</f>
        <v>0</v>
      </c>
      <c r="K56" s="193">
        <f>'Site Information'!D60</f>
        <v>0</v>
      </c>
      <c r="L56" s="193">
        <f>'Site Information'!E60</f>
        <v>0</v>
      </c>
      <c r="M56" s="237"/>
      <c r="N56" s="237"/>
      <c r="O56" s="237"/>
      <c r="P56" s="237"/>
      <c r="Q56" s="237"/>
      <c r="R56" s="193">
        <f>'Site Information'!F60</f>
        <v>0</v>
      </c>
      <c r="S56" s="237"/>
      <c r="T56" s="237"/>
      <c r="U56" s="237"/>
      <c r="V56" s="237"/>
      <c r="W56" s="237"/>
      <c r="X56" s="237"/>
      <c r="Y56" s="237"/>
      <c r="Z56" s="237"/>
      <c r="AA56" s="237"/>
      <c r="AB56" s="237"/>
      <c r="AC56" s="237"/>
      <c r="AD56" s="237"/>
      <c r="AE56" s="237"/>
      <c r="AF56" s="237"/>
      <c r="AG56" s="237"/>
      <c r="AI56" s="193">
        <f t="shared" si="2"/>
        <v>0</v>
      </c>
      <c r="AJ56" s="193">
        <f t="shared" si="3"/>
        <v>0</v>
      </c>
    </row>
    <row r="57" spans="2:36" x14ac:dyDescent="0.35">
      <c r="B57" s="193" t="e">
        <f>"2024"&amp;MATCH(Totals!D57,OrgType,0)&amp;"_"&amp;MATCH(Totals!E57,Organisations,0)&amp;"_"&amp;LEFT(Totals!F57,1)&amp;"_"&amp;LEFT(G57,1)&amp;"_"&amp;COUNTIF($G$3:G57,G57)</f>
        <v>#N/A</v>
      </c>
      <c r="C57" s="193">
        <v>2025</v>
      </c>
      <c r="D57" s="193">
        <f>Introduction!$D$7</f>
        <v>0</v>
      </c>
      <c r="E57" s="193">
        <f>Introduction!$D$8</f>
        <v>0</v>
      </c>
      <c r="F57" s="193" t="s">
        <v>488</v>
      </c>
      <c r="G57" s="193" t="s">
        <v>489</v>
      </c>
      <c r="H57" s="195">
        <f>'Site Information'!B61</f>
        <v>0</v>
      </c>
      <c r="I57" s="237"/>
      <c r="J57" s="193">
        <f>'Site Information'!C61</f>
        <v>0</v>
      </c>
      <c r="K57" s="193">
        <f>'Site Information'!D61</f>
        <v>0</v>
      </c>
      <c r="L57" s="193">
        <f>'Site Information'!E61</f>
        <v>0</v>
      </c>
      <c r="M57" s="237"/>
      <c r="N57" s="237"/>
      <c r="O57" s="237"/>
      <c r="P57" s="237"/>
      <c r="Q57" s="237"/>
      <c r="R57" s="193">
        <f>'Site Information'!F61</f>
        <v>0</v>
      </c>
      <c r="S57" s="237"/>
      <c r="T57" s="237"/>
      <c r="U57" s="237"/>
      <c r="V57" s="237"/>
      <c r="W57" s="237"/>
      <c r="X57" s="237"/>
      <c r="Y57" s="237"/>
      <c r="Z57" s="237"/>
      <c r="AA57" s="237"/>
      <c r="AB57" s="237"/>
      <c r="AC57" s="237"/>
      <c r="AD57" s="237"/>
      <c r="AE57" s="237"/>
      <c r="AF57" s="237"/>
      <c r="AG57" s="237"/>
      <c r="AI57" s="193">
        <f t="shared" si="2"/>
        <v>0</v>
      </c>
      <c r="AJ57" s="193">
        <f t="shared" si="3"/>
        <v>0</v>
      </c>
    </row>
    <row r="58" spans="2:36" x14ac:dyDescent="0.35">
      <c r="B58" s="193" t="e">
        <f>"2024"&amp;MATCH(Totals!D58,OrgType,0)&amp;"_"&amp;MATCH(Totals!E58,Organisations,0)&amp;"_"&amp;LEFT(Totals!F58,1)&amp;"_"&amp;LEFT(G58,1)&amp;"_"&amp;COUNTIF($G$3:G58,G58)</f>
        <v>#N/A</v>
      </c>
      <c r="C58" s="193">
        <v>2025</v>
      </c>
      <c r="D58" s="193">
        <f>Introduction!$D$7</f>
        <v>0</v>
      </c>
      <c r="E58" s="193">
        <f>Introduction!$D$8</f>
        <v>0</v>
      </c>
      <c r="F58" s="193" t="s">
        <v>488</v>
      </c>
      <c r="G58" s="193" t="s">
        <v>489</v>
      </c>
      <c r="H58" s="195">
        <f>'Site Information'!B62</f>
        <v>0</v>
      </c>
      <c r="I58" s="237"/>
      <c r="J58" s="193">
        <f>'Site Information'!C62</f>
        <v>0</v>
      </c>
      <c r="K58" s="193">
        <f>'Site Information'!D62</f>
        <v>0</v>
      </c>
      <c r="L58" s="193">
        <f>'Site Information'!E62</f>
        <v>0</v>
      </c>
      <c r="M58" s="237"/>
      <c r="N58" s="237"/>
      <c r="O58" s="237"/>
      <c r="P58" s="237"/>
      <c r="Q58" s="237"/>
      <c r="R58" s="193">
        <f>'Site Information'!F62</f>
        <v>0</v>
      </c>
      <c r="S58" s="237"/>
      <c r="T58" s="237"/>
      <c r="U58" s="237"/>
      <c r="V58" s="237"/>
      <c r="W58" s="237"/>
      <c r="X58" s="237"/>
      <c r="Y58" s="237"/>
      <c r="Z58" s="237"/>
      <c r="AA58" s="237"/>
      <c r="AB58" s="237"/>
      <c r="AC58" s="237"/>
      <c r="AD58" s="237"/>
      <c r="AE58" s="237"/>
      <c r="AF58" s="237"/>
      <c r="AG58" s="237"/>
      <c r="AI58" s="193">
        <f t="shared" si="2"/>
        <v>0</v>
      </c>
      <c r="AJ58" s="193">
        <f t="shared" si="3"/>
        <v>0</v>
      </c>
    </row>
    <row r="59" spans="2:36" x14ac:dyDescent="0.35">
      <c r="B59" s="193" t="e">
        <f>"2024"&amp;MATCH(Totals!D59,OrgType,0)&amp;"_"&amp;MATCH(Totals!E59,Organisations,0)&amp;"_"&amp;LEFT(Totals!F59,1)&amp;"_"&amp;LEFT(G59,1)&amp;"_"&amp;COUNTIF($G$3:G59,G59)</f>
        <v>#N/A</v>
      </c>
      <c r="C59" s="193">
        <v>2025</v>
      </c>
      <c r="D59" s="193">
        <f>Introduction!$D$7</f>
        <v>0</v>
      </c>
      <c r="E59" s="193">
        <f>Introduction!$D$8</f>
        <v>0</v>
      </c>
      <c r="F59" s="193" t="s">
        <v>488</v>
      </c>
      <c r="G59" s="193" t="s">
        <v>489</v>
      </c>
      <c r="H59" s="195">
        <f>'Site Information'!B63</f>
        <v>0</v>
      </c>
      <c r="I59" s="237"/>
      <c r="J59" s="193">
        <f>'Site Information'!C63</f>
        <v>0</v>
      </c>
      <c r="K59" s="193">
        <f>'Site Information'!D63</f>
        <v>0</v>
      </c>
      <c r="L59" s="193">
        <f>'Site Information'!E63</f>
        <v>0</v>
      </c>
      <c r="M59" s="237"/>
      <c r="N59" s="237"/>
      <c r="O59" s="237"/>
      <c r="P59" s="237"/>
      <c r="Q59" s="237"/>
      <c r="R59" s="193">
        <f>'Site Information'!F63</f>
        <v>0</v>
      </c>
      <c r="S59" s="237"/>
      <c r="T59" s="237"/>
      <c r="U59" s="237"/>
      <c r="V59" s="237"/>
      <c r="W59" s="237"/>
      <c r="X59" s="237"/>
      <c r="Y59" s="237"/>
      <c r="Z59" s="237"/>
      <c r="AA59" s="237"/>
      <c r="AB59" s="237"/>
      <c r="AC59" s="237"/>
      <c r="AD59" s="237"/>
      <c r="AE59" s="237"/>
      <c r="AF59" s="237"/>
      <c r="AG59" s="237"/>
      <c r="AI59" s="193">
        <f t="shared" si="2"/>
        <v>0</v>
      </c>
      <c r="AJ59" s="193">
        <f t="shared" si="3"/>
        <v>0</v>
      </c>
    </row>
    <row r="60" spans="2:36" x14ac:dyDescent="0.35">
      <c r="B60" s="193" t="e">
        <f>"2024"&amp;MATCH(Totals!D60,OrgType,0)&amp;"_"&amp;MATCH(Totals!E60,Organisations,0)&amp;"_"&amp;LEFT(Totals!F60,1)&amp;"_"&amp;LEFT(G60,1)&amp;"_"&amp;COUNTIF($G$3:G60,G60)</f>
        <v>#N/A</v>
      </c>
      <c r="C60" s="193">
        <v>2025</v>
      </c>
      <c r="D60" s="193">
        <f>Introduction!$D$7</f>
        <v>0</v>
      </c>
      <c r="E60" s="193">
        <f>Introduction!$D$8</f>
        <v>0</v>
      </c>
      <c r="F60" s="193" t="s">
        <v>488</v>
      </c>
      <c r="G60" s="193" t="s">
        <v>489</v>
      </c>
      <c r="H60" s="195">
        <f>'Site Information'!B64</f>
        <v>0</v>
      </c>
      <c r="I60" s="237"/>
      <c r="J60" s="193">
        <f>'Site Information'!C64</f>
        <v>0</v>
      </c>
      <c r="K60" s="193">
        <f>'Site Information'!D64</f>
        <v>0</v>
      </c>
      <c r="L60" s="193">
        <f>'Site Information'!E64</f>
        <v>0</v>
      </c>
      <c r="M60" s="237"/>
      <c r="N60" s="237"/>
      <c r="O60" s="237"/>
      <c r="P60" s="237"/>
      <c r="Q60" s="237"/>
      <c r="R60" s="193">
        <f>'Site Information'!F64</f>
        <v>0</v>
      </c>
      <c r="S60" s="237"/>
      <c r="T60" s="237"/>
      <c r="U60" s="237"/>
      <c r="V60" s="237"/>
      <c r="W60" s="237"/>
      <c r="X60" s="237"/>
      <c r="Y60" s="237"/>
      <c r="Z60" s="237"/>
      <c r="AA60" s="237"/>
      <c r="AB60" s="237"/>
      <c r="AC60" s="237"/>
      <c r="AD60" s="237"/>
      <c r="AE60" s="237"/>
      <c r="AF60" s="237"/>
      <c r="AG60" s="237"/>
      <c r="AI60" s="193">
        <f t="shared" si="2"/>
        <v>0</v>
      </c>
      <c r="AJ60" s="193">
        <f t="shared" si="3"/>
        <v>0</v>
      </c>
    </row>
    <row r="61" spans="2:36" x14ac:dyDescent="0.35">
      <c r="B61" s="193" t="e">
        <f>"2024"&amp;MATCH(Totals!D61,OrgType,0)&amp;"_"&amp;MATCH(Totals!E61,Organisations,0)&amp;"_"&amp;LEFT(Totals!F61,1)&amp;"_"&amp;LEFT(G61,1)&amp;"_"&amp;COUNTIF($G$3:G61,G61)</f>
        <v>#N/A</v>
      </c>
      <c r="C61" s="193">
        <v>2025</v>
      </c>
      <c r="D61" s="193">
        <f>Introduction!$D$7</f>
        <v>0</v>
      </c>
      <c r="E61" s="193">
        <f>Introduction!$D$8</f>
        <v>0</v>
      </c>
      <c r="F61" s="193" t="s">
        <v>488</v>
      </c>
      <c r="G61" s="193" t="s">
        <v>489</v>
      </c>
      <c r="H61" s="195">
        <f>'Site Information'!B65</f>
        <v>0</v>
      </c>
      <c r="I61" s="237"/>
      <c r="J61" s="193">
        <f>'Site Information'!C65</f>
        <v>0</v>
      </c>
      <c r="K61" s="193">
        <f>'Site Information'!D65</f>
        <v>0</v>
      </c>
      <c r="L61" s="193">
        <f>'Site Information'!E65</f>
        <v>0</v>
      </c>
      <c r="M61" s="237"/>
      <c r="N61" s="237"/>
      <c r="O61" s="237"/>
      <c r="P61" s="237"/>
      <c r="Q61" s="237"/>
      <c r="R61" s="193">
        <f>'Site Information'!F65</f>
        <v>0</v>
      </c>
      <c r="S61" s="237"/>
      <c r="T61" s="237"/>
      <c r="U61" s="237"/>
      <c r="V61" s="237"/>
      <c r="W61" s="237"/>
      <c r="X61" s="237"/>
      <c r="Y61" s="237"/>
      <c r="Z61" s="237"/>
      <c r="AA61" s="237"/>
      <c r="AB61" s="237"/>
      <c r="AC61" s="237"/>
      <c r="AD61" s="237"/>
      <c r="AE61" s="237"/>
      <c r="AF61" s="237"/>
      <c r="AG61" s="237"/>
      <c r="AI61" s="193">
        <f t="shared" si="2"/>
        <v>0</v>
      </c>
      <c r="AJ61" s="193">
        <f t="shared" si="3"/>
        <v>0</v>
      </c>
    </row>
    <row r="62" spans="2:36" x14ac:dyDescent="0.35">
      <c r="B62" s="193" t="e">
        <f>"2024"&amp;MATCH(Totals!D62,OrgType,0)&amp;"_"&amp;MATCH(Totals!E62,Organisations,0)&amp;"_"&amp;LEFT(Totals!F62,1)&amp;"_"&amp;LEFT(G62,1)&amp;"_"&amp;COUNTIF($G$3:G62,G62)</f>
        <v>#N/A</v>
      </c>
      <c r="C62" s="193">
        <v>2025</v>
      </c>
      <c r="D62" s="193">
        <f>Introduction!$D$7</f>
        <v>0</v>
      </c>
      <c r="E62" s="193">
        <f>Introduction!$D$8</f>
        <v>0</v>
      </c>
      <c r="F62" s="193" t="s">
        <v>488</v>
      </c>
      <c r="G62" s="193" t="s">
        <v>489</v>
      </c>
      <c r="H62" s="195">
        <f>'Site Information'!B66</f>
        <v>0</v>
      </c>
      <c r="I62" s="237"/>
      <c r="J62" s="193">
        <f>'Site Information'!C66</f>
        <v>0</v>
      </c>
      <c r="K62" s="193">
        <f>'Site Information'!D66</f>
        <v>0</v>
      </c>
      <c r="L62" s="193">
        <f>'Site Information'!E66</f>
        <v>0</v>
      </c>
      <c r="M62" s="237"/>
      <c r="N62" s="237"/>
      <c r="O62" s="237"/>
      <c r="P62" s="237"/>
      <c r="Q62" s="237"/>
      <c r="R62" s="193">
        <f>'Site Information'!F66</f>
        <v>0</v>
      </c>
      <c r="S62" s="237"/>
      <c r="T62" s="237"/>
      <c r="U62" s="237"/>
      <c r="V62" s="237"/>
      <c r="W62" s="237"/>
      <c r="X62" s="237"/>
      <c r="Y62" s="237"/>
      <c r="Z62" s="237"/>
      <c r="AA62" s="237"/>
      <c r="AB62" s="237"/>
      <c r="AC62" s="237"/>
      <c r="AD62" s="237"/>
      <c r="AE62" s="237"/>
      <c r="AF62" s="237"/>
      <c r="AG62" s="237"/>
      <c r="AI62" s="193">
        <f t="shared" si="2"/>
        <v>0</v>
      </c>
      <c r="AJ62" s="193">
        <f t="shared" si="3"/>
        <v>0</v>
      </c>
    </row>
    <row r="63" spans="2:36" x14ac:dyDescent="0.35">
      <c r="B63" s="193" t="e">
        <f>"2024"&amp;MATCH(Totals!D63,OrgType,0)&amp;"_"&amp;MATCH(Totals!E63,Organisations,0)&amp;"_"&amp;LEFT(Totals!F63,1)&amp;"_"&amp;LEFT(G63,1)&amp;"_"&amp;COUNTIF($G$3:G63,G63)</f>
        <v>#N/A</v>
      </c>
      <c r="C63" s="193">
        <v>2025</v>
      </c>
      <c r="D63" s="193">
        <f>Introduction!$D$7</f>
        <v>0</v>
      </c>
      <c r="E63" s="193">
        <f>Introduction!$D$8</f>
        <v>0</v>
      </c>
      <c r="F63" s="193" t="s">
        <v>488</v>
      </c>
      <c r="G63" s="193" t="s">
        <v>489</v>
      </c>
      <c r="H63" s="195">
        <f>'Site Information'!B67</f>
        <v>0</v>
      </c>
      <c r="I63" s="237"/>
      <c r="J63" s="193">
        <f>'Site Information'!C67</f>
        <v>0</v>
      </c>
      <c r="K63" s="193">
        <f>'Site Information'!D67</f>
        <v>0</v>
      </c>
      <c r="L63" s="193">
        <f>'Site Information'!E67</f>
        <v>0</v>
      </c>
      <c r="M63" s="237"/>
      <c r="N63" s="237"/>
      <c r="O63" s="237"/>
      <c r="P63" s="237"/>
      <c r="Q63" s="237"/>
      <c r="R63" s="193">
        <f>'Site Information'!F67</f>
        <v>0</v>
      </c>
      <c r="S63" s="237"/>
      <c r="T63" s="237"/>
      <c r="U63" s="237"/>
      <c r="V63" s="237"/>
      <c r="W63" s="237"/>
      <c r="X63" s="237"/>
      <c r="Y63" s="237"/>
      <c r="Z63" s="237"/>
      <c r="AA63" s="237"/>
      <c r="AB63" s="237"/>
      <c r="AC63" s="237"/>
      <c r="AD63" s="237"/>
      <c r="AE63" s="237"/>
      <c r="AF63" s="237"/>
      <c r="AG63" s="237"/>
      <c r="AI63" s="193">
        <f t="shared" si="2"/>
        <v>0</v>
      </c>
      <c r="AJ63" s="193">
        <f t="shared" si="3"/>
        <v>0</v>
      </c>
    </row>
    <row r="64" spans="2:36" x14ac:dyDescent="0.35">
      <c r="B64" s="193" t="e">
        <f>"2024"&amp;MATCH(Totals!D64,OrgType,0)&amp;"_"&amp;MATCH(Totals!E64,Organisations,0)&amp;"_"&amp;LEFT(Totals!F64,1)&amp;"_"&amp;LEFT(G64,1)&amp;"_"&amp;COUNTIF($G$3:G64,G64)</f>
        <v>#N/A</v>
      </c>
      <c r="C64" s="193">
        <v>2025</v>
      </c>
      <c r="D64" s="193">
        <f>Introduction!$D$7</f>
        <v>0</v>
      </c>
      <c r="E64" s="193">
        <f>Introduction!$D$8</f>
        <v>0</v>
      </c>
      <c r="F64" s="193" t="s">
        <v>488</v>
      </c>
      <c r="G64" s="193" t="s">
        <v>489</v>
      </c>
      <c r="H64" s="195">
        <f>'Site Information'!B68</f>
        <v>0</v>
      </c>
      <c r="I64" s="237"/>
      <c r="J64" s="193">
        <f>'Site Information'!C68</f>
        <v>0</v>
      </c>
      <c r="K64" s="193">
        <f>'Site Information'!D68</f>
        <v>0</v>
      </c>
      <c r="L64" s="193">
        <f>'Site Information'!E68</f>
        <v>0</v>
      </c>
      <c r="M64" s="237"/>
      <c r="N64" s="237"/>
      <c r="O64" s="237"/>
      <c r="P64" s="237"/>
      <c r="Q64" s="237"/>
      <c r="R64" s="193">
        <f>'Site Information'!F68</f>
        <v>0</v>
      </c>
      <c r="S64" s="237"/>
      <c r="T64" s="237"/>
      <c r="U64" s="237"/>
      <c r="V64" s="237"/>
      <c r="W64" s="237"/>
      <c r="X64" s="237"/>
      <c r="Y64" s="237"/>
      <c r="Z64" s="237"/>
      <c r="AA64" s="237"/>
      <c r="AB64" s="237"/>
      <c r="AC64" s="237"/>
      <c r="AD64" s="237"/>
      <c r="AE64" s="237"/>
      <c r="AF64" s="237"/>
      <c r="AG64" s="237"/>
      <c r="AI64" s="193">
        <f t="shared" si="2"/>
        <v>0</v>
      </c>
      <c r="AJ64" s="193">
        <f t="shared" si="3"/>
        <v>0</v>
      </c>
    </row>
    <row r="65" spans="2:36" x14ac:dyDescent="0.35">
      <c r="B65" s="193" t="e">
        <f>"2024"&amp;MATCH(Totals!D65,OrgType,0)&amp;"_"&amp;MATCH(Totals!E65,Organisations,0)&amp;"_"&amp;LEFT(Totals!F65,1)&amp;"_"&amp;LEFT(G65,1)&amp;"_"&amp;COUNTIF($G$3:G65,G65)</f>
        <v>#N/A</v>
      </c>
      <c r="C65" s="193">
        <v>2025</v>
      </c>
      <c r="D65" s="193">
        <f>Introduction!$D$7</f>
        <v>0</v>
      </c>
      <c r="E65" s="193">
        <f>Introduction!$D$8</f>
        <v>0</v>
      </c>
      <c r="F65" s="193" t="s">
        <v>488</v>
      </c>
      <c r="G65" s="193" t="s">
        <v>489</v>
      </c>
      <c r="H65" s="195">
        <f>'Site Information'!B69</f>
        <v>0</v>
      </c>
      <c r="I65" s="237"/>
      <c r="J65" s="193">
        <f>'Site Information'!C69</f>
        <v>0</v>
      </c>
      <c r="K65" s="193">
        <f>'Site Information'!D69</f>
        <v>0</v>
      </c>
      <c r="L65" s="193">
        <f>'Site Information'!E69</f>
        <v>0</v>
      </c>
      <c r="M65" s="237"/>
      <c r="N65" s="237"/>
      <c r="O65" s="237"/>
      <c r="P65" s="237"/>
      <c r="Q65" s="237"/>
      <c r="R65" s="193">
        <f>'Site Information'!F69</f>
        <v>0</v>
      </c>
      <c r="S65" s="237"/>
      <c r="T65" s="237"/>
      <c r="U65" s="237"/>
      <c r="V65" s="237"/>
      <c r="W65" s="237"/>
      <c r="X65" s="237"/>
      <c r="Y65" s="237"/>
      <c r="Z65" s="237"/>
      <c r="AA65" s="237"/>
      <c r="AB65" s="237"/>
      <c r="AC65" s="237"/>
      <c r="AD65" s="237"/>
      <c r="AE65" s="237"/>
      <c r="AF65" s="237"/>
      <c r="AG65" s="237"/>
      <c r="AI65" s="193">
        <f t="shared" si="2"/>
        <v>0</v>
      </c>
      <c r="AJ65" s="193">
        <f t="shared" si="3"/>
        <v>0</v>
      </c>
    </row>
    <row r="66" spans="2:36" x14ac:dyDescent="0.35">
      <c r="B66" s="193" t="e">
        <f>"2024"&amp;MATCH(Totals!D66,OrgType,0)&amp;"_"&amp;MATCH(Totals!E66,Organisations,0)&amp;"_"&amp;LEFT(Totals!F66,1)&amp;"_"&amp;LEFT(G66,1)&amp;"_"&amp;COUNTIF($G$3:G66,G66)</f>
        <v>#N/A</v>
      </c>
      <c r="C66" s="193">
        <v>2025</v>
      </c>
      <c r="D66" s="193">
        <f>Introduction!$D$7</f>
        <v>0</v>
      </c>
      <c r="E66" s="193">
        <f>Introduction!$D$8</f>
        <v>0</v>
      </c>
      <c r="F66" s="193" t="s">
        <v>488</v>
      </c>
      <c r="G66" s="193" t="s">
        <v>489</v>
      </c>
      <c r="H66" s="195">
        <f>'Site Information'!B70</f>
        <v>0</v>
      </c>
      <c r="I66" s="237"/>
      <c r="J66" s="193">
        <f>'Site Information'!C70</f>
        <v>0</v>
      </c>
      <c r="K66" s="193">
        <f>'Site Information'!D70</f>
        <v>0</v>
      </c>
      <c r="L66" s="193">
        <f>'Site Information'!E70</f>
        <v>0</v>
      </c>
      <c r="M66" s="237"/>
      <c r="N66" s="237"/>
      <c r="O66" s="237"/>
      <c r="P66" s="237"/>
      <c r="Q66" s="237"/>
      <c r="R66" s="193">
        <f>'Site Information'!F70</f>
        <v>0</v>
      </c>
      <c r="S66" s="237"/>
      <c r="T66" s="237"/>
      <c r="U66" s="237"/>
      <c r="V66" s="237"/>
      <c r="W66" s="237"/>
      <c r="X66" s="237"/>
      <c r="Y66" s="237"/>
      <c r="Z66" s="237"/>
      <c r="AA66" s="237"/>
      <c r="AB66" s="237"/>
      <c r="AC66" s="237"/>
      <c r="AD66" s="237"/>
      <c r="AE66" s="237"/>
      <c r="AF66" s="237"/>
      <c r="AG66" s="237"/>
      <c r="AI66" s="193">
        <f t="shared" si="2"/>
        <v>0</v>
      </c>
      <c r="AJ66" s="193">
        <f t="shared" si="3"/>
        <v>0</v>
      </c>
    </row>
    <row r="67" spans="2:36" x14ac:dyDescent="0.35">
      <c r="B67" s="193" t="e">
        <f>"2024"&amp;MATCH(Totals!D67,OrgType,0)&amp;"_"&amp;MATCH(Totals!E67,Organisations,0)&amp;"_"&amp;LEFT(Totals!F67,1)&amp;"_"&amp;LEFT(G67,1)&amp;"_"&amp;COUNTIF($G$3:G67,G67)</f>
        <v>#N/A</v>
      </c>
      <c r="C67" s="193">
        <v>2025</v>
      </c>
      <c r="D67" s="193">
        <f>Introduction!$D$7</f>
        <v>0</v>
      </c>
      <c r="E67" s="193">
        <f>Introduction!$D$8</f>
        <v>0</v>
      </c>
      <c r="F67" s="193" t="s">
        <v>488</v>
      </c>
      <c r="G67" s="193" t="s">
        <v>489</v>
      </c>
      <c r="H67" s="195">
        <f>'Site Information'!B71</f>
        <v>0</v>
      </c>
      <c r="I67" s="237"/>
      <c r="J67" s="193">
        <f>'Site Information'!C71</f>
        <v>0</v>
      </c>
      <c r="K67" s="193">
        <f>'Site Information'!D71</f>
        <v>0</v>
      </c>
      <c r="L67" s="193">
        <f>'Site Information'!E71</f>
        <v>0</v>
      </c>
      <c r="M67" s="237"/>
      <c r="N67" s="237"/>
      <c r="O67" s="237"/>
      <c r="P67" s="237"/>
      <c r="Q67" s="237"/>
      <c r="R67" s="193">
        <f>'Site Information'!F71</f>
        <v>0</v>
      </c>
      <c r="S67" s="237"/>
      <c r="T67" s="237"/>
      <c r="U67" s="237"/>
      <c r="V67" s="237"/>
      <c r="W67" s="237"/>
      <c r="X67" s="237"/>
      <c r="Y67" s="237"/>
      <c r="Z67" s="237"/>
      <c r="AA67" s="237"/>
      <c r="AB67" s="237"/>
      <c r="AC67" s="237"/>
      <c r="AD67" s="237"/>
      <c r="AE67" s="237"/>
      <c r="AF67" s="237"/>
      <c r="AG67" s="237"/>
      <c r="AI67" s="193">
        <f t="shared" si="2"/>
        <v>0</v>
      </c>
      <c r="AJ67" s="193">
        <f t="shared" si="3"/>
        <v>0</v>
      </c>
    </row>
    <row r="68" spans="2:36" x14ac:dyDescent="0.35">
      <c r="B68" s="193" t="e">
        <f>"2024"&amp;MATCH(Totals!D68,OrgType,0)&amp;"_"&amp;MATCH(Totals!E68,Organisations,0)&amp;"_"&amp;LEFT(Totals!F68,1)&amp;"_"&amp;LEFT(G68,1)&amp;"_"&amp;COUNTIF($G$3:G68,G68)</f>
        <v>#N/A</v>
      </c>
      <c r="C68" s="193">
        <v>2025</v>
      </c>
      <c r="D68" s="193">
        <f>Introduction!$D$7</f>
        <v>0</v>
      </c>
      <c r="E68" s="193">
        <f>Introduction!$D$8</f>
        <v>0</v>
      </c>
      <c r="F68" s="193" t="s">
        <v>488</v>
      </c>
      <c r="G68" s="193" t="s">
        <v>489</v>
      </c>
      <c r="H68" s="195">
        <f>'Site Information'!B72</f>
        <v>0</v>
      </c>
      <c r="I68" s="237"/>
      <c r="J68" s="193">
        <f>'Site Information'!C72</f>
        <v>0</v>
      </c>
      <c r="K68" s="193">
        <f>'Site Information'!D72</f>
        <v>0</v>
      </c>
      <c r="L68" s="193">
        <f>'Site Information'!E72</f>
        <v>0</v>
      </c>
      <c r="M68" s="237"/>
      <c r="N68" s="237"/>
      <c r="O68" s="237"/>
      <c r="P68" s="237"/>
      <c r="Q68" s="237"/>
      <c r="R68" s="193">
        <f>'Site Information'!F72</f>
        <v>0</v>
      </c>
      <c r="S68" s="237"/>
      <c r="T68" s="237"/>
      <c r="U68" s="237"/>
      <c r="V68" s="237"/>
      <c r="W68" s="237"/>
      <c r="X68" s="237"/>
      <c r="Y68" s="237"/>
      <c r="Z68" s="237"/>
      <c r="AA68" s="237"/>
      <c r="AB68" s="237"/>
      <c r="AC68" s="237"/>
      <c r="AD68" s="237"/>
      <c r="AE68" s="237"/>
      <c r="AF68" s="237"/>
      <c r="AG68" s="237"/>
      <c r="AI68" s="193">
        <f t="shared" ref="AI68:AI531" si="4">IF(AND(V68="",R68&lt;&gt;0),1,0)</f>
        <v>0</v>
      </c>
      <c r="AJ68" s="193">
        <f t="shared" ref="AJ68:AJ531" si="5">IF(AND(W68="",R68&lt;&gt;0),1,0)</f>
        <v>0</v>
      </c>
    </row>
    <row r="69" spans="2:36" x14ac:dyDescent="0.35">
      <c r="B69" s="193" t="e">
        <f>"2024"&amp;MATCH(Totals!D69,OrgType,0)&amp;"_"&amp;MATCH(Totals!E69,Organisations,0)&amp;"_"&amp;LEFT(Totals!F69,1)&amp;"_"&amp;LEFT(G69,1)&amp;"_"&amp;COUNTIF($G$3:G69,G69)</f>
        <v>#N/A</v>
      </c>
      <c r="C69" s="193">
        <v>2025</v>
      </c>
      <c r="D69" s="193">
        <f>Introduction!$D$7</f>
        <v>0</v>
      </c>
      <c r="E69" s="193">
        <f>Introduction!$D$8</f>
        <v>0</v>
      </c>
      <c r="F69" s="193" t="s">
        <v>488</v>
      </c>
      <c r="G69" s="193" t="s">
        <v>489</v>
      </c>
      <c r="H69" s="195">
        <f>'Site Information'!B73</f>
        <v>0</v>
      </c>
      <c r="I69" s="237"/>
      <c r="J69" s="193">
        <f>'Site Information'!C73</f>
        <v>0</v>
      </c>
      <c r="K69" s="193">
        <f>'Site Information'!D73</f>
        <v>0</v>
      </c>
      <c r="L69" s="193">
        <f>'Site Information'!E73</f>
        <v>0</v>
      </c>
      <c r="M69" s="237"/>
      <c r="N69" s="237"/>
      <c r="O69" s="237"/>
      <c r="P69" s="237"/>
      <c r="Q69" s="237"/>
      <c r="R69" s="193">
        <f>'Site Information'!F73</f>
        <v>0</v>
      </c>
      <c r="S69" s="237"/>
      <c r="T69" s="237"/>
      <c r="U69" s="237"/>
      <c r="V69" s="237"/>
      <c r="W69" s="237"/>
      <c r="X69" s="237"/>
      <c r="Y69" s="237"/>
      <c r="Z69" s="237"/>
      <c r="AA69" s="237"/>
      <c r="AB69" s="237"/>
      <c r="AC69" s="237"/>
      <c r="AD69" s="237"/>
      <c r="AE69" s="237"/>
      <c r="AF69" s="237"/>
      <c r="AG69" s="237"/>
      <c r="AI69" s="193">
        <f t="shared" si="4"/>
        <v>0</v>
      </c>
      <c r="AJ69" s="193">
        <f t="shared" si="5"/>
        <v>0</v>
      </c>
    </row>
    <row r="70" spans="2:36" x14ac:dyDescent="0.35">
      <c r="B70" s="193" t="e">
        <f>"2024"&amp;MATCH(Totals!D70,OrgType,0)&amp;"_"&amp;MATCH(Totals!E70,Organisations,0)&amp;"_"&amp;LEFT(Totals!F70,1)&amp;"_"&amp;LEFT(G70,1)&amp;"_"&amp;COUNTIF($G$3:G70,G70)</f>
        <v>#N/A</v>
      </c>
      <c r="C70" s="193">
        <v>2025</v>
      </c>
      <c r="D70" s="193">
        <f>Introduction!$D$7</f>
        <v>0</v>
      </c>
      <c r="E70" s="193">
        <f>Introduction!$D$8</f>
        <v>0</v>
      </c>
      <c r="F70" s="193" t="s">
        <v>488</v>
      </c>
      <c r="G70" s="193" t="s">
        <v>489</v>
      </c>
      <c r="H70" s="195">
        <f>'Site Information'!B74</f>
        <v>0</v>
      </c>
      <c r="I70" s="237"/>
      <c r="J70" s="193">
        <f>'Site Information'!C74</f>
        <v>0</v>
      </c>
      <c r="K70" s="193">
        <f>'Site Information'!D74</f>
        <v>0</v>
      </c>
      <c r="L70" s="193">
        <f>'Site Information'!E74</f>
        <v>0</v>
      </c>
      <c r="M70" s="237"/>
      <c r="N70" s="237"/>
      <c r="O70" s="237"/>
      <c r="P70" s="237"/>
      <c r="Q70" s="237"/>
      <c r="R70" s="193">
        <f>'Site Information'!F74</f>
        <v>0</v>
      </c>
      <c r="S70" s="237"/>
      <c r="T70" s="237"/>
      <c r="U70" s="237"/>
      <c r="V70" s="237"/>
      <c r="W70" s="237"/>
      <c r="X70" s="237"/>
      <c r="Y70" s="237"/>
      <c r="Z70" s="237"/>
      <c r="AA70" s="237"/>
      <c r="AB70" s="237"/>
      <c r="AC70" s="237"/>
      <c r="AD70" s="237"/>
      <c r="AE70" s="237"/>
      <c r="AF70" s="237"/>
      <c r="AG70" s="237"/>
      <c r="AI70" s="193">
        <f t="shared" si="4"/>
        <v>0</v>
      </c>
      <c r="AJ70" s="193">
        <f t="shared" si="5"/>
        <v>0</v>
      </c>
    </row>
    <row r="71" spans="2:36" x14ac:dyDescent="0.35">
      <c r="B71" s="193" t="e">
        <f>"2024"&amp;MATCH(Totals!D71,OrgType,0)&amp;"_"&amp;MATCH(Totals!E71,Organisations,0)&amp;"_"&amp;LEFT(Totals!F71,1)&amp;"_"&amp;LEFT(G71,1)&amp;"_"&amp;COUNTIF($G$3:G71,G71)</f>
        <v>#N/A</v>
      </c>
      <c r="C71" s="193">
        <v>2025</v>
      </c>
      <c r="D71" s="193">
        <f>Introduction!$D$7</f>
        <v>0</v>
      </c>
      <c r="E71" s="193">
        <f>Introduction!$D$8</f>
        <v>0</v>
      </c>
      <c r="F71" s="193" t="s">
        <v>488</v>
      </c>
      <c r="G71" s="193" t="s">
        <v>489</v>
      </c>
      <c r="H71" s="195">
        <f>'Site Information'!B75</f>
        <v>0</v>
      </c>
      <c r="I71" s="237"/>
      <c r="J71" s="193">
        <f>'Site Information'!C75</f>
        <v>0</v>
      </c>
      <c r="K71" s="193">
        <f>'Site Information'!D75</f>
        <v>0</v>
      </c>
      <c r="L71" s="193">
        <f>'Site Information'!E75</f>
        <v>0</v>
      </c>
      <c r="M71" s="237"/>
      <c r="N71" s="237"/>
      <c r="O71" s="237"/>
      <c r="P71" s="237"/>
      <c r="Q71" s="237"/>
      <c r="R71" s="193">
        <f>'Site Information'!F75</f>
        <v>0</v>
      </c>
      <c r="S71" s="237"/>
      <c r="T71" s="237"/>
      <c r="U71" s="237"/>
      <c r="V71" s="237"/>
      <c r="W71" s="237"/>
      <c r="X71" s="237"/>
      <c r="Y71" s="237"/>
      <c r="Z71" s="237"/>
      <c r="AA71" s="237"/>
      <c r="AB71" s="237"/>
      <c r="AC71" s="237"/>
      <c r="AD71" s="237"/>
      <c r="AE71" s="237"/>
      <c r="AF71" s="237"/>
      <c r="AG71" s="237"/>
      <c r="AI71" s="193">
        <f t="shared" si="4"/>
        <v>0</v>
      </c>
      <c r="AJ71" s="193">
        <f t="shared" si="5"/>
        <v>0</v>
      </c>
    </row>
    <row r="72" spans="2:36" x14ac:dyDescent="0.35">
      <c r="B72" s="193" t="e">
        <f>"2024"&amp;MATCH(Totals!D72,OrgType,0)&amp;"_"&amp;MATCH(Totals!E72,Organisations,0)&amp;"_"&amp;LEFT(Totals!F72,1)&amp;"_"&amp;LEFT(G72,1)&amp;"_"&amp;COUNTIF($G$3:G72,G72)</f>
        <v>#N/A</v>
      </c>
      <c r="C72" s="193">
        <v>2025</v>
      </c>
      <c r="D72" s="193">
        <f>Introduction!$D$7</f>
        <v>0</v>
      </c>
      <c r="E72" s="193">
        <f>Introduction!$D$8</f>
        <v>0</v>
      </c>
      <c r="F72" s="193" t="s">
        <v>488</v>
      </c>
      <c r="G72" s="193" t="s">
        <v>489</v>
      </c>
      <c r="H72" s="195">
        <f>'Site Information'!B76</f>
        <v>0</v>
      </c>
      <c r="I72" s="237"/>
      <c r="J72" s="193">
        <f>'Site Information'!C76</f>
        <v>0</v>
      </c>
      <c r="K72" s="193">
        <f>'Site Information'!D76</f>
        <v>0</v>
      </c>
      <c r="L72" s="193">
        <f>'Site Information'!E76</f>
        <v>0</v>
      </c>
      <c r="M72" s="237"/>
      <c r="N72" s="237"/>
      <c r="O72" s="237"/>
      <c r="P72" s="237"/>
      <c r="Q72" s="237"/>
      <c r="R72" s="193">
        <f>'Site Information'!F76</f>
        <v>0</v>
      </c>
      <c r="S72" s="237"/>
      <c r="T72" s="237"/>
      <c r="U72" s="237"/>
      <c r="V72" s="237"/>
      <c r="W72" s="237"/>
      <c r="X72" s="237"/>
      <c r="Y72" s="237"/>
      <c r="Z72" s="237"/>
      <c r="AA72" s="237"/>
      <c r="AB72" s="237"/>
      <c r="AC72" s="237"/>
      <c r="AD72" s="237"/>
      <c r="AE72" s="237"/>
      <c r="AF72" s="237"/>
      <c r="AG72" s="237"/>
      <c r="AI72" s="193">
        <f t="shared" si="4"/>
        <v>0</v>
      </c>
      <c r="AJ72" s="193">
        <f t="shared" si="5"/>
        <v>0</v>
      </c>
    </row>
    <row r="73" spans="2:36" x14ac:dyDescent="0.35">
      <c r="B73" s="193" t="e">
        <f>"2024"&amp;MATCH(Totals!D73,OrgType,0)&amp;"_"&amp;MATCH(Totals!E73,Organisations,0)&amp;"_"&amp;LEFT(Totals!F73,1)&amp;"_"&amp;LEFT(G73,1)&amp;"_"&amp;COUNTIF($G$3:G73,G73)</f>
        <v>#N/A</v>
      </c>
      <c r="C73" s="193">
        <v>2025</v>
      </c>
      <c r="D73" s="193">
        <f>Introduction!$D$7</f>
        <v>0</v>
      </c>
      <c r="E73" s="193">
        <f>Introduction!$D$8</f>
        <v>0</v>
      </c>
      <c r="F73" s="193" t="s">
        <v>488</v>
      </c>
      <c r="G73" s="193" t="s">
        <v>489</v>
      </c>
      <c r="H73" s="195">
        <f>'Site Information'!B77</f>
        <v>0</v>
      </c>
      <c r="I73" s="237"/>
      <c r="J73" s="193">
        <f>'Site Information'!C77</f>
        <v>0</v>
      </c>
      <c r="K73" s="193">
        <f>'Site Information'!D77</f>
        <v>0</v>
      </c>
      <c r="L73" s="193">
        <f>'Site Information'!E77</f>
        <v>0</v>
      </c>
      <c r="M73" s="237"/>
      <c r="N73" s="237"/>
      <c r="O73" s="237"/>
      <c r="P73" s="237"/>
      <c r="Q73" s="237"/>
      <c r="R73" s="193">
        <f>'Site Information'!F77</f>
        <v>0</v>
      </c>
      <c r="S73" s="237"/>
      <c r="T73" s="237"/>
      <c r="U73" s="237"/>
      <c r="V73" s="237"/>
      <c r="W73" s="237"/>
      <c r="X73" s="237"/>
      <c r="Y73" s="237"/>
      <c r="Z73" s="237"/>
      <c r="AA73" s="237"/>
      <c r="AB73" s="237"/>
      <c r="AC73" s="237"/>
      <c r="AD73" s="237"/>
      <c r="AE73" s="237"/>
      <c r="AF73" s="237"/>
      <c r="AG73" s="237"/>
      <c r="AI73" s="193">
        <f t="shared" si="4"/>
        <v>0</v>
      </c>
      <c r="AJ73" s="193">
        <f t="shared" si="5"/>
        <v>0</v>
      </c>
    </row>
    <row r="74" spans="2:36" x14ac:dyDescent="0.35">
      <c r="B74" s="193" t="e">
        <f>"2024"&amp;MATCH(Totals!D74,OrgType,0)&amp;"_"&amp;MATCH(Totals!E74,Organisations,0)&amp;"_"&amp;LEFT(Totals!F74,1)&amp;"_"&amp;LEFT(G74,1)&amp;"_"&amp;COUNTIF($G$3:G74,G74)</f>
        <v>#N/A</v>
      </c>
      <c r="C74" s="193">
        <v>2025</v>
      </c>
      <c r="D74" s="193">
        <f>Introduction!$D$7</f>
        <v>0</v>
      </c>
      <c r="E74" s="193">
        <f>Introduction!$D$8</f>
        <v>0</v>
      </c>
      <c r="F74" s="193" t="s">
        <v>488</v>
      </c>
      <c r="G74" s="193" t="s">
        <v>489</v>
      </c>
      <c r="H74" s="195">
        <f>'Site Information'!B78</f>
        <v>0</v>
      </c>
      <c r="I74" s="237"/>
      <c r="J74" s="193">
        <f>'Site Information'!C78</f>
        <v>0</v>
      </c>
      <c r="K74" s="193">
        <f>'Site Information'!D78</f>
        <v>0</v>
      </c>
      <c r="L74" s="193">
        <f>'Site Information'!E78</f>
        <v>0</v>
      </c>
      <c r="M74" s="237"/>
      <c r="N74" s="237"/>
      <c r="O74" s="237"/>
      <c r="P74" s="237"/>
      <c r="Q74" s="237"/>
      <c r="R74" s="193">
        <f>'Site Information'!F78</f>
        <v>0</v>
      </c>
      <c r="S74" s="237"/>
      <c r="T74" s="237"/>
      <c r="U74" s="237"/>
      <c r="V74" s="237"/>
      <c r="W74" s="237"/>
      <c r="X74" s="237"/>
      <c r="Y74" s="237"/>
      <c r="Z74" s="237"/>
      <c r="AA74" s="237"/>
      <c r="AB74" s="237"/>
      <c r="AC74" s="237"/>
      <c r="AD74" s="237"/>
      <c r="AE74" s="237"/>
      <c r="AF74" s="237"/>
      <c r="AG74" s="237"/>
      <c r="AI74" s="193">
        <f t="shared" si="4"/>
        <v>0</v>
      </c>
      <c r="AJ74" s="193">
        <f t="shared" si="5"/>
        <v>0</v>
      </c>
    </row>
    <row r="75" spans="2:36" x14ac:dyDescent="0.35">
      <c r="B75" s="193" t="e">
        <f>"2024"&amp;MATCH(Totals!D75,OrgType,0)&amp;"_"&amp;MATCH(Totals!E75,Organisations,0)&amp;"_"&amp;LEFT(Totals!F75,1)&amp;"_"&amp;LEFT(G75,1)&amp;"_"&amp;COUNTIF($G$3:G75,G75)</f>
        <v>#N/A</v>
      </c>
      <c r="C75" s="193">
        <v>2025</v>
      </c>
      <c r="D75" s="193">
        <f>Introduction!$D$7</f>
        <v>0</v>
      </c>
      <c r="E75" s="193">
        <f>Introduction!$D$8</f>
        <v>0</v>
      </c>
      <c r="F75" s="193" t="s">
        <v>488</v>
      </c>
      <c r="G75" s="193" t="s">
        <v>489</v>
      </c>
      <c r="H75" s="195">
        <f>'Site Information'!B79</f>
        <v>0</v>
      </c>
      <c r="I75" s="237"/>
      <c r="J75" s="193">
        <f>'Site Information'!C79</f>
        <v>0</v>
      </c>
      <c r="K75" s="193">
        <f>'Site Information'!D79</f>
        <v>0</v>
      </c>
      <c r="L75" s="193">
        <f>'Site Information'!E79</f>
        <v>0</v>
      </c>
      <c r="M75" s="237"/>
      <c r="N75" s="237"/>
      <c r="O75" s="237"/>
      <c r="P75" s="237"/>
      <c r="Q75" s="237"/>
      <c r="R75" s="193">
        <f>'Site Information'!F79</f>
        <v>0</v>
      </c>
      <c r="S75" s="237"/>
      <c r="T75" s="237"/>
      <c r="U75" s="237"/>
      <c r="V75" s="237"/>
      <c r="W75" s="237"/>
      <c r="X75" s="237"/>
      <c r="Y75" s="237"/>
      <c r="Z75" s="237"/>
      <c r="AA75" s="237"/>
      <c r="AB75" s="237"/>
      <c r="AC75" s="237"/>
      <c r="AD75" s="237"/>
      <c r="AE75" s="237"/>
      <c r="AF75" s="237"/>
      <c r="AG75" s="237"/>
      <c r="AI75" s="193">
        <f t="shared" si="4"/>
        <v>0</v>
      </c>
      <c r="AJ75" s="193">
        <f t="shared" si="5"/>
        <v>0</v>
      </c>
    </row>
    <row r="76" spans="2:36" x14ac:dyDescent="0.35">
      <c r="B76" s="193" t="e">
        <f>"2024"&amp;MATCH(Totals!D76,OrgType,0)&amp;"_"&amp;MATCH(Totals!E76,Organisations,0)&amp;"_"&amp;LEFT(Totals!F76,1)&amp;"_"&amp;LEFT(G76,1)&amp;"_"&amp;COUNTIF($G$3:G76,G76)</f>
        <v>#N/A</v>
      </c>
      <c r="C76" s="193">
        <v>2025</v>
      </c>
      <c r="D76" s="193">
        <f>Introduction!$D$7</f>
        <v>0</v>
      </c>
      <c r="E76" s="193">
        <f>Introduction!$D$8</f>
        <v>0</v>
      </c>
      <c r="F76" s="193" t="s">
        <v>488</v>
      </c>
      <c r="G76" s="193" t="s">
        <v>489</v>
      </c>
      <c r="H76" s="195">
        <f>'Site Information'!B80</f>
        <v>0</v>
      </c>
      <c r="I76" s="237"/>
      <c r="J76" s="193">
        <f>'Site Information'!C80</f>
        <v>0</v>
      </c>
      <c r="K76" s="193">
        <f>'Site Information'!D80</f>
        <v>0</v>
      </c>
      <c r="L76" s="193">
        <f>'Site Information'!E80</f>
        <v>0</v>
      </c>
      <c r="M76" s="237"/>
      <c r="N76" s="237"/>
      <c r="O76" s="237"/>
      <c r="P76" s="237"/>
      <c r="Q76" s="237"/>
      <c r="R76" s="193">
        <f>'Site Information'!F80</f>
        <v>0</v>
      </c>
      <c r="S76" s="237"/>
      <c r="T76" s="237"/>
      <c r="U76" s="237"/>
      <c r="V76" s="237"/>
      <c r="W76" s="237"/>
      <c r="X76" s="237"/>
      <c r="Y76" s="237"/>
      <c r="Z76" s="237"/>
      <c r="AA76" s="237"/>
      <c r="AB76" s="237"/>
      <c r="AC76" s="237"/>
      <c r="AD76" s="237"/>
      <c r="AE76" s="237"/>
      <c r="AF76" s="237"/>
      <c r="AG76" s="237"/>
      <c r="AI76" s="193">
        <f t="shared" si="4"/>
        <v>0</v>
      </c>
      <c r="AJ76" s="193">
        <f t="shared" si="5"/>
        <v>0</v>
      </c>
    </row>
    <row r="77" spans="2:36" x14ac:dyDescent="0.35">
      <c r="B77" s="193" t="e">
        <f>"2024"&amp;MATCH(Totals!D77,OrgType,0)&amp;"_"&amp;MATCH(Totals!E77,Organisations,0)&amp;"_"&amp;LEFT(Totals!F77,1)&amp;"_"&amp;LEFT(G77,1)&amp;"_"&amp;COUNTIF($G$3:G77,G77)</f>
        <v>#N/A</v>
      </c>
      <c r="C77" s="193">
        <v>2025</v>
      </c>
      <c r="D77" s="193">
        <f>Introduction!$D$7</f>
        <v>0</v>
      </c>
      <c r="E77" s="193">
        <f>Introduction!$D$8</f>
        <v>0</v>
      </c>
      <c r="F77" s="193" t="s">
        <v>488</v>
      </c>
      <c r="G77" s="193" t="s">
        <v>489</v>
      </c>
      <c r="H77" s="195">
        <f>'Site Information'!B81</f>
        <v>0</v>
      </c>
      <c r="I77" s="237"/>
      <c r="J77" s="193">
        <f>'Site Information'!C81</f>
        <v>0</v>
      </c>
      <c r="K77" s="193">
        <f>'Site Information'!D81</f>
        <v>0</v>
      </c>
      <c r="L77" s="193">
        <f>'Site Information'!E81</f>
        <v>0</v>
      </c>
      <c r="M77" s="237"/>
      <c r="N77" s="237"/>
      <c r="O77" s="237"/>
      <c r="P77" s="237"/>
      <c r="Q77" s="237"/>
      <c r="R77" s="193">
        <f>'Site Information'!F81</f>
        <v>0</v>
      </c>
      <c r="S77" s="237"/>
      <c r="T77" s="237"/>
      <c r="U77" s="237"/>
      <c r="V77" s="237"/>
      <c r="W77" s="237"/>
      <c r="X77" s="237"/>
      <c r="Y77" s="237"/>
      <c r="Z77" s="237"/>
      <c r="AA77" s="237"/>
      <c r="AB77" s="237"/>
      <c r="AC77" s="237"/>
      <c r="AD77" s="237"/>
      <c r="AE77" s="237"/>
      <c r="AF77" s="237"/>
      <c r="AG77" s="237"/>
      <c r="AI77" s="193">
        <f t="shared" si="4"/>
        <v>0</v>
      </c>
      <c r="AJ77" s="193">
        <f t="shared" si="5"/>
        <v>0</v>
      </c>
    </row>
    <row r="78" spans="2:36" x14ac:dyDescent="0.35">
      <c r="B78" s="193" t="e">
        <f>"2024"&amp;MATCH(Totals!D78,OrgType,0)&amp;"_"&amp;MATCH(Totals!E78,Organisations,0)&amp;"_"&amp;LEFT(Totals!F78,1)&amp;"_"&amp;LEFT(G78,1)&amp;"_"&amp;COUNTIF($G$3:G78,G78)</f>
        <v>#N/A</v>
      </c>
      <c r="C78" s="193">
        <v>2025</v>
      </c>
      <c r="D78" s="193">
        <f>Introduction!$D$7</f>
        <v>0</v>
      </c>
      <c r="E78" s="193">
        <f>Introduction!$D$8</f>
        <v>0</v>
      </c>
      <c r="F78" s="193" t="s">
        <v>488</v>
      </c>
      <c r="G78" s="193" t="s">
        <v>489</v>
      </c>
      <c r="H78" s="195">
        <f>'Site Information'!B82</f>
        <v>0</v>
      </c>
      <c r="I78" s="237"/>
      <c r="J78" s="193">
        <f>'Site Information'!C82</f>
        <v>0</v>
      </c>
      <c r="K78" s="193">
        <f>'Site Information'!D82</f>
        <v>0</v>
      </c>
      <c r="L78" s="193">
        <f>'Site Information'!E82</f>
        <v>0</v>
      </c>
      <c r="M78" s="237"/>
      <c r="N78" s="237"/>
      <c r="O78" s="237"/>
      <c r="P78" s="237"/>
      <c r="Q78" s="237"/>
      <c r="R78" s="193">
        <f>'Site Information'!F82</f>
        <v>0</v>
      </c>
      <c r="S78" s="237"/>
      <c r="T78" s="237"/>
      <c r="U78" s="237"/>
      <c r="V78" s="237"/>
      <c r="W78" s="237"/>
      <c r="X78" s="237"/>
      <c r="Y78" s="237"/>
      <c r="Z78" s="237"/>
      <c r="AA78" s="237"/>
      <c r="AB78" s="237"/>
      <c r="AC78" s="237"/>
      <c r="AD78" s="237"/>
      <c r="AE78" s="237"/>
      <c r="AF78" s="237"/>
      <c r="AG78" s="237"/>
      <c r="AI78" s="193">
        <f t="shared" si="4"/>
        <v>0</v>
      </c>
      <c r="AJ78" s="193">
        <f t="shared" si="5"/>
        <v>0</v>
      </c>
    </row>
    <row r="79" spans="2:36" x14ac:dyDescent="0.35">
      <c r="B79" s="193" t="e">
        <f>"2024"&amp;MATCH(Totals!D79,OrgType,0)&amp;"_"&amp;MATCH(Totals!E79,Organisations,0)&amp;"_"&amp;LEFT(Totals!F79,1)&amp;"_"&amp;LEFT(G79,1)&amp;"_"&amp;COUNTIF($G$3:G79,G79)</f>
        <v>#N/A</v>
      </c>
      <c r="C79" s="193">
        <v>2025</v>
      </c>
      <c r="D79" s="193">
        <f>Introduction!$D$7</f>
        <v>0</v>
      </c>
      <c r="E79" s="193">
        <f>Introduction!$D$8</f>
        <v>0</v>
      </c>
      <c r="F79" s="193" t="s">
        <v>488</v>
      </c>
      <c r="G79" s="193" t="s">
        <v>489</v>
      </c>
      <c r="H79" s="195">
        <f>'Site Information'!B83</f>
        <v>0</v>
      </c>
      <c r="I79" s="237"/>
      <c r="J79" s="193">
        <f>'Site Information'!C83</f>
        <v>0</v>
      </c>
      <c r="K79" s="193">
        <f>'Site Information'!D83</f>
        <v>0</v>
      </c>
      <c r="L79" s="193">
        <f>'Site Information'!E83</f>
        <v>0</v>
      </c>
      <c r="M79" s="237"/>
      <c r="N79" s="237"/>
      <c r="O79" s="237"/>
      <c r="P79" s="237"/>
      <c r="Q79" s="237"/>
      <c r="R79" s="193">
        <f>'Site Information'!F83</f>
        <v>0</v>
      </c>
      <c r="S79" s="237"/>
      <c r="T79" s="237"/>
      <c r="U79" s="237"/>
      <c r="V79" s="237"/>
      <c r="W79" s="237"/>
      <c r="X79" s="237"/>
      <c r="Y79" s="237"/>
      <c r="Z79" s="237"/>
      <c r="AA79" s="237"/>
      <c r="AB79" s="237"/>
      <c r="AC79" s="237"/>
      <c r="AD79" s="237"/>
      <c r="AE79" s="237"/>
      <c r="AF79" s="237"/>
      <c r="AG79" s="237"/>
      <c r="AI79" s="193">
        <f t="shared" si="4"/>
        <v>0</v>
      </c>
      <c r="AJ79" s="193">
        <f t="shared" si="5"/>
        <v>0</v>
      </c>
    </row>
    <row r="80" spans="2:36" x14ac:dyDescent="0.35">
      <c r="B80" s="193" t="e">
        <f>"2024"&amp;MATCH(Totals!D80,OrgType,0)&amp;"_"&amp;MATCH(Totals!E80,Organisations,0)&amp;"_"&amp;LEFT(Totals!F80,1)&amp;"_"&amp;LEFT(G80,1)&amp;"_"&amp;COUNTIF($G$3:G80,G80)</f>
        <v>#N/A</v>
      </c>
      <c r="C80" s="193">
        <v>2025</v>
      </c>
      <c r="D80" s="193">
        <f>Introduction!$D$7</f>
        <v>0</v>
      </c>
      <c r="E80" s="193">
        <f>Introduction!$D$8</f>
        <v>0</v>
      </c>
      <c r="F80" s="193" t="s">
        <v>488</v>
      </c>
      <c r="G80" s="193" t="s">
        <v>489</v>
      </c>
      <c r="H80" s="195">
        <f>'Site Information'!B84</f>
        <v>0</v>
      </c>
      <c r="I80" s="237"/>
      <c r="J80" s="193">
        <f>'Site Information'!C84</f>
        <v>0</v>
      </c>
      <c r="K80" s="193">
        <f>'Site Information'!D84</f>
        <v>0</v>
      </c>
      <c r="L80" s="193">
        <f>'Site Information'!E84</f>
        <v>0</v>
      </c>
      <c r="M80" s="237"/>
      <c r="N80" s="237"/>
      <c r="O80" s="237"/>
      <c r="P80" s="237"/>
      <c r="Q80" s="237"/>
      <c r="R80" s="193">
        <f>'Site Information'!F84</f>
        <v>0</v>
      </c>
      <c r="S80" s="237"/>
      <c r="T80" s="237"/>
      <c r="U80" s="237"/>
      <c r="V80" s="237"/>
      <c r="W80" s="237"/>
      <c r="X80" s="237"/>
      <c r="Y80" s="237"/>
      <c r="Z80" s="237"/>
      <c r="AA80" s="237"/>
      <c r="AB80" s="237"/>
      <c r="AC80" s="237"/>
      <c r="AD80" s="237"/>
      <c r="AE80" s="237"/>
      <c r="AF80" s="237"/>
      <c r="AG80" s="237"/>
      <c r="AI80" s="193">
        <f t="shared" si="4"/>
        <v>0</v>
      </c>
      <c r="AJ80" s="193">
        <f t="shared" si="5"/>
        <v>0</v>
      </c>
    </row>
    <row r="81" spans="2:36" x14ac:dyDescent="0.35">
      <c r="B81" s="193" t="e">
        <f>"2024"&amp;MATCH(Totals!D81,OrgType,0)&amp;"_"&amp;MATCH(Totals!E81,Organisations,0)&amp;"_"&amp;LEFT(Totals!F81,1)&amp;"_"&amp;LEFT(G81,1)&amp;"_"&amp;COUNTIF($G$3:G81,G81)</f>
        <v>#N/A</v>
      </c>
      <c r="C81" s="193">
        <v>2025</v>
      </c>
      <c r="D81" s="193">
        <f>Introduction!$D$7</f>
        <v>0</v>
      </c>
      <c r="E81" s="193">
        <f>Introduction!$D$8</f>
        <v>0</v>
      </c>
      <c r="F81" s="193" t="s">
        <v>488</v>
      </c>
      <c r="G81" s="193" t="s">
        <v>489</v>
      </c>
      <c r="H81" s="195">
        <f>'Site Information'!B85</f>
        <v>0</v>
      </c>
      <c r="I81" s="237"/>
      <c r="J81" s="193">
        <f>'Site Information'!C85</f>
        <v>0</v>
      </c>
      <c r="K81" s="193">
        <f>'Site Information'!D85</f>
        <v>0</v>
      </c>
      <c r="L81" s="193">
        <f>'Site Information'!E85</f>
        <v>0</v>
      </c>
      <c r="M81" s="237"/>
      <c r="N81" s="237"/>
      <c r="O81" s="237"/>
      <c r="P81" s="237"/>
      <c r="Q81" s="237"/>
      <c r="R81" s="193">
        <f>'Site Information'!F85</f>
        <v>0</v>
      </c>
      <c r="S81" s="237"/>
      <c r="T81" s="237"/>
      <c r="U81" s="237"/>
      <c r="V81" s="237"/>
      <c r="W81" s="237"/>
      <c r="X81" s="237"/>
      <c r="Y81" s="237"/>
      <c r="Z81" s="237"/>
      <c r="AA81" s="237"/>
      <c r="AB81" s="237"/>
      <c r="AC81" s="237"/>
      <c r="AD81" s="237"/>
      <c r="AE81" s="237"/>
      <c r="AF81" s="237"/>
      <c r="AG81" s="237"/>
      <c r="AI81" s="193">
        <f t="shared" si="4"/>
        <v>0</v>
      </c>
      <c r="AJ81" s="193">
        <f t="shared" si="5"/>
        <v>0</v>
      </c>
    </row>
    <row r="82" spans="2:36" x14ac:dyDescent="0.35">
      <c r="B82" s="193" t="e">
        <f>"2024"&amp;MATCH(Totals!D82,OrgType,0)&amp;"_"&amp;MATCH(Totals!E82,Organisations,0)&amp;"_"&amp;LEFT(Totals!F82,1)&amp;"_"&amp;LEFT(G82,1)&amp;"_"&amp;COUNTIF($G$3:G82,G82)</f>
        <v>#N/A</v>
      </c>
      <c r="C82" s="193">
        <v>2025</v>
      </c>
      <c r="D82" s="193">
        <f>Introduction!$D$7</f>
        <v>0</v>
      </c>
      <c r="E82" s="193">
        <f>Introduction!$D$8</f>
        <v>0</v>
      </c>
      <c r="F82" s="193" t="s">
        <v>488</v>
      </c>
      <c r="G82" s="193" t="s">
        <v>489</v>
      </c>
      <c r="H82" s="195">
        <f>'Site Information'!B86</f>
        <v>0</v>
      </c>
      <c r="I82" s="237"/>
      <c r="J82" s="193">
        <f>'Site Information'!C86</f>
        <v>0</v>
      </c>
      <c r="K82" s="193">
        <f>'Site Information'!D86</f>
        <v>0</v>
      </c>
      <c r="L82" s="193">
        <f>'Site Information'!E86</f>
        <v>0</v>
      </c>
      <c r="M82" s="237"/>
      <c r="N82" s="237"/>
      <c r="O82" s="237"/>
      <c r="P82" s="237"/>
      <c r="Q82" s="237"/>
      <c r="R82" s="193">
        <f>'Site Information'!F86</f>
        <v>0</v>
      </c>
      <c r="S82" s="237"/>
      <c r="T82" s="237"/>
      <c r="U82" s="237"/>
      <c r="V82" s="237"/>
      <c r="W82" s="237"/>
      <c r="X82" s="237"/>
      <c r="Y82" s="237"/>
      <c r="Z82" s="237"/>
      <c r="AA82" s="237"/>
      <c r="AB82" s="237"/>
      <c r="AC82" s="237"/>
      <c r="AD82" s="237"/>
      <c r="AE82" s="237"/>
      <c r="AF82" s="237"/>
      <c r="AG82" s="237"/>
      <c r="AI82" s="193">
        <f t="shared" si="4"/>
        <v>0</v>
      </c>
      <c r="AJ82" s="193">
        <f t="shared" si="5"/>
        <v>0</v>
      </c>
    </row>
    <row r="83" spans="2:36" x14ac:dyDescent="0.35">
      <c r="B83" s="193" t="e">
        <f>"2024"&amp;MATCH(Totals!D83,OrgType,0)&amp;"_"&amp;MATCH(Totals!E83,Organisations,0)&amp;"_"&amp;LEFT(Totals!F83,1)&amp;"_"&amp;LEFT(G83,1)&amp;"_"&amp;COUNTIF($G$3:G83,G83)</f>
        <v>#N/A</v>
      </c>
      <c r="C83" s="193">
        <v>2025</v>
      </c>
      <c r="D83" s="193">
        <f>Introduction!$D$7</f>
        <v>0</v>
      </c>
      <c r="E83" s="193">
        <f>Introduction!$D$8</f>
        <v>0</v>
      </c>
      <c r="F83" s="193" t="s">
        <v>488</v>
      </c>
      <c r="G83" s="193" t="s">
        <v>489</v>
      </c>
      <c r="H83" s="195">
        <f>'Site Information'!B87</f>
        <v>0</v>
      </c>
      <c r="I83" s="237"/>
      <c r="J83" s="193">
        <f>'Site Information'!C87</f>
        <v>0</v>
      </c>
      <c r="K83" s="193">
        <f>'Site Information'!D87</f>
        <v>0</v>
      </c>
      <c r="L83" s="193">
        <f>'Site Information'!E87</f>
        <v>0</v>
      </c>
      <c r="M83" s="237"/>
      <c r="N83" s="237"/>
      <c r="O83" s="237"/>
      <c r="P83" s="237"/>
      <c r="Q83" s="237"/>
      <c r="R83" s="193">
        <f>'Site Information'!F87</f>
        <v>0</v>
      </c>
      <c r="S83" s="237"/>
      <c r="T83" s="237"/>
      <c r="U83" s="237"/>
      <c r="V83" s="237"/>
      <c r="W83" s="237"/>
      <c r="X83" s="237"/>
      <c r="Y83" s="237"/>
      <c r="Z83" s="237"/>
      <c r="AA83" s="237"/>
      <c r="AB83" s="237"/>
      <c r="AC83" s="237"/>
      <c r="AD83" s="237"/>
      <c r="AE83" s="237"/>
      <c r="AF83" s="237"/>
      <c r="AG83" s="237"/>
      <c r="AI83" s="193">
        <f t="shared" si="4"/>
        <v>0</v>
      </c>
      <c r="AJ83" s="193">
        <f t="shared" si="5"/>
        <v>0</v>
      </c>
    </row>
    <row r="84" spans="2:36" x14ac:dyDescent="0.35">
      <c r="B84" s="193" t="e">
        <f>"2024"&amp;MATCH(Totals!D84,OrgType,0)&amp;"_"&amp;MATCH(Totals!E84,Organisations,0)&amp;"_"&amp;LEFT(Totals!F84,1)&amp;"_"&amp;LEFT(G84,1)&amp;"_"&amp;COUNTIF($G$3:G84,G84)</f>
        <v>#N/A</v>
      </c>
      <c r="C84" s="193">
        <v>2025</v>
      </c>
      <c r="D84" s="193">
        <f>Introduction!$D$7</f>
        <v>0</v>
      </c>
      <c r="E84" s="193">
        <f>Introduction!$D$8</f>
        <v>0</v>
      </c>
      <c r="F84" s="193" t="s">
        <v>488</v>
      </c>
      <c r="G84" s="193" t="s">
        <v>489</v>
      </c>
      <c r="H84" s="195">
        <f>'Site Information'!B88</f>
        <v>0</v>
      </c>
      <c r="I84" s="237"/>
      <c r="J84" s="193">
        <f>'Site Information'!C88</f>
        <v>0</v>
      </c>
      <c r="K84" s="193">
        <f>'Site Information'!D88</f>
        <v>0</v>
      </c>
      <c r="L84" s="193">
        <f>'Site Information'!E88</f>
        <v>0</v>
      </c>
      <c r="M84" s="237"/>
      <c r="N84" s="237"/>
      <c r="O84" s="237"/>
      <c r="P84" s="237"/>
      <c r="Q84" s="237"/>
      <c r="R84" s="193">
        <f>'Site Information'!F88</f>
        <v>0</v>
      </c>
      <c r="S84" s="237"/>
      <c r="T84" s="237"/>
      <c r="U84" s="237"/>
      <c r="V84" s="237"/>
      <c r="W84" s="237"/>
      <c r="X84" s="237"/>
      <c r="Y84" s="237"/>
      <c r="Z84" s="237"/>
      <c r="AA84" s="237"/>
      <c r="AB84" s="237"/>
      <c r="AC84" s="237"/>
      <c r="AD84" s="237"/>
      <c r="AE84" s="237"/>
      <c r="AF84" s="237"/>
      <c r="AG84" s="237"/>
      <c r="AI84" s="193">
        <f t="shared" si="4"/>
        <v>0</v>
      </c>
      <c r="AJ84" s="193">
        <f t="shared" si="5"/>
        <v>0</v>
      </c>
    </row>
    <row r="85" spans="2:36" x14ac:dyDescent="0.35">
      <c r="B85" s="193" t="e">
        <f>"2024"&amp;MATCH(Totals!D85,OrgType,0)&amp;"_"&amp;MATCH(Totals!E85,Organisations,0)&amp;"_"&amp;LEFT(Totals!F85,1)&amp;"_"&amp;LEFT(G85,1)&amp;"_"&amp;COUNTIF($G$3:G85,G85)</f>
        <v>#N/A</v>
      </c>
      <c r="C85" s="193">
        <v>2025</v>
      </c>
      <c r="D85" s="193">
        <f>Introduction!$D$7</f>
        <v>0</v>
      </c>
      <c r="E85" s="193">
        <f>Introduction!$D$8</f>
        <v>0</v>
      </c>
      <c r="F85" s="193" t="s">
        <v>488</v>
      </c>
      <c r="G85" s="193" t="s">
        <v>489</v>
      </c>
      <c r="H85" s="195">
        <f>'Site Information'!B89</f>
        <v>0</v>
      </c>
      <c r="I85" s="237"/>
      <c r="J85" s="193">
        <f>'Site Information'!C89</f>
        <v>0</v>
      </c>
      <c r="K85" s="193">
        <f>'Site Information'!D89</f>
        <v>0</v>
      </c>
      <c r="L85" s="193">
        <f>'Site Information'!E89</f>
        <v>0</v>
      </c>
      <c r="M85" s="237"/>
      <c r="N85" s="237"/>
      <c r="O85" s="237"/>
      <c r="P85" s="237"/>
      <c r="Q85" s="237"/>
      <c r="R85" s="193">
        <f>'Site Information'!F89</f>
        <v>0</v>
      </c>
      <c r="S85" s="237"/>
      <c r="T85" s="237"/>
      <c r="U85" s="237"/>
      <c r="V85" s="237"/>
      <c r="W85" s="237"/>
      <c r="X85" s="237"/>
      <c r="Y85" s="237"/>
      <c r="Z85" s="237"/>
      <c r="AA85" s="237"/>
      <c r="AB85" s="237"/>
      <c r="AC85" s="237"/>
      <c r="AD85" s="237"/>
      <c r="AE85" s="237"/>
      <c r="AF85" s="237"/>
      <c r="AG85" s="237"/>
      <c r="AI85" s="193">
        <f t="shared" si="4"/>
        <v>0</v>
      </c>
      <c r="AJ85" s="193">
        <f t="shared" si="5"/>
        <v>0</v>
      </c>
    </row>
    <row r="86" spans="2:36" x14ac:dyDescent="0.35">
      <c r="B86" s="193" t="e">
        <f>"2024"&amp;MATCH(Totals!D86,OrgType,0)&amp;"_"&amp;MATCH(Totals!E86,Organisations,0)&amp;"_"&amp;LEFT(Totals!F86,1)&amp;"_"&amp;LEFT(G86,1)&amp;"_"&amp;COUNTIF($G$3:G86,G86)</f>
        <v>#N/A</v>
      </c>
      <c r="C86" s="193">
        <v>2025</v>
      </c>
      <c r="D86" s="193">
        <f>Introduction!$D$7</f>
        <v>0</v>
      </c>
      <c r="E86" s="193">
        <f>Introduction!$D$8</f>
        <v>0</v>
      </c>
      <c r="F86" s="193" t="s">
        <v>488</v>
      </c>
      <c r="G86" s="193" t="s">
        <v>489</v>
      </c>
      <c r="H86" s="195">
        <f>'Site Information'!B90</f>
        <v>0</v>
      </c>
      <c r="I86" s="237"/>
      <c r="J86" s="193">
        <f>'Site Information'!C90</f>
        <v>0</v>
      </c>
      <c r="K86" s="193">
        <f>'Site Information'!D90</f>
        <v>0</v>
      </c>
      <c r="L86" s="193">
        <f>'Site Information'!E90</f>
        <v>0</v>
      </c>
      <c r="M86" s="237"/>
      <c r="N86" s="237"/>
      <c r="O86" s="237"/>
      <c r="P86" s="237"/>
      <c r="Q86" s="237"/>
      <c r="R86" s="193">
        <f>'Site Information'!F90</f>
        <v>0</v>
      </c>
      <c r="S86" s="237"/>
      <c r="T86" s="237"/>
      <c r="U86" s="237"/>
      <c r="V86" s="237"/>
      <c r="W86" s="237"/>
      <c r="X86" s="237"/>
      <c r="Y86" s="237"/>
      <c r="Z86" s="237"/>
      <c r="AA86" s="237"/>
      <c r="AB86" s="237"/>
      <c r="AC86" s="237"/>
      <c r="AD86" s="237"/>
      <c r="AE86" s="237"/>
      <c r="AF86" s="237"/>
      <c r="AG86" s="237"/>
      <c r="AI86" s="193">
        <f t="shared" si="4"/>
        <v>0</v>
      </c>
      <c r="AJ86" s="193">
        <f t="shared" si="5"/>
        <v>0</v>
      </c>
    </row>
    <row r="87" spans="2:36" x14ac:dyDescent="0.35">
      <c r="B87" s="193" t="e">
        <f>"2024"&amp;MATCH(Totals!D87,OrgType,0)&amp;"_"&amp;MATCH(Totals!E87,Organisations,0)&amp;"_"&amp;LEFT(Totals!F87,1)&amp;"_"&amp;LEFT(G87,1)&amp;"_"&amp;COUNTIF($G$3:G87,G87)</f>
        <v>#N/A</v>
      </c>
      <c r="C87" s="193">
        <v>2025</v>
      </c>
      <c r="D87" s="193">
        <f>Introduction!$D$7</f>
        <v>0</v>
      </c>
      <c r="E87" s="193">
        <f>Introduction!$D$8</f>
        <v>0</v>
      </c>
      <c r="F87" s="193" t="s">
        <v>488</v>
      </c>
      <c r="G87" s="193" t="s">
        <v>489</v>
      </c>
      <c r="H87" s="195">
        <f>'Site Information'!B91</f>
        <v>0</v>
      </c>
      <c r="I87" s="237"/>
      <c r="J87" s="193">
        <f>'Site Information'!C91</f>
        <v>0</v>
      </c>
      <c r="K87" s="193">
        <f>'Site Information'!D91</f>
        <v>0</v>
      </c>
      <c r="L87" s="193">
        <f>'Site Information'!E91</f>
        <v>0</v>
      </c>
      <c r="M87" s="237"/>
      <c r="N87" s="237"/>
      <c r="O87" s="237"/>
      <c r="P87" s="237"/>
      <c r="Q87" s="237"/>
      <c r="R87" s="193">
        <f>'Site Information'!F91</f>
        <v>0</v>
      </c>
      <c r="S87" s="237"/>
      <c r="T87" s="237"/>
      <c r="U87" s="237"/>
      <c r="V87" s="237"/>
      <c r="W87" s="237"/>
      <c r="X87" s="237"/>
      <c r="Y87" s="237"/>
      <c r="Z87" s="237"/>
      <c r="AA87" s="237"/>
      <c r="AB87" s="237"/>
      <c r="AC87" s="237"/>
      <c r="AD87" s="237"/>
      <c r="AE87" s="237"/>
      <c r="AF87" s="237"/>
      <c r="AG87" s="237"/>
      <c r="AI87" s="193">
        <f t="shared" si="4"/>
        <v>0</v>
      </c>
      <c r="AJ87" s="193">
        <f t="shared" si="5"/>
        <v>0</v>
      </c>
    </row>
    <row r="88" spans="2:36" x14ac:dyDescent="0.35">
      <c r="B88" s="193" t="e">
        <f>"2024"&amp;MATCH(Totals!D88,OrgType,0)&amp;"_"&amp;MATCH(Totals!E88,Organisations,0)&amp;"_"&amp;LEFT(Totals!F88,1)&amp;"_"&amp;LEFT(G88,1)&amp;"_"&amp;COUNTIF($G$3:G88,G88)</f>
        <v>#N/A</v>
      </c>
      <c r="C88" s="193">
        <v>2025</v>
      </c>
      <c r="D88" s="193">
        <f>Introduction!$D$7</f>
        <v>0</v>
      </c>
      <c r="E88" s="193">
        <f>Introduction!$D$8</f>
        <v>0</v>
      </c>
      <c r="F88" s="193" t="s">
        <v>488</v>
      </c>
      <c r="G88" s="193" t="s">
        <v>489</v>
      </c>
      <c r="H88" s="195">
        <f>'Site Information'!B92</f>
        <v>0</v>
      </c>
      <c r="I88" s="237"/>
      <c r="J88" s="193">
        <f>'Site Information'!C92</f>
        <v>0</v>
      </c>
      <c r="K88" s="193">
        <f>'Site Information'!D92</f>
        <v>0</v>
      </c>
      <c r="L88" s="193">
        <f>'Site Information'!E92</f>
        <v>0</v>
      </c>
      <c r="M88" s="237"/>
      <c r="N88" s="237"/>
      <c r="O88" s="237"/>
      <c r="P88" s="237"/>
      <c r="Q88" s="237"/>
      <c r="R88" s="193">
        <f>'Site Information'!F92</f>
        <v>0</v>
      </c>
      <c r="S88" s="237"/>
      <c r="T88" s="237"/>
      <c r="U88" s="237"/>
      <c r="V88" s="237"/>
      <c r="W88" s="237"/>
      <c r="X88" s="237"/>
      <c r="Y88" s="237"/>
      <c r="Z88" s="237"/>
      <c r="AA88" s="237"/>
      <c r="AB88" s="237"/>
      <c r="AC88" s="237"/>
      <c r="AD88" s="237"/>
      <c r="AE88" s="237"/>
      <c r="AF88" s="237"/>
      <c r="AG88" s="237"/>
      <c r="AI88" s="193">
        <f t="shared" si="4"/>
        <v>0</v>
      </c>
      <c r="AJ88" s="193">
        <f t="shared" si="5"/>
        <v>0</v>
      </c>
    </row>
    <row r="89" spans="2:36" x14ac:dyDescent="0.35">
      <c r="B89" s="193" t="e">
        <f>"2024"&amp;MATCH(Totals!D89,OrgType,0)&amp;"_"&amp;MATCH(Totals!E89,Organisations,0)&amp;"_"&amp;LEFT(Totals!F89,1)&amp;"_"&amp;LEFT(G89,1)&amp;"_"&amp;COUNTIF($G$3:G89,G89)</f>
        <v>#N/A</v>
      </c>
      <c r="C89" s="193">
        <v>2025</v>
      </c>
      <c r="D89" s="193">
        <f>Introduction!$D$7</f>
        <v>0</v>
      </c>
      <c r="E89" s="193">
        <f>Introduction!$D$8</f>
        <v>0</v>
      </c>
      <c r="F89" s="193" t="s">
        <v>488</v>
      </c>
      <c r="G89" s="193" t="s">
        <v>489</v>
      </c>
      <c r="H89" s="195">
        <f>'Site Information'!B93</f>
        <v>0</v>
      </c>
      <c r="I89" s="237"/>
      <c r="J89" s="193">
        <f>'Site Information'!C93</f>
        <v>0</v>
      </c>
      <c r="K89" s="193">
        <f>'Site Information'!D93</f>
        <v>0</v>
      </c>
      <c r="L89" s="193">
        <f>'Site Information'!E93</f>
        <v>0</v>
      </c>
      <c r="M89" s="237"/>
      <c r="N89" s="237"/>
      <c r="O89" s="237"/>
      <c r="P89" s="237"/>
      <c r="Q89" s="237"/>
      <c r="R89" s="193">
        <f>'Site Information'!F93</f>
        <v>0</v>
      </c>
      <c r="S89" s="237"/>
      <c r="T89" s="237"/>
      <c r="U89" s="237"/>
      <c r="V89" s="237"/>
      <c r="W89" s="237"/>
      <c r="X89" s="237"/>
      <c r="Y89" s="237"/>
      <c r="Z89" s="237"/>
      <c r="AA89" s="237"/>
      <c r="AB89" s="237"/>
      <c r="AC89" s="237"/>
      <c r="AD89" s="237"/>
      <c r="AE89" s="237"/>
      <c r="AF89" s="237"/>
      <c r="AG89" s="237"/>
      <c r="AI89" s="193">
        <f t="shared" si="4"/>
        <v>0</v>
      </c>
      <c r="AJ89" s="193">
        <f t="shared" si="5"/>
        <v>0</v>
      </c>
    </row>
    <row r="90" spans="2:36" x14ac:dyDescent="0.35">
      <c r="B90" s="193" t="e">
        <f>"2024"&amp;MATCH(Totals!D90,OrgType,0)&amp;"_"&amp;MATCH(Totals!E90,Organisations,0)&amp;"_"&amp;LEFT(Totals!F90,1)&amp;"_"&amp;LEFT(G90,1)&amp;"_"&amp;COUNTIF($G$3:G90,G90)</f>
        <v>#N/A</v>
      </c>
      <c r="C90" s="193">
        <v>2025</v>
      </c>
      <c r="D90" s="193">
        <f>Introduction!$D$7</f>
        <v>0</v>
      </c>
      <c r="E90" s="193">
        <f>Introduction!$D$8</f>
        <v>0</v>
      </c>
      <c r="F90" s="193" t="s">
        <v>488</v>
      </c>
      <c r="G90" s="193" t="s">
        <v>489</v>
      </c>
      <c r="H90" s="195">
        <f>'Site Information'!B94</f>
        <v>0</v>
      </c>
      <c r="I90" s="237"/>
      <c r="J90" s="193">
        <f>'Site Information'!C94</f>
        <v>0</v>
      </c>
      <c r="K90" s="193">
        <f>'Site Information'!D94</f>
        <v>0</v>
      </c>
      <c r="L90" s="193">
        <f>'Site Information'!E94</f>
        <v>0</v>
      </c>
      <c r="M90" s="237"/>
      <c r="N90" s="237"/>
      <c r="O90" s="237"/>
      <c r="P90" s="237"/>
      <c r="Q90" s="237"/>
      <c r="R90" s="193">
        <f>'Site Information'!F94</f>
        <v>0</v>
      </c>
      <c r="S90" s="237"/>
      <c r="T90" s="237"/>
      <c r="U90" s="237"/>
      <c r="V90" s="237"/>
      <c r="W90" s="237"/>
      <c r="X90" s="237"/>
      <c r="Y90" s="237"/>
      <c r="Z90" s="237"/>
      <c r="AA90" s="237"/>
      <c r="AB90" s="237"/>
      <c r="AC90" s="237"/>
      <c r="AD90" s="237"/>
      <c r="AE90" s="237"/>
      <c r="AF90" s="237"/>
      <c r="AG90" s="237"/>
      <c r="AI90" s="193">
        <f t="shared" si="4"/>
        <v>0</v>
      </c>
      <c r="AJ90" s="193">
        <f t="shared" si="5"/>
        <v>0</v>
      </c>
    </row>
    <row r="91" spans="2:36" x14ac:dyDescent="0.35">
      <c r="B91" s="193" t="e">
        <f>"2024"&amp;MATCH(Totals!D91,OrgType,0)&amp;"_"&amp;MATCH(Totals!E91,Organisations,0)&amp;"_"&amp;LEFT(Totals!F91,1)&amp;"_"&amp;LEFT(G91,1)&amp;"_"&amp;COUNTIF($G$3:G91,G91)</f>
        <v>#N/A</v>
      </c>
      <c r="C91" s="193">
        <v>2025</v>
      </c>
      <c r="D91" s="193">
        <f>Introduction!$D$7</f>
        <v>0</v>
      </c>
      <c r="E91" s="193">
        <f>Introduction!$D$8</f>
        <v>0</v>
      </c>
      <c r="F91" s="193" t="s">
        <v>488</v>
      </c>
      <c r="G91" s="193" t="s">
        <v>489</v>
      </c>
      <c r="H91" s="195">
        <f>'Site Information'!B95</f>
        <v>0</v>
      </c>
      <c r="I91" s="237"/>
      <c r="J91" s="193">
        <f>'Site Information'!C95</f>
        <v>0</v>
      </c>
      <c r="K91" s="193">
        <f>'Site Information'!D95</f>
        <v>0</v>
      </c>
      <c r="L91" s="193">
        <f>'Site Information'!E95</f>
        <v>0</v>
      </c>
      <c r="M91" s="237"/>
      <c r="N91" s="237"/>
      <c r="O91" s="237"/>
      <c r="P91" s="237"/>
      <c r="Q91" s="237"/>
      <c r="R91" s="193">
        <f>'Site Information'!F95</f>
        <v>0</v>
      </c>
      <c r="S91" s="237"/>
      <c r="T91" s="237"/>
      <c r="U91" s="237"/>
      <c r="V91" s="237"/>
      <c r="W91" s="237"/>
      <c r="X91" s="237"/>
      <c r="Y91" s="237"/>
      <c r="Z91" s="237"/>
      <c r="AA91" s="237"/>
      <c r="AB91" s="237"/>
      <c r="AC91" s="237"/>
      <c r="AD91" s="237"/>
      <c r="AE91" s="237"/>
      <c r="AF91" s="237"/>
      <c r="AG91" s="237"/>
      <c r="AI91" s="193">
        <f t="shared" si="4"/>
        <v>0</v>
      </c>
      <c r="AJ91" s="193">
        <f t="shared" si="5"/>
        <v>0</v>
      </c>
    </row>
    <row r="92" spans="2:36" x14ac:dyDescent="0.35">
      <c r="B92" s="193" t="e">
        <f>"2024"&amp;MATCH(Totals!D92,OrgType,0)&amp;"_"&amp;MATCH(Totals!E92,Organisations,0)&amp;"_"&amp;LEFT(Totals!F92,1)&amp;"_"&amp;LEFT(G92,1)&amp;"_"&amp;COUNTIF($G$3:G92,G92)</f>
        <v>#N/A</v>
      </c>
      <c r="C92" s="193">
        <v>2025</v>
      </c>
      <c r="D92" s="193">
        <f>Introduction!$D$7</f>
        <v>0</v>
      </c>
      <c r="E92" s="193">
        <f>Introduction!$D$8</f>
        <v>0</v>
      </c>
      <c r="F92" s="193" t="s">
        <v>488</v>
      </c>
      <c r="G92" s="193" t="s">
        <v>489</v>
      </c>
      <c r="H92" s="195">
        <f>'Site Information'!B96</f>
        <v>0</v>
      </c>
      <c r="I92" s="237"/>
      <c r="J92" s="193">
        <f>'Site Information'!C96</f>
        <v>0</v>
      </c>
      <c r="K92" s="193">
        <f>'Site Information'!D96</f>
        <v>0</v>
      </c>
      <c r="L92" s="193">
        <f>'Site Information'!E96</f>
        <v>0</v>
      </c>
      <c r="M92" s="237"/>
      <c r="N92" s="237"/>
      <c r="O92" s="237"/>
      <c r="P92" s="237"/>
      <c r="Q92" s="237"/>
      <c r="R92" s="193">
        <f>'Site Information'!F96</f>
        <v>0</v>
      </c>
      <c r="S92" s="237"/>
      <c r="T92" s="237"/>
      <c r="U92" s="237"/>
      <c r="V92" s="237"/>
      <c r="W92" s="237"/>
      <c r="X92" s="237"/>
      <c r="Y92" s="237"/>
      <c r="Z92" s="237"/>
      <c r="AA92" s="237"/>
      <c r="AB92" s="237"/>
      <c r="AC92" s="237"/>
      <c r="AD92" s="237"/>
      <c r="AE92" s="237"/>
      <c r="AF92" s="237"/>
      <c r="AG92" s="237"/>
      <c r="AI92" s="193">
        <f t="shared" si="4"/>
        <v>0</v>
      </c>
      <c r="AJ92" s="193">
        <f t="shared" si="5"/>
        <v>0</v>
      </c>
    </row>
    <row r="93" spans="2:36" x14ac:dyDescent="0.35">
      <c r="B93" s="193" t="e">
        <f>"2024"&amp;MATCH(Totals!D93,OrgType,0)&amp;"_"&amp;MATCH(Totals!E93,Organisations,0)&amp;"_"&amp;LEFT(Totals!F93,1)&amp;"_"&amp;LEFT(G93,1)&amp;"_"&amp;COUNTIF($G$3:G93,G93)</f>
        <v>#N/A</v>
      </c>
      <c r="C93" s="193">
        <v>2025</v>
      </c>
      <c r="D93" s="193">
        <f>Introduction!$D$7</f>
        <v>0</v>
      </c>
      <c r="E93" s="193">
        <f>Introduction!$D$8</f>
        <v>0</v>
      </c>
      <c r="F93" s="193" t="s">
        <v>488</v>
      </c>
      <c r="G93" s="193" t="s">
        <v>489</v>
      </c>
      <c r="H93" s="195">
        <f>'Site Information'!B97</f>
        <v>0</v>
      </c>
      <c r="I93" s="237"/>
      <c r="J93" s="193">
        <f>'Site Information'!C97</f>
        <v>0</v>
      </c>
      <c r="K93" s="193">
        <f>'Site Information'!D97</f>
        <v>0</v>
      </c>
      <c r="L93" s="193">
        <f>'Site Information'!E97</f>
        <v>0</v>
      </c>
      <c r="M93" s="237"/>
      <c r="N93" s="237"/>
      <c r="O93" s="237"/>
      <c r="P93" s="237"/>
      <c r="Q93" s="237"/>
      <c r="R93" s="193">
        <f>'Site Information'!F97</f>
        <v>0</v>
      </c>
      <c r="S93" s="237"/>
      <c r="T93" s="237"/>
      <c r="U93" s="237"/>
      <c r="V93" s="237"/>
      <c r="W93" s="237"/>
      <c r="X93" s="237"/>
      <c r="Y93" s="237"/>
      <c r="Z93" s="237"/>
      <c r="AA93" s="237"/>
      <c r="AB93" s="237"/>
      <c r="AC93" s="237"/>
      <c r="AD93" s="237"/>
      <c r="AE93" s="237"/>
      <c r="AF93" s="237"/>
      <c r="AG93" s="237"/>
      <c r="AI93" s="193">
        <f t="shared" si="4"/>
        <v>0</v>
      </c>
      <c r="AJ93" s="193">
        <f t="shared" si="5"/>
        <v>0</v>
      </c>
    </row>
    <row r="94" spans="2:36" x14ac:dyDescent="0.35">
      <c r="B94" s="193" t="e">
        <f>"2024"&amp;MATCH(Totals!D94,OrgType,0)&amp;"_"&amp;MATCH(Totals!E94,Organisations,0)&amp;"_"&amp;LEFT(Totals!F94,1)&amp;"_"&amp;LEFT(G94,1)&amp;"_"&amp;COUNTIF($G$3:G94,G94)</f>
        <v>#N/A</v>
      </c>
      <c r="C94" s="193">
        <v>2025</v>
      </c>
      <c r="D94" s="193">
        <f>Introduction!$D$7</f>
        <v>0</v>
      </c>
      <c r="E94" s="193">
        <f>Introduction!$D$8</f>
        <v>0</v>
      </c>
      <c r="F94" s="193" t="s">
        <v>488</v>
      </c>
      <c r="G94" s="193" t="s">
        <v>489</v>
      </c>
      <c r="H94" s="195">
        <f>'Site Information'!B98</f>
        <v>0</v>
      </c>
      <c r="I94" s="237"/>
      <c r="J94" s="193">
        <f>'Site Information'!C98</f>
        <v>0</v>
      </c>
      <c r="K94" s="193">
        <f>'Site Information'!D98</f>
        <v>0</v>
      </c>
      <c r="L94" s="193">
        <f>'Site Information'!E98</f>
        <v>0</v>
      </c>
      <c r="M94" s="237"/>
      <c r="N94" s="237"/>
      <c r="O94" s="237"/>
      <c r="P94" s="237"/>
      <c r="Q94" s="237"/>
      <c r="R94" s="193">
        <f>'Site Information'!F98</f>
        <v>0</v>
      </c>
      <c r="S94" s="237"/>
      <c r="T94" s="237"/>
      <c r="U94" s="237"/>
      <c r="V94" s="237"/>
      <c r="W94" s="237"/>
      <c r="X94" s="237"/>
      <c r="Y94" s="237"/>
      <c r="Z94" s="237"/>
      <c r="AA94" s="237"/>
      <c r="AB94" s="237"/>
      <c r="AC94" s="237"/>
      <c r="AD94" s="237"/>
      <c r="AE94" s="237"/>
      <c r="AF94" s="237"/>
      <c r="AG94" s="237"/>
      <c r="AI94" s="193">
        <f t="shared" si="4"/>
        <v>0</v>
      </c>
      <c r="AJ94" s="193">
        <f t="shared" si="5"/>
        <v>0</v>
      </c>
    </row>
    <row r="95" spans="2:36" x14ac:dyDescent="0.35">
      <c r="B95" s="193" t="e">
        <f>"2024"&amp;MATCH(Totals!D95,OrgType,0)&amp;"_"&amp;MATCH(Totals!E95,Organisations,0)&amp;"_"&amp;LEFT(Totals!F95,1)&amp;"_"&amp;LEFT(G95,1)&amp;"_"&amp;COUNTIF($G$3:G95,G95)</f>
        <v>#N/A</v>
      </c>
      <c r="C95" s="193">
        <v>2025</v>
      </c>
      <c r="D95" s="193">
        <f>Introduction!$D$7</f>
        <v>0</v>
      </c>
      <c r="E95" s="193">
        <f>Introduction!$D$8</f>
        <v>0</v>
      </c>
      <c r="F95" s="193" t="s">
        <v>488</v>
      </c>
      <c r="G95" s="193" t="s">
        <v>489</v>
      </c>
      <c r="H95" s="195">
        <f>'Site Information'!B99</f>
        <v>0</v>
      </c>
      <c r="I95" s="237"/>
      <c r="J95" s="193">
        <f>'Site Information'!C99</f>
        <v>0</v>
      </c>
      <c r="K95" s="193">
        <f>'Site Information'!D99</f>
        <v>0</v>
      </c>
      <c r="L95" s="193">
        <f>'Site Information'!E99</f>
        <v>0</v>
      </c>
      <c r="M95" s="237"/>
      <c r="N95" s="237"/>
      <c r="O95" s="237"/>
      <c r="P95" s="237"/>
      <c r="Q95" s="237"/>
      <c r="R95" s="193">
        <f>'Site Information'!F99</f>
        <v>0</v>
      </c>
      <c r="S95" s="237"/>
      <c r="T95" s="237"/>
      <c r="U95" s="237"/>
      <c r="V95" s="237"/>
      <c r="W95" s="237"/>
      <c r="X95" s="237"/>
      <c r="Y95" s="237"/>
      <c r="Z95" s="237"/>
      <c r="AA95" s="237"/>
      <c r="AB95" s="237"/>
      <c r="AC95" s="237"/>
      <c r="AD95" s="237"/>
      <c r="AE95" s="237"/>
      <c r="AF95" s="237"/>
      <c r="AG95" s="237"/>
      <c r="AI95" s="193">
        <f t="shared" si="4"/>
        <v>0</v>
      </c>
      <c r="AJ95" s="193">
        <f t="shared" si="5"/>
        <v>0</v>
      </c>
    </row>
    <row r="96" spans="2:36" x14ac:dyDescent="0.35">
      <c r="B96" s="193" t="e">
        <f>"2024"&amp;MATCH(Totals!D96,OrgType,0)&amp;"_"&amp;MATCH(Totals!E96,Organisations,0)&amp;"_"&amp;LEFT(Totals!F96,1)&amp;"_"&amp;LEFT(G96,1)&amp;"_"&amp;COUNTIF($G$3:G96,G96)</f>
        <v>#N/A</v>
      </c>
      <c r="C96" s="193">
        <v>2025</v>
      </c>
      <c r="D96" s="193">
        <f>Introduction!$D$7</f>
        <v>0</v>
      </c>
      <c r="E96" s="193">
        <f>Introduction!$D$8</f>
        <v>0</v>
      </c>
      <c r="F96" s="193" t="s">
        <v>488</v>
      </c>
      <c r="G96" s="193" t="s">
        <v>489</v>
      </c>
      <c r="H96" s="195">
        <f>'Site Information'!B100</f>
        <v>0</v>
      </c>
      <c r="I96" s="237"/>
      <c r="J96" s="193">
        <f>'Site Information'!C100</f>
        <v>0</v>
      </c>
      <c r="K96" s="193">
        <f>'Site Information'!D100</f>
        <v>0</v>
      </c>
      <c r="L96" s="193">
        <f>'Site Information'!E100</f>
        <v>0</v>
      </c>
      <c r="M96" s="237"/>
      <c r="N96" s="237"/>
      <c r="O96" s="237"/>
      <c r="P96" s="237"/>
      <c r="Q96" s="237"/>
      <c r="R96" s="193">
        <f>'Site Information'!F100</f>
        <v>0</v>
      </c>
      <c r="S96" s="237"/>
      <c r="T96" s="237"/>
      <c r="U96" s="237"/>
      <c r="V96" s="237"/>
      <c r="W96" s="237"/>
      <c r="X96" s="237"/>
      <c r="Y96" s="237"/>
      <c r="Z96" s="237"/>
      <c r="AA96" s="237"/>
      <c r="AB96" s="237"/>
      <c r="AC96" s="237"/>
      <c r="AD96" s="237"/>
      <c r="AE96" s="237"/>
      <c r="AF96" s="237"/>
      <c r="AG96" s="237"/>
      <c r="AI96" s="193">
        <f t="shared" si="4"/>
        <v>0</v>
      </c>
      <c r="AJ96" s="193">
        <f t="shared" si="5"/>
        <v>0</v>
      </c>
    </row>
    <row r="97" spans="2:36" x14ac:dyDescent="0.35">
      <c r="B97" s="193" t="e">
        <f>"2024"&amp;MATCH(Totals!D97,OrgType,0)&amp;"_"&amp;MATCH(Totals!E97,Organisations,0)&amp;"_"&amp;LEFT(Totals!F97,1)&amp;"_"&amp;LEFT(G97,1)&amp;"_"&amp;COUNTIF($G$3:G97,G97)</f>
        <v>#N/A</v>
      </c>
      <c r="C97" s="193">
        <v>2025</v>
      </c>
      <c r="D97" s="193">
        <f>Introduction!$D$7</f>
        <v>0</v>
      </c>
      <c r="E97" s="193">
        <f>Introduction!$D$8</f>
        <v>0</v>
      </c>
      <c r="F97" s="193" t="s">
        <v>488</v>
      </c>
      <c r="G97" s="193" t="s">
        <v>489</v>
      </c>
      <c r="H97" s="195">
        <f>'Site Information'!B101</f>
        <v>0</v>
      </c>
      <c r="I97" s="237"/>
      <c r="J97" s="193">
        <f>'Site Information'!C101</f>
        <v>0</v>
      </c>
      <c r="K97" s="193">
        <f>'Site Information'!D101</f>
        <v>0</v>
      </c>
      <c r="L97" s="193">
        <f>'Site Information'!E101</f>
        <v>0</v>
      </c>
      <c r="M97" s="237"/>
      <c r="N97" s="237"/>
      <c r="O97" s="237"/>
      <c r="P97" s="237"/>
      <c r="Q97" s="237"/>
      <c r="R97" s="193">
        <f>'Site Information'!F101</f>
        <v>0</v>
      </c>
      <c r="S97" s="237"/>
      <c r="T97" s="237"/>
      <c r="U97" s="237"/>
      <c r="V97" s="237"/>
      <c r="W97" s="237"/>
      <c r="X97" s="237"/>
      <c r="Y97" s="237"/>
      <c r="Z97" s="237"/>
      <c r="AA97" s="237"/>
      <c r="AB97" s="237"/>
      <c r="AC97" s="237"/>
      <c r="AD97" s="237"/>
      <c r="AE97" s="237"/>
      <c r="AF97" s="237"/>
      <c r="AG97" s="237"/>
      <c r="AI97" s="193">
        <f t="shared" si="4"/>
        <v>0</v>
      </c>
      <c r="AJ97" s="193">
        <f t="shared" si="5"/>
        <v>0</v>
      </c>
    </row>
    <row r="98" spans="2:36" x14ac:dyDescent="0.35">
      <c r="B98" s="193" t="e">
        <f>"2024"&amp;MATCH(Totals!D98,OrgType,0)&amp;"_"&amp;MATCH(Totals!E98,Organisations,0)&amp;"_"&amp;LEFT(Totals!F98,1)&amp;"_"&amp;LEFT(G98,1)&amp;"_"&amp;COUNTIF($G$3:G98,G98)</f>
        <v>#N/A</v>
      </c>
      <c r="C98" s="193">
        <v>2025</v>
      </c>
      <c r="D98" s="193">
        <f>Introduction!$D$7</f>
        <v>0</v>
      </c>
      <c r="E98" s="193">
        <f>Introduction!$D$8</f>
        <v>0</v>
      </c>
      <c r="F98" s="193" t="s">
        <v>488</v>
      </c>
      <c r="G98" s="193" t="s">
        <v>489</v>
      </c>
      <c r="H98" s="195">
        <f>'Site Information'!B102</f>
        <v>0</v>
      </c>
      <c r="I98" s="237"/>
      <c r="J98" s="193">
        <f>'Site Information'!C102</f>
        <v>0</v>
      </c>
      <c r="K98" s="193">
        <f>'Site Information'!D102</f>
        <v>0</v>
      </c>
      <c r="L98" s="193">
        <f>'Site Information'!E102</f>
        <v>0</v>
      </c>
      <c r="M98" s="237"/>
      <c r="N98" s="237"/>
      <c r="O98" s="237"/>
      <c r="P98" s="237"/>
      <c r="Q98" s="237"/>
      <c r="R98" s="193">
        <f>'Site Information'!F102</f>
        <v>0</v>
      </c>
      <c r="S98" s="237"/>
      <c r="T98" s="237"/>
      <c r="U98" s="237"/>
      <c r="V98" s="237"/>
      <c r="W98" s="237"/>
      <c r="X98" s="237"/>
      <c r="Y98" s="237"/>
      <c r="Z98" s="237"/>
      <c r="AA98" s="237"/>
      <c r="AB98" s="237"/>
      <c r="AC98" s="237"/>
      <c r="AD98" s="237"/>
      <c r="AE98" s="237"/>
      <c r="AF98" s="237"/>
      <c r="AG98" s="237"/>
      <c r="AI98" s="193">
        <f t="shared" si="4"/>
        <v>0</v>
      </c>
      <c r="AJ98" s="193">
        <f t="shared" si="5"/>
        <v>0</v>
      </c>
    </row>
    <row r="99" spans="2:36" x14ac:dyDescent="0.35">
      <c r="B99" s="193" t="e">
        <f>"2024"&amp;MATCH(Totals!D99,OrgType,0)&amp;"_"&amp;MATCH(Totals!E99,Organisations,0)&amp;"_"&amp;LEFT(Totals!F99,1)&amp;"_"&amp;LEFT(G99,1)&amp;"_"&amp;COUNTIF($G$3:G99,G99)</f>
        <v>#N/A</v>
      </c>
      <c r="C99" s="193">
        <v>2025</v>
      </c>
      <c r="D99" s="193">
        <f>Introduction!$D$7</f>
        <v>0</v>
      </c>
      <c r="E99" s="193">
        <f>Introduction!$D$8</f>
        <v>0</v>
      </c>
      <c r="F99" s="193" t="s">
        <v>488</v>
      </c>
      <c r="G99" s="193" t="s">
        <v>489</v>
      </c>
      <c r="H99" s="195">
        <f>'Site Information'!B103</f>
        <v>0</v>
      </c>
      <c r="I99" s="237"/>
      <c r="J99" s="193">
        <f>'Site Information'!C103</f>
        <v>0</v>
      </c>
      <c r="K99" s="193">
        <f>'Site Information'!D103</f>
        <v>0</v>
      </c>
      <c r="L99" s="193">
        <f>'Site Information'!E103</f>
        <v>0</v>
      </c>
      <c r="M99" s="237"/>
      <c r="N99" s="237"/>
      <c r="O99" s="237"/>
      <c r="P99" s="237"/>
      <c r="Q99" s="237"/>
      <c r="R99" s="193">
        <f>'Site Information'!F103</f>
        <v>0</v>
      </c>
      <c r="S99" s="237"/>
      <c r="T99" s="237"/>
      <c r="U99" s="237"/>
      <c r="V99" s="237"/>
      <c r="W99" s="237"/>
      <c r="X99" s="237"/>
      <c r="Y99" s="237"/>
      <c r="Z99" s="237"/>
      <c r="AA99" s="237"/>
      <c r="AB99" s="237"/>
      <c r="AC99" s="237"/>
      <c r="AD99" s="237"/>
      <c r="AE99" s="237"/>
      <c r="AF99" s="237"/>
      <c r="AG99" s="237"/>
      <c r="AI99" s="193">
        <f t="shared" si="4"/>
        <v>0</v>
      </c>
      <c r="AJ99" s="193">
        <f t="shared" si="5"/>
        <v>0</v>
      </c>
    </row>
    <row r="100" spans="2:36" x14ac:dyDescent="0.35">
      <c r="B100" s="193" t="e">
        <f>"2024"&amp;MATCH(Totals!D100,OrgType,0)&amp;"_"&amp;MATCH(Totals!E100,Organisations,0)&amp;"_"&amp;LEFT(Totals!F100,1)&amp;"_"&amp;LEFT(G100,1)&amp;"_"&amp;COUNTIF($G$3:G100,G100)</f>
        <v>#N/A</v>
      </c>
      <c r="C100" s="193">
        <v>2025</v>
      </c>
      <c r="D100" s="193">
        <f>Introduction!$D$7</f>
        <v>0</v>
      </c>
      <c r="E100" s="193">
        <f>Introduction!$D$8</f>
        <v>0</v>
      </c>
      <c r="F100" s="193" t="s">
        <v>488</v>
      </c>
      <c r="G100" s="193" t="s">
        <v>489</v>
      </c>
      <c r="H100" s="195">
        <f>'Site Information'!B104</f>
        <v>0</v>
      </c>
      <c r="I100" s="194"/>
      <c r="J100" s="193">
        <f>'Site Information'!C104</f>
        <v>0</v>
      </c>
      <c r="K100" s="193">
        <f>'Site Information'!D104</f>
        <v>0</v>
      </c>
      <c r="L100" s="193">
        <f>'Site Information'!E104</f>
        <v>0</v>
      </c>
      <c r="M100" s="237"/>
      <c r="N100" s="237"/>
      <c r="O100" s="237"/>
      <c r="P100" s="237"/>
      <c r="Q100" s="237"/>
      <c r="R100" s="193">
        <f>'Site Information'!F104</f>
        <v>0</v>
      </c>
      <c r="S100" s="237"/>
      <c r="T100" s="237"/>
      <c r="U100" s="237"/>
      <c r="V100" s="237"/>
      <c r="W100" s="237"/>
      <c r="X100" s="237"/>
      <c r="Y100" s="237"/>
      <c r="Z100" s="237"/>
      <c r="AA100" s="237"/>
      <c r="AB100" s="237"/>
      <c r="AC100" s="237"/>
      <c r="AD100" s="237"/>
      <c r="AE100" s="237"/>
      <c r="AF100" s="237"/>
      <c r="AG100" s="237"/>
      <c r="AI100" s="193"/>
      <c r="AJ100" s="193"/>
    </row>
    <row r="101" spans="2:36" x14ac:dyDescent="0.35">
      <c r="B101" s="193" t="e">
        <f>"2024"&amp;MATCH(Totals!D101,OrgType,0)&amp;"_"&amp;MATCH(Totals!E101,Organisations,0)&amp;"_"&amp;LEFT(Totals!F101,1)&amp;"_"&amp;LEFT(G101,1)&amp;"_"&amp;COUNTIF($G$3:G101,G101)</f>
        <v>#N/A</v>
      </c>
      <c r="C101" s="193">
        <v>2025</v>
      </c>
      <c r="D101" s="193">
        <f>Introduction!$D$7</f>
        <v>0</v>
      </c>
      <c r="E101" s="193">
        <f>Introduction!$D$8</f>
        <v>0</v>
      </c>
      <c r="F101" s="193" t="s">
        <v>488</v>
      </c>
      <c r="G101" s="193" t="s">
        <v>489</v>
      </c>
      <c r="H101" s="195">
        <f>'Site Information'!B105</f>
        <v>0</v>
      </c>
      <c r="I101" s="194"/>
      <c r="J101" s="193">
        <f>'Site Information'!C105</f>
        <v>0</v>
      </c>
      <c r="K101" s="193">
        <f>'Site Information'!D105</f>
        <v>0</v>
      </c>
      <c r="L101" s="193">
        <f>'Site Information'!E105</f>
        <v>0</v>
      </c>
      <c r="M101" s="237"/>
      <c r="N101" s="237"/>
      <c r="O101" s="237"/>
      <c r="P101" s="237"/>
      <c r="Q101" s="237"/>
      <c r="R101" s="193">
        <f>'Site Information'!F105</f>
        <v>0</v>
      </c>
      <c r="S101" s="237"/>
      <c r="T101" s="237"/>
      <c r="U101" s="237"/>
      <c r="V101" s="237"/>
      <c r="W101" s="237"/>
      <c r="X101" s="237"/>
      <c r="Y101" s="237"/>
      <c r="Z101" s="237"/>
      <c r="AA101" s="237"/>
      <c r="AB101" s="237"/>
      <c r="AC101" s="237"/>
      <c r="AD101" s="237"/>
      <c r="AE101" s="237"/>
      <c r="AF101" s="237"/>
      <c r="AG101" s="237"/>
      <c r="AI101" s="193"/>
      <c r="AJ101" s="193"/>
    </row>
    <row r="102" spans="2:36" x14ac:dyDescent="0.35">
      <c r="B102" s="193" t="e">
        <f>"2024"&amp;MATCH(Totals!D102,OrgType,0)&amp;"_"&amp;MATCH(Totals!E102,Organisations,0)&amp;"_"&amp;LEFT(Totals!F102,1)&amp;"_"&amp;LEFT(G102,1)&amp;"_"&amp;COUNTIF($G$3:G102,G102)</f>
        <v>#N/A</v>
      </c>
      <c r="C102" s="193">
        <v>2025</v>
      </c>
      <c r="D102" s="193">
        <f>Introduction!$D$7</f>
        <v>0</v>
      </c>
      <c r="E102" s="193">
        <f>Introduction!$D$8</f>
        <v>0</v>
      </c>
      <c r="F102" s="193" t="s">
        <v>488</v>
      </c>
      <c r="G102" s="193" t="s">
        <v>489</v>
      </c>
      <c r="H102" s="195">
        <f>'Site Information'!B106</f>
        <v>0</v>
      </c>
      <c r="I102" s="194"/>
      <c r="J102" s="193">
        <f>'Site Information'!C106</f>
        <v>0</v>
      </c>
      <c r="K102" s="193">
        <f>'Site Information'!D106</f>
        <v>0</v>
      </c>
      <c r="L102" s="193">
        <f>'Site Information'!E106</f>
        <v>0</v>
      </c>
      <c r="M102" s="237"/>
      <c r="N102" s="237"/>
      <c r="O102" s="237"/>
      <c r="P102" s="237"/>
      <c r="Q102" s="237"/>
      <c r="R102" s="193">
        <f>'Site Information'!F106</f>
        <v>0</v>
      </c>
      <c r="S102" s="237"/>
      <c r="T102" s="237"/>
      <c r="U102" s="237"/>
      <c r="V102" s="237"/>
      <c r="W102" s="237"/>
      <c r="X102" s="237"/>
      <c r="Y102" s="237"/>
      <c r="Z102" s="237"/>
      <c r="AA102" s="237"/>
      <c r="AB102" s="237"/>
      <c r="AC102" s="237"/>
      <c r="AD102" s="237"/>
      <c r="AE102" s="237"/>
      <c r="AF102" s="237"/>
      <c r="AG102" s="237"/>
      <c r="AI102" s="193"/>
      <c r="AJ102" s="193"/>
    </row>
    <row r="103" spans="2:36" x14ac:dyDescent="0.35">
      <c r="B103" s="193" t="e">
        <f>"2024"&amp;MATCH(Totals!D103,OrgType,0)&amp;"_"&amp;MATCH(Totals!E103,Organisations,0)&amp;"_"&amp;LEFT(Totals!F103,1)&amp;"_"&amp;LEFT(G103,1)&amp;"_"&amp;COUNTIF($G$3:G103,G103)</f>
        <v>#N/A</v>
      </c>
      <c r="C103" s="193">
        <v>2025</v>
      </c>
      <c r="D103" s="193">
        <f>Introduction!$D$7</f>
        <v>0</v>
      </c>
      <c r="E103" s="193">
        <f>Introduction!$D$8</f>
        <v>0</v>
      </c>
      <c r="F103" s="193" t="s">
        <v>488</v>
      </c>
      <c r="G103" s="193" t="s">
        <v>489</v>
      </c>
      <c r="H103" s="195">
        <f>'Site Information'!B107</f>
        <v>0</v>
      </c>
      <c r="I103" s="194"/>
      <c r="J103" s="193">
        <f>'Site Information'!C107</f>
        <v>0</v>
      </c>
      <c r="K103" s="193">
        <f>'Site Information'!D107</f>
        <v>0</v>
      </c>
      <c r="L103" s="193">
        <f>'Site Information'!E107</f>
        <v>0</v>
      </c>
      <c r="M103" s="237"/>
      <c r="N103" s="237"/>
      <c r="O103" s="237"/>
      <c r="P103" s="237"/>
      <c r="Q103" s="237"/>
      <c r="R103" s="193">
        <f>'Site Information'!F107</f>
        <v>0</v>
      </c>
      <c r="S103" s="237"/>
      <c r="T103" s="237"/>
      <c r="U103" s="237"/>
      <c r="V103" s="237"/>
      <c r="W103" s="237"/>
      <c r="X103" s="237"/>
      <c r="Y103" s="237"/>
      <c r="Z103" s="237"/>
      <c r="AA103" s="237"/>
      <c r="AB103" s="237"/>
      <c r="AC103" s="237"/>
      <c r="AD103" s="237"/>
      <c r="AE103" s="237"/>
      <c r="AF103" s="237"/>
      <c r="AG103" s="237"/>
      <c r="AI103" s="193"/>
      <c r="AJ103" s="193"/>
    </row>
    <row r="104" spans="2:36" x14ac:dyDescent="0.35">
      <c r="B104" s="193" t="e">
        <f>"2024"&amp;MATCH(Totals!D104,OrgType,0)&amp;"_"&amp;MATCH(Totals!E104,Organisations,0)&amp;"_"&amp;LEFT(Totals!F104,1)&amp;"_"&amp;LEFT(G104,1)&amp;"_"&amp;COUNTIF($G$3:G104,G104)</f>
        <v>#N/A</v>
      </c>
      <c r="C104" s="193">
        <v>2025</v>
      </c>
      <c r="D104" s="193">
        <f>Introduction!$D$7</f>
        <v>0</v>
      </c>
      <c r="E104" s="193">
        <f>Introduction!$D$8</f>
        <v>0</v>
      </c>
      <c r="F104" s="193" t="s">
        <v>488</v>
      </c>
      <c r="G104" s="193" t="s">
        <v>489</v>
      </c>
      <c r="H104" s="195">
        <f>'Site Information'!B108</f>
        <v>0</v>
      </c>
      <c r="I104" s="194"/>
      <c r="J104" s="193">
        <f>'Site Information'!C108</f>
        <v>0</v>
      </c>
      <c r="K104" s="193">
        <f>'Site Information'!D108</f>
        <v>0</v>
      </c>
      <c r="L104" s="193">
        <f>'Site Information'!E108</f>
        <v>0</v>
      </c>
      <c r="M104" s="237"/>
      <c r="N104" s="237"/>
      <c r="O104" s="237"/>
      <c r="P104" s="237"/>
      <c r="Q104" s="237"/>
      <c r="R104" s="193">
        <f>'Site Information'!F108</f>
        <v>0</v>
      </c>
      <c r="S104" s="237"/>
      <c r="T104" s="237"/>
      <c r="U104" s="237"/>
      <c r="V104" s="237"/>
      <c r="W104" s="237"/>
      <c r="X104" s="237"/>
      <c r="Y104" s="237"/>
      <c r="Z104" s="237"/>
      <c r="AA104" s="237"/>
      <c r="AB104" s="237"/>
      <c r="AC104" s="237"/>
      <c r="AD104" s="237"/>
      <c r="AE104" s="237"/>
      <c r="AF104" s="237"/>
      <c r="AG104" s="237"/>
      <c r="AI104" s="193"/>
      <c r="AJ104" s="193"/>
    </row>
    <row r="105" spans="2:36" x14ac:dyDescent="0.35">
      <c r="B105" s="193" t="e">
        <f>"2024"&amp;MATCH(Totals!D105,OrgType,0)&amp;"_"&amp;MATCH(Totals!E105,Organisations,0)&amp;"_"&amp;LEFT(Totals!F105,1)&amp;"_"&amp;LEFT(G105,1)&amp;"_"&amp;COUNTIF($G$3:G105,G105)</f>
        <v>#N/A</v>
      </c>
      <c r="C105" s="193">
        <v>2025</v>
      </c>
      <c r="D105" s="193">
        <f>Introduction!$D$7</f>
        <v>0</v>
      </c>
      <c r="E105" s="193">
        <f>Introduction!$D$8</f>
        <v>0</v>
      </c>
      <c r="F105" s="193" t="s">
        <v>488</v>
      </c>
      <c r="G105" s="193" t="s">
        <v>489</v>
      </c>
      <c r="H105" s="195">
        <f>'Site Information'!B109</f>
        <v>0</v>
      </c>
      <c r="I105" s="194"/>
      <c r="J105" s="193">
        <f>'Site Information'!C109</f>
        <v>0</v>
      </c>
      <c r="K105" s="193">
        <f>'Site Information'!D109</f>
        <v>0</v>
      </c>
      <c r="L105" s="193">
        <f>'Site Information'!E109</f>
        <v>0</v>
      </c>
      <c r="M105" s="237"/>
      <c r="N105" s="237"/>
      <c r="O105" s="237"/>
      <c r="P105" s="237"/>
      <c r="Q105" s="237"/>
      <c r="R105" s="193">
        <f>'Site Information'!F109</f>
        <v>0</v>
      </c>
      <c r="S105" s="237"/>
      <c r="T105" s="237"/>
      <c r="U105" s="237"/>
      <c r="V105" s="237"/>
      <c r="W105" s="237"/>
      <c r="X105" s="237"/>
      <c r="Y105" s="237"/>
      <c r="Z105" s="237"/>
      <c r="AA105" s="237"/>
      <c r="AB105" s="237"/>
      <c r="AC105" s="237"/>
      <c r="AD105" s="237"/>
      <c r="AE105" s="237"/>
      <c r="AF105" s="237"/>
      <c r="AG105" s="237"/>
      <c r="AI105" s="193"/>
      <c r="AJ105" s="193"/>
    </row>
    <row r="106" spans="2:36" x14ac:dyDescent="0.35">
      <c r="B106" s="193" t="e">
        <f>"2024"&amp;MATCH(Totals!D106,OrgType,0)&amp;"_"&amp;MATCH(Totals!E106,Organisations,0)&amp;"_"&amp;LEFT(Totals!F106,1)&amp;"_"&amp;LEFT(G106,1)&amp;"_"&amp;COUNTIF($G$3:G106,G106)</f>
        <v>#N/A</v>
      </c>
      <c r="C106" s="193">
        <v>2025</v>
      </c>
      <c r="D106" s="193">
        <f>Introduction!$D$7</f>
        <v>0</v>
      </c>
      <c r="E106" s="193">
        <f>Introduction!$D$8</f>
        <v>0</v>
      </c>
      <c r="F106" s="193" t="s">
        <v>488</v>
      </c>
      <c r="G106" s="193" t="s">
        <v>489</v>
      </c>
      <c r="H106" s="195">
        <f>'Site Information'!B110</f>
        <v>0</v>
      </c>
      <c r="I106" s="194"/>
      <c r="J106" s="193">
        <f>'Site Information'!C110</f>
        <v>0</v>
      </c>
      <c r="K106" s="193">
        <f>'Site Information'!D110</f>
        <v>0</v>
      </c>
      <c r="L106" s="193">
        <f>'Site Information'!E110</f>
        <v>0</v>
      </c>
      <c r="M106" s="237"/>
      <c r="N106" s="237"/>
      <c r="O106" s="237"/>
      <c r="P106" s="237"/>
      <c r="Q106" s="237"/>
      <c r="R106" s="193">
        <f>'Site Information'!F110</f>
        <v>0</v>
      </c>
      <c r="S106" s="237"/>
      <c r="T106" s="237"/>
      <c r="U106" s="237"/>
      <c r="V106" s="237"/>
      <c r="W106" s="237"/>
      <c r="X106" s="237"/>
      <c r="Y106" s="237"/>
      <c r="Z106" s="237"/>
      <c r="AA106" s="237"/>
      <c r="AB106" s="237"/>
      <c r="AC106" s="237"/>
      <c r="AD106" s="237"/>
      <c r="AE106" s="237"/>
      <c r="AF106" s="237"/>
      <c r="AG106" s="237"/>
      <c r="AI106" s="193"/>
      <c r="AJ106" s="193"/>
    </row>
    <row r="107" spans="2:36" x14ac:dyDescent="0.35">
      <c r="B107" s="193" t="e">
        <f>"2024"&amp;MATCH(Totals!D107,OrgType,0)&amp;"_"&amp;MATCH(Totals!E107,Organisations,0)&amp;"_"&amp;LEFT(Totals!F107,1)&amp;"_"&amp;LEFT(G107,1)&amp;"_"&amp;COUNTIF($G$3:G107,G107)</f>
        <v>#N/A</v>
      </c>
      <c r="C107" s="193">
        <v>2025</v>
      </c>
      <c r="D107" s="193">
        <f>Introduction!$D$7</f>
        <v>0</v>
      </c>
      <c r="E107" s="193">
        <f>Introduction!$D$8</f>
        <v>0</v>
      </c>
      <c r="F107" s="193" t="s">
        <v>488</v>
      </c>
      <c r="G107" s="193" t="s">
        <v>489</v>
      </c>
      <c r="H107" s="195">
        <f>'Site Information'!B111</f>
        <v>0</v>
      </c>
      <c r="I107" s="194"/>
      <c r="J107" s="193">
        <f>'Site Information'!C111</f>
        <v>0</v>
      </c>
      <c r="K107" s="193">
        <f>'Site Information'!D111</f>
        <v>0</v>
      </c>
      <c r="L107" s="193">
        <f>'Site Information'!E111</f>
        <v>0</v>
      </c>
      <c r="M107" s="237"/>
      <c r="N107" s="237"/>
      <c r="O107" s="237"/>
      <c r="P107" s="237"/>
      <c r="Q107" s="237"/>
      <c r="R107" s="193">
        <f>'Site Information'!F111</f>
        <v>0</v>
      </c>
      <c r="S107" s="237"/>
      <c r="T107" s="237"/>
      <c r="U107" s="237"/>
      <c r="V107" s="237"/>
      <c r="W107" s="237"/>
      <c r="X107" s="237"/>
      <c r="Y107" s="237"/>
      <c r="Z107" s="237"/>
      <c r="AA107" s="237"/>
      <c r="AB107" s="237"/>
      <c r="AC107" s="237"/>
      <c r="AD107" s="237"/>
      <c r="AE107" s="237"/>
      <c r="AF107" s="237"/>
      <c r="AG107" s="237"/>
      <c r="AI107" s="193"/>
      <c r="AJ107" s="193"/>
    </row>
    <row r="108" spans="2:36" x14ac:dyDescent="0.35">
      <c r="B108" s="193" t="e">
        <f>"2024"&amp;MATCH(Totals!D108,OrgType,0)&amp;"_"&amp;MATCH(Totals!E108,Organisations,0)&amp;"_"&amp;LEFT(Totals!F108,1)&amp;"_"&amp;LEFT(G108,1)&amp;"_"&amp;COUNTIF($G$3:G108,G108)</f>
        <v>#N/A</v>
      </c>
      <c r="C108" s="193">
        <v>2025</v>
      </c>
      <c r="D108" s="193">
        <f>Introduction!$D$7</f>
        <v>0</v>
      </c>
      <c r="E108" s="193">
        <f>Introduction!$D$8</f>
        <v>0</v>
      </c>
      <c r="F108" s="193" t="s">
        <v>488</v>
      </c>
      <c r="G108" s="193" t="s">
        <v>489</v>
      </c>
      <c r="H108" s="195">
        <f>'Site Information'!B112</f>
        <v>0</v>
      </c>
      <c r="I108" s="194"/>
      <c r="J108" s="193">
        <f>'Site Information'!C112</f>
        <v>0</v>
      </c>
      <c r="K108" s="193">
        <f>'Site Information'!D112</f>
        <v>0</v>
      </c>
      <c r="L108" s="193">
        <f>'Site Information'!E112</f>
        <v>0</v>
      </c>
      <c r="M108" s="237"/>
      <c r="N108" s="237"/>
      <c r="O108" s="237"/>
      <c r="P108" s="237"/>
      <c r="Q108" s="237"/>
      <c r="R108" s="193">
        <f>'Site Information'!F112</f>
        <v>0</v>
      </c>
      <c r="S108" s="237"/>
      <c r="T108" s="237"/>
      <c r="U108" s="237"/>
      <c r="V108" s="237"/>
      <c r="W108" s="237"/>
      <c r="X108" s="237"/>
      <c r="Y108" s="237"/>
      <c r="Z108" s="237"/>
      <c r="AA108" s="237"/>
      <c r="AB108" s="237"/>
      <c r="AC108" s="237"/>
      <c r="AD108" s="237"/>
      <c r="AE108" s="237"/>
      <c r="AF108" s="237"/>
      <c r="AG108" s="237"/>
      <c r="AI108" s="193"/>
      <c r="AJ108" s="193"/>
    </row>
    <row r="109" spans="2:36" x14ac:dyDescent="0.35">
      <c r="B109" s="193" t="e">
        <f>"2024"&amp;MATCH(Totals!D109,OrgType,0)&amp;"_"&amp;MATCH(Totals!E109,Organisations,0)&amp;"_"&amp;LEFT(Totals!F109,1)&amp;"_"&amp;LEFT(G109,1)&amp;"_"&amp;COUNTIF($G$3:G109,G109)</f>
        <v>#N/A</v>
      </c>
      <c r="C109" s="193">
        <v>2025</v>
      </c>
      <c r="D109" s="193">
        <f>Introduction!$D$7</f>
        <v>0</v>
      </c>
      <c r="E109" s="193">
        <f>Introduction!$D$8</f>
        <v>0</v>
      </c>
      <c r="F109" s="193" t="s">
        <v>488</v>
      </c>
      <c r="G109" s="193" t="s">
        <v>489</v>
      </c>
      <c r="H109" s="195">
        <f>'Site Information'!B113</f>
        <v>0</v>
      </c>
      <c r="I109" s="194"/>
      <c r="J109" s="193">
        <f>'Site Information'!C113</f>
        <v>0</v>
      </c>
      <c r="K109" s="193">
        <f>'Site Information'!D113</f>
        <v>0</v>
      </c>
      <c r="L109" s="193">
        <f>'Site Information'!E113</f>
        <v>0</v>
      </c>
      <c r="M109" s="237"/>
      <c r="N109" s="237"/>
      <c r="O109" s="237"/>
      <c r="P109" s="237"/>
      <c r="Q109" s="237"/>
      <c r="R109" s="193">
        <f>'Site Information'!F113</f>
        <v>0</v>
      </c>
      <c r="S109" s="237"/>
      <c r="T109" s="237"/>
      <c r="U109" s="237"/>
      <c r="V109" s="237"/>
      <c r="W109" s="237"/>
      <c r="X109" s="237"/>
      <c r="Y109" s="237"/>
      <c r="Z109" s="237"/>
      <c r="AA109" s="237"/>
      <c r="AB109" s="237"/>
      <c r="AC109" s="237"/>
      <c r="AD109" s="237"/>
      <c r="AE109" s="237"/>
      <c r="AF109" s="237"/>
      <c r="AG109" s="237"/>
      <c r="AI109" s="193"/>
      <c r="AJ109" s="193"/>
    </row>
    <row r="110" spans="2:36" x14ac:dyDescent="0.35">
      <c r="B110" s="193" t="e">
        <f>"2024"&amp;MATCH(Totals!D110,OrgType,0)&amp;"_"&amp;MATCH(Totals!E110,Organisations,0)&amp;"_"&amp;LEFT(Totals!F110,1)&amp;"_"&amp;LEFT(G110,1)&amp;"_"&amp;COUNTIF($G$3:G110,G110)</f>
        <v>#N/A</v>
      </c>
      <c r="C110" s="193">
        <v>2025</v>
      </c>
      <c r="D110" s="193">
        <f>Introduction!$D$7</f>
        <v>0</v>
      </c>
      <c r="E110" s="193">
        <f>Introduction!$D$8</f>
        <v>0</v>
      </c>
      <c r="F110" s="193" t="s">
        <v>488</v>
      </c>
      <c r="G110" s="193" t="s">
        <v>489</v>
      </c>
      <c r="H110" s="195">
        <f>'Site Information'!B114</f>
        <v>0</v>
      </c>
      <c r="I110" s="194"/>
      <c r="J110" s="193">
        <f>'Site Information'!C114</f>
        <v>0</v>
      </c>
      <c r="K110" s="193">
        <f>'Site Information'!D114</f>
        <v>0</v>
      </c>
      <c r="L110" s="193">
        <f>'Site Information'!E114</f>
        <v>0</v>
      </c>
      <c r="M110" s="237"/>
      <c r="N110" s="237"/>
      <c r="O110" s="237"/>
      <c r="P110" s="237"/>
      <c r="Q110" s="237"/>
      <c r="R110" s="193">
        <f>'Site Information'!F114</f>
        <v>0</v>
      </c>
      <c r="S110" s="237"/>
      <c r="T110" s="237"/>
      <c r="U110" s="237"/>
      <c r="V110" s="237"/>
      <c r="W110" s="237"/>
      <c r="X110" s="237"/>
      <c r="Y110" s="237"/>
      <c r="Z110" s="237"/>
      <c r="AA110" s="237"/>
      <c r="AB110" s="237"/>
      <c r="AC110" s="237"/>
      <c r="AD110" s="237"/>
      <c r="AE110" s="237"/>
      <c r="AF110" s="237"/>
      <c r="AG110" s="237"/>
      <c r="AI110" s="193"/>
      <c r="AJ110" s="193"/>
    </row>
    <row r="111" spans="2:36" x14ac:dyDescent="0.35">
      <c r="B111" s="193" t="e">
        <f>"2024"&amp;MATCH(Totals!D111,OrgType,0)&amp;"_"&amp;MATCH(Totals!E111,Organisations,0)&amp;"_"&amp;LEFT(Totals!F111,1)&amp;"_"&amp;LEFT(G111,1)&amp;"_"&amp;COUNTIF($G$3:G111,G111)</f>
        <v>#N/A</v>
      </c>
      <c r="C111" s="193">
        <v>2025</v>
      </c>
      <c r="D111" s="193">
        <f>Introduction!$D$7</f>
        <v>0</v>
      </c>
      <c r="E111" s="193">
        <f>Introduction!$D$8</f>
        <v>0</v>
      </c>
      <c r="F111" s="193" t="s">
        <v>488</v>
      </c>
      <c r="G111" s="193" t="s">
        <v>489</v>
      </c>
      <c r="H111" s="195">
        <f>'Site Information'!B115</f>
        <v>0</v>
      </c>
      <c r="I111" s="194"/>
      <c r="J111" s="193">
        <f>'Site Information'!C115</f>
        <v>0</v>
      </c>
      <c r="K111" s="193">
        <f>'Site Information'!D115</f>
        <v>0</v>
      </c>
      <c r="L111" s="193">
        <f>'Site Information'!E115</f>
        <v>0</v>
      </c>
      <c r="M111" s="237"/>
      <c r="N111" s="237"/>
      <c r="O111" s="237"/>
      <c r="P111" s="237"/>
      <c r="Q111" s="237"/>
      <c r="R111" s="193">
        <f>'Site Information'!F115</f>
        <v>0</v>
      </c>
      <c r="S111" s="237"/>
      <c r="T111" s="237"/>
      <c r="U111" s="237"/>
      <c r="V111" s="237"/>
      <c r="W111" s="237"/>
      <c r="X111" s="237"/>
      <c r="Y111" s="237"/>
      <c r="Z111" s="237"/>
      <c r="AA111" s="237"/>
      <c r="AB111" s="237"/>
      <c r="AC111" s="237"/>
      <c r="AD111" s="237"/>
      <c r="AE111" s="237"/>
      <c r="AF111" s="237"/>
      <c r="AG111" s="237"/>
      <c r="AI111" s="193"/>
      <c r="AJ111" s="193"/>
    </row>
    <row r="112" spans="2:36" x14ac:dyDescent="0.35">
      <c r="B112" s="193" t="e">
        <f>"2024"&amp;MATCH(Totals!D112,OrgType,0)&amp;"_"&amp;MATCH(Totals!E112,Organisations,0)&amp;"_"&amp;LEFT(Totals!F112,1)&amp;"_"&amp;LEFT(G112,1)&amp;"_"&amp;COUNTIF($G$3:G112,G112)</f>
        <v>#N/A</v>
      </c>
      <c r="C112" s="193">
        <v>2025</v>
      </c>
      <c r="D112" s="193">
        <f>Introduction!$D$7</f>
        <v>0</v>
      </c>
      <c r="E112" s="193">
        <f>Introduction!$D$8</f>
        <v>0</v>
      </c>
      <c r="F112" s="193" t="s">
        <v>488</v>
      </c>
      <c r="G112" s="193" t="s">
        <v>489</v>
      </c>
      <c r="H112" s="195">
        <f>'Site Information'!B116</f>
        <v>0</v>
      </c>
      <c r="I112" s="194"/>
      <c r="J112" s="193">
        <f>'Site Information'!C116</f>
        <v>0</v>
      </c>
      <c r="K112" s="193">
        <f>'Site Information'!D116</f>
        <v>0</v>
      </c>
      <c r="L112" s="193">
        <f>'Site Information'!E116</f>
        <v>0</v>
      </c>
      <c r="M112" s="237"/>
      <c r="N112" s="237"/>
      <c r="O112" s="237"/>
      <c r="P112" s="237"/>
      <c r="Q112" s="237"/>
      <c r="R112" s="193">
        <f>'Site Information'!F116</f>
        <v>0</v>
      </c>
      <c r="S112" s="237"/>
      <c r="T112" s="237"/>
      <c r="U112" s="237"/>
      <c r="V112" s="237"/>
      <c r="W112" s="237"/>
      <c r="X112" s="237"/>
      <c r="Y112" s="237"/>
      <c r="Z112" s="237"/>
      <c r="AA112" s="237"/>
      <c r="AB112" s="237"/>
      <c r="AC112" s="237"/>
      <c r="AD112" s="237"/>
      <c r="AE112" s="237"/>
      <c r="AF112" s="237"/>
      <c r="AG112" s="237"/>
      <c r="AI112" s="193"/>
      <c r="AJ112" s="193"/>
    </row>
    <row r="113" spans="2:36" x14ac:dyDescent="0.35">
      <c r="B113" s="193" t="e">
        <f>"2024"&amp;MATCH(Totals!D113,OrgType,0)&amp;"_"&amp;MATCH(Totals!E113,Organisations,0)&amp;"_"&amp;LEFT(Totals!F113,1)&amp;"_"&amp;LEFT(G113,1)&amp;"_"&amp;COUNTIF($G$3:G113,G113)</f>
        <v>#N/A</v>
      </c>
      <c r="C113" s="193">
        <v>2025</v>
      </c>
      <c r="D113" s="193">
        <f>Introduction!$D$7</f>
        <v>0</v>
      </c>
      <c r="E113" s="193">
        <f>Introduction!$D$8</f>
        <v>0</v>
      </c>
      <c r="F113" s="193" t="s">
        <v>488</v>
      </c>
      <c r="G113" s="193" t="s">
        <v>489</v>
      </c>
      <c r="H113" s="195">
        <f>'Site Information'!B117</f>
        <v>0</v>
      </c>
      <c r="I113" s="194"/>
      <c r="J113" s="193">
        <f>'Site Information'!C117</f>
        <v>0</v>
      </c>
      <c r="K113" s="193">
        <f>'Site Information'!D117</f>
        <v>0</v>
      </c>
      <c r="L113" s="193">
        <f>'Site Information'!E117</f>
        <v>0</v>
      </c>
      <c r="M113" s="237"/>
      <c r="N113" s="237"/>
      <c r="O113" s="237"/>
      <c r="P113" s="237"/>
      <c r="Q113" s="237"/>
      <c r="R113" s="193">
        <f>'Site Information'!F117</f>
        <v>0</v>
      </c>
      <c r="S113" s="237"/>
      <c r="T113" s="237"/>
      <c r="U113" s="237"/>
      <c r="V113" s="237"/>
      <c r="W113" s="237"/>
      <c r="X113" s="237"/>
      <c r="Y113" s="237"/>
      <c r="Z113" s="237"/>
      <c r="AA113" s="237"/>
      <c r="AB113" s="237"/>
      <c r="AC113" s="237"/>
      <c r="AD113" s="237"/>
      <c r="AE113" s="237"/>
      <c r="AF113" s="237"/>
      <c r="AG113" s="237"/>
      <c r="AI113" s="193"/>
      <c r="AJ113" s="193"/>
    </row>
    <row r="114" spans="2:36" x14ac:dyDescent="0.35">
      <c r="B114" s="193" t="e">
        <f>"2024"&amp;MATCH(Totals!D114,OrgType,0)&amp;"_"&amp;MATCH(Totals!E114,Organisations,0)&amp;"_"&amp;LEFT(Totals!F114,1)&amp;"_"&amp;LEFT(G114,1)&amp;"_"&amp;COUNTIF($G$3:G114,G114)</f>
        <v>#N/A</v>
      </c>
      <c r="C114" s="193">
        <v>2025</v>
      </c>
      <c r="D114" s="193">
        <f>Introduction!$D$7</f>
        <v>0</v>
      </c>
      <c r="E114" s="193">
        <f>Introduction!$D$8</f>
        <v>0</v>
      </c>
      <c r="F114" s="193" t="s">
        <v>488</v>
      </c>
      <c r="G114" s="193" t="s">
        <v>489</v>
      </c>
      <c r="H114" s="195">
        <f>'Site Information'!B118</f>
        <v>0</v>
      </c>
      <c r="I114" s="194"/>
      <c r="J114" s="193">
        <f>'Site Information'!C118</f>
        <v>0</v>
      </c>
      <c r="K114" s="193">
        <f>'Site Information'!D118</f>
        <v>0</v>
      </c>
      <c r="L114" s="193">
        <f>'Site Information'!E118</f>
        <v>0</v>
      </c>
      <c r="M114" s="237"/>
      <c r="N114" s="237"/>
      <c r="O114" s="237"/>
      <c r="P114" s="237"/>
      <c r="Q114" s="237"/>
      <c r="R114" s="193">
        <f>'Site Information'!F118</f>
        <v>0</v>
      </c>
      <c r="S114" s="237"/>
      <c r="T114" s="237"/>
      <c r="U114" s="237"/>
      <c r="V114" s="237"/>
      <c r="W114" s="237"/>
      <c r="X114" s="237"/>
      <c r="Y114" s="237"/>
      <c r="Z114" s="237"/>
      <c r="AA114" s="237"/>
      <c r="AB114" s="237"/>
      <c r="AC114" s="237"/>
      <c r="AD114" s="237"/>
      <c r="AE114" s="237"/>
      <c r="AF114" s="237"/>
      <c r="AG114" s="237"/>
      <c r="AI114" s="193"/>
      <c r="AJ114" s="193"/>
    </row>
    <row r="115" spans="2:36" x14ac:dyDescent="0.35">
      <c r="B115" s="193" t="e">
        <f>"2024"&amp;MATCH(Totals!D115,OrgType,0)&amp;"_"&amp;MATCH(Totals!E115,Organisations,0)&amp;"_"&amp;LEFT(Totals!F115,1)&amp;"_"&amp;LEFT(G115,1)&amp;"_"&amp;COUNTIF($G$3:G115,G115)</f>
        <v>#N/A</v>
      </c>
      <c r="C115" s="193">
        <v>2025</v>
      </c>
      <c r="D115" s="193">
        <f>Introduction!$D$7</f>
        <v>0</v>
      </c>
      <c r="E115" s="193">
        <f>Introduction!$D$8</f>
        <v>0</v>
      </c>
      <c r="F115" s="193" t="s">
        <v>488</v>
      </c>
      <c r="G115" s="193" t="s">
        <v>489</v>
      </c>
      <c r="H115" s="195">
        <f>'Site Information'!B119</f>
        <v>0</v>
      </c>
      <c r="I115" s="194"/>
      <c r="J115" s="193">
        <f>'Site Information'!C119</f>
        <v>0</v>
      </c>
      <c r="K115" s="193">
        <f>'Site Information'!D119</f>
        <v>0</v>
      </c>
      <c r="L115" s="193">
        <f>'Site Information'!E119</f>
        <v>0</v>
      </c>
      <c r="M115" s="237"/>
      <c r="N115" s="237"/>
      <c r="O115" s="237"/>
      <c r="P115" s="237"/>
      <c r="Q115" s="237"/>
      <c r="R115" s="193">
        <f>'Site Information'!F119</f>
        <v>0</v>
      </c>
      <c r="S115" s="237"/>
      <c r="T115" s="237"/>
      <c r="U115" s="237"/>
      <c r="V115" s="237"/>
      <c r="W115" s="237"/>
      <c r="X115" s="237"/>
      <c r="Y115" s="237"/>
      <c r="Z115" s="237"/>
      <c r="AA115" s="237"/>
      <c r="AB115" s="237"/>
      <c r="AC115" s="237"/>
      <c r="AD115" s="237"/>
      <c r="AE115" s="237"/>
      <c r="AF115" s="237"/>
      <c r="AG115" s="237"/>
      <c r="AI115" s="193"/>
      <c r="AJ115" s="193"/>
    </row>
    <row r="116" spans="2:36" x14ac:dyDescent="0.35">
      <c r="B116" s="193" t="e">
        <f>"2024"&amp;MATCH(Totals!D116,OrgType,0)&amp;"_"&amp;MATCH(Totals!E116,Organisations,0)&amp;"_"&amp;LEFT(Totals!F116,1)&amp;"_"&amp;LEFT(G116,1)&amp;"_"&amp;COUNTIF($G$3:G116,G116)</f>
        <v>#N/A</v>
      </c>
      <c r="C116" s="193">
        <v>2025</v>
      </c>
      <c r="D116" s="193">
        <f>Introduction!$D$7</f>
        <v>0</v>
      </c>
      <c r="E116" s="193">
        <f>Introduction!$D$8</f>
        <v>0</v>
      </c>
      <c r="F116" s="193" t="s">
        <v>488</v>
      </c>
      <c r="G116" s="193" t="s">
        <v>489</v>
      </c>
      <c r="H116" s="195">
        <f>'Site Information'!B120</f>
        <v>0</v>
      </c>
      <c r="I116" s="194"/>
      <c r="J116" s="193">
        <f>'Site Information'!C120</f>
        <v>0</v>
      </c>
      <c r="K116" s="193">
        <f>'Site Information'!D120</f>
        <v>0</v>
      </c>
      <c r="L116" s="193">
        <f>'Site Information'!E120</f>
        <v>0</v>
      </c>
      <c r="M116" s="237"/>
      <c r="N116" s="237"/>
      <c r="O116" s="237"/>
      <c r="P116" s="237"/>
      <c r="Q116" s="237"/>
      <c r="R116" s="193">
        <f>'Site Information'!F120</f>
        <v>0</v>
      </c>
      <c r="S116" s="237"/>
      <c r="T116" s="237"/>
      <c r="U116" s="237"/>
      <c r="V116" s="237"/>
      <c r="W116" s="237"/>
      <c r="X116" s="237"/>
      <c r="Y116" s="237"/>
      <c r="Z116" s="237"/>
      <c r="AA116" s="237"/>
      <c r="AB116" s="237"/>
      <c r="AC116" s="237"/>
      <c r="AD116" s="237"/>
      <c r="AE116" s="237"/>
      <c r="AF116" s="237"/>
      <c r="AG116" s="237"/>
      <c r="AI116" s="193"/>
      <c r="AJ116" s="193"/>
    </row>
    <row r="117" spans="2:36" x14ac:dyDescent="0.35">
      <c r="B117" s="193" t="e">
        <f>"2024"&amp;MATCH(Totals!D117,OrgType,0)&amp;"_"&amp;MATCH(Totals!E117,Organisations,0)&amp;"_"&amp;LEFT(Totals!F117,1)&amp;"_"&amp;LEFT(G117,1)&amp;"_"&amp;COUNTIF($G$3:G117,G117)</f>
        <v>#N/A</v>
      </c>
      <c r="C117" s="193">
        <v>2025</v>
      </c>
      <c r="D117" s="193">
        <f>Introduction!$D$7</f>
        <v>0</v>
      </c>
      <c r="E117" s="193">
        <f>Introduction!$D$8</f>
        <v>0</v>
      </c>
      <c r="F117" s="193" t="s">
        <v>488</v>
      </c>
      <c r="G117" s="193" t="s">
        <v>489</v>
      </c>
      <c r="H117" s="195">
        <f>'Site Information'!B121</f>
        <v>0</v>
      </c>
      <c r="I117" s="194"/>
      <c r="J117" s="193">
        <f>'Site Information'!C121</f>
        <v>0</v>
      </c>
      <c r="K117" s="193">
        <f>'Site Information'!D121</f>
        <v>0</v>
      </c>
      <c r="L117" s="193">
        <f>'Site Information'!E121</f>
        <v>0</v>
      </c>
      <c r="M117" s="237"/>
      <c r="N117" s="237"/>
      <c r="O117" s="237"/>
      <c r="P117" s="237"/>
      <c r="Q117" s="237"/>
      <c r="R117" s="193">
        <f>'Site Information'!F121</f>
        <v>0</v>
      </c>
      <c r="S117" s="237"/>
      <c r="T117" s="237"/>
      <c r="U117" s="237"/>
      <c r="V117" s="237"/>
      <c r="W117" s="237"/>
      <c r="X117" s="237"/>
      <c r="Y117" s="237"/>
      <c r="Z117" s="237"/>
      <c r="AA117" s="237"/>
      <c r="AB117" s="237"/>
      <c r="AC117" s="237"/>
      <c r="AD117" s="237"/>
      <c r="AE117" s="237"/>
      <c r="AF117" s="237"/>
      <c r="AG117" s="237"/>
      <c r="AI117" s="193"/>
      <c r="AJ117" s="193"/>
    </row>
    <row r="118" spans="2:36" x14ac:dyDescent="0.35">
      <c r="B118" s="193" t="e">
        <f>"2024"&amp;MATCH(Totals!D118,OrgType,0)&amp;"_"&amp;MATCH(Totals!E118,Organisations,0)&amp;"_"&amp;LEFT(Totals!F118,1)&amp;"_"&amp;LEFT(G118,1)&amp;"_"&amp;COUNTIF($G$3:G118,G118)</f>
        <v>#N/A</v>
      </c>
      <c r="C118" s="193">
        <v>2025</v>
      </c>
      <c r="D118" s="193">
        <f>Introduction!$D$7</f>
        <v>0</v>
      </c>
      <c r="E118" s="193">
        <f>Introduction!$D$8</f>
        <v>0</v>
      </c>
      <c r="F118" s="193" t="s">
        <v>488</v>
      </c>
      <c r="G118" s="193" t="s">
        <v>489</v>
      </c>
      <c r="H118" s="195">
        <f>'Site Information'!B122</f>
        <v>0</v>
      </c>
      <c r="I118" s="194"/>
      <c r="J118" s="193">
        <f>'Site Information'!C122</f>
        <v>0</v>
      </c>
      <c r="K118" s="193">
        <f>'Site Information'!D122</f>
        <v>0</v>
      </c>
      <c r="L118" s="193">
        <f>'Site Information'!E122</f>
        <v>0</v>
      </c>
      <c r="M118" s="237"/>
      <c r="N118" s="237"/>
      <c r="O118" s="237"/>
      <c r="P118" s="237"/>
      <c r="Q118" s="237"/>
      <c r="R118" s="193">
        <f>'Site Information'!F122</f>
        <v>0</v>
      </c>
      <c r="S118" s="237"/>
      <c r="T118" s="237"/>
      <c r="U118" s="237"/>
      <c r="V118" s="237"/>
      <c r="W118" s="237"/>
      <c r="X118" s="237"/>
      <c r="Y118" s="237"/>
      <c r="Z118" s="237"/>
      <c r="AA118" s="237"/>
      <c r="AB118" s="237"/>
      <c r="AC118" s="237"/>
      <c r="AD118" s="237"/>
      <c r="AE118" s="237"/>
      <c r="AF118" s="237"/>
      <c r="AG118" s="237"/>
      <c r="AI118" s="193"/>
      <c r="AJ118" s="193"/>
    </row>
    <row r="119" spans="2:36" x14ac:dyDescent="0.35">
      <c r="B119" s="193" t="e">
        <f>"2024"&amp;MATCH(Totals!D119,OrgType,0)&amp;"_"&amp;MATCH(Totals!E119,Organisations,0)&amp;"_"&amp;LEFT(Totals!F119,1)&amp;"_"&amp;LEFT(G119,1)&amp;"_"&amp;COUNTIF($G$3:G119,G119)</f>
        <v>#N/A</v>
      </c>
      <c r="C119" s="193">
        <v>2025</v>
      </c>
      <c r="D119" s="193">
        <f>Introduction!$D$7</f>
        <v>0</v>
      </c>
      <c r="E119" s="193">
        <f>Introduction!$D$8</f>
        <v>0</v>
      </c>
      <c r="F119" s="193" t="s">
        <v>488</v>
      </c>
      <c r="G119" s="193" t="s">
        <v>489</v>
      </c>
      <c r="H119" s="195">
        <f>'Site Information'!B123</f>
        <v>0</v>
      </c>
      <c r="I119" s="194"/>
      <c r="J119" s="193">
        <f>'Site Information'!C123</f>
        <v>0</v>
      </c>
      <c r="K119" s="193">
        <f>'Site Information'!D123</f>
        <v>0</v>
      </c>
      <c r="L119" s="193">
        <f>'Site Information'!E123</f>
        <v>0</v>
      </c>
      <c r="M119" s="237"/>
      <c r="N119" s="237"/>
      <c r="O119" s="237"/>
      <c r="P119" s="237"/>
      <c r="Q119" s="237"/>
      <c r="R119" s="193">
        <f>'Site Information'!F123</f>
        <v>0</v>
      </c>
      <c r="S119" s="237"/>
      <c r="T119" s="237"/>
      <c r="U119" s="237"/>
      <c r="V119" s="237"/>
      <c r="W119" s="237"/>
      <c r="X119" s="237"/>
      <c r="Y119" s="237"/>
      <c r="Z119" s="237"/>
      <c r="AA119" s="237"/>
      <c r="AB119" s="237"/>
      <c r="AC119" s="237"/>
      <c r="AD119" s="237"/>
      <c r="AE119" s="237"/>
      <c r="AF119" s="237"/>
      <c r="AG119" s="237"/>
      <c r="AI119" s="193"/>
      <c r="AJ119" s="193"/>
    </row>
    <row r="120" spans="2:36" x14ac:dyDescent="0.35">
      <c r="B120" s="193" t="e">
        <f>"2024"&amp;MATCH(Totals!D120,OrgType,0)&amp;"_"&amp;MATCH(Totals!E120,Organisations,0)&amp;"_"&amp;LEFT(Totals!F120,1)&amp;"_"&amp;LEFT(G120,1)&amp;"_"&amp;COUNTIF($G$3:G120,G120)</f>
        <v>#N/A</v>
      </c>
      <c r="C120" s="193">
        <v>2025</v>
      </c>
      <c r="D120" s="193">
        <f>Introduction!$D$7</f>
        <v>0</v>
      </c>
      <c r="E120" s="193">
        <f>Introduction!$D$8</f>
        <v>0</v>
      </c>
      <c r="F120" s="193" t="s">
        <v>488</v>
      </c>
      <c r="G120" s="193" t="s">
        <v>489</v>
      </c>
      <c r="H120" s="195">
        <f>'Site Information'!B124</f>
        <v>0</v>
      </c>
      <c r="I120" s="194"/>
      <c r="J120" s="193">
        <f>'Site Information'!C124</f>
        <v>0</v>
      </c>
      <c r="K120" s="193">
        <f>'Site Information'!D124</f>
        <v>0</v>
      </c>
      <c r="L120" s="193">
        <f>'Site Information'!E124</f>
        <v>0</v>
      </c>
      <c r="M120" s="237"/>
      <c r="N120" s="237"/>
      <c r="O120" s="237"/>
      <c r="P120" s="237"/>
      <c r="Q120" s="237"/>
      <c r="R120" s="193">
        <f>'Site Information'!F124</f>
        <v>0</v>
      </c>
      <c r="S120" s="237"/>
      <c r="T120" s="237"/>
      <c r="U120" s="237"/>
      <c r="V120" s="237"/>
      <c r="W120" s="237"/>
      <c r="X120" s="237"/>
      <c r="Y120" s="237"/>
      <c r="Z120" s="237"/>
      <c r="AA120" s="237"/>
      <c r="AB120" s="237"/>
      <c r="AC120" s="237"/>
      <c r="AD120" s="237"/>
      <c r="AE120" s="237"/>
      <c r="AF120" s="237"/>
      <c r="AG120" s="237"/>
      <c r="AI120" s="193"/>
      <c r="AJ120" s="193"/>
    </row>
    <row r="121" spans="2:36" x14ac:dyDescent="0.35">
      <c r="B121" s="193" t="e">
        <f>"2024"&amp;MATCH(Totals!D121,OrgType,0)&amp;"_"&amp;MATCH(Totals!E121,Organisations,0)&amp;"_"&amp;LEFT(Totals!F121,1)&amp;"_"&amp;LEFT(G121,1)&amp;"_"&amp;COUNTIF($G$3:G121,G121)</f>
        <v>#N/A</v>
      </c>
      <c r="C121" s="193">
        <v>2025</v>
      </c>
      <c r="D121" s="193">
        <f>Introduction!$D$7</f>
        <v>0</v>
      </c>
      <c r="E121" s="193">
        <f>Introduction!$D$8</f>
        <v>0</v>
      </c>
      <c r="F121" s="193" t="s">
        <v>488</v>
      </c>
      <c r="G121" s="193" t="s">
        <v>489</v>
      </c>
      <c r="H121" s="195">
        <f>'Site Information'!B125</f>
        <v>0</v>
      </c>
      <c r="I121" s="194"/>
      <c r="J121" s="193">
        <f>'Site Information'!C125</f>
        <v>0</v>
      </c>
      <c r="K121" s="193">
        <f>'Site Information'!D125</f>
        <v>0</v>
      </c>
      <c r="L121" s="193">
        <f>'Site Information'!E125</f>
        <v>0</v>
      </c>
      <c r="M121" s="237"/>
      <c r="N121" s="237"/>
      <c r="O121" s="237"/>
      <c r="P121" s="237"/>
      <c r="Q121" s="237"/>
      <c r="R121" s="193">
        <f>'Site Information'!F125</f>
        <v>0</v>
      </c>
      <c r="S121" s="237"/>
      <c r="T121" s="237"/>
      <c r="U121" s="237"/>
      <c r="V121" s="237"/>
      <c r="W121" s="237"/>
      <c r="X121" s="237"/>
      <c r="Y121" s="237"/>
      <c r="Z121" s="237"/>
      <c r="AA121" s="237"/>
      <c r="AB121" s="237"/>
      <c r="AC121" s="237"/>
      <c r="AD121" s="237"/>
      <c r="AE121" s="237"/>
      <c r="AF121" s="237"/>
      <c r="AG121" s="237"/>
      <c r="AI121" s="193"/>
      <c r="AJ121" s="193"/>
    </row>
    <row r="122" spans="2:36" x14ac:dyDescent="0.35">
      <c r="B122" s="193" t="e">
        <f>"2024"&amp;MATCH(Totals!D122,OrgType,0)&amp;"_"&amp;MATCH(Totals!E122,Organisations,0)&amp;"_"&amp;LEFT(Totals!F122,1)&amp;"_"&amp;LEFT(G122,1)&amp;"_"&amp;COUNTIF($G$3:G122,G122)</f>
        <v>#N/A</v>
      </c>
      <c r="C122" s="193">
        <v>2025</v>
      </c>
      <c r="D122" s="193">
        <f>Introduction!$D$7</f>
        <v>0</v>
      </c>
      <c r="E122" s="193">
        <f>Introduction!$D$8</f>
        <v>0</v>
      </c>
      <c r="F122" s="193" t="s">
        <v>488</v>
      </c>
      <c r="G122" s="193" t="s">
        <v>489</v>
      </c>
      <c r="H122" s="195">
        <f>'Site Information'!B126</f>
        <v>0</v>
      </c>
      <c r="I122" s="194"/>
      <c r="J122" s="193">
        <f>'Site Information'!C126</f>
        <v>0</v>
      </c>
      <c r="K122" s="193">
        <f>'Site Information'!D126</f>
        <v>0</v>
      </c>
      <c r="L122" s="193">
        <f>'Site Information'!E126</f>
        <v>0</v>
      </c>
      <c r="M122" s="237"/>
      <c r="N122" s="237"/>
      <c r="O122" s="237"/>
      <c r="P122" s="237"/>
      <c r="Q122" s="237"/>
      <c r="R122" s="193">
        <f>'Site Information'!F126</f>
        <v>0</v>
      </c>
      <c r="S122" s="237"/>
      <c r="T122" s="237"/>
      <c r="U122" s="237"/>
      <c r="V122" s="237"/>
      <c r="W122" s="237"/>
      <c r="X122" s="237"/>
      <c r="Y122" s="237"/>
      <c r="Z122" s="237"/>
      <c r="AA122" s="237"/>
      <c r="AB122" s="237"/>
      <c r="AC122" s="237"/>
      <c r="AD122" s="237"/>
      <c r="AE122" s="237"/>
      <c r="AF122" s="237"/>
      <c r="AG122" s="237"/>
      <c r="AI122" s="193"/>
      <c r="AJ122" s="193"/>
    </row>
    <row r="123" spans="2:36" x14ac:dyDescent="0.35">
      <c r="B123" s="193" t="e">
        <f>"2024"&amp;MATCH(Totals!D123,OrgType,0)&amp;"_"&amp;MATCH(Totals!E123,Organisations,0)&amp;"_"&amp;LEFT(Totals!F123,1)&amp;"_"&amp;LEFT(G123,1)&amp;"_"&amp;COUNTIF($G$3:G123,G123)</f>
        <v>#N/A</v>
      </c>
      <c r="C123" s="193">
        <v>2025</v>
      </c>
      <c r="D123" s="193">
        <f>Introduction!$D$7</f>
        <v>0</v>
      </c>
      <c r="E123" s="193">
        <f>Introduction!$D$8</f>
        <v>0</v>
      </c>
      <c r="F123" s="193" t="s">
        <v>488</v>
      </c>
      <c r="G123" s="193" t="s">
        <v>489</v>
      </c>
      <c r="H123" s="195">
        <f>'Site Information'!B127</f>
        <v>0</v>
      </c>
      <c r="I123" s="194"/>
      <c r="J123" s="193">
        <f>'Site Information'!C127</f>
        <v>0</v>
      </c>
      <c r="K123" s="193">
        <f>'Site Information'!D127</f>
        <v>0</v>
      </c>
      <c r="L123" s="193">
        <f>'Site Information'!E127</f>
        <v>0</v>
      </c>
      <c r="M123" s="237"/>
      <c r="N123" s="237"/>
      <c r="O123" s="237"/>
      <c r="P123" s="237"/>
      <c r="Q123" s="237"/>
      <c r="R123" s="193">
        <f>'Site Information'!F127</f>
        <v>0</v>
      </c>
      <c r="S123" s="237"/>
      <c r="T123" s="237"/>
      <c r="U123" s="237"/>
      <c r="V123" s="237"/>
      <c r="W123" s="237"/>
      <c r="X123" s="237"/>
      <c r="Y123" s="237"/>
      <c r="Z123" s="237"/>
      <c r="AA123" s="237"/>
      <c r="AB123" s="237"/>
      <c r="AC123" s="237"/>
      <c r="AD123" s="237"/>
      <c r="AE123" s="237"/>
      <c r="AF123" s="237"/>
      <c r="AG123" s="237"/>
      <c r="AI123" s="193"/>
      <c r="AJ123" s="193"/>
    </row>
    <row r="124" spans="2:36" x14ac:dyDescent="0.35">
      <c r="B124" s="193" t="e">
        <f>"2024"&amp;MATCH(Totals!D124,OrgType,0)&amp;"_"&amp;MATCH(Totals!E124,Organisations,0)&amp;"_"&amp;LEFT(Totals!F124,1)&amp;"_"&amp;LEFT(G124,1)&amp;"_"&amp;COUNTIF($G$3:G124,G124)</f>
        <v>#N/A</v>
      </c>
      <c r="C124" s="193">
        <v>2025</v>
      </c>
      <c r="D124" s="193">
        <f>Introduction!$D$7</f>
        <v>0</v>
      </c>
      <c r="E124" s="193">
        <f>Introduction!$D$8</f>
        <v>0</v>
      </c>
      <c r="F124" s="193" t="s">
        <v>488</v>
      </c>
      <c r="G124" s="193" t="s">
        <v>489</v>
      </c>
      <c r="H124" s="195">
        <f>'Site Information'!B128</f>
        <v>0</v>
      </c>
      <c r="I124" s="194"/>
      <c r="J124" s="193">
        <f>'Site Information'!C128</f>
        <v>0</v>
      </c>
      <c r="K124" s="193">
        <f>'Site Information'!D128</f>
        <v>0</v>
      </c>
      <c r="L124" s="193">
        <f>'Site Information'!E128</f>
        <v>0</v>
      </c>
      <c r="M124" s="237"/>
      <c r="N124" s="237"/>
      <c r="O124" s="237"/>
      <c r="P124" s="237"/>
      <c r="Q124" s="237"/>
      <c r="R124" s="193">
        <f>'Site Information'!F128</f>
        <v>0</v>
      </c>
      <c r="S124" s="237"/>
      <c r="T124" s="237"/>
      <c r="U124" s="237"/>
      <c r="V124" s="237"/>
      <c r="W124" s="237"/>
      <c r="X124" s="237"/>
      <c r="Y124" s="237"/>
      <c r="Z124" s="237"/>
      <c r="AA124" s="237"/>
      <c r="AB124" s="237"/>
      <c r="AC124" s="237"/>
      <c r="AD124" s="237"/>
      <c r="AE124" s="237"/>
      <c r="AF124" s="237"/>
      <c r="AG124" s="237"/>
      <c r="AI124" s="193"/>
      <c r="AJ124" s="193"/>
    </row>
    <row r="125" spans="2:36" x14ac:dyDescent="0.35">
      <c r="B125" s="193" t="e">
        <f>"2024"&amp;MATCH(Totals!D125,OrgType,0)&amp;"_"&amp;MATCH(Totals!E125,Organisations,0)&amp;"_"&amp;LEFT(Totals!F125,1)&amp;"_"&amp;LEFT(G125,1)&amp;"_"&amp;COUNTIF($G$3:G125,G125)</f>
        <v>#N/A</v>
      </c>
      <c r="C125" s="193">
        <v>2025</v>
      </c>
      <c r="D125" s="193">
        <f>Introduction!$D$7</f>
        <v>0</v>
      </c>
      <c r="E125" s="193">
        <f>Introduction!$D$8</f>
        <v>0</v>
      </c>
      <c r="F125" s="193" t="s">
        <v>488</v>
      </c>
      <c r="G125" s="193" t="s">
        <v>489</v>
      </c>
      <c r="H125" s="195">
        <f>'Site Information'!B129</f>
        <v>0</v>
      </c>
      <c r="I125" s="194"/>
      <c r="J125" s="193">
        <f>'Site Information'!C129</f>
        <v>0</v>
      </c>
      <c r="K125" s="193">
        <f>'Site Information'!D129</f>
        <v>0</v>
      </c>
      <c r="L125" s="193">
        <f>'Site Information'!E129</f>
        <v>0</v>
      </c>
      <c r="M125" s="237"/>
      <c r="N125" s="237"/>
      <c r="O125" s="237"/>
      <c r="P125" s="237"/>
      <c r="Q125" s="237"/>
      <c r="R125" s="193">
        <f>'Site Information'!F129</f>
        <v>0</v>
      </c>
      <c r="S125" s="237"/>
      <c r="T125" s="237"/>
      <c r="U125" s="237"/>
      <c r="V125" s="237"/>
      <c r="W125" s="237"/>
      <c r="X125" s="237"/>
      <c r="Y125" s="237"/>
      <c r="Z125" s="237"/>
      <c r="AA125" s="237"/>
      <c r="AB125" s="237"/>
      <c r="AC125" s="237"/>
      <c r="AD125" s="237"/>
      <c r="AE125" s="237"/>
      <c r="AF125" s="237"/>
      <c r="AG125" s="237"/>
      <c r="AI125" s="193"/>
      <c r="AJ125" s="193"/>
    </row>
    <row r="126" spans="2:36" x14ac:dyDescent="0.35">
      <c r="B126" s="193" t="e">
        <f>"2024"&amp;MATCH(Totals!D126,OrgType,0)&amp;"_"&amp;MATCH(Totals!E126,Organisations,0)&amp;"_"&amp;LEFT(Totals!F126,1)&amp;"_"&amp;LEFT(G126,1)&amp;"_"&amp;COUNTIF($G$3:G126,G126)</f>
        <v>#N/A</v>
      </c>
      <c r="C126" s="193">
        <v>2025</v>
      </c>
      <c r="D126" s="193">
        <f>Introduction!$D$7</f>
        <v>0</v>
      </c>
      <c r="E126" s="193">
        <f>Introduction!$D$8</f>
        <v>0</v>
      </c>
      <c r="F126" s="193" t="s">
        <v>488</v>
      </c>
      <c r="G126" s="193" t="s">
        <v>489</v>
      </c>
      <c r="H126" s="195">
        <f>'Site Information'!B130</f>
        <v>0</v>
      </c>
      <c r="I126" s="194"/>
      <c r="J126" s="193">
        <f>'Site Information'!C130</f>
        <v>0</v>
      </c>
      <c r="K126" s="193">
        <f>'Site Information'!D130</f>
        <v>0</v>
      </c>
      <c r="L126" s="193">
        <f>'Site Information'!E130</f>
        <v>0</v>
      </c>
      <c r="M126" s="237"/>
      <c r="N126" s="237"/>
      <c r="O126" s="237"/>
      <c r="P126" s="237"/>
      <c r="Q126" s="237"/>
      <c r="R126" s="193">
        <f>'Site Information'!F130</f>
        <v>0</v>
      </c>
      <c r="S126" s="237"/>
      <c r="T126" s="237"/>
      <c r="U126" s="237"/>
      <c r="V126" s="237"/>
      <c r="W126" s="237"/>
      <c r="X126" s="237"/>
      <c r="Y126" s="237"/>
      <c r="Z126" s="237"/>
      <c r="AA126" s="237"/>
      <c r="AB126" s="237"/>
      <c r="AC126" s="237"/>
      <c r="AD126" s="237"/>
      <c r="AE126" s="237"/>
      <c r="AF126" s="237"/>
      <c r="AG126" s="237"/>
      <c r="AI126" s="193"/>
      <c r="AJ126" s="193"/>
    </row>
    <row r="127" spans="2:36" x14ac:dyDescent="0.35">
      <c r="B127" s="193" t="e">
        <f>"2024"&amp;MATCH(Totals!D127,OrgType,0)&amp;"_"&amp;MATCH(Totals!E127,Organisations,0)&amp;"_"&amp;LEFT(Totals!F127,1)&amp;"_"&amp;LEFT(G127,1)&amp;"_"&amp;COUNTIF($G$3:G127,G127)</f>
        <v>#N/A</v>
      </c>
      <c r="C127" s="193">
        <v>2025</v>
      </c>
      <c r="D127" s="193">
        <f>Introduction!$D$7</f>
        <v>0</v>
      </c>
      <c r="E127" s="193">
        <f>Introduction!$D$8</f>
        <v>0</v>
      </c>
      <c r="F127" s="193" t="s">
        <v>488</v>
      </c>
      <c r="G127" s="193" t="s">
        <v>489</v>
      </c>
      <c r="H127" s="195">
        <f>'Site Information'!B131</f>
        <v>0</v>
      </c>
      <c r="I127" s="194"/>
      <c r="J127" s="193">
        <f>'Site Information'!C131</f>
        <v>0</v>
      </c>
      <c r="K127" s="193">
        <f>'Site Information'!D131</f>
        <v>0</v>
      </c>
      <c r="L127" s="193">
        <f>'Site Information'!E131</f>
        <v>0</v>
      </c>
      <c r="M127" s="237"/>
      <c r="N127" s="237"/>
      <c r="O127" s="237"/>
      <c r="P127" s="237"/>
      <c r="Q127" s="237"/>
      <c r="R127" s="193">
        <f>'Site Information'!F131</f>
        <v>0</v>
      </c>
      <c r="S127" s="237"/>
      <c r="T127" s="237"/>
      <c r="U127" s="237"/>
      <c r="V127" s="237"/>
      <c r="W127" s="237"/>
      <c r="X127" s="237"/>
      <c r="Y127" s="237"/>
      <c r="Z127" s="237"/>
      <c r="AA127" s="237"/>
      <c r="AB127" s="237"/>
      <c r="AC127" s="237"/>
      <c r="AD127" s="237"/>
      <c r="AE127" s="237"/>
      <c r="AF127" s="237"/>
      <c r="AG127" s="237"/>
      <c r="AI127" s="193"/>
      <c r="AJ127" s="193"/>
    </row>
    <row r="128" spans="2:36" x14ac:dyDescent="0.35">
      <c r="B128" s="193" t="e">
        <f>"2024"&amp;MATCH(Totals!D128,OrgType,0)&amp;"_"&amp;MATCH(Totals!E128,Organisations,0)&amp;"_"&amp;LEFT(Totals!F128,1)&amp;"_"&amp;LEFT(G128,1)&amp;"_"&amp;COUNTIF($G$3:G128,G128)</f>
        <v>#N/A</v>
      </c>
      <c r="C128" s="193">
        <v>2025</v>
      </c>
      <c r="D128" s="193">
        <f>Introduction!$D$7</f>
        <v>0</v>
      </c>
      <c r="E128" s="193">
        <f>Introduction!$D$8</f>
        <v>0</v>
      </c>
      <c r="F128" s="193" t="s">
        <v>488</v>
      </c>
      <c r="G128" s="193" t="s">
        <v>489</v>
      </c>
      <c r="H128" s="195">
        <f>'Site Information'!B132</f>
        <v>0</v>
      </c>
      <c r="I128" s="194"/>
      <c r="J128" s="193">
        <f>'Site Information'!C132</f>
        <v>0</v>
      </c>
      <c r="K128" s="193">
        <f>'Site Information'!D132</f>
        <v>0</v>
      </c>
      <c r="L128" s="193">
        <f>'Site Information'!E132</f>
        <v>0</v>
      </c>
      <c r="M128" s="237"/>
      <c r="N128" s="237"/>
      <c r="O128" s="237"/>
      <c r="P128" s="237"/>
      <c r="Q128" s="237"/>
      <c r="R128" s="193">
        <f>'Site Information'!F132</f>
        <v>0</v>
      </c>
      <c r="S128" s="237"/>
      <c r="T128" s="237"/>
      <c r="U128" s="237"/>
      <c r="V128" s="237"/>
      <c r="W128" s="237"/>
      <c r="X128" s="237"/>
      <c r="Y128" s="237"/>
      <c r="Z128" s="237"/>
      <c r="AA128" s="237"/>
      <c r="AB128" s="237"/>
      <c r="AC128" s="237"/>
      <c r="AD128" s="237"/>
      <c r="AE128" s="237"/>
      <c r="AF128" s="237"/>
      <c r="AG128" s="237"/>
      <c r="AI128" s="193"/>
      <c r="AJ128" s="193"/>
    </row>
    <row r="129" spans="2:36" x14ac:dyDescent="0.35">
      <c r="B129" s="193" t="e">
        <f>"2024"&amp;MATCH(Totals!D129,OrgType,0)&amp;"_"&amp;MATCH(Totals!E129,Organisations,0)&amp;"_"&amp;LEFT(Totals!F129,1)&amp;"_"&amp;LEFT(G129,1)&amp;"_"&amp;COUNTIF($G$3:G129,G129)</f>
        <v>#N/A</v>
      </c>
      <c r="C129" s="193">
        <v>2025</v>
      </c>
      <c r="D129" s="193">
        <f>Introduction!$D$7</f>
        <v>0</v>
      </c>
      <c r="E129" s="193">
        <f>Introduction!$D$8</f>
        <v>0</v>
      </c>
      <c r="F129" s="193" t="s">
        <v>488</v>
      </c>
      <c r="G129" s="193" t="s">
        <v>489</v>
      </c>
      <c r="H129" s="195">
        <f>'Site Information'!B133</f>
        <v>0</v>
      </c>
      <c r="I129" s="194"/>
      <c r="J129" s="193">
        <f>'Site Information'!C133</f>
        <v>0</v>
      </c>
      <c r="K129" s="193">
        <f>'Site Information'!D133</f>
        <v>0</v>
      </c>
      <c r="L129" s="193">
        <f>'Site Information'!E133</f>
        <v>0</v>
      </c>
      <c r="M129" s="237"/>
      <c r="N129" s="237"/>
      <c r="O129" s="237"/>
      <c r="P129" s="237"/>
      <c r="Q129" s="237"/>
      <c r="R129" s="193">
        <f>'Site Information'!F133</f>
        <v>0</v>
      </c>
      <c r="S129" s="237"/>
      <c r="T129" s="237"/>
      <c r="U129" s="237"/>
      <c r="V129" s="237"/>
      <c r="W129" s="237"/>
      <c r="X129" s="237"/>
      <c r="Y129" s="237"/>
      <c r="Z129" s="237"/>
      <c r="AA129" s="237"/>
      <c r="AB129" s="237"/>
      <c r="AC129" s="237"/>
      <c r="AD129" s="237"/>
      <c r="AE129" s="237"/>
      <c r="AF129" s="237"/>
      <c r="AG129" s="237"/>
      <c r="AI129" s="193"/>
      <c r="AJ129" s="193"/>
    </row>
    <row r="130" spans="2:36" x14ac:dyDescent="0.35">
      <c r="B130" s="193" t="e">
        <f>"2024"&amp;MATCH(Totals!D130,OrgType,0)&amp;"_"&amp;MATCH(Totals!E130,Organisations,0)&amp;"_"&amp;LEFT(Totals!F130,1)&amp;"_"&amp;LEFT(G130,1)&amp;"_"&amp;COUNTIF($G$3:G130,G130)</f>
        <v>#N/A</v>
      </c>
      <c r="C130" s="193">
        <v>2025</v>
      </c>
      <c r="D130" s="193">
        <f>Introduction!$D$7</f>
        <v>0</v>
      </c>
      <c r="E130" s="193">
        <f>Introduction!$D$8</f>
        <v>0</v>
      </c>
      <c r="F130" s="193" t="s">
        <v>488</v>
      </c>
      <c r="G130" s="193" t="s">
        <v>489</v>
      </c>
      <c r="H130" s="195">
        <f>'Site Information'!B134</f>
        <v>0</v>
      </c>
      <c r="I130" s="194"/>
      <c r="J130" s="193">
        <f>'Site Information'!C134</f>
        <v>0</v>
      </c>
      <c r="K130" s="193">
        <f>'Site Information'!D134</f>
        <v>0</v>
      </c>
      <c r="L130" s="193">
        <f>'Site Information'!E134</f>
        <v>0</v>
      </c>
      <c r="M130" s="237"/>
      <c r="N130" s="237"/>
      <c r="O130" s="237"/>
      <c r="P130" s="237"/>
      <c r="Q130" s="237"/>
      <c r="R130" s="193">
        <f>'Site Information'!F134</f>
        <v>0</v>
      </c>
      <c r="S130" s="237"/>
      <c r="T130" s="237"/>
      <c r="U130" s="237"/>
      <c r="V130" s="237"/>
      <c r="W130" s="237"/>
      <c r="X130" s="237"/>
      <c r="Y130" s="237"/>
      <c r="Z130" s="237"/>
      <c r="AA130" s="237"/>
      <c r="AB130" s="237"/>
      <c r="AC130" s="237"/>
      <c r="AD130" s="237"/>
      <c r="AE130" s="237"/>
      <c r="AF130" s="237"/>
      <c r="AG130" s="237"/>
      <c r="AI130" s="193"/>
      <c r="AJ130" s="193"/>
    </row>
    <row r="131" spans="2:36" x14ac:dyDescent="0.35">
      <c r="B131" s="193" t="e">
        <f>"2024"&amp;MATCH(Totals!D131,OrgType,0)&amp;"_"&amp;MATCH(Totals!E131,Organisations,0)&amp;"_"&amp;LEFT(Totals!F131,1)&amp;"_"&amp;LEFT(G131,1)&amp;"_"&amp;COUNTIF($G$3:G131,G131)</f>
        <v>#N/A</v>
      </c>
      <c r="C131" s="193">
        <v>2025</v>
      </c>
      <c r="D131" s="193">
        <f>Introduction!$D$7</f>
        <v>0</v>
      </c>
      <c r="E131" s="193">
        <f>Introduction!$D$8</f>
        <v>0</v>
      </c>
      <c r="F131" s="193" t="s">
        <v>488</v>
      </c>
      <c r="G131" s="193" t="s">
        <v>489</v>
      </c>
      <c r="H131" s="195">
        <f>'Site Information'!B135</f>
        <v>0</v>
      </c>
      <c r="I131" s="194"/>
      <c r="J131" s="193">
        <f>'Site Information'!C135</f>
        <v>0</v>
      </c>
      <c r="K131" s="193">
        <f>'Site Information'!D135</f>
        <v>0</v>
      </c>
      <c r="L131" s="193">
        <f>'Site Information'!E135</f>
        <v>0</v>
      </c>
      <c r="M131" s="237"/>
      <c r="N131" s="237"/>
      <c r="O131" s="237"/>
      <c r="P131" s="237"/>
      <c r="Q131" s="237"/>
      <c r="R131" s="193">
        <f>'Site Information'!F135</f>
        <v>0</v>
      </c>
      <c r="S131" s="237"/>
      <c r="T131" s="237"/>
      <c r="U131" s="237"/>
      <c r="V131" s="237"/>
      <c r="W131" s="237"/>
      <c r="X131" s="237"/>
      <c r="Y131" s="237"/>
      <c r="Z131" s="237"/>
      <c r="AA131" s="237"/>
      <c r="AB131" s="237"/>
      <c r="AC131" s="237"/>
      <c r="AD131" s="237"/>
      <c r="AE131" s="237"/>
      <c r="AF131" s="237"/>
      <c r="AG131" s="237"/>
      <c r="AI131" s="193"/>
      <c r="AJ131" s="193"/>
    </row>
    <row r="132" spans="2:36" x14ac:dyDescent="0.35">
      <c r="B132" s="193" t="e">
        <f>"2024"&amp;MATCH(Totals!D132,OrgType,0)&amp;"_"&amp;MATCH(Totals!E132,Organisations,0)&amp;"_"&amp;LEFT(Totals!F132,1)&amp;"_"&amp;LEFT(G132,1)&amp;"_"&amp;COUNTIF($G$3:G132,G132)</f>
        <v>#N/A</v>
      </c>
      <c r="C132" s="193">
        <v>2025</v>
      </c>
      <c r="D132" s="193">
        <f>Introduction!$D$7</f>
        <v>0</v>
      </c>
      <c r="E132" s="193">
        <f>Introduction!$D$8</f>
        <v>0</v>
      </c>
      <c r="F132" s="193" t="s">
        <v>488</v>
      </c>
      <c r="G132" s="193" t="s">
        <v>489</v>
      </c>
      <c r="H132" s="195">
        <f>'Site Information'!B136</f>
        <v>0</v>
      </c>
      <c r="I132" s="194"/>
      <c r="J132" s="193">
        <f>'Site Information'!C136</f>
        <v>0</v>
      </c>
      <c r="K132" s="193">
        <f>'Site Information'!D136</f>
        <v>0</v>
      </c>
      <c r="L132" s="193">
        <f>'Site Information'!E136</f>
        <v>0</v>
      </c>
      <c r="M132" s="237"/>
      <c r="N132" s="237"/>
      <c r="O132" s="237"/>
      <c r="P132" s="237"/>
      <c r="Q132" s="237"/>
      <c r="R132" s="193">
        <f>'Site Information'!F136</f>
        <v>0</v>
      </c>
      <c r="S132" s="237"/>
      <c r="T132" s="237"/>
      <c r="U132" s="237"/>
      <c r="V132" s="237"/>
      <c r="W132" s="237"/>
      <c r="X132" s="237"/>
      <c r="Y132" s="237"/>
      <c r="Z132" s="237"/>
      <c r="AA132" s="237"/>
      <c r="AB132" s="237"/>
      <c r="AC132" s="237"/>
      <c r="AD132" s="237"/>
      <c r="AE132" s="237"/>
      <c r="AF132" s="237"/>
      <c r="AG132" s="237"/>
      <c r="AI132" s="193"/>
      <c r="AJ132" s="193"/>
    </row>
    <row r="133" spans="2:36" x14ac:dyDescent="0.35">
      <c r="B133" s="193" t="e">
        <f>"2024"&amp;MATCH(Totals!D133,OrgType,0)&amp;"_"&amp;MATCH(Totals!E133,Organisations,0)&amp;"_"&amp;LEFT(Totals!F133,1)&amp;"_"&amp;LEFT(G133,1)&amp;"_"&amp;COUNTIF($G$3:G133,G133)</f>
        <v>#N/A</v>
      </c>
      <c r="C133" s="193">
        <v>2025</v>
      </c>
      <c r="D133" s="193">
        <f>Introduction!$D$7</f>
        <v>0</v>
      </c>
      <c r="E133" s="193">
        <f>Introduction!$D$8</f>
        <v>0</v>
      </c>
      <c r="F133" s="193" t="s">
        <v>488</v>
      </c>
      <c r="G133" s="193" t="s">
        <v>489</v>
      </c>
      <c r="H133" s="195">
        <f>'Site Information'!B137</f>
        <v>0</v>
      </c>
      <c r="I133" s="194"/>
      <c r="J133" s="193">
        <f>'Site Information'!C137</f>
        <v>0</v>
      </c>
      <c r="K133" s="193">
        <f>'Site Information'!D137</f>
        <v>0</v>
      </c>
      <c r="L133" s="193">
        <f>'Site Information'!E137</f>
        <v>0</v>
      </c>
      <c r="M133" s="237"/>
      <c r="N133" s="237"/>
      <c r="O133" s="237"/>
      <c r="P133" s="237"/>
      <c r="Q133" s="237"/>
      <c r="R133" s="193">
        <f>'Site Information'!F137</f>
        <v>0</v>
      </c>
      <c r="S133" s="237"/>
      <c r="T133" s="237"/>
      <c r="U133" s="237"/>
      <c r="V133" s="237"/>
      <c r="W133" s="237"/>
      <c r="X133" s="237"/>
      <c r="Y133" s="237"/>
      <c r="Z133" s="237"/>
      <c r="AA133" s="237"/>
      <c r="AB133" s="237"/>
      <c r="AC133" s="237"/>
      <c r="AD133" s="237"/>
      <c r="AE133" s="237"/>
      <c r="AF133" s="237"/>
      <c r="AG133" s="237"/>
      <c r="AI133" s="193"/>
      <c r="AJ133" s="193"/>
    </row>
    <row r="134" spans="2:36" x14ac:dyDescent="0.35">
      <c r="B134" s="193" t="e">
        <f>"2024"&amp;MATCH(Totals!D134,OrgType,0)&amp;"_"&amp;MATCH(Totals!E134,Organisations,0)&amp;"_"&amp;LEFT(Totals!F134,1)&amp;"_"&amp;LEFT(G134,1)&amp;"_"&amp;COUNTIF($G$3:G134,G134)</f>
        <v>#N/A</v>
      </c>
      <c r="C134" s="193">
        <v>2025</v>
      </c>
      <c r="D134" s="193">
        <f>Introduction!$D$7</f>
        <v>0</v>
      </c>
      <c r="E134" s="193">
        <f>Introduction!$D$8</f>
        <v>0</v>
      </c>
      <c r="F134" s="193" t="s">
        <v>488</v>
      </c>
      <c r="G134" s="193" t="s">
        <v>489</v>
      </c>
      <c r="H134" s="195">
        <f>'Site Information'!B138</f>
        <v>0</v>
      </c>
      <c r="I134" s="194"/>
      <c r="J134" s="193">
        <f>'Site Information'!C138</f>
        <v>0</v>
      </c>
      <c r="K134" s="193">
        <f>'Site Information'!D138</f>
        <v>0</v>
      </c>
      <c r="L134" s="193">
        <f>'Site Information'!E138</f>
        <v>0</v>
      </c>
      <c r="M134" s="237"/>
      <c r="N134" s="237"/>
      <c r="O134" s="237"/>
      <c r="P134" s="237"/>
      <c r="Q134" s="237"/>
      <c r="R134" s="193">
        <f>'Site Information'!F138</f>
        <v>0</v>
      </c>
      <c r="S134" s="237"/>
      <c r="T134" s="237"/>
      <c r="U134" s="237"/>
      <c r="V134" s="237"/>
      <c r="W134" s="237"/>
      <c r="X134" s="237"/>
      <c r="Y134" s="237"/>
      <c r="Z134" s="237"/>
      <c r="AA134" s="237"/>
      <c r="AB134" s="237"/>
      <c r="AC134" s="237"/>
      <c r="AD134" s="237"/>
      <c r="AE134" s="237"/>
      <c r="AF134" s="237"/>
      <c r="AG134" s="237"/>
      <c r="AI134" s="193"/>
      <c r="AJ134" s="193"/>
    </row>
    <row r="135" spans="2:36" x14ac:dyDescent="0.35">
      <c r="B135" s="193" t="e">
        <f>"2024"&amp;MATCH(Totals!D135,OrgType,0)&amp;"_"&amp;MATCH(Totals!E135,Organisations,0)&amp;"_"&amp;LEFT(Totals!F135,1)&amp;"_"&amp;LEFT(G135,1)&amp;"_"&amp;COUNTIF($G$3:G135,G135)</f>
        <v>#N/A</v>
      </c>
      <c r="C135" s="193">
        <v>2025</v>
      </c>
      <c r="D135" s="193">
        <f>Introduction!$D$7</f>
        <v>0</v>
      </c>
      <c r="E135" s="193">
        <f>Introduction!$D$8</f>
        <v>0</v>
      </c>
      <c r="F135" s="193" t="s">
        <v>488</v>
      </c>
      <c r="G135" s="193" t="s">
        <v>489</v>
      </c>
      <c r="H135" s="195">
        <f>'Site Information'!B139</f>
        <v>0</v>
      </c>
      <c r="I135" s="194"/>
      <c r="J135" s="193">
        <f>'Site Information'!C139</f>
        <v>0</v>
      </c>
      <c r="K135" s="193">
        <f>'Site Information'!D139</f>
        <v>0</v>
      </c>
      <c r="L135" s="193">
        <f>'Site Information'!E139</f>
        <v>0</v>
      </c>
      <c r="M135" s="237"/>
      <c r="N135" s="237"/>
      <c r="O135" s="237"/>
      <c r="P135" s="237"/>
      <c r="Q135" s="237"/>
      <c r="R135" s="193">
        <f>'Site Information'!F139</f>
        <v>0</v>
      </c>
      <c r="S135" s="237"/>
      <c r="T135" s="237"/>
      <c r="U135" s="237"/>
      <c r="V135" s="237"/>
      <c r="W135" s="237"/>
      <c r="X135" s="237"/>
      <c r="Y135" s="237"/>
      <c r="Z135" s="237"/>
      <c r="AA135" s="237"/>
      <c r="AB135" s="237"/>
      <c r="AC135" s="237"/>
      <c r="AD135" s="237"/>
      <c r="AE135" s="237"/>
      <c r="AF135" s="237"/>
      <c r="AG135" s="237"/>
      <c r="AI135" s="193"/>
      <c r="AJ135" s="193"/>
    </row>
    <row r="136" spans="2:36" x14ac:dyDescent="0.35">
      <c r="B136" s="193" t="e">
        <f>"2024"&amp;MATCH(Totals!D136,OrgType,0)&amp;"_"&amp;MATCH(Totals!E136,Organisations,0)&amp;"_"&amp;LEFT(Totals!F136,1)&amp;"_"&amp;LEFT(G136,1)&amp;"_"&amp;COUNTIF($G$3:G136,G136)</f>
        <v>#N/A</v>
      </c>
      <c r="C136" s="193">
        <v>2025</v>
      </c>
      <c r="D136" s="193">
        <f>Introduction!$D$7</f>
        <v>0</v>
      </c>
      <c r="E136" s="193">
        <f>Introduction!$D$8</f>
        <v>0</v>
      </c>
      <c r="F136" s="193" t="s">
        <v>488</v>
      </c>
      <c r="G136" s="193" t="s">
        <v>489</v>
      </c>
      <c r="H136" s="195">
        <f>'Site Information'!B140</f>
        <v>0</v>
      </c>
      <c r="I136" s="194"/>
      <c r="J136" s="193">
        <f>'Site Information'!C140</f>
        <v>0</v>
      </c>
      <c r="K136" s="193">
        <f>'Site Information'!D140</f>
        <v>0</v>
      </c>
      <c r="L136" s="193">
        <f>'Site Information'!E140</f>
        <v>0</v>
      </c>
      <c r="M136" s="237"/>
      <c r="N136" s="237"/>
      <c r="O136" s="237"/>
      <c r="P136" s="237"/>
      <c r="Q136" s="237"/>
      <c r="R136" s="193">
        <f>'Site Information'!F140</f>
        <v>0</v>
      </c>
      <c r="S136" s="237"/>
      <c r="T136" s="237"/>
      <c r="U136" s="237"/>
      <c r="V136" s="237"/>
      <c r="W136" s="237"/>
      <c r="X136" s="237"/>
      <c r="Y136" s="237"/>
      <c r="Z136" s="237"/>
      <c r="AA136" s="237"/>
      <c r="AB136" s="237"/>
      <c r="AC136" s="237"/>
      <c r="AD136" s="237"/>
      <c r="AE136" s="237"/>
      <c r="AF136" s="237"/>
      <c r="AG136" s="237"/>
      <c r="AI136" s="193"/>
      <c r="AJ136" s="193"/>
    </row>
    <row r="137" spans="2:36" x14ac:dyDescent="0.35">
      <c r="B137" s="193" t="e">
        <f>"2024"&amp;MATCH(Totals!D137,OrgType,0)&amp;"_"&amp;MATCH(Totals!E137,Organisations,0)&amp;"_"&amp;LEFT(Totals!F137,1)&amp;"_"&amp;LEFT(G137,1)&amp;"_"&amp;COUNTIF($G$3:G137,G137)</f>
        <v>#N/A</v>
      </c>
      <c r="C137" s="193">
        <v>2025</v>
      </c>
      <c r="D137" s="193">
        <f>Introduction!$D$7</f>
        <v>0</v>
      </c>
      <c r="E137" s="193">
        <f>Introduction!$D$8</f>
        <v>0</v>
      </c>
      <c r="F137" s="193" t="s">
        <v>488</v>
      </c>
      <c r="G137" s="193" t="s">
        <v>489</v>
      </c>
      <c r="H137" s="195">
        <f>'Site Information'!B141</f>
        <v>0</v>
      </c>
      <c r="I137" s="194"/>
      <c r="J137" s="193">
        <f>'Site Information'!C141</f>
        <v>0</v>
      </c>
      <c r="K137" s="193">
        <f>'Site Information'!D141</f>
        <v>0</v>
      </c>
      <c r="L137" s="193">
        <f>'Site Information'!E141</f>
        <v>0</v>
      </c>
      <c r="M137" s="237"/>
      <c r="N137" s="237"/>
      <c r="O137" s="237"/>
      <c r="P137" s="237"/>
      <c r="Q137" s="237"/>
      <c r="R137" s="193">
        <f>'Site Information'!F141</f>
        <v>0</v>
      </c>
      <c r="S137" s="237"/>
      <c r="T137" s="237"/>
      <c r="U137" s="237"/>
      <c r="V137" s="237"/>
      <c r="W137" s="237"/>
      <c r="X137" s="237"/>
      <c r="Y137" s="237"/>
      <c r="Z137" s="237"/>
      <c r="AA137" s="237"/>
      <c r="AB137" s="237"/>
      <c r="AC137" s="237"/>
      <c r="AD137" s="237"/>
      <c r="AE137" s="237"/>
      <c r="AF137" s="237"/>
      <c r="AG137" s="237"/>
      <c r="AI137" s="193"/>
      <c r="AJ137" s="193"/>
    </row>
    <row r="138" spans="2:36" x14ac:dyDescent="0.35">
      <c r="B138" s="193" t="e">
        <f>"2024"&amp;MATCH(Totals!D138,OrgType,0)&amp;"_"&amp;MATCH(Totals!E138,Organisations,0)&amp;"_"&amp;LEFT(Totals!F138,1)&amp;"_"&amp;LEFT(G138,1)&amp;"_"&amp;COUNTIF($G$3:G138,G138)</f>
        <v>#N/A</v>
      </c>
      <c r="C138" s="193">
        <v>2025</v>
      </c>
      <c r="D138" s="193">
        <f>Introduction!$D$7</f>
        <v>0</v>
      </c>
      <c r="E138" s="193">
        <f>Introduction!$D$8</f>
        <v>0</v>
      </c>
      <c r="F138" s="193" t="s">
        <v>488</v>
      </c>
      <c r="G138" s="193" t="s">
        <v>489</v>
      </c>
      <c r="H138" s="195">
        <f>'Site Information'!B142</f>
        <v>0</v>
      </c>
      <c r="I138" s="194"/>
      <c r="J138" s="193">
        <f>'Site Information'!C142</f>
        <v>0</v>
      </c>
      <c r="K138" s="193">
        <f>'Site Information'!D142</f>
        <v>0</v>
      </c>
      <c r="L138" s="193">
        <f>'Site Information'!E142</f>
        <v>0</v>
      </c>
      <c r="M138" s="237"/>
      <c r="N138" s="237"/>
      <c r="O138" s="237"/>
      <c r="P138" s="237"/>
      <c r="Q138" s="237"/>
      <c r="R138" s="193">
        <f>'Site Information'!F142</f>
        <v>0</v>
      </c>
      <c r="S138" s="237"/>
      <c r="T138" s="237"/>
      <c r="U138" s="237"/>
      <c r="V138" s="237"/>
      <c r="W138" s="237"/>
      <c r="X138" s="237"/>
      <c r="Y138" s="237"/>
      <c r="Z138" s="237"/>
      <c r="AA138" s="237"/>
      <c r="AB138" s="237"/>
      <c r="AC138" s="237"/>
      <c r="AD138" s="237"/>
      <c r="AE138" s="237"/>
      <c r="AF138" s="237"/>
      <c r="AG138" s="237"/>
      <c r="AI138" s="193"/>
      <c r="AJ138" s="193"/>
    </row>
    <row r="139" spans="2:36" x14ac:dyDescent="0.35">
      <c r="B139" s="193" t="e">
        <f>"2024"&amp;MATCH(Totals!D139,OrgType,0)&amp;"_"&amp;MATCH(Totals!E139,Organisations,0)&amp;"_"&amp;LEFT(Totals!F139,1)&amp;"_"&amp;LEFT(G139,1)&amp;"_"&amp;COUNTIF($G$3:G139,G139)</f>
        <v>#N/A</v>
      </c>
      <c r="C139" s="193">
        <v>2025</v>
      </c>
      <c r="D139" s="193">
        <f>Introduction!$D$7</f>
        <v>0</v>
      </c>
      <c r="E139" s="193">
        <f>Introduction!$D$8</f>
        <v>0</v>
      </c>
      <c r="F139" s="193" t="s">
        <v>488</v>
      </c>
      <c r="G139" s="193" t="s">
        <v>489</v>
      </c>
      <c r="H139" s="195">
        <f>'Site Information'!B143</f>
        <v>0</v>
      </c>
      <c r="I139" s="194"/>
      <c r="J139" s="193">
        <f>'Site Information'!C143</f>
        <v>0</v>
      </c>
      <c r="K139" s="193">
        <f>'Site Information'!D143</f>
        <v>0</v>
      </c>
      <c r="L139" s="193">
        <f>'Site Information'!E143</f>
        <v>0</v>
      </c>
      <c r="M139" s="237"/>
      <c r="N139" s="237"/>
      <c r="O139" s="237"/>
      <c r="P139" s="237"/>
      <c r="Q139" s="237"/>
      <c r="R139" s="193">
        <f>'Site Information'!F143</f>
        <v>0</v>
      </c>
      <c r="S139" s="237"/>
      <c r="T139" s="237"/>
      <c r="U139" s="237"/>
      <c r="V139" s="237"/>
      <c r="W139" s="237"/>
      <c r="X139" s="237"/>
      <c r="Y139" s="237"/>
      <c r="Z139" s="237"/>
      <c r="AA139" s="237"/>
      <c r="AB139" s="237"/>
      <c r="AC139" s="237"/>
      <c r="AD139" s="237"/>
      <c r="AE139" s="237"/>
      <c r="AF139" s="237"/>
      <c r="AG139" s="237"/>
      <c r="AI139" s="193"/>
      <c r="AJ139" s="193"/>
    </row>
    <row r="140" spans="2:36" x14ac:dyDescent="0.35">
      <c r="B140" s="193" t="e">
        <f>"2024"&amp;MATCH(Totals!D140,OrgType,0)&amp;"_"&amp;MATCH(Totals!E140,Organisations,0)&amp;"_"&amp;LEFT(Totals!F140,1)&amp;"_"&amp;LEFT(G140,1)&amp;"_"&amp;COUNTIF($G$3:G140,G140)</f>
        <v>#N/A</v>
      </c>
      <c r="C140" s="193">
        <v>2025</v>
      </c>
      <c r="D140" s="193">
        <f>Introduction!$D$7</f>
        <v>0</v>
      </c>
      <c r="E140" s="193">
        <f>Introduction!$D$8</f>
        <v>0</v>
      </c>
      <c r="F140" s="193" t="s">
        <v>488</v>
      </c>
      <c r="G140" s="193" t="s">
        <v>489</v>
      </c>
      <c r="H140" s="195">
        <f>'Site Information'!B144</f>
        <v>0</v>
      </c>
      <c r="I140" s="194"/>
      <c r="J140" s="193">
        <f>'Site Information'!C144</f>
        <v>0</v>
      </c>
      <c r="K140" s="193">
        <f>'Site Information'!D144</f>
        <v>0</v>
      </c>
      <c r="L140" s="193">
        <f>'Site Information'!E144</f>
        <v>0</v>
      </c>
      <c r="M140" s="237"/>
      <c r="N140" s="237"/>
      <c r="O140" s="237"/>
      <c r="P140" s="237"/>
      <c r="Q140" s="237"/>
      <c r="R140" s="193">
        <f>'Site Information'!F144</f>
        <v>0</v>
      </c>
      <c r="S140" s="237"/>
      <c r="T140" s="237"/>
      <c r="U140" s="237"/>
      <c r="V140" s="237"/>
      <c r="W140" s="237"/>
      <c r="X140" s="237"/>
      <c r="Y140" s="237"/>
      <c r="Z140" s="237"/>
      <c r="AA140" s="237"/>
      <c r="AB140" s="237"/>
      <c r="AC140" s="237"/>
      <c r="AD140" s="237"/>
      <c r="AE140" s="237"/>
      <c r="AF140" s="237"/>
      <c r="AG140" s="237"/>
      <c r="AI140" s="193"/>
      <c r="AJ140" s="193"/>
    </row>
    <row r="141" spans="2:36" x14ac:dyDescent="0.35">
      <c r="B141" s="193" t="e">
        <f>"2024"&amp;MATCH(Totals!D141,OrgType,0)&amp;"_"&amp;MATCH(Totals!E141,Organisations,0)&amp;"_"&amp;LEFT(Totals!F141,1)&amp;"_"&amp;LEFT(G141,1)&amp;"_"&amp;COUNTIF($G$3:G141,G141)</f>
        <v>#N/A</v>
      </c>
      <c r="C141" s="193">
        <v>2025</v>
      </c>
      <c r="D141" s="193">
        <f>Introduction!$D$7</f>
        <v>0</v>
      </c>
      <c r="E141" s="193">
        <f>Introduction!$D$8</f>
        <v>0</v>
      </c>
      <c r="F141" s="193" t="s">
        <v>488</v>
      </c>
      <c r="G141" s="193" t="s">
        <v>489</v>
      </c>
      <c r="H141" s="195">
        <f>'Site Information'!B145</f>
        <v>0</v>
      </c>
      <c r="I141" s="194"/>
      <c r="J141" s="193">
        <f>'Site Information'!C145</f>
        <v>0</v>
      </c>
      <c r="K141" s="193">
        <f>'Site Information'!D145</f>
        <v>0</v>
      </c>
      <c r="L141" s="193">
        <f>'Site Information'!E145</f>
        <v>0</v>
      </c>
      <c r="M141" s="237"/>
      <c r="N141" s="237"/>
      <c r="O141" s="237"/>
      <c r="P141" s="237"/>
      <c r="Q141" s="237"/>
      <c r="R141" s="193">
        <f>'Site Information'!F145</f>
        <v>0</v>
      </c>
      <c r="S141" s="237"/>
      <c r="T141" s="237"/>
      <c r="U141" s="237"/>
      <c r="V141" s="237"/>
      <c r="W141" s="237"/>
      <c r="X141" s="237"/>
      <c r="Y141" s="237"/>
      <c r="Z141" s="237"/>
      <c r="AA141" s="237"/>
      <c r="AB141" s="237"/>
      <c r="AC141" s="237"/>
      <c r="AD141" s="237"/>
      <c r="AE141" s="237"/>
      <c r="AF141" s="237"/>
      <c r="AG141" s="237"/>
      <c r="AI141" s="193"/>
      <c r="AJ141" s="193"/>
    </row>
    <row r="142" spans="2:36" x14ac:dyDescent="0.35">
      <c r="B142" s="193" t="e">
        <f>"2024"&amp;MATCH(Totals!D142,OrgType,0)&amp;"_"&amp;MATCH(Totals!E142,Organisations,0)&amp;"_"&amp;LEFT(Totals!F142,1)&amp;"_"&amp;LEFT(G142,1)&amp;"_"&amp;COUNTIF($G$3:G142,G142)</f>
        <v>#N/A</v>
      </c>
      <c r="C142" s="193">
        <v>2025</v>
      </c>
      <c r="D142" s="193">
        <f>Introduction!$D$7</f>
        <v>0</v>
      </c>
      <c r="E142" s="193">
        <f>Introduction!$D$8</f>
        <v>0</v>
      </c>
      <c r="F142" s="193" t="s">
        <v>488</v>
      </c>
      <c r="G142" s="193" t="s">
        <v>489</v>
      </c>
      <c r="H142" s="195">
        <f>'Site Information'!B146</f>
        <v>0</v>
      </c>
      <c r="I142" s="194"/>
      <c r="J142" s="193">
        <f>'Site Information'!C146</f>
        <v>0</v>
      </c>
      <c r="K142" s="193">
        <f>'Site Information'!D146</f>
        <v>0</v>
      </c>
      <c r="L142" s="193">
        <f>'Site Information'!E146</f>
        <v>0</v>
      </c>
      <c r="M142" s="237"/>
      <c r="N142" s="237"/>
      <c r="O142" s="237"/>
      <c r="P142" s="237"/>
      <c r="Q142" s="237"/>
      <c r="R142" s="193">
        <f>'Site Information'!F146</f>
        <v>0</v>
      </c>
      <c r="S142" s="237"/>
      <c r="T142" s="237"/>
      <c r="U142" s="237"/>
      <c r="V142" s="237"/>
      <c r="W142" s="237"/>
      <c r="X142" s="237"/>
      <c r="Y142" s="237"/>
      <c r="Z142" s="237"/>
      <c r="AA142" s="237"/>
      <c r="AB142" s="237"/>
      <c r="AC142" s="237"/>
      <c r="AD142" s="237"/>
      <c r="AE142" s="237"/>
      <c r="AF142" s="237"/>
      <c r="AG142" s="237"/>
      <c r="AI142" s="193"/>
      <c r="AJ142" s="193"/>
    </row>
    <row r="143" spans="2:36" x14ac:dyDescent="0.35">
      <c r="B143" s="193" t="e">
        <f>"2024"&amp;MATCH(Totals!D143,OrgType,0)&amp;"_"&amp;MATCH(Totals!E143,Organisations,0)&amp;"_"&amp;LEFT(Totals!F143,1)&amp;"_"&amp;LEFT(G143,1)&amp;"_"&amp;COUNTIF($G$3:G143,G143)</f>
        <v>#N/A</v>
      </c>
      <c r="C143" s="193">
        <v>2025</v>
      </c>
      <c r="D143" s="193">
        <f>Introduction!$D$7</f>
        <v>0</v>
      </c>
      <c r="E143" s="193">
        <f>Introduction!$D$8</f>
        <v>0</v>
      </c>
      <c r="F143" s="193" t="s">
        <v>488</v>
      </c>
      <c r="G143" s="193" t="s">
        <v>489</v>
      </c>
      <c r="H143" s="195">
        <f>'Site Information'!B147</f>
        <v>0</v>
      </c>
      <c r="I143" s="194"/>
      <c r="J143" s="193">
        <f>'Site Information'!C147</f>
        <v>0</v>
      </c>
      <c r="K143" s="193">
        <f>'Site Information'!D147</f>
        <v>0</v>
      </c>
      <c r="L143" s="193">
        <f>'Site Information'!E147</f>
        <v>0</v>
      </c>
      <c r="M143" s="237"/>
      <c r="N143" s="237"/>
      <c r="O143" s="237"/>
      <c r="P143" s="237"/>
      <c r="Q143" s="237"/>
      <c r="R143" s="193">
        <f>'Site Information'!F147</f>
        <v>0</v>
      </c>
      <c r="S143" s="237"/>
      <c r="T143" s="237"/>
      <c r="U143" s="237"/>
      <c r="V143" s="237"/>
      <c r="W143" s="237"/>
      <c r="X143" s="237"/>
      <c r="Y143" s="237"/>
      <c r="Z143" s="237"/>
      <c r="AA143" s="237"/>
      <c r="AB143" s="237"/>
      <c r="AC143" s="237"/>
      <c r="AD143" s="237"/>
      <c r="AE143" s="237"/>
      <c r="AF143" s="237"/>
      <c r="AG143" s="237"/>
      <c r="AI143" s="193"/>
      <c r="AJ143" s="193"/>
    </row>
    <row r="144" spans="2:36" x14ac:dyDescent="0.35">
      <c r="B144" s="193" t="e">
        <f>"2024"&amp;MATCH(Totals!D144,OrgType,0)&amp;"_"&amp;MATCH(Totals!E144,Organisations,0)&amp;"_"&amp;LEFT(Totals!F144,1)&amp;"_"&amp;LEFT(G144,1)&amp;"_"&amp;COUNTIF($G$3:G144,G144)</f>
        <v>#N/A</v>
      </c>
      <c r="C144" s="193">
        <v>2025</v>
      </c>
      <c r="D144" s="193">
        <f>Introduction!$D$7</f>
        <v>0</v>
      </c>
      <c r="E144" s="193">
        <f>Introduction!$D$8</f>
        <v>0</v>
      </c>
      <c r="F144" s="193" t="s">
        <v>488</v>
      </c>
      <c r="G144" s="193" t="s">
        <v>489</v>
      </c>
      <c r="H144" s="195">
        <f>'Site Information'!B148</f>
        <v>0</v>
      </c>
      <c r="I144" s="194"/>
      <c r="J144" s="193">
        <f>'Site Information'!C148</f>
        <v>0</v>
      </c>
      <c r="K144" s="193">
        <f>'Site Information'!D148</f>
        <v>0</v>
      </c>
      <c r="L144" s="193">
        <f>'Site Information'!E148</f>
        <v>0</v>
      </c>
      <c r="M144" s="237"/>
      <c r="N144" s="237"/>
      <c r="O144" s="237"/>
      <c r="P144" s="237"/>
      <c r="Q144" s="237"/>
      <c r="R144" s="193">
        <f>'Site Information'!F148</f>
        <v>0</v>
      </c>
      <c r="S144" s="237"/>
      <c r="T144" s="237"/>
      <c r="U144" s="237"/>
      <c r="V144" s="237"/>
      <c r="W144" s="237"/>
      <c r="X144" s="237"/>
      <c r="Y144" s="237"/>
      <c r="Z144" s="237"/>
      <c r="AA144" s="237"/>
      <c r="AB144" s="237"/>
      <c r="AC144" s="237"/>
      <c r="AD144" s="237"/>
      <c r="AE144" s="237"/>
      <c r="AF144" s="237"/>
      <c r="AG144" s="237"/>
      <c r="AI144" s="193"/>
      <c r="AJ144" s="193"/>
    </row>
    <row r="145" spans="2:36" x14ac:dyDescent="0.35">
      <c r="B145" s="193" t="e">
        <f>"2024"&amp;MATCH(Totals!D145,OrgType,0)&amp;"_"&amp;MATCH(Totals!E145,Organisations,0)&amp;"_"&amp;LEFT(Totals!F145,1)&amp;"_"&amp;LEFT(G145,1)&amp;"_"&amp;COUNTIF($G$3:G145,G145)</f>
        <v>#N/A</v>
      </c>
      <c r="C145" s="193">
        <v>2025</v>
      </c>
      <c r="D145" s="193">
        <f>Introduction!$D$7</f>
        <v>0</v>
      </c>
      <c r="E145" s="193">
        <f>Introduction!$D$8</f>
        <v>0</v>
      </c>
      <c r="F145" s="193" t="s">
        <v>488</v>
      </c>
      <c r="G145" s="193" t="s">
        <v>489</v>
      </c>
      <c r="H145" s="195">
        <f>'Site Information'!B149</f>
        <v>0</v>
      </c>
      <c r="I145" s="194"/>
      <c r="J145" s="193">
        <f>'Site Information'!C149</f>
        <v>0</v>
      </c>
      <c r="K145" s="193">
        <f>'Site Information'!D149</f>
        <v>0</v>
      </c>
      <c r="L145" s="193">
        <f>'Site Information'!E149</f>
        <v>0</v>
      </c>
      <c r="M145" s="237"/>
      <c r="N145" s="237"/>
      <c r="O145" s="237"/>
      <c r="P145" s="237"/>
      <c r="Q145" s="237"/>
      <c r="R145" s="193">
        <f>'Site Information'!F149</f>
        <v>0</v>
      </c>
      <c r="S145" s="237"/>
      <c r="T145" s="237"/>
      <c r="U145" s="237"/>
      <c r="V145" s="237"/>
      <c r="W145" s="237"/>
      <c r="X145" s="237"/>
      <c r="Y145" s="237"/>
      <c r="Z145" s="237"/>
      <c r="AA145" s="237"/>
      <c r="AB145" s="237"/>
      <c r="AC145" s="237"/>
      <c r="AD145" s="237"/>
      <c r="AE145" s="237"/>
      <c r="AF145" s="237"/>
      <c r="AG145" s="237"/>
      <c r="AI145" s="193"/>
      <c r="AJ145" s="193"/>
    </row>
    <row r="146" spans="2:36" x14ac:dyDescent="0.35">
      <c r="B146" s="193" t="e">
        <f>"2024"&amp;MATCH(Totals!D146,OrgType,0)&amp;"_"&amp;MATCH(Totals!E146,Organisations,0)&amp;"_"&amp;LEFT(Totals!F146,1)&amp;"_"&amp;LEFT(G146,1)&amp;"_"&amp;COUNTIF($G$3:G146,G146)</f>
        <v>#N/A</v>
      </c>
      <c r="C146" s="193">
        <v>2025</v>
      </c>
      <c r="D146" s="193">
        <f>Introduction!$D$7</f>
        <v>0</v>
      </c>
      <c r="E146" s="193">
        <f>Introduction!$D$8</f>
        <v>0</v>
      </c>
      <c r="F146" s="193" t="s">
        <v>488</v>
      </c>
      <c r="G146" s="193" t="s">
        <v>489</v>
      </c>
      <c r="H146" s="195">
        <f>'Site Information'!B150</f>
        <v>0</v>
      </c>
      <c r="I146" s="194"/>
      <c r="J146" s="193">
        <f>'Site Information'!C150</f>
        <v>0</v>
      </c>
      <c r="K146" s="193">
        <f>'Site Information'!D150</f>
        <v>0</v>
      </c>
      <c r="L146" s="193">
        <f>'Site Information'!E150</f>
        <v>0</v>
      </c>
      <c r="M146" s="237"/>
      <c r="N146" s="237"/>
      <c r="O146" s="237"/>
      <c r="P146" s="237"/>
      <c r="Q146" s="237"/>
      <c r="R146" s="193">
        <f>'Site Information'!F150</f>
        <v>0</v>
      </c>
      <c r="S146" s="237"/>
      <c r="T146" s="237"/>
      <c r="U146" s="237"/>
      <c r="V146" s="237"/>
      <c r="W146" s="237"/>
      <c r="X146" s="237"/>
      <c r="Y146" s="237"/>
      <c r="Z146" s="237"/>
      <c r="AA146" s="237"/>
      <c r="AB146" s="237"/>
      <c r="AC146" s="237"/>
      <c r="AD146" s="237"/>
      <c r="AE146" s="237"/>
      <c r="AF146" s="237"/>
      <c r="AG146" s="237"/>
      <c r="AI146" s="193"/>
      <c r="AJ146" s="193"/>
    </row>
    <row r="147" spans="2:36" x14ac:dyDescent="0.35">
      <c r="B147" s="193" t="e">
        <f>"2024"&amp;MATCH(Totals!D147,OrgType,0)&amp;"_"&amp;MATCH(Totals!E147,Organisations,0)&amp;"_"&amp;LEFT(Totals!F147,1)&amp;"_"&amp;LEFT(G147,1)&amp;"_"&amp;COUNTIF($G$3:G147,G147)</f>
        <v>#N/A</v>
      </c>
      <c r="C147" s="193">
        <v>2025</v>
      </c>
      <c r="D147" s="193">
        <f>Introduction!$D$7</f>
        <v>0</v>
      </c>
      <c r="E147" s="193">
        <f>Introduction!$D$8</f>
        <v>0</v>
      </c>
      <c r="F147" s="193" t="s">
        <v>488</v>
      </c>
      <c r="G147" s="193" t="s">
        <v>489</v>
      </c>
      <c r="H147" s="195">
        <f>'Site Information'!B151</f>
        <v>0</v>
      </c>
      <c r="I147" s="194"/>
      <c r="J147" s="193">
        <f>'Site Information'!C151</f>
        <v>0</v>
      </c>
      <c r="K147" s="193">
        <f>'Site Information'!D151</f>
        <v>0</v>
      </c>
      <c r="L147" s="193">
        <f>'Site Information'!E151</f>
        <v>0</v>
      </c>
      <c r="M147" s="237"/>
      <c r="N147" s="237"/>
      <c r="O147" s="237"/>
      <c r="P147" s="237"/>
      <c r="Q147" s="237"/>
      <c r="R147" s="193">
        <f>'Site Information'!F151</f>
        <v>0</v>
      </c>
      <c r="S147" s="237"/>
      <c r="T147" s="237"/>
      <c r="U147" s="237"/>
      <c r="V147" s="237"/>
      <c r="W147" s="237"/>
      <c r="X147" s="237"/>
      <c r="Y147" s="237"/>
      <c r="Z147" s="237"/>
      <c r="AA147" s="237"/>
      <c r="AB147" s="237"/>
      <c r="AC147" s="237"/>
      <c r="AD147" s="237"/>
      <c r="AE147" s="237"/>
      <c r="AF147" s="237"/>
      <c r="AG147" s="237"/>
      <c r="AI147" s="193"/>
      <c r="AJ147" s="193"/>
    </row>
    <row r="148" spans="2:36" x14ac:dyDescent="0.35">
      <c r="B148" s="193" t="e">
        <f>"2024"&amp;MATCH(Totals!D148,OrgType,0)&amp;"_"&amp;MATCH(Totals!E148,Organisations,0)&amp;"_"&amp;LEFT(Totals!F148,1)&amp;"_"&amp;LEFT(G148,1)&amp;"_"&amp;COUNTIF($G$3:G148,G148)</f>
        <v>#N/A</v>
      </c>
      <c r="C148" s="193">
        <v>2025</v>
      </c>
      <c r="D148" s="193">
        <f>Introduction!$D$7</f>
        <v>0</v>
      </c>
      <c r="E148" s="193">
        <f>Introduction!$D$8</f>
        <v>0</v>
      </c>
      <c r="F148" s="193" t="s">
        <v>488</v>
      </c>
      <c r="G148" s="193" t="s">
        <v>489</v>
      </c>
      <c r="H148" s="195">
        <f>'Site Information'!B152</f>
        <v>0</v>
      </c>
      <c r="I148" s="194"/>
      <c r="J148" s="193">
        <f>'Site Information'!C152</f>
        <v>0</v>
      </c>
      <c r="K148" s="193">
        <f>'Site Information'!D152</f>
        <v>0</v>
      </c>
      <c r="L148" s="193">
        <f>'Site Information'!E152</f>
        <v>0</v>
      </c>
      <c r="M148" s="237"/>
      <c r="N148" s="237"/>
      <c r="O148" s="237"/>
      <c r="P148" s="237"/>
      <c r="Q148" s="237"/>
      <c r="R148" s="193">
        <f>'Site Information'!F152</f>
        <v>0</v>
      </c>
      <c r="S148" s="237"/>
      <c r="T148" s="237"/>
      <c r="U148" s="237"/>
      <c r="V148" s="237"/>
      <c r="W148" s="237"/>
      <c r="X148" s="237"/>
      <c r="Y148" s="237"/>
      <c r="Z148" s="237"/>
      <c r="AA148" s="237"/>
      <c r="AB148" s="237"/>
      <c r="AC148" s="237"/>
      <c r="AD148" s="237"/>
      <c r="AE148" s="237"/>
      <c r="AF148" s="237"/>
      <c r="AG148" s="237"/>
      <c r="AI148" s="193"/>
      <c r="AJ148" s="193"/>
    </row>
    <row r="149" spans="2:36" x14ac:dyDescent="0.35">
      <c r="B149" s="193" t="e">
        <f>"2024"&amp;MATCH(Totals!D149,OrgType,0)&amp;"_"&amp;MATCH(Totals!E149,Organisations,0)&amp;"_"&amp;LEFT(Totals!F149,1)&amp;"_"&amp;LEFT(G149,1)&amp;"_"&amp;COUNTIF($G$3:G149,G149)</f>
        <v>#N/A</v>
      </c>
      <c r="C149" s="193">
        <v>2025</v>
      </c>
      <c r="D149" s="193">
        <f>Introduction!$D$7</f>
        <v>0</v>
      </c>
      <c r="E149" s="193">
        <f>Introduction!$D$8</f>
        <v>0</v>
      </c>
      <c r="F149" s="193" t="s">
        <v>488</v>
      </c>
      <c r="G149" s="193" t="s">
        <v>489</v>
      </c>
      <c r="H149" s="195">
        <f>'Site Information'!B153</f>
        <v>0</v>
      </c>
      <c r="I149" s="194"/>
      <c r="J149" s="193">
        <f>'Site Information'!C153</f>
        <v>0</v>
      </c>
      <c r="K149" s="193">
        <f>'Site Information'!D153</f>
        <v>0</v>
      </c>
      <c r="L149" s="193">
        <f>'Site Information'!E153</f>
        <v>0</v>
      </c>
      <c r="M149" s="237"/>
      <c r="N149" s="237"/>
      <c r="O149" s="237"/>
      <c r="P149" s="237"/>
      <c r="Q149" s="237"/>
      <c r="R149" s="193">
        <f>'Site Information'!F153</f>
        <v>0</v>
      </c>
      <c r="S149" s="237"/>
      <c r="T149" s="237"/>
      <c r="U149" s="237"/>
      <c r="V149" s="237"/>
      <c r="W149" s="237"/>
      <c r="X149" s="237"/>
      <c r="Y149" s="237"/>
      <c r="Z149" s="237"/>
      <c r="AA149" s="237"/>
      <c r="AB149" s="237"/>
      <c r="AC149" s="237"/>
      <c r="AD149" s="237"/>
      <c r="AE149" s="237"/>
      <c r="AF149" s="237"/>
      <c r="AG149" s="237"/>
      <c r="AI149" s="193"/>
      <c r="AJ149" s="193"/>
    </row>
    <row r="150" spans="2:36" x14ac:dyDescent="0.35">
      <c r="B150" s="193" t="e">
        <f>"2024"&amp;MATCH(Totals!D150,OrgType,0)&amp;"_"&amp;MATCH(Totals!E150,Organisations,0)&amp;"_"&amp;LEFT(Totals!F150,1)&amp;"_"&amp;LEFT(G150,1)&amp;"_"&amp;COUNTIF($G$3:G150,G150)</f>
        <v>#N/A</v>
      </c>
      <c r="C150" s="193">
        <v>2025</v>
      </c>
      <c r="D150" s="193">
        <f>Introduction!$D$7</f>
        <v>0</v>
      </c>
      <c r="E150" s="193">
        <f>Introduction!$D$8</f>
        <v>0</v>
      </c>
      <c r="F150" s="193" t="s">
        <v>488</v>
      </c>
      <c r="G150" s="193" t="s">
        <v>489</v>
      </c>
      <c r="H150" s="195">
        <f>'Site Information'!B154</f>
        <v>0</v>
      </c>
      <c r="I150" s="194"/>
      <c r="J150" s="193">
        <f>'Site Information'!C154</f>
        <v>0</v>
      </c>
      <c r="K150" s="193">
        <f>'Site Information'!D154</f>
        <v>0</v>
      </c>
      <c r="L150" s="193">
        <f>'Site Information'!E154</f>
        <v>0</v>
      </c>
      <c r="M150" s="237"/>
      <c r="N150" s="237"/>
      <c r="O150" s="237"/>
      <c r="P150" s="237"/>
      <c r="Q150" s="237"/>
      <c r="R150" s="193">
        <f>'Site Information'!F154</f>
        <v>0</v>
      </c>
      <c r="S150" s="237"/>
      <c r="T150" s="237"/>
      <c r="U150" s="237"/>
      <c r="V150" s="237"/>
      <c r="W150" s="237"/>
      <c r="X150" s="237"/>
      <c r="Y150" s="237"/>
      <c r="Z150" s="237"/>
      <c r="AA150" s="237"/>
      <c r="AB150" s="237"/>
      <c r="AC150" s="237"/>
      <c r="AD150" s="237"/>
      <c r="AE150" s="237"/>
      <c r="AF150" s="237"/>
      <c r="AG150" s="237"/>
      <c r="AI150" s="193"/>
      <c r="AJ150" s="193"/>
    </row>
    <row r="151" spans="2:36" x14ac:dyDescent="0.35">
      <c r="B151" s="193" t="e">
        <f>"2024"&amp;MATCH(Totals!D151,OrgType,0)&amp;"_"&amp;MATCH(Totals!E151,Organisations,0)&amp;"_"&amp;LEFT(Totals!F151,1)&amp;"_"&amp;LEFT(G151,1)&amp;"_"&amp;COUNTIF($G$3:G151,G151)</f>
        <v>#N/A</v>
      </c>
      <c r="C151" s="193">
        <v>2025</v>
      </c>
      <c r="D151" s="193">
        <f>Introduction!$D$7</f>
        <v>0</v>
      </c>
      <c r="E151" s="193">
        <f>Introduction!$D$8</f>
        <v>0</v>
      </c>
      <c r="F151" s="193" t="s">
        <v>488</v>
      </c>
      <c r="G151" s="193" t="s">
        <v>489</v>
      </c>
      <c r="H151" s="195">
        <f>'Site Information'!B155</f>
        <v>0</v>
      </c>
      <c r="I151" s="194"/>
      <c r="J151" s="193">
        <f>'Site Information'!C155</f>
        <v>0</v>
      </c>
      <c r="K151" s="193">
        <f>'Site Information'!D155</f>
        <v>0</v>
      </c>
      <c r="L151" s="193">
        <f>'Site Information'!E155</f>
        <v>0</v>
      </c>
      <c r="M151" s="237"/>
      <c r="N151" s="237"/>
      <c r="O151" s="237"/>
      <c r="P151" s="237"/>
      <c r="Q151" s="237"/>
      <c r="R151" s="193">
        <f>'Site Information'!F155</f>
        <v>0</v>
      </c>
      <c r="S151" s="237"/>
      <c r="T151" s="237"/>
      <c r="U151" s="237"/>
      <c r="V151" s="237"/>
      <c r="W151" s="237"/>
      <c r="X151" s="237"/>
      <c r="Y151" s="237"/>
      <c r="Z151" s="237"/>
      <c r="AA151" s="237"/>
      <c r="AB151" s="237"/>
      <c r="AC151" s="237"/>
      <c r="AD151" s="237"/>
      <c r="AE151" s="237"/>
      <c r="AF151" s="237"/>
      <c r="AG151" s="237"/>
      <c r="AI151" s="193"/>
      <c r="AJ151" s="193"/>
    </row>
    <row r="152" spans="2:36" x14ac:dyDescent="0.35">
      <c r="B152" s="193" t="e">
        <f>"2024"&amp;MATCH(Totals!D152,OrgType,0)&amp;"_"&amp;MATCH(Totals!E152,Organisations,0)&amp;"_"&amp;LEFT(Totals!F152,1)&amp;"_"&amp;LEFT(G152,1)&amp;"_"&amp;COUNTIF($G$3:G152,G152)</f>
        <v>#N/A</v>
      </c>
      <c r="C152" s="193">
        <v>2025</v>
      </c>
      <c r="D152" s="193">
        <f>Introduction!$D$7</f>
        <v>0</v>
      </c>
      <c r="E152" s="193">
        <f>Introduction!$D$8</f>
        <v>0</v>
      </c>
      <c r="F152" s="193" t="s">
        <v>488</v>
      </c>
      <c r="G152" s="193" t="s">
        <v>489</v>
      </c>
      <c r="H152" s="195">
        <f>'Site Information'!B156</f>
        <v>0</v>
      </c>
      <c r="I152" s="194"/>
      <c r="J152" s="193">
        <f>'Site Information'!C156</f>
        <v>0</v>
      </c>
      <c r="K152" s="193">
        <f>'Site Information'!D156</f>
        <v>0</v>
      </c>
      <c r="L152" s="193">
        <f>'Site Information'!E156</f>
        <v>0</v>
      </c>
      <c r="M152" s="237"/>
      <c r="N152" s="237"/>
      <c r="O152" s="237"/>
      <c r="P152" s="237"/>
      <c r="Q152" s="237"/>
      <c r="R152" s="193">
        <f>'Site Information'!F156</f>
        <v>0</v>
      </c>
      <c r="S152" s="237"/>
      <c r="T152" s="237"/>
      <c r="U152" s="237"/>
      <c r="V152" s="237"/>
      <c r="W152" s="237"/>
      <c r="X152" s="237"/>
      <c r="Y152" s="237"/>
      <c r="Z152" s="237"/>
      <c r="AA152" s="237"/>
      <c r="AB152" s="237"/>
      <c r="AC152" s="237"/>
      <c r="AD152" s="237"/>
      <c r="AE152" s="237"/>
      <c r="AF152" s="237"/>
      <c r="AG152" s="237"/>
      <c r="AI152" s="193"/>
      <c r="AJ152" s="193"/>
    </row>
    <row r="153" spans="2:36" x14ac:dyDescent="0.35">
      <c r="B153" s="193" t="e">
        <f>"2024"&amp;MATCH(Totals!D153,OrgType,0)&amp;"_"&amp;MATCH(Totals!E153,Organisations,0)&amp;"_"&amp;LEFT(Totals!F153,1)&amp;"_"&amp;LEFT(G153,1)&amp;"_"&amp;COUNTIF($G$3:G153,G153)</f>
        <v>#N/A</v>
      </c>
      <c r="C153" s="193">
        <v>2025</v>
      </c>
      <c r="D153" s="193">
        <f>Introduction!$D$7</f>
        <v>0</v>
      </c>
      <c r="E153" s="193">
        <f>Introduction!$D$8</f>
        <v>0</v>
      </c>
      <c r="F153" s="193" t="s">
        <v>488</v>
      </c>
      <c r="G153" s="193" t="s">
        <v>489</v>
      </c>
      <c r="H153" s="195">
        <f>'Site Information'!B157</f>
        <v>0</v>
      </c>
      <c r="I153" s="194"/>
      <c r="J153" s="193">
        <f>'Site Information'!C157</f>
        <v>0</v>
      </c>
      <c r="K153" s="193">
        <f>'Site Information'!D157</f>
        <v>0</v>
      </c>
      <c r="L153" s="193">
        <f>'Site Information'!E157</f>
        <v>0</v>
      </c>
      <c r="M153" s="237"/>
      <c r="N153" s="237"/>
      <c r="O153" s="237"/>
      <c r="P153" s="237"/>
      <c r="Q153" s="237"/>
      <c r="R153" s="193">
        <f>'Site Information'!F157</f>
        <v>0</v>
      </c>
      <c r="S153" s="237"/>
      <c r="T153" s="237"/>
      <c r="U153" s="237"/>
      <c r="V153" s="237"/>
      <c r="W153" s="237"/>
      <c r="X153" s="237"/>
      <c r="Y153" s="237"/>
      <c r="Z153" s="237"/>
      <c r="AA153" s="237"/>
      <c r="AB153" s="237"/>
      <c r="AC153" s="237"/>
      <c r="AD153" s="237"/>
      <c r="AE153" s="237"/>
      <c r="AF153" s="237"/>
      <c r="AG153" s="237"/>
      <c r="AI153" s="193"/>
      <c r="AJ153" s="193"/>
    </row>
    <row r="154" spans="2:36" x14ac:dyDescent="0.35">
      <c r="B154" s="193" t="e">
        <f>"2024"&amp;MATCH(Totals!D154,OrgType,0)&amp;"_"&amp;MATCH(Totals!E154,Organisations,0)&amp;"_"&amp;LEFT(Totals!F154,1)&amp;"_"&amp;LEFT(G154,1)&amp;"_"&amp;COUNTIF($G$3:G154,G154)</f>
        <v>#N/A</v>
      </c>
      <c r="C154" s="193">
        <v>2025</v>
      </c>
      <c r="D154" s="193">
        <f>Introduction!$D$7</f>
        <v>0</v>
      </c>
      <c r="E154" s="193">
        <f>Introduction!$D$8</f>
        <v>0</v>
      </c>
      <c r="F154" s="193" t="s">
        <v>488</v>
      </c>
      <c r="G154" s="193" t="s">
        <v>489</v>
      </c>
      <c r="H154" s="195">
        <f>'Site Information'!B158</f>
        <v>0</v>
      </c>
      <c r="I154" s="194"/>
      <c r="J154" s="193">
        <f>'Site Information'!C158</f>
        <v>0</v>
      </c>
      <c r="K154" s="193">
        <f>'Site Information'!D158</f>
        <v>0</v>
      </c>
      <c r="L154" s="193">
        <f>'Site Information'!E158</f>
        <v>0</v>
      </c>
      <c r="M154" s="237"/>
      <c r="N154" s="237"/>
      <c r="O154" s="237"/>
      <c r="P154" s="237"/>
      <c r="Q154" s="237"/>
      <c r="R154" s="193">
        <f>'Site Information'!F158</f>
        <v>0</v>
      </c>
      <c r="S154" s="237"/>
      <c r="T154" s="237"/>
      <c r="U154" s="237"/>
      <c r="V154" s="237"/>
      <c r="W154" s="237"/>
      <c r="X154" s="237"/>
      <c r="Y154" s="237"/>
      <c r="Z154" s="237"/>
      <c r="AA154" s="237"/>
      <c r="AB154" s="237"/>
      <c r="AC154" s="237"/>
      <c r="AD154" s="237"/>
      <c r="AE154" s="237"/>
      <c r="AF154" s="237"/>
      <c r="AG154" s="237"/>
      <c r="AI154" s="193"/>
      <c r="AJ154" s="193"/>
    </row>
    <row r="155" spans="2:36" x14ac:dyDescent="0.35">
      <c r="B155" s="193" t="e">
        <f>"2024"&amp;MATCH(Totals!D155,OrgType,0)&amp;"_"&amp;MATCH(Totals!E155,Organisations,0)&amp;"_"&amp;LEFT(Totals!F155,1)&amp;"_"&amp;LEFT(G155,1)&amp;"_"&amp;COUNTIF($G$3:G155,G155)</f>
        <v>#N/A</v>
      </c>
      <c r="C155" s="193">
        <v>2025</v>
      </c>
      <c r="D155" s="193">
        <f>Introduction!$D$7</f>
        <v>0</v>
      </c>
      <c r="E155" s="193">
        <f>Introduction!$D$8</f>
        <v>0</v>
      </c>
      <c r="F155" s="193" t="s">
        <v>488</v>
      </c>
      <c r="G155" s="193" t="s">
        <v>489</v>
      </c>
      <c r="H155" s="195">
        <f>'Site Information'!B159</f>
        <v>0</v>
      </c>
      <c r="I155" s="194"/>
      <c r="J155" s="193">
        <f>'Site Information'!C159</f>
        <v>0</v>
      </c>
      <c r="K155" s="193">
        <f>'Site Information'!D159</f>
        <v>0</v>
      </c>
      <c r="L155" s="193">
        <f>'Site Information'!E159</f>
        <v>0</v>
      </c>
      <c r="M155" s="237"/>
      <c r="N155" s="237"/>
      <c r="O155" s="237"/>
      <c r="P155" s="237"/>
      <c r="Q155" s="237"/>
      <c r="R155" s="193">
        <f>'Site Information'!F159</f>
        <v>0</v>
      </c>
      <c r="S155" s="237"/>
      <c r="T155" s="237"/>
      <c r="U155" s="237"/>
      <c r="V155" s="237"/>
      <c r="W155" s="237"/>
      <c r="X155" s="237"/>
      <c r="Y155" s="237"/>
      <c r="Z155" s="237"/>
      <c r="AA155" s="237"/>
      <c r="AB155" s="237"/>
      <c r="AC155" s="237"/>
      <c r="AD155" s="237"/>
      <c r="AE155" s="237"/>
      <c r="AF155" s="237"/>
      <c r="AG155" s="237"/>
      <c r="AI155" s="193"/>
      <c r="AJ155" s="193"/>
    </row>
    <row r="156" spans="2:36" x14ac:dyDescent="0.35">
      <c r="B156" s="193" t="e">
        <f>"2024"&amp;MATCH(Totals!D156,OrgType,0)&amp;"_"&amp;MATCH(Totals!E156,Organisations,0)&amp;"_"&amp;LEFT(Totals!F156,1)&amp;"_"&amp;LEFT(G156,1)&amp;"_"&amp;COUNTIF($G$3:G156,G156)</f>
        <v>#N/A</v>
      </c>
      <c r="C156" s="193">
        <v>2025</v>
      </c>
      <c r="D156" s="193">
        <f>Introduction!$D$7</f>
        <v>0</v>
      </c>
      <c r="E156" s="193">
        <f>Introduction!$D$8</f>
        <v>0</v>
      </c>
      <c r="F156" s="193" t="s">
        <v>488</v>
      </c>
      <c r="G156" s="193" t="s">
        <v>489</v>
      </c>
      <c r="H156" s="195">
        <f>'Site Information'!B160</f>
        <v>0</v>
      </c>
      <c r="I156" s="194"/>
      <c r="J156" s="193">
        <f>'Site Information'!C160</f>
        <v>0</v>
      </c>
      <c r="K156" s="193">
        <f>'Site Information'!D160</f>
        <v>0</v>
      </c>
      <c r="L156" s="193">
        <f>'Site Information'!E160</f>
        <v>0</v>
      </c>
      <c r="M156" s="237"/>
      <c r="N156" s="237"/>
      <c r="O156" s="237"/>
      <c r="P156" s="237"/>
      <c r="Q156" s="237"/>
      <c r="R156" s="193">
        <f>'Site Information'!F160</f>
        <v>0</v>
      </c>
      <c r="S156" s="237"/>
      <c r="T156" s="237"/>
      <c r="U156" s="237"/>
      <c r="V156" s="237"/>
      <c r="W156" s="237"/>
      <c r="X156" s="237"/>
      <c r="Y156" s="237"/>
      <c r="Z156" s="237"/>
      <c r="AA156" s="237"/>
      <c r="AB156" s="237"/>
      <c r="AC156" s="237"/>
      <c r="AD156" s="237"/>
      <c r="AE156" s="237"/>
      <c r="AF156" s="237"/>
      <c r="AG156" s="237"/>
      <c r="AI156" s="193"/>
      <c r="AJ156" s="193"/>
    </row>
    <row r="157" spans="2:36" x14ac:dyDescent="0.35">
      <c r="B157" s="193" t="e">
        <f>"2024"&amp;MATCH(Totals!D157,OrgType,0)&amp;"_"&amp;MATCH(Totals!E157,Organisations,0)&amp;"_"&amp;LEFT(Totals!F157,1)&amp;"_"&amp;LEFT(G157,1)&amp;"_"&amp;COUNTIF($G$3:G157,G157)</f>
        <v>#N/A</v>
      </c>
      <c r="C157" s="193">
        <v>2025</v>
      </c>
      <c r="D157" s="193">
        <f>Introduction!$D$7</f>
        <v>0</v>
      </c>
      <c r="E157" s="193">
        <f>Introduction!$D$8</f>
        <v>0</v>
      </c>
      <c r="F157" s="193" t="s">
        <v>488</v>
      </c>
      <c r="G157" s="193" t="s">
        <v>489</v>
      </c>
      <c r="H157" s="195">
        <f>'Site Information'!B161</f>
        <v>0</v>
      </c>
      <c r="I157" s="194"/>
      <c r="J157" s="193">
        <f>'Site Information'!C161</f>
        <v>0</v>
      </c>
      <c r="K157" s="193">
        <f>'Site Information'!D161</f>
        <v>0</v>
      </c>
      <c r="L157" s="193">
        <f>'Site Information'!E161</f>
        <v>0</v>
      </c>
      <c r="M157" s="237"/>
      <c r="N157" s="237"/>
      <c r="O157" s="237"/>
      <c r="P157" s="237"/>
      <c r="Q157" s="237"/>
      <c r="R157" s="193">
        <f>'Site Information'!F161</f>
        <v>0</v>
      </c>
      <c r="S157" s="237"/>
      <c r="T157" s="237"/>
      <c r="U157" s="237"/>
      <c r="V157" s="237"/>
      <c r="W157" s="237"/>
      <c r="X157" s="237"/>
      <c r="Y157" s="237"/>
      <c r="Z157" s="237"/>
      <c r="AA157" s="237"/>
      <c r="AB157" s="237"/>
      <c r="AC157" s="237"/>
      <c r="AD157" s="237"/>
      <c r="AE157" s="237"/>
      <c r="AF157" s="237"/>
      <c r="AG157" s="237"/>
      <c r="AI157" s="193"/>
      <c r="AJ157" s="193"/>
    </row>
    <row r="158" spans="2:36" x14ac:dyDescent="0.35">
      <c r="B158" s="193" t="e">
        <f>"2024"&amp;MATCH(Totals!D158,OrgType,0)&amp;"_"&amp;MATCH(Totals!E158,Organisations,0)&amp;"_"&amp;LEFT(Totals!F158,1)&amp;"_"&amp;LEFT(G158,1)&amp;"_"&amp;COUNTIF($G$3:G158,G158)</f>
        <v>#N/A</v>
      </c>
      <c r="C158" s="193">
        <v>2025</v>
      </c>
      <c r="D158" s="193">
        <f>Introduction!$D$7</f>
        <v>0</v>
      </c>
      <c r="E158" s="193">
        <f>Introduction!$D$8</f>
        <v>0</v>
      </c>
      <c r="F158" s="193" t="s">
        <v>488</v>
      </c>
      <c r="G158" s="193" t="s">
        <v>489</v>
      </c>
      <c r="H158" s="195">
        <f>'Site Information'!B162</f>
        <v>0</v>
      </c>
      <c r="I158" s="194"/>
      <c r="J158" s="193">
        <f>'Site Information'!C162</f>
        <v>0</v>
      </c>
      <c r="K158" s="193">
        <f>'Site Information'!D162</f>
        <v>0</v>
      </c>
      <c r="L158" s="193">
        <f>'Site Information'!E162</f>
        <v>0</v>
      </c>
      <c r="M158" s="237"/>
      <c r="N158" s="237"/>
      <c r="O158" s="237"/>
      <c r="P158" s="237"/>
      <c r="Q158" s="237"/>
      <c r="R158" s="193">
        <f>'Site Information'!F162</f>
        <v>0</v>
      </c>
      <c r="S158" s="237"/>
      <c r="T158" s="237"/>
      <c r="U158" s="237"/>
      <c r="V158" s="237"/>
      <c r="W158" s="237"/>
      <c r="X158" s="237"/>
      <c r="Y158" s="237"/>
      <c r="Z158" s="237"/>
      <c r="AA158" s="237"/>
      <c r="AB158" s="237"/>
      <c r="AC158" s="237"/>
      <c r="AD158" s="237"/>
      <c r="AE158" s="237"/>
      <c r="AF158" s="237"/>
      <c r="AG158" s="237"/>
      <c r="AI158" s="193"/>
      <c r="AJ158" s="193"/>
    </row>
    <row r="159" spans="2:36" x14ac:dyDescent="0.35">
      <c r="B159" s="193" t="e">
        <f>"2024"&amp;MATCH(Totals!D159,OrgType,0)&amp;"_"&amp;MATCH(Totals!E159,Organisations,0)&amp;"_"&amp;LEFT(Totals!F159,1)&amp;"_"&amp;LEFT(G159,1)&amp;"_"&amp;COUNTIF($G$3:G159,G159)</f>
        <v>#N/A</v>
      </c>
      <c r="C159" s="193">
        <v>2025</v>
      </c>
      <c r="D159" s="193">
        <f>Introduction!$D$7</f>
        <v>0</v>
      </c>
      <c r="E159" s="193">
        <f>Introduction!$D$8</f>
        <v>0</v>
      </c>
      <c r="F159" s="193" t="s">
        <v>488</v>
      </c>
      <c r="G159" s="193" t="s">
        <v>489</v>
      </c>
      <c r="H159" s="195">
        <f>'Site Information'!B163</f>
        <v>0</v>
      </c>
      <c r="I159" s="194"/>
      <c r="J159" s="193">
        <f>'Site Information'!C163</f>
        <v>0</v>
      </c>
      <c r="K159" s="193">
        <f>'Site Information'!D163</f>
        <v>0</v>
      </c>
      <c r="L159" s="193">
        <f>'Site Information'!E163</f>
        <v>0</v>
      </c>
      <c r="M159" s="237"/>
      <c r="N159" s="237"/>
      <c r="O159" s="237"/>
      <c r="P159" s="237"/>
      <c r="Q159" s="237"/>
      <c r="R159" s="193">
        <f>'Site Information'!F163</f>
        <v>0</v>
      </c>
      <c r="S159" s="237"/>
      <c r="T159" s="237"/>
      <c r="U159" s="237"/>
      <c r="V159" s="237"/>
      <c r="W159" s="237"/>
      <c r="X159" s="237"/>
      <c r="Y159" s="237"/>
      <c r="Z159" s="237"/>
      <c r="AA159" s="237"/>
      <c r="AB159" s="237"/>
      <c r="AC159" s="237"/>
      <c r="AD159" s="237"/>
      <c r="AE159" s="237"/>
      <c r="AF159" s="237"/>
      <c r="AG159" s="237"/>
      <c r="AI159" s="193"/>
      <c r="AJ159" s="193"/>
    </row>
    <row r="160" spans="2:36" x14ac:dyDescent="0.35">
      <c r="B160" s="193" t="e">
        <f>"2024"&amp;MATCH(Totals!D160,OrgType,0)&amp;"_"&amp;MATCH(Totals!E160,Organisations,0)&amp;"_"&amp;LEFT(Totals!F160,1)&amp;"_"&amp;LEFT(G160,1)&amp;"_"&amp;COUNTIF($G$3:G160,G160)</f>
        <v>#N/A</v>
      </c>
      <c r="C160" s="193">
        <v>2025</v>
      </c>
      <c r="D160" s="193">
        <f>Introduction!$D$7</f>
        <v>0</v>
      </c>
      <c r="E160" s="193">
        <f>Introduction!$D$8</f>
        <v>0</v>
      </c>
      <c r="F160" s="193" t="s">
        <v>488</v>
      </c>
      <c r="G160" s="193" t="s">
        <v>489</v>
      </c>
      <c r="H160" s="195">
        <f>'Site Information'!B164</f>
        <v>0</v>
      </c>
      <c r="I160" s="194"/>
      <c r="J160" s="193">
        <f>'Site Information'!C164</f>
        <v>0</v>
      </c>
      <c r="K160" s="193">
        <f>'Site Information'!D164</f>
        <v>0</v>
      </c>
      <c r="L160" s="193">
        <f>'Site Information'!E164</f>
        <v>0</v>
      </c>
      <c r="M160" s="237"/>
      <c r="N160" s="237"/>
      <c r="O160" s="237"/>
      <c r="P160" s="237"/>
      <c r="Q160" s="237"/>
      <c r="R160" s="193">
        <f>'Site Information'!F164</f>
        <v>0</v>
      </c>
      <c r="S160" s="237"/>
      <c r="T160" s="237"/>
      <c r="U160" s="237"/>
      <c r="V160" s="237"/>
      <c r="W160" s="237"/>
      <c r="X160" s="237"/>
      <c r="Y160" s="237"/>
      <c r="Z160" s="237"/>
      <c r="AA160" s="237"/>
      <c r="AB160" s="237"/>
      <c r="AC160" s="237"/>
      <c r="AD160" s="237"/>
      <c r="AE160" s="237"/>
      <c r="AF160" s="237"/>
      <c r="AG160" s="237"/>
      <c r="AI160" s="193"/>
      <c r="AJ160" s="193"/>
    </row>
    <row r="161" spans="2:36" x14ac:dyDescent="0.35">
      <c r="B161" s="193" t="e">
        <f>"2024"&amp;MATCH(Totals!D161,OrgType,0)&amp;"_"&amp;MATCH(Totals!E161,Organisations,0)&amp;"_"&amp;LEFT(Totals!F161,1)&amp;"_"&amp;LEFT(G161,1)&amp;"_"&amp;COUNTIF($G$3:G161,G161)</f>
        <v>#N/A</v>
      </c>
      <c r="C161" s="193">
        <v>2025</v>
      </c>
      <c r="D161" s="193">
        <f>Introduction!$D$7</f>
        <v>0</v>
      </c>
      <c r="E161" s="193">
        <f>Introduction!$D$8</f>
        <v>0</v>
      </c>
      <c r="F161" s="193" t="s">
        <v>488</v>
      </c>
      <c r="G161" s="193" t="s">
        <v>489</v>
      </c>
      <c r="H161" s="195">
        <f>'Site Information'!B165</f>
        <v>0</v>
      </c>
      <c r="I161" s="194"/>
      <c r="J161" s="193">
        <f>'Site Information'!C165</f>
        <v>0</v>
      </c>
      <c r="K161" s="193">
        <f>'Site Information'!D165</f>
        <v>0</v>
      </c>
      <c r="L161" s="193">
        <f>'Site Information'!E165</f>
        <v>0</v>
      </c>
      <c r="M161" s="237"/>
      <c r="N161" s="237"/>
      <c r="O161" s="237"/>
      <c r="P161" s="237"/>
      <c r="Q161" s="237"/>
      <c r="R161" s="193">
        <f>'Site Information'!F165</f>
        <v>0</v>
      </c>
      <c r="S161" s="237"/>
      <c r="T161" s="237"/>
      <c r="U161" s="237"/>
      <c r="V161" s="237"/>
      <c r="W161" s="237"/>
      <c r="X161" s="237"/>
      <c r="Y161" s="237"/>
      <c r="Z161" s="237"/>
      <c r="AA161" s="237"/>
      <c r="AB161" s="237"/>
      <c r="AC161" s="237"/>
      <c r="AD161" s="237"/>
      <c r="AE161" s="237"/>
      <c r="AF161" s="237"/>
      <c r="AG161" s="237"/>
      <c r="AI161" s="193"/>
      <c r="AJ161" s="193"/>
    </row>
    <row r="162" spans="2:36" x14ac:dyDescent="0.35">
      <c r="B162" s="193" t="e">
        <f>"2024"&amp;MATCH(Totals!D162,OrgType,0)&amp;"_"&amp;MATCH(Totals!E162,Organisations,0)&amp;"_"&amp;LEFT(Totals!F162,1)&amp;"_"&amp;LEFT(G162,1)&amp;"_"&amp;COUNTIF($G$3:G162,G162)</f>
        <v>#N/A</v>
      </c>
      <c r="C162" s="193">
        <v>2025</v>
      </c>
      <c r="D162" s="193">
        <f>Introduction!$D$7</f>
        <v>0</v>
      </c>
      <c r="E162" s="193">
        <f>Introduction!$D$8</f>
        <v>0</v>
      </c>
      <c r="F162" s="193" t="s">
        <v>488</v>
      </c>
      <c r="G162" s="193" t="s">
        <v>489</v>
      </c>
      <c r="H162" s="195">
        <f>'Site Information'!B166</f>
        <v>0</v>
      </c>
      <c r="I162" s="194"/>
      <c r="J162" s="193">
        <f>'Site Information'!C166</f>
        <v>0</v>
      </c>
      <c r="K162" s="193">
        <f>'Site Information'!D166</f>
        <v>0</v>
      </c>
      <c r="L162" s="193">
        <f>'Site Information'!E166</f>
        <v>0</v>
      </c>
      <c r="M162" s="237"/>
      <c r="N162" s="237"/>
      <c r="O162" s="237"/>
      <c r="P162" s="237"/>
      <c r="Q162" s="237"/>
      <c r="R162" s="193">
        <f>'Site Information'!F166</f>
        <v>0</v>
      </c>
      <c r="S162" s="237"/>
      <c r="T162" s="237"/>
      <c r="U162" s="237"/>
      <c r="V162" s="237"/>
      <c r="W162" s="237"/>
      <c r="X162" s="237"/>
      <c r="Y162" s="237"/>
      <c r="Z162" s="237"/>
      <c r="AA162" s="237"/>
      <c r="AB162" s="237"/>
      <c r="AC162" s="237"/>
      <c r="AD162" s="237"/>
      <c r="AE162" s="237"/>
      <c r="AF162" s="237"/>
      <c r="AG162" s="237"/>
      <c r="AI162" s="193"/>
      <c r="AJ162" s="193"/>
    </row>
    <row r="163" spans="2:36" x14ac:dyDescent="0.35">
      <c r="B163" s="193" t="e">
        <f>"2024"&amp;MATCH(Totals!D163,OrgType,0)&amp;"_"&amp;MATCH(Totals!E163,Organisations,0)&amp;"_"&amp;LEFT(Totals!F163,1)&amp;"_"&amp;LEFT(G163,1)&amp;"_"&amp;COUNTIF($G$3:G163,G163)</f>
        <v>#N/A</v>
      </c>
      <c r="C163" s="193">
        <v>2025</v>
      </c>
      <c r="D163" s="193">
        <f>Introduction!$D$7</f>
        <v>0</v>
      </c>
      <c r="E163" s="193">
        <f>Introduction!$D$8</f>
        <v>0</v>
      </c>
      <c r="F163" s="193" t="s">
        <v>488</v>
      </c>
      <c r="G163" s="193" t="s">
        <v>489</v>
      </c>
      <c r="H163" s="195">
        <f>'Site Information'!B167</f>
        <v>0</v>
      </c>
      <c r="I163" s="194"/>
      <c r="J163" s="193">
        <f>'Site Information'!C167</f>
        <v>0</v>
      </c>
      <c r="K163" s="193">
        <f>'Site Information'!D167</f>
        <v>0</v>
      </c>
      <c r="L163" s="193">
        <f>'Site Information'!E167</f>
        <v>0</v>
      </c>
      <c r="M163" s="237"/>
      <c r="N163" s="237"/>
      <c r="O163" s="237"/>
      <c r="P163" s="237"/>
      <c r="Q163" s="237"/>
      <c r="R163" s="193">
        <f>'Site Information'!F167</f>
        <v>0</v>
      </c>
      <c r="S163" s="237"/>
      <c r="T163" s="237"/>
      <c r="U163" s="237"/>
      <c r="V163" s="237"/>
      <c r="W163" s="237"/>
      <c r="X163" s="237"/>
      <c r="Y163" s="237"/>
      <c r="Z163" s="237"/>
      <c r="AA163" s="237"/>
      <c r="AB163" s="237"/>
      <c r="AC163" s="237"/>
      <c r="AD163" s="237"/>
      <c r="AE163" s="237"/>
      <c r="AF163" s="237"/>
      <c r="AG163" s="237"/>
      <c r="AI163" s="193"/>
      <c r="AJ163" s="193"/>
    </row>
    <row r="164" spans="2:36" x14ac:dyDescent="0.35">
      <c r="B164" s="193" t="e">
        <f>"2024"&amp;MATCH(Totals!D164,OrgType,0)&amp;"_"&amp;MATCH(Totals!E164,Organisations,0)&amp;"_"&amp;LEFT(Totals!F164,1)&amp;"_"&amp;LEFT(G164,1)&amp;"_"&amp;COUNTIF($G$3:G164,G164)</f>
        <v>#N/A</v>
      </c>
      <c r="C164" s="193">
        <v>2025</v>
      </c>
      <c r="D164" s="193">
        <f>Introduction!$D$7</f>
        <v>0</v>
      </c>
      <c r="E164" s="193">
        <f>Introduction!$D$8</f>
        <v>0</v>
      </c>
      <c r="F164" s="193" t="s">
        <v>488</v>
      </c>
      <c r="G164" s="193" t="s">
        <v>489</v>
      </c>
      <c r="H164" s="195">
        <f>'Site Information'!B168</f>
        <v>0</v>
      </c>
      <c r="I164" s="194"/>
      <c r="J164" s="193">
        <f>'Site Information'!C168</f>
        <v>0</v>
      </c>
      <c r="K164" s="193">
        <f>'Site Information'!D168</f>
        <v>0</v>
      </c>
      <c r="L164" s="193">
        <f>'Site Information'!E168</f>
        <v>0</v>
      </c>
      <c r="M164" s="237"/>
      <c r="N164" s="237"/>
      <c r="O164" s="237"/>
      <c r="P164" s="237"/>
      <c r="Q164" s="237"/>
      <c r="R164" s="193">
        <f>'Site Information'!F168</f>
        <v>0</v>
      </c>
      <c r="S164" s="237"/>
      <c r="T164" s="237"/>
      <c r="U164" s="237"/>
      <c r="V164" s="237"/>
      <c r="W164" s="237"/>
      <c r="X164" s="237"/>
      <c r="Y164" s="237"/>
      <c r="Z164" s="237"/>
      <c r="AA164" s="237"/>
      <c r="AB164" s="237"/>
      <c r="AC164" s="237"/>
      <c r="AD164" s="237"/>
      <c r="AE164" s="237"/>
      <c r="AF164" s="237"/>
      <c r="AG164" s="237"/>
      <c r="AI164" s="193"/>
      <c r="AJ164" s="193"/>
    </row>
    <row r="165" spans="2:36" x14ac:dyDescent="0.35">
      <c r="B165" s="193" t="e">
        <f>"2024"&amp;MATCH(Totals!D165,OrgType,0)&amp;"_"&amp;MATCH(Totals!E165,Organisations,0)&amp;"_"&amp;LEFT(Totals!F165,1)&amp;"_"&amp;LEFT(G165,1)&amp;"_"&amp;COUNTIF($G$3:G165,G165)</f>
        <v>#N/A</v>
      </c>
      <c r="C165" s="193">
        <v>2025</v>
      </c>
      <c r="D165" s="193">
        <f>Introduction!$D$7</f>
        <v>0</v>
      </c>
      <c r="E165" s="193">
        <f>Introduction!$D$8</f>
        <v>0</v>
      </c>
      <c r="F165" s="193" t="s">
        <v>488</v>
      </c>
      <c r="G165" s="193" t="s">
        <v>489</v>
      </c>
      <c r="H165" s="195">
        <f>'Site Information'!B169</f>
        <v>0</v>
      </c>
      <c r="I165" s="194"/>
      <c r="J165" s="193">
        <f>'Site Information'!C169</f>
        <v>0</v>
      </c>
      <c r="K165" s="193">
        <f>'Site Information'!D169</f>
        <v>0</v>
      </c>
      <c r="L165" s="193">
        <f>'Site Information'!E169</f>
        <v>0</v>
      </c>
      <c r="M165" s="237"/>
      <c r="N165" s="237"/>
      <c r="O165" s="237"/>
      <c r="P165" s="237"/>
      <c r="Q165" s="237"/>
      <c r="R165" s="193">
        <f>'Site Information'!F169</f>
        <v>0</v>
      </c>
      <c r="S165" s="237"/>
      <c r="T165" s="237"/>
      <c r="U165" s="237"/>
      <c r="V165" s="237"/>
      <c r="W165" s="237"/>
      <c r="X165" s="237"/>
      <c r="Y165" s="237"/>
      <c r="Z165" s="237"/>
      <c r="AA165" s="237"/>
      <c r="AB165" s="237"/>
      <c r="AC165" s="237"/>
      <c r="AD165" s="237"/>
      <c r="AE165" s="237"/>
      <c r="AF165" s="237"/>
      <c r="AG165" s="237"/>
      <c r="AI165" s="193"/>
      <c r="AJ165" s="193"/>
    </row>
    <row r="166" spans="2:36" x14ac:dyDescent="0.35">
      <c r="B166" s="193" t="e">
        <f>"2024"&amp;MATCH(Totals!D166,OrgType,0)&amp;"_"&amp;MATCH(Totals!E166,Organisations,0)&amp;"_"&amp;LEFT(Totals!F166,1)&amp;"_"&amp;LEFT(G166,1)&amp;"_"&amp;COUNTIF($G$3:G166,G166)</f>
        <v>#N/A</v>
      </c>
      <c r="C166" s="193">
        <v>2025</v>
      </c>
      <c r="D166" s="193">
        <f>Introduction!$D$7</f>
        <v>0</v>
      </c>
      <c r="E166" s="193">
        <f>Introduction!$D$8</f>
        <v>0</v>
      </c>
      <c r="F166" s="193" t="s">
        <v>488</v>
      </c>
      <c r="G166" s="193" t="s">
        <v>489</v>
      </c>
      <c r="H166" s="195">
        <f>'Site Information'!B170</f>
        <v>0</v>
      </c>
      <c r="I166" s="194"/>
      <c r="J166" s="193">
        <f>'Site Information'!C170</f>
        <v>0</v>
      </c>
      <c r="K166" s="193">
        <f>'Site Information'!D170</f>
        <v>0</v>
      </c>
      <c r="L166" s="193">
        <f>'Site Information'!E170</f>
        <v>0</v>
      </c>
      <c r="M166" s="237"/>
      <c r="N166" s="237"/>
      <c r="O166" s="237"/>
      <c r="P166" s="237"/>
      <c r="Q166" s="237"/>
      <c r="R166" s="193">
        <f>'Site Information'!F170</f>
        <v>0</v>
      </c>
      <c r="S166" s="237"/>
      <c r="T166" s="237"/>
      <c r="U166" s="237"/>
      <c r="V166" s="237"/>
      <c r="W166" s="237"/>
      <c r="X166" s="237"/>
      <c r="Y166" s="237"/>
      <c r="Z166" s="237"/>
      <c r="AA166" s="237"/>
      <c r="AB166" s="237"/>
      <c r="AC166" s="237"/>
      <c r="AD166" s="237"/>
      <c r="AE166" s="237"/>
      <c r="AF166" s="237"/>
      <c r="AG166" s="237"/>
      <c r="AI166" s="193"/>
      <c r="AJ166" s="193"/>
    </row>
    <row r="167" spans="2:36" x14ac:dyDescent="0.35">
      <c r="B167" s="193" t="e">
        <f>"2024"&amp;MATCH(Totals!D167,OrgType,0)&amp;"_"&amp;MATCH(Totals!E167,Organisations,0)&amp;"_"&amp;LEFT(Totals!F167,1)&amp;"_"&amp;LEFT(G167,1)&amp;"_"&amp;COUNTIF($G$3:G167,G167)</f>
        <v>#N/A</v>
      </c>
      <c r="C167" s="193">
        <v>2025</v>
      </c>
      <c r="D167" s="193">
        <f>Introduction!$D$7</f>
        <v>0</v>
      </c>
      <c r="E167" s="193">
        <f>Introduction!$D$8</f>
        <v>0</v>
      </c>
      <c r="F167" s="193" t="s">
        <v>488</v>
      </c>
      <c r="G167" s="193" t="s">
        <v>489</v>
      </c>
      <c r="H167" s="195">
        <f>'Site Information'!B171</f>
        <v>0</v>
      </c>
      <c r="I167" s="194"/>
      <c r="J167" s="193">
        <f>'Site Information'!C171</f>
        <v>0</v>
      </c>
      <c r="K167" s="193">
        <f>'Site Information'!D171</f>
        <v>0</v>
      </c>
      <c r="L167" s="193">
        <f>'Site Information'!E171</f>
        <v>0</v>
      </c>
      <c r="M167" s="237"/>
      <c r="N167" s="237"/>
      <c r="O167" s="237"/>
      <c r="P167" s="237"/>
      <c r="Q167" s="237"/>
      <c r="R167" s="193">
        <f>'Site Information'!F171</f>
        <v>0</v>
      </c>
      <c r="S167" s="237"/>
      <c r="T167" s="237"/>
      <c r="U167" s="237"/>
      <c r="V167" s="237"/>
      <c r="W167" s="237"/>
      <c r="X167" s="237"/>
      <c r="Y167" s="237"/>
      <c r="Z167" s="237"/>
      <c r="AA167" s="237"/>
      <c r="AB167" s="237"/>
      <c r="AC167" s="237"/>
      <c r="AD167" s="237"/>
      <c r="AE167" s="237"/>
      <c r="AF167" s="237"/>
      <c r="AG167" s="237"/>
      <c r="AI167" s="193"/>
      <c r="AJ167" s="193"/>
    </row>
    <row r="168" spans="2:36" x14ac:dyDescent="0.35">
      <c r="B168" s="193" t="e">
        <f>"2024"&amp;MATCH(Totals!D168,OrgType,0)&amp;"_"&amp;MATCH(Totals!E168,Organisations,0)&amp;"_"&amp;LEFT(Totals!F168,1)&amp;"_"&amp;LEFT(G168,1)&amp;"_"&amp;COUNTIF($G$3:G168,G168)</f>
        <v>#N/A</v>
      </c>
      <c r="C168" s="193">
        <v>2025</v>
      </c>
      <c r="D168" s="193">
        <f>Introduction!$D$7</f>
        <v>0</v>
      </c>
      <c r="E168" s="193">
        <f>Introduction!$D$8</f>
        <v>0</v>
      </c>
      <c r="F168" s="193" t="s">
        <v>488</v>
      </c>
      <c r="G168" s="193" t="s">
        <v>489</v>
      </c>
      <c r="H168" s="195">
        <f>'Site Information'!B172</f>
        <v>0</v>
      </c>
      <c r="I168" s="194"/>
      <c r="J168" s="193">
        <f>'Site Information'!C172</f>
        <v>0</v>
      </c>
      <c r="K168" s="193">
        <f>'Site Information'!D172</f>
        <v>0</v>
      </c>
      <c r="L168" s="193">
        <f>'Site Information'!E172</f>
        <v>0</v>
      </c>
      <c r="M168" s="237"/>
      <c r="N168" s="237"/>
      <c r="O168" s="237"/>
      <c r="P168" s="237"/>
      <c r="Q168" s="237"/>
      <c r="R168" s="193">
        <f>'Site Information'!F172</f>
        <v>0</v>
      </c>
      <c r="S168" s="237"/>
      <c r="T168" s="237"/>
      <c r="U168" s="237"/>
      <c r="V168" s="237"/>
      <c r="W168" s="237"/>
      <c r="X168" s="237"/>
      <c r="Y168" s="237"/>
      <c r="Z168" s="237"/>
      <c r="AA168" s="237"/>
      <c r="AB168" s="237"/>
      <c r="AC168" s="237"/>
      <c r="AD168" s="237"/>
      <c r="AE168" s="237"/>
      <c r="AF168" s="237"/>
      <c r="AG168" s="237"/>
      <c r="AI168" s="193"/>
      <c r="AJ168" s="193"/>
    </row>
    <row r="169" spans="2:36" x14ac:dyDescent="0.35">
      <c r="B169" s="193" t="e">
        <f>"2024"&amp;MATCH(Totals!D169,OrgType,0)&amp;"_"&amp;MATCH(Totals!E169,Organisations,0)&amp;"_"&amp;LEFT(Totals!F169,1)&amp;"_"&amp;LEFT(G169,1)&amp;"_"&amp;COUNTIF($G$3:G169,G169)</f>
        <v>#N/A</v>
      </c>
      <c r="C169" s="193">
        <v>2025</v>
      </c>
      <c r="D169" s="193">
        <f>Introduction!$D$7</f>
        <v>0</v>
      </c>
      <c r="E169" s="193">
        <f>Introduction!$D$8</f>
        <v>0</v>
      </c>
      <c r="F169" s="193" t="s">
        <v>488</v>
      </c>
      <c r="G169" s="193" t="s">
        <v>489</v>
      </c>
      <c r="H169" s="195">
        <f>'Site Information'!B173</f>
        <v>0</v>
      </c>
      <c r="I169" s="194"/>
      <c r="J169" s="193">
        <f>'Site Information'!C173</f>
        <v>0</v>
      </c>
      <c r="K169" s="193">
        <f>'Site Information'!D173</f>
        <v>0</v>
      </c>
      <c r="L169" s="193">
        <f>'Site Information'!E173</f>
        <v>0</v>
      </c>
      <c r="M169" s="237"/>
      <c r="N169" s="237"/>
      <c r="O169" s="237"/>
      <c r="P169" s="237"/>
      <c r="Q169" s="237"/>
      <c r="R169" s="193">
        <f>'Site Information'!F173</f>
        <v>0</v>
      </c>
      <c r="S169" s="237"/>
      <c r="T169" s="237"/>
      <c r="U169" s="237"/>
      <c r="V169" s="237"/>
      <c r="W169" s="237"/>
      <c r="X169" s="237"/>
      <c r="Y169" s="237"/>
      <c r="Z169" s="237"/>
      <c r="AA169" s="237"/>
      <c r="AB169" s="237"/>
      <c r="AC169" s="237"/>
      <c r="AD169" s="237"/>
      <c r="AE169" s="237"/>
      <c r="AF169" s="237"/>
      <c r="AG169" s="237"/>
      <c r="AI169" s="193"/>
      <c r="AJ169" s="193"/>
    </row>
    <row r="170" spans="2:36" x14ac:dyDescent="0.35">
      <c r="B170" s="193" t="e">
        <f>"2024"&amp;MATCH(Totals!D170,OrgType,0)&amp;"_"&amp;MATCH(Totals!E170,Organisations,0)&amp;"_"&amp;LEFT(Totals!F170,1)&amp;"_"&amp;LEFT(G170,1)&amp;"_"&amp;COUNTIF($G$3:G170,G170)</f>
        <v>#N/A</v>
      </c>
      <c r="C170" s="193">
        <v>2025</v>
      </c>
      <c r="D170" s="193">
        <f>Introduction!$D$7</f>
        <v>0</v>
      </c>
      <c r="E170" s="193">
        <f>Introduction!$D$8</f>
        <v>0</v>
      </c>
      <c r="F170" s="193" t="s">
        <v>488</v>
      </c>
      <c r="G170" s="193" t="s">
        <v>489</v>
      </c>
      <c r="H170" s="195">
        <f>'Site Information'!B174</f>
        <v>0</v>
      </c>
      <c r="I170" s="194"/>
      <c r="J170" s="193">
        <f>'Site Information'!C174</f>
        <v>0</v>
      </c>
      <c r="K170" s="193">
        <f>'Site Information'!D174</f>
        <v>0</v>
      </c>
      <c r="L170" s="193">
        <f>'Site Information'!E174</f>
        <v>0</v>
      </c>
      <c r="M170" s="237"/>
      <c r="N170" s="237"/>
      <c r="O170" s="237"/>
      <c r="P170" s="237"/>
      <c r="Q170" s="237"/>
      <c r="R170" s="193">
        <f>'Site Information'!F174</f>
        <v>0</v>
      </c>
      <c r="S170" s="237"/>
      <c r="T170" s="237"/>
      <c r="U170" s="237"/>
      <c r="V170" s="237"/>
      <c r="W170" s="237"/>
      <c r="X170" s="237"/>
      <c r="Y170" s="237"/>
      <c r="Z170" s="237"/>
      <c r="AA170" s="237"/>
      <c r="AB170" s="237"/>
      <c r="AC170" s="237"/>
      <c r="AD170" s="237"/>
      <c r="AE170" s="237"/>
      <c r="AF170" s="237"/>
      <c r="AG170" s="237"/>
      <c r="AI170" s="193"/>
      <c r="AJ170" s="193"/>
    </row>
    <row r="171" spans="2:36" x14ac:dyDescent="0.35">
      <c r="B171" s="193" t="e">
        <f>"2024"&amp;MATCH(Totals!D171,OrgType,0)&amp;"_"&amp;MATCH(Totals!E171,Organisations,0)&amp;"_"&amp;LEFT(Totals!F171,1)&amp;"_"&amp;LEFT(G171,1)&amp;"_"&amp;COUNTIF($G$3:G171,G171)</f>
        <v>#N/A</v>
      </c>
      <c r="C171" s="193">
        <v>2025</v>
      </c>
      <c r="D171" s="193">
        <f>Introduction!$D$7</f>
        <v>0</v>
      </c>
      <c r="E171" s="193">
        <f>Introduction!$D$8</f>
        <v>0</v>
      </c>
      <c r="F171" s="193" t="s">
        <v>488</v>
      </c>
      <c r="G171" s="193" t="s">
        <v>489</v>
      </c>
      <c r="H171" s="195">
        <f>'Site Information'!B175</f>
        <v>0</v>
      </c>
      <c r="I171" s="194"/>
      <c r="J171" s="193">
        <f>'Site Information'!C175</f>
        <v>0</v>
      </c>
      <c r="K171" s="193">
        <f>'Site Information'!D175</f>
        <v>0</v>
      </c>
      <c r="L171" s="193">
        <f>'Site Information'!E175</f>
        <v>0</v>
      </c>
      <c r="M171" s="237"/>
      <c r="N171" s="237"/>
      <c r="O171" s="237"/>
      <c r="P171" s="237"/>
      <c r="Q171" s="237"/>
      <c r="R171" s="193">
        <f>'Site Information'!F175</f>
        <v>0</v>
      </c>
      <c r="S171" s="237"/>
      <c r="T171" s="237"/>
      <c r="U171" s="237"/>
      <c r="V171" s="237"/>
      <c r="W171" s="237"/>
      <c r="X171" s="237"/>
      <c r="Y171" s="237"/>
      <c r="Z171" s="237"/>
      <c r="AA171" s="237"/>
      <c r="AB171" s="237"/>
      <c r="AC171" s="237"/>
      <c r="AD171" s="237"/>
      <c r="AE171" s="237"/>
      <c r="AF171" s="237"/>
      <c r="AG171" s="237"/>
      <c r="AI171" s="193"/>
      <c r="AJ171" s="193"/>
    </row>
    <row r="172" spans="2:36" x14ac:dyDescent="0.35">
      <c r="B172" s="193" t="e">
        <f>"2024"&amp;MATCH(Totals!D172,OrgType,0)&amp;"_"&amp;MATCH(Totals!E172,Organisations,0)&amp;"_"&amp;LEFT(Totals!F172,1)&amp;"_"&amp;LEFT(G172,1)&amp;"_"&amp;COUNTIF($G$3:G172,G172)</f>
        <v>#N/A</v>
      </c>
      <c r="C172" s="193">
        <v>2025</v>
      </c>
      <c r="D172" s="193">
        <f>Introduction!$D$7</f>
        <v>0</v>
      </c>
      <c r="E172" s="193">
        <f>Introduction!$D$8</f>
        <v>0</v>
      </c>
      <c r="F172" s="193" t="s">
        <v>488</v>
      </c>
      <c r="G172" s="193" t="s">
        <v>489</v>
      </c>
      <c r="H172" s="195">
        <f>'Site Information'!B176</f>
        <v>0</v>
      </c>
      <c r="I172" s="194"/>
      <c r="J172" s="193">
        <f>'Site Information'!C176</f>
        <v>0</v>
      </c>
      <c r="K172" s="193">
        <f>'Site Information'!D176</f>
        <v>0</v>
      </c>
      <c r="L172" s="193">
        <f>'Site Information'!E176</f>
        <v>0</v>
      </c>
      <c r="M172" s="237"/>
      <c r="N172" s="237"/>
      <c r="O172" s="237"/>
      <c r="P172" s="237"/>
      <c r="Q172" s="237"/>
      <c r="R172" s="193">
        <f>'Site Information'!F176</f>
        <v>0</v>
      </c>
      <c r="S172" s="237"/>
      <c r="T172" s="237"/>
      <c r="U172" s="237"/>
      <c r="V172" s="237"/>
      <c r="W172" s="237"/>
      <c r="X172" s="237"/>
      <c r="Y172" s="237"/>
      <c r="Z172" s="237"/>
      <c r="AA172" s="237"/>
      <c r="AB172" s="237"/>
      <c r="AC172" s="237"/>
      <c r="AD172" s="237"/>
      <c r="AE172" s="237"/>
      <c r="AF172" s="237"/>
      <c r="AG172" s="237"/>
      <c r="AI172" s="193"/>
      <c r="AJ172" s="193"/>
    </row>
    <row r="173" spans="2:36" x14ac:dyDescent="0.35">
      <c r="B173" s="193" t="e">
        <f>"2024"&amp;MATCH(Totals!D173,OrgType,0)&amp;"_"&amp;MATCH(Totals!E173,Organisations,0)&amp;"_"&amp;LEFT(Totals!F173,1)&amp;"_"&amp;LEFT(G173,1)&amp;"_"&amp;COUNTIF($G$3:G173,G173)</f>
        <v>#N/A</v>
      </c>
      <c r="C173" s="193">
        <v>2025</v>
      </c>
      <c r="D173" s="193">
        <f>Introduction!$D$7</f>
        <v>0</v>
      </c>
      <c r="E173" s="193">
        <f>Introduction!$D$8</f>
        <v>0</v>
      </c>
      <c r="F173" s="193" t="s">
        <v>488</v>
      </c>
      <c r="G173" s="193" t="s">
        <v>489</v>
      </c>
      <c r="H173" s="195">
        <f>'Site Information'!B177</f>
        <v>0</v>
      </c>
      <c r="I173" s="194"/>
      <c r="J173" s="193">
        <f>'Site Information'!C177</f>
        <v>0</v>
      </c>
      <c r="K173" s="193">
        <f>'Site Information'!D177</f>
        <v>0</v>
      </c>
      <c r="L173" s="193">
        <f>'Site Information'!E177</f>
        <v>0</v>
      </c>
      <c r="M173" s="237"/>
      <c r="N173" s="237"/>
      <c r="O173" s="237"/>
      <c r="P173" s="237"/>
      <c r="Q173" s="237"/>
      <c r="R173" s="193">
        <f>'Site Information'!F177</f>
        <v>0</v>
      </c>
      <c r="S173" s="237"/>
      <c r="T173" s="237"/>
      <c r="U173" s="237"/>
      <c r="V173" s="237"/>
      <c r="W173" s="237"/>
      <c r="X173" s="237"/>
      <c r="Y173" s="237"/>
      <c r="Z173" s="237"/>
      <c r="AA173" s="237"/>
      <c r="AB173" s="237"/>
      <c r="AC173" s="237"/>
      <c r="AD173" s="237"/>
      <c r="AE173" s="237"/>
      <c r="AF173" s="237"/>
      <c r="AG173" s="237"/>
      <c r="AI173" s="193"/>
      <c r="AJ173" s="193"/>
    </row>
    <row r="174" spans="2:36" x14ac:dyDescent="0.35">
      <c r="B174" s="193" t="e">
        <f>"2024"&amp;MATCH(Totals!D174,OrgType,0)&amp;"_"&amp;MATCH(Totals!E174,Organisations,0)&amp;"_"&amp;LEFT(Totals!F174,1)&amp;"_"&amp;LEFT(G174,1)&amp;"_"&amp;COUNTIF($G$3:G174,G174)</f>
        <v>#N/A</v>
      </c>
      <c r="C174" s="193">
        <v>2025</v>
      </c>
      <c r="D174" s="193">
        <f>Introduction!$D$7</f>
        <v>0</v>
      </c>
      <c r="E174" s="193">
        <f>Introduction!$D$8</f>
        <v>0</v>
      </c>
      <c r="F174" s="193" t="s">
        <v>488</v>
      </c>
      <c r="G174" s="193" t="s">
        <v>489</v>
      </c>
      <c r="H174" s="195">
        <f>'Site Information'!B178</f>
        <v>0</v>
      </c>
      <c r="I174" s="194"/>
      <c r="J174" s="193">
        <f>'Site Information'!C178</f>
        <v>0</v>
      </c>
      <c r="K174" s="193">
        <f>'Site Information'!D178</f>
        <v>0</v>
      </c>
      <c r="L174" s="193">
        <f>'Site Information'!E178</f>
        <v>0</v>
      </c>
      <c r="M174" s="237"/>
      <c r="N174" s="237"/>
      <c r="O174" s="237"/>
      <c r="P174" s="237"/>
      <c r="Q174" s="237"/>
      <c r="R174" s="193">
        <f>'Site Information'!F178</f>
        <v>0</v>
      </c>
      <c r="S174" s="237"/>
      <c r="T174" s="237"/>
      <c r="U174" s="237"/>
      <c r="V174" s="237"/>
      <c r="W174" s="237"/>
      <c r="X174" s="237"/>
      <c r="Y174" s="237"/>
      <c r="Z174" s="237"/>
      <c r="AA174" s="237"/>
      <c r="AB174" s="237"/>
      <c r="AC174" s="237"/>
      <c r="AD174" s="237"/>
      <c r="AE174" s="237"/>
      <c r="AF174" s="237"/>
      <c r="AG174" s="237"/>
      <c r="AI174" s="193"/>
      <c r="AJ174" s="193"/>
    </row>
    <row r="175" spans="2:36" x14ac:dyDescent="0.35">
      <c r="B175" s="193" t="e">
        <f>"2024"&amp;MATCH(Totals!D175,OrgType,0)&amp;"_"&amp;MATCH(Totals!E175,Organisations,0)&amp;"_"&amp;LEFT(Totals!F175,1)&amp;"_"&amp;LEFT(G175,1)&amp;"_"&amp;COUNTIF($G$3:G175,G175)</f>
        <v>#N/A</v>
      </c>
      <c r="C175" s="193">
        <v>2025</v>
      </c>
      <c r="D175" s="193">
        <f>Introduction!$D$7</f>
        <v>0</v>
      </c>
      <c r="E175" s="193">
        <f>Introduction!$D$8</f>
        <v>0</v>
      </c>
      <c r="F175" s="193" t="s">
        <v>488</v>
      </c>
      <c r="G175" s="193" t="s">
        <v>489</v>
      </c>
      <c r="H175" s="195">
        <f>'Site Information'!B179</f>
        <v>0</v>
      </c>
      <c r="I175" s="194"/>
      <c r="J175" s="193">
        <f>'Site Information'!C179</f>
        <v>0</v>
      </c>
      <c r="K175" s="193">
        <f>'Site Information'!D179</f>
        <v>0</v>
      </c>
      <c r="L175" s="193">
        <f>'Site Information'!E179</f>
        <v>0</v>
      </c>
      <c r="M175" s="237"/>
      <c r="N175" s="237"/>
      <c r="O175" s="237"/>
      <c r="P175" s="237"/>
      <c r="Q175" s="237"/>
      <c r="R175" s="193">
        <f>'Site Information'!F179</f>
        <v>0</v>
      </c>
      <c r="S175" s="237"/>
      <c r="T175" s="237"/>
      <c r="U175" s="237"/>
      <c r="V175" s="237"/>
      <c r="W175" s="237"/>
      <c r="X175" s="237"/>
      <c r="Y175" s="237"/>
      <c r="Z175" s="237"/>
      <c r="AA175" s="237"/>
      <c r="AB175" s="237"/>
      <c r="AC175" s="237"/>
      <c r="AD175" s="237"/>
      <c r="AE175" s="237"/>
      <c r="AF175" s="237"/>
      <c r="AG175" s="237"/>
      <c r="AI175" s="193"/>
      <c r="AJ175" s="193"/>
    </row>
    <row r="176" spans="2:36" x14ac:dyDescent="0.35">
      <c r="B176" s="193" t="e">
        <f>"2024"&amp;MATCH(Totals!D176,OrgType,0)&amp;"_"&amp;MATCH(Totals!E176,Organisations,0)&amp;"_"&amp;LEFT(Totals!F176,1)&amp;"_"&amp;LEFT(G176,1)&amp;"_"&amp;COUNTIF($G$3:G176,G176)</f>
        <v>#N/A</v>
      </c>
      <c r="C176" s="193">
        <v>2025</v>
      </c>
      <c r="D176" s="193">
        <f>Introduction!$D$7</f>
        <v>0</v>
      </c>
      <c r="E176" s="193">
        <f>Introduction!$D$8</f>
        <v>0</v>
      </c>
      <c r="F176" s="193" t="s">
        <v>488</v>
      </c>
      <c r="G176" s="193" t="s">
        <v>489</v>
      </c>
      <c r="H176" s="195">
        <f>'Site Information'!B180</f>
        <v>0</v>
      </c>
      <c r="I176" s="194"/>
      <c r="J176" s="193">
        <f>'Site Information'!C180</f>
        <v>0</v>
      </c>
      <c r="K176" s="193">
        <f>'Site Information'!D180</f>
        <v>0</v>
      </c>
      <c r="L176" s="193">
        <f>'Site Information'!E180</f>
        <v>0</v>
      </c>
      <c r="M176" s="237"/>
      <c r="N176" s="237"/>
      <c r="O176" s="237"/>
      <c r="P176" s="237"/>
      <c r="Q176" s="237"/>
      <c r="R176" s="193">
        <f>'Site Information'!F180</f>
        <v>0</v>
      </c>
      <c r="S176" s="237"/>
      <c r="T176" s="237"/>
      <c r="U176" s="237"/>
      <c r="V176" s="237"/>
      <c r="W176" s="237"/>
      <c r="X176" s="237"/>
      <c r="Y176" s="237"/>
      <c r="Z176" s="237"/>
      <c r="AA176" s="237"/>
      <c r="AB176" s="237"/>
      <c r="AC176" s="237"/>
      <c r="AD176" s="237"/>
      <c r="AE176" s="237"/>
      <c r="AF176" s="237"/>
      <c r="AG176" s="237"/>
      <c r="AI176" s="193"/>
      <c r="AJ176" s="193"/>
    </row>
    <row r="177" spans="2:36" x14ac:dyDescent="0.35">
      <c r="B177" s="193" t="e">
        <f>"2024"&amp;MATCH(Totals!D177,OrgType,0)&amp;"_"&amp;MATCH(Totals!E177,Organisations,0)&amp;"_"&amp;LEFT(Totals!F177,1)&amp;"_"&amp;LEFT(G177,1)&amp;"_"&amp;COUNTIF($G$3:G177,G177)</f>
        <v>#N/A</v>
      </c>
      <c r="C177" s="193">
        <v>2025</v>
      </c>
      <c r="D177" s="193">
        <f>Introduction!$D$7</f>
        <v>0</v>
      </c>
      <c r="E177" s="193">
        <f>Introduction!$D$8</f>
        <v>0</v>
      </c>
      <c r="F177" s="193" t="s">
        <v>488</v>
      </c>
      <c r="G177" s="193" t="s">
        <v>489</v>
      </c>
      <c r="H177" s="195">
        <f>'Site Information'!B181</f>
        <v>0</v>
      </c>
      <c r="I177" s="194"/>
      <c r="J177" s="193">
        <f>'Site Information'!C181</f>
        <v>0</v>
      </c>
      <c r="K177" s="193">
        <f>'Site Information'!D181</f>
        <v>0</v>
      </c>
      <c r="L177" s="193">
        <f>'Site Information'!E181</f>
        <v>0</v>
      </c>
      <c r="M177" s="237"/>
      <c r="N177" s="237"/>
      <c r="O177" s="237"/>
      <c r="P177" s="237"/>
      <c r="Q177" s="237"/>
      <c r="R177" s="193">
        <f>'Site Information'!F181</f>
        <v>0</v>
      </c>
      <c r="S177" s="237"/>
      <c r="T177" s="237"/>
      <c r="U177" s="237"/>
      <c r="V177" s="237"/>
      <c r="W177" s="237"/>
      <c r="X177" s="237"/>
      <c r="Y177" s="237"/>
      <c r="Z177" s="237"/>
      <c r="AA177" s="237"/>
      <c r="AB177" s="237"/>
      <c r="AC177" s="237"/>
      <c r="AD177" s="237"/>
      <c r="AE177" s="237"/>
      <c r="AF177" s="237"/>
      <c r="AG177" s="237"/>
      <c r="AI177" s="193"/>
      <c r="AJ177" s="193"/>
    </row>
    <row r="178" spans="2:36" x14ac:dyDescent="0.35">
      <c r="B178" s="193" t="e">
        <f>"2024"&amp;MATCH(Totals!D178,OrgType,0)&amp;"_"&amp;MATCH(Totals!E178,Organisations,0)&amp;"_"&amp;LEFT(Totals!F178,1)&amp;"_"&amp;LEFT(G178,1)&amp;"_"&amp;COUNTIF($G$3:G178,G178)</f>
        <v>#N/A</v>
      </c>
      <c r="C178" s="193">
        <v>2025</v>
      </c>
      <c r="D178" s="193">
        <f>Introduction!$D$7</f>
        <v>0</v>
      </c>
      <c r="E178" s="193">
        <f>Introduction!$D$8</f>
        <v>0</v>
      </c>
      <c r="F178" s="193" t="s">
        <v>488</v>
      </c>
      <c r="G178" s="193" t="s">
        <v>489</v>
      </c>
      <c r="H178" s="195">
        <f>'Site Information'!B182</f>
        <v>0</v>
      </c>
      <c r="I178" s="194"/>
      <c r="J178" s="193">
        <f>'Site Information'!C182</f>
        <v>0</v>
      </c>
      <c r="K178" s="193">
        <f>'Site Information'!D182</f>
        <v>0</v>
      </c>
      <c r="L178" s="193">
        <f>'Site Information'!E182</f>
        <v>0</v>
      </c>
      <c r="M178" s="237"/>
      <c r="N178" s="237"/>
      <c r="O178" s="237"/>
      <c r="P178" s="237"/>
      <c r="Q178" s="237"/>
      <c r="R178" s="193">
        <f>'Site Information'!F182</f>
        <v>0</v>
      </c>
      <c r="S178" s="237"/>
      <c r="T178" s="237"/>
      <c r="U178" s="237"/>
      <c r="V178" s="237"/>
      <c r="W178" s="237"/>
      <c r="X178" s="237"/>
      <c r="Y178" s="237"/>
      <c r="Z178" s="237"/>
      <c r="AA178" s="237"/>
      <c r="AB178" s="237"/>
      <c r="AC178" s="237"/>
      <c r="AD178" s="237"/>
      <c r="AE178" s="237"/>
      <c r="AF178" s="237"/>
      <c r="AG178" s="237"/>
      <c r="AI178" s="193"/>
      <c r="AJ178" s="193"/>
    </row>
    <row r="179" spans="2:36" x14ac:dyDescent="0.35">
      <c r="B179" s="193" t="e">
        <f>"2024"&amp;MATCH(Totals!D179,OrgType,0)&amp;"_"&amp;MATCH(Totals!E179,Organisations,0)&amp;"_"&amp;LEFT(Totals!F179,1)&amp;"_"&amp;LEFT(G179,1)&amp;"_"&amp;COUNTIF($G$3:G179,G179)</f>
        <v>#N/A</v>
      </c>
      <c r="C179" s="193">
        <v>2025</v>
      </c>
      <c r="D179" s="193">
        <f>Introduction!$D$7</f>
        <v>0</v>
      </c>
      <c r="E179" s="193">
        <f>Introduction!$D$8</f>
        <v>0</v>
      </c>
      <c r="F179" s="193" t="s">
        <v>488</v>
      </c>
      <c r="G179" s="193" t="s">
        <v>489</v>
      </c>
      <c r="H179" s="195">
        <f>'Site Information'!B183</f>
        <v>0</v>
      </c>
      <c r="I179" s="194"/>
      <c r="J179" s="193">
        <f>'Site Information'!C183</f>
        <v>0</v>
      </c>
      <c r="K179" s="193">
        <f>'Site Information'!D183</f>
        <v>0</v>
      </c>
      <c r="L179" s="193">
        <f>'Site Information'!E183</f>
        <v>0</v>
      </c>
      <c r="M179" s="237"/>
      <c r="N179" s="237"/>
      <c r="O179" s="237"/>
      <c r="P179" s="237"/>
      <c r="Q179" s="237"/>
      <c r="R179" s="193">
        <f>'Site Information'!F183</f>
        <v>0</v>
      </c>
      <c r="S179" s="237"/>
      <c r="T179" s="237"/>
      <c r="U179" s="237"/>
      <c r="V179" s="237"/>
      <c r="W179" s="237"/>
      <c r="X179" s="237"/>
      <c r="Y179" s="237"/>
      <c r="Z179" s="237"/>
      <c r="AA179" s="237"/>
      <c r="AB179" s="237"/>
      <c r="AC179" s="237"/>
      <c r="AD179" s="237"/>
      <c r="AE179" s="237"/>
      <c r="AF179" s="237"/>
      <c r="AG179" s="237"/>
      <c r="AI179" s="193"/>
      <c r="AJ179" s="193"/>
    </row>
    <row r="180" spans="2:36" x14ac:dyDescent="0.35">
      <c r="B180" s="193" t="e">
        <f>"2024"&amp;MATCH(Totals!D180,OrgType,0)&amp;"_"&amp;MATCH(Totals!E180,Organisations,0)&amp;"_"&amp;LEFT(Totals!F180,1)&amp;"_"&amp;LEFT(G180,1)&amp;"_"&amp;COUNTIF($G$3:G180,G180)</f>
        <v>#N/A</v>
      </c>
      <c r="C180" s="193">
        <v>2025</v>
      </c>
      <c r="D180" s="193">
        <f>Introduction!$D$7</f>
        <v>0</v>
      </c>
      <c r="E180" s="193">
        <f>Introduction!$D$8</f>
        <v>0</v>
      </c>
      <c r="F180" s="193" t="s">
        <v>488</v>
      </c>
      <c r="G180" s="193" t="s">
        <v>489</v>
      </c>
      <c r="H180" s="195">
        <f>'Site Information'!B184</f>
        <v>0</v>
      </c>
      <c r="I180" s="194"/>
      <c r="J180" s="193">
        <f>'Site Information'!C184</f>
        <v>0</v>
      </c>
      <c r="K180" s="193">
        <f>'Site Information'!D184</f>
        <v>0</v>
      </c>
      <c r="L180" s="193">
        <f>'Site Information'!E184</f>
        <v>0</v>
      </c>
      <c r="M180" s="237"/>
      <c r="N180" s="237"/>
      <c r="O180" s="237"/>
      <c r="P180" s="237"/>
      <c r="Q180" s="237"/>
      <c r="R180" s="193">
        <f>'Site Information'!F184</f>
        <v>0</v>
      </c>
      <c r="S180" s="237"/>
      <c r="T180" s="237"/>
      <c r="U180" s="237"/>
      <c r="V180" s="237"/>
      <c r="W180" s="237"/>
      <c r="X180" s="237"/>
      <c r="Y180" s="237"/>
      <c r="Z180" s="237"/>
      <c r="AA180" s="237"/>
      <c r="AB180" s="237"/>
      <c r="AC180" s="237"/>
      <c r="AD180" s="237"/>
      <c r="AE180" s="237"/>
      <c r="AF180" s="237"/>
      <c r="AG180" s="237"/>
      <c r="AI180" s="193"/>
      <c r="AJ180" s="193"/>
    </row>
    <row r="181" spans="2:36" x14ac:dyDescent="0.35">
      <c r="B181" s="193" t="e">
        <f>"2024"&amp;MATCH(Totals!D181,OrgType,0)&amp;"_"&amp;MATCH(Totals!E181,Organisations,0)&amp;"_"&amp;LEFT(Totals!F181,1)&amp;"_"&amp;LEFT(G181,1)&amp;"_"&amp;COUNTIF($G$3:G181,G181)</f>
        <v>#N/A</v>
      </c>
      <c r="C181" s="193">
        <v>2025</v>
      </c>
      <c r="D181" s="193">
        <f>Introduction!$D$7</f>
        <v>0</v>
      </c>
      <c r="E181" s="193">
        <f>Introduction!$D$8</f>
        <v>0</v>
      </c>
      <c r="F181" s="193" t="s">
        <v>488</v>
      </c>
      <c r="G181" s="193" t="s">
        <v>489</v>
      </c>
      <c r="H181" s="195">
        <f>'Site Information'!B185</f>
        <v>0</v>
      </c>
      <c r="I181" s="194"/>
      <c r="J181" s="193">
        <f>'Site Information'!C185</f>
        <v>0</v>
      </c>
      <c r="K181" s="193">
        <f>'Site Information'!D185</f>
        <v>0</v>
      </c>
      <c r="L181" s="193">
        <f>'Site Information'!E185</f>
        <v>0</v>
      </c>
      <c r="M181" s="237"/>
      <c r="N181" s="237"/>
      <c r="O181" s="237"/>
      <c r="P181" s="237"/>
      <c r="Q181" s="237"/>
      <c r="R181" s="193">
        <f>'Site Information'!F185</f>
        <v>0</v>
      </c>
      <c r="S181" s="237"/>
      <c r="T181" s="237"/>
      <c r="U181" s="237"/>
      <c r="V181" s="237"/>
      <c r="W181" s="237"/>
      <c r="X181" s="237"/>
      <c r="Y181" s="237"/>
      <c r="Z181" s="237"/>
      <c r="AA181" s="237"/>
      <c r="AB181" s="237"/>
      <c r="AC181" s="237"/>
      <c r="AD181" s="237"/>
      <c r="AE181" s="237"/>
      <c r="AF181" s="237"/>
      <c r="AG181" s="237"/>
      <c r="AI181" s="193"/>
      <c r="AJ181" s="193"/>
    </row>
    <row r="182" spans="2:36" x14ac:dyDescent="0.35">
      <c r="B182" s="193" t="e">
        <f>"2024"&amp;MATCH(Totals!D182,OrgType,0)&amp;"_"&amp;MATCH(Totals!E182,Organisations,0)&amp;"_"&amp;LEFT(Totals!F182,1)&amp;"_"&amp;LEFT(G182,1)&amp;"_"&amp;COUNTIF($G$3:G182,G182)</f>
        <v>#N/A</v>
      </c>
      <c r="C182" s="193">
        <v>2025</v>
      </c>
      <c r="D182" s="193">
        <f>Introduction!$D$7</f>
        <v>0</v>
      </c>
      <c r="E182" s="193">
        <f>Introduction!$D$8</f>
        <v>0</v>
      </c>
      <c r="F182" s="193" t="s">
        <v>488</v>
      </c>
      <c r="G182" s="193" t="s">
        <v>489</v>
      </c>
      <c r="H182" s="195">
        <f>'Site Information'!B186</f>
        <v>0</v>
      </c>
      <c r="I182" s="194"/>
      <c r="J182" s="193">
        <f>'Site Information'!C186</f>
        <v>0</v>
      </c>
      <c r="K182" s="193">
        <f>'Site Information'!D186</f>
        <v>0</v>
      </c>
      <c r="L182" s="193">
        <f>'Site Information'!E186</f>
        <v>0</v>
      </c>
      <c r="M182" s="237"/>
      <c r="N182" s="237"/>
      <c r="O182" s="237"/>
      <c r="P182" s="237"/>
      <c r="Q182" s="237"/>
      <c r="R182" s="193">
        <f>'Site Information'!F186</f>
        <v>0</v>
      </c>
      <c r="S182" s="237"/>
      <c r="T182" s="237"/>
      <c r="U182" s="237"/>
      <c r="V182" s="237"/>
      <c r="W182" s="237"/>
      <c r="X182" s="237"/>
      <c r="Y182" s="237"/>
      <c r="Z182" s="237"/>
      <c r="AA182" s="237"/>
      <c r="AB182" s="237"/>
      <c r="AC182" s="237"/>
      <c r="AD182" s="237"/>
      <c r="AE182" s="237"/>
      <c r="AF182" s="237"/>
      <c r="AG182" s="237"/>
      <c r="AI182" s="193"/>
      <c r="AJ182" s="193"/>
    </row>
    <row r="183" spans="2:36" x14ac:dyDescent="0.35">
      <c r="B183" s="193" t="e">
        <f>"2024"&amp;MATCH(Totals!D183,OrgType,0)&amp;"_"&amp;MATCH(Totals!E183,Organisations,0)&amp;"_"&amp;LEFT(Totals!F183,1)&amp;"_"&amp;LEFT(G183,1)&amp;"_"&amp;COUNTIF($G$3:G183,G183)</f>
        <v>#N/A</v>
      </c>
      <c r="C183" s="193">
        <v>2025</v>
      </c>
      <c r="D183" s="193">
        <f>Introduction!$D$7</f>
        <v>0</v>
      </c>
      <c r="E183" s="193">
        <f>Introduction!$D$8</f>
        <v>0</v>
      </c>
      <c r="F183" s="193" t="s">
        <v>488</v>
      </c>
      <c r="G183" s="193" t="s">
        <v>489</v>
      </c>
      <c r="H183" s="195">
        <f>'Site Information'!B187</f>
        <v>0</v>
      </c>
      <c r="I183" s="194"/>
      <c r="J183" s="193">
        <f>'Site Information'!C187</f>
        <v>0</v>
      </c>
      <c r="K183" s="193">
        <f>'Site Information'!D187</f>
        <v>0</v>
      </c>
      <c r="L183" s="193">
        <f>'Site Information'!E187</f>
        <v>0</v>
      </c>
      <c r="M183" s="237"/>
      <c r="N183" s="237"/>
      <c r="O183" s="237"/>
      <c r="P183" s="237"/>
      <c r="Q183" s="237"/>
      <c r="R183" s="193">
        <f>'Site Information'!F187</f>
        <v>0</v>
      </c>
      <c r="S183" s="237"/>
      <c r="T183" s="237"/>
      <c r="U183" s="237"/>
      <c r="V183" s="237"/>
      <c r="W183" s="237"/>
      <c r="X183" s="237"/>
      <c r="Y183" s="237"/>
      <c r="Z183" s="237"/>
      <c r="AA183" s="237"/>
      <c r="AB183" s="237"/>
      <c r="AC183" s="237"/>
      <c r="AD183" s="237"/>
      <c r="AE183" s="237"/>
      <c r="AF183" s="237"/>
      <c r="AG183" s="237"/>
      <c r="AI183" s="193"/>
      <c r="AJ183" s="193"/>
    </row>
    <row r="184" spans="2:36" x14ac:dyDescent="0.35">
      <c r="B184" s="193" t="e">
        <f>"2024"&amp;MATCH(Totals!D184,OrgType,0)&amp;"_"&amp;MATCH(Totals!E184,Organisations,0)&amp;"_"&amp;LEFT(Totals!F184,1)&amp;"_"&amp;LEFT(G184,1)&amp;"_"&amp;COUNTIF($G$3:G184,G184)</f>
        <v>#N/A</v>
      </c>
      <c r="C184" s="193">
        <v>2025</v>
      </c>
      <c r="D184" s="193">
        <f>Introduction!$D$7</f>
        <v>0</v>
      </c>
      <c r="E184" s="193">
        <f>Introduction!$D$8</f>
        <v>0</v>
      </c>
      <c r="F184" s="193" t="s">
        <v>488</v>
      </c>
      <c r="G184" s="193" t="s">
        <v>489</v>
      </c>
      <c r="H184" s="195">
        <f>'Site Information'!B188</f>
        <v>0</v>
      </c>
      <c r="I184" s="194"/>
      <c r="J184" s="193">
        <f>'Site Information'!C188</f>
        <v>0</v>
      </c>
      <c r="K184" s="193">
        <f>'Site Information'!D188</f>
        <v>0</v>
      </c>
      <c r="L184" s="193">
        <f>'Site Information'!E188</f>
        <v>0</v>
      </c>
      <c r="M184" s="237"/>
      <c r="N184" s="237"/>
      <c r="O184" s="237"/>
      <c r="P184" s="237"/>
      <c r="Q184" s="237"/>
      <c r="R184" s="193">
        <f>'Site Information'!F188</f>
        <v>0</v>
      </c>
      <c r="S184" s="237"/>
      <c r="T184" s="237"/>
      <c r="U184" s="237"/>
      <c r="V184" s="237"/>
      <c r="W184" s="237"/>
      <c r="X184" s="237"/>
      <c r="Y184" s="237"/>
      <c r="Z184" s="237"/>
      <c r="AA184" s="237"/>
      <c r="AB184" s="237"/>
      <c r="AC184" s="237"/>
      <c r="AD184" s="237"/>
      <c r="AE184" s="237"/>
      <c r="AF184" s="237"/>
      <c r="AG184" s="237"/>
      <c r="AI184" s="193"/>
      <c r="AJ184" s="193"/>
    </row>
    <row r="185" spans="2:36" x14ac:dyDescent="0.35">
      <c r="B185" s="193" t="e">
        <f>"2024"&amp;MATCH(Totals!D185,OrgType,0)&amp;"_"&amp;MATCH(Totals!E185,Organisations,0)&amp;"_"&amp;LEFT(Totals!F185,1)&amp;"_"&amp;LEFT(G185,1)&amp;"_"&amp;COUNTIF($G$3:G185,G185)</f>
        <v>#N/A</v>
      </c>
      <c r="C185" s="193">
        <v>2025</v>
      </c>
      <c r="D185" s="193">
        <f>Introduction!$D$7</f>
        <v>0</v>
      </c>
      <c r="E185" s="193">
        <f>Introduction!$D$8</f>
        <v>0</v>
      </c>
      <c r="F185" s="193" t="s">
        <v>488</v>
      </c>
      <c r="G185" s="193" t="s">
        <v>489</v>
      </c>
      <c r="H185" s="195">
        <f>'Site Information'!B189</f>
        <v>0</v>
      </c>
      <c r="I185" s="194"/>
      <c r="J185" s="193">
        <f>'Site Information'!C189</f>
        <v>0</v>
      </c>
      <c r="K185" s="193">
        <f>'Site Information'!D189</f>
        <v>0</v>
      </c>
      <c r="L185" s="193">
        <f>'Site Information'!E189</f>
        <v>0</v>
      </c>
      <c r="M185" s="237"/>
      <c r="N185" s="237"/>
      <c r="O185" s="237"/>
      <c r="P185" s="237"/>
      <c r="Q185" s="237"/>
      <c r="R185" s="193">
        <f>'Site Information'!F189</f>
        <v>0</v>
      </c>
      <c r="S185" s="237"/>
      <c r="T185" s="237"/>
      <c r="U185" s="237"/>
      <c r="V185" s="237"/>
      <c r="W185" s="237"/>
      <c r="X185" s="237"/>
      <c r="Y185" s="237"/>
      <c r="Z185" s="237"/>
      <c r="AA185" s="237"/>
      <c r="AB185" s="237"/>
      <c r="AC185" s="237"/>
      <c r="AD185" s="237"/>
      <c r="AE185" s="237"/>
      <c r="AF185" s="237"/>
      <c r="AG185" s="237"/>
      <c r="AI185" s="193"/>
      <c r="AJ185" s="193"/>
    </row>
    <row r="186" spans="2:36" x14ac:dyDescent="0.35">
      <c r="B186" s="193" t="e">
        <f>"2024"&amp;MATCH(Totals!D186,OrgType,0)&amp;"_"&amp;MATCH(Totals!E186,Organisations,0)&amp;"_"&amp;LEFT(Totals!F186,1)&amp;"_"&amp;LEFT(G186,1)&amp;"_"&amp;COUNTIF($G$3:G186,G186)</f>
        <v>#N/A</v>
      </c>
      <c r="C186" s="193">
        <v>2025</v>
      </c>
      <c r="D186" s="193">
        <f>Introduction!$D$7</f>
        <v>0</v>
      </c>
      <c r="E186" s="193">
        <f>Introduction!$D$8</f>
        <v>0</v>
      </c>
      <c r="F186" s="193" t="s">
        <v>488</v>
      </c>
      <c r="G186" s="193" t="s">
        <v>489</v>
      </c>
      <c r="H186" s="195">
        <f>'Site Information'!B190</f>
        <v>0</v>
      </c>
      <c r="I186" s="194"/>
      <c r="J186" s="193">
        <f>'Site Information'!C190</f>
        <v>0</v>
      </c>
      <c r="K186" s="193">
        <f>'Site Information'!D190</f>
        <v>0</v>
      </c>
      <c r="L186" s="193">
        <f>'Site Information'!E190</f>
        <v>0</v>
      </c>
      <c r="M186" s="237"/>
      <c r="N186" s="237"/>
      <c r="O186" s="237"/>
      <c r="P186" s="237"/>
      <c r="Q186" s="237"/>
      <c r="R186" s="193">
        <f>'Site Information'!F190</f>
        <v>0</v>
      </c>
      <c r="S186" s="237"/>
      <c r="T186" s="237"/>
      <c r="U186" s="237"/>
      <c r="V186" s="237"/>
      <c r="W186" s="237"/>
      <c r="X186" s="237"/>
      <c r="Y186" s="237"/>
      <c r="Z186" s="237"/>
      <c r="AA186" s="237"/>
      <c r="AB186" s="237"/>
      <c r="AC186" s="237"/>
      <c r="AD186" s="237"/>
      <c r="AE186" s="237"/>
      <c r="AF186" s="237"/>
      <c r="AG186" s="237"/>
      <c r="AI186" s="193"/>
      <c r="AJ186" s="193"/>
    </row>
    <row r="187" spans="2:36" x14ac:dyDescent="0.35">
      <c r="B187" s="193" t="e">
        <f>"2024"&amp;MATCH(Totals!D187,OrgType,0)&amp;"_"&amp;MATCH(Totals!E187,Organisations,0)&amp;"_"&amp;LEFT(Totals!F187,1)&amp;"_"&amp;LEFT(G187,1)&amp;"_"&amp;COUNTIF($G$3:G187,G187)</f>
        <v>#N/A</v>
      </c>
      <c r="C187" s="193">
        <v>2025</v>
      </c>
      <c r="D187" s="193">
        <f>Introduction!$D$7</f>
        <v>0</v>
      </c>
      <c r="E187" s="193">
        <f>Introduction!$D$8</f>
        <v>0</v>
      </c>
      <c r="F187" s="193" t="s">
        <v>488</v>
      </c>
      <c r="G187" s="193" t="s">
        <v>489</v>
      </c>
      <c r="H187" s="195">
        <f>'Site Information'!B191</f>
        <v>0</v>
      </c>
      <c r="I187" s="194"/>
      <c r="J187" s="193">
        <f>'Site Information'!C191</f>
        <v>0</v>
      </c>
      <c r="K187" s="193">
        <f>'Site Information'!D191</f>
        <v>0</v>
      </c>
      <c r="L187" s="193">
        <f>'Site Information'!E191</f>
        <v>0</v>
      </c>
      <c r="M187" s="237"/>
      <c r="N187" s="237"/>
      <c r="O187" s="237"/>
      <c r="P187" s="237"/>
      <c r="Q187" s="237"/>
      <c r="R187" s="193">
        <f>'Site Information'!F191</f>
        <v>0</v>
      </c>
      <c r="S187" s="237"/>
      <c r="T187" s="237"/>
      <c r="U187" s="237"/>
      <c r="V187" s="237"/>
      <c r="W187" s="237"/>
      <c r="X187" s="237"/>
      <c r="Y187" s="237"/>
      <c r="Z187" s="237"/>
      <c r="AA187" s="237"/>
      <c r="AB187" s="237"/>
      <c r="AC187" s="237"/>
      <c r="AD187" s="237"/>
      <c r="AE187" s="237"/>
      <c r="AF187" s="237"/>
      <c r="AG187" s="237"/>
      <c r="AI187" s="193"/>
      <c r="AJ187" s="193"/>
    </row>
    <row r="188" spans="2:36" x14ac:dyDescent="0.35">
      <c r="B188" s="193" t="e">
        <f>"2024"&amp;MATCH(Totals!D188,OrgType,0)&amp;"_"&amp;MATCH(Totals!E188,Organisations,0)&amp;"_"&amp;LEFT(Totals!F188,1)&amp;"_"&amp;LEFT(G188,1)&amp;"_"&amp;COUNTIF($G$3:G188,G188)</f>
        <v>#N/A</v>
      </c>
      <c r="C188" s="193">
        <v>2025</v>
      </c>
      <c r="D188" s="193">
        <f>Introduction!$D$7</f>
        <v>0</v>
      </c>
      <c r="E188" s="193">
        <f>Introduction!$D$8</f>
        <v>0</v>
      </c>
      <c r="F188" s="193" t="s">
        <v>488</v>
      </c>
      <c r="G188" s="193" t="s">
        <v>489</v>
      </c>
      <c r="H188" s="195">
        <f>'Site Information'!B192</f>
        <v>0</v>
      </c>
      <c r="I188" s="194"/>
      <c r="J188" s="193">
        <f>'Site Information'!C192</f>
        <v>0</v>
      </c>
      <c r="K188" s="193">
        <f>'Site Information'!D192</f>
        <v>0</v>
      </c>
      <c r="L188" s="193">
        <f>'Site Information'!E192</f>
        <v>0</v>
      </c>
      <c r="M188" s="237"/>
      <c r="N188" s="237"/>
      <c r="O188" s="237"/>
      <c r="P188" s="237"/>
      <c r="Q188" s="237"/>
      <c r="R188" s="193">
        <f>'Site Information'!F192</f>
        <v>0</v>
      </c>
      <c r="S188" s="237"/>
      <c r="T188" s="237"/>
      <c r="U188" s="237"/>
      <c r="V188" s="237"/>
      <c r="W188" s="237"/>
      <c r="X188" s="237"/>
      <c r="Y188" s="237"/>
      <c r="Z188" s="237"/>
      <c r="AA188" s="237"/>
      <c r="AB188" s="237"/>
      <c r="AC188" s="237"/>
      <c r="AD188" s="237"/>
      <c r="AE188" s="237"/>
      <c r="AF188" s="237"/>
      <c r="AG188" s="237"/>
      <c r="AI188" s="193"/>
      <c r="AJ188" s="193"/>
    </row>
    <row r="189" spans="2:36" x14ac:dyDescent="0.35">
      <c r="B189" s="193" t="e">
        <f>"2024"&amp;MATCH(Totals!D189,OrgType,0)&amp;"_"&amp;MATCH(Totals!E189,Organisations,0)&amp;"_"&amp;LEFT(Totals!F189,1)&amp;"_"&amp;LEFT(G189,1)&amp;"_"&amp;COUNTIF($G$3:G189,G189)</f>
        <v>#N/A</v>
      </c>
      <c r="C189" s="193">
        <v>2025</v>
      </c>
      <c r="D189" s="193">
        <f>Introduction!$D$7</f>
        <v>0</v>
      </c>
      <c r="E189" s="193">
        <f>Introduction!$D$8</f>
        <v>0</v>
      </c>
      <c r="F189" s="193" t="s">
        <v>488</v>
      </c>
      <c r="G189" s="193" t="s">
        <v>489</v>
      </c>
      <c r="H189" s="195">
        <f>'Site Information'!B193</f>
        <v>0</v>
      </c>
      <c r="I189" s="194"/>
      <c r="J189" s="193">
        <f>'Site Information'!C193</f>
        <v>0</v>
      </c>
      <c r="K189" s="193">
        <f>'Site Information'!D193</f>
        <v>0</v>
      </c>
      <c r="L189" s="193">
        <f>'Site Information'!E193</f>
        <v>0</v>
      </c>
      <c r="M189" s="237"/>
      <c r="N189" s="237"/>
      <c r="O189" s="237"/>
      <c r="P189" s="237"/>
      <c r="Q189" s="237"/>
      <c r="R189" s="193">
        <f>'Site Information'!F193</f>
        <v>0</v>
      </c>
      <c r="S189" s="237"/>
      <c r="T189" s="237"/>
      <c r="U189" s="237"/>
      <c r="V189" s="237"/>
      <c r="W189" s="237"/>
      <c r="X189" s="237"/>
      <c r="Y189" s="237"/>
      <c r="Z189" s="237"/>
      <c r="AA189" s="237"/>
      <c r="AB189" s="237"/>
      <c r="AC189" s="237"/>
      <c r="AD189" s="237"/>
      <c r="AE189" s="237"/>
      <c r="AF189" s="237"/>
      <c r="AG189" s="237"/>
      <c r="AI189" s="193"/>
      <c r="AJ189" s="193"/>
    </row>
    <row r="190" spans="2:36" x14ac:dyDescent="0.35">
      <c r="B190" s="193" t="e">
        <f>"2024"&amp;MATCH(Totals!D190,OrgType,0)&amp;"_"&amp;MATCH(Totals!E190,Organisations,0)&amp;"_"&amp;LEFT(Totals!F190,1)&amp;"_"&amp;LEFT(G190,1)&amp;"_"&amp;COUNTIF($G$3:G190,G190)</f>
        <v>#N/A</v>
      </c>
      <c r="C190" s="193">
        <v>2025</v>
      </c>
      <c r="D190" s="193">
        <f>Introduction!$D$7</f>
        <v>0</v>
      </c>
      <c r="E190" s="193">
        <f>Introduction!$D$8</f>
        <v>0</v>
      </c>
      <c r="F190" s="193" t="s">
        <v>488</v>
      </c>
      <c r="G190" s="193" t="s">
        <v>489</v>
      </c>
      <c r="H190" s="195">
        <f>'Site Information'!B194</f>
        <v>0</v>
      </c>
      <c r="I190" s="194"/>
      <c r="J190" s="193">
        <f>'Site Information'!C194</f>
        <v>0</v>
      </c>
      <c r="K190" s="193">
        <f>'Site Information'!D194</f>
        <v>0</v>
      </c>
      <c r="L190" s="193">
        <f>'Site Information'!E194</f>
        <v>0</v>
      </c>
      <c r="M190" s="237"/>
      <c r="N190" s="237"/>
      <c r="O190" s="237"/>
      <c r="P190" s="237"/>
      <c r="Q190" s="237"/>
      <c r="R190" s="193">
        <f>'Site Information'!F194</f>
        <v>0</v>
      </c>
      <c r="S190" s="237"/>
      <c r="T190" s="237"/>
      <c r="U190" s="237"/>
      <c r="V190" s="237"/>
      <c r="W190" s="237"/>
      <c r="X190" s="237"/>
      <c r="Y190" s="237"/>
      <c r="Z190" s="237"/>
      <c r="AA190" s="237"/>
      <c r="AB190" s="237"/>
      <c r="AC190" s="237"/>
      <c r="AD190" s="237"/>
      <c r="AE190" s="237"/>
      <c r="AF190" s="237"/>
      <c r="AG190" s="237"/>
      <c r="AI190" s="193"/>
      <c r="AJ190" s="193"/>
    </row>
    <row r="191" spans="2:36" x14ac:dyDescent="0.35">
      <c r="B191" s="193" t="e">
        <f>"2024"&amp;MATCH(Totals!D191,OrgType,0)&amp;"_"&amp;MATCH(Totals!E191,Organisations,0)&amp;"_"&amp;LEFT(Totals!F191,1)&amp;"_"&amp;LEFT(G191,1)&amp;"_"&amp;COUNTIF($G$3:G191,G191)</f>
        <v>#N/A</v>
      </c>
      <c r="C191" s="193">
        <v>2025</v>
      </c>
      <c r="D191" s="193">
        <f>Introduction!$D$7</f>
        <v>0</v>
      </c>
      <c r="E191" s="193">
        <f>Introduction!$D$8</f>
        <v>0</v>
      </c>
      <c r="F191" s="193" t="s">
        <v>488</v>
      </c>
      <c r="G191" s="193" t="s">
        <v>489</v>
      </c>
      <c r="H191" s="195">
        <f>'Site Information'!B195</f>
        <v>0</v>
      </c>
      <c r="I191" s="194"/>
      <c r="J191" s="193">
        <f>'Site Information'!C195</f>
        <v>0</v>
      </c>
      <c r="K191" s="193">
        <f>'Site Information'!D195</f>
        <v>0</v>
      </c>
      <c r="L191" s="193">
        <f>'Site Information'!E195</f>
        <v>0</v>
      </c>
      <c r="M191" s="237"/>
      <c r="N191" s="237"/>
      <c r="O191" s="237"/>
      <c r="P191" s="237"/>
      <c r="Q191" s="237"/>
      <c r="R191" s="193">
        <f>'Site Information'!F195</f>
        <v>0</v>
      </c>
      <c r="S191" s="237"/>
      <c r="T191" s="237"/>
      <c r="U191" s="237"/>
      <c r="V191" s="237"/>
      <c r="W191" s="237"/>
      <c r="X191" s="237"/>
      <c r="Y191" s="237"/>
      <c r="Z191" s="237"/>
      <c r="AA191" s="237"/>
      <c r="AB191" s="237"/>
      <c r="AC191" s="237"/>
      <c r="AD191" s="237"/>
      <c r="AE191" s="237"/>
      <c r="AF191" s="237"/>
      <c r="AG191" s="237"/>
      <c r="AI191" s="193"/>
      <c r="AJ191" s="193"/>
    </row>
    <row r="192" spans="2:36" x14ac:dyDescent="0.35">
      <c r="B192" s="193" t="e">
        <f>"2024"&amp;MATCH(Totals!D192,OrgType,0)&amp;"_"&amp;MATCH(Totals!E192,Organisations,0)&amp;"_"&amp;LEFT(Totals!F192,1)&amp;"_"&amp;LEFT(G192,1)&amp;"_"&amp;COUNTIF($G$3:G192,G192)</f>
        <v>#N/A</v>
      </c>
      <c r="C192" s="193">
        <v>2025</v>
      </c>
      <c r="D192" s="193">
        <f>Introduction!$D$7</f>
        <v>0</v>
      </c>
      <c r="E192" s="193">
        <f>Introduction!$D$8</f>
        <v>0</v>
      </c>
      <c r="F192" s="193" t="s">
        <v>488</v>
      </c>
      <c r="G192" s="193" t="s">
        <v>489</v>
      </c>
      <c r="H192" s="195">
        <f>'Site Information'!B196</f>
        <v>0</v>
      </c>
      <c r="I192" s="194"/>
      <c r="J192" s="193">
        <f>'Site Information'!C196</f>
        <v>0</v>
      </c>
      <c r="K192" s="193">
        <f>'Site Information'!D196</f>
        <v>0</v>
      </c>
      <c r="L192" s="193">
        <f>'Site Information'!E196</f>
        <v>0</v>
      </c>
      <c r="M192" s="237"/>
      <c r="N192" s="237"/>
      <c r="O192" s="237"/>
      <c r="P192" s="237"/>
      <c r="Q192" s="237"/>
      <c r="R192" s="193">
        <f>'Site Information'!F196</f>
        <v>0</v>
      </c>
      <c r="S192" s="237"/>
      <c r="T192" s="237"/>
      <c r="U192" s="237"/>
      <c r="V192" s="237"/>
      <c r="W192" s="237"/>
      <c r="X192" s="237"/>
      <c r="Y192" s="237"/>
      <c r="Z192" s="237"/>
      <c r="AA192" s="237"/>
      <c r="AB192" s="237"/>
      <c r="AC192" s="237"/>
      <c r="AD192" s="237"/>
      <c r="AE192" s="237"/>
      <c r="AF192" s="237"/>
      <c r="AG192" s="237"/>
      <c r="AI192" s="193"/>
      <c r="AJ192" s="193"/>
    </row>
    <row r="193" spans="2:36" x14ac:dyDescent="0.35">
      <c r="B193" s="193" t="e">
        <f>"2024"&amp;MATCH(Totals!D193,OrgType,0)&amp;"_"&amp;MATCH(Totals!E193,Organisations,0)&amp;"_"&amp;LEFT(Totals!F193,1)&amp;"_"&amp;LEFT(G193,1)&amp;"_"&amp;COUNTIF($G$3:G193,G193)</f>
        <v>#N/A</v>
      </c>
      <c r="C193" s="193">
        <v>2025</v>
      </c>
      <c r="D193" s="193">
        <f>Introduction!$D$7</f>
        <v>0</v>
      </c>
      <c r="E193" s="193">
        <f>Introduction!$D$8</f>
        <v>0</v>
      </c>
      <c r="F193" s="193" t="s">
        <v>488</v>
      </c>
      <c r="G193" s="193" t="s">
        <v>489</v>
      </c>
      <c r="H193" s="195">
        <f>'Site Information'!B197</f>
        <v>0</v>
      </c>
      <c r="I193" s="194"/>
      <c r="J193" s="193">
        <f>'Site Information'!C197</f>
        <v>0</v>
      </c>
      <c r="K193" s="193">
        <f>'Site Information'!D197</f>
        <v>0</v>
      </c>
      <c r="L193" s="193">
        <f>'Site Information'!E197</f>
        <v>0</v>
      </c>
      <c r="M193" s="237"/>
      <c r="N193" s="237"/>
      <c r="O193" s="237"/>
      <c r="P193" s="237"/>
      <c r="Q193" s="237"/>
      <c r="R193" s="193">
        <f>'Site Information'!F197</f>
        <v>0</v>
      </c>
      <c r="S193" s="237"/>
      <c r="T193" s="237"/>
      <c r="U193" s="237"/>
      <c r="V193" s="237"/>
      <c r="W193" s="237"/>
      <c r="X193" s="237"/>
      <c r="Y193" s="237"/>
      <c r="Z193" s="237"/>
      <c r="AA193" s="237"/>
      <c r="AB193" s="237"/>
      <c r="AC193" s="237"/>
      <c r="AD193" s="237"/>
      <c r="AE193" s="237"/>
      <c r="AF193" s="237"/>
      <c r="AG193" s="237"/>
      <c r="AI193" s="193"/>
      <c r="AJ193" s="193"/>
    </row>
    <row r="194" spans="2:36" x14ac:dyDescent="0.35">
      <c r="B194" s="193" t="e">
        <f>"2024"&amp;MATCH(Totals!D194,OrgType,0)&amp;"_"&amp;MATCH(Totals!E194,Organisations,0)&amp;"_"&amp;LEFT(Totals!F194,1)&amp;"_"&amp;LEFT(G194,1)&amp;"_"&amp;COUNTIF($G$3:G194,G194)</f>
        <v>#N/A</v>
      </c>
      <c r="C194" s="193">
        <v>2025</v>
      </c>
      <c r="D194" s="193">
        <f>Introduction!$D$7</f>
        <v>0</v>
      </c>
      <c r="E194" s="193">
        <f>Introduction!$D$8</f>
        <v>0</v>
      </c>
      <c r="F194" s="193" t="s">
        <v>488</v>
      </c>
      <c r="G194" s="193" t="s">
        <v>489</v>
      </c>
      <c r="H194" s="195">
        <f>'Site Information'!B198</f>
        <v>0</v>
      </c>
      <c r="I194" s="194"/>
      <c r="J194" s="193">
        <f>'Site Information'!C198</f>
        <v>0</v>
      </c>
      <c r="K194" s="193">
        <f>'Site Information'!D198</f>
        <v>0</v>
      </c>
      <c r="L194" s="193">
        <f>'Site Information'!E198</f>
        <v>0</v>
      </c>
      <c r="M194" s="237"/>
      <c r="N194" s="237"/>
      <c r="O194" s="237"/>
      <c r="P194" s="237"/>
      <c r="Q194" s="237"/>
      <c r="R194" s="193">
        <f>'Site Information'!F198</f>
        <v>0</v>
      </c>
      <c r="S194" s="237"/>
      <c r="T194" s="237"/>
      <c r="U194" s="237"/>
      <c r="V194" s="237"/>
      <c r="W194" s="237"/>
      <c r="X194" s="237"/>
      <c r="Y194" s="237"/>
      <c r="Z194" s="237"/>
      <c r="AA194" s="237"/>
      <c r="AB194" s="237"/>
      <c r="AC194" s="237"/>
      <c r="AD194" s="237"/>
      <c r="AE194" s="237"/>
      <c r="AF194" s="237"/>
      <c r="AG194" s="237"/>
      <c r="AI194" s="193"/>
      <c r="AJ194" s="193"/>
    </row>
    <row r="195" spans="2:36" x14ac:dyDescent="0.35">
      <c r="B195" s="193" t="e">
        <f>"2024"&amp;MATCH(Totals!D195,OrgType,0)&amp;"_"&amp;MATCH(Totals!E195,Organisations,0)&amp;"_"&amp;LEFT(Totals!F195,1)&amp;"_"&amp;LEFT(G195,1)&amp;"_"&amp;COUNTIF($G$3:G195,G195)</f>
        <v>#N/A</v>
      </c>
      <c r="C195" s="193">
        <v>2025</v>
      </c>
      <c r="D195" s="193">
        <f>Introduction!$D$7</f>
        <v>0</v>
      </c>
      <c r="E195" s="193">
        <f>Introduction!$D$8</f>
        <v>0</v>
      </c>
      <c r="F195" s="193" t="s">
        <v>488</v>
      </c>
      <c r="G195" s="193" t="s">
        <v>489</v>
      </c>
      <c r="H195" s="195">
        <f>'Site Information'!B199</f>
        <v>0</v>
      </c>
      <c r="I195" s="194"/>
      <c r="J195" s="193">
        <f>'Site Information'!C199</f>
        <v>0</v>
      </c>
      <c r="K195" s="193">
        <f>'Site Information'!D199</f>
        <v>0</v>
      </c>
      <c r="L195" s="193">
        <f>'Site Information'!E199</f>
        <v>0</v>
      </c>
      <c r="M195" s="237"/>
      <c r="N195" s="237"/>
      <c r="O195" s="237"/>
      <c r="P195" s="237"/>
      <c r="Q195" s="237"/>
      <c r="R195" s="193">
        <f>'Site Information'!F199</f>
        <v>0</v>
      </c>
      <c r="S195" s="237"/>
      <c r="T195" s="237"/>
      <c r="U195" s="237"/>
      <c r="V195" s="237"/>
      <c r="W195" s="237"/>
      <c r="X195" s="237"/>
      <c r="Y195" s="237"/>
      <c r="Z195" s="237"/>
      <c r="AA195" s="237"/>
      <c r="AB195" s="237"/>
      <c r="AC195" s="237"/>
      <c r="AD195" s="237"/>
      <c r="AE195" s="237"/>
      <c r="AF195" s="237"/>
      <c r="AG195" s="237"/>
      <c r="AI195" s="193"/>
      <c r="AJ195" s="193"/>
    </row>
    <row r="196" spans="2:36" x14ac:dyDescent="0.35">
      <c r="B196" s="193" t="e">
        <f>"2024"&amp;MATCH(Totals!D196,OrgType,0)&amp;"_"&amp;MATCH(Totals!E196,Organisations,0)&amp;"_"&amp;LEFT(Totals!F196,1)&amp;"_"&amp;LEFT(G196,1)&amp;"_"&amp;COUNTIF($G$3:G196,G196)</f>
        <v>#N/A</v>
      </c>
      <c r="C196" s="193">
        <v>2025</v>
      </c>
      <c r="D196" s="193">
        <f>Introduction!$D$7</f>
        <v>0</v>
      </c>
      <c r="E196" s="193">
        <f>Introduction!$D$8</f>
        <v>0</v>
      </c>
      <c r="F196" s="193" t="s">
        <v>488</v>
      </c>
      <c r="G196" s="193" t="s">
        <v>489</v>
      </c>
      <c r="H196" s="195">
        <f>'Site Information'!B200</f>
        <v>0</v>
      </c>
      <c r="I196" s="194"/>
      <c r="J196" s="193">
        <f>'Site Information'!C200</f>
        <v>0</v>
      </c>
      <c r="K196" s="193">
        <f>'Site Information'!D200</f>
        <v>0</v>
      </c>
      <c r="L196" s="193">
        <f>'Site Information'!E200</f>
        <v>0</v>
      </c>
      <c r="M196" s="237"/>
      <c r="N196" s="237"/>
      <c r="O196" s="237"/>
      <c r="P196" s="237"/>
      <c r="Q196" s="237"/>
      <c r="R196" s="193">
        <f>'Site Information'!F200</f>
        <v>0</v>
      </c>
      <c r="S196" s="237"/>
      <c r="T196" s="237"/>
      <c r="U196" s="237"/>
      <c r="V196" s="237"/>
      <c r="W196" s="237"/>
      <c r="X196" s="237"/>
      <c r="Y196" s="237"/>
      <c r="Z196" s="237"/>
      <c r="AA196" s="237"/>
      <c r="AB196" s="237"/>
      <c r="AC196" s="237"/>
      <c r="AD196" s="237"/>
      <c r="AE196" s="237"/>
      <c r="AF196" s="237"/>
      <c r="AG196" s="237"/>
      <c r="AI196" s="193"/>
      <c r="AJ196" s="193"/>
    </row>
    <row r="197" spans="2:36" x14ac:dyDescent="0.35">
      <c r="B197" s="193" t="e">
        <f>"2024"&amp;MATCH(Totals!D197,OrgType,0)&amp;"_"&amp;MATCH(Totals!E197,Organisations,0)&amp;"_"&amp;LEFT(Totals!F197,1)&amp;"_"&amp;LEFT(G197,1)&amp;"_"&amp;COUNTIF($G$3:G197,G197)</f>
        <v>#N/A</v>
      </c>
      <c r="C197" s="193">
        <v>2025</v>
      </c>
      <c r="D197" s="193">
        <f>Introduction!$D$7</f>
        <v>0</v>
      </c>
      <c r="E197" s="193">
        <f>Introduction!$D$8</f>
        <v>0</v>
      </c>
      <c r="F197" s="193" t="s">
        <v>488</v>
      </c>
      <c r="G197" s="193" t="s">
        <v>489</v>
      </c>
      <c r="H197" s="195">
        <f>'Site Information'!B201</f>
        <v>0</v>
      </c>
      <c r="I197" s="194"/>
      <c r="J197" s="193">
        <f>'Site Information'!C201</f>
        <v>0</v>
      </c>
      <c r="K197" s="193">
        <f>'Site Information'!D201</f>
        <v>0</v>
      </c>
      <c r="L197" s="193">
        <f>'Site Information'!E201</f>
        <v>0</v>
      </c>
      <c r="M197" s="237"/>
      <c r="N197" s="237"/>
      <c r="O197" s="237"/>
      <c r="P197" s="237"/>
      <c r="Q197" s="237"/>
      <c r="R197" s="193">
        <f>'Site Information'!F201</f>
        <v>0</v>
      </c>
      <c r="S197" s="237"/>
      <c r="T197" s="237"/>
      <c r="U197" s="237"/>
      <c r="V197" s="237"/>
      <c r="W197" s="237"/>
      <c r="X197" s="237"/>
      <c r="Y197" s="237"/>
      <c r="Z197" s="237"/>
      <c r="AA197" s="237"/>
      <c r="AB197" s="237"/>
      <c r="AC197" s="237"/>
      <c r="AD197" s="237"/>
      <c r="AE197" s="237"/>
      <c r="AF197" s="237"/>
      <c r="AG197" s="237"/>
      <c r="AI197" s="193"/>
      <c r="AJ197" s="193"/>
    </row>
    <row r="198" spans="2:36" x14ac:dyDescent="0.35">
      <c r="B198" s="193" t="e">
        <f>"2024"&amp;MATCH(Totals!D198,OrgType,0)&amp;"_"&amp;MATCH(Totals!E198,Organisations,0)&amp;"_"&amp;LEFT(Totals!F198,1)&amp;"_"&amp;LEFT(G198,1)&amp;"_"&amp;COUNTIF($G$3:G198,G198)</f>
        <v>#N/A</v>
      </c>
      <c r="C198" s="193">
        <v>2025</v>
      </c>
      <c r="D198" s="193">
        <f>Introduction!$D$7</f>
        <v>0</v>
      </c>
      <c r="E198" s="193">
        <f>Introduction!$D$8</f>
        <v>0</v>
      </c>
      <c r="F198" s="193" t="s">
        <v>488</v>
      </c>
      <c r="G198" s="193" t="s">
        <v>489</v>
      </c>
      <c r="H198" s="195">
        <f>'Site Information'!B202</f>
        <v>0</v>
      </c>
      <c r="I198" s="194"/>
      <c r="J198" s="193">
        <f>'Site Information'!C202</f>
        <v>0</v>
      </c>
      <c r="K198" s="193">
        <f>'Site Information'!D202</f>
        <v>0</v>
      </c>
      <c r="L198" s="193">
        <f>'Site Information'!E202</f>
        <v>0</v>
      </c>
      <c r="M198" s="237"/>
      <c r="N198" s="237"/>
      <c r="O198" s="237"/>
      <c r="P198" s="237"/>
      <c r="Q198" s="237"/>
      <c r="R198" s="193">
        <f>'Site Information'!F202</f>
        <v>0</v>
      </c>
      <c r="S198" s="237"/>
      <c r="T198" s="237"/>
      <c r="U198" s="237"/>
      <c r="V198" s="237"/>
      <c r="W198" s="237"/>
      <c r="X198" s="237"/>
      <c r="Y198" s="237"/>
      <c r="Z198" s="237"/>
      <c r="AA198" s="237"/>
      <c r="AB198" s="237"/>
      <c r="AC198" s="237"/>
      <c r="AD198" s="237"/>
      <c r="AE198" s="237"/>
      <c r="AF198" s="237"/>
      <c r="AG198" s="237"/>
      <c r="AI198" s="193"/>
      <c r="AJ198" s="193"/>
    </row>
    <row r="199" spans="2:36" x14ac:dyDescent="0.35">
      <c r="B199" s="193" t="e">
        <f>"2024"&amp;MATCH(Totals!D199,OrgType,0)&amp;"_"&amp;MATCH(Totals!E199,Organisations,0)&amp;"_"&amp;LEFT(Totals!F199,1)&amp;"_"&amp;LEFT(G199,1)&amp;"_"&amp;COUNTIF($G$3:G199,G199)</f>
        <v>#N/A</v>
      </c>
      <c r="C199" s="193">
        <v>2025</v>
      </c>
      <c r="D199" s="193">
        <f>Introduction!$D$7</f>
        <v>0</v>
      </c>
      <c r="E199" s="193">
        <f>Introduction!$D$8</f>
        <v>0</v>
      </c>
      <c r="F199" s="193" t="s">
        <v>488</v>
      </c>
      <c r="G199" s="193" t="s">
        <v>489</v>
      </c>
      <c r="H199" s="195">
        <f>'Site Information'!B203</f>
        <v>0</v>
      </c>
      <c r="I199" s="194"/>
      <c r="J199" s="193">
        <f>'Site Information'!C203</f>
        <v>0</v>
      </c>
      <c r="K199" s="193">
        <f>'Site Information'!D203</f>
        <v>0</v>
      </c>
      <c r="L199" s="193">
        <f>'Site Information'!E203</f>
        <v>0</v>
      </c>
      <c r="M199" s="237"/>
      <c r="N199" s="237"/>
      <c r="O199" s="237"/>
      <c r="P199" s="237"/>
      <c r="Q199" s="237"/>
      <c r="R199" s="193">
        <f>'Site Information'!F203</f>
        <v>0</v>
      </c>
      <c r="S199" s="237"/>
      <c r="T199" s="237"/>
      <c r="U199" s="237"/>
      <c r="V199" s="237"/>
      <c r="W199" s="237"/>
      <c r="X199" s="237"/>
      <c r="Y199" s="237"/>
      <c r="Z199" s="237"/>
      <c r="AA199" s="237"/>
      <c r="AB199" s="237"/>
      <c r="AC199" s="237"/>
      <c r="AD199" s="237"/>
      <c r="AE199" s="237"/>
      <c r="AF199" s="237"/>
      <c r="AG199" s="237"/>
      <c r="AI199" s="193"/>
      <c r="AJ199" s="193"/>
    </row>
    <row r="200" spans="2:36" x14ac:dyDescent="0.35">
      <c r="B200" s="193" t="e">
        <f>"2024"&amp;MATCH(Totals!D200,OrgType,0)&amp;"_"&amp;MATCH(Totals!E200,Organisations,0)&amp;"_"&amp;LEFT(Totals!F200,1)&amp;"_"&amp;LEFT(G200,1)&amp;"_"&amp;COUNTIF($G$3:G200,G200)</f>
        <v>#N/A</v>
      </c>
      <c r="C200" s="193">
        <v>2025</v>
      </c>
      <c r="D200" s="193">
        <f>Introduction!$D$7</f>
        <v>0</v>
      </c>
      <c r="E200" s="193">
        <f>Introduction!$D$8</f>
        <v>0</v>
      </c>
      <c r="F200" s="193" t="s">
        <v>488</v>
      </c>
      <c r="G200" s="193" t="s">
        <v>489</v>
      </c>
      <c r="H200" s="195">
        <f>'Site Information'!B204</f>
        <v>0</v>
      </c>
      <c r="I200" s="194"/>
      <c r="J200" s="193">
        <f>'Site Information'!C204</f>
        <v>0</v>
      </c>
      <c r="K200" s="193">
        <f>'Site Information'!D204</f>
        <v>0</v>
      </c>
      <c r="L200" s="193">
        <f>'Site Information'!E204</f>
        <v>0</v>
      </c>
      <c r="M200" s="237"/>
      <c r="N200" s="237"/>
      <c r="O200" s="237"/>
      <c r="P200" s="237"/>
      <c r="Q200" s="237"/>
      <c r="R200" s="193">
        <f>'Site Information'!F204</f>
        <v>0</v>
      </c>
      <c r="S200" s="237"/>
      <c r="T200" s="237"/>
      <c r="U200" s="237"/>
      <c r="V200" s="237"/>
      <c r="W200" s="237"/>
      <c r="X200" s="237"/>
      <c r="Y200" s="237"/>
      <c r="Z200" s="237"/>
      <c r="AA200" s="237"/>
      <c r="AB200" s="237"/>
      <c r="AC200" s="237"/>
      <c r="AD200" s="237"/>
      <c r="AE200" s="237"/>
      <c r="AF200" s="237"/>
      <c r="AG200" s="237"/>
      <c r="AI200" s="193"/>
      <c r="AJ200" s="193"/>
    </row>
    <row r="201" spans="2:36" x14ac:dyDescent="0.35">
      <c r="B201" s="193" t="e">
        <f>"2024"&amp;MATCH(Totals!D201,OrgType,0)&amp;"_"&amp;MATCH(Totals!E201,Organisations,0)&amp;"_"&amp;LEFT(Totals!F201,1)&amp;"_"&amp;LEFT(G201,1)&amp;"_"&amp;COUNTIF($G$3:G201,G201)</f>
        <v>#N/A</v>
      </c>
      <c r="C201" s="193">
        <v>2025</v>
      </c>
      <c r="D201" s="193">
        <f>Introduction!$D$7</f>
        <v>0</v>
      </c>
      <c r="E201" s="193">
        <f>Introduction!$D$8</f>
        <v>0</v>
      </c>
      <c r="F201" s="193" t="s">
        <v>488</v>
      </c>
      <c r="G201" s="193" t="s">
        <v>489</v>
      </c>
      <c r="H201" s="195">
        <f>'Site Information'!B205</f>
        <v>0</v>
      </c>
      <c r="I201" s="194"/>
      <c r="J201" s="193">
        <f>'Site Information'!C205</f>
        <v>0</v>
      </c>
      <c r="K201" s="193">
        <f>'Site Information'!D205</f>
        <v>0</v>
      </c>
      <c r="L201" s="193">
        <f>'Site Information'!E205</f>
        <v>0</v>
      </c>
      <c r="M201" s="237"/>
      <c r="N201" s="237"/>
      <c r="O201" s="237"/>
      <c r="P201" s="237"/>
      <c r="Q201" s="237"/>
      <c r="R201" s="193">
        <f>'Site Information'!F205</f>
        <v>0</v>
      </c>
      <c r="S201" s="237"/>
      <c r="T201" s="237"/>
      <c r="U201" s="237"/>
      <c r="V201" s="237"/>
      <c r="W201" s="237"/>
      <c r="X201" s="237"/>
      <c r="Y201" s="237"/>
      <c r="Z201" s="237"/>
      <c r="AA201" s="237"/>
      <c r="AB201" s="237"/>
      <c r="AC201" s="237"/>
      <c r="AD201" s="237"/>
      <c r="AE201" s="237"/>
      <c r="AF201" s="237"/>
      <c r="AG201" s="237"/>
      <c r="AI201" s="193"/>
      <c r="AJ201" s="193"/>
    </row>
    <row r="202" spans="2:36" x14ac:dyDescent="0.35">
      <c r="B202" s="193" t="e">
        <f>"2024"&amp;MATCH(Totals!D202,OrgType,0)&amp;"_"&amp;MATCH(Totals!E202,Organisations,0)&amp;"_"&amp;LEFT(Totals!F202,1)&amp;"_"&amp;LEFT(G202,1)&amp;"_"&amp;COUNTIF($G$3:G202,G202)</f>
        <v>#N/A</v>
      </c>
      <c r="C202" s="193">
        <v>2025</v>
      </c>
      <c r="D202" s="193">
        <f>Introduction!$D$7</f>
        <v>0</v>
      </c>
      <c r="E202" s="193">
        <f>Introduction!$D$8</f>
        <v>0</v>
      </c>
      <c r="F202" s="193" t="s">
        <v>488</v>
      </c>
      <c r="G202" s="193" t="s">
        <v>489</v>
      </c>
      <c r="H202" s="195">
        <f>'Site Information'!B206</f>
        <v>0</v>
      </c>
      <c r="I202" s="194"/>
      <c r="J202" s="193">
        <f>'Site Information'!C206</f>
        <v>0</v>
      </c>
      <c r="K202" s="193">
        <f>'Site Information'!D206</f>
        <v>0</v>
      </c>
      <c r="L202" s="193">
        <f>'Site Information'!E206</f>
        <v>0</v>
      </c>
      <c r="M202" s="237"/>
      <c r="N202" s="237"/>
      <c r="O202" s="237"/>
      <c r="P202" s="237"/>
      <c r="Q202" s="237"/>
      <c r="R202" s="193">
        <f>'Site Information'!F206</f>
        <v>0</v>
      </c>
      <c r="S202" s="237"/>
      <c r="T202" s="237"/>
      <c r="U202" s="237"/>
      <c r="V202" s="237"/>
      <c r="W202" s="237"/>
      <c r="X202" s="237"/>
      <c r="Y202" s="237"/>
      <c r="Z202" s="237"/>
      <c r="AA202" s="237"/>
      <c r="AB202" s="237"/>
      <c r="AC202" s="237"/>
      <c r="AD202" s="237"/>
      <c r="AE202" s="237"/>
      <c r="AF202" s="237"/>
      <c r="AG202" s="237"/>
      <c r="AI202" s="193"/>
      <c r="AJ202" s="193"/>
    </row>
    <row r="203" spans="2:36" x14ac:dyDescent="0.35">
      <c r="B203" s="193" t="e">
        <f>"2024"&amp;MATCH(Totals!D203,OrgType,0)&amp;"_"&amp;MATCH(Totals!E203,Organisations,0)&amp;"_"&amp;LEFT(Totals!F203,1)&amp;"_"&amp;LEFT(G203,1)&amp;"_"&amp;COUNTIF($G$3:G203,G203)</f>
        <v>#N/A</v>
      </c>
      <c r="C203" s="193">
        <v>2025</v>
      </c>
      <c r="D203" s="193">
        <f>Introduction!$D$7</f>
        <v>0</v>
      </c>
      <c r="E203" s="193">
        <f>Introduction!$D$8</f>
        <v>0</v>
      </c>
      <c r="F203" s="193" t="s">
        <v>488</v>
      </c>
      <c r="G203" s="193" t="s">
        <v>489</v>
      </c>
      <c r="H203" s="195">
        <f>'Site Information'!B207</f>
        <v>0</v>
      </c>
      <c r="I203" s="194"/>
      <c r="J203" s="193">
        <f>'Site Information'!C207</f>
        <v>0</v>
      </c>
      <c r="K203" s="193">
        <f>'Site Information'!D207</f>
        <v>0</v>
      </c>
      <c r="L203" s="193">
        <f>'Site Information'!E207</f>
        <v>0</v>
      </c>
      <c r="M203" s="237"/>
      <c r="N203" s="237"/>
      <c r="O203" s="237"/>
      <c r="P203" s="237"/>
      <c r="Q203" s="237"/>
      <c r="R203" s="193">
        <f>'Site Information'!F207</f>
        <v>0</v>
      </c>
      <c r="S203" s="237"/>
      <c r="T203" s="237"/>
      <c r="U203" s="237"/>
      <c r="V203" s="237"/>
      <c r="W203" s="237"/>
      <c r="X203" s="237"/>
      <c r="Y203" s="237"/>
      <c r="Z203" s="237"/>
      <c r="AA203" s="237"/>
      <c r="AB203" s="237"/>
      <c r="AC203" s="237"/>
      <c r="AD203" s="237"/>
      <c r="AE203" s="237"/>
      <c r="AF203" s="237"/>
      <c r="AG203" s="237"/>
      <c r="AI203" s="193"/>
      <c r="AJ203" s="193"/>
    </row>
    <row r="204" spans="2:36" x14ac:dyDescent="0.35">
      <c r="B204" s="193" t="e">
        <f>"2024"&amp;MATCH(Totals!D204,OrgType,0)&amp;"_"&amp;MATCH(Totals!E204,Organisations,0)&amp;"_"&amp;LEFT(Totals!F204,1)&amp;"_"&amp;LEFT(G204,1)&amp;"_"&amp;COUNTIF($G$3:G204,G204)</f>
        <v>#N/A</v>
      </c>
      <c r="C204" s="193">
        <v>2025</v>
      </c>
      <c r="D204" s="193">
        <f>Introduction!$D$7</f>
        <v>0</v>
      </c>
      <c r="E204" s="193">
        <f>Introduction!$D$8</f>
        <v>0</v>
      </c>
      <c r="F204" s="193" t="s">
        <v>488</v>
      </c>
      <c r="G204" s="193" t="s">
        <v>489</v>
      </c>
      <c r="H204" s="195">
        <f>'Site Information'!B208</f>
        <v>0</v>
      </c>
      <c r="I204" s="194"/>
      <c r="J204" s="193">
        <f>'Site Information'!C208</f>
        <v>0</v>
      </c>
      <c r="K204" s="193">
        <f>'Site Information'!D208</f>
        <v>0</v>
      </c>
      <c r="L204" s="193">
        <f>'Site Information'!E208</f>
        <v>0</v>
      </c>
      <c r="M204" s="237"/>
      <c r="N204" s="237"/>
      <c r="O204" s="237"/>
      <c r="P204" s="237"/>
      <c r="Q204" s="237"/>
      <c r="R204" s="193">
        <f>'Site Information'!F208</f>
        <v>0</v>
      </c>
      <c r="S204" s="237"/>
      <c r="T204" s="237"/>
      <c r="U204" s="237"/>
      <c r="V204" s="237"/>
      <c r="W204" s="237"/>
      <c r="X204" s="237"/>
      <c r="Y204" s="237"/>
      <c r="Z204" s="237"/>
      <c r="AA204" s="237"/>
      <c r="AB204" s="237"/>
      <c r="AC204" s="237"/>
      <c r="AD204" s="237"/>
      <c r="AE204" s="237"/>
      <c r="AF204" s="237"/>
      <c r="AG204" s="237"/>
      <c r="AI204" s="193"/>
      <c r="AJ204" s="193"/>
    </row>
    <row r="205" spans="2:36" x14ac:dyDescent="0.35">
      <c r="B205" s="193" t="e">
        <f>"2024"&amp;MATCH(Totals!D205,OrgType,0)&amp;"_"&amp;MATCH(Totals!E205,Organisations,0)&amp;"_"&amp;LEFT(Totals!F205,1)&amp;"_"&amp;LEFT(G205,1)&amp;"_"&amp;COUNTIF($G$3:G205,G205)</f>
        <v>#N/A</v>
      </c>
      <c r="C205" s="193">
        <v>2025</v>
      </c>
      <c r="D205" s="193">
        <f>Introduction!$D$7</f>
        <v>0</v>
      </c>
      <c r="E205" s="193">
        <f>Introduction!$D$8</f>
        <v>0</v>
      </c>
      <c r="F205" s="193" t="s">
        <v>488</v>
      </c>
      <c r="G205" s="193" t="s">
        <v>489</v>
      </c>
      <c r="H205" s="195">
        <f>'Site Information'!B209</f>
        <v>0</v>
      </c>
      <c r="I205" s="194"/>
      <c r="J205" s="193">
        <f>'Site Information'!C209</f>
        <v>0</v>
      </c>
      <c r="K205" s="193">
        <f>'Site Information'!D209</f>
        <v>0</v>
      </c>
      <c r="L205" s="193">
        <f>'Site Information'!E209</f>
        <v>0</v>
      </c>
      <c r="M205" s="237"/>
      <c r="N205" s="237"/>
      <c r="O205" s="237"/>
      <c r="P205" s="237"/>
      <c r="Q205" s="237"/>
      <c r="R205" s="193">
        <f>'Site Information'!F209</f>
        <v>0</v>
      </c>
      <c r="S205" s="237"/>
      <c r="T205" s="237"/>
      <c r="U205" s="237"/>
      <c r="V205" s="237"/>
      <c r="W205" s="237"/>
      <c r="X205" s="237"/>
      <c r="Y205" s="237"/>
      <c r="Z205" s="237"/>
      <c r="AA205" s="237"/>
      <c r="AB205" s="237"/>
      <c r="AC205" s="237"/>
      <c r="AD205" s="237"/>
      <c r="AE205" s="237"/>
      <c r="AF205" s="237"/>
      <c r="AG205" s="237"/>
      <c r="AI205" s="193"/>
      <c r="AJ205" s="193"/>
    </row>
    <row r="206" spans="2:36" x14ac:dyDescent="0.35">
      <c r="B206" s="193" t="e">
        <f>"2024"&amp;MATCH(Totals!D206,OrgType,0)&amp;"_"&amp;MATCH(Totals!E206,Organisations,0)&amp;"_"&amp;LEFT(Totals!F206,1)&amp;"_"&amp;LEFT(G206,1)&amp;"_"&amp;COUNTIF($G$3:G206,G206)</f>
        <v>#N/A</v>
      </c>
      <c r="C206" s="193">
        <v>2025</v>
      </c>
      <c r="D206" s="193">
        <f>Introduction!$D$7</f>
        <v>0</v>
      </c>
      <c r="E206" s="193">
        <f>Introduction!$D$8</f>
        <v>0</v>
      </c>
      <c r="F206" s="193" t="s">
        <v>488</v>
      </c>
      <c r="G206" s="193" t="s">
        <v>489</v>
      </c>
      <c r="H206" s="195">
        <f>'Site Information'!B210</f>
        <v>0</v>
      </c>
      <c r="I206" s="194"/>
      <c r="J206" s="193">
        <f>'Site Information'!C210</f>
        <v>0</v>
      </c>
      <c r="K206" s="193">
        <f>'Site Information'!D210</f>
        <v>0</v>
      </c>
      <c r="L206" s="193">
        <f>'Site Information'!E210</f>
        <v>0</v>
      </c>
      <c r="M206" s="237"/>
      <c r="N206" s="237"/>
      <c r="O206" s="237"/>
      <c r="P206" s="237"/>
      <c r="Q206" s="237"/>
      <c r="R206" s="193">
        <f>'Site Information'!F210</f>
        <v>0</v>
      </c>
      <c r="S206" s="237"/>
      <c r="T206" s="237"/>
      <c r="U206" s="237"/>
      <c r="V206" s="237"/>
      <c r="W206" s="237"/>
      <c r="X206" s="237"/>
      <c r="Y206" s="237"/>
      <c r="Z206" s="237"/>
      <c r="AA206" s="237"/>
      <c r="AB206" s="237"/>
      <c r="AC206" s="237"/>
      <c r="AD206" s="237"/>
      <c r="AE206" s="237"/>
      <c r="AF206" s="237"/>
      <c r="AG206" s="237"/>
      <c r="AI206" s="193"/>
      <c r="AJ206" s="193"/>
    </row>
    <row r="207" spans="2:36" x14ac:dyDescent="0.35">
      <c r="B207" s="193" t="e">
        <f>"2024"&amp;MATCH(Totals!D207,OrgType,0)&amp;"_"&amp;MATCH(Totals!E207,Organisations,0)&amp;"_"&amp;LEFT(Totals!F207,1)&amp;"_"&amp;LEFT(G207,1)&amp;"_"&amp;COUNTIF($G$3:G207,G207)</f>
        <v>#N/A</v>
      </c>
      <c r="C207" s="193">
        <v>2025</v>
      </c>
      <c r="D207" s="193">
        <f>Introduction!$D$7</f>
        <v>0</v>
      </c>
      <c r="E207" s="193">
        <f>Introduction!$D$8</f>
        <v>0</v>
      </c>
      <c r="F207" s="193" t="s">
        <v>488</v>
      </c>
      <c r="G207" s="193" t="s">
        <v>489</v>
      </c>
      <c r="H207" s="195">
        <f>'Site Information'!B211</f>
        <v>0</v>
      </c>
      <c r="I207" s="194"/>
      <c r="J207" s="193">
        <f>'Site Information'!C211</f>
        <v>0</v>
      </c>
      <c r="K207" s="193">
        <f>'Site Information'!D211</f>
        <v>0</v>
      </c>
      <c r="L207" s="193">
        <f>'Site Information'!E211</f>
        <v>0</v>
      </c>
      <c r="M207" s="237"/>
      <c r="N207" s="237"/>
      <c r="O207" s="237"/>
      <c r="P207" s="237"/>
      <c r="Q207" s="237"/>
      <c r="R207" s="193">
        <f>'Site Information'!F211</f>
        <v>0</v>
      </c>
      <c r="S207" s="237"/>
      <c r="T207" s="237"/>
      <c r="U207" s="237"/>
      <c r="V207" s="237"/>
      <c r="W207" s="237"/>
      <c r="X207" s="237"/>
      <c r="Y207" s="237"/>
      <c r="Z207" s="237"/>
      <c r="AA207" s="237"/>
      <c r="AB207" s="237"/>
      <c r="AC207" s="237"/>
      <c r="AD207" s="237"/>
      <c r="AE207" s="237"/>
      <c r="AF207" s="237"/>
      <c r="AG207" s="237"/>
      <c r="AI207" s="193"/>
      <c r="AJ207" s="193"/>
    </row>
    <row r="208" spans="2:36" x14ac:dyDescent="0.35">
      <c r="B208" s="193" t="e">
        <f>"2024"&amp;MATCH(Totals!D208,OrgType,0)&amp;"_"&amp;MATCH(Totals!E208,Organisations,0)&amp;"_"&amp;LEFT(Totals!F208,1)&amp;"_"&amp;LEFT(G208,1)&amp;"_"&amp;COUNTIF($G$3:G208,G208)</f>
        <v>#N/A</v>
      </c>
      <c r="C208" s="193">
        <v>2025</v>
      </c>
      <c r="D208" s="193">
        <f>Introduction!$D$7</f>
        <v>0</v>
      </c>
      <c r="E208" s="193">
        <f>Introduction!$D$8</f>
        <v>0</v>
      </c>
      <c r="F208" s="193" t="s">
        <v>488</v>
      </c>
      <c r="G208" s="193" t="s">
        <v>489</v>
      </c>
      <c r="H208" s="195">
        <f>'Site Information'!B212</f>
        <v>0</v>
      </c>
      <c r="I208" s="194"/>
      <c r="J208" s="193">
        <f>'Site Information'!C212</f>
        <v>0</v>
      </c>
      <c r="K208" s="193">
        <f>'Site Information'!D212</f>
        <v>0</v>
      </c>
      <c r="L208" s="193">
        <f>'Site Information'!E212</f>
        <v>0</v>
      </c>
      <c r="M208" s="237"/>
      <c r="N208" s="237"/>
      <c r="O208" s="237"/>
      <c r="P208" s="237"/>
      <c r="Q208" s="237"/>
      <c r="R208" s="193">
        <f>'Site Information'!F212</f>
        <v>0</v>
      </c>
      <c r="S208" s="237"/>
      <c r="T208" s="237"/>
      <c r="U208" s="237"/>
      <c r="V208" s="237"/>
      <c r="W208" s="237"/>
      <c r="X208" s="237"/>
      <c r="Y208" s="237"/>
      <c r="Z208" s="237"/>
      <c r="AA208" s="237"/>
      <c r="AB208" s="237"/>
      <c r="AC208" s="237"/>
      <c r="AD208" s="237"/>
      <c r="AE208" s="237"/>
      <c r="AF208" s="237"/>
      <c r="AG208" s="237"/>
      <c r="AI208" s="193"/>
      <c r="AJ208" s="193"/>
    </row>
    <row r="209" spans="2:36" x14ac:dyDescent="0.35">
      <c r="B209" s="193" t="e">
        <f>"2024"&amp;MATCH(Totals!D209,OrgType,0)&amp;"_"&amp;MATCH(Totals!E209,Organisations,0)&amp;"_"&amp;LEFT(Totals!F209,1)&amp;"_"&amp;LEFT(G209,1)&amp;"_"&amp;COUNTIF($G$3:G209,G209)</f>
        <v>#N/A</v>
      </c>
      <c r="C209" s="193">
        <v>2025</v>
      </c>
      <c r="D209" s="193">
        <f>Introduction!$D$7</f>
        <v>0</v>
      </c>
      <c r="E209" s="193">
        <f>Introduction!$D$8</f>
        <v>0</v>
      </c>
      <c r="F209" s="193" t="s">
        <v>488</v>
      </c>
      <c r="G209" s="193" t="s">
        <v>489</v>
      </c>
      <c r="H209" s="195">
        <f>'Site Information'!B213</f>
        <v>0</v>
      </c>
      <c r="I209" s="194"/>
      <c r="J209" s="193">
        <f>'Site Information'!C213</f>
        <v>0</v>
      </c>
      <c r="K209" s="193">
        <f>'Site Information'!D213</f>
        <v>0</v>
      </c>
      <c r="L209" s="193">
        <f>'Site Information'!E213</f>
        <v>0</v>
      </c>
      <c r="M209" s="237"/>
      <c r="N209" s="237"/>
      <c r="O209" s="237"/>
      <c r="P209" s="237"/>
      <c r="Q209" s="237"/>
      <c r="R209" s="193">
        <f>'Site Information'!F213</f>
        <v>0</v>
      </c>
      <c r="S209" s="237"/>
      <c r="T209" s="237"/>
      <c r="U209" s="237"/>
      <c r="V209" s="237"/>
      <c r="W209" s="237"/>
      <c r="X209" s="237"/>
      <c r="Y209" s="237"/>
      <c r="Z209" s="237"/>
      <c r="AA209" s="237"/>
      <c r="AB209" s="237"/>
      <c r="AC209" s="237"/>
      <c r="AD209" s="237"/>
      <c r="AE209" s="237"/>
      <c r="AF209" s="237"/>
      <c r="AG209" s="237"/>
      <c r="AI209" s="193"/>
      <c r="AJ209" s="193"/>
    </row>
    <row r="210" spans="2:36" x14ac:dyDescent="0.35">
      <c r="B210" s="193" t="e">
        <f>"2024"&amp;MATCH(Totals!D210,OrgType,0)&amp;"_"&amp;MATCH(Totals!E210,Organisations,0)&amp;"_"&amp;LEFT(Totals!F210,1)&amp;"_"&amp;LEFT(G210,1)&amp;"_"&amp;COUNTIF($G$3:G210,G210)</f>
        <v>#N/A</v>
      </c>
      <c r="C210" s="193">
        <v>2025</v>
      </c>
      <c r="D210" s="193">
        <f>Introduction!$D$7</f>
        <v>0</v>
      </c>
      <c r="E210" s="193">
        <f>Introduction!$D$8</f>
        <v>0</v>
      </c>
      <c r="F210" s="193" t="s">
        <v>488</v>
      </c>
      <c r="G210" s="193" t="s">
        <v>489</v>
      </c>
      <c r="H210" s="195">
        <f>'Site Information'!B214</f>
        <v>0</v>
      </c>
      <c r="I210" s="194"/>
      <c r="J210" s="193">
        <f>'Site Information'!C214</f>
        <v>0</v>
      </c>
      <c r="K210" s="193">
        <f>'Site Information'!D214</f>
        <v>0</v>
      </c>
      <c r="L210" s="193">
        <f>'Site Information'!E214</f>
        <v>0</v>
      </c>
      <c r="M210" s="237"/>
      <c r="N210" s="237"/>
      <c r="O210" s="237"/>
      <c r="P210" s="237"/>
      <c r="Q210" s="237"/>
      <c r="R210" s="193">
        <f>'Site Information'!F214</f>
        <v>0</v>
      </c>
      <c r="S210" s="237"/>
      <c r="T210" s="237"/>
      <c r="U210" s="237"/>
      <c r="V210" s="237"/>
      <c r="W210" s="237"/>
      <c r="X210" s="237"/>
      <c r="Y210" s="237"/>
      <c r="Z210" s="237"/>
      <c r="AA210" s="237"/>
      <c r="AB210" s="237"/>
      <c r="AC210" s="237"/>
      <c r="AD210" s="237"/>
      <c r="AE210" s="237"/>
      <c r="AF210" s="237"/>
      <c r="AG210" s="237"/>
      <c r="AI210" s="193"/>
      <c r="AJ210" s="193"/>
    </row>
    <row r="211" spans="2:36" x14ac:dyDescent="0.35">
      <c r="B211" s="193" t="e">
        <f>"2024"&amp;MATCH(Totals!D211,OrgType,0)&amp;"_"&amp;MATCH(Totals!E211,Organisations,0)&amp;"_"&amp;LEFT(Totals!F211,1)&amp;"_"&amp;LEFT(G211,1)&amp;"_"&amp;COUNTIF($G$3:G211,G211)</f>
        <v>#N/A</v>
      </c>
      <c r="C211" s="193">
        <v>2025</v>
      </c>
      <c r="D211" s="193">
        <f>Introduction!$D$7</f>
        <v>0</v>
      </c>
      <c r="E211" s="193">
        <f>Introduction!$D$8</f>
        <v>0</v>
      </c>
      <c r="F211" s="193" t="s">
        <v>488</v>
      </c>
      <c r="G211" s="193" t="s">
        <v>489</v>
      </c>
      <c r="H211" s="195">
        <f>'Site Information'!B215</f>
        <v>0</v>
      </c>
      <c r="I211" s="194"/>
      <c r="J211" s="193">
        <f>'Site Information'!C215</f>
        <v>0</v>
      </c>
      <c r="K211" s="193">
        <f>'Site Information'!D215</f>
        <v>0</v>
      </c>
      <c r="L211" s="193">
        <f>'Site Information'!E215</f>
        <v>0</v>
      </c>
      <c r="M211" s="237"/>
      <c r="N211" s="237"/>
      <c r="O211" s="237"/>
      <c r="P211" s="237"/>
      <c r="Q211" s="237"/>
      <c r="R211" s="193">
        <f>'Site Information'!F215</f>
        <v>0</v>
      </c>
      <c r="S211" s="237"/>
      <c r="T211" s="237"/>
      <c r="U211" s="237"/>
      <c r="V211" s="237"/>
      <c r="W211" s="237"/>
      <c r="X211" s="237"/>
      <c r="Y211" s="237"/>
      <c r="Z211" s="237"/>
      <c r="AA211" s="237"/>
      <c r="AB211" s="237"/>
      <c r="AC211" s="237"/>
      <c r="AD211" s="237"/>
      <c r="AE211" s="237"/>
      <c r="AF211" s="237"/>
      <c r="AG211" s="237"/>
      <c r="AI211" s="193"/>
      <c r="AJ211" s="193"/>
    </row>
    <row r="212" spans="2:36" x14ac:dyDescent="0.35">
      <c r="B212" s="193" t="e">
        <f>"2024"&amp;MATCH(Totals!D212,OrgType,0)&amp;"_"&amp;MATCH(Totals!E212,Organisations,0)&amp;"_"&amp;LEFT(Totals!F212,1)&amp;"_"&amp;LEFT(G212,1)&amp;"_"&amp;COUNTIF($G$3:G212,G212)</f>
        <v>#N/A</v>
      </c>
      <c r="C212" s="193">
        <v>2025</v>
      </c>
      <c r="D212" s="193">
        <f>Introduction!$D$7</f>
        <v>0</v>
      </c>
      <c r="E212" s="193">
        <f>Introduction!$D$8</f>
        <v>0</v>
      </c>
      <c r="F212" s="193" t="s">
        <v>488</v>
      </c>
      <c r="G212" s="193" t="s">
        <v>489</v>
      </c>
      <c r="H212" s="195">
        <f>'Site Information'!B216</f>
        <v>0</v>
      </c>
      <c r="I212" s="194"/>
      <c r="J212" s="193">
        <f>'Site Information'!C216</f>
        <v>0</v>
      </c>
      <c r="K212" s="193">
        <f>'Site Information'!D216</f>
        <v>0</v>
      </c>
      <c r="L212" s="193">
        <f>'Site Information'!E216</f>
        <v>0</v>
      </c>
      <c r="M212" s="237"/>
      <c r="N212" s="237"/>
      <c r="O212" s="237"/>
      <c r="P212" s="237"/>
      <c r="Q212" s="237"/>
      <c r="R212" s="193">
        <f>'Site Information'!F216</f>
        <v>0</v>
      </c>
      <c r="S212" s="237"/>
      <c r="T212" s="237"/>
      <c r="U212" s="237"/>
      <c r="V212" s="237"/>
      <c r="W212" s="237"/>
      <c r="X212" s="237"/>
      <c r="Y212" s="237"/>
      <c r="Z212" s="237"/>
      <c r="AA212" s="237"/>
      <c r="AB212" s="237"/>
      <c r="AC212" s="237"/>
      <c r="AD212" s="237"/>
      <c r="AE212" s="237"/>
      <c r="AF212" s="237"/>
      <c r="AG212" s="237"/>
      <c r="AI212" s="193"/>
      <c r="AJ212" s="193"/>
    </row>
    <row r="213" spans="2:36" x14ac:dyDescent="0.35">
      <c r="B213" s="193" t="e">
        <f>"2024"&amp;MATCH(Totals!D213,OrgType,0)&amp;"_"&amp;MATCH(Totals!E213,Organisations,0)&amp;"_"&amp;LEFT(Totals!F213,1)&amp;"_"&amp;LEFT(G213,1)&amp;"_"&amp;COUNTIF($G$3:G213,G213)</f>
        <v>#N/A</v>
      </c>
      <c r="C213" s="193">
        <v>2025</v>
      </c>
      <c r="D213" s="193">
        <f>Introduction!$D$7</f>
        <v>0</v>
      </c>
      <c r="E213" s="193">
        <f>Introduction!$D$8</f>
        <v>0</v>
      </c>
      <c r="F213" s="193" t="s">
        <v>488</v>
      </c>
      <c r="G213" s="193" t="s">
        <v>489</v>
      </c>
      <c r="H213" s="195">
        <f>'Site Information'!B217</f>
        <v>0</v>
      </c>
      <c r="I213" s="194"/>
      <c r="J213" s="193">
        <f>'Site Information'!C217</f>
        <v>0</v>
      </c>
      <c r="K213" s="193">
        <f>'Site Information'!D217</f>
        <v>0</v>
      </c>
      <c r="L213" s="193">
        <f>'Site Information'!E217</f>
        <v>0</v>
      </c>
      <c r="M213" s="237"/>
      <c r="N213" s="237"/>
      <c r="O213" s="237"/>
      <c r="P213" s="237"/>
      <c r="Q213" s="237"/>
      <c r="R213" s="193">
        <f>'Site Information'!F217</f>
        <v>0</v>
      </c>
      <c r="S213" s="237"/>
      <c r="T213" s="237"/>
      <c r="U213" s="237"/>
      <c r="V213" s="237"/>
      <c r="W213" s="237"/>
      <c r="X213" s="237"/>
      <c r="Y213" s="237"/>
      <c r="Z213" s="237"/>
      <c r="AA213" s="237"/>
      <c r="AB213" s="237"/>
      <c r="AC213" s="237"/>
      <c r="AD213" s="237"/>
      <c r="AE213" s="237"/>
      <c r="AF213" s="237"/>
      <c r="AG213" s="237"/>
      <c r="AI213" s="193"/>
      <c r="AJ213" s="193"/>
    </row>
    <row r="214" spans="2:36" x14ac:dyDescent="0.35">
      <c r="B214" s="193" t="e">
        <f>"2024"&amp;MATCH(Totals!D214,OrgType,0)&amp;"_"&amp;MATCH(Totals!E214,Organisations,0)&amp;"_"&amp;LEFT(Totals!F214,1)&amp;"_"&amp;LEFT(G214,1)&amp;"_"&amp;COUNTIF($G$3:G214,G214)</f>
        <v>#N/A</v>
      </c>
      <c r="C214" s="193">
        <v>2025</v>
      </c>
      <c r="D214" s="193">
        <f>Introduction!$D$7</f>
        <v>0</v>
      </c>
      <c r="E214" s="193">
        <f>Introduction!$D$8</f>
        <v>0</v>
      </c>
      <c r="F214" s="193" t="s">
        <v>488</v>
      </c>
      <c r="G214" s="193" t="s">
        <v>489</v>
      </c>
      <c r="H214" s="195">
        <f>'Site Information'!B218</f>
        <v>0</v>
      </c>
      <c r="I214" s="194"/>
      <c r="J214" s="193">
        <f>'Site Information'!C218</f>
        <v>0</v>
      </c>
      <c r="K214" s="193">
        <f>'Site Information'!D218</f>
        <v>0</v>
      </c>
      <c r="L214" s="193">
        <f>'Site Information'!E218</f>
        <v>0</v>
      </c>
      <c r="M214" s="237"/>
      <c r="N214" s="237"/>
      <c r="O214" s="237"/>
      <c r="P214" s="237"/>
      <c r="Q214" s="237"/>
      <c r="R214" s="193">
        <f>'Site Information'!F218</f>
        <v>0</v>
      </c>
      <c r="S214" s="237"/>
      <c r="T214" s="237"/>
      <c r="U214" s="237"/>
      <c r="V214" s="237"/>
      <c r="W214" s="237"/>
      <c r="X214" s="237"/>
      <c r="Y214" s="237"/>
      <c r="Z214" s="237"/>
      <c r="AA214" s="237"/>
      <c r="AB214" s="237"/>
      <c r="AC214" s="237"/>
      <c r="AD214" s="237"/>
      <c r="AE214" s="237"/>
      <c r="AF214" s="237"/>
      <c r="AG214" s="237"/>
      <c r="AI214" s="193"/>
      <c r="AJ214" s="193"/>
    </row>
    <row r="215" spans="2:36" x14ac:dyDescent="0.35">
      <c r="B215" s="193" t="e">
        <f>"2024"&amp;MATCH(Totals!D215,OrgType,0)&amp;"_"&amp;MATCH(Totals!E215,Organisations,0)&amp;"_"&amp;LEFT(Totals!F215,1)&amp;"_"&amp;LEFT(G215,1)&amp;"_"&amp;COUNTIF($G$3:G215,G215)</f>
        <v>#N/A</v>
      </c>
      <c r="C215" s="193">
        <v>2025</v>
      </c>
      <c r="D215" s="193">
        <f>Introduction!$D$7</f>
        <v>0</v>
      </c>
      <c r="E215" s="193">
        <f>Introduction!$D$8</f>
        <v>0</v>
      </c>
      <c r="F215" s="193" t="s">
        <v>488</v>
      </c>
      <c r="G215" s="193" t="s">
        <v>489</v>
      </c>
      <c r="H215" s="195">
        <f>'Site Information'!B219</f>
        <v>0</v>
      </c>
      <c r="I215" s="194"/>
      <c r="J215" s="193">
        <f>'Site Information'!C219</f>
        <v>0</v>
      </c>
      <c r="K215" s="193">
        <f>'Site Information'!D219</f>
        <v>0</v>
      </c>
      <c r="L215" s="193">
        <f>'Site Information'!E219</f>
        <v>0</v>
      </c>
      <c r="M215" s="237"/>
      <c r="N215" s="237"/>
      <c r="O215" s="237"/>
      <c r="P215" s="237"/>
      <c r="Q215" s="237"/>
      <c r="R215" s="193">
        <f>'Site Information'!F219</f>
        <v>0</v>
      </c>
      <c r="S215" s="237"/>
      <c r="T215" s="237"/>
      <c r="U215" s="237"/>
      <c r="V215" s="237"/>
      <c r="W215" s="237"/>
      <c r="X215" s="237"/>
      <c r="Y215" s="237"/>
      <c r="Z215" s="237"/>
      <c r="AA215" s="237"/>
      <c r="AB215" s="237"/>
      <c r="AC215" s="237"/>
      <c r="AD215" s="237"/>
      <c r="AE215" s="237"/>
      <c r="AF215" s="237"/>
      <c r="AG215" s="237"/>
      <c r="AI215" s="193"/>
      <c r="AJ215" s="193"/>
    </row>
    <row r="216" spans="2:36" x14ac:dyDescent="0.35">
      <c r="B216" s="193" t="e">
        <f>"2024"&amp;MATCH(Totals!D216,OrgType,0)&amp;"_"&amp;MATCH(Totals!E216,Organisations,0)&amp;"_"&amp;LEFT(Totals!F216,1)&amp;"_"&amp;LEFT(G216,1)&amp;"_"&amp;COUNTIF($G$3:G216,G216)</f>
        <v>#N/A</v>
      </c>
      <c r="C216" s="193">
        <v>2025</v>
      </c>
      <c r="D216" s="193">
        <f>Introduction!$D$7</f>
        <v>0</v>
      </c>
      <c r="E216" s="193">
        <f>Introduction!$D$8</f>
        <v>0</v>
      </c>
      <c r="F216" s="193" t="s">
        <v>488</v>
      </c>
      <c r="G216" s="193" t="s">
        <v>489</v>
      </c>
      <c r="H216" s="195">
        <f>'Site Information'!B220</f>
        <v>0</v>
      </c>
      <c r="I216" s="194"/>
      <c r="J216" s="193">
        <f>'Site Information'!C220</f>
        <v>0</v>
      </c>
      <c r="K216" s="193">
        <f>'Site Information'!D220</f>
        <v>0</v>
      </c>
      <c r="L216" s="193">
        <f>'Site Information'!E220</f>
        <v>0</v>
      </c>
      <c r="M216" s="237"/>
      <c r="N216" s="237"/>
      <c r="O216" s="237"/>
      <c r="P216" s="237"/>
      <c r="Q216" s="237"/>
      <c r="R216" s="193">
        <f>'Site Information'!F220</f>
        <v>0</v>
      </c>
      <c r="S216" s="237"/>
      <c r="T216" s="237"/>
      <c r="U216" s="237"/>
      <c r="V216" s="237"/>
      <c r="W216" s="237"/>
      <c r="X216" s="237"/>
      <c r="Y216" s="237"/>
      <c r="Z216" s="237"/>
      <c r="AA216" s="237"/>
      <c r="AB216" s="237"/>
      <c r="AC216" s="237"/>
      <c r="AD216" s="237"/>
      <c r="AE216" s="237"/>
      <c r="AF216" s="237"/>
      <c r="AG216" s="237"/>
      <c r="AI216" s="193"/>
      <c r="AJ216" s="193"/>
    </row>
    <row r="217" spans="2:36" x14ac:dyDescent="0.35">
      <c r="B217" s="193" t="e">
        <f>"2024"&amp;MATCH(Totals!D217,OrgType,0)&amp;"_"&amp;MATCH(Totals!E217,Organisations,0)&amp;"_"&amp;LEFT(Totals!F217,1)&amp;"_"&amp;LEFT(G217,1)&amp;"_"&amp;COUNTIF($G$3:G217,G217)</f>
        <v>#N/A</v>
      </c>
      <c r="C217" s="193">
        <v>2025</v>
      </c>
      <c r="D217" s="193">
        <f>Introduction!$D$7</f>
        <v>0</v>
      </c>
      <c r="E217" s="193">
        <f>Introduction!$D$8</f>
        <v>0</v>
      </c>
      <c r="F217" s="193" t="s">
        <v>488</v>
      </c>
      <c r="G217" s="193" t="s">
        <v>489</v>
      </c>
      <c r="H217" s="195">
        <f>'Site Information'!B221</f>
        <v>0</v>
      </c>
      <c r="I217" s="194"/>
      <c r="J217" s="193">
        <f>'Site Information'!C221</f>
        <v>0</v>
      </c>
      <c r="K217" s="193">
        <f>'Site Information'!D221</f>
        <v>0</v>
      </c>
      <c r="L217" s="193">
        <f>'Site Information'!E221</f>
        <v>0</v>
      </c>
      <c r="M217" s="237"/>
      <c r="N217" s="237"/>
      <c r="O217" s="237"/>
      <c r="P217" s="237"/>
      <c r="Q217" s="237"/>
      <c r="R217" s="193">
        <f>'Site Information'!F221</f>
        <v>0</v>
      </c>
      <c r="S217" s="237"/>
      <c r="T217" s="237"/>
      <c r="U217" s="237"/>
      <c r="V217" s="237"/>
      <c r="W217" s="237"/>
      <c r="X217" s="237"/>
      <c r="Y217" s="237"/>
      <c r="Z217" s="237"/>
      <c r="AA217" s="237"/>
      <c r="AB217" s="237"/>
      <c r="AC217" s="237"/>
      <c r="AD217" s="237"/>
      <c r="AE217" s="237"/>
      <c r="AF217" s="237"/>
      <c r="AG217" s="237"/>
      <c r="AI217" s="193"/>
      <c r="AJ217" s="193"/>
    </row>
    <row r="218" spans="2:36" x14ac:dyDescent="0.35">
      <c r="B218" s="193" t="e">
        <f>"2024"&amp;MATCH(Totals!D218,OrgType,0)&amp;"_"&amp;MATCH(Totals!E218,Organisations,0)&amp;"_"&amp;LEFT(Totals!F218,1)&amp;"_"&amp;LEFT(G218,1)&amp;"_"&amp;COUNTIF($G$3:G218,G218)</f>
        <v>#N/A</v>
      </c>
      <c r="C218" s="193">
        <v>2025</v>
      </c>
      <c r="D218" s="193">
        <f>Introduction!$D$7</f>
        <v>0</v>
      </c>
      <c r="E218" s="193">
        <f>Introduction!$D$8</f>
        <v>0</v>
      </c>
      <c r="F218" s="193" t="s">
        <v>488</v>
      </c>
      <c r="G218" s="193" t="s">
        <v>489</v>
      </c>
      <c r="H218" s="195">
        <f>'Site Information'!B222</f>
        <v>0</v>
      </c>
      <c r="I218" s="194"/>
      <c r="J218" s="193">
        <f>'Site Information'!C222</f>
        <v>0</v>
      </c>
      <c r="K218" s="193">
        <f>'Site Information'!D222</f>
        <v>0</v>
      </c>
      <c r="L218" s="193">
        <f>'Site Information'!E222</f>
        <v>0</v>
      </c>
      <c r="M218" s="237"/>
      <c r="N218" s="237"/>
      <c r="O218" s="237"/>
      <c r="P218" s="237"/>
      <c r="Q218" s="237"/>
      <c r="R218" s="193">
        <f>'Site Information'!F222</f>
        <v>0</v>
      </c>
      <c r="S218" s="237"/>
      <c r="T218" s="237"/>
      <c r="U218" s="237"/>
      <c r="V218" s="237"/>
      <c r="W218" s="237"/>
      <c r="X218" s="237"/>
      <c r="Y218" s="237"/>
      <c r="Z218" s="237"/>
      <c r="AA218" s="237"/>
      <c r="AB218" s="237"/>
      <c r="AC218" s="237"/>
      <c r="AD218" s="237"/>
      <c r="AE218" s="237"/>
      <c r="AF218" s="237"/>
      <c r="AG218" s="237"/>
      <c r="AI218" s="193"/>
      <c r="AJ218" s="193"/>
    </row>
    <row r="219" spans="2:36" x14ac:dyDescent="0.35">
      <c r="B219" s="193" t="e">
        <f>"2024"&amp;MATCH(Totals!D219,OrgType,0)&amp;"_"&amp;MATCH(Totals!E219,Organisations,0)&amp;"_"&amp;LEFT(Totals!F219,1)&amp;"_"&amp;LEFT(G219,1)&amp;"_"&amp;COUNTIF($G$3:G219,G219)</f>
        <v>#N/A</v>
      </c>
      <c r="C219" s="193">
        <v>2025</v>
      </c>
      <c r="D219" s="193">
        <f>Introduction!$D$7</f>
        <v>0</v>
      </c>
      <c r="E219" s="193">
        <f>Introduction!$D$8</f>
        <v>0</v>
      </c>
      <c r="F219" s="193" t="s">
        <v>488</v>
      </c>
      <c r="G219" s="193" t="s">
        <v>489</v>
      </c>
      <c r="H219" s="195">
        <f>'Site Information'!B223</f>
        <v>0</v>
      </c>
      <c r="I219" s="194"/>
      <c r="J219" s="193">
        <f>'Site Information'!C223</f>
        <v>0</v>
      </c>
      <c r="K219" s="193">
        <f>'Site Information'!D223</f>
        <v>0</v>
      </c>
      <c r="L219" s="193">
        <f>'Site Information'!E223</f>
        <v>0</v>
      </c>
      <c r="M219" s="237"/>
      <c r="N219" s="237"/>
      <c r="O219" s="237"/>
      <c r="P219" s="237"/>
      <c r="Q219" s="237"/>
      <c r="R219" s="193">
        <f>'Site Information'!F223</f>
        <v>0</v>
      </c>
      <c r="S219" s="237"/>
      <c r="T219" s="237"/>
      <c r="U219" s="237"/>
      <c r="V219" s="237"/>
      <c r="W219" s="237"/>
      <c r="X219" s="237"/>
      <c r="Y219" s="237"/>
      <c r="Z219" s="237"/>
      <c r="AA219" s="237"/>
      <c r="AB219" s="237"/>
      <c r="AC219" s="237"/>
      <c r="AD219" s="237"/>
      <c r="AE219" s="237"/>
      <c r="AF219" s="237"/>
      <c r="AG219" s="237"/>
      <c r="AI219" s="193"/>
      <c r="AJ219" s="193"/>
    </row>
    <row r="220" spans="2:36" x14ac:dyDescent="0.35">
      <c r="B220" s="193" t="e">
        <f>"2024"&amp;MATCH(Totals!D220,OrgType,0)&amp;"_"&amp;MATCH(Totals!E220,Organisations,0)&amp;"_"&amp;LEFT(Totals!F220,1)&amp;"_"&amp;LEFT(G220,1)&amp;"_"&amp;COUNTIF($G$3:G220,G220)</f>
        <v>#N/A</v>
      </c>
      <c r="C220" s="193">
        <v>2025</v>
      </c>
      <c r="D220" s="193">
        <f>Introduction!$D$7</f>
        <v>0</v>
      </c>
      <c r="E220" s="193">
        <f>Introduction!$D$8</f>
        <v>0</v>
      </c>
      <c r="F220" s="193" t="s">
        <v>488</v>
      </c>
      <c r="G220" s="193" t="s">
        <v>489</v>
      </c>
      <c r="H220" s="195">
        <f>'Site Information'!B224</f>
        <v>0</v>
      </c>
      <c r="I220" s="194"/>
      <c r="J220" s="193">
        <f>'Site Information'!C224</f>
        <v>0</v>
      </c>
      <c r="K220" s="193">
        <f>'Site Information'!D224</f>
        <v>0</v>
      </c>
      <c r="L220" s="193">
        <f>'Site Information'!E224</f>
        <v>0</v>
      </c>
      <c r="M220" s="237"/>
      <c r="N220" s="237"/>
      <c r="O220" s="237"/>
      <c r="P220" s="237"/>
      <c r="Q220" s="237"/>
      <c r="R220" s="193">
        <f>'Site Information'!F224</f>
        <v>0</v>
      </c>
      <c r="S220" s="237"/>
      <c r="T220" s="237"/>
      <c r="U220" s="237"/>
      <c r="V220" s="237"/>
      <c r="W220" s="237"/>
      <c r="X220" s="237"/>
      <c r="Y220" s="237"/>
      <c r="Z220" s="237"/>
      <c r="AA220" s="237"/>
      <c r="AB220" s="237"/>
      <c r="AC220" s="237"/>
      <c r="AD220" s="237"/>
      <c r="AE220" s="237"/>
      <c r="AF220" s="237"/>
      <c r="AG220" s="237"/>
      <c r="AI220" s="193"/>
      <c r="AJ220" s="193"/>
    </row>
    <row r="221" spans="2:36" x14ac:dyDescent="0.35">
      <c r="B221" s="193" t="e">
        <f>"2024"&amp;MATCH(Totals!D221,OrgType,0)&amp;"_"&amp;MATCH(Totals!E221,Organisations,0)&amp;"_"&amp;LEFT(Totals!F221,1)&amp;"_"&amp;LEFT(G221,1)&amp;"_"&amp;COUNTIF($G$3:G221,G221)</f>
        <v>#N/A</v>
      </c>
      <c r="C221" s="193">
        <v>2025</v>
      </c>
      <c r="D221" s="193">
        <f>Introduction!$D$7</f>
        <v>0</v>
      </c>
      <c r="E221" s="193">
        <f>Introduction!$D$8</f>
        <v>0</v>
      </c>
      <c r="F221" s="193" t="s">
        <v>488</v>
      </c>
      <c r="G221" s="193" t="s">
        <v>489</v>
      </c>
      <c r="H221" s="195">
        <f>'Site Information'!B225</f>
        <v>0</v>
      </c>
      <c r="I221" s="194"/>
      <c r="J221" s="193">
        <f>'Site Information'!C225</f>
        <v>0</v>
      </c>
      <c r="K221" s="193">
        <f>'Site Information'!D225</f>
        <v>0</v>
      </c>
      <c r="L221" s="193">
        <f>'Site Information'!E225</f>
        <v>0</v>
      </c>
      <c r="M221" s="237"/>
      <c r="N221" s="237"/>
      <c r="O221" s="237"/>
      <c r="P221" s="237"/>
      <c r="Q221" s="237"/>
      <c r="R221" s="193">
        <f>'Site Information'!F225</f>
        <v>0</v>
      </c>
      <c r="S221" s="237"/>
      <c r="T221" s="237"/>
      <c r="U221" s="237"/>
      <c r="V221" s="237"/>
      <c r="W221" s="237"/>
      <c r="X221" s="237"/>
      <c r="Y221" s="237"/>
      <c r="Z221" s="237"/>
      <c r="AA221" s="237"/>
      <c r="AB221" s="237"/>
      <c r="AC221" s="237"/>
      <c r="AD221" s="237"/>
      <c r="AE221" s="237"/>
      <c r="AF221" s="237"/>
      <c r="AG221" s="237"/>
      <c r="AI221" s="193"/>
      <c r="AJ221" s="193"/>
    </row>
    <row r="222" spans="2:36" x14ac:dyDescent="0.35">
      <c r="B222" s="193" t="e">
        <f>"2024"&amp;MATCH(Totals!D222,OrgType,0)&amp;"_"&amp;MATCH(Totals!E222,Organisations,0)&amp;"_"&amp;LEFT(Totals!F222,1)&amp;"_"&amp;LEFT(G222,1)&amp;"_"&amp;COUNTIF($G$3:G222,G222)</f>
        <v>#N/A</v>
      </c>
      <c r="C222" s="193">
        <v>2025</v>
      </c>
      <c r="D222" s="193">
        <f>Introduction!$D$7</f>
        <v>0</v>
      </c>
      <c r="E222" s="193">
        <f>Introduction!$D$8</f>
        <v>0</v>
      </c>
      <c r="F222" s="193" t="s">
        <v>488</v>
      </c>
      <c r="G222" s="193" t="s">
        <v>489</v>
      </c>
      <c r="H222" s="195">
        <f>'Site Information'!B226</f>
        <v>0</v>
      </c>
      <c r="I222" s="194"/>
      <c r="J222" s="193">
        <f>'Site Information'!C226</f>
        <v>0</v>
      </c>
      <c r="K222" s="193">
        <f>'Site Information'!D226</f>
        <v>0</v>
      </c>
      <c r="L222" s="193">
        <f>'Site Information'!E226</f>
        <v>0</v>
      </c>
      <c r="M222" s="237"/>
      <c r="N222" s="237"/>
      <c r="O222" s="237"/>
      <c r="P222" s="237"/>
      <c r="Q222" s="237"/>
      <c r="R222" s="193">
        <f>'Site Information'!F226</f>
        <v>0</v>
      </c>
      <c r="S222" s="237"/>
      <c r="T222" s="237"/>
      <c r="U222" s="237"/>
      <c r="V222" s="237"/>
      <c r="W222" s="237"/>
      <c r="X222" s="237"/>
      <c r="Y222" s="237"/>
      <c r="Z222" s="237"/>
      <c r="AA222" s="237"/>
      <c r="AB222" s="237"/>
      <c r="AC222" s="237"/>
      <c r="AD222" s="237"/>
      <c r="AE222" s="237"/>
      <c r="AF222" s="237"/>
      <c r="AG222" s="237"/>
      <c r="AI222" s="193"/>
      <c r="AJ222" s="193"/>
    </row>
    <row r="223" spans="2:36" x14ac:dyDescent="0.35">
      <c r="B223" s="193" t="e">
        <f>"2024"&amp;MATCH(Totals!D223,OrgType,0)&amp;"_"&amp;MATCH(Totals!E223,Organisations,0)&amp;"_"&amp;LEFT(Totals!F223,1)&amp;"_"&amp;LEFT(G223,1)&amp;"_"&amp;COUNTIF($G$3:G223,G223)</f>
        <v>#N/A</v>
      </c>
      <c r="C223" s="193">
        <v>2025</v>
      </c>
      <c r="D223" s="193">
        <f>Introduction!$D$7</f>
        <v>0</v>
      </c>
      <c r="E223" s="193">
        <f>Introduction!$D$8</f>
        <v>0</v>
      </c>
      <c r="F223" s="193" t="s">
        <v>488</v>
      </c>
      <c r="G223" s="193" t="s">
        <v>489</v>
      </c>
      <c r="H223" s="195">
        <f>'Site Information'!B227</f>
        <v>0</v>
      </c>
      <c r="I223" s="194"/>
      <c r="J223" s="193">
        <f>'Site Information'!C227</f>
        <v>0</v>
      </c>
      <c r="K223" s="193">
        <f>'Site Information'!D227</f>
        <v>0</v>
      </c>
      <c r="L223" s="193">
        <f>'Site Information'!E227</f>
        <v>0</v>
      </c>
      <c r="M223" s="237"/>
      <c r="N223" s="237"/>
      <c r="O223" s="237"/>
      <c r="P223" s="237"/>
      <c r="Q223" s="237"/>
      <c r="R223" s="193">
        <f>'Site Information'!F227</f>
        <v>0</v>
      </c>
      <c r="S223" s="237"/>
      <c r="T223" s="237"/>
      <c r="U223" s="237"/>
      <c r="V223" s="237"/>
      <c r="W223" s="237"/>
      <c r="X223" s="237"/>
      <c r="Y223" s="237"/>
      <c r="Z223" s="237"/>
      <c r="AA223" s="237"/>
      <c r="AB223" s="237"/>
      <c r="AC223" s="237"/>
      <c r="AD223" s="237"/>
      <c r="AE223" s="237"/>
      <c r="AF223" s="237"/>
      <c r="AG223" s="237"/>
      <c r="AI223" s="193"/>
      <c r="AJ223" s="193"/>
    </row>
    <row r="224" spans="2:36" x14ac:dyDescent="0.35">
      <c r="B224" s="193" t="e">
        <f>"2024"&amp;MATCH(Totals!D224,OrgType,0)&amp;"_"&amp;MATCH(Totals!E224,Organisations,0)&amp;"_"&amp;LEFT(Totals!F224,1)&amp;"_"&amp;LEFT(G224,1)&amp;"_"&amp;COUNTIF($G$3:G224,G224)</f>
        <v>#N/A</v>
      </c>
      <c r="C224" s="193">
        <v>2025</v>
      </c>
      <c r="D224" s="193">
        <f>Introduction!$D$7</f>
        <v>0</v>
      </c>
      <c r="E224" s="193">
        <f>Introduction!$D$8</f>
        <v>0</v>
      </c>
      <c r="F224" s="193" t="s">
        <v>488</v>
      </c>
      <c r="G224" s="193" t="s">
        <v>489</v>
      </c>
      <c r="H224" s="195">
        <f>'Site Information'!B228</f>
        <v>0</v>
      </c>
      <c r="I224" s="194"/>
      <c r="J224" s="193">
        <f>'Site Information'!C228</f>
        <v>0</v>
      </c>
      <c r="K224" s="193">
        <f>'Site Information'!D228</f>
        <v>0</v>
      </c>
      <c r="L224" s="193">
        <f>'Site Information'!E228</f>
        <v>0</v>
      </c>
      <c r="M224" s="237"/>
      <c r="N224" s="237"/>
      <c r="O224" s="237"/>
      <c r="P224" s="237"/>
      <c r="Q224" s="237"/>
      <c r="R224" s="193">
        <f>'Site Information'!F228</f>
        <v>0</v>
      </c>
      <c r="S224" s="237"/>
      <c r="T224" s="237"/>
      <c r="U224" s="237"/>
      <c r="V224" s="237"/>
      <c r="W224" s="237"/>
      <c r="X224" s="237"/>
      <c r="Y224" s="237"/>
      <c r="Z224" s="237"/>
      <c r="AA224" s="237"/>
      <c r="AB224" s="237"/>
      <c r="AC224" s="237"/>
      <c r="AD224" s="237"/>
      <c r="AE224" s="237"/>
      <c r="AF224" s="237"/>
      <c r="AG224" s="237"/>
      <c r="AI224" s="193"/>
      <c r="AJ224" s="193"/>
    </row>
    <row r="225" spans="2:36" x14ac:dyDescent="0.35">
      <c r="B225" s="193" t="e">
        <f>"2024"&amp;MATCH(Totals!D225,OrgType,0)&amp;"_"&amp;MATCH(Totals!E225,Organisations,0)&amp;"_"&amp;LEFT(Totals!F225,1)&amp;"_"&amp;LEFT(G225,1)&amp;"_"&amp;COUNTIF($G$3:G225,G225)</f>
        <v>#N/A</v>
      </c>
      <c r="C225" s="193">
        <v>2025</v>
      </c>
      <c r="D225" s="193">
        <f>Introduction!$D$7</f>
        <v>0</v>
      </c>
      <c r="E225" s="193">
        <f>Introduction!$D$8</f>
        <v>0</v>
      </c>
      <c r="F225" s="193" t="s">
        <v>488</v>
      </c>
      <c r="G225" s="193" t="s">
        <v>489</v>
      </c>
      <c r="H225" s="195">
        <f>'Site Information'!B229</f>
        <v>0</v>
      </c>
      <c r="I225" s="194"/>
      <c r="J225" s="193">
        <f>'Site Information'!C229</f>
        <v>0</v>
      </c>
      <c r="K225" s="193">
        <f>'Site Information'!D229</f>
        <v>0</v>
      </c>
      <c r="L225" s="193">
        <f>'Site Information'!E229</f>
        <v>0</v>
      </c>
      <c r="M225" s="237"/>
      <c r="N225" s="237"/>
      <c r="O225" s="237"/>
      <c r="P225" s="237"/>
      <c r="Q225" s="237"/>
      <c r="R225" s="193">
        <f>'Site Information'!F229</f>
        <v>0</v>
      </c>
      <c r="S225" s="237"/>
      <c r="T225" s="237"/>
      <c r="U225" s="237"/>
      <c r="V225" s="237"/>
      <c r="W225" s="237"/>
      <c r="X225" s="237"/>
      <c r="Y225" s="237"/>
      <c r="Z225" s="237"/>
      <c r="AA225" s="237"/>
      <c r="AB225" s="237"/>
      <c r="AC225" s="237"/>
      <c r="AD225" s="237"/>
      <c r="AE225" s="237"/>
      <c r="AF225" s="237"/>
      <c r="AG225" s="237"/>
      <c r="AI225" s="193"/>
      <c r="AJ225" s="193"/>
    </row>
    <row r="226" spans="2:36" x14ac:dyDescent="0.35">
      <c r="B226" s="193" t="e">
        <f>"2024"&amp;MATCH(Totals!D226,OrgType,0)&amp;"_"&amp;MATCH(Totals!E226,Organisations,0)&amp;"_"&amp;LEFT(Totals!F226,1)&amp;"_"&amp;LEFT(G226,1)&amp;"_"&amp;COUNTIF($G$3:G226,G226)</f>
        <v>#N/A</v>
      </c>
      <c r="C226" s="193">
        <v>2025</v>
      </c>
      <c r="D226" s="193">
        <f>Introduction!$D$7</f>
        <v>0</v>
      </c>
      <c r="E226" s="193">
        <f>Introduction!$D$8</f>
        <v>0</v>
      </c>
      <c r="F226" s="193" t="s">
        <v>488</v>
      </c>
      <c r="G226" s="193" t="s">
        <v>489</v>
      </c>
      <c r="H226" s="195">
        <f>'Site Information'!B230</f>
        <v>0</v>
      </c>
      <c r="I226" s="194"/>
      <c r="J226" s="193">
        <f>'Site Information'!C230</f>
        <v>0</v>
      </c>
      <c r="K226" s="193">
        <f>'Site Information'!D230</f>
        <v>0</v>
      </c>
      <c r="L226" s="193">
        <f>'Site Information'!E230</f>
        <v>0</v>
      </c>
      <c r="M226" s="237"/>
      <c r="N226" s="237"/>
      <c r="O226" s="237"/>
      <c r="P226" s="237"/>
      <c r="Q226" s="237"/>
      <c r="R226" s="193">
        <f>'Site Information'!F230</f>
        <v>0</v>
      </c>
      <c r="S226" s="237"/>
      <c r="T226" s="237"/>
      <c r="U226" s="237"/>
      <c r="V226" s="237"/>
      <c r="W226" s="237"/>
      <c r="X226" s="237"/>
      <c r="Y226" s="237"/>
      <c r="Z226" s="237"/>
      <c r="AA226" s="237"/>
      <c r="AB226" s="237"/>
      <c r="AC226" s="237"/>
      <c r="AD226" s="237"/>
      <c r="AE226" s="237"/>
      <c r="AF226" s="237"/>
      <c r="AG226" s="237"/>
      <c r="AI226" s="193"/>
      <c r="AJ226" s="193"/>
    </row>
    <row r="227" spans="2:36" x14ac:dyDescent="0.35">
      <c r="B227" s="193" t="e">
        <f>"2024"&amp;MATCH(Totals!D227,OrgType,0)&amp;"_"&amp;MATCH(Totals!E227,Organisations,0)&amp;"_"&amp;LEFT(Totals!F227,1)&amp;"_"&amp;LEFT(G227,1)&amp;"_"&amp;COUNTIF($G$3:G227,G227)</f>
        <v>#N/A</v>
      </c>
      <c r="C227" s="193">
        <v>2025</v>
      </c>
      <c r="D227" s="193">
        <f>Introduction!$D$7</f>
        <v>0</v>
      </c>
      <c r="E227" s="193">
        <f>Introduction!$D$8</f>
        <v>0</v>
      </c>
      <c r="F227" s="193" t="s">
        <v>488</v>
      </c>
      <c r="G227" s="193" t="s">
        <v>489</v>
      </c>
      <c r="H227" s="195">
        <f>'Site Information'!B231</f>
        <v>0</v>
      </c>
      <c r="I227" s="194"/>
      <c r="J227" s="193">
        <f>'Site Information'!C231</f>
        <v>0</v>
      </c>
      <c r="K227" s="193">
        <f>'Site Information'!D231</f>
        <v>0</v>
      </c>
      <c r="L227" s="193">
        <f>'Site Information'!E231</f>
        <v>0</v>
      </c>
      <c r="M227" s="237"/>
      <c r="N227" s="237"/>
      <c r="O227" s="237"/>
      <c r="P227" s="237"/>
      <c r="Q227" s="237"/>
      <c r="R227" s="193">
        <f>'Site Information'!F231</f>
        <v>0</v>
      </c>
      <c r="S227" s="237"/>
      <c r="T227" s="237"/>
      <c r="U227" s="237"/>
      <c r="V227" s="237"/>
      <c r="W227" s="237"/>
      <c r="X227" s="237"/>
      <c r="Y227" s="237"/>
      <c r="Z227" s="237"/>
      <c r="AA227" s="237"/>
      <c r="AB227" s="237"/>
      <c r="AC227" s="237"/>
      <c r="AD227" s="237"/>
      <c r="AE227" s="237"/>
      <c r="AF227" s="237"/>
      <c r="AG227" s="237"/>
      <c r="AI227" s="193"/>
      <c r="AJ227" s="193"/>
    </row>
    <row r="228" spans="2:36" x14ac:dyDescent="0.35">
      <c r="B228" s="193" t="e">
        <f>"2024"&amp;MATCH(Totals!D228,OrgType,0)&amp;"_"&amp;MATCH(Totals!E228,Organisations,0)&amp;"_"&amp;LEFT(Totals!F228,1)&amp;"_"&amp;LEFT(G228,1)&amp;"_"&amp;COUNTIF($G$3:G228,G228)</f>
        <v>#N/A</v>
      </c>
      <c r="C228" s="193">
        <v>2025</v>
      </c>
      <c r="D228" s="193">
        <f>Introduction!$D$7</f>
        <v>0</v>
      </c>
      <c r="E228" s="193">
        <f>Introduction!$D$8</f>
        <v>0</v>
      </c>
      <c r="F228" s="193" t="s">
        <v>488</v>
      </c>
      <c r="G228" s="193" t="s">
        <v>489</v>
      </c>
      <c r="H228" s="195">
        <f>'Site Information'!B232</f>
        <v>0</v>
      </c>
      <c r="I228" s="194"/>
      <c r="J228" s="193">
        <f>'Site Information'!C232</f>
        <v>0</v>
      </c>
      <c r="K228" s="193">
        <f>'Site Information'!D232</f>
        <v>0</v>
      </c>
      <c r="L228" s="193">
        <f>'Site Information'!E232</f>
        <v>0</v>
      </c>
      <c r="M228" s="237"/>
      <c r="N228" s="237"/>
      <c r="O228" s="237"/>
      <c r="P228" s="237"/>
      <c r="Q228" s="237"/>
      <c r="R228" s="193">
        <f>'Site Information'!F232</f>
        <v>0</v>
      </c>
      <c r="S228" s="237"/>
      <c r="T228" s="237"/>
      <c r="U228" s="237"/>
      <c r="V228" s="237"/>
      <c r="W228" s="237"/>
      <c r="X228" s="237"/>
      <c r="Y228" s="237"/>
      <c r="Z228" s="237"/>
      <c r="AA228" s="237"/>
      <c r="AB228" s="237"/>
      <c r="AC228" s="237"/>
      <c r="AD228" s="237"/>
      <c r="AE228" s="237"/>
      <c r="AF228" s="237"/>
      <c r="AG228" s="237"/>
      <c r="AI228" s="193"/>
      <c r="AJ228" s="193"/>
    </row>
    <row r="229" spans="2:36" x14ac:dyDescent="0.35">
      <c r="B229" s="193" t="e">
        <f>"2024"&amp;MATCH(Totals!D229,OrgType,0)&amp;"_"&amp;MATCH(Totals!E229,Organisations,0)&amp;"_"&amp;LEFT(Totals!F229,1)&amp;"_"&amp;LEFT(G229,1)&amp;"_"&amp;COUNTIF($G$3:G229,G229)</f>
        <v>#N/A</v>
      </c>
      <c r="C229" s="193">
        <v>2025</v>
      </c>
      <c r="D229" s="193">
        <f>Introduction!$D$7</f>
        <v>0</v>
      </c>
      <c r="E229" s="193">
        <f>Introduction!$D$8</f>
        <v>0</v>
      </c>
      <c r="F229" s="193" t="s">
        <v>488</v>
      </c>
      <c r="G229" s="193" t="s">
        <v>489</v>
      </c>
      <c r="H229" s="195">
        <f>'Site Information'!B233</f>
        <v>0</v>
      </c>
      <c r="I229" s="194"/>
      <c r="J229" s="193">
        <f>'Site Information'!C233</f>
        <v>0</v>
      </c>
      <c r="K229" s="193">
        <f>'Site Information'!D233</f>
        <v>0</v>
      </c>
      <c r="L229" s="193">
        <f>'Site Information'!E233</f>
        <v>0</v>
      </c>
      <c r="M229" s="237"/>
      <c r="N229" s="237"/>
      <c r="O229" s="237"/>
      <c r="P229" s="237"/>
      <c r="Q229" s="237"/>
      <c r="R229" s="193">
        <f>'Site Information'!F233</f>
        <v>0</v>
      </c>
      <c r="S229" s="237"/>
      <c r="T229" s="237"/>
      <c r="U229" s="237"/>
      <c r="V229" s="237"/>
      <c r="W229" s="237"/>
      <c r="X229" s="237"/>
      <c r="Y229" s="237"/>
      <c r="Z229" s="237"/>
      <c r="AA229" s="237"/>
      <c r="AB229" s="237"/>
      <c r="AC229" s="237"/>
      <c r="AD229" s="237"/>
      <c r="AE229" s="237"/>
      <c r="AF229" s="237"/>
      <c r="AG229" s="237"/>
      <c r="AI229" s="193"/>
      <c r="AJ229" s="193"/>
    </row>
    <row r="230" spans="2:36" x14ac:dyDescent="0.35">
      <c r="B230" s="193" t="e">
        <f>"2024"&amp;MATCH(Totals!D230,OrgType,0)&amp;"_"&amp;MATCH(Totals!E230,Organisations,0)&amp;"_"&amp;LEFT(Totals!F230,1)&amp;"_"&amp;LEFT(G230,1)&amp;"_"&amp;COUNTIF($G$3:G230,G230)</f>
        <v>#N/A</v>
      </c>
      <c r="C230" s="193">
        <v>2025</v>
      </c>
      <c r="D230" s="193">
        <f>Introduction!$D$7</f>
        <v>0</v>
      </c>
      <c r="E230" s="193">
        <f>Introduction!$D$8</f>
        <v>0</v>
      </c>
      <c r="F230" s="193" t="s">
        <v>488</v>
      </c>
      <c r="G230" s="193" t="s">
        <v>489</v>
      </c>
      <c r="H230" s="195">
        <f>'Site Information'!B234</f>
        <v>0</v>
      </c>
      <c r="I230" s="194"/>
      <c r="J230" s="193">
        <f>'Site Information'!C234</f>
        <v>0</v>
      </c>
      <c r="K230" s="193">
        <f>'Site Information'!D234</f>
        <v>0</v>
      </c>
      <c r="L230" s="193">
        <f>'Site Information'!E234</f>
        <v>0</v>
      </c>
      <c r="M230" s="237"/>
      <c r="N230" s="237"/>
      <c r="O230" s="237"/>
      <c r="P230" s="237"/>
      <c r="Q230" s="237"/>
      <c r="R230" s="193">
        <f>'Site Information'!F234</f>
        <v>0</v>
      </c>
      <c r="S230" s="237"/>
      <c r="T230" s="237"/>
      <c r="U230" s="237"/>
      <c r="V230" s="237"/>
      <c r="W230" s="237"/>
      <c r="X230" s="237"/>
      <c r="Y230" s="237"/>
      <c r="Z230" s="237"/>
      <c r="AA230" s="237"/>
      <c r="AB230" s="237"/>
      <c r="AC230" s="237"/>
      <c r="AD230" s="237"/>
      <c r="AE230" s="237"/>
      <c r="AF230" s="237"/>
      <c r="AG230" s="237"/>
      <c r="AI230" s="193"/>
      <c r="AJ230" s="193"/>
    </row>
    <row r="231" spans="2:36" x14ac:dyDescent="0.35">
      <c r="B231" s="193" t="e">
        <f>"2024"&amp;MATCH(Totals!D231,OrgType,0)&amp;"_"&amp;MATCH(Totals!E231,Organisations,0)&amp;"_"&amp;LEFT(Totals!F231,1)&amp;"_"&amp;LEFT(G231,1)&amp;"_"&amp;COUNTIF($G$3:G231,G231)</f>
        <v>#N/A</v>
      </c>
      <c r="C231" s="193">
        <v>2025</v>
      </c>
      <c r="D231" s="193">
        <f>Introduction!$D$7</f>
        <v>0</v>
      </c>
      <c r="E231" s="193">
        <f>Introduction!$D$8</f>
        <v>0</v>
      </c>
      <c r="F231" s="193" t="s">
        <v>488</v>
      </c>
      <c r="G231" s="193" t="s">
        <v>489</v>
      </c>
      <c r="H231" s="195">
        <f>'Site Information'!B235</f>
        <v>0</v>
      </c>
      <c r="I231" s="194"/>
      <c r="J231" s="193">
        <f>'Site Information'!C235</f>
        <v>0</v>
      </c>
      <c r="K231" s="193">
        <f>'Site Information'!D235</f>
        <v>0</v>
      </c>
      <c r="L231" s="193">
        <f>'Site Information'!E235</f>
        <v>0</v>
      </c>
      <c r="M231" s="237"/>
      <c r="N231" s="237"/>
      <c r="O231" s="237"/>
      <c r="P231" s="237"/>
      <c r="Q231" s="237"/>
      <c r="R231" s="193">
        <f>'Site Information'!F235</f>
        <v>0</v>
      </c>
      <c r="S231" s="237"/>
      <c r="T231" s="237"/>
      <c r="U231" s="237"/>
      <c r="V231" s="237"/>
      <c r="W231" s="237"/>
      <c r="X231" s="237"/>
      <c r="Y231" s="237"/>
      <c r="Z231" s="237"/>
      <c r="AA231" s="237"/>
      <c r="AB231" s="237"/>
      <c r="AC231" s="237"/>
      <c r="AD231" s="237"/>
      <c r="AE231" s="237"/>
      <c r="AF231" s="237"/>
      <c r="AG231" s="237"/>
      <c r="AI231" s="193"/>
      <c r="AJ231" s="193"/>
    </row>
    <row r="232" spans="2:36" x14ac:dyDescent="0.35">
      <c r="B232" s="193" t="e">
        <f>"2024"&amp;MATCH(Totals!D232,OrgType,0)&amp;"_"&amp;MATCH(Totals!E232,Organisations,0)&amp;"_"&amp;LEFT(Totals!F232,1)&amp;"_"&amp;LEFT(G232,1)&amp;"_"&amp;COUNTIF($G$3:G232,G232)</f>
        <v>#N/A</v>
      </c>
      <c r="C232" s="193">
        <v>2025</v>
      </c>
      <c r="D232" s="193">
        <f>Introduction!$D$7</f>
        <v>0</v>
      </c>
      <c r="E232" s="193">
        <f>Introduction!$D$8</f>
        <v>0</v>
      </c>
      <c r="F232" s="193" t="s">
        <v>488</v>
      </c>
      <c r="G232" s="193" t="s">
        <v>489</v>
      </c>
      <c r="H232" s="195">
        <f>'Site Information'!B236</f>
        <v>0</v>
      </c>
      <c r="I232" s="194"/>
      <c r="J232" s="193">
        <f>'Site Information'!C236</f>
        <v>0</v>
      </c>
      <c r="K232" s="193">
        <f>'Site Information'!D236</f>
        <v>0</v>
      </c>
      <c r="L232" s="193">
        <f>'Site Information'!E236</f>
        <v>0</v>
      </c>
      <c r="M232" s="237"/>
      <c r="N232" s="237"/>
      <c r="O232" s="237"/>
      <c r="P232" s="237"/>
      <c r="Q232" s="237"/>
      <c r="R232" s="193">
        <f>'Site Information'!F236</f>
        <v>0</v>
      </c>
      <c r="S232" s="237"/>
      <c r="T232" s="237"/>
      <c r="U232" s="237"/>
      <c r="V232" s="237"/>
      <c r="W232" s="237"/>
      <c r="X232" s="237"/>
      <c r="Y232" s="237"/>
      <c r="Z232" s="237"/>
      <c r="AA232" s="237"/>
      <c r="AB232" s="237"/>
      <c r="AC232" s="237"/>
      <c r="AD232" s="237"/>
      <c r="AE232" s="237"/>
      <c r="AF232" s="237"/>
      <c r="AG232" s="237"/>
      <c r="AI232" s="193"/>
      <c r="AJ232" s="193"/>
    </row>
    <row r="233" spans="2:36" x14ac:dyDescent="0.35">
      <c r="B233" s="193" t="e">
        <f>"2024"&amp;MATCH(Totals!D233,OrgType,0)&amp;"_"&amp;MATCH(Totals!E233,Organisations,0)&amp;"_"&amp;LEFT(Totals!F233,1)&amp;"_"&amp;LEFT(G233,1)&amp;"_"&amp;COUNTIF($G$3:G233,G233)</f>
        <v>#N/A</v>
      </c>
      <c r="C233" s="193">
        <v>2025</v>
      </c>
      <c r="D233" s="193">
        <f>Introduction!$D$7</f>
        <v>0</v>
      </c>
      <c r="E233" s="193">
        <f>Introduction!$D$8</f>
        <v>0</v>
      </c>
      <c r="F233" s="193" t="s">
        <v>488</v>
      </c>
      <c r="G233" s="193" t="s">
        <v>489</v>
      </c>
      <c r="H233" s="195">
        <f>'Site Information'!B237</f>
        <v>0</v>
      </c>
      <c r="I233" s="194"/>
      <c r="J233" s="193">
        <f>'Site Information'!C237</f>
        <v>0</v>
      </c>
      <c r="K233" s="193">
        <f>'Site Information'!D237</f>
        <v>0</v>
      </c>
      <c r="L233" s="193">
        <f>'Site Information'!E237</f>
        <v>0</v>
      </c>
      <c r="M233" s="237"/>
      <c r="N233" s="237"/>
      <c r="O233" s="237"/>
      <c r="P233" s="237"/>
      <c r="Q233" s="237"/>
      <c r="R233" s="193">
        <f>'Site Information'!F237</f>
        <v>0</v>
      </c>
      <c r="S233" s="237"/>
      <c r="T233" s="237"/>
      <c r="U233" s="237"/>
      <c r="V233" s="237"/>
      <c r="W233" s="237"/>
      <c r="X233" s="237"/>
      <c r="Y233" s="237"/>
      <c r="Z233" s="237"/>
      <c r="AA233" s="237"/>
      <c r="AB233" s="237"/>
      <c r="AC233" s="237"/>
      <c r="AD233" s="237"/>
      <c r="AE233" s="237"/>
      <c r="AF233" s="237"/>
      <c r="AG233" s="237"/>
      <c r="AI233" s="193"/>
      <c r="AJ233" s="193"/>
    </row>
    <row r="234" spans="2:36" x14ac:dyDescent="0.35">
      <c r="B234" s="193" t="e">
        <f>"2024"&amp;MATCH(Totals!D234,OrgType,0)&amp;"_"&amp;MATCH(Totals!E234,Organisations,0)&amp;"_"&amp;LEFT(Totals!F234,1)&amp;"_"&amp;LEFT(G234,1)&amp;"_"&amp;COUNTIF($G$3:G234,G234)</f>
        <v>#N/A</v>
      </c>
      <c r="C234" s="193">
        <v>2025</v>
      </c>
      <c r="D234" s="193">
        <f>Introduction!$D$7</f>
        <v>0</v>
      </c>
      <c r="E234" s="193">
        <f>Introduction!$D$8</f>
        <v>0</v>
      </c>
      <c r="F234" s="193" t="s">
        <v>488</v>
      </c>
      <c r="G234" s="193" t="s">
        <v>489</v>
      </c>
      <c r="H234" s="195">
        <f>'Site Information'!B238</f>
        <v>0</v>
      </c>
      <c r="I234" s="194"/>
      <c r="J234" s="193">
        <f>'Site Information'!C238</f>
        <v>0</v>
      </c>
      <c r="K234" s="193">
        <f>'Site Information'!D238</f>
        <v>0</v>
      </c>
      <c r="L234" s="193">
        <f>'Site Information'!E238</f>
        <v>0</v>
      </c>
      <c r="M234" s="237"/>
      <c r="N234" s="237"/>
      <c r="O234" s="237"/>
      <c r="P234" s="237"/>
      <c r="Q234" s="237"/>
      <c r="R234" s="193">
        <f>'Site Information'!F238</f>
        <v>0</v>
      </c>
      <c r="S234" s="237"/>
      <c r="T234" s="237"/>
      <c r="U234" s="237"/>
      <c r="V234" s="237"/>
      <c r="W234" s="237"/>
      <c r="X234" s="237"/>
      <c r="Y234" s="237"/>
      <c r="Z234" s="237"/>
      <c r="AA234" s="237"/>
      <c r="AB234" s="237"/>
      <c r="AC234" s="237"/>
      <c r="AD234" s="237"/>
      <c r="AE234" s="237"/>
      <c r="AF234" s="237"/>
      <c r="AG234" s="237"/>
      <c r="AI234" s="193"/>
      <c r="AJ234" s="193"/>
    </row>
    <row r="235" spans="2:36" x14ac:dyDescent="0.35">
      <c r="B235" s="193" t="e">
        <f>"2024"&amp;MATCH(Totals!D235,OrgType,0)&amp;"_"&amp;MATCH(Totals!E235,Organisations,0)&amp;"_"&amp;LEFT(Totals!F235,1)&amp;"_"&amp;LEFT(G235,1)&amp;"_"&amp;COUNTIF($G$3:G235,G235)</f>
        <v>#N/A</v>
      </c>
      <c r="C235" s="193">
        <v>2025</v>
      </c>
      <c r="D235" s="193">
        <f>Introduction!$D$7</f>
        <v>0</v>
      </c>
      <c r="E235" s="193">
        <f>Introduction!$D$8</f>
        <v>0</v>
      </c>
      <c r="F235" s="193" t="s">
        <v>488</v>
      </c>
      <c r="G235" s="193" t="s">
        <v>489</v>
      </c>
      <c r="H235" s="195">
        <f>'Site Information'!B239</f>
        <v>0</v>
      </c>
      <c r="I235" s="194"/>
      <c r="J235" s="193">
        <f>'Site Information'!C239</f>
        <v>0</v>
      </c>
      <c r="K235" s="193">
        <f>'Site Information'!D239</f>
        <v>0</v>
      </c>
      <c r="L235" s="193">
        <f>'Site Information'!E239</f>
        <v>0</v>
      </c>
      <c r="M235" s="237"/>
      <c r="N235" s="237"/>
      <c r="O235" s="237"/>
      <c r="P235" s="237"/>
      <c r="Q235" s="237"/>
      <c r="R235" s="193">
        <f>'Site Information'!F239</f>
        <v>0</v>
      </c>
      <c r="S235" s="237"/>
      <c r="T235" s="237"/>
      <c r="U235" s="237"/>
      <c r="V235" s="237"/>
      <c r="W235" s="237"/>
      <c r="X235" s="237"/>
      <c r="Y235" s="237"/>
      <c r="Z235" s="237"/>
      <c r="AA235" s="237"/>
      <c r="AB235" s="237"/>
      <c r="AC235" s="237"/>
      <c r="AD235" s="237"/>
      <c r="AE235" s="237"/>
      <c r="AF235" s="237"/>
      <c r="AG235" s="237"/>
      <c r="AI235" s="193"/>
      <c r="AJ235" s="193"/>
    </row>
    <row r="236" spans="2:36" x14ac:dyDescent="0.35">
      <c r="B236" s="193" t="e">
        <f>"2024"&amp;MATCH(Totals!D236,OrgType,0)&amp;"_"&amp;MATCH(Totals!E236,Organisations,0)&amp;"_"&amp;LEFT(Totals!F236,1)&amp;"_"&amp;LEFT(G236,1)&amp;"_"&amp;COUNTIF($G$3:G236,G236)</f>
        <v>#N/A</v>
      </c>
      <c r="C236" s="193">
        <v>2025</v>
      </c>
      <c r="D236" s="193">
        <f>Introduction!$D$7</f>
        <v>0</v>
      </c>
      <c r="E236" s="193">
        <f>Introduction!$D$8</f>
        <v>0</v>
      </c>
      <c r="F236" s="193" t="s">
        <v>488</v>
      </c>
      <c r="G236" s="193" t="s">
        <v>489</v>
      </c>
      <c r="H236" s="195">
        <f>'Site Information'!B240</f>
        <v>0</v>
      </c>
      <c r="I236" s="194"/>
      <c r="J236" s="193">
        <f>'Site Information'!C240</f>
        <v>0</v>
      </c>
      <c r="K236" s="193">
        <f>'Site Information'!D240</f>
        <v>0</v>
      </c>
      <c r="L236" s="193">
        <f>'Site Information'!E240</f>
        <v>0</v>
      </c>
      <c r="M236" s="237"/>
      <c r="N236" s="237"/>
      <c r="O236" s="237"/>
      <c r="P236" s="237"/>
      <c r="Q236" s="237"/>
      <c r="R236" s="193">
        <f>'Site Information'!F240</f>
        <v>0</v>
      </c>
      <c r="S236" s="237"/>
      <c r="T236" s="237"/>
      <c r="U236" s="237"/>
      <c r="V236" s="237"/>
      <c r="W236" s="237"/>
      <c r="X236" s="237"/>
      <c r="Y236" s="237"/>
      <c r="Z236" s="237"/>
      <c r="AA236" s="237"/>
      <c r="AB236" s="237"/>
      <c r="AC236" s="237"/>
      <c r="AD236" s="237"/>
      <c r="AE236" s="237"/>
      <c r="AF236" s="237"/>
      <c r="AG236" s="237"/>
      <c r="AI236" s="193"/>
      <c r="AJ236" s="193"/>
    </row>
    <row r="237" spans="2:36" x14ac:dyDescent="0.35">
      <c r="B237" s="193" t="e">
        <f>"2024"&amp;MATCH(Totals!D237,OrgType,0)&amp;"_"&amp;MATCH(Totals!E237,Organisations,0)&amp;"_"&amp;LEFT(Totals!F237,1)&amp;"_"&amp;LEFT(G237,1)&amp;"_"&amp;COUNTIF($G$3:G237,G237)</f>
        <v>#N/A</v>
      </c>
      <c r="C237" s="193">
        <v>2025</v>
      </c>
      <c r="D237" s="193">
        <f>Introduction!$D$7</f>
        <v>0</v>
      </c>
      <c r="E237" s="193">
        <f>Introduction!$D$8</f>
        <v>0</v>
      </c>
      <c r="F237" s="193" t="s">
        <v>488</v>
      </c>
      <c r="G237" s="193" t="s">
        <v>489</v>
      </c>
      <c r="H237" s="195">
        <f>'Site Information'!B241</f>
        <v>0</v>
      </c>
      <c r="I237" s="194"/>
      <c r="J237" s="193">
        <f>'Site Information'!C241</f>
        <v>0</v>
      </c>
      <c r="K237" s="193">
        <f>'Site Information'!D241</f>
        <v>0</v>
      </c>
      <c r="L237" s="193">
        <f>'Site Information'!E241</f>
        <v>0</v>
      </c>
      <c r="M237" s="237"/>
      <c r="N237" s="237"/>
      <c r="O237" s="237"/>
      <c r="P237" s="237"/>
      <c r="Q237" s="237"/>
      <c r="R237" s="193">
        <f>'Site Information'!F241</f>
        <v>0</v>
      </c>
      <c r="S237" s="237"/>
      <c r="T237" s="237"/>
      <c r="U237" s="237"/>
      <c r="V237" s="237"/>
      <c r="W237" s="237"/>
      <c r="X237" s="237"/>
      <c r="Y237" s="237"/>
      <c r="Z237" s="237"/>
      <c r="AA237" s="237"/>
      <c r="AB237" s="237"/>
      <c r="AC237" s="237"/>
      <c r="AD237" s="237"/>
      <c r="AE237" s="237"/>
      <c r="AF237" s="237"/>
      <c r="AG237" s="237"/>
      <c r="AI237" s="193"/>
      <c r="AJ237" s="193"/>
    </row>
    <row r="238" spans="2:36" x14ac:dyDescent="0.35">
      <c r="B238" s="193" t="e">
        <f>"2024"&amp;MATCH(Totals!D238,OrgType,0)&amp;"_"&amp;MATCH(Totals!E238,Organisations,0)&amp;"_"&amp;LEFT(Totals!F238,1)&amp;"_"&amp;LEFT(G238,1)&amp;"_"&amp;COUNTIF($G$3:G238,G238)</f>
        <v>#N/A</v>
      </c>
      <c r="C238" s="193">
        <v>2025</v>
      </c>
      <c r="D238" s="193">
        <f>Introduction!$D$7</f>
        <v>0</v>
      </c>
      <c r="E238" s="193">
        <f>Introduction!$D$8</f>
        <v>0</v>
      </c>
      <c r="F238" s="193" t="s">
        <v>488</v>
      </c>
      <c r="G238" s="193" t="s">
        <v>489</v>
      </c>
      <c r="H238" s="195">
        <f>'Site Information'!B242</f>
        <v>0</v>
      </c>
      <c r="I238" s="194"/>
      <c r="J238" s="193">
        <f>'Site Information'!C242</f>
        <v>0</v>
      </c>
      <c r="K238" s="193">
        <f>'Site Information'!D242</f>
        <v>0</v>
      </c>
      <c r="L238" s="193">
        <f>'Site Information'!E242</f>
        <v>0</v>
      </c>
      <c r="M238" s="237"/>
      <c r="N238" s="237"/>
      <c r="O238" s="237"/>
      <c r="P238" s="237"/>
      <c r="Q238" s="237"/>
      <c r="R238" s="193">
        <f>'Site Information'!F242</f>
        <v>0</v>
      </c>
      <c r="S238" s="237"/>
      <c r="T238" s="237"/>
      <c r="U238" s="237"/>
      <c r="V238" s="237"/>
      <c r="W238" s="237"/>
      <c r="X238" s="237"/>
      <c r="Y238" s="237"/>
      <c r="Z238" s="237"/>
      <c r="AA238" s="237"/>
      <c r="AB238" s="237"/>
      <c r="AC238" s="237"/>
      <c r="AD238" s="237"/>
      <c r="AE238" s="237"/>
      <c r="AF238" s="237"/>
      <c r="AG238" s="237"/>
      <c r="AI238" s="193"/>
      <c r="AJ238" s="193"/>
    </row>
    <row r="239" spans="2:36" x14ac:dyDescent="0.35">
      <c r="B239" s="193" t="e">
        <f>"2024"&amp;MATCH(Totals!D239,OrgType,0)&amp;"_"&amp;MATCH(Totals!E239,Organisations,0)&amp;"_"&amp;LEFT(Totals!F239,1)&amp;"_"&amp;LEFT(G239,1)&amp;"_"&amp;COUNTIF($G$3:G239,G239)</f>
        <v>#N/A</v>
      </c>
      <c r="C239" s="193">
        <v>2025</v>
      </c>
      <c r="D239" s="193">
        <f>Introduction!$D$7</f>
        <v>0</v>
      </c>
      <c r="E239" s="193">
        <f>Introduction!$D$8</f>
        <v>0</v>
      </c>
      <c r="F239" s="193" t="s">
        <v>488</v>
      </c>
      <c r="G239" s="193" t="s">
        <v>489</v>
      </c>
      <c r="H239" s="195">
        <f>'Site Information'!B243</f>
        <v>0</v>
      </c>
      <c r="I239" s="194"/>
      <c r="J239" s="193">
        <f>'Site Information'!C243</f>
        <v>0</v>
      </c>
      <c r="K239" s="193">
        <f>'Site Information'!D243</f>
        <v>0</v>
      </c>
      <c r="L239" s="193">
        <f>'Site Information'!E243</f>
        <v>0</v>
      </c>
      <c r="M239" s="237"/>
      <c r="N239" s="237"/>
      <c r="O239" s="237"/>
      <c r="P239" s="237"/>
      <c r="Q239" s="237"/>
      <c r="R239" s="193">
        <f>'Site Information'!F243</f>
        <v>0</v>
      </c>
      <c r="S239" s="237"/>
      <c r="T239" s="237"/>
      <c r="U239" s="237"/>
      <c r="V239" s="237"/>
      <c r="W239" s="237"/>
      <c r="X239" s="237"/>
      <c r="Y239" s="237"/>
      <c r="Z239" s="237"/>
      <c r="AA239" s="237"/>
      <c r="AB239" s="237"/>
      <c r="AC239" s="237"/>
      <c r="AD239" s="237"/>
      <c r="AE239" s="237"/>
      <c r="AF239" s="237"/>
      <c r="AG239" s="237"/>
      <c r="AI239" s="193"/>
      <c r="AJ239" s="193"/>
    </row>
    <row r="240" spans="2:36" x14ac:dyDescent="0.35">
      <c r="B240" s="193" t="e">
        <f>"2024"&amp;MATCH(Totals!D240,OrgType,0)&amp;"_"&amp;MATCH(Totals!E240,Organisations,0)&amp;"_"&amp;LEFT(Totals!F240,1)&amp;"_"&amp;LEFT(G240,1)&amp;"_"&amp;COUNTIF($G$3:G240,G240)</f>
        <v>#N/A</v>
      </c>
      <c r="C240" s="193">
        <v>2025</v>
      </c>
      <c r="D240" s="193">
        <f>Introduction!$D$7</f>
        <v>0</v>
      </c>
      <c r="E240" s="193">
        <f>Introduction!$D$8</f>
        <v>0</v>
      </c>
      <c r="F240" s="193" t="s">
        <v>488</v>
      </c>
      <c r="G240" s="193" t="s">
        <v>489</v>
      </c>
      <c r="H240" s="195">
        <f>'Site Information'!B244</f>
        <v>0</v>
      </c>
      <c r="I240" s="194"/>
      <c r="J240" s="193">
        <f>'Site Information'!C244</f>
        <v>0</v>
      </c>
      <c r="K240" s="193">
        <f>'Site Information'!D244</f>
        <v>0</v>
      </c>
      <c r="L240" s="193">
        <f>'Site Information'!E244</f>
        <v>0</v>
      </c>
      <c r="M240" s="237"/>
      <c r="N240" s="237"/>
      <c r="O240" s="237"/>
      <c r="P240" s="237"/>
      <c r="Q240" s="237"/>
      <c r="R240" s="193">
        <f>'Site Information'!F244</f>
        <v>0</v>
      </c>
      <c r="S240" s="237"/>
      <c r="T240" s="237"/>
      <c r="U240" s="237"/>
      <c r="V240" s="237"/>
      <c r="W240" s="237"/>
      <c r="X240" s="237"/>
      <c r="Y240" s="237"/>
      <c r="Z240" s="237"/>
      <c r="AA240" s="237"/>
      <c r="AB240" s="237"/>
      <c r="AC240" s="237"/>
      <c r="AD240" s="237"/>
      <c r="AE240" s="237"/>
      <c r="AF240" s="237"/>
      <c r="AG240" s="237"/>
      <c r="AI240" s="193"/>
      <c r="AJ240" s="193"/>
    </row>
    <row r="241" spans="2:36" x14ac:dyDescent="0.35">
      <c r="B241" s="193" t="e">
        <f>"2024"&amp;MATCH(Totals!D241,OrgType,0)&amp;"_"&amp;MATCH(Totals!E241,Organisations,0)&amp;"_"&amp;LEFT(Totals!F241,1)&amp;"_"&amp;LEFT(G241,1)&amp;"_"&amp;COUNTIF($G$3:G241,G241)</f>
        <v>#N/A</v>
      </c>
      <c r="C241" s="193">
        <v>2025</v>
      </c>
      <c r="D241" s="193">
        <f>Introduction!$D$7</f>
        <v>0</v>
      </c>
      <c r="E241" s="193">
        <f>Introduction!$D$8</f>
        <v>0</v>
      </c>
      <c r="F241" s="193" t="s">
        <v>488</v>
      </c>
      <c r="G241" s="193" t="s">
        <v>489</v>
      </c>
      <c r="H241" s="195">
        <f>'Site Information'!B245</f>
        <v>0</v>
      </c>
      <c r="I241" s="194"/>
      <c r="J241" s="193">
        <f>'Site Information'!C245</f>
        <v>0</v>
      </c>
      <c r="K241" s="193">
        <f>'Site Information'!D245</f>
        <v>0</v>
      </c>
      <c r="L241" s="193">
        <f>'Site Information'!E245</f>
        <v>0</v>
      </c>
      <c r="M241" s="237"/>
      <c r="N241" s="237"/>
      <c r="O241" s="237"/>
      <c r="P241" s="237"/>
      <c r="Q241" s="237"/>
      <c r="R241" s="193">
        <f>'Site Information'!F245</f>
        <v>0</v>
      </c>
      <c r="S241" s="237"/>
      <c r="T241" s="237"/>
      <c r="U241" s="237"/>
      <c r="V241" s="237"/>
      <c r="W241" s="237"/>
      <c r="X241" s="237"/>
      <c r="Y241" s="237"/>
      <c r="Z241" s="237"/>
      <c r="AA241" s="237"/>
      <c r="AB241" s="237"/>
      <c r="AC241" s="237"/>
      <c r="AD241" s="237"/>
      <c r="AE241" s="237"/>
      <c r="AF241" s="237"/>
      <c r="AG241" s="237"/>
      <c r="AI241" s="193"/>
      <c r="AJ241" s="193"/>
    </row>
    <row r="242" spans="2:36" x14ac:dyDescent="0.35">
      <c r="B242" s="193" t="e">
        <f>"2024"&amp;MATCH(Totals!D242,OrgType,0)&amp;"_"&amp;MATCH(Totals!E242,Organisations,0)&amp;"_"&amp;LEFT(Totals!F242,1)&amp;"_"&amp;LEFT(G242,1)&amp;"_"&amp;COUNTIF($G$3:G242,G242)</f>
        <v>#N/A</v>
      </c>
      <c r="C242" s="193">
        <v>2025</v>
      </c>
      <c r="D242" s="193">
        <f>Introduction!$D$7</f>
        <v>0</v>
      </c>
      <c r="E242" s="193">
        <f>Introduction!$D$8</f>
        <v>0</v>
      </c>
      <c r="F242" s="193" t="s">
        <v>488</v>
      </c>
      <c r="G242" s="193" t="s">
        <v>489</v>
      </c>
      <c r="H242" s="195">
        <f>'Site Information'!B246</f>
        <v>0</v>
      </c>
      <c r="I242" s="194"/>
      <c r="J242" s="193">
        <f>'Site Information'!C246</f>
        <v>0</v>
      </c>
      <c r="K242" s="193">
        <f>'Site Information'!D246</f>
        <v>0</v>
      </c>
      <c r="L242" s="193">
        <f>'Site Information'!E246</f>
        <v>0</v>
      </c>
      <c r="M242" s="237"/>
      <c r="N242" s="237"/>
      <c r="O242" s="237"/>
      <c r="P242" s="237"/>
      <c r="Q242" s="237"/>
      <c r="R242" s="193">
        <f>'Site Information'!F246</f>
        <v>0</v>
      </c>
      <c r="S242" s="237"/>
      <c r="T242" s="237"/>
      <c r="U242" s="237"/>
      <c r="V242" s="237"/>
      <c r="W242" s="237"/>
      <c r="X242" s="237"/>
      <c r="Y242" s="237"/>
      <c r="Z242" s="237"/>
      <c r="AA242" s="237"/>
      <c r="AB242" s="237"/>
      <c r="AC242" s="237"/>
      <c r="AD242" s="237"/>
      <c r="AE242" s="237"/>
      <c r="AF242" s="237"/>
      <c r="AG242" s="237"/>
      <c r="AI242" s="193"/>
      <c r="AJ242" s="193"/>
    </row>
    <row r="243" spans="2:36" x14ac:dyDescent="0.35">
      <c r="B243" s="193" t="e">
        <f>"2024"&amp;MATCH(Totals!D243,OrgType,0)&amp;"_"&amp;MATCH(Totals!E243,Organisations,0)&amp;"_"&amp;LEFT(Totals!F243,1)&amp;"_"&amp;LEFT(G243,1)&amp;"_"&amp;COUNTIF($G$3:G243,G243)</f>
        <v>#N/A</v>
      </c>
      <c r="C243" s="193">
        <v>2025</v>
      </c>
      <c r="D243" s="193">
        <f>Introduction!$D$7</f>
        <v>0</v>
      </c>
      <c r="E243" s="193">
        <f>Introduction!$D$8</f>
        <v>0</v>
      </c>
      <c r="F243" s="193" t="s">
        <v>488</v>
      </c>
      <c r="G243" s="193" t="s">
        <v>489</v>
      </c>
      <c r="H243" s="195">
        <f>'Site Information'!B247</f>
        <v>0</v>
      </c>
      <c r="I243" s="194"/>
      <c r="J243" s="193">
        <f>'Site Information'!C247</f>
        <v>0</v>
      </c>
      <c r="K243" s="193">
        <f>'Site Information'!D247</f>
        <v>0</v>
      </c>
      <c r="L243" s="193">
        <f>'Site Information'!E247</f>
        <v>0</v>
      </c>
      <c r="M243" s="237"/>
      <c r="N243" s="237"/>
      <c r="O243" s="237"/>
      <c r="P243" s="237"/>
      <c r="Q243" s="237"/>
      <c r="R243" s="193">
        <f>'Site Information'!F247</f>
        <v>0</v>
      </c>
      <c r="S243" s="237"/>
      <c r="T243" s="237"/>
      <c r="U243" s="237"/>
      <c r="V243" s="237"/>
      <c r="W243" s="237"/>
      <c r="X243" s="237"/>
      <c r="Y243" s="237"/>
      <c r="Z243" s="237"/>
      <c r="AA243" s="237"/>
      <c r="AB243" s="237"/>
      <c r="AC243" s="237"/>
      <c r="AD243" s="237"/>
      <c r="AE243" s="237"/>
      <c r="AF243" s="237"/>
      <c r="AG243" s="237"/>
      <c r="AI243" s="193"/>
      <c r="AJ243" s="193"/>
    </row>
    <row r="244" spans="2:36" x14ac:dyDescent="0.35">
      <c r="B244" s="193" t="e">
        <f>"2024"&amp;MATCH(Totals!D244,OrgType,0)&amp;"_"&amp;MATCH(Totals!E244,Organisations,0)&amp;"_"&amp;LEFT(Totals!F244,1)&amp;"_"&amp;LEFT(G244,1)&amp;"_"&amp;COUNTIF($G$3:G244,G244)</f>
        <v>#N/A</v>
      </c>
      <c r="C244" s="193">
        <v>2025</v>
      </c>
      <c r="D244" s="193">
        <f>Introduction!$D$7</f>
        <v>0</v>
      </c>
      <c r="E244" s="193">
        <f>Introduction!$D$8</f>
        <v>0</v>
      </c>
      <c r="F244" s="193" t="s">
        <v>488</v>
      </c>
      <c r="G244" s="193" t="s">
        <v>489</v>
      </c>
      <c r="H244" s="195">
        <f>'Site Information'!B248</f>
        <v>0</v>
      </c>
      <c r="I244" s="194"/>
      <c r="J244" s="193">
        <f>'Site Information'!C248</f>
        <v>0</v>
      </c>
      <c r="K244" s="193">
        <f>'Site Information'!D248</f>
        <v>0</v>
      </c>
      <c r="L244" s="193">
        <f>'Site Information'!E248</f>
        <v>0</v>
      </c>
      <c r="M244" s="237"/>
      <c r="N244" s="237"/>
      <c r="O244" s="237"/>
      <c r="P244" s="237"/>
      <c r="Q244" s="237"/>
      <c r="R244" s="193">
        <f>'Site Information'!F248</f>
        <v>0</v>
      </c>
      <c r="S244" s="237"/>
      <c r="T244" s="237"/>
      <c r="U244" s="237"/>
      <c r="V244" s="237"/>
      <c r="W244" s="237"/>
      <c r="X244" s="237"/>
      <c r="Y244" s="237"/>
      <c r="Z244" s="237"/>
      <c r="AA244" s="237"/>
      <c r="AB244" s="237"/>
      <c r="AC244" s="237"/>
      <c r="AD244" s="237"/>
      <c r="AE244" s="237"/>
      <c r="AF244" s="237"/>
      <c r="AG244" s="237"/>
      <c r="AI244" s="193"/>
      <c r="AJ244" s="193"/>
    </row>
    <row r="245" spans="2:36" x14ac:dyDescent="0.35">
      <c r="B245" s="193" t="e">
        <f>"2024"&amp;MATCH(Totals!D245,OrgType,0)&amp;"_"&amp;MATCH(Totals!E245,Organisations,0)&amp;"_"&amp;LEFT(Totals!F245,1)&amp;"_"&amp;LEFT(G245,1)&amp;"_"&amp;COUNTIF($G$3:G245,G245)</f>
        <v>#N/A</v>
      </c>
      <c r="C245" s="193">
        <v>2025</v>
      </c>
      <c r="D245" s="193">
        <f>Introduction!$D$7</f>
        <v>0</v>
      </c>
      <c r="E245" s="193">
        <f>Introduction!$D$8</f>
        <v>0</v>
      </c>
      <c r="F245" s="193" t="s">
        <v>488</v>
      </c>
      <c r="G245" s="193" t="s">
        <v>489</v>
      </c>
      <c r="H245" s="195">
        <f>'Site Information'!B249</f>
        <v>0</v>
      </c>
      <c r="I245" s="194"/>
      <c r="J245" s="193">
        <f>'Site Information'!C249</f>
        <v>0</v>
      </c>
      <c r="K245" s="193">
        <f>'Site Information'!D249</f>
        <v>0</v>
      </c>
      <c r="L245" s="193">
        <f>'Site Information'!E249</f>
        <v>0</v>
      </c>
      <c r="M245" s="237"/>
      <c r="N245" s="237"/>
      <c r="O245" s="237"/>
      <c r="P245" s="237"/>
      <c r="Q245" s="237"/>
      <c r="R245" s="193">
        <f>'Site Information'!F249</f>
        <v>0</v>
      </c>
      <c r="S245" s="237"/>
      <c r="T245" s="237"/>
      <c r="U245" s="237"/>
      <c r="V245" s="237"/>
      <c r="W245" s="237"/>
      <c r="X245" s="237"/>
      <c r="Y245" s="237"/>
      <c r="Z245" s="237"/>
      <c r="AA245" s="237"/>
      <c r="AB245" s="237"/>
      <c r="AC245" s="237"/>
      <c r="AD245" s="237"/>
      <c r="AE245" s="237"/>
      <c r="AF245" s="237"/>
      <c r="AG245" s="237"/>
      <c r="AI245" s="193"/>
      <c r="AJ245" s="193"/>
    </row>
    <row r="246" spans="2:36" x14ac:dyDescent="0.35">
      <c r="B246" s="193" t="e">
        <f>"2024"&amp;MATCH(Totals!D246,OrgType,0)&amp;"_"&amp;MATCH(Totals!E246,Organisations,0)&amp;"_"&amp;LEFT(Totals!F246,1)&amp;"_"&amp;LEFT(G246,1)&amp;"_"&amp;COUNTIF($G$3:G246,G246)</f>
        <v>#N/A</v>
      </c>
      <c r="C246" s="193">
        <v>2025</v>
      </c>
      <c r="D246" s="193">
        <f>Introduction!$D$7</f>
        <v>0</v>
      </c>
      <c r="E246" s="193">
        <f>Introduction!$D$8</f>
        <v>0</v>
      </c>
      <c r="F246" s="193" t="s">
        <v>488</v>
      </c>
      <c r="G246" s="193" t="s">
        <v>489</v>
      </c>
      <c r="H246" s="195">
        <f>'Site Information'!B250</f>
        <v>0</v>
      </c>
      <c r="I246" s="194"/>
      <c r="J246" s="193">
        <f>'Site Information'!C250</f>
        <v>0</v>
      </c>
      <c r="K246" s="193">
        <f>'Site Information'!D250</f>
        <v>0</v>
      </c>
      <c r="L246" s="193">
        <f>'Site Information'!E250</f>
        <v>0</v>
      </c>
      <c r="M246" s="237"/>
      <c r="N246" s="237"/>
      <c r="O246" s="237"/>
      <c r="P246" s="237"/>
      <c r="Q246" s="237"/>
      <c r="R246" s="193">
        <f>'Site Information'!F250</f>
        <v>0</v>
      </c>
      <c r="S246" s="237"/>
      <c r="T246" s="237"/>
      <c r="U246" s="237"/>
      <c r="V246" s="237"/>
      <c r="W246" s="237"/>
      <c r="X246" s="237"/>
      <c r="Y246" s="237"/>
      <c r="Z246" s="237"/>
      <c r="AA246" s="237"/>
      <c r="AB246" s="237"/>
      <c r="AC246" s="237"/>
      <c r="AD246" s="237"/>
      <c r="AE246" s="237"/>
      <c r="AF246" s="237"/>
      <c r="AG246" s="237"/>
      <c r="AI246" s="193"/>
      <c r="AJ246" s="193"/>
    </row>
    <row r="247" spans="2:36" x14ac:dyDescent="0.35">
      <c r="B247" s="193" t="e">
        <f>"2024"&amp;MATCH(Totals!D247,OrgType,0)&amp;"_"&amp;MATCH(Totals!E247,Organisations,0)&amp;"_"&amp;LEFT(Totals!F247,1)&amp;"_"&amp;LEFT(G247,1)&amp;"_"&amp;COUNTIF($G$3:G247,G247)</f>
        <v>#N/A</v>
      </c>
      <c r="C247" s="193">
        <v>2025</v>
      </c>
      <c r="D247" s="193">
        <f>Introduction!$D$7</f>
        <v>0</v>
      </c>
      <c r="E247" s="193">
        <f>Introduction!$D$8</f>
        <v>0</v>
      </c>
      <c r="F247" s="193" t="s">
        <v>488</v>
      </c>
      <c r="G247" s="193" t="s">
        <v>489</v>
      </c>
      <c r="H247" s="195">
        <f>'Site Information'!B251</f>
        <v>0</v>
      </c>
      <c r="I247" s="194"/>
      <c r="J247" s="193">
        <f>'Site Information'!C251</f>
        <v>0</v>
      </c>
      <c r="K247" s="193">
        <f>'Site Information'!D251</f>
        <v>0</v>
      </c>
      <c r="L247" s="193">
        <f>'Site Information'!E251</f>
        <v>0</v>
      </c>
      <c r="M247" s="237"/>
      <c r="N247" s="237"/>
      <c r="O247" s="237"/>
      <c r="P247" s="237"/>
      <c r="Q247" s="237"/>
      <c r="R247" s="193">
        <f>'Site Information'!F251</f>
        <v>0</v>
      </c>
      <c r="S247" s="237"/>
      <c r="T247" s="237"/>
      <c r="U247" s="237"/>
      <c r="V247" s="237"/>
      <c r="W247" s="237"/>
      <c r="X247" s="237"/>
      <c r="Y247" s="237"/>
      <c r="Z247" s="237"/>
      <c r="AA247" s="237"/>
      <c r="AB247" s="237"/>
      <c r="AC247" s="237"/>
      <c r="AD247" s="237"/>
      <c r="AE247" s="237"/>
      <c r="AF247" s="237"/>
      <c r="AG247" s="237"/>
      <c r="AI247" s="193"/>
      <c r="AJ247" s="193"/>
    </row>
    <row r="248" spans="2:36" x14ac:dyDescent="0.35">
      <c r="B248" s="193" t="e">
        <f>"2024"&amp;MATCH(Totals!D248,OrgType,0)&amp;"_"&amp;MATCH(Totals!E248,Organisations,0)&amp;"_"&amp;LEFT(Totals!F248,1)&amp;"_"&amp;LEFT(G248,1)&amp;"_"&amp;COUNTIF($G$3:G248,G248)</f>
        <v>#N/A</v>
      </c>
      <c r="C248" s="193">
        <v>2025</v>
      </c>
      <c r="D248" s="193">
        <f>Introduction!$D$7</f>
        <v>0</v>
      </c>
      <c r="E248" s="193">
        <f>Introduction!$D$8</f>
        <v>0</v>
      </c>
      <c r="F248" s="193" t="s">
        <v>488</v>
      </c>
      <c r="G248" s="193" t="s">
        <v>489</v>
      </c>
      <c r="H248" s="195">
        <f>'Site Information'!B252</f>
        <v>0</v>
      </c>
      <c r="I248" s="194"/>
      <c r="J248" s="193">
        <f>'Site Information'!C252</f>
        <v>0</v>
      </c>
      <c r="K248" s="193">
        <f>'Site Information'!D252</f>
        <v>0</v>
      </c>
      <c r="L248" s="193">
        <f>'Site Information'!E252</f>
        <v>0</v>
      </c>
      <c r="M248" s="237"/>
      <c r="N248" s="237"/>
      <c r="O248" s="237"/>
      <c r="P248" s="237"/>
      <c r="Q248" s="237"/>
      <c r="R248" s="193">
        <f>'Site Information'!F252</f>
        <v>0</v>
      </c>
      <c r="S248" s="237"/>
      <c r="T248" s="237"/>
      <c r="U248" s="237"/>
      <c r="V248" s="237"/>
      <c r="W248" s="237"/>
      <c r="X248" s="237"/>
      <c r="Y248" s="237"/>
      <c r="Z248" s="237"/>
      <c r="AA248" s="237"/>
      <c r="AB248" s="237"/>
      <c r="AC248" s="237"/>
      <c r="AD248" s="237"/>
      <c r="AE248" s="237"/>
      <c r="AF248" s="237"/>
      <c r="AG248" s="237"/>
      <c r="AI248" s="193"/>
      <c r="AJ248" s="193"/>
    </row>
    <row r="249" spans="2:36" x14ac:dyDescent="0.35">
      <c r="B249" s="193" t="e">
        <f>"2024"&amp;MATCH(Totals!D249,OrgType,0)&amp;"_"&amp;MATCH(Totals!E249,Organisations,0)&amp;"_"&amp;LEFT(Totals!F249,1)&amp;"_"&amp;LEFT(G249,1)&amp;"_"&amp;COUNTIF($G$3:G249,G249)</f>
        <v>#N/A</v>
      </c>
      <c r="C249" s="193">
        <v>2025</v>
      </c>
      <c r="D249" s="193">
        <f>Introduction!$D$7</f>
        <v>0</v>
      </c>
      <c r="E249" s="193">
        <f>Introduction!$D$8</f>
        <v>0</v>
      </c>
      <c r="F249" s="193" t="s">
        <v>488</v>
      </c>
      <c r="G249" s="193" t="s">
        <v>489</v>
      </c>
      <c r="H249" s="195">
        <f>'Site Information'!B253</f>
        <v>0</v>
      </c>
      <c r="I249" s="194"/>
      <c r="J249" s="193">
        <f>'Site Information'!C253</f>
        <v>0</v>
      </c>
      <c r="K249" s="193">
        <f>'Site Information'!D253</f>
        <v>0</v>
      </c>
      <c r="L249" s="193">
        <f>'Site Information'!E253</f>
        <v>0</v>
      </c>
      <c r="M249" s="237"/>
      <c r="N249" s="237"/>
      <c r="O249" s="237"/>
      <c r="P249" s="237"/>
      <c r="Q249" s="237"/>
      <c r="R249" s="193">
        <f>'Site Information'!F253</f>
        <v>0</v>
      </c>
      <c r="S249" s="237"/>
      <c r="T249" s="237"/>
      <c r="U249" s="237"/>
      <c r="V249" s="237"/>
      <c r="W249" s="237"/>
      <c r="X249" s="237"/>
      <c r="Y249" s="237"/>
      <c r="Z249" s="237"/>
      <c r="AA249" s="237"/>
      <c r="AB249" s="237"/>
      <c r="AC249" s="237"/>
      <c r="AD249" s="237"/>
      <c r="AE249" s="237"/>
      <c r="AF249" s="237"/>
      <c r="AG249" s="237"/>
      <c r="AI249" s="193"/>
      <c r="AJ249" s="193"/>
    </row>
    <row r="250" spans="2:36" x14ac:dyDescent="0.35">
      <c r="B250" s="193" t="e">
        <f>"2024"&amp;MATCH(Totals!D250,OrgType,0)&amp;"_"&amp;MATCH(Totals!E250,Organisations,0)&amp;"_"&amp;LEFT(Totals!F250,1)&amp;"_"&amp;LEFT(G250,1)&amp;"_"&amp;COUNTIF($G$3:G250,G250)</f>
        <v>#N/A</v>
      </c>
      <c r="C250" s="193">
        <v>2025</v>
      </c>
      <c r="D250" s="193">
        <f>Introduction!$D$7</f>
        <v>0</v>
      </c>
      <c r="E250" s="193">
        <f>Introduction!$D$8</f>
        <v>0</v>
      </c>
      <c r="F250" s="193" t="s">
        <v>488</v>
      </c>
      <c r="G250" s="193" t="s">
        <v>489</v>
      </c>
      <c r="H250" s="195">
        <f>'Site Information'!B254</f>
        <v>0</v>
      </c>
      <c r="I250" s="194"/>
      <c r="J250" s="193">
        <f>'Site Information'!C254</f>
        <v>0</v>
      </c>
      <c r="K250" s="193">
        <f>'Site Information'!D254</f>
        <v>0</v>
      </c>
      <c r="L250" s="193">
        <f>'Site Information'!E254</f>
        <v>0</v>
      </c>
      <c r="M250" s="237"/>
      <c r="N250" s="237"/>
      <c r="O250" s="237"/>
      <c r="P250" s="237"/>
      <c r="Q250" s="237"/>
      <c r="R250" s="193">
        <f>'Site Information'!F254</f>
        <v>0</v>
      </c>
      <c r="S250" s="237"/>
      <c r="T250" s="237"/>
      <c r="U250" s="237"/>
      <c r="V250" s="237"/>
      <c r="W250" s="237"/>
      <c r="X250" s="237"/>
      <c r="Y250" s="237"/>
      <c r="Z250" s="237"/>
      <c r="AA250" s="237"/>
      <c r="AB250" s="237"/>
      <c r="AC250" s="237"/>
      <c r="AD250" s="237"/>
      <c r="AE250" s="237"/>
      <c r="AF250" s="237"/>
      <c r="AG250" s="237"/>
      <c r="AI250" s="193"/>
      <c r="AJ250" s="193"/>
    </row>
    <row r="251" spans="2:36" x14ac:dyDescent="0.35">
      <c r="B251" s="193" t="e">
        <f>"2024"&amp;MATCH(Totals!D251,OrgType,0)&amp;"_"&amp;MATCH(Totals!E251,Organisations,0)&amp;"_"&amp;LEFT(Totals!F251,1)&amp;"_"&amp;LEFT(G251,1)&amp;"_"&amp;COUNTIF($G$3:G251,G251)</f>
        <v>#N/A</v>
      </c>
      <c r="C251" s="193">
        <v>2025</v>
      </c>
      <c r="D251" s="193">
        <f>Introduction!$D$7</f>
        <v>0</v>
      </c>
      <c r="E251" s="193">
        <f>Introduction!$D$8</f>
        <v>0</v>
      </c>
      <c r="F251" s="193" t="s">
        <v>488</v>
      </c>
      <c r="G251" s="193" t="s">
        <v>489</v>
      </c>
      <c r="H251" s="195">
        <f>'Site Information'!B255</f>
        <v>0</v>
      </c>
      <c r="I251" s="194"/>
      <c r="J251" s="193">
        <f>'Site Information'!C255</f>
        <v>0</v>
      </c>
      <c r="K251" s="193">
        <f>'Site Information'!D255</f>
        <v>0</v>
      </c>
      <c r="L251" s="193">
        <f>'Site Information'!E255</f>
        <v>0</v>
      </c>
      <c r="M251" s="237"/>
      <c r="N251" s="237"/>
      <c r="O251" s="237"/>
      <c r="P251" s="237"/>
      <c r="Q251" s="237"/>
      <c r="R251" s="193">
        <f>'Site Information'!F255</f>
        <v>0</v>
      </c>
      <c r="S251" s="237"/>
      <c r="T251" s="237"/>
      <c r="U251" s="237"/>
      <c r="V251" s="237"/>
      <c r="W251" s="237"/>
      <c r="X251" s="237"/>
      <c r="Y251" s="237"/>
      <c r="Z251" s="237"/>
      <c r="AA251" s="237"/>
      <c r="AB251" s="237"/>
      <c r="AC251" s="237"/>
      <c r="AD251" s="237"/>
      <c r="AE251" s="237"/>
      <c r="AF251" s="237"/>
      <c r="AG251" s="237"/>
      <c r="AI251" s="193"/>
      <c r="AJ251" s="193"/>
    </row>
    <row r="252" spans="2:36" x14ac:dyDescent="0.35">
      <c r="B252" s="193" t="e">
        <f>"2024"&amp;MATCH(Totals!D252,OrgType,0)&amp;"_"&amp;MATCH(Totals!E252,Organisations,0)&amp;"_"&amp;LEFT(Totals!F252,1)&amp;"_"&amp;LEFT(G252,1)&amp;"_"&amp;COUNTIF($G$3:G252,G252)</f>
        <v>#N/A</v>
      </c>
      <c r="C252" s="193">
        <v>2025</v>
      </c>
      <c r="D252" s="193">
        <f>Introduction!$D$7</f>
        <v>0</v>
      </c>
      <c r="E252" s="193">
        <f>Introduction!$D$8</f>
        <v>0</v>
      </c>
      <c r="F252" s="193" t="s">
        <v>488</v>
      </c>
      <c r="G252" s="193" t="s">
        <v>489</v>
      </c>
      <c r="H252" s="195">
        <f>'Site Information'!B256</f>
        <v>0</v>
      </c>
      <c r="I252" s="194"/>
      <c r="J252" s="193">
        <f>'Site Information'!C256</f>
        <v>0</v>
      </c>
      <c r="K252" s="193">
        <f>'Site Information'!D256</f>
        <v>0</v>
      </c>
      <c r="L252" s="193">
        <f>'Site Information'!E256</f>
        <v>0</v>
      </c>
      <c r="M252" s="237"/>
      <c r="N252" s="237"/>
      <c r="O252" s="237"/>
      <c r="P252" s="237"/>
      <c r="Q252" s="237"/>
      <c r="R252" s="193">
        <f>'Site Information'!F256</f>
        <v>0</v>
      </c>
      <c r="S252" s="237"/>
      <c r="T252" s="237"/>
      <c r="U252" s="237"/>
      <c r="V252" s="237"/>
      <c r="W252" s="237"/>
      <c r="X252" s="237"/>
      <c r="Y252" s="237"/>
      <c r="Z252" s="237"/>
      <c r="AA252" s="237"/>
      <c r="AB252" s="237"/>
      <c r="AC252" s="237"/>
      <c r="AD252" s="237"/>
      <c r="AE252" s="237"/>
      <c r="AF252" s="237"/>
      <c r="AG252" s="237"/>
      <c r="AI252" s="193"/>
      <c r="AJ252" s="193"/>
    </row>
    <row r="253" spans="2:36" x14ac:dyDescent="0.35">
      <c r="B253" s="193" t="e">
        <f>"2024"&amp;MATCH(Totals!D253,OrgType,0)&amp;"_"&amp;MATCH(Totals!E253,Organisations,0)&amp;"_"&amp;LEFT(Totals!F253,1)&amp;"_"&amp;LEFT(G253,1)&amp;"_"&amp;COUNTIF($G$3:G253,G253)</f>
        <v>#N/A</v>
      </c>
      <c r="C253" s="193">
        <v>2025</v>
      </c>
      <c r="D253" s="193">
        <f>Introduction!$D$7</f>
        <v>0</v>
      </c>
      <c r="E253" s="193">
        <f>Introduction!$D$8</f>
        <v>0</v>
      </c>
      <c r="F253" s="193" t="s">
        <v>488</v>
      </c>
      <c r="G253" s="193" t="s">
        <v>489</v>
      </c>
      <c r="H253" s="195">
        <f>'Site Information'!B257</f>
        <v>0</v>
      </c>
      <c r="I253" s="194"/>
      <c r="J253" s="193">
        <f>'Site Information'!C257</f>
        <v>0</v>
      </c>
      <c r="K253" s="193">
        <f>'Site Information'!D257</f>
        <v>0</v>
      </c>
      <c r="L253" s="193">
        <f>'Site Information'!E257</f>
        <v>0</v>
      </c>
      <c r="M253" s="237"/>
      <c r="N253" s="237"/>
      <c r="O253" s="237"/>
      <c r="P253" s="237"/>
      <c r="Q253" s="237"/>
      <c r="R253" s="193">
        <f>'Site Information'!F257</f>
        <v>0</v>
      </c>
      <c r="S253" s="237"/>
      <c r="T253" s="237"/>
      <c r="U253" s="237"/>
      <c r="V253" s="237"/>
      <c r="W253" s="237"/>
      <c r="X253" s="237"/>
      <c r="Y253" s="237"/>
      <c r="Z253" s="237"/>
      <c r="AA253" s="237"/>
      <c r="AB253" s="237"/>
      <c r="AC253" s="237"/>
      <c r="AD253" s="237"/>
      <c r="AE253" s="237"/>
      <c r="AF253" s="237"/>
      <c r="AG253" s="237"/>
      <c r="AI253" s="193"/>
      <c r="AJ253" s="193"/>
    </row>
    <row r="254" spans="2:36" x14ac:dyDescent="0.35">
      <c r="B254" s="193" t="e">
        <f>"2024"&amp;MATCH(Totals!D254,OrgType,0)&amp;"_"&amp;MATCH(Totals!E254,Organisations,0)&amp;"_"&amp;LEFT(Totals!F254,1)&amp;"_"&amp;LEFT(G254,1)&amp;"_"&amp;COUNTIF($G$3:G254,G254)</f>
        <v>#N/A</v>
      </c>
      <c r="C254" s="193">
        <v>2025</v>
      </c>
      <c r="D254" s="193">
        <f>Introduction!$D$7</f>
        <v>0</v>
      </c>
      <c r="E254" s="193">
        <f>Introduction!$D$8</f>
        <v>0</v>
      </c>
      <c r="F254" s="193" t="s">
        <v>488</v>
      </c>
      <c r="G254" s="193" t="s">
        <v>489</v>
      </c>
      <c r="H254" s="195">
        <f>'Site Information'!B258</f>
        <v>0</v>
      </c>
      <c r="I254" s="194"/>
      <c r="J254" s="193">
        <f>'Site Information'!C258</f>
        <v>0</v>
      </c>
      <c r="K254" s="193">
        <f>'Site Information'!D258</f>
        <v>0</v>
      </c>
      <c r="L254" s="193">
        <f>'Site Information'!E258</f>
        <v>0</v>
      </c>
      <c r="M254" s="237"/>
      <c r="N254" s="237"/>
      <c r="O254" s="237"/>
      <c r="P254" s="237"/>
      <c r="Q254" s="237"/>
      <c r="R254" s="193">
        <f>'Site Information'!F258</f>
        <v>0</v>
      </c>
      <c r="S254" s="237"/>
      <c r="T254" s="237"/>
      <c r="U254" s="237"/>
      <c r="V254" s="237"/>
      <c r="W254" s="237"/>
      <c r="X254" s="237"/>
      <c r="Y254" s="237"/>
      <c r="Z254" s="237"/>
      <c r="AA254" s="237"/>
      <c r="AB254" s="237"/>
      <c r="AC254" s="237"/>
      <c r="AD254" s="237"/>
      <c r="AE254" s="237"/>
      <c r="AF254" s="237"/>
      <c r="AG254" s="237"/>
      <c r="AI254" s="193"/>
      <c r="AJ254" s="193"/>
    </row>
    <row r="255" spans="2:36" x14ac:dyDescent="0.35">
      <c r="B255" s="193" t="e">
        <f>"2024"&amp;MATCH(Totals!D255,OrgType,0)&amp;"_"&amp;MATCH(Totals!E255,Organisations,0)&amp;"_"&amp;LEFT(Totals!F255,1)&amp;"_"&amp;LEFT(G255,1)&amp;"_"&amp;COUNTIF($G$3:G255,G255)</f>
        <v>#N/A</v>
      </c>
      <c r="C255" s="193">
        <v>2025</v>
      </c>
      <c r="D255" s="193">
        <f>Introduction!$D$7</f>
        <v>0</v>
      </c>
      <c r="E255" s="193">
        <f>Introduction!$D$8</f>
        <v>0</v>
      </c>
      <c r="F255" s="193" t="s">
        <v>488</v>
      </c>
      <c r="G255" s="193" t="s">
        <v>489</v>
      </c>
      <c r="H255" s="195">
        <f>'Site Information'!B259</f>
        <v>0</v>
      </c>
      <c r="I255" s="194"/>
      <c r="J255" s="193">
        <f>'Site Information'!C259</f>
        <v>0</v>
      </c>
      <c r="K255" s="193">
        <f>'Site Information'!D259</f>
        <v>0</v>
      </c>
      <c r="L255" s="193">
        <f>'Site Information'!E259</f>
        <v>0</v>
      </c>
      <c r="M255" s="237"/>
      <c r="N255" s="237"/>
      <c r="O255" s="237"/>
      <c r="P255" s="237"/>
      <c r="Q255" s="237"/>
      <c r="R255" s="193">
        <f>'Site Information'!F259</f>
        <v>0</v>
      </c>
      <c r="S255" s="237"/>
      <c r="T255" s="237"/>
      <c r="U255" s="237"/>
      <c r="V255" s="237"/>
      <c r="W255" s="237"/>
      <c r="X255" s="237"/>
      <c r="Y255" s="237"/>
      <c r="Z255" s="237"/>
      <c r="AA255" s="237"/>
      <c r="AB255" s="237"/>
      <c r="AC255" s="237"/>
      <c r="AD255" s="237"/>
      <c r="AE255" s="237"/>
      <c r="AF255" s="237"/>
      <c r="AG255" s="237"/>
      <c r="AI255" s="193"/>
      <c r="AJ255" s="193"/>
    </row>
    <row r="256" spans="2:36" x14ac:dyDescent="0.35">
      <c r="B256" s="193" t="e">
        <f>"2024"&amp;MATCH(Totals!D256,OrgType,0)&amp;"_"&amp;MATCH(Totals!E256,Organisations,0)&amp;"_"&amp;LEFT(Totals!F256,1)&amp;"_"&amp;LEFT(G256,1)&amp;"_"&amp;COUNTIF($G$3:G256,G256)</f>
        <v>#N/A</v>
      </c>
      <c r="C256" s="193">
        <v>2025</v>
      </c>
      <c r="D256" s="193">
        <f>Introduction!$D$7</f>
        <v>0</v>
      </c>
      <c r="E256" s="193">
        <f>Introduction!$D$8</f>
        <v>0</v>
      </c>
      <c r="F256" s="193" t="s">
        <v>488</v>
      </c>
      <c r="G256" s="193" t="s">
        <v>489</v>
      </c>
      <c r="H256" s="195">
        <f>'Site Information'!B260</f>
        <v>0</v>
      </c>
      <c r="I256" s="194"/>
      <c r="J256" s="193">
        <f>'Site Information'!C260</f>
        <v>0</v>
      </c>
      <c r="K256" s="193">
        <f>'Site Information'!D260</f>
        <v>0</v>
      </c>
      <c r="L256" s="193">
        <f>'Site Information'!E260</f>
        <v>0</v>
      </c>
      <c r="M256" s="237"/>
      <c r="N256" s="237"/>
      <c r="O256" s="237"/>
      <c r="P256" s="237"/>
      <c r="Q256" s="237"/>
      <c r="R256" s="193">
        <f>'Site Information'!F260</f>
        <v>0</v>
      </c>
      <c r="S256" s="237"/>
      <c r="T256" s="237"/>
      <c r="U256" s="237"/>
      <c r="V256" s="237"/>
      <c r="W256" s="237"/>
      <c r="X256" s="237"/>
      <c r="Y256" s="237"/>
      <c r="Z256" s="237"/>
      <c r="AA256" s="237"/>
      <c r="AB256" s="237"/>
      <c r="AC256" s="237"/>
      <c r="AD256" s="237"/>
      <c r="AE256" s="237"/>
      <c r="AF256" s="237"/>
      <c r="AG256" s="237"/>
      <c r="AI256" s="193"/>
      <c r="AJ256" s="193"/>
    </row>
    <row r="257" spans="2:36" x14ac:dyDescent="0.35">
      <c r="B257" s="193" t="e">
        <f>"2024"&amp;MATCH(Totals!D257,OrgType,0)&amp;"_"&amp;MATCH(Totals!E257,Organisations,0)&amp;"_"&amp;LEFT(Totals!F257,1)&amp;"_"&amp;LEFT(G257,1)&amp;"_"&amp;COUNTIF($G$3:G257,G257)</f>
        <v>#N/A</v>
      </c>
      <c r="C257" s="193">
        <v>2025</v>
      </c>
      <c r="D257" s="193">
        <f>Introduction!$D$7</f>
        <v>0</v>
      </c>
      <c r="E257" s="193">
        <f>Introduction!$D$8</f>
        <v>0</v>
      </c>
      <c r="F257" s="193" t="s">
        <v>488</v>
      </c>
      <c r="G257" s="193" t="s">
        <v>489</v>
      </c>
      <c r="H257" s="195">
        <f>'Site Information'!B261</f>
        <v>0</v>
      </c>
      <c r="I257" s="194"/>
      <c r="J257" s="193">
        <f>'Site Information'!C261</f>
        <v>0</v>
      </c>
      <c r="K257" s="193">
        <f>'Site Information'!D261</f>
        <v>0</v>
      </c>
      <c r="L257" s="193">
        <f>'Site Information'!E261</f>
        <v>0</v>
      </c>
      <c r="M257" s="237"/>
      <c r="N257" s="237"/>
      <c r="O257" s="237"/>
      <c r="P257" s="237"/>
      <c r="Q257" s="237"/>
      <c r="R257" s="193">
        <f>'Site Information'!F261</f>
        <v>0</v>
      </c>
      <c r="S257" s="237"/>
      <c r="T257" s="237"/>
      <c r="U257" s="237"/>
      <c r="V257" s="237"/>
      <c r="W257" s="237"/>
      <c r="X257" s="237"/>
      <c r="Y257" s="237"/>
      <c r="Z257" s="237"/>
      <c r="AA257" s="237"/>
      <c r="AB257" s="237"/>
      <c r="AC257" s="237"/>
      <c r="AD257" s="237"/>
      <c r="AE257" s="237"/>
      <c r="AF257" s="237"/>
      <c r="AG257" s="237"/>
      <c r="AI257" s="193"/>
      <c r="AJ257" s="193"/>
    </row>
    <row r="258" spans="2:36" x14ac:dyDescent="0.35">
      <c r="B258" s="193" t="e">
        <f>"2024"&amp;MATCH(Totals!D258,OrgType,0)&amp;"_"&amp;MATCH(Totals!E258,Organisations,0)&amp;"_"&amp;LEFT(Totals!F258,1)&amp;"_"&amp;LEFT(G258,1)&amp;"_"&amp;COUNTIF($G$3:G258,G258)</f>
        <v>#N/A</v>
      </c>
      <c r="C258" s="193">
        <v>2025</v>
      </c>
      <c r="D258" s="193">
        <f>Introduction!$D$7</f>
        <v>0</v>
      </c>
      <c r="E258" s="193">
        <f>Introduction!$D$8</f>
        <v>0</v>
      </c>
      <c r="F258" s="193" t="s">
        <v>488</v>
      </c>
      <c r="G258" s="193" t="s">
        <v>489</v>
      </c>
      <c r="H258" s="195">
        <f>'Site Information'!B262</f>
        <v>0</v>
      </c>
      <c r="I258" s="194"/>
      <c r="J258" s="193">
        <f>'Site Information'!C262</f>
        <v>0</v>
      </c>
      <c r="K258" s="193">
        <f>'Site Information'!D262</f>
        <v>0</v>
      </c>
      <c r="L258" s="193">
        <f>'Site Information'!E262</f>
        <v>0</v>
      </c>
      <c r="M258" s="237"/>
      <c r="N258" s="237"/>
      <c r="O258" s="237"/>
      <c r="P258" s="237"/>
      <c r="Q258" s="237"/>
      <c r="R258" s="193">
        <f>'Site Information'!F262</f>
        <v>0</v>
      </c>
      <c r="S258" s="237"/>
      <c r="T258" s="237"/>
      <c r="U258" s="237"/>
      <c r="V258" s="237"/>
      <c r="W258" s="237"/>
      <c r="X258" s="237"/>
      <c r="Y258" s="237"/>
      <c r="Z258" s="237"/>
      <c r="AA258" s="237"/>
      <c r="AB258" s="237"/>
      <c r="AC258" s="237"/>
      <c r="AD258" s="237"/>
      <c r="AE258" s="237"/>
      <c r="AF258" s="237"/>
      <c r="AG258" s="237"/>
      <c r="AI258" s="193"/>
      <c r="AJ258" s="193"/>
    </row>
    <row r="259" spans="2:36" x14ac:dyDescent="0.35">
      <c r="B259" s="193" t="e">
        <f>"2024"&amp;MATCH(Totals!D259,OrgType,0)&amp;"_"&amp;MATCH(Totals!E259,Organisations,0)&amp;"_"&amp;LEFT(Totals!F259,1)&amp;"_"&amp;LEFT(G259,1)&amp;"_"&amp;COUNTIF($G$3:G259,G259)</f>
        <v>#N/A</v>
      </c>
      <c r="C259" s="193">
        <v>2025</v>
      </c>
      <c r="D259" s="193">
        <f>Introduction!$D$7</f>
        <v>0</v>
      </c>
      <c r="E259" s="193">
        <f>Introduction!$D$8</f>
        <v>0</v>
      </c>
      <c r="F259" s="193" t="s">
        <v>488</v>
      </c>
      <c r="G259" s="193" t="s">
        <v>489</v>
      </c>
      <c r="H259" s="195">
        <f>'Site Information'!B263</f>
        <v>0</v>
      </c>
      <c r="I259" s="194"/>
      <c r="J259" s="193">
        <f>'Site Information'!C263</f>
        <v>0</v>
      </c>
      <c r="K259" s="193">
        <f>'Site Information'!D263</f>
        <v>0</v>
      </c>
      <c r="L259" s="193">
        <f>'Site Information'!E263</f>
        <v>0</v>
      </c>
      <c r="M259" s="237"/>
      <c r="N259" s="237"/>
      <c r="O259" s="237"/>
      <c r="P259" s="237"/>
      <c r="Q259" s="237"/>
      <c r="R259" s="193">
        <f>'Site Information'!F263</f>
        <v>0</v>
      </c>
      <c r="S259" s="237"/>
      <c r="T259" s="237"/>
      <c r="U259" s="237"/>
      <c r="V259" s="237"/>
      <c r="W259" s="237"/>
      <c r="X259" s="237"/>
      <c r="Y259" s="237"/>
      <c r="Z259" s="237"/>
      <c r="AA259" s="237"/>
      <c r="AB259" s="237"/>
      <c r="AC259" s="237"/>
      <c r="AD259" s="237"/>
      <c r="AE259" s="237"/>
      <c r="AF259" s="237"/>
      <c r="AG259" s="237"/>
      <c r="AI259" s="193"/>
      <c r="AJ259" s="193"/>
    </row>
    <row r="260" spans="2:36" x14ac:dyDescent="0.35">
      <c r="B260" s="193" t="e">
        <f>"2024"&amp;MATCH(Totals!D260,OrgType,0)&amp;"_"&amp;MATCH(Totals!E260,Organisations,0)&amp;"_"&amp;LEFT(Totals!F260,1)&amp;"_"&amp;LEFT(G260,1)&amp;"_"&amp;COUNTIF($G$3:G260,G260)</f>
        <v>#N/A</v>
      </c>
      <c r="C260" s="193">
        <v>2025</v>
      </c>
      <c r="D260" s="193">
        <f>Introduction!$D$7</f>
        <v>0</v>
      </c>
      <c r="E260" s="193">
        <f>Introduction!$D$8</f>
        <v>0</v>
      </c>
      <c r="F260" s="193" t="s">
        <v>488</v>
      </c>
      <c r="G260" s="193" t="s">
        <v>489</v>
      </c>
      <c r="H260" s="195">
        <f>'Site Information'!B264</f>
        <v>0</v>
      </c>
      <c r="I260" s="194"/>
      <c r="J260" s="193">
        <f>'Site Information'!C264</f>
        <v>0</v>
      </c>
      <c r="K260" s="193">
        <f>'Site Information'!D264</f>
        <v>0</v>
      </c>
      <c r="L260" s="193">
        <f>'Site Information'!E264</f>
        <v>0</v>
      </c>
      <c r="M260" s="237"/>
      <c r="N260" s="237"/>
      <c r="O260" s="237"/>
      <c r="P260" s="237"/>
      <c r="Q260" s="237"/>
      <c r="R260" s="193">
        <f>'Site Information'!F264</f>
        <v>0</v>
      </c>
      <c r="S260" s="237"/>
      <c r="T260" s="237"/>
      <c r="U260" s="237"/>
      <c r="V260" s="237"/>
      <c r="W260" s="237"/>
      <c r="X260" s="237"/>
      <c r="Y260" s="237"/>
      <c r="Z260" s="237"/>
      <c r="AA260" s="237"/>
      <c r="AB260" s="237"/>
      <c r="AC260" s="237"/>
      <c r="AD260" s="237"/>
      <c r="AE260" s="237"/>
      <c r="AF260" s="237"/>
      <c r="AG260" s="237"/>
      <c r="AI260" s="193"/>
      <c r="AJ260" s="193"/>
    </row>
    <row r="261" spans="2:36" x14ac:dyDescent="0.35">
      <c r="B261" s="193" t="e">
        <f>"2024"&amp;MATCH(Totals!D261,OrgType,0)&amp;"_"&amp;MATCH(Totals!E261,Organisations,0)&amp;"_"&amp;LEFT(Totals!F261,1)&amp;"_"&amp;LEFT(G261,1)&amp;"_"&amp;COUNTIF($G$3:G261,G261)</f>
        <v>#N/A</v>
      </c>
      <c r="C261" s="193">
        <v>2025</v>
      </c>
      <c r="D261" s="193">
        <f>Introduction!$D$7</f>
        <v>0</v>
      </c>
      <c r="E261" s="193">
        <f>Introduction!$D$8</f>
        <v>0</v>
      </c>
      <c r="F261" s="193" t="s">
        <v>488</v>
      </c>
      <c r="G261" s="193" t="s">
        <v>489</v>
      </c>
      <c r="H261" s="195">
        <f>'Site Information'!B265</f>
        <v>0</v>
      </c>
      <c r="I261" s="194"/>
      <c r="J261" s="193">
        <f>'Site Information'!C265</f>
        <v>0</v>
      </c>
      <c r="K261" s="193">
        <f>'Site Information'!D265</f>
        <v>0</v>
      </c>
      <c r="L261" s="193">
        <f>'Site Information'!E265</f>
        <v>0</v>
      </c>
      <c r="M261" s="237"/>
      <c r="N261" s="237"/>
      <c r="O261" s="237"/>
      <c r="P261" s="237"/>
      <c r="Q261" s="237"/>
      <c r="R261" s="193">
        <f>'Site Information'!F265</f>
        <v>0</v>
      </c>
      <c r="S261" s="237"/>
      <c r="T261" s="237"/>
      <c r="U261" s="237"/>
      <c r="V261" s="237"/>
      <c r="W261" s="237"/>
      <c r="X261" s="237"/>
      <c r="Y261" s="237"/>
      <c r="Z261" s="237"/>
      <c r="AA261" s="237"/>
      <c r="AB261" s="237"/>
      <c r="AC261" s="237"/>
      <c r="AD261" s="237"/>
      <c r="AE261" s="237"/>
      <c r="AF261" s="237"/>
      <c r="AG261" s="237"/>
      <c r="AI261" s="193"/>
      <c r="AJ261" s="193"/>
    </row>
    <row r="262" spans="2:36" x14ac:dyDescent="0.35">
      <c r="B262" s="193" t="e">
        <f>"2024"&amp;MATCH(Totals!D262,OrgType,0)&amp;"_"&amp;MATCH(Totals!E262,Organisations,0)&amp;"_"&amp;LEFT(Totals!F262,1)&amp;"_"&amp;LEFT(G262,1)&amp;"_"&amp;COUNTIF($G$3:G262,G262)</f>
        <v>#N/A</v>
      </c>
      <c r="C262" s="193">
        <v>2025</v>
      </c>
      <c r="D262" s="193">
        <f>Introduction!$D$7</f>
        <v>0</v>
      </c>
      <c r="E262" s="193">
        <f>Introduction!$D$8</f>
        <v>0</v>
      </c>
      <c r="F262" s="193" t="s">
        <v>488</v>
      </c>
      <c r="G262" s="193" t="s">
        <v>489</v>
      </c>
      <c r="H262" s="195">
        <f>'Site Information'!B266</f>
        <v>0</v>
      </c>
      <c r="I262" s="194"/>
      <c r="J262" s="193">
        <f>'Site Information'!C266</f>
        <v>0</v>
      </c>
      <c r="K262" s="193">
        <f>'Site Information'!D266</f>
        <v>0</v>
      </c>
      <c r="L262" s="193">
        <f>'Site Information'!E266</f>
        <v>0</v>
      </c>
      <c r="M262" s="237"/>
      <c r="N262" s="237"/>
      <c r="O262" s="237"/>
      <c r="P262" s="237"/>
      <c r="Q262" s="237"/>
      <c r="R262" s="193">
        <f>'Site Information'!F266</f>
        <v>0</v>
      </c>
      <c r="S262" s="237"/>
      <c r="T262" s="237"/>
      <c r="U262" s="237"/>
      <c r="V262" s="237"/>
      <c r="W262" s="237"/>
      <c r="X262" s="237"/>
      <c r="Y262" s="237"/>
      <c r="Z262" s="237"/>
      <c r="AA262" s="237"/>
      <c r="AB262" s="237"/>
      <c r="AC262" s="237"/>
      <c r="AD262" s="237"/>
      <c r="AE262" s="237"/>
      <c r="AF262" s="237"/>
      <c r="AG262" s="237"/>
      <c r="AI262" s="193"/>
      <c r="AJ262" s="193"/>
    </row>
    <row r="263" spans="2:36" x14ac:dyDescent="0.35">
      <c r="B263" s="193" t="e">
        <f>"2024"&amp;MATCH(Totals!D263,OrgType,0)&amp;"_"&amp;MATCH(Totals!E263,Organisations,0)&amp;"_"&amp;LEFT(Totals!F263,1)&amp;"_"&amp;LEFT(G263,1)&amp;"_"&amp;COUNTIF($G$3:G263,G263)</f>
        <v>#N/A</v>
      </c>
      <c r="C263" s="193">
        <v>2025</v>
      </c>
      <c r="D263" s="193">
        <f>Introduction!$D$7</f>
        <v>0</v>
      </c>
      <c r="E263" s="193">
        <f>Introduction!$D$8</f>
        <v>0</v>
      </c>
      <c r="F263" s="193" t="s">
        <v>488</v>
      </c>
      <c r="G263" s="193" t="s">
        <v>489</v>
      </c>
      <c r="H263" s="195">
        <f>'Site Information'!B267</f>
        <v>0</v>
      </c>
      <c r="I263" s="194"/>
      <c r="J263" s="193">
        <f>'Site Information'!C267</f>
        <v>0</v>
      </c>
      <c r="K263" s="193">
        <f>'Site Information'!D267</f>
        <v>0</v>
      </c>
      <c r="L263" s="193">
        <f>'Site Information'!E267</f>
        <v>0</v>
      </c>
      <c r="M263" s="237"/>
      <c r="N263" s="237"/>
      <c r="O263" s="237"/>
      <c r="P263" s="237"/>
      <c r="Q263" s="237"/>
      <c r="R263" s="193">
        <f>'Site Information'!F267</f>
        <v>0</v>
      </c>
      <c r="S263" s="237"/>
      <c r="T263" s="237"/>
      <c r="U263" s="237"/>
      <c r="V263" s="237"/>
      <c r="W263" s="237"/>
      <c r="X263" s="237"/>
      <c r="Y263" s="237"/>
      <c r="Z263" s="237"/>
      <c r="AA263" s="237"/>
      <c r="AB263" s="237"/>
      <c r="AC263" s="237"/>
      <c r="AD263" s="237"/>
      <c r="AE263" s="237"/>
      <c r="AF263" s="237"/>
      <c r="AG263" s="237"/>
      <c r="AI263" s="193"/>
      <c r="AJ263" s="193"/>
    </row>
    <row r="264" spans="2:36" x14ac:dyDescent="0.35">
      <c r="B264" s="193" t="e">
        <f>"2024"&amp;MATCH(Totals!D264,OrgType,0)&amp;"_"&amp;MATCH(Totals!E264,Organisations,0)&amp;"_"&amp;LEFT(Totals!F264,1)&amp;"_"&amp;LEFT(G264,1)&amp;"_"&amp;COUNTIF($G$3:G264,G264)</f>
        <v>#N/A</v>
      </c>
      <c r="C264" s="193">
        <v>2025</v>
      </c>
      <c r="D264" s="193">
        <f>Introduction!$D$7</f>
        <v>0</v>
      </c>
      <c r="E264" s="193">
        <f>Introduction!$D$8</f>
        <v>0</v>
      </c>
      <c r="F264" s="193" t="s">
        <v>488</v>
      </c>
      <c r="G264" s="193" t="s">
        <v>489</v>
      </c>
      <c r="H264" s="195">
        <f>'Site Information'!B268</f>
        <v>0</v>
      </c>
      <c r="I264" s="194"/>
      <c r="J264" s="193">
        <f>'Site Information'!C268</f>
        <v>0</v>
      </c>
      <c r="K264" s="193">
        <f>'Site Information'!D268</f>
        <v>0</v>
      </c>
      <c r="L264" s="193">
        <f>'Site Information'!E268</f>
        <v>0</v>
      </c>
      <c r="M264" s="237"/>
      <c r="N264" s="237"/>
      <c r="O264" s="237"/>
      <c r="P264" s="237"/>
      <c r="Q264" s="237"/>
      <c r="R264" s="193">
        <f>'Site Information'!F268</f>
        <v>0</v>
      </c>
      <c r="S264" s="237"/>
      <c r="T264" s="237"/>
      <c r="U264" s="237"/>
      <c r="V264" s="237"/>
      <c r="W264" s="237"/>
      <c r="X264" s="237"/>
      <c r="Y264" s="237"/>
      <c r="Z264" s="237"/>
      <c r="AA264" s="237"/>
      <c r="AB264" s="237"/>
      <c r="AC264" s="237"/>
      <c r="AD264" s="237"/>
      <c r="AE264" s="237"/>
      <c r="AF264" s="237"/>
      <c r="AG264" s="237"/>
      <c r="AI264" s="193"/>
      <c r="AJ264" s="193"/>
    </row>
    <row r="265" spans="2:36" x14ac:dyDescent="0.35">
      <c r="B265" s="193" t="e">
        <f>"2024"&amp;MATCH(Totals!D265,OrgType,0)&amp;"_"&amp;MATCH(Totals!E265,Organisations,0)&amp;"_"&amp;LEFT(Totals!F265,1)&amp;"_"&amp;LEFT(G265,1)&amp;"_"&amp;COUNTIF($G$3:G265,G265)</f>
        <v>#N/A</v>
      </c>
      <c r="C265" s="193">
        <v>2025</v>
      </c>
      <c r="D265" s="193">
        <f>Introduction!$D$7</f>
        <v>0</v>
      </c>
      <c r="E265" s="193">
        <f>Introduction!$D$8</f>
        <v>0</v>
      </c>
      <c r="F265" s="193" t="s">
        <v>488</v>
      </c>
      <c r="G265" s="193" t="s">
        <v>489</v>
      </c>
      <c r="H265" s="195">
        <f>'Site Information'!B269</f>
        <v>0</v>
      </c>
      <c r="I265" s="194"/>
      <c r="J265" s="193">
        <f>'Site Information'!C269</f>
        <v>0</v>
      </c>
      <c r="K265" s="193">
        <f>'Site Information'!D269</f>
        <v>0</v>
      </c>
      <c r="L265" s="193">
        <f>'Site Information'!E269</f>
        <v>0</v>
      </c>
      <c r="M265" s="237"/>
      <c r="N265" s="237"/>
      <c r="O265" s="237"/>
      <c r="P265" s="237"/>
      <c r="Q265" s="237"/>
      <c r="R265" s="193">
        <f>'Site Information'!F269</f>
        <v>0</v>
      </c>
      <c r="S265" s="237"/>
      <c r="T265" s="237"/>
      <c r="U265" s="237"/>
      <c r="V265" s="237"/>
      <c r="W265" s="237"/>
      <c r="X265" s="237"/>
      <c r="Y265" s="237"/>
      <c r="Z265" s="237"/>
      <c r="AA265" s="237"/>
      <c r="AB265" s="237"/>
      <c r="AC265" s="237"/>
      <c r="AD265" s="237"/>
      <c r="AE265" s="237"/>
      <c r="AF265" s="237"/>
      <c r="AG265" s="237"/>
      <c r="AI265" s="193"/>
      <c r="AJ265" s="193"/>
    </row>
    <row r="266" spans="2:36" x14ac:dyDescent="0.35">
      <c r="B266" s="193" t="e">
        <f>"2024"&amp;MATCH(Totals!D266,OrgType,0)&amp;"_"&amp;MATCH(Totals!E266,Organisations,0)&amp;"_"&amp;LEFT(Totals!F266,1)&amp;"_"&amp;LEFT(G266,1)&amp;"_"&amp;COUNTIF($G$3:G266,G266)</f>
        <v>#N/A</v>
      </c>
      <c r="C266" s="193">
        <v>2025</v>
      </c>
      <c r="D266" s="193">
        <f>Introduction!$D$7</f>
        <v>0</v>
      </c>
      <c r="E266" s="193">
        <f>Introduction!$D$8</f>
        <v>0</v>
      </c>
      <c r="F266" s="193" t="s">
        <v>488</v>
      </c>
      <c r="G266" s="193" t="s">
        <v>489</v>
      </c>
      <c r="H266" s="195">
        <f>'Site Information'!B270</f>
        <v>0</v>
      </c>
      <c r="I266" s="194"/>
      <c r="J266" s="193">
        <f>'Site Information'!C270</f>
        <v>0</v>
      </c>
      <c r="K266" s="193">
        <f>'Site Information'!D270</f>
        <v>0</v>
      </c>
      <c r="L266" s="193">
        <f>'Site Information'!E270</f>
        <v>0</v>
      </c>
      <c r="M266" s="237"/>
      <c r="N266" s="237"/>
      <c r="O266" s="237"/>
      <c r="P266" s="237"/>
      <c r="Q266" s="237"/>
      <c r="R266" s="193">
        <f>'Site Information'!F270</f>
        <v>0</v>
      </c>
      <c r="S266" s="237"/>
      <c r="T266" s="237"/>
      <c r="U266" s="237"/>
      <c r="V266" s="237"/>
      <c r="W266" s="237"/>
      <c r="X266" s="237"/>
      <c r="Y266" s="237"/>
      <c r="Z266" s="237"/>
      <c r="AA266" s="237"/>
      <c r="AB266" s="237"/>
      <c r="AC266" s="237"/>
      <c r="AD266" s="237"/>
      <c r="AE266" s="237"/>
      <c r="AF266" s="237"/>
      <c r="AG266" s="237"/>
      <c r="AI266" s="193"/>
      <c r="AJ266" s="193"/>
    </row>
    <row r="267" spans="2:36" x14ac:dyDescent="0.35">
      <c r="B267" s="193" t="e">
        <f>"2024"&amp;MATCH(Totals!D267,OrgType,0)&amp;"_"&amp;MATCH(Totals!E267,Organisations,0)&amp;"_"&amp;LEFT(Totals!F267,1)&amp;"_"&amp;LEFT(G267,1)&amp;"_"&amp;COUNTIF($G$3:G267,G267)</f>
        <v>#N/A</v>
      </c>
      <c r="C267" s="193">
        <v>2025</v>
      </c>
      <c r="D267" s="193">
        <f>Introduction!$D$7</f>
        <v>0</v>
      </c>
      <c r="E267" s="193">
        <f>Introduction!$D$8</f>
        <v>0</v>
      </c>
      <c r="F267" s="193" t="s">
        <v>488</v>
      </c>
      <c r="G267" s="193" t="s">
        <v>489</v>
      </c>
      <c r="H267" s="195">
        <f>'Site Information'!B271</f>
        <v>0</v>
      </c>
      <c r="I267" s="194"/>
      <c r="J267" s="193">
        <f>'Site Information'!C271</f>
        <v>0</v>
      </c>
      <c r="K267" s="193">
        <f>'Site Information'!D271</f>
        <v>0</v>
      </c>
      <c r="L267" s="193">
        <f>'Site Information'!E271</f>
        <v>0</v>
      </c>
      <c r="M267" s="237"/>
      <c r="N267" s="237"/>
      <c r="O267" s="237"/>
      <c r="P267" s="237"/>
      <c r="Q267" s="237"/>
      <c r="R267" s="193">
        <f>'Site Information'!F271</f>
        <v>0</v>
      </c>
      <c r="S267" s="237"/>
      <c r="T267" s="237"/>
      <c r="U267" s="237"/>
      <c r="V267" s="237"/>
      <c r="W267" s="237"/>
      <c r="X267" s="237"/>
      <c r="Y267" s="237"/>
      <c r="Z267" s="237"/>
      <c r="AA267" s="237"/>
      <c r="AB267" s="237"/>
      <c r="AC267" s="237"/>
      <c r="AD267" s="237"/>
      <c r="AE267" s="237"/>
      <c r="AF267" s="237"/>
      <c r="AG267" s="237"/>
      <c r="AI267" s="193"/>
      <c r="AJ267" s="193"/>
    </row>
    <row r="268" spans="2:36" x14ac:dyDescent="0.35">
      <c r="B268" s="193" t="e">
        <f>"2024"&amp;MATCH(Totals!D268,OrgType,0)&amp;"_"&amp;MATCH(Totals!E268,Organisations,0)&amp;"_"&amp;LEFT(Totals!F268,1)&amp;"_"&amp;LEFT(G268,1)&amp;"_"&amp;COUNTIF($G$3:G268,G268)</f>
        <v>#N/A</v>
      </c>
      <c r="C268" s="193">
        <v>2025</v>
      </c>
      <c r="D268" s="193">
        <f>Introduction!$D$7</f>
        <v>0</v>
      </c>
      <c r="E268" s="193">
        <f>Introduction!$D$8</f>
        <v>0</v>
      </c>
      <c r="F268" s="193" t="s">
        <v>488</v>
      </c>
      <c r="G268" s="193" t="s">
        <v>489</v>
      </c>
      <c r="H268" s="195">
        <f>'Site Information'!B272</f>
        <v>0</v>
      </c>
      <c r="I268" s="194"/>
      <c r="J268" s="193">
        <f>'Site Information'!C272</f>
        <v>0</v>
      </c>
      <c r="K268" s="193">
        <f>'Site Information'!D272</f>
        <v>0</v>
      </c>
      <c r="L268" s="193">
        <f>'Site Information'!E272</f>
        <v>0</v>
      </c>
      <c r="M268" s="237"/>
      <c r="N268" s="237"/>
      <c r="O268" s="237"/>
      <c r="P268" s="237"/>
      <c r="Q268" s="237"/>
      <c r="R268" s="193">
        <f>'Site Information'!F272</f>
        <v>0</v>
      </c>
      <c r="S268" s="237"/>
      <c r="T268" s="237"/>
      <c r="U268" s="237"/>
      <c r="V268" s="237"/>
      <c r="W268" s="237"/>
      <c r="X268" s="237"/>
      <c r="Y268" s="237"/>
      <c r="Z268" s="237"/>
      <c r="AA268" s="237"/>
      <c r="AB268" s="237"/>
      <c r="AC268" s="237"/>
      <c r="AD268" s="237"/>
      <c r="AE268" s="237"/>
      <c r="AF268" s="237"/>
      <c r="AG268" s="237"/>
      <c r="AI268" s="193"/>
      <c r="AJ268" s="193"/>
    </row>
    <row r="269" spans="2:36" x14ac:dyDescent="0.35">
      <c r="B269" s="193" t="e">
        <f>"2024"&amp;MATCH(Totals!D269,OrgType,0)&amp;"_"&amp;MATCH(Totals!E269,Organisations,0)&amp;"_"&amp;LEFT(Totals!F269,1)&amp;"_"&amp;LEFT(G269,1)&amp;"_"&amp;COUNTIF($G$3:G269,G269)</f>
        <v>#N/A</v>
      </c>
      <c r="C269" s="193">
        <v>2025</v>
      </c>
      <c r="D269" s="193">
        <f>Introduction!$D$7</f>
        <v>0</v>
      </c>
      <c r="E269" s="193">
        <f>Introduction!$D$8</f>
        <v>0</v>
      </c>
      <c r="F269" s="193" t="s">
        <v>488</v>
      </c>
      <c r="G269" s="193" t="s">
        <v>489</v>
      </c>
      <c r="H269" s="195">
        <f>'Site Information'!B273</f>
        <v>0</v>
      </c>
      <c r="I269" s="194"/>
      <c r="J269" s="193">
        <f>'Site Information'!C273</f>
        <v>0</v>
      </c>
      <c r="K269" s="193">
        <f>'Site Information'!D273</f>
        <v>0</v>
      </c>
      <c r="L269" s="193">
        <f>'Site Information'!E273</f>
        <v>0</v>
      </c>
      <c r="M269" s="237"/>
      <c r="N269" s="237"/>
      <c r="O269" s="237"/>
      <c r="P269" s="237"/>
      <c r="Q269" s="237"/>
      <c r="R269" s="193">
        <f>'Site Information'!F273</f>
        <v>0</v>
      </c>
      <c r="S269" s="237"/>
      <c r="T269" s="237"/>
      <c r="U269" s="237"/>
      <c r="V269" s="237"/>
      <c r="W269" s="237"/>
      <c r="X269" s="237"/>
      <c r="Y269" s="237"/>
      <c r="Z269" s="237"/>
      <c r="AA269" s="237"/>
      <c r="AB269" s="237"/>
      <c r="AC269" s="237"/>
      <c r="AD269" s="237"/>
      <c r="AE269" s="237"/>
      <c r="AF269" s="237"/>
      <c r="AG269" s="237"/>
      <c r="AI269" s="193"/>
      <c r="AJ269" s="193"/>
    </row>
    <row r="270" spans="2:36" x14ac:dyDescent="0.35">
      <c r="B270" s="193" t="e">
        <f>"2024"&amp;MATCH(Totals!D270,OrgType,0)&amp;"_"&amp;MATCH(Totals!E270,Organisations,0)&amp;"_"&amp;LEFT(Totals!F270,1)&amp;"_"&amp;LEFT(G270,1)&amp;"_"&amp;COUNTIF($G$3:G270,G270)</f>
        <v>#N/A</v>
      </c>
      <c r="C270" s="193">
        <v>2025</v>
      </c>
      <c r="D270" s="193">
        <f>Introduction!$D$7</f>
        <v>0</v>
      </c>
      <c r="E270" s="193">
        <f>Introduction!$D$8</f>
        <v>0</v>
      </c>
      <c r="F270" s="193" t="s">
        <v>488</v>
      </c>
      <c r="G270" s="193" t="s">
        <v>489</v>
      </c>
      <c r="H270" s="195">
        <f>'Site Information'!B274</f>
        <v>0</v>
      </c>
      <c r="I270" s="194"/>
      <c r="J270" s="193">
        <f>'Site Information'!C274</f>
        <v>0</v>
      </c>
      <c r="K270" s="193">
        <f>'Site Information'!D274</f>
        <v>0</v>
      </c>
      <c r="L270" s="193">
        <f>'Site Information'!E274</f>
        <v>0</v>
      </c>
      <c r="M270" s="237"/>
      <c r="N270" s="237"/>
      <c r="O270" s="237"/>
      <c r="P270" s="237"/>
      <c r="Q270" s="237"/>
      <c r="R270" s="193">
        <f>'Site Information'!F274</f>
        <v>0</v>
      </c>
      <c r="S270" s="237"/>
      <c r="T270" s="237"/>
      <c r="U270" s="237"/>
      <c r="V270" s="237"/>
      <c r="W270" s="237"/>
      <c r="X270" s="237"/>
      <c r="Y270" s="237"/>
      <c r="Z270" s="237"/>
      <c r="AA270" s="237"/>
      <c r="AB270" s="237"/>
      <c r="AC270" s="237"/>
      <c r="AD270" s="237"/>
      <c r="AE270" s="237"/>
      <c r="AF270" s="237"/>
      <c r="AG270" s="237"/>
      <c r="AI270" s="193"/>
      <c r="AJ270" s="193"/>
    </row>
    <row r="271" spans="2:36" x14ac:dyDescent="0.35">
      <c r="B271" s="193" t="e">
        <f>"2024"&amp;MATCH(Totals!D271,OrgType,0)&amp;"_"&amp;MATCH(Totals!E271,Organisations,0)&amp;"_"&amp;LEFT(Totals!F271,1)&amp;"_"&amp;LEFT(G271,1)&amp;"_"&amp;COUNTIF($G$3:G271,G271)</f>
        <v>#N/A</v>
      </c>
      <c r="C271" s="193">
        <v>2025</v>
      </c>
      <c r="D271" s="193">
        <f>Introduction!$D$7</f>
        <v>0</v>
      </c>
      <c r="E271" s="193">
        <f>Introduction!$D$8</f>
        <v>0</v>
      </c>
      <c r="F271" s="193" t="s">
        <v>488</v>
      </c>
      <c r="G271" s="193" t="s">
        <v>489</v>
      </c>
      <c r="H271" s="195">
        <f>'Site Information'!B275</f>
        <v>0</v>
      </c>
      <c r="I271" s="194"/>
      <c r="J271" s="193">
        <f>'Site Information'!C275</f>
        <v>0</v>
      </c>
      <c r="K271" s="193">
        <f>'Site Information'!D275</f>
        <v>0</v>
      </c>
      <c r="L271" s="193">
        <f>'Site Information'!E275</f>
        <v>0</v>
      </c>
      <c r="M271" s="237"/>
      <c r="N271" s="237"/>
      <c r="O271" s="237"/>
      <c r="P271" s="237"/>
      <c r="Q271" s="237"/>
      <c r="R271" s="193">
        <f>'Site Information'!F275</f>
        <v>0</v>
      </c>
      <c r="S271" s="237"/>
      <c r="T271" s="237"/>
      <c r="U271" s="237"/>
      <c r="V271" s="237"/>
      <c r="W271" s="237"/>
      <c r="X271" s="237"/>
      <c r="Y271" s="237"/>
      <c r="Z271" s="237"/>
      <c r="AA271" s="237"/>
      <c r="AB271" s="237"/>
      <c r="AC271" s="237"/>
      <c r="AD271" s="237"/>
      <c r="AE271" s="237"/>
      <c r="AF271" s="237"/>
      <c r="AG271" s="237"/>
      <c r="AI271" s="193"/>
      <c r="AJ271" s="193"/>
    </row>
    <row r="272" spans="2:36" x14ac:dyDescent="0.35">
      <c r="B272" s="193" t="e">
        <f>"2024"&amp;MATCH(Totals!D272,OrgType,0)&amp;"_"&amp;MATCH(Totals!E272,Organisations,0)&amp;"_"&amp;LEFT(Totals!F272,1)&amp;"_"&amp;LEFT(G272,1)&amp;"_"&amp;COUNTIF($G$3:G272,G272)</f>
        <v>#N/A</v>
      </c>
      <c r="C272" s="193">
        <v>2025</v>
      </c>
      <c r="D272" s="193">
        <f>Introduction!$D$7</f>
        <v>0</v>
      </c>
      <c r="E272" s="193">
        <f>Introduction!$D$8</f>
        <v>0</v>
      </c>
      <c r="F272" s="193" t="s">
        <v>488</v>
      </c>
      <c r="G272" s="193" t="s">
        <v>489</v>
      </c>
      <c r="H272" s="195">
        <f>'Site Information'!B276</f>
        <v>0</v>
      </c>
      <c r="I272" s="194"/>
      <c r="J272" s="193">
        <f>'Site Information'!C276</f>
        <v>0</v>
      </c>
      <c r="K272" s="193">
        <f>'Site Information'!D276</f>
        <v>0</v>
      </c>
      <c r="L272" s="193">
        <f>'Site Information'!E276</f>
        <v>0</v>
      </c>
      <c r="M272" s="237"/>
      <c r="N272" s="237"/>
      <c r="O272" s="237"/>
      <c r="P272" s="237"/>
      <c r="Q272" s="237"/>
      <c r="R272" s="193">
        <f>'Site Information'!F276</f>
        <v>0</v>
      </c>
      <c r="S272" s="237"/>
      <c r="T272" s="237"/>
      <c r="U272" s="237"/>
      <c r="V272" s="237"/>
      <c r="W272" s="237"/>
      <c r="X272" s="237"/>
      <c r="Y272" s="237"/>
      <c r="Z272" s="237"/>
      <c r="AA272" s="237"/>
      <c r="AB272" s="237"/>
      <c r="AC272" s="237"/>
      <c r="AD272" s="237"/>
      <c r="AE272" s="237"/>
      <c r="AF272" s="237"/>
      <c r="AG272" s="237"/>
      <c r="AI272" s="193"/>
      <c r="AJ272" s="193"/>
    </row>
    <row r="273" spans="2:36" x14ac:dyDescent="0.35">
      <c r="B273" s="193" t="e">
        <f>"2024"&amp;MATCH(Totals!D273,OrgType,0)&amp;"_"&amp;MATCH(Totals!E273,Organisations,0)&amp;"_"&amp;LEFT(Totals!F273,1)&amp;"_"&amp;LEFT(G273,1)&amp;"_"&amp;COUNTIF($G$3:G273,G273)</f>
        <v>#N/A</v>
      </c>
      <c r="C273" s="193">
        <v>2025</v>
      </c>
      <c r="D273" s="193">
        <f>Introduction!$D$7</f>
        <v>0</v>
      </c>
      <c r="E273" s="193">
        <f>Introduction!$D$8</f>
        <v>0</v>
      </c>
      <c r="F273" s="193" t="s">
        <v>488</v>
      </c>
      <c r="G273" s="193" t="s">
        <v>489</v>
      </c>
      <c r="H273" s="195">
        <f>'Site Information'!B277</f>
        <v>0</v>
      </c>
      <c r="I273" s="194"/>
      <c r="J273" s="193">
        <f>'Site Information'!C277</f>
        <v>0</v>
      </c>
      <c r="K273" s="193">
        <f>'Site Information'!D277</f>
        <v>0</v>
      </c>
      <c r="L273" s="193">
        <f>'Site Information'!E277</f>
        <v>0</v>
      </c>
      <c r="M273" s="237"/>
      <c r="N273" s="237"/>
      <c r="O273" s="237"/>
      <c r="P273" s="237"/>
      <c r="Q273" s="237"/>
      <c r="R273" s="193">
        <f>'Site Information'!F277</f>
        <v>0</v>
      </c>
      <c r="S273" s="237"/>
      <c r="T273" s="237"/>
      <c r="U273" s="237"/>
      <c r="V273" s="237"/>
      <c r="W273" s="237"/>
      <c r="X273" s="237"/>
      <c r="Y273" s="237"/>
      <c r="Z273" s="237"/>
      <c r="AA273" s="237"/>
      <c r="AB273" s="237"/>
      <c r="AC273" s="237"/>
      <c r="AD273" s="237"/>
      <c r="AE273" s="237"/>
      <c r="AF273" s="237"/>
      <c r="AG273" s="237"/>
      <c r="AI273" s="193"/>
      <c r="AJ273" s="193"/>
    </row>
    <row r="274" spans="2:36" x14ac:dyDescent="0.35">
      <c r="B274" s="193" t="e">
        <f>"2024"&amp;MATCH(Totals!D274,OrgType,0)&amp;"_"&amp;MATCH(Totals!E274,Organisations,0)&amp;"_"&amp;LEFT(Totals!F274,1)&amp;"_"&amp;LEFT(G274,1)&amp;"_"&amp;COUNTIF($G$3:G274,G274)</f>
        <v>#N/A</v>
      </c>
      <c r="C274" s="193">
        <v>2025</v>
      </c>
      <c r="D274" s="193">
        <f>Introduction!$D$7</f>
        <v>0</v>
      </c>
      <c r="E274" s="193">
        <f>Introduction!$D$8</f>
        <v>0</v>
      </c>
      <c r="F274" s="193" t="s">
        <v>488</v>
      </c>
      <c r="G274" s="193" t="s">
        <v>489</v>
      </c>
      <c r="H274" s="195">
        <f>'Site Information'!B278</f>
        <v>0</v>
      </c>
      <c r="I274" s="194"/>
      <c r="J274" s="193">
        <f>'Site Information'!C278</f>
        <v>0</v>
      </c>
      <c r="K274" s="193">
        <f>'Site Information'!D278</f>
        <v>0</v>
      </c>
      <c r="L274" s="193">
        <f>'Site Information'!E278</f>
        <v>0</v>
      </c>
      <c r="M274" s="237"/>
      <c r="N274" s="237"/>
      <c r="O274" s="237"/>
      <c r="P274" s="237"/>
      <c r="Q274" s="237"/>
      <c r="R274" s="193">
        <f>'Site Information'!F278</f>
        <v>0</v>
      </c>
      <c r="S274" s="237"/>
      <c r="T274" s="237"/>
      <c r="U274" s="237"/>
      <c r="V274" s="237"/>
      <c r="W274" s="237"/>
      <c r="X274" s="237"/>
      <c r="Y274" s="237"/>
      <c r="Z274" s="237"/>
      <c r="AA274" s="237"/>
      <c r="AB274" s="237"/>
      <c r="AC274" s="237"/>
      <c r="AD274" s="237"/>
      <c r="AE274" s="237"/>
      <c r="AF274" s="237"/>
      <c r="AG274" s="237"/>
      <c r="AI274" s="193"/>
      <c r="AJ274" s="193"/>
    </row>
    <row r="275" spans="2:36" x14ac:dyDescent="0.35">
      <c r="B275" s="193" t="e">
        <f>"2024"&amp;MATCH(Totals!D275,OrgType,0)&amp;"_"&amp;MATCH(Totals!E275,Organisations,0)&amp;"_"&amp;LEFT(Totals!F275,1)&amp;"_"&amp;LEFT(G275,1)&amp;"_"&amp;COUNTIF($G$3:G275,G275)</f>
        <v>#N/A</v>
      </c>
      <c r="C275" s="193">
        <v>2025</v>
      </c>
      <c r="D275" s="193">
        <f>Introduction!$D$7</f>
        <v>0</v>
      </c>
      <c r="E275" s="193">
        <f>Introduction!$D$8</f>
        <v>0</v>
      </c>
      <c r="F275" s="193" t="s">
        <v>488</v>
      </c>
      <c r="G275" s="193" t="s">
        <v>489</v>
      </c>
      <c r="H275" s="195">
        <f>'Site Information'!B279</f>
        <v>0</v>
      </c>
      <c r="I275" s="194"/>
      <c r="J275" s="193">
        <f>'Site Information'!C279</f>
        <v>0</v>
      </c>
      <c r="K275" s="193">
        <f>'Site Information'!D279</f>
        <v>0</v>
      </c>
      <c r="L275" s="193">
        <f>'Site Information'!E279</f>
        <v>0</v>
      </c>
      <c r="M275" s="237"/>
      <c r="N275" s="237"/>
      <c r="O275" s="237"/>
      <c r="P275" s="237"/>
      <c r="Q275" s="237"/>
      <c r="R275" s="193">
        <f>'Site Information'!F279</f>
        <v>0</v>
      </c>
      <c r="S275" s="237"/>
      <c r="T275" s="237"/>
      <c r="U275" s="237"/>
      <c r="V275" s="237"/>
      <c r="W275" s="237"/>
      <c r="X275" s="237"/>
      <c r="Y275" s="237"/>
      <c r="Z275" s="237"/>
      <c r="AA275" s="237"/>
      <c r="AB275" s="237"/>
      <c r="AC275" s="237"/>
      <c r="AD275" s="237"/>
      <c r="AE275" s="237"/>
      <c r="AF275" s="237"/>
      <c r="AG275" s="237"/>
      <c r="AI275" s="193"/>
      <c r="AJ275" s="193"/>
    </row>
    <row r="276" spans="2:36" x14ac:dyDescent="0.35">
      <c r="B276" s="193" t="e">
        <f>"2024"&amp;MATCH(Totals!D276,OrgType,0)&amp;"_"&amp;MATCH(Totals!E276,Organisations,0)&amp;"_"&amp;LEFT(Totals!F276,1)&amp;"_"&amp;LEFT(G276,1)&amp;"_"&amp;COUNTIF($G$3:G276,G276)</f>
        <v>#N/A</v>
      </c>
      <c r="C276" s="193">
        <v>2025</v>
      </c>
      <c r="D276" s="193">
        <f>Introduction!$D$7</f>
        <v>0</v>
      </c>
      <c r="E276" s="193">
        <f>Introduction!$D$8</f>
        <v>0</v>
      </c>
      <c r="F276" s="193" t="s">
        <v>488</v>
      </c>
      <c r="G276" s="193" t="s">
        <v>489</v>
      </c>
      <c r="H276" s="195">
        <f>'Site Information'!B280</f>
        <v>0</v>
      </c>
      <c r="I276" s="194"/>
      <c r="J276" s="193">
        <f>'Site Information'!C280</f>
        <v>0</v>
      </c>
      <c r="K276" s="193">
        <f>'Site Information'!D280</f>
        <v>0</v>
      </c>
      <c r="L276" s="193">
        <f>'Site Information'!E280</f>
        <v>0</v>
      </c>
      <c r="M276" s="237"/>
      <c r="N276" s="237"/>
      <c r="O276" s="237"/>
      <c r="P276" s="237"/>
      <c r="Q276" s="237"/>
      <c r="R276" s="193">
        <f>'Site Information'!F280</f>
        <v>0</v>
      </c>
      <c r="S276" s="237"/>
      <c r="T276" s="237"/>
      <c r="U276" s="237"/>
      <c r="V276" s="237"/>
      <c r="W276" s="237"/>
      <c r="X276" s="237"/>
      <c r="Y276" s="237"/>
      <c r="Z276" s="237"/>
      <c r="AA276" s="237"/>
      <c r="AB276" s="237"/>
      <c r="AC276" s="237"/>
      <c r="AD276" s="237"/>
      <c r="AE276" s="237"/>
      <c r="AF276" s="237"/>
      <c r="AG276" s="237"/>
      <c r="AI276" s="193"/>
      <c r="AJ276" s="193"/>
    </row>
    <row r="277" spans="2:36" x14ac:dyDescent="0.35">
      <c r="B277" s="193" t="e">
        <f>"2024"&amp;MATCH(Totals!D277,OrgType,0)&amp;"_"&amp;MATCH(Totals!E277,Organisations,0)&amp;"_"&amp;LEFT(Totals!F277,1)&amp;"_"&amp;LEFT(G277,1)&amp;"_"&amp;COUNTIF($G$3:G277,G277)</f>
        <v>#N/A</v>
      </c>
      <c r="C277" s="193">
        <v>2025</v>
      </c>
      <c r="D277" s="193">
        <f>Introduction!$D$7</f>
        <v>0</v>
      </c>
      <c r="E277" s="193">
        <f>Introduction!$D$8</f>
        <v>0</v>
      </c>
      <c r="F277" s="193" t="s">
        <v>488</v>
      </c>
      <c r="G277" s="193" t="s">
        <v>489</v>
      </c>
      <c r="H277" s="195">
        <f>'Site Information'!B281</f>
        <v>0</v>
      </c>
      <c r="I277" s="194"/>
      <c r="J277" s="193">
        <f>'Site Information'!C281</f>
        <v>0</v>
      </c>
      <c r="K277" s="193">
        <f>'Site Information'!D281</f>
        <v>0</v>
      </c>
      <c r="L277" s="193">
        <f>'Site Information'!E281</f>
        <v>0</v>
      </c>
      <c r="M277" s="237"/>
      <c r="N277" s="237"/>
      <c r="O277" s="237"/>
      <c r="P277" s="237"/>
      <c r="Q277" s="237"/>
      <c r="R277" s="193">
        <f>'Site Information'!F281</f>
        <v>0</v>
      </c>
      <c r="S277" s="237"/>
      <c r="T277" s="237"/>
      <c r="U277" s="237"/>
      <c r="V277" s="237"/>
      <c r="W277" s="237"/>
      <c r="X277" s="237"/>
      <c r="Y277" s="237"/>
      <c r="Z277" s="237"/>
      <c r="AA277" s="237"/>
      <c r="AB277" s="237"/>
      <c r="AC277" s="237"/>
      <c r="AD277" s="237"/>
      <c r="AE277" s="237"/>
      <c r="AF277" s="237"/>
      <c r="AG277" s="237"/>
      <c r="AI277" s="193"/>
      <c r="AJ277" s="193"/>
    </row>
    <row r="278" spans="2:36" x14ac:dyDescent="0.35">
      <c r="B278" s="193" t="e">
        <f>"2024"&amp;MATCH(Totals!D278,OrgType,0)&amp;"_"&amp;MATCH(Totals!E278,Organisations,0)&amp;"_"&amp;LEFT(Totals!F278,1)&amp;"_"&amp;LEFT(G278,1)&amp;"_"&amp;COUNTIF($G$3:G278,G278)</f>
        <v>#N/A</v>
      </c>
      <c r="C278" s="193">
        <v>2025</v>
      </c>
      <c r="D278" s="193">
        <f>Introduction!$D$7</f>
        <v>0</v>
      </c>
      <c r="E278" s="193">
        <f>Introduction!$D$8</f>
        <v>0</v>
      </c>
      <c r="F278" s="193" t="s">
        <v>488</v>
      </c>
      <c r="G278" s="193" t="s">
        <v>489</v>
      </c>
      <c r="H278" s="195">
        <f>'Site Information'!B282</f>
        <v>0</v>
      </c>
      <c r="I278" s="194"/>
      <c r="J278" s="193">
        <f>'Site Information'!C282</f>
        <v>0</v>
      </c>
      <c r="K278" s="193">
        <f>'Site Information'!D282</f>
        <v>0</v>
      </c>
      <c r="L278" s="193">
        <f>'Site Information'!E282</f>
        <v>0</v>
      </c>
      <c r="M278" s="237"/>
      <c r="N278" s="237"/>
      <c r="O278" s="237"/>
      <c r="P278" s="237"/>
      <c r="Q278" s="237"/>
      <c r="R278" s="193">
        <f>'Site Information'!F282</f>
        <v>0</v>
      </c>
      <c r="S278" s="237"/>
      <c r="T278" s="237"/>
      <c r="U278" s="237"/>
      <c r="V278" s="237"/>
      <c r="W278" s="237"/>
      <c r="X278" s="237"/>
      <c r="Y278" s="237"/>
      <c r="Z278" s="237"/>
      <c r="AA278" s="237"/>
      <c r="AB278" s="237"/>
      <c r="AC278" s="237"/>
      <c r="AD278" s="237"/>
      <c r="AE278" s="237"/>
      <c r="AF278" s="237"/>
      <c r="AG278" s="237"/>
      <c r="AI278" s="193"/>
      <c r="AJ278" s="193"/>
    </row>
    <row r="279" spans="2:36" x14ac:dyDescent="0.35">
      <c r="B279" s="193" t="e">
        <f>"2024"&amp;MATCH(Totals!D279,OrgType,0)&amp;"_"&amp;MATCH(Totals!E279,Organisations,0)&amp;"_"&amp;LEFT(Totals!F279,1)&amp;"_"&amp;LEFT(G279,1)&amp;"_"&amp;COUNTIF($G$3:G279,G279)</f>
        <v>#N/A</v>
      </c>
      <c r="C279" s="193">
        <v>2025</v>
      </c>
      <c r="D279" s="193">
        <f>Introduction!$D$7</f>
        <v>0</v>
      </c>
      <c r="E279" s="193">
        <f>Introduction!$D$8</f>
        <v>0</v>
      </c>
      <c r="F279" s="193" t="s">
        <v>488</v>
      </c>
      <c r="G279" s="193" t="s">
        <v>489</v>
      </c>
      <c r="H279" s="195">
        <f>'Site Information'!B283</f>
        <v>0</v>
      </c>
      <c r="I279" s="194"/>
      <c r="J279" s="193">
        <f>'Site Information'!C283</f>
        <v>0</v>
      </c>
      <c r="K279" s="193">
        <f>'Site Information'!D283</f>
        <v>0</v>
      </c>
      <c r="L279" s="193">
        <f>'Site Information'!E283</f>
        <v>0</v>
      </c>
      <c r="M279" s="237"/>
      <c r="N279" s="237"/>
      <c r="O279" s="237"/>
      <c r="P279" s="237"/>
      <c r="Q279" s="237"/>
      <c r="R279" s="193">
        <f>'Site Information'!F283</f>
        <v>0</v>
      </c>
      <c r="S279" s="237"/>
      <c r="T279" s="237"/>
      <c r="U279" s="237"/>
      <c r="V279" s="237"/>
      <c r="W279" s="237"/>
      <c r="X279" s="237"/>
      <c r="Y279" s="237"/>
      <c r="Z279" s="237"/>
      <c r="AA279" s="237"/>
      <c r="AB279" s="237"/>
      <c r="AC279" s="237"/>
      <c r="AD279" s="237"/>
      <c r="AE279" s="237"/>
      <c r="AF279" s="237"/>
      <c r="AG279" s="237"/>
      <c r="AI279" s="193"/>
      <c r="AJ279" s="193"/>
    </row>
    <row r="280" spans="2:36" x14ac:dyDescent="0.35">
      <c r="B280" s="193" t="e">
        <f>"2024"&amp;MATCH(Totals!D280,OrgType,0)&amp;"_"&amp;MATCH(Totals!E280,Organisations,0)&amp;"_"&amp;LEFT(Totals!F280,1)&amp;"_"&amp;LEFT(G280,1)&amp;"_"&amp;COUNTIF($G$3:G280,G280)</f>
        <v>#N/A</v>
      </c>
      <c r="C280" s="193">
        <v>2025</v>
      </c>
      <c r="D280" s="193">
        <f>Introduction!$D$7</f>
        <v>0</v>
      </c>
      <c r="E280" s="193">
        <f>Introduction!$D$8</f>
        <v>0</v>
      </c>
      <c r="F280" s="193" t="s">
        <v>488</v>
      </c>
      <c r="G280" s="193" t="s">
        <v>489</v>
      </c>
      <c r="H280" s="195">
        <f>'Site Information'!B284</f>
        <v>0</v>
      </c>
      <c r="I280" s="194"/>
      <c r="J280" s="193">
        <f>'Site Information'!C284</f>
        <v>0</v>
      </c>
      <c r="K280" s="193">
        <f>'Site Information'!D284</f>
        <v>0</v>
      </c>
      <c r="L280" s="193">
        <f>'Site Information'!E284</f>
        <v>0</v>
      </c>
      <c r="M280" s="237"/>
      <c r="N280" s="237"/>
      <c r="O280" s="237"/>
      <c r="P280" s="237"/>
      <c r="Q280" s="237"/>
      <c r="R280" s="193">
        <f>'Site Information'!F284</f>
        <v>0</v>
      </c>
      <c r="S280" s="237"/>
      <c r="T280" s="237"/>
      <c r="U280" s="237"/>
      <c r="V280" s="237"/>
      <c r="W280" s="237"/>
      <c r="X280" s="237"/>
      <c r="Y280" s="237"/>
      <c r="Z280" s="237"/>
      <c r="AA280" s="237"/>
      <c r="AB280" s="237"/>
      <c r="AC280" s="237"/>
      <c r="AD280" s="237"/>
      <c r="AE280" s="237"/>
      <c r="AF280" s="237"/>
      <c r="AG280" s="237"/>
      <c r="AI280" s="193"/>
      <c r="AJ280" s="193"/>
    </row>
    <row r="281" spans="2:36" x14ac:dyDescent="0.35">
      <c r="B281" s="193" t="e">
        <f>"2024"&amp;MATCH(Totals!D281,OrgType,0)&amp;"_"&amp;MATCH(Totals!E281,Organisations,0)&amp;"_"&amp;LEFT(Totals!F281,1)&amp;"_"&amp;LEFT(G281,1)&amp;"_"&amp;COUNTIF($G$3:G281,G281)</f>
        <v>#N/A</v>
      </c>
      <c r="C281" s="193">
        <v>2025</v>
      </c>
      <c r="D281" s="193">
        <f>Introduction!$D$7</f>
        <v>0</v>
      </c>
      <c r="E281" s="193">
        <f>Introduction!$D$8</f>
        <v>0</v>
      </c>
      <c r="F281" s="193" t="s">
        <v>488</v>
      </c>
      <c r="G281" s="193" t="s">
        <v>489</v>
      </c>
      <c r="H281" s="195">
        <f>'Site Information'!B285</f>
        <v>0</v>
      </c>
      <c r="I281" s="194"/>
      <c r="J281" s="193">
        <f>'Site Information'!C285</f>
        <v>0</v>
      </c>
      <c r="K281" s="193">
        <f>'Site Information'!D285</f>
        <v>0</v>
      </c>
      <c r="L281" s="193">
        <f>'Site Information'!E285</f>
        <v>0</v>
      </c>
      <c r="M281" s="237"/>
      <c r="N281" s="237"/>
      <c r="O281" s="237"/>
      <c r="P281" s="237"/>
      <c r="Q281" s="237"/>
      <c r="R281" s="193">
        <f>'Site Information'!F285</f>
        <v>0</v>
      </c>
      <c r="S281" s="237"/>
      <c r="T281" s="237"/>
      <c r="U281" s="237"/>
      <c r="V281" s="237"/>
      <c r="W281" s="237"/>
      <c r="X281" s="237"/>
      <c r="Y281" s="237"/>
      <c r="Z281" s="237"/>
      <c r="AA281" s="237"/>
      <c r="AB281" s="237"/>
      <c r="AC281" s="237"/>
      <c r="AD281" s="237"/>
      <c r="AE281" s="237"/>
      <c r="AF281" s="237"/>
      <c r="AG281" s="237"/>
      <c r="AI281" s="193"/>
      <c r="AJ281" s="193"/>
    </row>
    <row r="282" spans="2:36" x14ac:dyDescent="0.35">
      <c r="B282" s="193" t="e">
        <f>"2024"&amp;MATCH(Totals!D282,OrgType,0)&amp;"_"&amp;MATCH(Totals!E282,Organisations,0)&amp;"_"&amp;LEFT(Totals!F282,1)&amp;"_"&amp;LEFT(G282,1)&amp;"_"&amp;COUNTIF($G$3:G282,G282)</f>
        <v>#N/A</v>
      </c>
      <c r="C282" s="193">
        <v>2025</v>
      </c>
      <c r="D282" s="193">
        <f>Introduction!$D$7</f>
        <v>0</v>
      </c>
      <c r="E282" s="193">
        <f>Introduction!$D$8</f>
        <v>0</v>
      </c>
      <c r="F282" s="193" t="s">
        <v>488</v>
      </c>
      <c r="G282" s="193" t="s">
        <v>489</v>
      </c>
      <c r="H282" s="195">
        <f>'Site Information'!B286</f>
        <v>0</v>
      </c>
      <c r="I282" s="194"/>
      <c r="J282" s="193">
        <f>'Site Information'!C286</f>
        <v>0</v>
      </c>
      <c r="K282" s="193">
        <f>'Site Information'!D286</f>
        <v>0</v>
      </c>
      <c r="L282" s="193">
        <f>'Site Information'!E286</f>
        <v>0</v>
      </c>
      <c r="M282" s="237"/>
      <c r="N282" s="237"/>
      <c r="O282" s="237"/>
      <c r="P282" s="237"/>
      <c r="Q282" s="237"/>
      <c r="R282" s="193">
        <f>'Site Information'!F286</f>
        <v>0</v>
      </c>
      <c r="S282" s="237"/>
      <c r="T282" s="237"/>
      <c r="U282" s="237"/>
      <c r="V282" s="237"/>
      <c r="W282" s="237"/>
      <c r="X282" s="237"/>
      <c r="Y282" s="237"/>
      <c r="Z282" s="237"/>
      <c r="AA282" s="237"/>
      <c r="AB282" s="237"/>
      <c r="AC282" s="237"/>
      <c r="AD282" s="237"/>
      <c r="AE282" s="237"/>
      <c r="AF282" s="237"/>
      <c r="AG282" s="237"/>
      <c r="AI282" s="193"/>
      <c r="AJ282" s="193"/>
    </row>
    <row r="283" spans="2:36" x14ac:dyDescent="0.35">
      <c r="B283" s="193" t="e">
        <f>"2024"&amp;MATCH(Totals!D283,OrgType,0)&amp;"_"&amp;MATCH(Totals!E283,Organisations,0)&amp;"_"&amp;LEFT(Totals!F283,1)&amp;"_"&amp;LEFT(G283,1)&amp;"_"&amp;COUNTIF($G$3:G283,G283)</f>
        <v>#N/A</v>
      </c>
      <c r="C283" s="193">
        <v>2025</v>
      </c>
      <c r="D283" s="193">
        <f>Introduction!$D$7</f>
        <v>0</v>
      </c>
      <c r="E283" s="193">
        <f>Introduction!$D$8</f>
        <v>0</v>
      </c>
      <c r="F283" s="193" t="s">
        <v>488</v>
      </c>
      <c r="G283" s="193" t="s">
        <v>489</v>
      </c>
      <c r="H283" s="195">
        <f>'Site Information'!B287</f>
        <v>0</v>
      </c>
      <c r="I283" s="194"/>
      <c r="J283" s="193">
        <f>'Site Information'!C287</f>
        <v>0</v>
      </c>
      <c r="K283" s="193">
        <f>'Site Information'!D287</f>
        <v>0</v>
      </c>
      <c r="L283" s="193">
        <f>'Site Information'!E287</f>
        <v>0</v>
      </c>
      <c r="M283" s="237"/>
      <c r="N283" s="237"/>
      <c r="O283" s="237"/>
      <c r="P283" s="237"/>
      <c r="Q283" s="237"/>
      <c r="R283" s="193">
        <f>'Site Information'!F287</f>
        <v>0</v>
      </c>
      <c r="S283" s="237"/>
      <c r="T283" s="237"/>
      <c r="U283" s="237"/>
      <c r="V283" s="237"/>
      <c r="W283" s="237"/>
      <c r="X283" s="237"/>
      <c r="Y283" s="237"/>
      <c r="Z283" s="237"/>
      <c r="AA283" s="237"/>
      <c r="AB283" s="237"/>
      <c r="AC283" s="237"/>
      <c r="AD283" s="237"/>
      <c r="AE283" s="237"/>
      <c r="AF283" s="237"/>
      <c r="AG283" s="237"/>
      <c r="AI283" s="193"/>
      <c r="AJ283" s="193"/>
    </row>
    <row r="284" spans="2:36" x14ac:dyDescent="0.35">
      <c r="B284" s="193" t="e">
        <f>"2024"&amp;MATCH(Totals!D284,OrgType,0)&amp;"_"&amp;MATCH(Totals!E284,Organisations,0)&amp;"_"&amp;LEFT(Totals!F284,1)&amp;"_"&amp;LEFT(G284,1)&amp;"_"&amp;COUNTIF($G$3:G284,G284)</f>
        <v>#N/A</v>
      </c>
      <c r="C284" s="193">
        <v>2025</v>
      </c>
      <c r="D284" s="193">
        <f>Introduction!$D$7</f>
        <v>0</v>
      </c>
      <c r="E284" s="193">
        <f>Introduction!$D$8</f>
        <v>0</v>
      </c>
      <c r="F284" s="193" t="s">
        <v>488</v>
      </c>
      <c r="G284" s="193" t="s">
        <v>489</v>
      </c>
      <c r="H284" s="195">
        <f>'Site Information'!B288</f>
        <v>0</v>
      </c>
      <c r="I284" s="194"/>
      <c r="J284" s="193">
        <f>'Site Information'!C288</f>
        <v>0</v>
      </c>
      <c r="K284" s="193">
        <f>'Site Information'!D288</f>
        <v>0</v>
      </c>
      <c r="L284" s="193">
        <f>'Site Information'!E288</f>
        <v>0</v>
      </c>
      <c r="M284" s="237"/>
      <c r="N284" s="237"/>
      <c r="O284" s="237"/>
      <c r="P284" s="237"/>
      <c r="Q284" s="237"/>
      <c r="R284" s="193">
        <f>'Site Information'!F288</f>
        <v>0</v>
      </c>
      <c r="S284" s="237"/>
      <c r="T284" s="237"/>
      <c r="U284" s="237"/>
      <c r="V284" s="237"/>
      <c r="W284" s="237"/>
      <c r="X284" s="237"/>
      <c r="Y284" s="237"/>
      <c r="Z284" s="237"/>
      <c r="AA284" s="237"/>
      <c r="AB284" s="237"/>
      <c r="AC284" s="237"/>
      <c r="AD284" s="237"/>
      <c r="AE284" s="237"/>
      <c r="AF284" s="237"/>
      <c r="AG284" s="237"/>
      <c r="AI284" s="193"/>
      <c r="AJ284" s="193"/>
    </row>
    <row r="285" spans="2:36" x14ac:dyDescent="0.35">
      <c r="B285" s="193" t="e">
        <f>"2024"&amp;MATCH(Totals!D285,OrgType,0)&amp;"_"&amp;MATCH(Totals!E285,Organisations,0)&amp;"_"&amp;LEFT(Totals!F285,1)&amp;"_"&amp;LEFT(G285,1)&amp;"_"&amp;COUNTIF($G$3:G285,G285)</f>
        <v>#N/A</v>
      </c>
      <c r="C285" s="193">
        <v>2025</v>
      </c>
      <c r="D285" s="193">
        <f>Introduction!$D$7</f>
        <v>0</v>
      </c>
      <c r="E285" s="193">
        <f>Introduction!$D$8</f>
        <v>0</v>
      </c>
      <c r="F285" s="193" t="s">
        <v>488</v>
      </c>
      <c r="G285" s="193" t="s">
        <v>489</v>
      </c>
      <c r="H285" s="195">
        <f>'Site Information'!B289</f>
        <v>0</v>
      </c>
      <c r="I285" s="194"/>
      <c r="J285" s="193">
        <f>'Site Information'!C289</f>
        <v>0</v>
      </c>
      <c r="K285" s="193">
        <f>'Site Information'!D289</f>
        <v>0</v>
      </c>
      <c r="L285" s="193">
        <f>'Site Information'!E289</f>
        <v>0</v>
      </c>
      <c r="M285" s="237"/>
      <c r="N285" s="237"/>
      <c r="O285" s="237"/>
      <c r="P285" s="237"/>
      <c r="Q285" s="237"/>
      <c r="R285" s="193">
        <f>'Site Information'!F289</f>
        <v>0</v>
      </c>
      <c r="S285" s="237"/>
      <c r="T285" s="237"/>
      <c r="U285" s="237"/>
      <c r="V285" s="237"/>
      <c r="W285" s="237"/>
      <c r="X285" s="237"/>
      <c r="Y285" s="237"/>
      <c r="Z285" s="237"/>
      <c r="AA285" s="237"/>
      <c r="AB285" s="237"/>
      <c r="AC285" s="237"/>
      <c r="AD285" s="237"/>
      <c r="AE285" s="237"/>
      <c r="AF285" s="237"/>
      <c r="AG285" s="237"/>
      <c r="AI285" s="193"/>
      <c r="AJ285" s="193"/>
    </row>
    <row r="286" spans="2:36" x14ac:dyDescent="0.35">
      <c r="B286" s="193" t="e">
        <f>"2024"&amp;MATCH(Totals!D286,OrgType,0)&amp;"_"&amp;MATCH(Totals!E286,Organisations,0)&amp;"_"&amp;LEFT(Totals!F286,1)&amp;"_"&amp;LEFT(G286,1)&amp;"_"&amp;COUNTIF($G$3:G286,G286)</f>
        <v>#N/A</v>
      </c>
      <c r="C286" s="193">
        <v>2025</v>
      </c>
      <c r="D286" s="193">
        <f>Introduction!$D$7</f>
        <v>0</v>
      </c>
      <c r="E286" s="193">
        <f>Introduction!$D$8</f>
        <v>0</v>
      </c>
      <c r="F286" s="193" t="s">
        <v>488</v>
      </c>
      <c r="G286" s="193" t="s">
        <v>489</v>
      </c>
      <c r="H286" s="195">
        <f>'Site Information'!B290</f>
        <v>0</v>
      </c>
      <c r="I286" s="194"/>
      <c r="J286" s="193">
        <f>'Site Information'!C290</f>
        <v>0</v>
      </c>
      <c r="K286" s="193">
        <f>'Site Information'!D290</f>
        <v>0</v>
      </c>
      <c r="L286" s="193">
        <f>'Site Information'!E290</f>
        <v>0</v>
      </c>
      <c r="M286" s="237"/>
      <c r="N286" s="237"/>
      <c r="O286" s="237"/>
      <c r="P286" s="237"/>
      <c r="Q286" s="237"/>
      <c r="R286" s="193">
        <f>'Site Information'!F290</f>
        <v>0</v>
      </c>
      <c r="S286" s="237"/>
      <c r="T286" s="237"/>
      <c r="U286" s="237"/>
      <c r="V286" s="237"/>
      <c r="W286" s="237"/>
      <c r="X286" s="237"/>
      <c r="Y286" s="237"/>
      <c r="Z286" s="237"/>
      <c r="AA286" s="237"/>
      <c r="AB286" s="237"/>
      <c r="AC286" s="237"/>
      <c r="AD286" s="237"/>
      <c r="AE286" s="237"/>
      <c r="AF286" s="237"/>
      <c r="AG286" s="237"/>
      <c r="AI286" s="193"/>
      <c r="AJ286" s="193"/>
    </row>
    <row r="287" spans="2:36" x14ac:dyDescent="0.35">
      <c r="B287" s="193" t="e">
        <f>"2024"&amp;MATCH(Totals!D287,OrgType,0)&amp;"_"&amp;MATCH(Totals!E287,Organisations,0)&amp;"_"&amp;LEFT(Totals!F287,1)&amp;"_"&amp;LEFT(G287,1)&amp;"_"&amp;COUNTIF($G$3:G287,G287)</f>
        <v>#N/A</v>
      </c>
      <c r="C287" s="193">
        <v>2025</v>
      </c>
      <c r="D287" s="193">
        <f>Introduction!$D$7</f>
        <v>0</v>
      </c>
      <c r="E287" s="193">
        <f>Introduction!$D$8</f>
        <v>0</v>
      </c>
      <c r="F287" s="193" t="s">
        <v>488</v>
      </c>
      <c r="G287" s="193" t="s">
        <v>489</v>
      </c>
      <c r="H287" s="195">
        <f>'Site Information'!B291</f>
        <v>0</v>
      </c>
      <c r="I287" s="194"/>
      <c r="J287" s="193">
        <f>'Site Information'!C291</f>
        <v>0</v>
      </c>
      <c r="K287" s="193">
        <f>'Site Information'!D291</f>
        <v>0</v>
      </c>
      <c r="L287" s="193">
        <f>'Site Information'!E291</f>
        <v>0</v>
      </c>
      <c r="M287" s="237"/>
      <c r="N287" s="237"/>
      <c r="O287" s="237"/>
      <c r="P287" s="237"/>
      <c r="Q287" s="237"/>
      <c r="R287" s="193">
        <f>'Site Information'!F291</f>
        <v>0</v>
      </c>
      <c r="S287" s="237"/>
      <c r="T287" s="237"/>
      <c r="U287" s="237"/>
      <c r="V287" s="237"/>
      <c r="W287" s="237"/>
      <c r="X287" s="237"/>
      <c r="Y287" s="237"/>
      <c r="Z287" s="237"/>
      <c r="AA287" s="237"/>
      <c r="AB287" s="237"/>
      <c r="AC287" s="237"/>
      <c r="AD287" s="237"/>
      <c r="AE287" s="237"/>
      <c r="AF287" s="237"/>
      <c r="AG287" s="237"/>
      <c r="AI287" s="193"/>
      <c r="AJ287" s="193"/>
    </row>
    <row r="288" spans="2:36" x14ac:dyDescent="0.35">
      <c r="B288" s="193" t="e">
        <f>"2024"&amp;MATCH(Totals!D288,OrgType,0)&amp;"_"&amp;MATCH(Totals!E288,Organisations,0)&amp;"_"&amp;LEFT(Totals!F288,1)&amp;"_"&amp;LEFT(G288,1)&amp;"_"&amp;COUNTIF($G$3:G288,G288)</f>
        <v>#N/A</v>
      </c>
      <c r="C288" s="193">
        <v>2025</v>
      </c>
      <c r="D288" s="193">
        <f>Introduction!$D$7</f>
        <v>0</v>
      </c>
      <c r="E288" s="193">
        <f>Introduction!$D$8</f>
        <v>0</v>
      </c>
      <c r="F288" s="193" t="s">
        <v>488</v>
      </c>
      <c r="G288" s="193" t="s">
        <v>489</v>
      </c>
      <c r="H288" s="195">
        <f>'Site Information'!B292</f>
        <v>0</v>
      </c>
      <c r="I288" s="194"/>
      <c r="J288" s="193">
        <f>'Site Information'!C292</f>
        <v>0</v>
      </c>
      <c r="K288" s="193">
        <f>'Site Information'!D292</f>
        <v>0</v>
      </c>
      <c r="L288" s="193">
        <f>'Site Information'!E292</f>
        <v>0</v>
      </c>
      <c r="M288" s="237"/>
      <c r="N288" s="237"/>
      <c r="O288" s="237"/>
      <c r="P288" s="237"/>
      <c r="Q288" s="237"/>
      <c r="R288" s="193">
        <f>'Site Information'!F292</f>
        <v>0</v>
      </c>
      <c r="S288" s="237"/>
      <c r="T288" s="237"/>
      <c r="U288" s="237"/>
      <c r="V288" s="237"/>
      <c r="W288" s="237"/>
      <c r="X288" s="237"/>
      <c r="Y288" s="237"/>
      <c r="Z288" s="237"/>
      <c r="AA288" s="237"/>
      <c r="AB288" s="237"/>
      <c r="AC288" s="237"/>
      <c r="AD288" s="237"/>
      <c r="AE288" s="237"/>
      <c r="AF288" s="237"/>
      <c r="AG288" s="237"/>
      <c r="AI288" s="193"/>
      <c r="AJ288" s="193"/>
    </row>
    <row r="289" spans="2:36" x14ac:dyDescent="0.35">
      <c r="B289" s="193" t="e">
        <f>"2024"&amp;MATCH(Totals!D289,OrgType,0)&amp;"_"&amp;MATCH(Totals!E289,Organisations,0)&amp;"_"&amp;LEFT(Totals!F289,1)&amp;"_"&amp;LEFT(G289,1)&amp;"_"&amp;COUNTIF($G$3:G289,G289)</f>
        <v>#N/A</v>
      </c>
      <c r="C289" s="193">
        <v>2025</v>
      </c>
      <c r="D289" s="193">
        <f>Introduction!$D$7</f>
        <v>0</v>
      </c>
      <c r="E289" s="193">
        <f>Introduction!$D$8</f>
        <v>0</v>
      </c>
      <c r="F289" s="193" t="s">
        <v>488</v>
      </c>
      <c r="G289" s="193" t="s">
        <v>489</v>
      </c>
      <c r="H289" s="195">
        <f>'Site Information'!B293</f>
        <v>0</v>
      </c>
      <c r="I289" s="194"/>
      <c r="J289" s="193">
        <f>'Site Information'!C293</f>
        <v>0</v>
      </c>
      <c r="K289" s="193">
        <f>'Site Information'!D293</f>
        <v>0</v>
      </c>
      <c r="L289" s="193">
        <f>'Site Information'!E293</f>
        <v>0</v>
      </c>
      <c r="M289" s="237"/>
      <c r="N289" s="237"/>
      <c r="O289" s="237"/>
      <c r="P289" s="237"/>
      <c r="Q289" s="237"/>
      <c r="R289" s="193">
        <f>'Site Information'!F293</f>
        <v>0</v>
      </c>
      <c r="S289" s="237"/>
      <c r="T289" s="237"/>
      <c r="U289" s="237"/>
      <c r="V289" s="237"/>
      <c r="W289" s="237"/>
      <c r="X289" s="237"/>
      <c r="Y289" s="237"/>
      <c r="Z289" s="237"/>
      <c r="AA289" s="237"/>
      <c r="AB289" s="237"/>
      <c r="AC289" s="237"/>
      <c r="AD289" s="237"/>
      <c r="AE289" s="237"/>
      <c r="AF289" s="237"/>
      <c r="AG289" s="237"/>
      <c r="AI289" s="193"/>
      <c r="AJ289" s="193"/>
    </row>
    <row r="290" spans="2:36" x14ac:dyDescent="0.35">
      <c r="B290" s="193" t="e">
        <f>"2024"&amp;MATCH(Totals!D290,OrgType,0)&amp;"_"&amp;MATCH(Totals!E290,Organisations,0)&amp;"_"&amp;LEFT(Totals!F290,1)&amp;"_"&amp;LEFT(G290,1)&amp;"_"&amp;COUNTIF($G$3:G290,G290)</f>
        <v>#N/A</v>
      </c>
      <c r="C290" s="193">
        <v>2025</v>
      </c>
      <c r="D290" s="193">
        <f>Introduction!$D$7</f>
        <v>0</v>
      </c>
      <c r="E290" s="193">
        <f>Introduction!$D$8</f>
        <v>0</v>
      </c>
      <c r="F290" s="193" t="s">
        <v>488</v>
      </c>
      <c r="G290" s="193" t="s">
        <v>489</v>
      </c>
      <c r="H290" s="195">
        <f>'Site Information'!B294</f>
        <v>0</v>
      </c>
      <c r="I290" s="194"/>
      <c r="J290" s="193">
        <f>'Site Information'!C294</f>
        <v>0</v>
      </c>
      <c r="K290" s="193">
        <f>'Site Information'!D294</f>
        <v>0</v>
      </c>
      <c r="L290" s="193">
        <f>'Site Information'!E294</f>
        <v>0</v>
      </c>
      <c r="M290" s="237"/>
      <c r="N290" s="237"/>
      <c r="O290" s="237"/>
      <c r="P290" s="237"/>
      <c r="Q290" s="237"/>
      <c r="R290" s="193">
        <f>'Site Information'!F294</f>
        <v>0</v>
      </c>
      <c r="S290" s="237"/>
      <c r="T290" s="237"/>
      <c r="U290" s="237"/>
      <c r="V290" s="237"/>
      <c r="W290" s="237"/>
      <c r="X290" s="237"/>
      <c r="Y290" s="237"/>
      <c r="Z290" s="237"/>
      <c r="AA290" s="237"/>
      <c r="AB290" s="237"/>
      <c r="AC290" s="237"/>
      <c r="AD290" s="237"/>
      <c r="AE290" s="237"/>
      <c r="AF290" s="237"/>
      <c r="AG290" s="237"/>
      <c r="AI290" s="193"/>
      <c r="AJ290" s="193"/>
    </row>
    <row r="291" spans="2:36" x14ac:dyDescent="0.35">
      <c r="B291" s="193" t="e">
        <f>"2024"&amp;MATCH(Totals!D291,OrgType,0)&amp;"_"&amp;MATCH(Totals!E291,Organisations,0)&amp;"_"&amp;LEFT(Totals!F291,1)&amp;"_"&amp;LEFT(G291,1)&amp;"_"&amp;COUNTIF($G$3:G291,G291)</f>
        <v>#N/A</v>
      </c>
      <c r="C291" s="193">
        <v>2025</v>
      </c>
      <c r="D291" s="193">
        <f>Introduction!$D$7</f>
        <v>0</v>
      </c>
      <c r="E291" s="193">
        <f>Introduction!$D$8</f>
        <v>0</v>
      </c>
      <c r="F291" s="193" t="s">
        <v>488</v>
      </c>
      <c r="G291" s="193" t="s">
        <v>489</v>
      </c>
      <c r="H291" s="195">
        <f>'Site Information'!B295</f>
        <v>0</v>
      </c>
      <c r="I291" s="194"/>
      <c r="J291" s="193">
        <f>'Site Information'!C295</f>
        <v>0</v>
      </c>
      <c r="K291" s="193">
        <f>'Site Information'!D295</f>
        <v>0</v>
      </c>
      <c r="L291" s="193">
        <f>'Site Information'!E295</f>
        <v>0</v>
      </c>
      <c r="M291" s="237"/>
      <c r="N291" s="237"/>
      <c r="O291" s="237"/>
      <c r="P291" s="237"/>
      <c r="Q291" s="237"/>
      <c r="R291" s="193">
        <f>'Site Information'!F295</f>
        <v>0</v>
      </c>
      <c r="S291" s="237"/>
      <c r="T291" s="237"/>
      <c r="U291" s="237"/>
      <c r="V291" s="237"/>
      <c r="W291" s="237"/>
      <c r="X291" s="237"/>
      <c r="Y291" s="237"/>
      <c r="Z291" s="237"/>
      <c r="AA291" s="237"/>
      <c r="AB291" s="237"/>
      <c r="AC291" s="237"/>
      <c r="AD291" s="237"/>
      <c r="AE291" s="237"/>
      <c r="AF291" s="237"/>
      <c r="AG291" s="237"/>
      <c r="AI291" s="193"/>
      <c r="AJ291" s="193"/>
    </row>
    <row r="292" spans="2:36" x14ac:dyDescent="0.35">
      <c r="B292" s="193" t="e">
        <f>"2024"&amp;MATCH(Totals!D292,OrgType,0)&amp;"_"&amp;MATCH(Totals!E292,Organisations,0)&amp;"_"&amp;LEFT(Totals!F292,1)&amp;"_"&amp;LEFT(G292,1)&amp;"_"&amp;COUNTIF($G$3:G292,G292)</f>
        <v>#N/A</v>
      </c>
      <c r="C292" s="193">
        <v>2025</v>
      </c>
      <c r="D292" s="193">
        <f>Introduction!$D$7</f>
        <v>0</v>
      </c>
      <c r="E292" s="193">
        <f>Introduction!$D$8</f>
        <v>0</v>
      </c>
      <c r="F292" s="193" t="s">
        <v>488</v>
      </c>
      <c r="G292" s="193" t="s">
        <v>489</v>
      </c>
      <c r="H292" s="195">
        <f>'Site Information'!B296</f>
        <v>0</v>
      </c>
      <c r="I292" s="194"/>
      <c r="J292" s="193">
        <f>'Site Information'!C296</f>
        <v>0</v>
      </c>
      <c r="K292" s="193">
        <f>'Site Information'!D296</f>
        <v>0</v>
      </c>
      <c r="L292" s="193">
        <f>'Site Information'!E296</f>
        <v>0</v>
      </c>
      <c r="M292" s="237"/>
      <c r="N292" s="237"/>
      <c r="O292" s="237"/>
      <c r="P292" s="237"/>
      <c r="Q292" s="237"/>
      <c r="R292" s="193">
        <f>'Site Information'!F296</f>
        <v>0</v>
      </c>
      <c r="S292" s="237"/>
      <c r="T292" s="237"/>
      <c r="U292" s="237"/>
      <c r="V292" s="237"/>
      <c r="W292" s="237"/>
      <c r="X292" s="237"/>
      <c r="Y292" s="237"/>
      <c r="Z292" s="237"/>
      <c r="AA292" s="237"/>
      <c r="AB292" s="237"/>
      <c r="AC292" s="237"/>
      <c r="AD292" s="237"/>
      <c r="AE292" s="237"/>
      <c r="AF292" s="237"/>
      <c r="AG292" s="237"/>
      <c r="AI292" s="193"/>
      <c r="AJ292" s="193"/>
    </row>
    <row r="293" spans="2:36" x14ac:dyDescent="0.35">
      <c r="B293" s="193" t="e">
        <f>"2024"&amp;MATCH(Totals!D293,OrgType,0)&amp;"_"&amp;MATCH(Totals!E293,Organisations,0)&amp;"_"&amp;LEFT(Totals!F293,1)&amp;"_"&amp;LEFT(G293,1)&amp;"_"&amp;COUNTIF($G$3:G293,G293)</f>
        <v>#N/A</v>
      </c>
      <c r="C293" s="193">
        <v>2025</v>
      </c>
      <c r="D293" s="193">
        <f>Introduction!$D$7</f>
        <v>0</v>
      </c>
      <c r="E293" s="193">
        <f>Introduction!$D$8</f>
        <v>0</v>
      </c>
      <c r="F293" s="193" t="s">
        <v>488</v>
      </c>
      <c r="G293" s="193" t="s">
        <v>489</v>
      </c>
      <c r="H293" s="195">
        <f>'Site Information'!B297</f>
        <v>0</v>
      </c>
      <c r="I293" s="194"/>
      <c r="J293" s="193">
        <f>'Site Information'!C297</f>
        <v>0</v>
      </c>
      <c r="K293" s="193">
        <f>'Site Information'!D297</f>
        <v>0</v>
      </c>
      <c r="L293" s="193">
        <f>'Site Information'!E297</f>
        <v>0</v>
      </c>
      <c r="M293" s="237"/>
      <c r="N293" s="237"/>
      <c r="O293" s="237"/>
      <c r="P293" s="237"/>
      <c r="Q293" s="237"/>
      <c r="R293" s="193">
        <f>'Site Information'!F297</f>
        <v>0</v>
      </c>
      <c r="S293" s="237"/>
      <c r="T293" s="237"/>
      <c r="U293" s="237"/>
      <c r="V293" s="237"/>
      <c r="W293" s="237"/>
      <c r="X293" s="237"/>
      <c r="Y293" s="237"/>
      <c r="Z293" s="237"/>
      <c r="AA293" s="237"/>
      <c r="AB293" s="237"/>
      <c r="AC293" s="237"/>
      <c r="AD293" s="237"/>
      <c r="AE293" s="237"/>
      <c r="AF293" s="237"/>
      <c r="AG293" s="237"/>
      <c r="AI293" s="193"/>
      <c r="AJ293" s="193"/>
    </row>
    <row r="294" spans="2:36" x14ac:dyDescent="0.35">
      <c r="B294" s="193" t="e">
        <f>"2024"&amp;MATCH(Totals!D294,OrgType,0)&amp;"_"&amp;MATCH(Totals!E294,Organisations,0)&amp;"_"&amp;LEFT(Totals!F294,1)&amp;"_"&amp;LEFT(G294,1)&amp;"_"&amp;COUNTIF($G$3:G294,G294)</f>
        <v>#N/A</v>
      </c>
      <c r="C294" s="193">
        <v>2025</v>
      </c>
      <c r="D294" s="193">
        <f>Introduction!$D$7</f>
        <v>0</v>
      </c>
      <c r="E294" s="193">
        <f>Introduction!$D$8</f>
        <v>0</v>
      </c>
      <c r="F294" s="193" t="s">
        <v>488</v>
      </c>
      <c r="G294" s="193" t="s">
        <v>489</v>
      </c>
      <c r="H294" s="195">
        <f>'Site Information'!B298</f>
        <v>0</v>
      </c>
      <c r="I294" s="194"/>
      <c r="J294" s="193">
        <f>'Site Information'!C298</f>
        <v>0</v>
      </c>
      <c r="K294" s="193">
        <f>'Site Information'!D298</f>
        <v>0</v>
      </c>
      <c r="L294" s="193">
        <f>'Site Information'!E298</f>
        <v>0</v>
      </c>
      <c r="M294" s="237"/>
      <c r="N294" s="237"/>
      <c r="O294" s="237"/>
      <c r="P294" s="237"/>
      <c r="Q294" s="237"/>
      <c r="R294" s="193">
        <f>'Site Information'!F298</f>
        <v>0</v>
      </c>
      <c r="S294" s="237"/>
      <c r="T294" s="237"/>
      <c r="U294" s="237"/>
      <c r="V294" s="237"/>
      <c r="W294" s="237"/>
      <c r="X294" s="237"/>
      <c r="Y294" s="237"/>
      <c r="Z294" s="237"/>
      <c r="AA294" s="237"/>
      <c r="AB294" s="237"/>
      <c r="AC294" s="237"/>
      <c r="AD294" s="237"/>
      <c r="AE294" s="237"/>
      <c r="AF294" s="237"/>
      <c r="AG294" s="237"/>
      <c r="AI294" s="193"/>
      <c r="AJ294" s="193"/>
    </row>
    <row r="295" spans="2:36" x14ac:dyDescent="0.35">
      <c r="B295" s="193" t="e">
        <f>"2024"&amp;MATCH(Totals!D295,OrgType,0)&amp;"_"&amp;MATCH(Totals!E295,Organisations,0)&amp;"_"&amp;LEFT(Totals!F295,1)&amp;"_"&amp;LEFT(G295,1)&amp;"_"&amp;COUNTIF($G$3:G295,G295)</f>
        <v>#N/A</v>
      </c>
      <c r="C295" s="193">
        <v>2025</v>
      </c>
      <c r="D295" s="193">
        <f>Introduction!$D$7</f>
        <v>0</v>
      </c>
      <c r="E295" s="193">
        <f>Introduction!$D$8</f>
        <v>0</v>
      </c>
      <c r="F295" s="193" t="s">
        <v>488</v>
      </c>
      <c r="G295" s="193" t="s">
        <v>489</v>
      </c>
      <c r="H295" s="195">
        <f>'Site Information'!B299</f>
        <v>0</v>
      </c>
      <c r="I295" s="194"/>
      <c r="J295" s="193">
        <f>'Site Information'!C299</f>
        <v>0</v>
      </c>
      <c r="K295" s="193">
        <f>'Site Information'!D299</f>
        <v>0</v>
      </c>
      <c r="L295" s="193">
        <f>'Site Information'!E299</f>
        <v>0</v>
      </c>
      <c r="M295" s="237"/>
      <c r="N295" s="237"/>
      <c r="O295" s="237"/>
      <c r="P295" s="237"/>
      <c r="Q295" s="237"/>
      <c r="R295" s="193">
        <f>'Site Information'!F299</f>
        <v>0</v>
      </c>
      <c r="S295" s="237"/>
      <c r="T295" s="237"/>
      <c r="U295" s="237"/>
      <c r="V295" s="237"/>
      <c r="W295" s="237"/>
      <c r="X295" s="237"/>
      <c r="Y295" s="237"/>
      <c r="Z295" s="237"/>
      <c r="AA295" s="237"/>
      <c r="AB295" s="237"/>
      <c r="AC295" s="237"/>
      <c r="AD295" s="237"/>
      <c r="AE295" s="237"/>
      <c r="AF295" s="237"/>
      <c r="AG295" s="237"/>
      <c r="AI295" s="193"/>
      <c r="AJ295" s="193"/>
    </row>
    <row r="296" spans="2:36" x14ac:dyDescent="0.35">
      <c r="B296" s="193" t="e">
        <f>"2024"&amp;MATCH(Totals!D296,OrgType,0)&amp;"_"&amp;MATCH(Totals!E296,Organisations,0)&amp;"_"&amp;LEFT(Totals!F296,1)&amp;"_"&amp;LEFT(G296,1)&amp;"_"&amp;COUNTIF($G$3:G296,G296)</f>
        <v>#N/A</v>
      </c>
      <c r="C296" s="193">
        <v>2025</v>
      </c>
      <c r="D296" s="193">
        <f>Introduction!$D$7</f>
        <v>0</v>
      </c>
      <c r="E296" s="193">
        <f>Introduction!$D$8</f>
        <v>0</v>
      </c>
      <c r="F296" s="193" t="s">
        <v>488</v>
      </c>
      <c r="G296" s="193" t="s">
        <v>489</v>
      </c>
      <c r="H296" s="195">
        <f>'Site Information'!B300</f>
        <v>0</v>
      </c>
      <c r="I296" s="194"/>
      <c r="J296" s="193">
        <f>'Site Information'!C300</f>
        <v>0</v>
      </c>
      <c r="K296" s="193">
        <f>'Site Information'!D300</f>
        <v>0</v>
      </c>
      <c r="L296" s="193">
        <f>'Site Information'!E300</f>
        <v>0</v>
      </c>
      <c r="M296" s="237"/>
      <c r="N296" s="237"/>
      <c r="O296" s="237"/>
      <c r="P296" s="237"/>
      <c r="Q296" s="237"/>
      <c r="R296" s="193">
        <f>'Site Information'!F300</f>
        <v>0</v>
      </c>
      <c r="S296" s="237"/>
      <c r="T296" s="237"/>
      <c r="U296" s="237"/>
      <c r="V296" s="237"/>
      <c r="W296" s="237"/>
      <c r="X296" s="237"/>
      <c r="Y296" s="237"/>
      <c r="Z296" s="237"/>
      <c r="AA296" s="237"/>
      <c r="AB296" s="237"/>
      <c r="AC296" s="237"/>
      <c r="AD296" s="237"/>
      <c r="AE296" s="237"/>
      <c r="AF296" s="237"/>
      <c r="AG296" s="237"/>
      <c r="AI296" s="193"/>
      <c r="AJ296" s="193"/>
    </row>
    <row r="297" spans="2:36" x14ac:dyDescent="0.35">
      <c r="B297" s="193" t="e">
        <f>"2024"&amp;MATCH(Totals!D297,OrgType,0)&amp;"_"&amp;MATCH(Totals!E297,Organisations,0)&amp;"_"&amp;LEFT(Totals!F297,1)&amp;"_"&amp;LEFT(G297,1)&amp;"_"&amp;COUNTIF($G$3:G297,G297)</f>
        <v>#N/A</v>
      </c>
      <c r="C297" s="193">
        <v>2025</v>
      </c>
      <c r="D297" s="193">
        <f>Introduction!$D$7</f>
        <v>0</v>
      </c>
      <c r="E297" s="193">
        <f>Introduction!$D$8</f>
        <v>0</v>
      </c>
      <c r="F297" s="193" t="s">
        <v>488</v>
      </c>
      <c r="G297" s="193" t="s">
        <v>489</v>
      </c>
      <c r="H297" s="195">
        <f>'Site Information'!B301</f>
        <v>0</v>
      </c>
      <c r="I297" s="194"/>
      <c r="J297" s="193">
        <f>'Site Information'!C301</f>
        <v>0</v>
      </c>
      <c r="K297" s="193">
        <f>'Site Information'!D301</f>
        <v>0</v>
      </c>
      <c r="L297" s="193">
        <f>'Site Information'!E301</f>
        <v>0</v>
      </c>
      <c r="M297" s="237"/>
      <c r="N297" s="237"/>
      <c r="O297" s="237"/>
      <c r="P297" s="237"/>
      <c r="Q297" s="237"/>
      <c r="R297" s="193">
        <f>'Site Information'!F301</f>
        <v>0</v>
      </c>
      <c r="S297" s="237"/>
      <c r="T297" s="237"/>
      <c r="U297" s="237"/>
      <c r="V297" s="237"/>
      <c r="W297" s="237"/>
      <c r="X297" s="237"/>
      <c r="Y297" s="237"/>
      <c r="Z297" s="237"/>
      <c r="AA297" s="237"/>
      <c r="AB297" s="237"/>
      <c r="AC297" s="237"/>
      <c r="AD297" s="237"/>
      <c r="AE297" s="237"/>
      <c r="AF297" s="237"/>
      <c r="AG297" s="237"/>
      <c r="AI297" s="193"/>
      <c r="AJ297" s="193"/>
    </row>
    <row r="298" spans="2:36" x14ac:dyDescent="0.35">
      <c r="B298" s="193" t="e">
        <f>"2024"&amp;MATCH(Totals!D298,OrgType,0)&amp;"_"&amp;MATCH(Totals!E298,Organisations,0)&amp;"_"&amp;LEFT(Totals!F298,1)&amp;"_"&amp;LEFT(G298,1)&amp;"_"&amp;COUNTIF($G$3:G298,G298)</f>
        <v>#N/A</v>
      </c>
      <c r="C298" s="193">
        <v>2025</v>
      </c>
      <c r="D298" s="193">
        <f>Introduction!$D$7</f>
        <v>0</v>
      </c>
      <c r="E298" s="193">
        <f>Introduction!$D$8</f>
        <v>0</v>
      </c>
      <c r="F298" s="193" t="s">
        <v>488</v>
      </c>
      <c r="G298" s="193" t="s">
        <v>489</v>
      </c>
      <c r="H298" s="195">
        <f>'Site Information'!B302</f>
        <v>0</v>
      </c>
      <c r="I298" s="194"/>
      <c r="J298" s="193">
        <f>'Site Information'!C302</f>
        <v>0</v>
      </c>
      <c r="K298" s="193">
        <f>'Site Information'!D302</f>
        <v>0</v>
      </c>
      <c r="L298" s="193">
        <f>'Site Information'!E302</f>
        <v>0</v>
      </c>
      <c r="M298" s="237"/>
      <c r="N298" s="237"/>
      <c r="O298" s="237"/>
      <c r="P298" s="237"/>
      <c r="Q298" s="237"/>
      <c r="R298" s="193">
        <f>'Site Information'!F302</f>
        <v>0</v>
      </c>
      <c r="S298" s="237"/>
      <c r="T298" s="237"/>
      <c r="U298" s="237"/>
      <c r="V298" s="237"/>
      <c r="W298" s="237"/>
      <c r="X298" s="237"/>
      <c r="Y298" s="237"/>
      <c r="Z298" s="237"/>
      <c r="AA298" s="237"/>
      <c r="AB298" s="237"/>
      <c r="AC298" s="237"/>
      <c r="AD298" s="237"/>
      <c r="AE298" s="237"/>
      <c r="AF298" s="237"/>
      <c r="AG298" s="237"/>
      <c r="AI298" s="193"/>
      <c r="AJ298" s="193"/>
    </row>
    <row r="299" spans="2:36" x14ac:dyDescent="0.35">
      <c r="B299" s="193" t="e">
        <f>"2024"&amp;MATCH(Totals!D299,OrgType,0)&amp;"_"&amp;MATCH(Totals!E299,Organisations,0)&amp;"_"&amp;LEFT(Totals!F299,1)&amp;"_"&amp;LEFT(G299,1)&amp;"_"&amp;COUNTIF($G$3:G299,G299)</f>
        <v>#N/A</v>
      </c>
      <c r="C299" s="193">
        <v>2025</v>
      </c>
      <c r="D299" s="193">
        <f>Introduction!$D$7</f>
        <v>0</v>
      </c>
      <c r="E299" s="193">
        <f>Introduction!$D$8</f>
        <v>0</v>
      </c>
      <c r="F299" s="193" t="s">
        <v>488</v>
      </c>
      <c r="G299" s="193" t="s">
        <v>489</v>
      </c>
      <c r="H299" s="195">
        <f>'Site Information'!B303</f>
        <v>0</v>
      </c>
      <c r="I299" s="194"/>
      <c r="J299" s="193">
        <f>'Site Information'!C303</f>
        <v>0</v>
      </c>
      <c r="K299" s="193">
        <f>'Site Information'!D303</f>
        <v>0</v>
      </c>
      <c r="L299" s="193">
        <f>'Site Information'!E303</f>
        <v>0</v>
      </c>
      <c r="M299" s="237"/>
      <c r="N299" s="237"/>
      <c r="O299" s="237"/>
      <c r="P299" s="237"/>
      <c r="Q299" s="237"/>
      <c r="R299" s="193">
        <f>'Site Information'!F303</f>
        <v>0</v>
      </c>
      <c r="S299" s="237"/>
      <c r="T299" s="237"/>
      <c r="U299" s="237"/>
      <c r="V299" s="237"/>
      <c r="W299" s="237"/>
      <c r="X299" s="237"/>
      <c r="Y299" s="237"/>
      <c r="Z299" s="237"/>
      <c r="AA299" s="237"/>
      <c r="AB299" s="237"/>
      <c r="AC299" s="237"/>
      <c r="AD299" s="237"/>
      <c r="AE299" s="237"/>
      <c r="AF299" s="237"/>
      <c r="AG299" s="237"/>
      <c r="AI299" s="193"/>
      <c r="AJ299" s="193"/>
    </row>
    <row r="300" spans="2:36" x14ac:dyDescent="0.35">
      <c r="B300" s="193" t="e">
        <f>"2024"&amp;MATCH(Totals!D300,OrgType,0)&amp;"_"&amp;MATCH(Totals!E300,Organisations,0)&amp;"_"&amp;LEFT(Totals!F300,1)&amp;"_"&amp;LEFT(G300,1)&amp;"_"&amp;COUNTIF($G$3:G300,G300)</f>
        <v>#N/A</v>
      </c>
      <c r="C300" s="193">
        <v>2025</v>
      </c>
      <c r="D300" s="193">
        <f>Introduction!$D$7</f>
        <v>0</v>
      </c>
      <c r="E300" s="193">
        <f>Introduction!$D$8</f>
        <v>0</v>
      </c>
      <c r="F300" s="193" t="s">
        <v>488</v>
      </c>
      <c r="G300" s="193" t="s">
        <v>489</v>
      </c>
      <c r="H300" s="195">
        <f>'Site Information'!B304</f>
        <v>0</v>
      </c>
      <c r="I300" s="194"/>
      <c r="J300" s="193">
        <f>'Site Information'!C304</f>
        <v>0</v>
      </c>
      <c r="K300" s="193">
        <f>'Site Information'!D304</f>
        <v>0</v>
      </c>
      <c r="L300" s="193">
        <f>'Site Information'!E304</f>
        <v>0</v>
      </c>
      <c r="M300" s="237"/>
      <c r="N300" s="237"/>
      <c r="O300" s="237"/>
      <c r="P300" s="237"/>
      <c r="Q300" s="237"/>
      <c r="R300" s="193">
        <f>'Site Information'!F304</f>
        <v>0</v>
      </c>
      <c r="S300" s="237"/>
      <c r="T300" s="237"/>
      <c r="U300" s="237"/>
      <c r="V300" s="237"/>
      <c r="W300" s="237"/>
      <c r="X300" s="237"/>
      <c r="Y300" s="237"/>
      <c r="Z300" s="237"/>
      <c r="AA300" s="237"/>
      <c r="AB300" s="237"/>
      <c r="AC300" s="237"/>
      <c r="AD300" s="237"/>
      <c r="AE300" s="237"/>
      <c r="AF300" s="237"/>
      <c r="AG300" s="237"/>
      <c r="AI300" s="193"/>
      <c r="AJ300" s="193"/>
    </row>
    <row r="301" spans="2:36" x14ac:dyDescent="0.35">
      <c r="B301" s="193" t="e">
        <f>"2024"&amp;MATCH(Totals!D301,OrgType,0)&amp;"_"&amp;MATCH(Totals!E301,Organisations,0)&amp;"_"&amp;LEFT(Totals!F301,1)&amp;"_"&amp;LEFT(G301,1)&amp;"_"&amp;COUNTIF($G$3:G301,G301)</f>
        <v>#N/A</v>
      </c>
      <c r="C301" s="193">
        <v>2025</v>
      </c>
      <c r="D301" s="193">
        <f>Introduction!$D$7</f>
        <v>0</v>
      </c>
      <c r="E301" s="193">
        <f>Introduction!$D$8</f>
        <v>0</v>
      </c>
      <c r="F301" s="193" t="s">
        <v>488</v>
      </c>
      <c r="G301" s="193" t="s">
        <v>489</v>
      </c>
      <c r="H301" s="195">
        <f>'Site Information'!B305</f>
        <v>0</v>
      </c>
      <c r="I301" s="194"/>
      <c r="J301" s="193">
        <f>'Site Information'!C305</f>
        <v>0</v>
      </c>
      <c r="K301" s="193">
        <f>'Site Information'!D305</f>
        <v>0</v>
      </c>
      <c r="L301" s="193">
        <f>'Site Information'!E305</f>
        <v>0</v>
      </c>
      <c r="M301" s="237"/>
      <c r="N301" s="237"/>
      <c r="O301" s="237"/>
      <c r="P301" s="237"/>
      <c r="Q301" s="237"/>
      <c r="R301" s="193">
        <f>'Site Information'!F305</f>
        <v>0</v>
      </c>
      <c r="S301" s="237"/>
      <c r="T301" s="237"/>
      <c r="U301" s="237"/>
      <c r="V301" s="237"/>
      <c r="W301" s="237"/>
      <c r="X301" s="237"/>
      <c r="Y301" s="237"/>
      <c r="Z301" s="237"/>
      <c r="AA301" s="237"/>
      <c r="AB301" s="237"/>
      <c r="AC301" s="237"/>
      <c r="AD301" s="237"/>
      <c r="AE301" s="237"/>
      <c r="AF301" s="237"/>
      <c r="AG301" s="237"/>
      <c r="AI301" s="193"/>
      <c r="AJ301" s="193"/>
    </row>
    <row r="302" spans="2:36" x14ac:dyDescent="0.35">
      <c r="B302" s="193" t="e">
        <f>"2024"&amp;MATCH(Totals!D302,OrgType,0)&amp;"_"&amp;MATCH(Totals!E302,Organisations,0)&amp;"_"&amp;LEFT(Totals!F302,1)&amp;"_"&amp;LEFT(G302,1)&amp;"_"&amp;COUNTIF($G$3:G302,G302)</f>
        <v>#N/A</v>
      </c>
      <c r="C302" s="193">
        <v>2025</v>
      </c>
      <c r="D302" s="193">
        <f>Introduction!$D$7</f>
        <v>0</v>
      </c>
      <c r="E302" s="193">
        <f>Introduction!$D$8</f>
        <v>0</v>
      </c>
      <c r="F302" s="193" t="s">
        <v>488</v>
      </c>
      <c r="G302" s="193" t="s">
        <v>489</v>
      </c>
      <c r="H302" s="195">
        <f>'Site Information'!B306</f>
        <v>0</v>
      </c>
      <c r="I302" s="194"/>
      <c r="J302" s="193">
        <f>'Site Information'!C306</f>
        <v>0</v>
      </c>
      <c r="K302" s="193">
        <f>'Site Information'!D306</f>
        <v>0</v>
      </c>
      <c r="L302" s="193">
        <f>'Site Information'!E306</f>
        <v>0</v>
      </c>
      <c r="M302" s="237"/>
      <c r="N302" s="237"/>
      <c r="O302" s="237"/>
      <c r="P302" s="237"/>
      <c r="Q302" s="237"/>
      <c r="R302" s="193">
        <f>'Site Information'!F306</f>
        <v>0</v>
      </c>
      <c r="S302" s="237"/>
      <c r="T302" s="237"/>
      <c r="U302" s="237"/>
      <c r="V302" s="237"/>
      <c r="W302" s="237"/>
      <c r="X302" s="237"/>
      <c r="Y302" s="237"/>
      <c r="Z302" s="237"/>
      <c r="AA302" s="237"/>
      <c r="AB302" s="237"/>
      <c r="AC302" s="237"/>
      <c r="AD302" s="237"/>
      <c r="AE302" s="237"/>
      <c r="AF302" s="237"/>
      <c r="AG302" s="237"/>
      <c r="AI302" s="193"/>
      <c r="AJ302" s="193"/>
    </row>
    <row r="303" spans="2:36" x14ac:dyDescent="0.35">
      <c r="B303" s="193" t="e">
        <f>"2024"&amp;MATCH(Totals!D303,OrgType,0)&amp;"_"&amp;MATCH(Totals!E303,Organisations,0)&amp;"_"&amp;LEFT(Totals!F303,1)&amp;"_"&amp;LEFT(G303,1)&amp;"_"&amp;COUNTIF($G$3:G303,G303)</f>
        <v>#N/A</v>
      </c>
      <c r="C303" s="193">
        <v>2025</v>
      </c>
      <c r="D303" s="193">
        <f>Introduction!$D$7</f>
        <v>0</v>
      </c>
      <c r="E303" s="193">
        <f>Introduction!$D$8</f>
        <v>0</v>
      </c>
      <c r="F303" s="193" t="s">
        <v>488</v>
      </c>
      <c r="G303" s="193" t="s">
        <v>489</v>
      </c>
      <c r="H303" s="195">
        <f>'Site Information'!B307</f>
        <v>0</v>
      </c>
      <c r="I303" s="194"/>
      <c r="J303" s="193">
        <f>'Site Information'!C307</f>
        <v>0</v>
      </c>
      <c r="K303" s="193">
        <f>'Site Information'!D307</f>
        <v>0</v>
      </c>
      <c r="L303" s="193">
        <f>'Site Information'!E307</f>
        <v>0</v>
      </c>
      <c r="M303" s="237"/>
      <c r="N303" s="237"/>
      <c r="O303" s="237"/>
      <c r="P303" s="237"/>
      <c r="Q303" s="237"/>
      <c r="R303" s="193">
        <f>'Site Information'!F307</f>
        <v>0</v>
      </c>
      <c r="S303" s="237"/>
      <c r="T303" s="237"/>
      <c r="U303" s="237"/>
      <c r="V303" s="237"/>
      <c r="W303" s="237"/>
      <c r="X303" s="237"/>
      <c r="Y303" s="237"/>
      <c r="Z303" s="237"/>
      <c r="AA303" s="237"/>
      <c r="AB303" s="237"/>
      <c r="AC303" s="237"/>
      <c r="AD303" s="237"/>
      <c r="AE303" s="237"/>
      <c r="AF303" s="237"/>
      <c r="AG303" s="237"/>
      <c r="AI303" s="193"/>
      <c r="AJ303" s="193"/>
    </row>
    <row r="304" spans="2:36" x14ac:dyDescent="0.35">
      <c r="B304" s="193" t="e">
        <f>"2024"&amp;MATCH(Totals!D304,OrgType,0)&amp;"_"&amp;MATCH(Totals!E304,Organisations,0)&amp;"_"&amp;LEFT(Totals!F304,1)&amp;"_"&amp;LEFT(G304,1)&amp;"_"&amp;COUNTIF($G$3:G304,G304)</f>
        <v>#N/A</v>
      </c>
      <c r="C304" s="193">
        <v>2025</v>
      </c>
      <c r="D304" s="193">
        <f>Introduction!$D$7</f>
        <v>0</v>
      </c>
      <c r="E304" s="193">
        <f>Introduction!$D$8</f>
        <v>0</v>
      </c>
      <c r="F304" s="193" t="s">
        <v>488</v>
      </c>
      <c r="G304" s="193" t="s">
        <v>489</v>
      </c>
      <c r="H304" s="195">
        <f>'Site Information'!B308</f>
        <v>0</v>
      </c>
      <c r="I304" s="194"/>
      <c r="J304" s="193">
        <f>'Site Information'!C308</f>
        <v>0</v>
      </c>
      <c r="K304" s="193">
        <f>'Site Information'!D308</f>
        <v>0</v>
      </c>
      <c r="L304" s="193">
        <f>'Site Information'!E308</f>
        <v>0</v>
      </c>
      <c r="M304" s="237"/>
      <c r="N304" s="237"/>
      <c r="O304" s="237"/>
      <c r="P304" s="237"/>
      <c r="Q304" s="237"/>
      <c r="R304" s="193">
        <f>'Site Information'!F308</f>
        <v>0</v>
      </c>
      <c r="S304" s="237"/>
      <c r="T304" s="237"/>
      <c r="U304" s="237"/>
      <c r="V304" s="237"/>
      <c r="W304" s="237"/>
      <c r="X304" s="237"/>
      <c r="Y304" s="237"/>
      <c r="Z304" s="237"/>
      <c r="AA304" s="237"/>
      <c r="AB304" s="237"/>
      <c r="AC304" s="237"/>
      <c r="AD304" s="237"/>
      <c r="AE304" s="237"/>
      <c r="AF304" s="237"/>
      <c r="AG304" s="237"/>
      <c r="AI304" s="193"/>
      <c r="AJ304" s="193"/>
    </row>
    <row r="305" spans="2:36" x14ac:dyDescent="0.35">
      <c r="B305" s="193" t="e">
        <f>"2024"&amp;MATCH(Totals!D305,OrgType,0)&amp;"_"&amp;MATCH(Totals!E305,Organisations,0)&amp;"_"&amp;LEFT(Totals!F305,1)&amp;"_"&amp;LEFT(G305,1)&amp;"_"&amp;COUNTIF($G$3:G305,G305)</f>
        <v>#N/A</v>
      </c>
      <c r="C305" s="193">
        <v>2025</v>
      </c>
      <c r="D305" s="193">
        <f>Introduction!$D$7</f>
        <v>0</v>
      </c>
      <c r="E305" s="193">
        <f>Introduction!$D$8</f>
        <v>0</v>
      </c>
      <c r="F305" s="193" t="s">
        <v>488</v>
      </c>
      <c r="G305" s="193" t="s">
        <v>489</v>
      </c>
      <c r="H305" s="195">
        <f>'Site Information'!B309</f>
        <v>0</v>
      </c>
      <c r="I305" s="194"/>
      <c r="J305" s="193">
        <f>'Site Information'!C309</f>
        <v>0</v>
      </c>
      <c r="K305" s="193">
        <f>'Site Information'!D309</f>
        <v>0</v>
      </c>
      <c r="L305" s="193">
        <f>'Site Information'!E309</f>
        <v>0</v>
      </c>
      <c r="M305" s="237"/>
      <c r="N305" s="237"/>
      <c r="O305" s="237"/>
      <c r="P305" s="237"/>
      <c r="Q305" s="237"/>
      <c r="R305" s="193">
        <f>'Site Information'!F309</f>
        <v>0</v>
      </c>
      <c r="S305" s="237"/>
      <c r="T305" s="237"/>
      <c r="U305" s="237"/>
      <c r="V305" s="237"/>
      <c r="W305" s="237"/>
      <c r="X305" s="237"/>
      <c r="Y305" s="237"/>
      <c r="Z305" s="237"/>
      <c r="AA305" s="237"/>
      <c r="AB305" s="237"/>
      <c r="AC305" s="237"/>
      <c r="AD305" s="237"/>
      <c r="AE305" s="237"/>
      <c r="AF305" s="237"/>
      <c r="AG305" s="237"/>
      <c r="AI305" s="193"/>
      <c r="AJ305" s="193"/>
    </row>
    <row r="306" spans="2:36" x14ac:dyDescent="0.35">
      <c r="B306" s="193" t="e">
        <f>"2024"&amp;MATCH(Totals!D306,OrgType,0)&amp;"_"&amp;MATCH(Totals!E306,Organisations,0)&amp;"_"&amp;LEFT(Totals!F306,1)&amp;"_"&amp;LEFT(G306,1)&amp;"_"&amp;COUNTIF($G$3:G306,G306)</f>
        <v>#N/A</v>
      </c>
      <c r="C306" s="193">
        <v>2025</v>
      </c>
      <c r="D306" s="193">
        <f>Introduction!$D$7</f>
        <v>0</v>
      </c>
      <c r="E306" s="193">
        <f>Introduction!$D$8</f>
        <v>0</v>
      </c>
      <c r="F306" s="193" t="s">
        <v>488</v>
      </c>
      <c r="G306" s="193" t="s">
        <v>489</v>
      </c>
      <c r="H306" s="195">
        <f>'Site Information'!B310</f>
        <v>0</v>
      </c>
      <c r="I306" s="194"/>
      <c r="J306" s="193">
        <f>'Site Information'!C310</f>
        <v>0</v>
      </c>
      <c r="K306" s="193">
        <f>'Site Information'!D310</f>
        <v>0</v>
      </c>
      <c r="L306" s="193">
        <f>'Site Information'!E310</f>
        <v>0</v>
      </c>
      <c r="M306" s="237"/>
      <c r="N306" s="237"/>
      <c r="O306" s="237"/>
      <c r="P306" s="237"/>
      <c r="Q306" s="237"/>
      <c r="R306" s="193">
        <f>'Site Information'!F310</f>
        <v>0</v>
      </c>
      <c r="S306" s="237"/>
      <c r="T306" s="237"/>
      <c r="U306" s="237"/>
      <c r="V306" s="237"/>
      <c r="W306" s="237"/>
      <c r="X306" s="237"/>
      <c r="Y306" s="237"/>
      <c r="Z306" s="237"/>
      <c r="AA306" s="237"/>
      <c r="AB306" s="237"/>
      <c r="AC306" s="237"/>
      <c r="AD306" s="237"/>
      <c r="AE306" s="237"/>
      <c r="AF306" s="237"/>
      <c r="AG306" s="237"/>
      <c r="AI306" s="193"/>
      <c r="AJ306" s="193"/>
    </row>
    <row r="307" spans="2:36" x14ac:dyDescent="0.35">
      <c r="B307" s="193" t="e">
        <f>"2024"&amp;MATCH(Totals!D307,OrgType,0)&amp;"_"&amp;MATCH(Totals!E307,Organisations,0)&amp;"_"&amp;LEFT(Totals!F307,1)&amp;"_"&amp;LEFT(G307,1)&amp;"_"&amp;COUNTIF($G$3:G307,G307)</f>
        <v>#N/A</v>
      </c>
      <c r="C307" s="193">
        <v>2025</v>
      </c>
      <c r="D307" s="193">
        <f>Introduction!$D$7</f>
        <v>0</v>
      </c>
      <c r="E307" s="193">
        <f>Introduction!$D$8</f>
        <v>0</v>
      </c>
      <c r="F307" s="193" t="s">
        <v>488</v>
      </c>
      <c r="G307" s="193" t="s">
        <v>489</v>
      </c>
      <c r="H307" s="195">
        <f>'Site Information'!B311</f>
        <v>0</v>
      </c>
      <c r="I307" s="194"/>
      <c r="J307" s="193">
        <f>'Site Information'!C311</f>
        <v>0</v>
      </c>
      <c r="K307" s="193">
        <f>'Site Information'!D311</f>
        <v>0</v>
      </c>
      <c r="L307" s="193">
        <f>'Site Information'!E311</f>
        <v>0</v>
      </c>
      <c r="M307" s="237"/>
      <c r="N307" s="237"/>
      <c r="O307" s="237"/>
      <c r="P307" s="237"/>
      <c r="Q307" s="237"/>
      <c r="R307" s="193">
        <f>'Site Information'!F311</f>
        <v>0</v>
      </c>
      <c r="S307" s="237"/>
      <c r="T307" s="237"/>
      <c r="U307" s="237"/>
      <c r="V307" s="237"/>
      <c r="W307" s="237"/>
      <c r="X307" s="237"/>
      <c r="Y307" s="237"/>
      <c r="Z307" s="237"/>
      <c r="AA307" s="237"/>
      <c r="AB307" s="237"/>
      <c r="AC307" s="237"/>
      <c r="AD307" s="237"/>
      <c r="AE307" s="237"/>
      <c r="AF307" s="237"/>
      <c r="AG307" s="237"/>
      <c r="AI307" s="193"/>
      <c r="AJ307" s="193"/>
    </row>
    <row r="308" spans="2:36" x14ac:dyDescent="0.35">
      <c r="B308" s="193" t="e">
        <f>"2024"&amp;MATCH(Totals!D308,OrgType,0)&amp;"_"&amp;MATCH(Totals!E308,Organisations,0)&amp;"_"&amp;LEFT(Totals!F308,1)&amp;"_"&amp;LEFT(G308,1)&amp;"_"&amp;COUNTIF($G$3:G308,G308)</f>
        <v>#N/A</v>
      </c>
      <c r="C308" s="193">
        <v>2025</v>
      </c>
      <c r="D308" s="193">
        <f>Introduction!$D$7</f>
        <v>0</v>
      </c>
      <c r="E308" s="193">
        <f>Introduction!$D$8</f>
        <v>0</v>
      </c>
      <c r="F308" s="193" t="s">
        <v>488</v>
      </c>
      <c r="G308" s="193" t="s">
        <v>489</v>
      </c>
      <c r="H308" s="195">
        <f>'Site Information'!B312</f>
        <v>0</v>
      </c>
      <c r="I308" s="194"/>
      <c r="J308" s="193">
        <f>'Site Information'!C312</f>
        <v>0</v>
      </c>
      <c r="K308" s="193">
        <f>'Site Information'!D312</f>
        <v>0</v>
      </c>
      <c r="L308" s="193">
        <f>'Site Information'!E312</f>
        <v>0</v>
      </c>
      <c r="M308" s="237"/>
      <c r="N308" s="237"/>
      <c r="O308" s="237"/>
      <c r="P308" s="237"/>
      <c r="Q308" s="237"/>
      <c r="R308" s="193">
        <f>'Site Information'!F312</f>
        <v>0</v>
      </c>
      <c r="S308" s="237"/>
      <c r="T308" s="237"/>
      <c r="U308" s="237"/>
      <c r="V308" s="237"/>
      <c r="W308" s="237"/>
      <c r="X308" s="237"/>
      <c r="Y308" s="237"/>
      <c r="Z308" s="237"/>
      <c r="AA308" s="237"/>
      <c r="AB308" s="237"/>
      <c r="AC308" s="237"/>
      <c r="AD308" s="237"/>
      <c r="AE308" s="237"/>
      <c r="AF308" s="237"/>
      <c r="AG308" s="237"/>
      <c r="AI308" s="193"/>
      <c r="AJ308" s="193"/>
    </row>
    <row r="309" spans="2:36" x14ac:dyDescent="0.35">
      <c r="B309" s="193" t="e">
        <f>"2024"&amp;MATCH(Totals!D309,OrgType,0)&amp;"_"&amp;MATCH(Totals!E309,Organisations,0)&amp;"_"&amp;LEFT(Totals!F309,1)&amp;"_"&amp;LEFT(G309,1)&amp;"_"&amp;COUNTIF($G$3:G309,G309)</f>
        <v>#N/A</v>
      </c>
      <c r="C309" s="193">
        <v>2025</v>
      </c>
      <c r="D309" s="193">
        <f>Introduction!$D$7</f>
        <v>0</v>
      </c>
      <c r="E309" s="193">
        <f>Introduction!$D$8</f>
        <v>0</v>
      </c>
      <c r="F309" s="193" t="s">
        <v>488</v>
      </c>
      <c r="G309" s="193" t="s">
        <v>489</v>
      </c>
      <c r="H309" s="195">
        <f>'Site Information'!B313</f>
        <v>0</v>
      </c>
      <c r="I309" s="194"/>
      <c r="J309" s="193">
        <f>'Site Information'!C313</f>
        <v>0</v>
      </c>
      <c r="K309" s="193">
        <f>'Site Information'!D313</f>
        <v>0</v>
      </c>
      <c r="L309" s="193">
        <f>'Site Information'!E313</f>
        <v>0</v>
      </c>
      <c r="M309" s="237"/>
      <c r="N309" s="237"/>
      <c r="O309" s="237"/>
      <c r="P309" s="237"/>
      <c r="Q309" s="237"/>
      <c r="R309" s="193">
        <f>'Site Information'!F313</f>
        <v>0</v>
      </c>
      <c r="S309" s="237"/>
      <c r="T309" s="237"/>
      <c r="U309" s="237"/>
      <c r="V309" s="237"/>
      <c r="W309" s="237"/>
      <c r="X309" s="237"/>
      <c r="Y309" s="237"/>
      <c r="Z309" s="237"/>
      <c r="AA309" s="237"/>
      <c r="AB309" s="237"/>
      <c r="AC309" s="237"/>
      <c r="AD309" s="237"/>
      <c r="AE309" s="237"/>
      <c r="AF309" s="237"/>
      <c r="AG309" s="237"/>
      <c r="AI309" s="193"/>
      <c r="AJ309" s="193"/>
    </row>
    <row r="310" spans="2:36" x14ac:dyDescent="0.35">
      <c r="B310" s="193" t="e">
        <f>"2024"&amp;MATCH(Totals!D310,OrgType,0)&amp;"_"&amp;MATCH(Totals!E310,Organisations,0)&amp;"_"&amp;LEFT(Totals!F310,1)&amp;"_"&amp;LEFT(G310,1)&amp;"_"&amp;COUNTIF($G$3:G310,G310)</f>
        <v>#N/A</v>
      </c>
      <c r="C310" s="193">
        <v>2025</v>
      </c>
      <c r="D310" s="193">
        <f>Introduction!$D$7</f>
        <v>0</v>
      </c>
      <c r="E310" s="193">
        <f>Introduction!$D$8</f>
        <v>0</v>
      </c>
      <c r="F310" s="193" t="s">
        <v>488</v>
      </c>
      <c r="G310" s="193" t="s">
        <v>489</v>
      </c>
      <c r="H310" s="195">
        <f>'Site Information'!B314</f>
        <v>0</v>
      </c>
      <c r="I310" s="194"/>
      <c r="J310" s="193">
        <f>'Site Information'!C314</f>
        <v>0</v>
      </c>
      <c r="K310" s="193">
        <f>'Site Information'!D314</f>
        <v>0</v>
      </c>
      <c r="L310" s="193">
        <f>'Site Information'!E314</f>
        <v>0</v>
      </c>
      <c r="M310" s="237"/>
      <c r="N310" s="237"/>
      <c r="O310" s="237"/>
      <c r="P310" s="237"/>
      <c r="Q310" s="237"/>
      <c r="R310" s="193">
        <f>'Site Information'!F314</f>
        <v>0</v>
      </c>
      <c r="S310" s="237"/>
      <c r="T310" s="237"/>
      <c r="U310" s="237"/>
      <c r="V310" s="237"/>
      <c r="W310" s="237"/>
      <c r="X310" s="237"/>
      <c r="Y310" s="237"/>
      <c r="Z310" s="237"/>
      <c r="AA310" s="237"/>
      <c r="AB310" s="237"/>
      <c r="AC310" s="237"/>
      <c r="AD310" s="237"/>
      <c r="AE310" s="237"/>
      <c r="AF310" s="237"/>
      <c r="AG310" s="237"/>
      <c r="AI310" s="193"/>
      <c r="AJ310" s="193"/>
    </row>
    <row r="311" spans="2:36" x14ac:dyDescent="0.35">
      <c r="B311" s="193" t="e">
        <f>"2024"&amp;MATCH(Totals!D311,OrgType,0)&amp;"_"&amp;MATCH(Totals!E311,Organisations,0)&amp;"_"&amp;LEFT(Totals!F311,1)&amp;"_"&amp;LEFT(G311,1)&amp;"_"&amp;COUNTIF($G$3:G311,G311)</f>
        <v>#N/A</v>
      </c>
      <c r="C311" s="193">
        <v>2025</v>
      </c>
      <c r="D311" s="193">
        <f>Introduction!$D$7</f>
        <v>0</v>
      </c>
      <c r="E311" s="193">
        <f>Introduction!$D$8</f>
        <v>0</v>
      </c>
      <c r="F311" s="193" t="s">
        <v>488</v>
      </c>
      <c r="G311" s="193" t="s">
        <v>489</v>
      </c>
      <c r="H311" s="195">
        <f>'Site Information'!B315</f>
        <v>0</v>
      </c>
      <c r="I311" s="194"/>
      <c r="J311" s="193">
        <f>'Site Information'!C315</f>
        <v>0</v>
      </c>
      <c r="K311" s="193">
        <f>'Site Information'!D315</f>
        <v>0</v>
      </c>
      <c r="L311" s="193">
        <f>'Site Information'!E315</f>
        <v>0</v>
      </c>
      <c r="M311" s="237"/>
      <c r="N311" s="237"/>
      <c r="O311" s="237"/>
      <c r="P311" s="237"/>
      <c r="Q311" s="237"/>
      <c r="R311" s="193">
        <f>'Site Information'!F315</f>
        <v>0</v>
      </c>
      <c r="S311" s="237"/>
      <c r="T311" s="237"/>
      <c r="U311" s="237"/>
      <c r="V311" s="237"/>
      <c r="W311" s="237"/>
      <c r="X311" s="237"/>
      <c r="Y311" s="237"/>
      <c r="Z311" s="237"/>
      <c r="AA311" s="237"/>
      <c r="AB311" s="237"/>
      <c r="AC311" s="237"/>
      <c r="AD311" s="237"/>
      <c r="AE311" s="237"/>
      <c r="AF311" s="237"/>
      <c r="AG311" s="237"/>
      <c r="AI311" s="193"/>
      <c r="AJ311" s="193"/>
    </row>
    <row r="312" spans="2:36" x14ac:dyDescent="0.35">
      <c r="B312" s="193" t="e">
        <f>"2024"&amp;MATCH(Totals!D312,OrgType,0)&amp;"_"&amp;MATCH(Totals!E312,Organisations,0)&amp;"_"&amp;LEFT(Totals!F312,1)&amp;"_"&amp;LEFT(G312,1)&amp;"_"&amp;COUNTIF($G$3:G312,G312)</f>
        <v>#N/A</v>
      </c>
      <c r="C312" s="193">
        <v>2025</v>
      </c>
      <c r="D312" s="193">
        <f>Introduction!$D$7</f>
        <v>0</v>
      </c>
      <c r="E312" s="193">
        <f>Introduction!$D$8</f>
        <v>0</v>
      </c>
      <c r="F312" s="193" t="s">
        <v>488</v>
      </c>
      <c r="G312" s="193" t="s">
        <v>489</v>
      </c>
      <c r="H312" s="195">
        <f>'Site Information'!B316</f>
        <v>0</v>
      </c>
      <c r="I312" s="194"/>
      <c r="J312" s="193">
        <f>'Site Information'!C316</f>
        <v>0</v>
      </c>
      <c r="K312" s="193">
        <f>'Site Information'!D316</f>
        <v>0</v>
      </c>
      <c r="L312" s="193">
        <f>'Site Information'!E316</f>
        <v>0</v>
      </c>
      <c r="M312" s="237"/>
      <c r="N312" s="237"/>
      <c r="O312" s="237"/>
      <c r="P312" s="237"/>
      <c r="Q312" s="237"/>
      <c r="R312" s="193">
        <f>'Site Information'!F316</f>
        <v>0</v>
      </c>
      <c r="S312" s="237"/>
      <c r="T312" s="237"/>
      <c r="U312" s="237"/>
      <c r="V312" s="237"/>
      <c r="W312" s="237"/>
      <c r="X312" s="237"/>
      <c r="Y312" s="237"/>
      <c r="Z312" s="237"/>
      <c r="AA312" s="237"/>
      <c r="AB312" s="237"/>
      <c r="AC312" s="237"/>
      <c r="AD312" s="237"/>
      <c r="AE312" s="237"/>
      <c r="AF312" s="237"/>
      <c r="AG312" s="237"/>
      <c r="AI312" s="193"/>
      <c r="AJ312" s="193"/>
    </row>
    <row r="313" spans="2:36" x14ac:dyDescent="0.35">
      <c r="B313" s="193" t="e">
        <f>"2024"&amp;MATCH(Totals!D313,OrgType,0)&amp;"_"&amp;MATCH(Totals!E313,Organisations,0)&amp;"_"&amp;LEFT(Totals!F313,1)&amp;"_"&amp;LEFT(G313,1)&amp;"_"&amp;COUNTIF($G$3:G313,G313)</f>
        <v>#N/A</v>
      </c>
      <c r="C313" s="193">
        <v>2025</v>
      </c>
      <c r="D313" s="193">
        <f>Introduction!$D$7</f>
        <v>0</v>
      </c>
      <c r="E313" s="193">
        <f>Introduction!$D$8</f>
        <v>0</v>
      </c>
      <c r="F313" s="193" t="s">
        <v>488</v>
      </c>
      <c r="G313" s="193" t="s">
        <v>489</v>
      </c>
      <c r="H313" s="195">
        <f>'Site Information'!B317</f>
        <v>0</v>
      </c>
      <c r="I313" s="194"/>
      <c r="J313" s="193">
        <f>'Site Information'!C317</f>
        <v>0</v>
      </c>
      <c r="K313" s="193">
        <f>'Site Information'!D317</f>
        <v>0</v>
      </c>
      <c r="L313" s="193">
        <f>'Site Information'!E317</f>
        <v>0</v>
      </c>
      <c r="M313" s="237"/>
      <c r="N313" s="237"/>
      <c r="O313" s="237"/>
      <c r="P313" s="237"/>
      <c r="Q313" s="237"/>
      <c r="R313" s="193">
        <f>'Site Information'!F317</f>
        <v>0</v>
      </c>
      <c r="S313" s="237"/>
      <c r="T313" s="237"/>
      <c r="U313" s="237"/>
      <c r="V313" s="237"/>
      <c r="W313" s="237"/>
      <c r="X313" s="237"/>
      <c r="Y313" s="237"/>
      <c r="Z313" s="237"/>
      <c r="AA313" s="237"/>
      <c r="AB313" s="237"/>
      <c r="AC313" s="237"/>
      <c r="AD313" s="237"/>
      <c r="AE313" s="237"/>
      <c r="AF313" s="237"/>
      <c r="AG313" s="237"/>
      <c r="AI313" s="193"/>
      <c r="AJ313" s="193"/>
    </row>
    <row r="314" spans="2:36" x14ac:dyDescent="0.35">
      <c r="B314" s="193" t="e">
        <f>"2024"&amp;MATCH(Totals!D314,OrgType,0)&amp;"_"&amp;MATCH(Totals!E314,Organisations,0)&amp;"_"&amp;LEFT(Totals!F314,1)&amp;"_"&amp;LEFT(G314,1)&amp;"_"&amp;COUNTIF($G$3:G314,G314)</f>
        <v>#N/A</v>
      </c>
      <c r="C314" s="193">
        <v>2025</v>
      </c>
      <c r="D314" s="193">
        <f>Introduction!$D$7</f>
        <v>0</v>
      </c>
      <c r="E314" s="193">
        <f>Introduction!$D$8</f>
        <v>0</v>
      </c>
      <c r="F314" s="193" t="s">
        <v>488</v>
      </c>
      <c r="G314" s="193" t="s">
        <v>489</v>
      </c>
      <c r="H314" s="195">
        <f>'Site Information'!B318</f>
        <v>0</v>
      </c>
      <c r="I314" s="194"/>
      <c r="J314" s="193">
        <f>'Site Information'!C318</f>
        <v>0</v>
      </c>
      <c r="K314" s="193">
        <f>'Site Information'!D318</f>
        <v>0</v>
      </c>
      <c r="L314" s="193">
        <f>'Site Information'!E318</f>
        <v>0</v>
      </c>
      <c r="M314" s="237"/>
      <c r="N314" s="237"/>
      <c r="O314" s="237"/>
      <c r="P314" s="237"/>
      <c r="Q314" s="237"/>
      <c r="R314" s="193">
        <f>'Site Information'!F318</f>
        <v>0</v>
      </c>
      <c r="S314" s="237"/>
      <c r="T314" s="237"/>
      <c r="U314" s="237"/>
      <c r="V314" s="237"/>
      <c r="W314" s="237"/>
      <c r="X314" s="237"/>
      <c r="Y314" s="237"/>
      <c r="Z314" s="237"/>
      <c r="AA314" s="237"/>
      <c r="AB314" s="237"/>
      <c r="AC314" s="237"/>
      <c r="AD314" s="237"/>
      <c r="AE314" s="237"/>
      <c r="AF314" s="237"/>
      <c r="AG314" s="237"/>
      <c r="AI314" s="193"/>
      <c r="AJ314" s="193"/>
    </row>
    <row r="315" spans="2:36" x14ac:dyDescent="0.35">
      <c r="B315" s="193" t="e">
        <f>"2024"&amp;MATCH(Totals!D315,OrgType,0)&amp;"_"&amp;MATCH(Totals!E315,Organisations,0)&amp;"_"&amp;LEFT(Totals!F315,1)&amp;"_"&amp;LEFT(G315,1)&amp;"_"&amp;COUNTIF($G$3:G315,G315)</f>
        <v>#N/A</v>
      </c>
      <c r="C315" s="193">
        <v>2025</v>
      </c>
      <c r="D315" s="193">
        <f>Introduction!$D$7</f>
        <v>0</v>
      </c>
      <c r="E315" s="193">
        <f>Introduction!$D$8</f>
        <v>0</v>
      </c>
      <c r="F315" s="193" t="s">
        <v>488</v>
      </c>
      <c r="G315" s="193" t="s">
        <v>489</v>
      </c>
      <c r="H315" s="195">
        <f>'Site Information'!B319</f>
        <v>0</v>
      </c>
      <c r="I315" s="194"/>
      <c r="J315" s="193">
        <f>'Site Information'!C319</f>
        <v>0</v>
      </c>
      <c r="K315" s="193">
        <f>'Site Information'!D319</f>
        <v>0</v>
      </c>
      <c r="L315" s="193">
        <f>'Site Information'!E319</f>
        <v>0</v>
      </c>
      <c r="M315" s="237"/>
      <c r="N315" s="237"/>
      <c r="O315" s="237"/>
      <c r="P315" s="237"/>
      <c r="Q315" s="237"/>
      <c r="R315" s="193">
        <f>'Site Information'!F319</f>
        <v>0</v>
      </c>
      <c r="S315" s="237"/>
      <c r="T315" s="237"/>
      <c r="U315" s="237"/>
      <c r="V315" s="237"/>
      <c r="W315" s="237"/>
      <c r="X315" s="237"/>
      <c r="Y315" s="237"/>
      <c r="Z315" s="237"/>
      <c r="AA315" s="237"/>
      <c r="AB315" s="237"/>
      <c r="AC315" s="237"/>
      <c r="AD315" s="237"/>
      <c r="AE315" s="237"/>
      <c r="AF315" s="237"/>
      <c r="AG315" s="237"/>
      <c r="AI315" s="193"/>
      <c r="AJ315" s="193"/>
    </row>
    <row r="316" spans="2:36" x14ac:dyDescent="0.35">
      <c r="B316" s="193" t="e">
        <f>"2024"&amp;MATCH(Totals!D316,OrgType,0)&amp;"_"&amp;MATCH(Totals!E316,Organisations,0)&amp;"_"&amp;LEFT(Totals!F316,1)&amp;"_"&amp;LEFT(G316,1)&amp;"_"&amp;COUNTIF($G$3:G316,G316)</f>
        <v>#N/A</v>
      </c>
      <c r="C316" s="193">
        <v>2025</v>
      </c>
      <c r="D316" s="193">
        <f>Introduction!$D$7</f>
        <v>0</v>
      </c>
      <c r="E316" s="193">
        <f>Introduction!$D$8</f>
        <v>0</v>
      </c>
      <c r="F316" s="193" t="s">
        <v>488</v>
      </c>
      <c r="G316" s="193" t="s">
        <v>489</v>
      </c>
      <c r="H316" s="195">
        <f>'Site Information'!B320</f>
        <v>0</v>
      </c>
      <c r="I316" s="194"/>
      <c r="J316" s="193">
        <f>'Site Information'!C320</f>
        <v>0</v>
      </c>
      <c r="K316" s="193">
        <f>'Site Information'!D320</f>
        <v>0</v>
      </c>
      <c r="L316" s="193">
        <f>'Site Information'!E320</f>
        <v>0</v>
      </c>
      <c r="M316" s="237"/>
      <c r="N316" s="237"/>
      <c r="O316" s="237"/>
      <c r="P316" s="237"/>
      <c r="Q316" s="237"/>
      <c r="R316" s="193">
        <f>'Site Information'!F320</f>
        <v>0</v>
      </c>
      <c r="S316" s="237"/>
      <c r="T316" s="237"/>
      <c r="U316" s="237"/>
      <c r="V316" s="237"/>
      <c r="W316" s="237"/>
      <c r="X316" s="237"/>
      <c r="Y316" s="237"/>
      <c r="Z316" s="237"/>
      <c r="AA316" s="237"/>
      <c r="AB316" s="237"/>
      <c r="AC316" s="237"/>
      <c r="AD316" s="237"/>
      <c r="AE316" s="237"/>
      <c r="AF316" s="237"/>
      <c r="AG316" s="237"/>
      <c r="AI316" s="193"/>
      <c r="AJ316" s="193"/>
    </row>
    <row r="317" spans="2:36" x14ac:dyDescent="0.35">
      <c r="B317" s="193" t="e">
        <f>"2024"&amp;MATCH(Totals!D317,OrgType,0)&amp;"_"&amp;MATCH(Totals!E317,Organisations,0)&amp;"_"&amp;LEFT(Totals!F317,1)&amp;"_"&amp;LEFT(G317,1)&amp;"_"&amp;COUNTIF($G$3:G317,G317)</f>
        <v>#N/A</v>
      </c>
      <c r="C317" s="193">
        <v>2025</v>
      </c>
      <c r="D317" s="193">
        <f>Introduction!$D$7</f>
        <v>0</v>
      </c>
      <c r="E317" s="193">
        <f>Introduction!$D$8</f>
        <v>0</v>
      </c>
      <c r="F317" s="193" t="s">
        <v>488</v>
      </c>
      <c r="G317" s="193" t="s">
        <v>489</v>
      </c>
      <c r="H317" s="195">
        <f>'Site Information'!B321</f>
        <v>0</v>
      </c>
      <c r="I317" s="194"/>
      <c r="J317" s="193">
        <f>'Site Information'!C321</f>
        <v>0</v>
      </c>
      <c r="K317" s="193">
        <f>'Site Information'!D321</f>
        <v>0</v>
      </c>
      <c r="L317" s="193">
        <f>'Site Information'!E321</f>
        <v>0</v>
      </c>
      <c r="M317" s="237"/>
      <c r="N317" s="237"/>
      <c r="O317" s="237"/>
      <c r="P317" s="237"/>
      <c r="Q317" s="237"/>
      <c r="R317" s="193">
        <f>'Site Information'!F321</f>
        <v>0</v>
      </c>
      <c r="S317" s="237"/>
      <c r="T317" s="237"/>
      <c r="U317" s="237"/>
      <c r="V317" s="237"/>
      <c r="W317" s="237"/>
      <c r="X317" s="237"/>
      <c r="Y317" s="237"/>
      <c r="Z317" s="237"/>
      <c r="AA317" s="237"/>
      <c r="AB317" s="237"/>
      <c r="AC317" s="237"/>
      <c r="AD317" s="237"/>
      <c r="AE317" s="237"/>
      <c r="AF317" s="237"/>
      <c r="AG317" s="237"/>
      <c r="AI317" s="193"/>
      <c r="AJ317" s="193"/>
    </row>
    <row r="318" spans="2:36" x14ac:dyDescent="0.35">
      <c r="B318" s="193" t="e">
        <f>"2024"&amp;MATCH(Totals!D318,OrgType,0)&amp;"_"&amp;MATCH(Totals!E318,Organisations,0)&amp;"_"&amp;LEFT(Totals!F318,1)&amp;"_"&amp;LEFT(G318,1)&amp;"_"&amp;COUNTIF($G$3:G318,G318)</f>
        <v>#N/A</v>
      </c>
      <c r="C318" s="193">
        <v>2025</v>
      </c>
      <c r="D318" s="193">
        <f>Introduction!$D$7</f>
        <v>0</v>
      </c>
      <c r="E318" s="193">
        <f>Introduction!$D$8</f>
        <v>0</v>
      </c>
      <c r="F318" s="193" t="s">
        <v>488</v>
      </c>
      <c r="G318" s="193" t="s">
        <v>489</v>
      </c>
      <c r="H318" s="195">
        <f>'Site Information'!B322</f>
        <v>0</v>
      </c>
      <c r="I318" s="194"/>
      <c r="J318" s="193">
        <f>'Site Information'!C322</f>
        <v>0</v>
      </c>
      <c r="K318" s="193">
        <f>'Site Information'!D322</f>
        <v>0</v>
      </c>
      <c r="L318" s="193">
        <f>'Site Information'!E322</f>
        <v>0</v>
      </c>
      <c r="M318" s="237"/>
      <c r="N318" s="237"/>
      <c r="O318" s="237"/>
      <c r="P318" s="237"/>
      <c r="Q318" s="237"/>
      <c r="R318" s="193">
        <f>'Site Information'!F322</f>
        <v>0</v>
      </c>
      <c r="S318" s="237"/>
      <c r="T318" s="237"/>
      <c r="U318" s="237"/>
      <c r="V318" s="237"/>
      <c r="W318" s="237"/>
      <c r="X318" s="237"/>
      <c r="Y318" s="237"/>
      <c r="Z318" s="237"/>
      <c r="AA318" s="237"/>
      <c r="AB318" s="237"/>
      <c r="AC318" s="237"/>
      <c r="AD318" s="237"/>
      <c r="AE318" s="237"/>
      <c r="AF318" s="237"/>
      <c r="AG318" s="237"/>
      <c r="AI318" s="193"/>
      <c r="AJ318" s="193"/>
    </row>
    <row r="319" spans="2:36" x14ac:dyDescent="0.35">
      <c r="B319" s="193" t="e">
        <f>"2024"&amp;MATCH(Totals!D319,OrgType,0)&amp;"_"&amp;MATCH(Totals!E319,Organisations,0)&amp;"_"&amp;LEFT(Totals!F319,1)&amp;"_"&amp;LEFT(G319,1)&amp;"_"&amp;COUNTIF($G$3:G319,G319)</f>
        <v>#N/A</v>
      </c>
      <c r="C319" s="193">
        <v>2025</v>
      </c>
      <c r="D319" s="193">
        <f>Introduction!$D$7</f>
        <v>0</v>
      </c>
      <c r="E319" s="193">
        <f>Introduction!$D$8</f>
        <v>0</v>
      </c>
      <c r="F319" s="193" t="s">
        <v>488</v>
      </c>
      <c r="G319" s="193" t="s">
        <v>489</v>
      </c>
      <c r="H319" s="195">
        <f>'Site Information'!B323</f>
        <v>0</v>
      </c>
      <c r="I319" s="194"/>
      <c r="J319" s="193">
        <f>'Site Information'!C323</f>
        <v>0</v>
      </c>
      <c r="K319" s="193">
        <f>'Site Information'!D323</f>
        <v>0</v>
      </c>
      <c r="L319" s="193">
        <f>'Site Information'!E323</f>
        <v>0</v>
      </c>
      <c r="M319" s="237"/>
      <c r="N319" s="237"/>
      <c r="O319" s="237"/>
      <c r="P319" s="237"/>
      <c r="Q319" s="237"/>
      <c r="R319" s="193">
        <f>'Site Information'!F323</f>
        <v>0</v>
      </c>
      <c r="S319" s="237"/>
      <c r="T319" s="237"/>
      <c r="U319" s="237"/>
      <c r="V319" s="237"/>
      <c r="W319" s="237"/>
      <c r="X319" s="237"/>
      <c r="Y319" s="237"/>
      <c r="Z319" s="237"/>
      <c r="AA319" s="237"/>
      <c r="AB319" s="237"/>
      <c r="AC319" s="237"/>
      <c r="AD319" s="237"/>
      <c r="AE319" s="237"/>
      <c r="AF319" s="237"/>
      <c r="AG319" s="237"/>
      <c r="AI319" s="193"/>
      <c r="AJ319" s="193"/>
    </row>
    <row r="320" spans="2:36" x14ac:dyDescent="0.35">
      <c r="B320" s="193" t="e">
        <f>"2024"&amp;MATCH(Totals!D320,OrgType,0)&amp;"_"&amp;MATCH(Totals!E320,Organisations,0)&amp;"_"&amp;LEFT(Totals!F320,1)&amp;"_"&amp;LEFT(G320,1)&amp;"_"&amp;COUNTIF($G$3:G320,G320)</f>
        <v>#N/A</v>
      </c>
      <c r="C320" s="193">
        <v>2025</v>
      </c>
      <c r="D320" s="193">
        <f>Introduction!$D$7</f>
        <v>0</v>
      </c>
      <c r="E320" s="193">
        <f>Introduction!$D$8</f>
        <v>0</v>
      </c>
      <c r="F320" s="193" t="s">
        <v>488</v>
      </c>
      <c r="G320" s="193" t="s">
        <v>489</v>
      </c>
      <c r="H320" s="195">
        <f>'Site Information'!B324</f>
        <v>0</v>
      </c>
      <c r="I320" s="194"/>
      <c r="J320" s="193">
        <f>'Site Information'!C324</f>
        <v>0</v>
      </c>
      <c r="K320" s="193">
        <f>'Site Information'!D324</f>
        <v>0</v>
      </c>
      <c r="L320" s="193">
        <f>'Site Information'!E324</f>
        <v>0</v>
      </c>
      <c r="M320" s="237"/>
      <c r="N320" s="237"/>
      <c r="O320" s="237"/>
      <c r="P320" s="237"/>
      <c r="Q320" s="237"/>
      <c r="R320" s="193">
        <f>'Site Information'!F324</f>
        <v>0</v>
      </c>
      <c r="S320" s="237"/>
      <c r="T320" s="237"/>
      <c r="U320" s="237"/>
      <c r="V320" s="237"/>
      <c r="W320" s="237"/>
      <c r="X320" s="237"/>
      <c r="Y320" s="237"/>
      <c r="Z320" s="237"/>
      <c r="AA320" s="237"/>
      <c r="AB320" s="237"/>
      <c r="AC320" s="237"/>
      <c r="AD320" s="237"/>
      <c r="AE320" s="237"/>
      <c r="AF320" s="237"/>
      <c r="AG320" s="237"/>
      <c r="AI320" s="193"/>
      <c r="AJ320" s="193"/>
    </row>
    <row r="321" spans="2:36" x14ac:dyDescent="0.35">
      <c r="B321" s="193" t="e">
        <f>"2024"&amp;MATCH(Totals!D321,OrgType,0)&amp;"_"&amp;MATCH(Totals!E321,Organisations,0)&amp;"_"&amp;LEFT(Totals!F321,1)&amp;"_"&amp;LEFT(G321,1)&amp;"_"&amp;COUNTIF($G$3:G321,G321)</f>
        <v>#N/A</v>
      </c>
      <c r="C321" s="193">
        <v>2025</v>
      </c>
      <c r="D321" s="193">
        <f>Introduction!$D$7</f>
        <v>0</v>
      </c>
      <c r="E321" s="193">
        <f>Introduction!$D$8</f>
        <v>0</v>
      </c>
      <c r="F321" s="193" t="s">
        <v>488</v>
      </c>
      <c r="G321" s="193" t="s">
        <v>489</v>
      </c>
      <c r="H321" s="195">
        <f>'Site Information'!B325</f>
        <v>0</v>
      </c>
      <c r="I321" s="194"/>
      <c r="J321" s="193">
        <f>'Site Information'!C325</f>
        <v>0</v>
      </c>
      <c r="K321" s="193">
        <f>'Site Information'!D325</f>
        <v>0</v>
      </c>
      <c r="L321" s="193">
        <f>'Site Information'!E325</f>
        <v>0</v>
      </c>
      <c r="M321" s="237"/>
      <c r="N321" s="237"/>
      <c r="O321" s="237"/>
      <c r="P321" s="237"/>
      <c r="Q321" s="237"/>
      <c r="R321" s="193">
        <f>'Site Information'!F325</f>
        <v>0</v>
      </c>
      <c r="S321" s="237"/>
      <c r="T321" s="237"/>
      <c r="U321" s="237"/>
      <c r="V321" s="237"/>
      <c r="W321" s="237"/>
      <c r="X321" s="237"/>
      <c r="Y321" s="237"/>
      <c r="Z321" s="237"/>
      <c r="AA321" s="237"/>
      <c r="AB321" s="237"/>
      <c r="AC321" s="237"/>
      <c r="AD321" s="237"/>
      <c r="AE321" s="237"/>
      <c r="AF321" s="237"/>
      <c r="AG321" s="237"/>
      <c r="AI321" s="193"/>
      <c r="AJ321" s="193"/>
    </row>
    <row r="322" spans="2:36" x14ac:dyDescent="0.35">
      <c r="B322" s="193" t="e">
        <f>"2024"&amp;MATCH(Totals!D322,OrgType,0)&amp;"_"&amp;MATCH(Totals!E322,Organisations,0)&amp;"_"&amp;LEFT(Totals!F322,1)&amp;"_"&amp;LEFT(G322,1)&amp;"_"&amp;COUNTIF($G$3:G322,G322)</f>
        <v>#N/A</v>
      </c>
      <c r="C322" s="193">
        <v>2025</v>
      </c>
      <c r="D322" s="193">
        <f>Introduction!$D$7</f>
        <v>0</v>
      </c>
      <c r="E322" s="193">
        <f>Introduction!$D$8</f>
        <v>0</v>
      </c>
      <c r="F322" s="193" t="s">
        <v>488</v>
      </c>
      <c r="G322" s="193" t="s">
        <v>489</v>
      </c>
      <c r="H322" s="195">
        <f>'Site Information'!B326</f>
        <v>0</v>
      </c>
      <c r="I322" s="194"/>
      <c r="J322" s="193">
        <f>'Site Information'!C326</f>
        <v>0</v>
      </c>
      <c r="K322" s="193">
        <f>'Site Information'!D326</f>
        <v>0</v>
      </c>
      <c r="L322" s="193">
        <f>'Site Information'!E326</f>
        <v>0</v>
      </c>
      <c r="M322" s="237"/>
      <c r="N322" s="237"/>
      <c r="O322" s="237"/>
      <c r="P322" s="237"/>
      <c r="Q322" s="237"/>
      <c r="R322" s="193">
        <f>'Site Information'!F326</f>
        <v>0</v>
      </c>
      <c r="S322" s="237"/>
      <c r="T322" s="237"/>
      <c r="U322" s="237"/>
      <c r="V322" s="237"/>
      <c r="W322" s="237"/>
      <c r="X322" s="237"/>
      <c r="Y322" s="237"/>
      <c r="Z322" s="237"/>
      <c r="AA322" s="237"/>
      <c r="AB322" s="237"/>
      <c r="AC322" s="237"/>
      <c r="AD322" s="237"/>
      <c r="AE322" s="237"/>
      <c r="AF322" s="237"/>
      <c r="AG322" s="237"/>
      <c r="AI322" s="193"/>
      <c r="AJ322" s="193"/>
    </row>
    <row r="323" spans="2:36" x14ac:dyDescent="0.35">
      <c r="B323" s="193" t="e">
        <f>"2024"&amp;MATCH(Totals!D323,OrgType,0)&amp;"_"&amp;MATCH(Totals!E323,Organisations,0)&amp;"_"&amp;LEFT(Totals!F323,1)&amp;"_"&amp;LEFT(G323,1)&amp;"_"&amp;COUNTIF($G$3:G323,G323)</f>
        <v>#N/A</v>
      </c>
      <c r="C323" s="193">
        <v>2025</v>
      </c>
      <c r="D323" s="193">
        <f>Introduction!$D$7</f>
        <v>0</v>
      </c>
      <c r="E323" s="193">
        <f>Introduction!$D$8</f>
        <v>0</v>
      </c>
      <c r="F323" s="193" t="s">
        <v>488</v>
      </c>
      <c r="G323" s="193" t="s">
        <v>489</v>
      </c>
      <c r="H323" s="195">
        <f>'Site Information'!B327</f>
        <v>0</v>
      </c>
      <c r="I323" s="194"/>
      <c r="J323" s="193">
        <f>'Site Information'!C327</f>
        <v>0</v>
      </c>
      <c r="K323" s="193">
        <f>'Site Information'!D327</f>
        <v>0</v>
      </c>
      <c r="L323" s="193">
        <f>'Site Information'!E327</f>
        <v>0</v>
      </c>
      <c r="M323" s="237"/>
      <c r="N323" s="237"/>
      <c r="O323" s="237"/>
      <c r="P323" s="237"/>
      <c r="Q323" s="237"/>
      <c r="R323" s="193">
        <f>'Site Information'!F327</f>
        <v>0</v>
      </c>
      <c r="S323" s="237"/>
      <c r="T323" s="237"/>
      <c r="U323" s="237"/>
      <c r="V323" s="237"/>
      <c r="W323" s="237"/>
      <c r="X323" s="237"/>
      <c r="Y323" s="237"/>
      <c r="Z323" s="237"/>
      <c r="AA323" s="237"/>
      <c r="AB323" s="237"/>
      <c r="AC323" s="237"/>
      <c r="AD323" s="237"/>
      <c r="AE323" s="237"/>
      <c r="AF323" s="237"/>
      <c r="AG323" s="237"/>
      <c r="AI323" s="193"/>
      <c r="AJ323" s="193"/>
    </row>
    <row r="324" spans="2:36" x14ac:dyDescent="0.35">
      <c r="B324" s="193" t="e">
        <f>"2024"&amp;MATCH(Totals!D324,OrgType,0)&amp;"_"&amp;MATCH(Totals!E324,Organisations,0)&amp;"_"&amp;LEFT(Totals!F324,1)&amp;"_"&amp;LEFT(G324,1)&amp;"_"&amp;COUNTIF($G$3:G324,G324)</f>
        <v>#N/A</v>
      </c>
      <c r="C324" s="193">
        <v>2025</v>
      </c>
      <c r="D324" s="193">
        <f>Introduction!$D$7</f>
        <v>0</v>
      </c>
      <c r="E324" s="193">
        <f>Introduction!$D$8</f>
        <v>0</v>
      </c>
      <c r="F324" s="193" t="s">
        <v>488</v>
      </c>
      <c r="G324" s="193" t="s">
        <v>489</v>
      </c>
      <c r="H324" s="195">
        <f>'Site Information'!B328</f>
        <v>0</v>
      </c>
      <c r="I324" s="194"/>
      <c r="J324" s="193">
        <f>'Site Information'!C328</f>
        <v>0</v>
      </c>
      <c r="K324" s="193">
        <f>'Site Information'!D328</f>
        <v>0</v>
      </c>
      <c r="L324" s="193">
        <f>'Site Information'!E328</f>
        <v>0</v>
      </c>
      <c r="M324" s="237"/>
      <c r="N324" s="237"/>
      <c r="O324" s="237"/>
      <c r="P324" s="237"/>
      <c r="Q324" s="237"/>
      <c r="R324" s="193">
        <f>'Site Information'!F328</f>
        <v>0</v>
      </c>
      <c r="S324" s="237"/>
      <c r="T324" s="237"/>
      <c r="U324" s="237"/>
      <c r="V324" s="237"/>
      <c r="W324" s="237"/>
      <c r="X324" s="237"/>
      <c r="Y324" s="237"/>
      <c r="Z324" s="237"/>
      <c r="AA324" s="237"/>
      <c r="AB324" s="237"/>
      <c r="AC324" s="237"/>
      <c r="AD324" s="237"/>
      <c r="AE324" s="237"/>
      <c r="AF324" s="237"/>
      <c r="AG324" s="237"/>
      <c r="AI324" s="193"/>
      <c r="AJ324" s="193"/>
    </row>
    <row r="325" spans="2:36" x14ac:dyDescent="0.35">
      <c r="B325" s="193" t="e">
        <f>"2024"&amp;MATCH(Totals!D325,OrgType,0)&amp;"_"&amp;MATCH(Totals!E325,Organisations,0)&amp;"_"&amp;LEFT(Totals!F325,1)&amp;"_"&amp;LEFT(G325,1)&amp;"_"&amp;COUNTIF($G$3:G325,G325)</f>
        <v>#N/A</v>
      </c>
      <c r="C325" s="193">
        <v>2025</v>
      </c>
      <c r="D325" s="193">
        <f>Introduction!$D$7</f>
        <v>0</v>
      </c>
      <c r="E325" s="193">
        <f>Introduction!$D$8</f>
        <v>0</v>
      </c>
      <c r="F325" s="193" t="s">
        <v>488</v>
      </c>
      <c r="G325" s="193" t="s">
        <v>489</v>
      </c>
      <c r="H325" s="195">
        <f>'Site Information'!B329</f>
        <v>0</v>
      </c>
      <c r="I325" s="194"/>
      <c r="J325" s="193">
        <f>'Site Information'!C329</f>
        <v>0</v>
      </c>
      <c r="K325" s="193">
        <f>'Site Information'!D329</f>
        <v>0</v>
      </c>
      <c r="L325" s="193">
        <f>'Site Information'!E329</f>
        <v>0</v>
      </c>
      <c r="M325" s="237"/>
      <c r="N325" s="237"/>
      <c r="O325" s="237"/>
      <c r="P325" s="237"/>
      <c r="Q325" s="237"/>
      <c r="R325" s="193">
        <f>'Site Information'!F329</f>
        <v>0</v>
      </c>
      <c r="S325" s="237"/>
      <c r="T325" s="237"/>
      <c r="U325" s="237"/>
      <c r="V325" s="237"/>
      <c r="W325" s="237"/>
      <c r="X325" s="237"/>
      <c r="Y325" s="237"/>
      <c r="Z325" s="237"/>
      <c r="AA325" s="237"/>
      <c r="AB325" s="237"/>
      <c r="AC325" s="237"/>
      <c r="AD325" s="237"/>
      <c r="AE325" s="237"/>
      <c r="AF325" s="237"/>
      <c r="AG325" s="237"/>
      <c r="AI325" s="193"/>
      <c r="AJ325" s="193"/>
    </row>
    <row r="326" spans="2:36" x14ac:dyDescent="0.35">
      <c r="B326" s="193" t="e">
        <f>"2024"&amp;MATCH(Totals!D326,OrgType,0)&amp;"_"&amp;MATCH(Totals!E326,Organisations,0)&amp;"_"&amp;LEFT(Totals!F326,1)&amp;"_"&amp;LEFT(G326,1)&amp;"_"&amp;COUNTIF($G$3:G326,G326)</f>
        <v>#N/A</v>
      </c>
      <c r="C326" s="193">
        <v>2025</v>
      </c>
      <c r="D326" s="193">
        <f>Introduction!$D$7</f>
        <v>0</v>
      </c>
      <c r="E326" s="193">
        <f>Introduction!$D$8</f>
        <v>0</v>
      </c>
      <c r="F326" s="193" t="s">
        <v>488</v>
      </c>
      <c r="G326" s="193" t="s">
        <v>489</v>
      </c>
      <c r="H326" s="195">
        <f>'Site Information'!B330</f>
        <v>0</v>
      </c>
      <c r="I326" s="194"/>
      <c r="J326" s="193">
        <f>'Site Information'!C330</f>
        <v>0</v>
      </c>
      <c r="K326" s="193">
        <f>'Site Information'!D330</f>
        <v>0</v>
      </c>
      <c r="L326" s="193">
        <f>'Site Information'!E330</f>
        <v>0</v>
      </c>
      <c r="M326" s="237"/>
      <c r="N326" s="237"/>
      <c r="O326" s="237"/>
      <c r="P326" s="237"/>
      <c r="Q326" s="237"/>
      <c r="R326" s="193">
        <f>'Site Information'!F330</f>
        <v>0</v>
      </c>
      <c r="S326" s="237"/>
      <c r="T326" s="237"/>
      <c r="U326" s="237"/>
      <c r="V326" s="237"/>
      <c r="W326" s="237"/>
      <c r="X326" s="237"/>
      <c r="Y326" s="237"/>
      <c r="Z326" s="237"/>
      <c r="AA326" s="237"/>
      <c r="AB326" s="237"/>
      <c r="AC326" s="237"/>
      <c r="AD326" s="237"/>
      <c r="AE326" s="237"/>
      <c r="AF326" s="237"/>
      <c r="AG326" s="237"/>
      <c r="AI326" s="193"/>
      <c r="AJ326" s="193"/>
    </row>
    <row r="327" spans="2:36" x14ac:dyDescent="0.35">
      <c r="B327" s="193" t="e">
        <f>"2024"&amp;MATCH(Totals!D327,OrgType,0)&amp;"_"&amp;MATCH(Totals!E327,Organisations,0)&amp;"_"&amp;LEFT(Totals!F327,1)&amp;"_"&amp;LEFT(G327,1)&amp;"_"&amp;COUNTIF($G$3:G327,G327)</f>
        <v>#N/A</v>
      </c>
      <c r="C327" s="193">
        <v>2025</v>
      </c>
      <c r="D327" s="193">
        <f>Introduction!$D$7</f>
        <v>0</v>
      </c>
      <c r="E327" s="193">
        <f>Introduction!$D$8</f>
        <v>0</v>
      </c>
      <c r="F327" s="193" t="s">
        <v>488</v>
      </c>
      <c r="G327" s="193" t="s">
        <v>489</v>
      </c>
      <c r="H327" s="195">
        <f>'Site Information'!B331</f>
        <v>0</v>
      </c>
      <c r="I327" s="194"/>
      <c r="J327" s="193">
        <f>'Site Information'!C331</f>
        <v>0</v>
      </c>
      <c r="K327" s="193">
        <f>'Site Information'!D331</f>
        <v>0</v>
      </c>
      <c r="L327" s="193">
        <f>'Site Information'!E331</f>
        <v>0</v>
      </c>
      <c r="M327" s="237"/>
      <c r="N327" s="237"/>
      <c r="O327" s="237"/>
      <c r="P327" s="237"/>
      <c r="Q327" s="237"/>
      <c r="R327" s="193">
        <f>'Site Information'!F331</f>
        <v>0</v>
      </c>
      <c r="S327" s="237"/>
      <c r="T327" s="237"/>
      <c r="U327" s="237"/>
      <c r="V327" s="237"/>
      <c r="W327" s="237"/>
      <c r="X327" s="237"/>
      <c r="Y327" s="237"/>
      <c r="Z327" s="237"/>
      <c r="AA327" s="237"/>
      <c r="AB327" s="237"/>
      <c r="AC327" s="237"/>
      <c r="AD327" s="237"/>
      <c r="AE327" s="237"/>
      <c r="AF327" s="237"/>
      <c r="AG327" s="237"/>
      <c r="AI327" s="193"/>
      <c r="AJ327" s="193"/>
    </row>
    <row r="328" spans="2:36" x14ac:dyDescent="0.35">
      <c r="B328" s="193" t="e">
        <f>"2024"&amp;MATCH(Totals!D328,OrgType,0)&amp;"_"&amp;MATCH(Totals!E328,Organisations,0)&amp;"_"&amp;LEFT(Totals!F328,1)&amp;"_"&amp;LEFT(G328,1)&amp;"_"&amp;COUNTIF($G$3:G328,G328)</f>
        <v>#N/A</v>
      </c>
      <c r="C328" s="193">
        <v>2025</v>
      </c>
      <c r="D328" s="193">
        <f>Introduction!$D$7</f>
        <v>0</v>
      </c>
      <c r="E328" s="193">
        <f>Introduction!$D$8</f>
        <v>0</v>
      </c>
      <c r="F328" s="193" t="s">
        <v>488</v>
      </c>
      <c r="G328" s="193" t="s">
        <v>489</v>
      </c>
      <c r="H328" s="195">
        <f>'Site Information'!B332</f>
        <v>0</v>
      </c>
      <c r="I328" s="194"/>
      <c r="J328" s="193">
        <f>'Site Information'!C332</f>
        <v>0</v>
      </c>
      <c r="K328" s="193">
        <f>'Site Information'!D332</f>
        <v>0</v>
      </c>
      <c r="L328" s="193">
        <f>'Site Information'!E332</f>
        <v>0</v>
      </c>
      <c r="M328" s="237"/>
      <c r="N328" s="237"/>
      <c r="O328" s="237"/>
      <c r="P328" s="237"/>
      <c r="Q328" s="237"/>
      <c r="R328" s="193">
        <f>'Site Information'!F332</f>
        <v>0</v>
      </c>
      <c r="S328" s="237"/>
      <c r="T328" s="237"/>
      <c r="U328" s="237"/>
      <c r="V328" s="237"/>
      <c r="W328" s="237"/>
      <c r="X328" s="237"/>
      <c r="Y328" s="237"/>
      <c r="Z328" s="237"/>
      <c r="AA328" s="237"/>
      <c r="AB328" s="237"/>
      <c r="AC328" s="237"/>
      <c r="AD328" s="237"/>
      <c r="AE328" s="237"/>
      <c r="AF328" s="237"/>
      <c r="AG328" s="237"/>
      <c r="AI328" s="193"/>
      <c r="AJ328" s="193"/>
    </row>
    <row r="329" spans="2:36" x14ac:dyDescent="0.35">
      <c r="B329" s="193" t="e">
        <f>"2024"&amp;MATCH(Totals!D329,OrgType,0)&amp;"_"&amp;MATCH(Totals!E329,Organisations,0)&amp;"_"&amp;LEFT(Totals!F329,1)&amp;"_"&amp;LEFT(G329,1)&amp;"_"&amp;COUNTIF($G$3:G329,G329)</f>
        <v>#N/A</v>
      </c>
      <c r="C329" s="193">
        <v>2025</v>
      </c>
      <c r="D329" s="193">
        <f>Introduction!$D$7</f>
        <v>0</v>
      </c>
      <c r="E329" s="193">
        <f>Introduction!$D$8</f>
        <v>0</v>
      </c>
      <c r="F329" s="193" t="s">
        <v>488</v>
      </c>
      <c r="G329" s="193" t="s">
        <v>489</v>
      </c>
      <c r="H329" s="195">
        <f>'Site Information'!B333</f>
        <v>0</v>
      </c>
      <c r="I329" s="194"/>
      <c r="J329" s="193">
        <f>'Site Information'!C333</f>
        <v>0</v>
      </c>
      <c r="K329" s="193">
        <f>'Site Information'!D333</f>
        <v>0</v>
      </c>
      <c r="L329" s="193">
        <f>'Site Information'!E333</f>
        <v>0</v>
      </c>
      <c r="M329" s="237"/>
      <c r="N329" s="237"/>
      <c r="O329" s="237"/>
      <c r="P329" s="237"/>
      <c r="Q329" s="237"/>
      <c r="R329" s="193">
        <f>'Site Information'!F333</f>
        <v>0</v>
      </c>
      <c r="S329" s="237"/>
      <c r="T329" s="237"/>
      <c r="U329" s="237"/>
      <c r="V329" s="237"/>
      <c r="W329" s="237"/>
      <c r="X329" s="237"/>
      <c r="Y329" s="237"/>
      <c r="Z329" s="237"/>
      <c r="AA329" s="237"/>
      <c r="AB329" s="237"/>
      <c r="AC329" s="237"/>
      <c r="AD329" s="237"/>
      <c r="AE329" s="237"/>
      <c r="AF329" s="237"/>
      <c r="AG329" s="237"/>
      <c r="AI329" s="193"/>
      <c r="AJ329" s="193"/>
    </row>
    <row r="330" spans="2:36" x14ac:dyDescent="0.35">
      <c r="B330" s="193" t="e">
        <f>"2024"&amp;MATCH(Totals!D330,OrgType,0)&amp;"_"&amp;MATCH(Totals!E330,Organisations,0)&amp;"_"&amp;LEFT(Totals!F330,1)&amp;"_"&amp;LEFT(G330,1)&amp;"_"&amp;COUNTIF($G$3:G330,G330)</f>
        <v>#N/A</v>
      </c>
      <c r="C330" s="193">
        <v>2025</v>
      </c>
      <c r="D330" s="193">
        <f>Introduction!$D$7</f>
        <v>0</v>
      </c>
      <c r="E330" s="193">
        <f>Introduction!$D$8</f>
        <v>0</v>
      </c>
      <c r="F330" s="193" t="s">
        <v>488</v>
      </c>
      <c r="G330" s="193" t="s">
        <v>489</v>
      </c>
      <c r="H330" s="195">
        <f>'Site Information'!B334</f>
        <v>0</v>
      </c>
      <c r="I330" s="194"/>
      <c r="J330" s="193">
        <f>'Site Information'!C334</f>
        <v>0</v>
      </c>
      <c r="K330" s="193">
        <f>'Site Information'!D334</f>
        <v>0</v>
      </c>
      <c r="L330" s="193">
        <f>'Site Information'!E334</f>
        <v>0</v>
      </c>
      <c r="M330" s="237"/>
      <c r="N330" s="237"/>
      <c r="O330" s="237"/>
      <c r="P330" s="237"/>
      <c r="Q330" s="237"/>
      <c r="R330" s="193">
        <f>'Site Information'!F334</f>
        <v>0</v>
      </c>
      <c r="S330" s="237"/>
      <c r="T330" s="237"/>
      <c r="U330" s="237"/>
      <c r="V330" s="237"/>
      <c r="W330" s="237"/>
      <c r="X330" s="237"/>
      <c r="Y330" s="237"/>
      <c r="Z330" s="237"/>
      <c r="AA330" s="237"/>
      <c r="AB330" s="237"/>
      <c r="AC330" s="237"/>
      <c r="AD330" s="237"/>
      <c r="AE330" s="237"/>
      <c r="AF330" s="237"/>
      <c r="AG330" s="237"/>
      <c r="AI330" s="193"/>
      <c r="AJ330" s="193"/>
    </row>
    <row r="331" spans="2:36" x14ac:dyDescent="0.35">
      <c r="B331" s="193" t="e">
        <f>"2024"&amp;MATCH(Totals!D331,OrgType,0)&amp;"_"&amp;MATCH(Totals!E331,Organisations,0)&amp;"_"&amp;LEFT(Totals!F331,1)&amp;"_"&amp;LEFT(G331,1)&amp;"_"&amp;COUNTIF($G$3:G331,G331)</f>
        <v>#N/A</v>
      </c>
      <c r="C331" s="193">
        <v>2025</v>
      </c>
      <c r="D331" s="193">
        <f>Introduction!$D$7</f>
        <v>0</v>
      </c>
      <c r="E331" s="193">
        <f>Introduction!$D$8</f>
        <v>0</v>
      </c>
      <c r="F331" s="193" t="s">
        <v>488</v>
      </c>
      <c r="G331" s="193" t="s">
        <v>489</v>
      </c>
      <c r="H331" s="195">
        <f>'Site Information'!B335</f>
        <v>0</v>
      </c>
      <c r="I331" s="194"/>
      <c r="J331" s="193">
        <f>'Site Information'!C335</f>
        <v>0</v>
      </c>
      <c r="K331" s="193">
        <f>'Site Information'!D335</f>
        <v>0</v>
      </c>
      <c r="L331" s="193">
        <f>'Site Information'!E335</f>
        <v>0</v>
      </c>
      <c r="M331" s="237"/>
      <c r="N331" s="237"/>
      <c r="O331" s="237"/>
      <c r="P331" s="237"/>
      <c r="Q331" s="237"/>
      <c r="R331" s="193">
        <f>'Site Information'!F335</f>
        <v>0</v>
      </c>
      <c r="S331" s="237"/>
      <c r="T331" s="237"/>
      <c r="U331" s="237"/>
      <c r="V331" s="237"/>
      <c r="W331" s="237"/>
      <c r="X331" s="237"/>
      <c r="Y331" s="237"/>
      <c r="Z331" s="237"/>
      <c r="AA331" s="237"/>
      <c r="AB331" s="237"/>
      <c r="AC331" s="237"/>
      <c r="AD331" s="237"/>
      <c r="AE331" s="237"/>
      <c r="AF331" s="237"/>
      <c r="AG331" s="237"/>
      <c r="AI331" s="193"/>
      <c r="AJ331" s="193"/>
    </row>
    <row r="332" spans="2:36" x14ac:dyDescent="0.35">
      <c r="B332" s="193" t="e">
        <f>"2024"&amp;MATCH(Totals!D332,OrgType,0)&amp;"_"&amp;MATCH(Totals!E332,Organisations,0)&amp;"_"&amp;LEFT(Totals!F332,1)&amp;"_"&amp;LEFT(G332,1)&amp;"_"&amp;COUNTIF($G$3:G332,G332)</f>
        <v>#N/A</v>
      </c>
      <c r="C332" s="193">
        <v>2025</v>
      </c>
      <c r="D332" s="193">
        <f>Introduction!$D$7</f>
        <v>0</v>
      </c>
      <c r="E332" s="193">
        <f>Introduction!$D$8</f>
        <v>0</v>
      </c>
      <c r="F332" s="193" t="s">
        <v>488</v>
      </c>
      <c r="G332" s="193" t="s">
        <v>489</v>
      </c>
      <c r="H332" s="195">
        <f>'Site Information'!B336</f>
        <v>0</v>
      </c>
      <c r="I332" s="194"/>
      <c r="J332" s="193">
        <f>'Site Information'!C336</f>
        <v>0</v>
      </c>
      <c r="K332" s="193">
        <f>'Site Information'!D336</f>
        <v>0</v>
      </c>
      <c r="L332" s="193">
        <f>'Site Information'!E336</f>
        <v>0</v>
      </c>
      <c r="M332" s="237"/>
      <c r="N332" s="237"/>
      <c r="O332" s="237"/>
      <c r="P332" s="237"/>
      <c r="Q332" s="237"/>
      <c r="R332" s="193">
        <f>'Site Information'!F336</f>
        <v>0</v>
      </c>
      <c r="S332" s="237"/>
      <c r="T332" s="237"/>
      <c r="U332" s="237"/>
      <c r="V332" s="237"/>
      <c r="W332" s="237"/>
      <c r="X332" s="237"/>
      <c r="Y332" s="237"/>
      <c r="Z332" s="237"/>
      <c r="AA332" s="237"/>
      <c r="AB332" s="237"/>
      <c r="AC332" s="237"/>
      <c r="AD332" s="237"/>
      <c r="AE332" s="237"/>
      <c r="AF332" s="237"/>
      <c r="AG332" s="237"/>
      <c r="AI332" s="193"/>
      <c r="AJ332" s="193"/>
    </row>
    <row r="333" spans="2:36" x14ac:dyDescent="0.35">
      <c r="B333" s="193" t="e">
        <f>"2024"&amp;MATCH(Totals!D333,OrgType,0)&amp;"_"&amp;MATCH(Totals!E333,Organisations,0)&amp;"_"&amp;LEFT(Totals!F333,1)&amp;"_"&amp;LEFT(G333,1)&amp;"_"&amp;COUNTIF($G$3:G333,G333)</f>
        <v>#N/A</v>
      </c>
      <c r="C333" s="193">
        <v>2025</v>
      </c>
      <c r="D333" s="193">
        <f>Introduction!$D$7</f>
        <v>0</v>
      </c>
      <c r="E333" s="193">
        <f>Introduction!$D$8</f>
        <v>0</v>
      </c>
      <c r="F333" s="193" t="s">
        <v>488</v>
      </c>
      <c r="G333" s="193" t="s">
        <v>489</v>
      </c>
      <c r="H333" s="195">
        <f>'Site Information'!B337</f>
        <v>0</v>
      </c>
      <c r="I333" s="194"/>
      <c r="J333" s="193">
        <f>'Site Information'!C337</f>
        <v>0</v>
      </c>
      <c r="K333" s="193">
        <f>'Site Information'!D337</f>
        <v>0</v>
      </c>
      <c r="L333" s="193">
        <f>'Site Information'!E337</f>
        <v>0</v>
      </c>
      <c r="M333" s="237"/>
      <c r="N333" s="237"/>
      <c r="O333" s="237"/>
      <c r="P333" s="237"/>
      <c r="Q333" s="237"/>
      <c r="R333" s="193">
        <f>'Site Information'!F337</f>
        <v>0</v>
      </c>
      <c r="S333" s="237"/>
      <c r="T333" s="237"/>
      <c r="U333" s="237"/>
      <c r="V333" s="237"/>
      <c r="W333" s="237"/>
      <c r="X333" s="237"/>
      <c r="Y333" s="237"/>
      <c r="Z333" s="237"/>
      <c r="AA333" s="237"/>
      <c r="AB333" s="237"/>
      <c r="AC333" s="237"/>
      <c r="AD333" s="237"/>
      <c r="AE333" s="237"/>
      <c r="AF333" s="237"/>
      <c r="AG333" s="237"/>
      <c r="AI333" s="193"/>
      <c r="AJ333" s="193"/>
    </row>
    <row r="334" spans="2:36" x14ac:dyDescent="0.35">
      <c r="B334" s="193" t="e">
        <f>"2024"&amp;MATCH(Totals!D334,OrgType,0)&amp;"_"&amp;MATCH(Totals!E334,Organisations,0)&amp;"_"&amp;LEFT(Totals!F334,1)&amp;"_"&amp;LEFT(G334,1)&amp;"_"&amp;COUNTIF($G$3:G334,G334)</f>
        <v>#N/A</v>
      </c>
      <c r="C334" s="193">
        <v>2025</v>
      </c>
      <c r="D334" s="193">
        <f>Introduction!$D$7</f>
        <v>0</v>
      </c>
      <c r="E334" s="193">
        <f>Introduction!$D$8</f>
        <v>0</v>
      </c>
      <c r="F334" s="193" t="s">
        <v>488</v>
      </c>
      <c r="G334" s="193" t="s">
        <v>489</v>
      </c>
      <c r="H334" s="195">
        <f>'Site Information'!B338</f>
        <v>0</v>
      </c>
      <c r="I334" s="194"/>
      <c r="J334" s="193">
        <f>'Site Information'!C338</f>
        <v>0</v>
      </c>
      <c r="K334" s="193">
        <f>'Site Information'!D338</f>
        <v>0</v>
      </c>
      <c r="L334" s="193">
        <f>'Site Information'!E338</f>
        <v>0</v>
      </c>
      <c r="M334" s="237"/>
      <c r="N334" s="237"/>
      <c r="O334" s="237"/>
      <c r="P334" s="237"/>
      <c r="Q334" s="237"/>
      <c r="R334" s="193">
        <f>'Site Information'!F338</f>
        <v>0</v>
      </c>
      <c r="S334" s="237"/>
      <c r="T334" s="237"/>
      <c r="U334" s="237"/>
      <c r="V334" s="237"/>
      <c r="W334" s="237"/>
      <c r="X334" s="237"/>
      <c r="Y334" s="237"/>
      <c r="Z334" s="237"/>
      <c r="AA334" s="237"/>
      <c r="AB334" s="237"/>
      <c r="AC334" s="237"/>
      <c r="AD334" s="237"/>
      <c r="AE334" s="237"/>
      <c r="AF334" s="237"/>
      <c r="AG334" s="237"/>
      <c r="AI334" s="193"/>
      <c r="AJ334" s="193"/>
    </row>
    <row r="335" spans="2:36" x14ac:dyDescent="0.35">
      <c r="B335" s="193" t="e">
        <f>"2024"&amp;MATCH(Totals!D335,OrgType,0)&amp;"_"&amp;MATCH(Totals!E335,Organisations,0)&amp;"_"&amp;LEFT(Totals!F335,1)&amp;"_"&amp;LEFT(G335,1)&amp;"_"&amp;COUNTIF($G$3:G335,G335)</f>
        <v>#N/A</v>
      </c>
      <c r="C335" s="193">
        <v>2025</v>
      </c>
      <c r="D335" s="193">
        <f>Introduction!$D$7</f>
        <v>0</v>
      </c>
      <c r="E335" s="193">
        <f>Introduction!$D$8</f>
        <v>0</v>
      </c>
      <c r="F335" s="193" t="s">
        <v>488</v>
      </c>
      <c r="G335" s="193" t="s">
        <v>489</v>
      </c>
      <c r="H335" s="195">
        <f>'Site Information'!B339</f>
        <v>0</v>
      </c>
      <c r="I335" s="194"/>
      <c r="J335" s="193">
        <f>'Site Information'!C339</f>
        <v>0</v>
      </c>
      <c r="K335" s="193">
        <f>'Site Information'!D339</f>
        <v>0</v>
      </c>
      <c r="L335" s="193">
        <f>'Site Information'!E339</f>
        <v>0</v>
      </c>
      <c r="M335" s="237"/>
      <c r="N335" s="237"/>
      <c r="O335" s="237"/>
      <c r="P335" s="237"/>
      <c r="Q335" s="237"/>
      <c r="R335" s="193">
        <f>'Site Information'!F339</f>
        <v>0</v>
      </c>
      <c r="S335" s="237"/>
      <c r="T335" s="237"/>
      <c r="U335" s="237"/>
      <c r="V335" s="237"/>
      <c r="W335" s="237"/>
      <c r="X335" s="237"/>
      <c r="Y335" s="237"/>
      <c r="Z335" s="237"/>
      <c r="AA335" s="237"/>
      <c r="AB335" s="237"/>
      <c r="AC335" s="237"/>
      <c r="AD335" s="237"/>
      <c r="AE335" s="237"/>
      <c r="AF335" s="237"/>
      <c r="AG335" s="237"/>
      <c r="AI335" s="193"/>
      <c r="AJ335" s="193"/>
    </row>
    <row r="336" spans="2:36" x14ac:dyDescent="0.35">
      <c r="B336" s="193" t="e">
        <f>"2024"&amp;MATCH(Totals!D336,OrgType,0)&amp;"_"&amp;MATCH(Totals!E336,Organisations,0)&amp;"_"&amp;LEFT(Totals!F336,1)&amp;"_"&amp;LEFT(G336,1)&amp;"_"&amp;COUNTIF($G$3:G336,G336)</f>
        <v>#N/A</v>
      </c>
      <c r="C336" s="193">
        <v>2025</v>
      </c>
      <c r="D336" s="193">
        <f>Introduction!$D$7</f>
        <v>0</v>
      </c>
      <c r="E336" s="193">
        <f>Introduction!$D$8</f>
        <v>0</v>
      </c>
      <c r="F336" s="193" t="s">
        <v>488</v>
      </c>
      <c r="G336" s="193" t="s">
        <v>489</v>
      </c>
      <c r="H336" s="195">
        <f>'Site Information'!B340</f>
        <v>0</v>
      </c>
      <c r="I336" s="194"/>
      <c r="J336" s="193">
        <f>'Site Information'!C340</f>
        <v>0</v>
      </c>
      <c r="K336" s="193">
        <f>'Site Information'!D340</f>
        <v>0</v>
      </c>
      <c r="L336" s="193">
        <f>'Site Information'!E340</f>
        <v>0</v>
      </c>
      <c r="M336" s="237"/>
      <c r="N336" s="237"/>
      <c r="O336" s="237"/>
      <c r="P336" s="237"/>
      <c r="Q336" s="237"/>
      <c r="R336" s="193">
        <f>'Site Information'!F340</f>
        <v>0</v>
      </c>
      <c r="S336" s="237"/>
      <c r="T336" s="237"/>
      <c r="U336" s="237"/>
      <c r="V336" s="237"/>
      <c r="W336" s="237"/>
      <c r="X336" s="237"/>
      <c r="Y336" s="237"/>
      <c r="Z336" s="237"/>
      <c r="AA336" s="237"/>
      <c r="AB336" s="237"/>
      <c r="AC336" s="237"/>
      <c r="AD336" s="237"/>
      <c r="AE336" s="237"/>
      <c r="AF336" s="237"/>
      <c r="AG336" s="237"/>
      <c r="AI336" s="193"/>
      <c r="AJ336" s="193"/>
    </row>
    <row r="337" spans="2:36" x14ac:dyDescent="0.35">
      <c r="B337" s="193" t="e">
        <f>"2024"&amp;MATCH(Totals!D337,OrgType,0)&amp;"_"&amp;MATCH(Totals!E337,Organisations,0)&amp;"_"&amp;LEFT(Totals!F337,1)&amp;"_"&amp;LEFT(G337,1)&amp;"_"&amp;COUNTIF($G$3:G337,G337)</f>
        <v>#N/A</v>
      </c>
      <c r="C337" s="193">
        <v>2025</v>
      </c>
      <c r="D337" s="193">
        <f>Introduction!$D$7</f>
        <v>0</v>
      </c>
      <c r="E337" s="193">
        <f>Introduction!$D$8</f>
        <v>0</v>
      </c>
      <c r="F337" s="193" t="s">
        <v>488</v>
      </c>
      <c r="G337" s="193" t="s">
        <v>489</v>
      </c>
      <c r="H337" s="195">
        <f>'Site Information'!B341</f>
        <v>0</v>
      </c>
      <c r="I337" s="194"/>
      <c r="J337" s="193">
        <f>'Site Information'!C341</f>
        <v>0</v>
      </c>
      <c r="K337" s="193">
        <f>'Site Information'!D341</f>
        <v>0</v>
      </c>
      <c r="L337" s="193">
        <f>'Site Information'!E341</f>
        <v>0</v>
      </c>
      <c r="M337" s="237"/>
      <c r="N337" s="237"/>
      <c r="O337" s="237"/>
      <c r="P337" s="237"/>
      <c r="Q337" s="237"/>
      <c r="R337" s="193">
        <f>'Site Information'!F341</f>
        <v>0</v>
      </c>
      <c r="S337" s="237"/>
      <c r="T337" s="237"/>
      <c r="U337" s="237"/>
      <c r="V337" s="237"/>
      <c r="W337" s="237"/>
      <c r="X337" s="237"/>
      <c r="Y337" s="237"/>
      <c r="Z337" s="237"/>
      <c r="AA337" s="237"/>
      <c r="AB337" s="237"/>
      <c r="AC337" s="237"/>
      <c r="AD337" s="237"/>
      <c r="AE337" s="237"/>
      <c r="AF337" s="237"/>
      <c r="AG337" s="237"/>
      <c r="AI337" s="193"/>
      <c r="AJ337" s="193"/>
    </row>
    <row r="338" spans="2:36" x14ac:dyDescent="0.35">
      <c r="B338" s="193" t="e">
        <f>"2024"&amp;MATCH(Totals!D338,OrgType,0)&amp;"_"&amp;MATCH(Totals!E338,Organisations,0)&amp;"_"&amp;LEFT(Totals!F338,1)&amp;"_"&amp;LEFT(G338,1)&amp;"_"&amp;COUNTIF($G$3:G338,G338)</f>
        <v>#N/A</v>
      </c>
      <c r="C338" s="193">
        <v>2025</v>
      </c>
      <c r="D338" s="193">
        <f>Introduction!$D$7</f>
        <v>0</v>
      </c>
      <c r="E338" s="193">
        <f>Introduction!$D$8</f>
        <v>0</v>
      </c>
      <c r="F338" s="193" t="s">
        <v>488</v>
      </c>
      <c r="G338" s="193" t="s">
        <v>489</v>
      </c>
      <c r="H338" s="195">
        <f>'Site Information'!B342</f>
        <v>0</v>
      </c>
      <c r="I338" s="194"/>
      <c r="J338" s="193">
        <f>'Site Information'!C342</f>
        <v>0</v>
      </c>
      <c r="K338" s="193">
        <f>'Site Information'!D342</f>
        <v>0</v>
      </c>
      <c r="L338" s="193">
        <f>'Site Information'!E342</f>
        <v>0</v>
      </c>
      <c r="M338" s="237"/>
      <c r="N338" s="237"/>
      <c r="O338" s="237"/>
      <c r="P338" s="237"/>
      <c r="Q338" s="237"/>
      <c r="R338" s="193">
        <f>'Site Information'!F342</f>
        <v>0</v>
      </c>
      <c r="S338" s="237"/>
      <c r="T338" s="237"/>
      <c r="U338" s="237"/>
      <c r="V338" s="237"/>
      <c r="W338" s="237"/>
      <c r="X338" s="237"/>
      <c r="Y338" s="237"/>
      <c r="Z338" s="237"/>
      <c r="AA338" s="237"/>
      <c r="AB338" s="237"/>
      <c r="AC338" s="237"/>
      <c r="AD338" s="237"/>
      <c r="AE338" s="237"/>
      <c r="AF338" s="237"/>
      <c r="AG338" s="237"/>
      <c r="AI338" s="193"/>
      <c r="AJ338" s="193"/>
    </row>
    <row r="339" spans="2:36" x14ac:dyDescent="0.35">
      <c r="B339" s="193" t="e">
        <f>"2024"&amp;MATCH(Totals!D339,OrgType,0)&amp;"_"&amp;MATCH(Totals!E339,Organisations,0)&amp;"_"&amp;LEFT(Totals!F339,1)&amp;"_"&amp;LEFT(G339,1)&amp;"_"&amp;COUNTIF($G$3:G339,G339)</f>
        <v>#N/A</v>
      </c>
      <c r="C339" s="193">
        <v>2025</v>
      </c>
      <c r="D339" s="193">
        <f>Introduction!$D$7</f>
        <v>0</v>
      </c>
      <c r="E339" s="193">
        <f>Introduction!$D$8</f>
        <v>0</v>
      </c>
      <c r="F339" s="193" t="s">
        <v>488</v>
      </c>
      <c r="G339" s="193" t="s">
        <v>489</v>
      </c>
      <c r="H339" s="195">
        <f>'Site Information'!B343</f>
        <v>0</v>
      </c>
      <c r="I339" s="194"/>
      <c r="J339" s="193">
        <f>'Site Information'!C343</f>
        <v>0</v>
      </c>
      <c r="K339" s="193">
        <f>'Site Information'!D343</f>
        <v>0</v>
      </c>
      <c r="L339" s="193">
        <f>'Site Information'!E343</f>
        <v>0</v>
      </c>
      <c r="M339" s="237"/>
      <c r="N339" s="237"/>
      <c r="O339" s="237"/>
      <c r="P339" s="237"/>
      <c r="Q339" s="237"/>
      <c r="R339" s="193">
        <f>'Site Information'!F343</f>
        <v>0</v>
      </c>
      <c r="S339" s="237"/>
      <c r="T339" s="237"/>
      <c r="U339" s="237"/>
      <c r="V339" s="237"/>
      <c r="W339" s="237"/>
      <c r="X339" s="237"/>
      <c r="Y339" s="237"/>
      <c r="Z339" s="237"/>
      <c r="AA339" s="237"/>
      <c r="AB339" s="237"/>
      <c r="AC339" s="237"/>
      <c r="AD339" s="237"/>
      <c r="AE339" s="237"/>
      <c r="AF339" s="237"/>
      <c r="AG339" s="237"/>
      <c r="AI339" s="193"/>
      <c r="AJ339" s="193"/>
    </row>
    <row r="340" spans="2:36" x14ac:dyDescent="0.35">
      <c r="B340" s="193" t="e">
        <f>"2024"&amp;MATCH(Totals!D340,OrgType,0)&amp;"_"&amp;MATCH(Totals!E340,Organisations,0)&amp;"_"&amp;LEFT(Totals!F340,1)&amp;"_"&amp;LEFT(G340,1)&amp;"_"&amp;COUNTIF($G$3:G340,G340)</f>
        <v>#N/A</v>
      </c>
      <c r="C340" s="193">
        <v>2025</v>
      </c>
      <c r="D340" s="193">
        <f>Introduction!$D$7</f>
        <v>0</v>
      </c>
      <c r="E340" s="193">
        <f>Introduction!$D$8</f>
        <v>0</v>
      </c>
      <c r="F340" s="193" t="s">
        <v>488</v>
      </c>
      <c r="G340" s="193" t="s">
        <v>489</v>
      </c>
      <c r="H340" s="195">
        <f>'Site Information'!B344</f>
        <v>0</v>
      </c>
      <c r="I340" s="194"/>
      <c r="J340" s="193">
        <f>'Site Information'!C344</f>
        <v>0</v>
      </c>
      <c r="K340" s="193">
        <f>'Site Information'!D344</f>
        <v>0</v>
      </c>
      <c r="L340" s="193">
        <f>'Site Information'!E344</f>
        <v>0</v>
      </c>
      <c r="M340" s="237"/>
      <c r="N340" s="237"/>
      <c r="O340" s="237"/>
      <c r="P340" s="237"/>
      <c r="Q340" s="237"/>
      <c r="R340" s="193">
        <f>'Site Information'!F344</f>
        <v>0</v>
      </c>
      <c r="S340" s="237"/>
      <c r="T340" s="237"/>
      <c r="U340" s="237"/>
      <c r="V340" s="237"/>
      <c r="W340" s="237"/>
      <c r="X340" s="237"/>
      <c r="Y340" s="237"/>
      <c r="Z340" s="237"/>
      <c r="AA340" s="237"/>
      <c r="AB340" s="237"/>
      <c r="AC340" s="237"/>
      <c r="AD340" s="237"/>
      <c r="AE340" s="237"/>
      <c r="AF340" s="237"/>
      <c r="AG340" s="237"/>
      <c r="AI340" s="193"/>
      <c r="AJ340" s="193"/>
    </row>
    <row r="341" spans="2:36" x14ac:dyDescent="0.35">
      <c r="B341" s="193" t="e">
        <f>"2024"&amp;MATCH(Totals!D341,OrgType,0)&amp;"_"&amp;MATCH(Totals!E341,Organisations,0)&amp;"_"&amp;LEFT(Totals!F341,1)&amp;"_"&amp;LEFT(G341,1)&amp;"_"&amp;COUNTIF($G$3:G341,G341)</f>
        <v>#N/A</v>
      </c>
      <c r="C341" s="193">
        <v>2025</v>
      </c>
      <c r="D341" s="193">
        <f>Introduction!$D$7</f>
        <v>0</v>
      </c>
      <c r="E341" s="193">
        <f>Introduction!$D$8</f>
        <v>0</v>
      </c>
      <c r="F341" s="193" t="s">
        <v>488</v>
      </c>
      <c r="G341" s="193" t="s">
        <v>489</v>
      </c>
      <c r="H341" s="195">
        <f>'Site Information'!B345</f>
        <v>0</v>
      </c>
      <c r="I341" s="194"/>
      <c r="J341" s="193">
        <f>'Site Information'!C345</f>
        <v>0</v>
      </c>
      <c r="K341" s="193">
        <f>'Site Information'!D345</f>
        <v>0</v>
      </c>
      <c r="L341" s="193">
        <f>'Site Information'!E345</f>
        <v>0</v>
      </c>
      <c r="M341" s="237"/>
      <c r="N341" s="237"/>
      <c r="O341" s="237"/>
      <c r="P341" s="237"/>
      <c r="Q341" s="237"/>
      <c r="R341" s="193">
        <f>'Site Information'!F345</f>
        <v>0</v>
      </c>
      <c r="S341" s="237"/>
      <c r="T341" s="237"/>
      <c r="U341" s="237"/>
      <c r="V341" s="237"/>
      <c r="W341" s="237"/>
      <c r="X341" s="237"/>
      <c r="Y341" s="237"/>
      <c r="Z341" s="237"/>
      <c r="AA341" s="237"/>
      <c r="AB341" s="237"/>
      <c r="AC341" s="237"/>
      <c r="AD341" s="237"/>
      <c r="AE341" s="237"/>
      <c r="AF341" s="237"/>
      <c r="AG341" s="237"/>
      <c r="AI341" s="193"/>
      <c r="AJ341" s="193"/>
    </row>
    <row r="342" spans="2:36" x14ac:dyDescent="0.35">
      <c r="B342" s="193" t="e">
        <f>"2024"&amp;MATCH(Totals!D342,OrgType,0)&amp;"_"&amp;MATCH(Totals!E342,Organisations,0)&amp;"_"&amp;LEFT(Totals!F342,1)&amp;"_"&amp;LEFT(G342,1)&amp;"_"&amp;COUNTIF($G$3:G342,G342)</f>
        <v>#N/A</v>
      </c>
      <c r="C342" s="193">
        <v>2025</v>
      </c>
      <c r="D342" s="193">
        <f>Introduction!$D$7</f>
        <v>0</v>
      </c>
      <c r="E342" s="193">
        <f>Introduction!$D$8</f>
        <v>0</v>
      </c>
      <c r="F342" s="193" t="s">
        <v>488</v>
      </c>
      <c r="G342" s="193" t="s">
        <v>489</v>
      </c>
      <c r="H342" s="195">
        <f>'Site Information'!B346</f>
        <v>0</v>
      </c>
      <c r="I342" s="194"/>
      <c r="J342" s="193">
        <f>'Site Information'!C346</f>
        <v>0</v>
      </c>
      <c r="K342" s="193">
        <f>'Site Information'!D346</f>
        <v>0</v>
      </c>
      <c r="L342" s="193">
        <f>'Site Information'!E346</f>
        <v>0</v>
      </c>
      <c r="M342" s="237"/>
      <c r="N342" s="237"/>
      <c r="O342" s="237"/>
      <c r="P342" s="237"/>
      <c r="Q342" s="237"/>
      <c r="R342" s="193">
        <f>'Site Information'!F346</f>
        <v>0</v>
      </c>
      <c r="S342" s="237"/>
      <c r="T342" s="237"/>
      <c r="U342" s="237"/>
      <c r="V342" s="237"/>
      <c r="W342" s="237"/>
      <c r="X342" s="237"/>
      <c r="Y342" s="237"/>
      <c r="Z342" s="237"/>
      <c r="AA342" s="237"/>
      <c r="AB342" s="237"/>
      <c r="AC342" s="237"/>
      <c r="AD342" s="237"/>
      <c r="AE342" s="237"/>
      <c r="AF342" s="237"/>
      <c r="AG342" s="237"/>
      <c r="AI342" s="193"/>
      <c r="AJ342" s="193"/>
    </row>
    <row r="343" spans="2:36" x14ac:dyDescent="0.35">
      <c r="B343" s="193" t="e">
        <f>"2024"&amp;MATCH(Totals!D343,OrgType,0)&amp;"_"&amp;MATCH(Totals!E343,Organisations,0)&amp;"_"&amp;LEFT(Totals!F343,1)&amp;"_"&amp;LEFT(G343,1)&amp;"_"&amp;COUNTIF($G$3:G343,G343)</f>
        <v>#N/A</v>
      </c>
      <c r="C343" s="193">
        <v>2025</v>
      </c>
      <c r="D343" s="193">
        <f>Introduction!$D$7</f>
        <v>0</v>
      </c>
      <c r="E343" s="193">
        <f>Introduction!$D$8</f>
        <v>0</v>
      </c>
      <c r="F343" s="193" t="s">
        <v>488</v>
      </c>
      <c r="G343" s="193" t="s">
        <v>489</v>
      </c>
      <c r="H343" s="195">
        <f>'Site Information'!B347</f>
        <v>0</v>
      </c>
      <c r="I343" s="194"/>
      <c r="J343" s="193">
        <f>'Site Information'!C347</f>
        <v>0</v>
      </c>
      <c r="K343" s="193">
        <f>'Site Information'!D347</f>
        <v>0</v>
      </c>
      <c r="L343" s="193">
        <f>'Site Information'!E347</f>
        <v>0</v>
      </c>
      <c r="M343" s="237"/>
      <c r="N343" s="237"/>
      <c r="O343" s="237"/>
      <c r="P343" s="237"/>
      <c r="Q343" s="237"/>
      <c r="R343" s="193">
        <f>'Site Information'!F347</f>
        <v>0</v>
      </c>
      <c r="S343" s="237"/>
      <c r="T343" s="237"/>
      <c r="U343" s="237"/>
      <c r="V343" s="237"/>
      <c r="W343" s="237"/>
      <c r="X343" s="237"/>
      <c r="Y343" s="237"/>
      <c r="Z343" s="237"/>
      <c r="AA343" s="237"/>
      <c r="AB343" s="237"/>
      <c r="AC343" s="237"/>
      <c r="AD343" s="237"/>
      <c r="AE343" s="237"/>
      <c r="AF343" s="237"/>
      <c r="AG343" s="237"/>
      <c r="AI343" s="193"/>
      <c r="AJ343" s="193"/>
    </row>
    <row r="344" spans="2:36" x14ac:dyDescent="0.35">
      <c r="B344" s="193" t="e">
        <f>"2024"&amp;MATCH(Totals!D344,OrgType,0)&amp;"_"&amp;MATCH(Totals!E344,Organisations,0)&amp;"_"&amp;LEFT(Totals!F344,1)&amp;"_"&amp;LEFT(G344,1)&amp;"_"&amp;COUNTIF($G$3:G344,G344)</f>
        <v>#N/A</v>
      </c>
      <c r="C344" s="193">
        <v>2025</v>
      </c>
      <c r="D344" s="193">
        <f>Introduction!$D$7</f>
        <v>0</v>
      </c>
      <c r="E344" s="193">
        <f>Introduction!$D$8</f>
        <v>0</v>
      </c>
      <c r="F344" s="193" t="s">
        <v>488</v>
      </c>
      <c r="G344" s="193" t="s">
        <v>489</v>
      </c>
      <c r="H344" s="195">
        <f>'Site Information'!B348</f>
        <v>0</v>
      </c>
      <c r="I344" s="194"/>
      <c r="J344" s="193">
        <f>'Site Information'!C348</f>
        <v>0</v>
      </c>
      <c r="K344" s="193">
        <f>'Site Information'!D348</f>
        <v>0</v>
      </c>
      <c r="L344" s="193">
        <f>'Site Information'!E348</f>
        <v>0</v>
      </c>
      <c r="M344" s="237"/>
      <c r="N344" s="237"/>
      <c r="O344" s="237"/>
      <c r="P344" s="237"/>
      <c r="Q344" s="237"/>
      <c r="R344" s="193">
        <f>'Site Information'!F348</f>
        <v>0</v>
      </c>
      <c r="S344" s="237"/>
      <c r="T344" s="237"/>
      <c r="U344" s="237"/>
      <c r="V344" s="237"/>
      <c r="W344" s="237"/>
      <c r="X344" s="237"/>
      <c r="Y344" s="237"/>
      <c r="Z344" s="237"/>
      <c r="AA344" s="237"/>
      <c r="AB344" s="237"/>
      <c r="AC344" s="237"/>
      <c r="AD344" s="237"/>
      <c r="AE344" s="237"/>
      <c r="AF344" s="237"/>
      <c r="AG344" s="237"/>
      <c r="AI344" s="193"/>
      <c r="AJ344" s="193"/>
    </row>
    <row r="345" spans="2:36" x14ac:dyDescent="0.35">
      <c r="B345" s="193" t="e">
        <f>"2024"&amp;MATCH(Totals!D345,OrgType,0)&amp;"_"&amp;MATCH(Totals!E345,Organisations,0)&amp;"_"&amp;LEFT(Totals!F345,1)&amp;"_"&amp;LEFT(G345,1)&amp;"_"&amp;COUNTIF($G$3:G345,G345)</f>
        <v>#N/A</v>
      </c>
      <c r="C345" s="193">
        <v>2025</v>
      </c>
      <c r="D345" s="193">
        <f>Introduction!$D$7</f>
        <v>0</v>
      </c>
      <c r="E345" s="193">
        <f>Introduction!$D$8</f>
        <v>0</v>
      </c>
      <c r="F345" s="193" t="s">
        <v>488</v>
      </c>
      <c r="G345" s="193" t="s">
        <v>489</v>
      </c>
      <c r="H345" s="195">
        <f>'Site Information'!B349</f>
        <v>0</v>
      </c>
      <c r="I345" s="194"/>
      <c r="J345" s="193">
        <f>'Site Information'!C349</f>
        <v>0</v>
      </c>
      <c r="K345" s="193">
        <f>'Site Information'!D349</f>
        <v>0</v>
      </c>
      <c r="L345" s="193">
        <f>'Site Information'!E349</f>
        <v>0</v>
      </c>
      <c r="M345" s="237"/>
      <c r="N345" s="237"/>
      <c r="O345" s="237"/>
      <c r="P345" s="237"/>
      <c r="Q345" s="237"/>
      <c r="R345" s="193">
        <f>'Site Information'!F349</f>
        <v>0</v>
      </c>
      <c r="S345" s="237"/>
      <c r="T345" s="237"/>
      <c r="U345" s="237"/>
      <c r="V345" s="237"/>
      <c r="W345" s="237"/>
      <c r="X345" s="237"/>
      <c r="Y345" s="237"/>
      <c r="Z345" s="237"/>
      <c r="AA345" s="237"/>
      <c r="AB345" s="237"/>
      <c r="AC345" s="237"/>
      <c r="AD345" s="237"/>
      <c r="AE345" s="237"/>
      <c r="AF345" s="237"/>
      <c r="AG345" s="237"/>
      <c r="AI345" s="193"/>
      <c r="AJ345" s="193"/>
    </row>
    <row r="346" spans="2:36" x14ac:dyDescent="0.35">
      <c r="B346" s="193" t="e">
        <f>"2024"&amp;MATCH(Totals!D346,OrgType,0)&amp;"_"&amp;MATCH(Totals!E346,Organisations,0)&amp;"_"&amp;LEFT(Totals!F346,1)&amp;"_"&amp;LEFT(G346,1)&amp;"_"&amp;COUNTIF($G$3:G346,G346)</f>
        <v>#N/A</v>
      </c>
      <c r="C346" s="193">
        <v>2025</v>
      </c>
      <c r="D346" s="193">
        <f>Introduction!$D$7</f>
        <v>0</v>
      </c>
      <c r="E346" s="193">
        <f>Introduction!$D$8</f>
        <v>0</v>
      </c>
      <c r="F346" s="193" t="s">
        <v>488</v>
      </c>
      <c r="G346" s="193" t="s">
        <v>489</v>
      </c>
      <c r="H346" s="195">
        <f>'Site Information'!B350</f>
        <v>0</v>
      </c>
      <c r="I346" s="194"/>
      <c r="J346" s="193">
        <f>'Site Information'!C350</f>
        <v>0</v>
      </c>
      <c r="K346" s="193">
        <f>'Site Information'!D350</f>
        <v>0</v>
      </c>
      <c r="L346" s="193">
        <f>'Site Information'!E350</f>
        <v>0</v>
      </c>
      <c r="M346" s="237"/>
      <c r="N346" s="237"/>
      <c r="O346" s="237"/>
      <c r="P346" s="237"/>
      <c r="Q346" s="237"/>
      <c r="R346" s="193">
        <f>'Site Information'!F350</f>
        <v>0</v>
      </c>
      <c r="S346" s="237"/>
      <c r="T346" s="237"/>
      <c r="U346" s="237"/>
      <c r="V346" s="237"/>
      <c r="W346" s="237"/>
      <c r="X346" s="237"/>
      <c r="Y346" s="237"/>
      <c r="Z346" s="237"/>
      <c r="AA346" s="237"/>
      <c r="AB346" s="237"/>
      <c r="AC346" s="237"/>
      <c r="AD346" s="237"/>
      <c r="AE346" s="237"/>
      <c r="AF346" s="237"/>
      <c r="AG346" s="237"/>
      <c r="AI346" s="193"/>
      <c r="AJ346" s="193"/>
    </row>
    <row r="347" spans="2:36" x14ac:dyDescent="0.35">
      <c r="B347" s="193" t="e">
        <f>"2024"&amp;MATCH(Totals!D347,OrgType,0)&amp;"_"&amp;MATCH(Totals!E347,Organisations,0)&amp;"_"&amp;LEFT(Totals!F347,1)&amp;"_"&amp;LEFT(G347,1)&amp;"_"&amp;COUNTIF($G$3:G347,G347)</f>
        <v>#N/A</v>
      </c>
      <c r="C347" s="193">
        <v>2025</v>
      </c>
      <c r="D347" s="193">
        <f>Introduction!$D$7</f>
        <v>0</v>
      </c>
      <c r="E347" s="193">
        <f>Introduction!$D$8</f>
        <v>0</v>
      </c>
      <c r="F347" s="193" t="s">
        <v>488</v>
      </c>
      <c r="G347" s="193" t="s">
        <v>489</v>
      </c>
      <c r="H347" s="195">
        <f>'Site Information'!B351</f>
        <v>0</v>
      </c>
      <c r="I347" s="194"/>
      <c r="J347" s="193">
        <f>'Site Information'!C351</f>
        <v>0</v>
      </c>
      <c r="K347" s="193">
        <f>'Site Information'!D351</f>
        <v>0</v>
      </c>
      <c r="L347" s="193">
        <f>'Site Information'!E351</f>
        <v>0</v>
      </c>
      <c r="M347" s="237"/>
      <c r="N347" s="237"/>
      <c r="O347" s="237"/>
      <c r="P347" s="237"/>
      <c r="Q347" s="237"/>
      <c r="R347" s="193">
        <f>'Site Information'!F351</f>
        <v>0</v>
      </c>
      <c r="S347" s="237"/>
      <c r="T347" s="237"/>
      <c r="U347" s="237"/>
      <c r="V347" s="237"/>
      <c r="W347" s="237"/>
      <c r="X347" s="237"/>
      <c r="Y347" s="237"/>
      <c r="Z347" s="237"/>
      <c r="AA347" s="237"/>
      <c r="AB347" s="237"/>
      <c r="AC347" s="237"/>
      <c r="AD347" s="237"/>
      <c r="AE347" s="237"/>
      <c r="AF347" s="237"/>
      <c r="AG347" s="237"/>
      <c r="AI347" s="193"/>
      <c r="AJ347" s="193"/>
    </row>
    <row r="348" spans="2:36" x14ac:dyDescent="0.35">
      <c r="B348" s="193" t="e">
        <f>"2024"&amp;MATCH(Totals!D348,OrgType,0)&amp;"_"&amp;MATCH(Totals!E348,Organisations,0)&amp;"_"&amp;LEFT(Totals!F348,1)&amp;"_"&amp;LEFT(G348,1)&amp;"_"&amp;COUNTIF($G$3:G348,G348)</f>
        <v>#N/A</v>
      </c>
      <c r="C348" s="193">
        <v>2025</v>
      </c>
      <c r="D348" s="193">
        <f>Introduction!$D$7</f>
        <v>0</v>
      </c>
      <c r="E348" s="193">
        <f>Introduction!$D$8</f>
        <v>0</v>
      </c>
      <c r="F348" s="193" t="s">
        <v>488</v>
      </c>
      <c r="G348" s="193" t="s">
        <v>489</v>
      </c>
      <c r="H348" s="195">
        <f>'Site Information'!B352</f>
        <v>0</v>
      </c>
      <c r="I348" s="194"/>
      <c r="J348" s="193">
        <f>'Site Information'!C352</f>
        <v>0</v>
      </c>
      <c r="K348" s="193">
        <f>'Site Information'!D352</f>
        <v>0</v>
      </c>
      <c r="L348" s="193">
        <f>'Site Information'!E352</f>
        <v>0</v>
      </c>
      <c r="M348" s="237"/>
      <c r="N348" s="237"/>
      <c r="O348" s="237"/>
      <c r="P348" s="237"/>
      <c r="Q348" s="237"/>
      <c r="R348" s="193">
        <f>'Site Information'!F352</f>
        <v>0</v>
      </c>
      <c r="S348" s="237"/>
      <c r="T348" s="237"/>
      <c r="U348" s="237"/>
      <c r="V348" s="237"/>
      <c r="W348" s="237"/>
      <c r="X348" s="237"/>
      <c r="Y348" s="237"/>
      <c r="Z348" s="237"/>
      <c r="AA348" s="237"/>
      <c r="AB348" s="237"/>
      <c r="AC348" s="237"/>
      <c r="AD348" s="237"/>
      <c r="AE348" s="237"/>
      <c r="AF348" s="237"/>
      <c r="AG348" s="237"/>
      <c r="AI348" s="193"/>
      <c r="AJ348" s="193"/>
    </row>
    <row r="349" spans="2:36" x14ac:dyDescent="0.35">
      <c r="B349" s="193" t="e">
        <f>"2024"&amp;MATCH(Totals!D349,OrgType,0)&amp;"_"&amp;MATCH(Totals!E349,Organisations,0)&amp;"_"&amp;LEFT(Totals!F349,1)&amp;"_"&amp;LEFT(G349,1)&amp;"_"&amp;COUNTIF($G$3:G349,G349)</f>
        <v>#N/A</v>
      </c>
      <c r="C349" s="193">
        <v>2025</v>
      </c>
      <c r="D349" s="193">
        <f>Introduction!$D$7</f>
        <v>0</v>
      </c>
      <c r="E349" s="193">
        <f>Introduction!$D$8</f>
        <v>0</v>
      </c>
      <c r="F349" s="193" t="s">
        <v>488</v>
      </c>
      <c r="G349" s="193" t="s">
        <v>489</v>
      </c>
      <c r="H349" s="195">
        <f>'Site Information'!B353</f>
        <v>0</v>
      </c>
      <c r="I349" s="194"/>
      <c r="J349" s="193">
        <f>'Site Information'!C353</f>
        <v>0</v>
      </c>
      <c r="K349" s="193">
        <f>'Site Information'!D353</f>
        <v>0</v>
      </c>
      <c r="L349" s="193">
        <f>'Site Information'!E353</f>
        <v>0</v>
      </c>
      <c r="M349" s="237"/>
      <c r="N349" s="237"/>
      <c r="O349" s="237"/>
      <c r="P349" s="237"/>
      <c r="Q349" s="237"/>
      <c r="R349" s="193">
        <f>'Site Information'!F353</f>
        <v>0</v>
      </c>
      <c r="S349" s="237"/>
      <c r="T349" s="237"/>
      <c r="U349" s="237"/>
      <c r="V349" s="237"/>
      <c r="W349" s="237"/>
      <c r="X349" s="237"/>
      <c r="Y349" s="237"/>
      <c r="Z349" s="237"/>
      <c r="AA349" s="237"/>
      <c r="AB349" s="237"/>
      <c r="AC349" s="237"/>
      <c r="AD349" s="237"/>
      <c r="AE349" s="237"/>
      <c r="AF349" s="237"/>
      <c r="AG349" s="237"/>
      <c r="AI349" s="193"/>
      <c r="AJ349" s="193"/>
    </row>
    <row r="350" spans="2:36" x14ac:dyDescent="0.35">
      <c r="B350" s="193" t="e">
        <f>"2024"&amp;MATCH(Totals!D350,OrgType,0)&amp;"_"&amp;MATCH(Totals!E350,Organisations,0)&amp;"_"&amp;LEFT(Totals!F350,1)&amp;"_"&amp;LEFT(G350,1)&amp;"_"&amp;COUNTIF($G$3:G350,G350)</f>
        <v>#N/A</v>
      </c>
      <c r="C350" s="193">
        <v>2025</v>
      </c>
      <c r="D350" s="193">
        <f>Introduction!$D$7</f>
        <v>0</v>
      </c>
      <c r="E350" s="193">
        <f>Introduction!$D$8</f>
        <v>0</v>
      </c>
      <c r="F350" s="193" t="s">
        <v>488</v>
      </c>
      <c r="G350" s="193" t="s">
        <v>489</v>
      </c>
      <c r="H350" s="195">
        <f>'Site Information'!B354</f>
        <v>0</v>
      </c>
      <c r="I350" s="194"/>
      <c r="J350" s="193">
        <f>'Site Information'!C354</f>
        <v>0</v>
      </c>
      <c r="K350" s="193">
        <f>'Site Information'!D354</f>
        <v>0</v>
      </c>
      <c r="L350" s="193">
        <f>'Site Information'!E354</f>
        <v>0</v>
      </c>
      <c r="M350" s="237"/>
      <c r="N350" s="237"/>
      <c r="O350" s="237"/>
      <c r="P350" s="237"/>
      <c r="Q350" s="237"/>
      <c r="R350" s="193">
        <f>'Site Information'!F354</f>
        <v>0</v>
      </c>
      <c r="S350" s="237"/>
      <c r="T350" s="237"/>
      <c r="U350" s="237"/>
      <c r="V350" s="237"/>
      <c r="W350" s="237"/>
      <c r="X350" s="237"/>
      <c r="Y350" s="237"/>
      <c r="Z350" s="237"/>
      <c r="AA350" s="237"/>
      <c r="AB350" s="237"/>
      <c r="AC350" s="237"/>
      <c r="AD350" s="237"/>
      <c r="AE350" s="237"/>
      <c r="AF350" s="237"/>
      <c r="AG350" s="237"/>
      <c r="AI350" s="193"/>
      <c r="AJ350" s="193"/>
    </row>
    <row r="351" spans="2:36" x14ac:dyDescent="0.35">
      <c r="B351" s="193" t="e">
        <f>"2024"&amp;MATCH(Totals!D351,OrgType,0)&amp;"_"&amp;MATCH(Totals!E351,Organisations,0)&amp;"_"&amp;LEFT(Totals!F351,1)&amp;"_"&amp;LEFT(G351,1)&amp;"_"&amp;COUNTIF($G$3:G351,G351)</f>
        <v>#N/A</v>
      </c>
      <c r="C351" s="193">
        <v>2025</v>
      </c>
      <c r="D351" s="193">
        <f>Introduction!$D$7</f>
        <v>0</v>
      </c>
      <c r="E351" s="193">
        <f>Introduction!$D$8</f>
        <v>0</v>
      </c>
      <c r="F351" s="193" t="s">
        <v>488</v>
      </c>
      <c r="G351" s="193" t="s">
        <v>489</v>
      </c>
      <c r="H351" s="195">
        <f>'Site Information'!B355</f>
        <v>0</v>
      </c>
      <c r="I351" s="194"/>
      <c r="J351" s="193">
        <f>'Site Information'!C355</f>
        <v>0</v>
      </c>
      <c r="K351" s="193">
        <f>'Site Information'!D355</f>
        <v>0</v>
      </c>
      <c r="L351" s="193">
        <f>'Site Information'!E355</f>
        <v>0</v>
      </c>
      <c r="M351" s="237"/>
      <c r="N351" s="237"/>
      <c r="O351" s="237"/>
      <c r="P351" s="237"/>
      <c r="Q351" s="237"/>
      <c r="R351" s="193">
        <f>'Site Information'!F355</f>
        <v>0</v>
      </c>
      <c r="S351" s="237"/>
      <c r="T351" s="237"/>
      <c r="U351" s="237"/>
      <c r="V351" s="237"/>
      <c r="W351" s="237"/>
      <c r="X351" s="237"/>
      <c r="Y351" s="237"/>
      <c r="Z351" s="237"/>
      <c r="AA351" s="237"/>
      <c r="AB351" s="237"/>
      <c r="AC351" s="237"/>
      <c r="AD351" s="237"/>
      <c r="AE351" s="237"/>
      <c r="AF351" s="237"/>
      <c r="AG351" s="237"/>
      <c r="AI351" s="193"/>
      <c r="AJ351" s="193"/>
    </row>
    <row r="352" spans="2:36" x14ac:dyDescent="0.35">
      <c r="B352" s="193" t="e">
        <f>"2024"&amp;MATCH(Totals!D352,OrgType,0)&amp;"_"&amp;MATCH(Totals!E352,Organisations,0)&amp;"_"&amp;LEFT(Totals!F352,1)&amp;"_"&amp;LEFT(G352,1)&amp;"_"&amp;COUNTIF($G$3:G352,G352)</f>
        <v>#N/A</v>
      </c>
      <c r="C352" s="193">
        <v>2025</v>
      </c>
      <c r="D352" s="193">
        <f>Introduction!$D$7</f>
        <v>0</v>
      </c>
      <c r="E352" s="193">
        <f>Introduction!$D$8</f>
        <v>0</v>
      </c>
      <c r="F352" s="193" t="s">
        <v>488</v>
      </c>
      <c r="G352" s="193" t="s">
        <v>489</v>
      </c>
      <c r="H352" s="195">
        <f>'Site Information'!B356</f>
        <v>0</v>
      </c>
      <c r="I352" s="194"/>
      <c r="J352" s="193">
        <f>'Site Information'!C356</f>
        <v>0</v>
      </c>
      <c r="K352" s="193">
        <f>'Site Information'!D356</f>
        <v>0</v>
      </c>
      <c r="L352" s="193">
        <f>'Site Information'!E356</f>
        <v>0</v>
      </c>
      <c r="M352" s="237"/>
      <c r="N352" s="237"/>
      <c r="O352" s="237"/>
      <c r="P352" s="237"/>
      <c r="Q352" s="237"/>
      <c r="R352" s="193">
        <f>'Site Information'!F356</f>
        <v>0</v>
      </c>
      <c r="S352" s="237"/>
      <c r="T352" s="237"/>
      <c r="U352" s="237"/>
      <c r="V352" s="237"/>
      <c r="W352" s="237"/>
      <c r="X352" s="237"/>
      <c r="Y352" s="237"/>
      <c r="Z352" s="237"/>
      <c r="AA352" s="237"/>
      <c r="AB352" s="237"/>
      <c r="AC352" s="237"/>
      <c r="AD352" s="237"/>
      <c r="AE352" s="237"/>
      <c r="AF352" s="237"/>
      <c r="AG352" s="237"/>
      <c r="AI352" s="193"/>
      <c r="AJ352" s="193"/>
    </row>
    <row r="353" spans="2:36" x14ac:dyDescent="0.35">
      <c r="B353" s="193" t="e">
        <f>"2024"&amp;MATCH(Totals!D353,OrgType,0)&amp;"_"&amp;MATCH(Totals!E353,Organisations,0)&amp;"_"&amp;LEFT(Totals!F353,1)&amp;"_"&amp;LEFT(G353,1)&amp;"_"&amp;COUNTIF($G$3:G353,G353)</f>
        <v>#N/A</v>
      </c>
      <c r="C353" s="193">
        <v>2025</v>
      </c>
      <c r="D353" s="193">
        <f>Introduction!$D$7</f>
        <v>0</v>
      </c>
      <c r="E353" s="193">
        <f>Introduction!$D$8</f>
        <v>0</v>
      </c>
      <c r="F353" s="193" t="s">
        <v>488</v>
      </c>
      <c r="G353" s="193" t="s">
        <v>489</v>
      </c>
      <c r="H353" s="195">
        <f>'Site Information'!B357</f>
        <v>0</v>
      </c>
      <c r="I353" s="194"/>
      <c r="J353" s="193">
        <f>'Site Information'!C357</f>
        <v>0</v>
      </c>
      <c r="K353" s="193">
        <f>'Site Information'!D357</f>
        <v>0</v>
      </c>
      <c r="L353" s="193">
        <f>'Site Information'!E357</f>
        <v>0</v>
      </c>
      <c r="M353" s="237"/>
      <c r="N353" s="237"/>
      <c r="O353" s="237"/>
      <c r="P353" s="237"/>
      <c r="Q353" s="237"/>
      <c r="R353" s="193">
        <f>'Site Information'!F357</f>
        <v>0</v>
      </c>
      <c r="S353" s="237"/>
      <c r="T353" s="237"/>
      <c r="U353" s="237"/>
      <c r="V353" s="237"/>
      <c r="W353" s="237"/>
      <c r="X353" s="237"/>
      <c r="Y353" s="237"/>
      <c r="Z353" s="237"/>
      <c r="AA353" s="237"/>
      <c r="AB353" s="237"/>
      <c r="AC353" s="237"/>
      <c r="AD353" s="237"/>
      <c r="AE353" s="237"/>
      <c r="AF353" s="237"/>
      <c r="AG353" s="237"/>
      <c r="AI353" s="193"/>
      <c r="AJ353" s="193"/>
    </row>
    <row r="354" spans="2:36" x14ac:dyDescent="0.35">
      <c r="B354" s="193" t="e">
        <f>"2024"&amp;MATCH(Totals!D354,OrgType,0)&amp;"_"&amp;MATCH(Totals!E354,Organisations,0)&amp;"_"&amp;LEFT(Totals!F354,1)&amp;"_"&amp;LEFT(G354,1)&amp;"_"&amp;COUNTIF($G$3:G354,G354)</f>
        <v>#N/A</v>
      </c>
      <c r="C354" s="193">
        <v>2025</v>
      </c>
      <c r="D354" s="193">
        <f>Introduction!$D$7</f>
        <v>0</v>
      </c>
      <c r="E354" s="193">
        <f>Introduction!$D$8</f>
        <v>0</v>
      </c>
      <c r="F354" s="193" t="s">
        <v>488</v>
      </c>
      <c r="G354" s="193" t="s">
        <v>489</v>
      </c>
      <c r="H354" s="195">
        <f>'Site Information'!B358</f>
        <v>0</v>
      </c>
      <c r="I354" s="194"/>
      <c r="J354" s="193">
        <f>'Site Information'!C358</f>
        <v>0</v>
      </c>
      <c r="K354" s="193">
        <f>'Site Information'!D358</f>
        <v>0</v>
      </c>
      <c r="L354" s="193">
        <f>'Site Information'!E358</f>
        <v>0</v>
      </c>
      <c r="M354" s="237"/>
      <c r="N354" s="237"/>
      <c r="O354" s="237"/>
      <c r="P354" s="237"/>
      <c r="Q354" s="237"/>
      <c r="R354" s="193">
        <f>'Site Information'!F358</f>
        <v>0</v>
      </c>
      <c r="S354" s="237"/>
      <c r="T354" s="237"/>
      <c r="U354" s="237"/>
      <c r="V354" s="237"/>
      <c r="W354" s="237"/>
      <c r="X354" s="237"/>
      <c r="Y354" s="237"/>
      <c r="Z354" s="237"/>
      <c r="AA354" s="237"/>
      <c r="AB354" s="237"/>
      <c r="AC354" s="237"/>
      <c r="AD354" s="237"/>
      <c r="AE354" s="237"/>
      <c r="AF354" s="237"/>
      <c r="AG354" s="237"/>
      <c r="AI354" s="193"/>
      <c r="AJ354" s="193"/>
    </row>
    <row r="355" spans="2:36" x14ac:dyDescent="0.35">
      <c r="B355" s="193" t="e">
        <f>"2024"&amp;MATCH(Totals!D355,OrgType,0)&amp;"_"&amp;MATCH(Totals!E355,Organisations,0)&amp;"_"&amp;LEFT(Totals!F355,1)&amp;"_"&amp;LEFT(G355,1)&amp;"_"&amp;COUNTIF($G$3:G355,G355)</f>
        <v>#N/A</v>
      </c>
      <c r="C355" s="193">
        <v>2025</v>
      </c>
      <c r="D355" s="193">
        <f>Introduction!$D$7</f>
        <v>0</v>
      </c>
      <c r="E355" s="193">
        <f>Introduction!$D$8</f>
        <v>0</v>
      </c>
      <c r="F355" s="193" t="s">
        <v>488</v>
      </c>
      <c r="G355" s="193" t="s">
        <v>489</v>
      </c>
      <c r="H355" s="195">
        <f>'Site Information'!B359</f>
        <v>0</v>
      </c>
      <c r="I355" s="194"/>
      <c r="J355" s="193">
        <f>'Site Information'!C359</f>
        <v>0</v>
      </c>
      <c r="K355" s="193">
        <f>'Site Information'!D359</f>
        <v>0</v>
      </c>
      <c r="L355" s="193">
        <f>'Site Information'!E359</f>
        <v>0</v>
      </c>
      <c r="M355" s="237"/>
      <c r="N355" s="237"/>
      <c r="O355" s="237"/>
      <c r="P355" s="237"/>
      <c r="Q355" s="237"/>
      <c r="R355" s="193">
        <f>'Site Information'!F359</f>
        <v>0</v>
      </c>
      <c r="S355" s="237"/>
      <c r="T355" s="237"/>
      <c r="U355" s="237"/>
      <c r="V355" s="237"/>
      <c r="W355" s="237"/>
      <c r="X355" s="237"/>
      <c r="Y355" s="237"/>
      <c r="Z355" s="237"/>
      <c r="AA355" s="237"/>
      <c r="AB355" s="237"/>
      <c r="AC355" s="237"/>
      <c r="AD355" s="237"/>
      <c r="AE355" s="237"/>
      <c r="AF355" s="237"/>
      <c r="AG355" s="237"/>
      <c r="AI355" s="193"/>
      <c r="AJ355" s="193"/>
    </row>
    <row r="356" spans="2:36" x14ac:dyDescent="0.35">
      <c r="B356" s="193" t="e">
        <f>"2024"&amp;MATCH(Totals!D356,OrgType,0)&amp;"_"&amp;MATCH(Totals!E356,Organisations,0)&amp;"_"&amp;LEFT(Totals!F356,1)&amp;"_"&amp;LEFT(G356,1)&amp;"_"&amp;COUNTIF($G$3:G356,G356)</f>
        <v>#N/A</v>
      </c>
      <c r="C356" s="193">
        <v>2025</v>
      </c>
      <c r="D356" s="193">
        <f>Introduction!$D$7</f>
        <v>0</v>
      </c>
      <c r="E356" s="193">
        <f>Introduction!$D$8</f>
        <v>0</v>
      </c>
      <c r="F356" s="193" t="s">
        <v>488</v>
      </c>
      <c r="G356" s="193" t="s">
        <v>489</v>
      </c>
      <c r="H356" s="195">
        <f>'Site Information'!B360</f>
        <v>0</v>
      </c>
      <c r="I356" s="194"/>
      <c r="J356" s="193">
        <f>'Site Information'!C360</f>
        <v>0</v>
      </c>
      <c r="K356" s="193">
        <f>'Site Information'!D360</f>
        <v>0</v>
      </c>
      <c r="L356" s="193">
        <f>'Site Information'!E360</f>
        <v>0</v>
      </c>
      <c r="M356" s="237"/>
      <c r="N356" s="237"/>
      <c r="O356" s="237"/>
      <c r="P356" s="237"/>
      <c r="Q356" s="237"/>
      <c r="R356" s="193">
        <f>'Site Information'!F360</f>
        <v>0</v>
      </c>
      <c r="S356" s="237"/>
      <c r="T356" s="237"/>
      <c r="U356" s="237"/>
      <c r="V356" s="237"/>
      <c r="W356" s="237"/>
      <c r="X356" s="237"/>
      <c r="Y356" s="237"/>
      <c r="Z356" s="237"/>
      <c r="AA356" s="237"/>
      <c r="AB356" s="237"/>
      <c r="AC356" s="237"/>
      <c r="AD356" s="237"/>
      <c r="AE356" s="237"/>
      <c r="AF356" s="237"/>
      <c r="AG356" s="237"/>
      <c r="AI356" s="193"/>
      <c r="AJ356" s="193"/>
    </row>
    <row r="357" spans="2:36" x14ac:dyDescent="0.35">
      <c r="B357" s="193" t="e">
        <f>"2024"&amp;MATCH(Totals!D357,OrgType,0)&amp;"_"&amp;MATCH(Totals!E357,Organisations,0)&amp;"_"&amp;LEFT(Totals!F357,1)&amp;"_"&amp;LEFT(G357,1)&amp;"_"&amp;COUNTIF($G$3:G357,G357)</f>
        <v>#N/A</v>
      </c>
      <c r="C357" s="193">
        <v>2025</v>
      </c>
      <c r="D357" s="193">
        <f>Introduction!$D$7</f>
        <v>0</v>
      </c>
      <c r="E357" s="193">
        <f>Introduction!$D$8</f>
        <v>0</v>
      </c>
      <c r="F357" s="193" t="s">
        <v>488</v>
      </c>
      <c r="G357" s="193" t="s">
        <v>489</v>
      </c>
      <c r="H357" s="195">
        <f>'Site Information'!B361</f>
        <v>0</v>
      </c>
      <c r="I357" s="194"/>
      <c r="J357" s="193">
        <f>'Site Information'!C361</f>
        <v>0</v>
      </c>
      <c r="K357" s="193">
        <f>'Site Information'!D361</f>
        <v>0</v>
      </c>
      <c r="L357" s="193">
        <f>'Site Information'!E361</f>
        <v>0</v>
      </c>
      <c r="M357" s="237"/>
      <c r="N357" s="237"/>
      <c r="O357" s="237"/>
      <c r="P357" s="237"/>
      <c r="Q357" s="237"/>
      <c r="R357" s="193">
        <f>'Site Information'!F361</f>
        <v>0</v>
      </c>
      <c r="S357" s="237"/>
      <c r="T357" s="237"/>
      <c r="U357" s="237"/>
      <c r="V357" s="237"/>
      <c r="W357" s="237"/>
      <c r="X357" s="237"/>
      <c r="Y357" s="237"/>
      <c r="Z357" s="237"/>
      <c r="AA357" s="237"/>
      <c r="AB357" s="237"/>
      <c r="AC357" s="237"/>
      <c r="AD357" s="237"/>
      <c r="AE357" s="237"/>
      <c r="AF357" s="237"/>
      <c r="AG357" s="237"/>
      <c r="AI357" s="193"/>
      <c r="AJ357" s="193"/>
    </row>
    <row r="358" spans="2:36" x14ac:dyDescent="0.35">
      <c r="B358" s="193" t="e">
        <f>"2024"&amp;MATCH(Totals!D358,OrgType,0)&amp;"_"&amp;MATCH(Totals!E358,Organisations,0)&amp;"_"&amp;LEFT(Totals!F358,1)&amp;"_"&amp;LEFT(G358,1)&amp;"_"&amp;COUNTIF($G$3:G358,G358)</f>
        <v>#N/A</v>
      </c>
      <c r="C358" s="193">
        <v>2025</v>
      </c>
      <c r="D358" s="193">
        <f>Introduction!$D$7</f>
        <v>0</v>
      </c>
      <c r="E358" s="193">
        <f>Introduction!$D$8</f>
        <v>0</v>
      </c>
      <c r="F358" s="193" t="s">
        <v>488</v>
      </c>
      <c r="G358" s="193" t="s">
        <v>489</v>
      </c>
      <c r="H358" s="195">
        <f>'Site Information'!B362</f>
        <v>0</v>
      </c>
      <c r="I358" s="194"/>
      <c r="J358" s="193">
        <f>'Site Information'!C362</f>
        <v>0</v>
      </c>
      <c r="K358" s="193">
        <f>'Site Information'!D362</f>
        <v>0</v>
      </c>
      <c r="L358" s="193">
        <f>'Site Information'!E362</f>
        <v>0</v>
      </c>
      <c r="M358" s="237"/>
      <c r="N358" s="237"/>
      <c r="O358" s="237"/>
      <c r="P358" s="237"/>
      <c r="Q358" s="237"/>
      <c r="R358" s="193">
        <f>'Site Information'!F362</f>
        <v>0</v>
      </c>
      <c r="S358" s="237"/>
      <c r="T358" s="237"/>
      <c r="U358" s="237"/>
      <c r="V358" s="237"/>
      <c r="W358" s="237"/>
      <c r="X358" s="237"/>
      <c r="Y358" s="237"/>
      <c r="Z358" s="237"/>
      <c r="AA358" s="237"/>
      <c r="AB358" s="237"/>
      <c r="AC358" s="237"/>
      <c r="AD358" s="237"/>
      <c r="AE358" s="237"/>
      <c r="AF358" s="237"/>
      <c r="AG358" s="237"/>
      <c r="AI358" s="193"/>
      <c r="AJ358" s="193"/>
    </row>
    <row r="359" spans="2:36" x14ac:dyDescent="0.35">
      <c r="B359" s="193" t="e">
        <f>"2024"&amp;MATCH(Totals!D359,OrgType,0)&amp;"_"&amp;MATCH(Totals!E359,Organisations,0)&amp;"_"&amp;LEFT(Totals!F359,1)&amp;"_"&amp;LEFT(G359,1)&amp;"_"&amp;COUNTIF($G$3:G359,G359)</f>
        <v>#N/A</v>
      </c>
      <c r="C359" s="193">
        <v>2025</v>
      </c>
      <c r="D359" s="193">
        <f>Introduction!$D$7</f>
        <v>0</v>
      </c>
      <c r="E359" s="193">
        <f>Introduction!$D$8</f>
        <v>0</v>
      </c>
      <c r="F359" s="193" t="s">
        <v>488</v>
      </c>
      <c r="G359" s="193" t="s">
        <v>489</v>
      </c>
      <c r="H359" s="195">
        <f>'Site Information'!B363</f>
        <v>0</v>
      </c>
      <c r="I359" s="194"/>
      <c r="J359" s="193">
        <f>'Site Information'!C363</f>
        <v>0</v>
      </c>
      <c r="K359" s="193">
        <f>'Site Information'!D363</f>
        <v>0</v>
      </c>
      <c r="L359" s="193">
        <f>'Site Information'!E363</f>
        <v>0</v>
      </c>
      <c r="M359" s="237"/>
      <c r="N359" s="237"/>
      <c r="O359" s="237"/>
      <c r="P359" s="237"/>
      <c r="Q359" s="237"/>
      <c r="R359" s="193">
        <f>'Site Information'!F363</f>
        <v>0</v>
      </c>
      <c r="S359" s="237"/>
      <c r="T359" s="237"/>
      <c r="U359" s="237"/>
      <c r="V359" s="237"/>
      <c r="W359" s="237"/>
      <c r="X359" s="237"/>
      <c r="Y359" s="237"/>
      <c r="Z359" s="237"/>
      <c r="AA359" s="237"/>
      <c r="AB359" s="237"/>
      <c r="AC359" s="237"/>
      <c r="AD359" s="237"/>
      <c r="AE359" s="237"/>
      <c r="AF359" s="237"/>
      <c r="AG359" s="237"/>
      <c r="AI359" s="193"/>
      <c r="AJ359" s="193"/>
    </row>
    <row r="360" spans="2:36" x14ac:dyDescent="0.35">
      <c r="B360" s="193" t="e">
        <f>"2024"&amp;MATCH(Totals!D360,OrgType,0)&amp;"_"&amp;MATCH(Totals!E360,Organisations,0)&amp;"_"&amp;LEFT(Totals!F360,1)&amp;"_"&amp;LEFT(G360,1)&amp;"_"&amp;COUNTIF($G$3:G360,G360)</f>
        <v>#N/A</v>
      </c>
      <c r="C360" s="193">
        <v>2025</v>
      </c>
      <c r="D360" s="193">
        <f>Introduction!$D$7</f>
        <v>0</v>
      </c>
      <c r="E360" s="193">
        <f>Introduction!$D$8</f>
        <v>0</v>
      </c>
      <c r="F360" s="193" t="s">
        <v>488</v>
      </c>
      <c r="G360" s="193" t="s">
        <v>489</v>
      </c>
      <c r="H360" s="195">
        <f>'Site Information'!B364</f>
        <v>0</v>
      </c>
      <c r="I360" s="194"/>
      <c r="J360" s="193">
        <f>'Site Information'!C364</f>
        <v>0</v>
      </c>
      <c r="K360" s="193">
        <f>'Site Information'!D364</f>
        <v>0</v>
      </c>
      <c r="L360" s="193">
        <f>'Site Information'!E364</f>
        <v>0</v>
      </c>
      <c r="M360" s="237"/>
      <c r="N360" s="237"/>
      <c r="O360" s="237"/>
      <c r="P360" s="237"/>
      <c r="Q360" s="237"/>
      <c r="R360" s="193">
        <f>'Site Information'!F364</f>
        <v>0</v>
      </c>
      <c r="S360" s="237"/>
      <c r="T360" s="237"/>
      <c r="U360" s="237"/>
      <c r="V360" s="237"/>
      <c r="W360" s="237"/>
      <c r="X360" s="237"/>
      <c r="Y360" s="237"/>
      <c r="Z360" s="237"/>
      <c r="AA360" s="237"/>
      <c r="AB360" s="237"/>
      <c r="AC360" s="237"/>
      <c r="AD360" s="237"/>
      <c r="AE360" s="237"/>
      <c r="AF360" s="237"/>
      <c r="AG360" s="237"/>
      <c r="AI360" s="193"/>
      <c r="AJ360" s="193"/>
    </row>
    <row r="361" spans="2:36" x14ac:dyDescent="0.35">
      <c r="B361" s="193" t="e">
        <f>"2024"&amp;MATCH(Totals!D361,OrgType,0)&amp;"_"&amp;MATCH(Totals!E361,Organisations,0)&amp;"_"&amp;LEFT(Totals!F361,1)&amp;"_"&amp;LEFT(G361,1)&amp;"_"&amp;COUNTIF($G$3:G361,G361)</f>
        <v>#N/A</v>
      </c>
      <c r="C361" s="193">
        <v>2025</v>
      </c>
      <c r="D361" s="193">
        <f>Introduction!$D$7</f>
        <v>0</v>
      </c>
      <c r="E361" s="193">
        <f>Introduction!$D$8</f>
        <v>0</v>
      </c>
      <c r="F361" s="193" t="s">
        <v>488</v>
      </c>
      <c r="G361" s="193" t="s">
        <v>489</v>
      </c>
      <c r="H361" s="195">
        <f>'Site Information'!B365</f>
        <v>0</v>
      </c>
      <c r="I361" s="194"/>
      <c r="J361" s="193">
        <f>'Site Information'!C365</f>
        <v>0</v>
      </c>
      <c r="K361" s="193">
        <f>'Site Information'!D365</f>
        <v>0</v>
      </c>
      <c r="L361" s="193">
        <f>'Site Information'!E365</f>
        <v>0</v>
      </c>
      <c r="M361" s="237"/>
      <c r="N361" s="237"/>
      <c r="O361" s="237"/>
      <c r="P361" s="237"/>
      <c r="Q361" s="237"/>
      <c r="R361" s="193">
        <f>'Site Information'!F365</f>
        <v>0</v>
      </c>
      <c r="S361" s="237"/>
      <c r="T361" s="237"/>
      <c r="U361" s="237"/>
      <c r="V361" s="237"/>
      <c r="W361" s="237"/>
      <c r="X361" s="237"/>
      <c r="Y361" s="237"/>
      <c r="Z361" s="237"/>
      <c r="AA361" s="237"/>
      <c r="AB361" s="237"/>
      <c r="AC361" s="237"/>
      <c r="AD361" s="237"/>
      <c r="AE361" s="237"/>
      <c r="AF361" s="237"/>
      <c r="AG361" s="237"/>
      <c r="AI361" s="193"/>
      <c r="AJ361" s="193"/>
    </row>
    <row r="362" spans="2:36" x14ac:dyDescent="0.35">
      <c r="B362" s="193" t="e">
        <f>"2024"&amp;MATCH(Totals!D362,OrgType,0)&amp;"_"&amp;MATCH(Totals!E362,Organisations,0)&amp;"_"&amp;LEFT(Totals!F362,1)&amp;"_"&amp;LEFT(G362,1)&amp;"_"&amp;COUNTIF($G$3:G362,G362)</f>
        <v>#N/A</v>
      </c>
      <c r="C362" s="193">
        <v>2025</v>
      </c>
      <c r="D362" s="193">
        <f>Introduction!$D$7</f>
        <v>0</v>
      </c>
      <c r="E362" s="193">
        <f>Introduction!$D$8</f>
        <v>0</v>
      </c>
      <c r="F362" s="193" t="s">
        <v>488</v>
      </c>
      <c r="G362" s="193" t="s">
        <v>489</v>
      </c>
      <c r="H362" s="195">
        <f>'Site Information'!B366</f>
        <v>0</v>
      </c>
      <c r="I362" s="194"/>
      <c r="J362" s="193">
        <f>'Site Information'!C366</f>
        <v>0</v>
      </c>
      <c r="K362" s="193">
        <f>'Site Information'!D366</f>
        <v>0</v>
      </c>
      <c r="L362" s="193">
        <f>'Site Information'!E366</f>
        <v>0</v>
      </c>
      <c r="M362" s="237"/>
      <c r="N362" s="237"/>
      <c r="O362" s="237"/>
      <c r="P362" s="237"/>
      <c r="Q362" s="237"/>
      <c r="R362" s="193">
        <f>'Site Information'!F366</f>
        <v>0</v>
      </c>
      <c r="S362" s="237"/>
      <c r="T362" s="237"/>
      <c r="U362" s="237"/>
      <c r="V362" s="237"/>
      <c r="W362" s="237"/>
      <c r="X362" s="237"/>
      <c r="Y362" s="237"/>
      <c r="Z362" s="237"/>
      <c r="AA362" s="237"/>
      <c r="AB362" s="237"/>
      <c r="AC362" s="237"/>
      <c r="AD362" s="237"/>
      <c r="AE362" s="237"/>
      <c r="AF362" s="237"/>
      <c r="AG362" s="237"/>
      <c r="AI362" s="193"/>
      <c r="AJ362" s="193"/>
    </row>
    <row r="363" spans="2:36" x14ac:dyDescent="0.35">
      <c r="B363" s="193" t="e">
        <f>"2024"&amp;MATCH(Totals!D363,OrgType,0)&amp;"_"&amp;MATCH(Totals!E363,Organisations,0)&amp;"_"&amp;LEFT(Totals!F363,1)&amp;"_"&amp;LEFT(G363,1)&amp;"_"&amp;COUNTIF($G$3:G363,G363)</f>
        <v>#N/A</v>
      </c>
      <c r="C363" s="193">
        <v>2025</v>
      </c>
      <c r="D363" s="193">
        <f>Introduction!$D$7</f>
        <v>0</v>
      </c>
      <c r="E363" s="193">
        <f>Introduction!$D$8</f>
        <v>0</v>
      </c>
      <c r="F363" s="193" t="s">
        <v>488</v>
      </c>
      <c r="G363" s="193" t="s">
        <v>489</v>
      </c>
      <c r="H363" s="195">
        <f>'Site Information'!B367</f>
        <v>0</v>
      </c>
      <c r="I363" s="194"/>
      <c r="J363" s="193">
        <f>'Site Information'!C367</f>
        <v>0</v>
      </c>
      <c r="K363" s="193">
        <f>'Site Information'!D367</f>
        <v>0</v>
      </c>
      <c r="L363" s="193">
        <f>'Site Information'!E367</f>
        <v>0</v>
      </c>
      <c r="M363" s="237"/>
      <c r="N363" s="237"/>
      <c r="O363" s="237"/>
      <c r="P363" s="237"/>
      <c r="Q363" s="237"/>
      <c r="R363" s="193">
        <f>'Site Information'!F367</f>
        <v>0</v>
      </c>
      <c r="S363" s="237"/>
      <c r="T363" s="237"/>
      <c r="U363" s="237"/>
      <c r="V363" s="237"/>
      <c r="W363" s="237"/>
      <c r="X363" s="237"/>
      <c r="Y363" s="237"/>
      <c r="Z363" s="237"/>
      <c r="AA363" s="237"/>
      <c r="AB363" s="237"/>
      <c r="AC363" s="237"/>
      <c r="AD363" s="237"/>
      <c r="AE363" s="237"/>
      <c r="AF363" s="237"/>
      <c r="AG363" s="237"/>
      <c r="AI363" s="193"/>
      <c r="AJ363" s="193"/>
    </row>
    <row r="364" spans="2:36" x14ac:dyDescent="0.35">
      <c r="B364" s="193" t="e">
        <f>"2024"&amp;MATCH(Totals!D364,OrgType,0)&amp;"_"&amp;MATCH(Totals!E364,Organisations,0)&amp;"_"&amp;LEFT(Totals!F364,1)&amp;"_"&amp;LEFT(G364,1)&amp;"_"&amp;COUNTIF($G$3:G364,G364)</f>
        <v>#N/A</v>
      </c>
      <c r="C364" s="193">
        <v>2025</v>
      </c>
      <c r="D364" s="193">
        <f>Introduction!$D$7</f>
        <v>0</v>
      </c>
      <c r="E364" s="193">
        <f>Introduction!$D$8</f>
        <v>0</v>
      </c>
      <c r="F364" s="193" t="s">
        <v>488</v>
      </c>
      <c r="G364" s="193" t="s">
        <v>489</v>
      </c>
      <c r="H364" s="195">
        <f>'Site Information'!B368</f>
        <v>0</v>
      </c>
      <c r="I364" s="194"/>
      <c r="J364" s="193">
        <f>'Site Information'!C368</f>
        <v>0</v>
      </c>
      <c r="K364" s="193">
        <f>'Site Information'!D368</f>
        <v>0</v>
      </c>
      <c r="L364" s="193">
        <f>'Site Information'!E368</f>
        <v>0</v>
      </c>
      <c r="M364" s="237"/>
      <c r="N364" s="237"/>
      <c r="O364" s="237"/>
      <c r="P364" s="237"/>
      <c r="Q364" s="237"/>
      <c r="R364" s="193">
        <f>'Site Information'!F368</f>
        <v>0</v>
      </c>
      <c r="S364" s="237"/>
      <c r="T364" s="237"/>
      <c r="U364" s="237"/>
      <c r="V364" s="237"/>
      <c r="W364" s="237"/>
      <c r="X364" s="237"/>
      <c r="Y364" s="237"/>
      <c r="Z364" s="237"/>
      <c r="AA364" s="237"/>
      <c r="AB364" s="237"/>
      <c r="AC364" s="237"/>
      <c r="AD364" s="237"/>
      <c r="AE364" s="237"/>
      <c r="AF364" s="237"/>
      <c r="AG364" s="237"/>
      <c r="AI364" s="193"/>
      <c r="AJ364" s="193"/>
    </row>
    <row r="365" spans="2:36" x14ac:dyDescent="0.35">
      <c r="B365" s="193" t="e">
        <f>"2024"&amp;MATCH(Totals!D365,OrgType,0)&amp;"_"&amp;MATCH(Totals!E365,Organisations,0)&amp;"_"&amp;LEFT(Totals!F365,1)&amp;"_"&amp;LEFT(G365,1)&amp;"_"&amp;COUNTIF($G$3:G365,G365)</f>
        <v>#N/A</v>
      </c>
      <c r="C365" s="193">
        <v>2025</v>
      </c>
      <c r="D365" s="193">
        <f>Introduction!$D$7</f>
        <v>0</v>
      </c>
      <c r="E365" s="193">
        <f>Introduction!$D$8</f>
        <v>0</v>
      </c>
      <c r="F365" s="193" t="s">
        <v>488</v>
      </c>
      <c r="G365" s="193" t="s">
        <v>489</v>
      </c>
      <c r="H365" s="195">
        <f>'Site Information'!B369</f>
        <v>0</v>
      </c>
      <c r="I365" s="194"/>
      <c r="J365" s="193">
        <f>'Site Information'!C369</f>
        <v>0</v>
      </c>
      <c r="K365" s="193">
        <f>'Site Information'!D369</f>
        <v>0</v>
      </c>
      <c r="L365" s="193">
        <f>'Site Information'!E369</f>
        <v>0</v>
      </c>
      <c r="M365" s="237"/>
      <c r="N365" s="237"/>
      <c r="O365" s="237"/>
      <c r="P365" s="237"/>
      <c r="Q365" s="237"/>
      <c r="R365" s="193">
        <f>'Site Information'!F369</f>
        <v>0</v>
      </c>
      <c r="S365" s="237"/>
      <c r="T365" s="237"/>
      <c r="U365" s="237"/>
      <c r="V365" s="237"/>
      <c r="W365" s="237"/>
      <c r="X365" s="237"/>
      <c r="Y365" s="237"/>
      <c r="Z365" s="237"/>
      <c r="AA365" s="237"/>
      <c r="AB365" s="237"/>
      <c r="AC365" s="237"/>
      <c r="AD365" s="237"/>
      <c r="AE365" s="237"/>
      <c r="AF365" s="237"/>
      <c r="AG365" s="237"/>
      <c r="AI365" s="193"/>
      <c r="AJ365" s="193"/>
    </row>
    <row r="366" spans="2:36" x14ac:dyDescent="0.35">
      <c r="B366" s="193" t="e">
        <f>"2024"&amp;MATCH(Totals!D366,OrgType,0)&amp;"_"&amp;MATCH(Totals!E366,Organisations,0)&amp;"_"&amp;LEFT(Totals!F366,1)&amp;"_"&amp;LEFT(G366,1)&amp;"_"&amp;COUNTIF($G$3:G366,G366)</f>
        <v>#N/A</v>
      </c>
      <c r="C366" s="193">
        <v>2025</v>
      </c>
      <c r="D366" s="193">
        <f>Introduction!$D$7</f>
        <v>0</v>
      </c>
      <c r="E366" s="193">
        <f>Introduction!$D$8</f>
        <v>0</v>
      </c>
      <c r="F366" s="193" t="s">
        <v>488</v>
      </c>
      <c r="G366" s="193" t="s">
        <v>489</v>
      </c>
      <c r="H366" s="195">
        <f>'Site Information'!B370</f>
        <v>0</v>
      </c>
      <c r="I366" s="194"/>
      <c r="J366" s="193">
        <f>'Site Information'!C370</f>
        <v>0</v>
      </c>
      <c r="K366" s="193">
        <f>'Site Information'!D370</f>
        <v>0</v>
      </c>
      <c r="L366" s="193">
        <f>'Site Information'!E370</f>
        <v>0</v>
      </c>
      <c r="M366" s="237"/>
      <c r="N366" s="237"/>
      <c r="O366" s="237"/>
      <c r="P366" s="237"/>
      <c r="Q366" s="237"/>
      <c r="R366" s="193">
        <f>'Site Information'!F370</f>
        <v>0</v>
      </c>
      <c r="S366" s="237"/>
      <c r="T366" s="237"/>
      <c r="U366" s="237"/>
      <c r="V366" s="237"/>
      <c r="W366" s="237"/>
      <c r="X366" s="237"/>
      <c r="Y366" s="237"/>
      <c r="Z366" s="237"/>
      <c r="AA366" s="237"/>
      <c r="AB366" s="237"/>
      <c r="AC366" s="237"/>
      <c r="AD366" s="237"/>
      <c r="AE366" s="237"/>
      <c r="AF366" s="237"/>
      <c r="AG366" s="237"/>
      <c r="AI366" s="193"/>
      <c r="AJ366" s="193"/>
    </row>
    <row r="367" spans="2:36" x14ac:dyDescent="0.35">
      <c r="B367" s="193" t="e">
        <f>"2024"&amp;MATCH(Totals!D367,OrgType,0)&amp;"_"&amp;MATCH(Totals!E367,Organisations,0)&amp;"_"&amp;LEFT(Totals!F367,1)&amp;"_"&amp;LEFT(G367,1)&amp;"_"&amp;COUNTIF($G$3:G367,G367)</f>
        <v>#N/A</v>
      </c>
      <c r="C367" s="193">
        <v>2025</v>
      </c>
      <c r="D367" s="193">
        <f>Introduction!$D$7</f>
        <v>0</v>
      </c>
      <c r="E367" s="193">
        <f>Introduction!$D$8</f>
        <v>0</v>
      </c>
      <c r="F367" s="193" t="s">
        <v>488</v>
      </c>
      <c r="G367" s="193" t="s">
        <v>489</v>
      </c>
      <c r="H367" s="195">
        <f>'Site Information'!B371</f>
        <v>0</v>
      </c>
      <c r="I367" s="194"/>
      <c r="J367" s="193">
        <f>'Site Information'!C371</f>
        <v>0</v>
      </c>
      <c r="K367" s="193">
        <f>'Site Information'!D371</f>
        <v>0</v>
      </c>
      <c r="L367" s="193">
        <f>'Site Information'!E371</f>
        <v>0</v>
      </c>
      <c r="M367" s="237"/>
      <c r="N367" s="237"/>
      <c r="O367" s="237"/>
      <c r="P367" s="237"/>
      <c r="Q367" s="237"/>
      <c r="R367" s="193">
        <f>'Site Information'!F371</f>
        <v>0</v>
      </c>
      <c r="S367" s="237"/>
      <c r="T367" s="237"/>
      <c r="U367" s="237"/>
      <c r="V367" s="237"/>
      <c r="W367" s="237"/>
      <c r="X367" s="237"/>
      <c r="Y367" s="237"/>
      <c r="Z367" s="237"/>
      <c r="AA367" s="237"/>
      <c r="AB367" s="237"/>
      <c r="AC367" s="237"/>
      <c r="AD367" s="237"/>
      <c r="AE367" s="237"/>
      <c r="AF367" s="237"/>
      <c r="AG367" s="237"/>
      <c r="AI367" s="193"/>
      <c r="AJ367" s="193"/>
    </row>
    <row r="368" spans="2:36" x14ac:dyDescent="0.35">
      <c r="B368" s="193" t="e">
        <f>"2024"&amp;MATCH(Totals!D368,OrgType,0)&amp;"_"&amp;MATCH(Totals!E368,Organisations,0)&amp;"_"&amp;LEFT(Totals!F368,1)&amp;"_"&amp;LEFT(G368,1)&amp;"_"&amp;COUNTIF($G$3:G368,G368)</f>
        <v>#N/A</v>
      </c>
      <c r="C368" s="193">
        <v>2025</v>
      </c>
      <c r="D368" s="193">
        <f>Introduction!$D$7</f>
        <v>0</v>
      </c>
      <c r="E368" s="193">
        <f>Introduction!$D$8</f>
        <v>0</v>
      </c>
      <c r="F368" s="193" t="s">
        <v>488</v>
      </c>
      <c r="G368" s="193" t="s">
        <v>489</v>
      </c>
      <c r="H368" s="195">
        <f>'Site Information'!B372</f>
        <v>0</v>
      </c>
      <c r="I368" s="194"/>
      <c r="J368" s="193">
        <f>'Site Information'!C372</f>
        <v>0</v>
      </c>
      <c r="K368" s="193">
        <f>'Site Information'!D372</f>
        <v>0</v>
      </c>
      <c r="L368" s="193">
        <f>'Site Information'!E372</f>
        <v>0</v>
      </c>
      <c r="M368" s="237"/>
      <c r="N368" s="237"/>
      <c r="O368" s="237"/>
      <c r="P368" s="237"/>
      <c r="Q368" s="237"/>
      <c r="R368" s="193">
        <f>'Site Information'!F372</f>
        <v>0</v>
      </c>
      <c r="S368" s="237"/>
      <c r="T368" s="237"/>
      <c r="U368" s="237"/>
      <c r="V368" s="237"/>
      <c r="W368" s="237"/>
      <c r="X368" s="237"/>
      <c r="Y368" s="237"/>
      <c r="Z368" s="237"/>
      <c r="AA368" s="237"/>
      <c r="AB368" s="237"/>
      <c r="AC368" s="237"/>
      <c r="AD368" s="237"/>
      <c r="AE368" s="237"/>
      <c r="AF368" s="237"/>
      <c r="AG368" s="237"/>
      <c r="AI368" s="193"/>
      <c r="AJ368" s="193"/>
    </row>
    <row r="369" spans="2:36" x14ac:dyDescent="0.35">
      <c r="B369" s="193" t="e">
        <f>"2024"&amp;MATCH(Totals!D369,OrgType,0)&amp;"_"&amp;MATCH(Totals!E369,Organisations,0)&amp;"_"&amp;LEFT(Totals!F369,1)&amp;"_"&amp;LEFT(G369,1)&amp;"_"&amp;COUNTIF($G$3:G369,G369)</f>
        <v>#N/A</v>
      </c>
      <c r="C369" s="193">
        <v>2025</v>
      </c>
      <c r="D369" s="193">
        <f>Introduction!$D$7</f>
        <v>0</v>
      </c>
      <c r="E369" s="193">
        <f>Introduction!$D$8</f>
        <v>0</v>
      </c>
      <c r="F369" s="193" t="s">
        <v>488</v>
      </c>
      <c r="G369" s="193" t="s">
        <v>489</v>
      </c>
      <c r="H369" s="195">
        <f>'Site Information'!B373</f>
        <v>0</v>
      </c>
      <c r="I369" s="194"/>
      <c r="J369" s="193">
        <f>'Site Information'!C373</f>
        <v>0</v>
      </c>
      <c r="K369" s="193">
        <f>'Site Information'!D373</f>
        <v>0</v>
      </c>
      <c r="L369" s="193">
        <f>'Site Information'!E373</f>
        <v>0</v>
      </c>
      <c r="M369" s="237"/>
      <c r="N369" s="237"/>
      <c r="O369" s="237"/>
      <c r="P369" s="237"/>
      <c r="Q369" s="237"/>
      <c r="R369" s="193">
        <f>'Site Information'!F373</f>
        <v>0</v>
      </c>
      <c r="S369" s="237"/>
      <c r="T369" s="237"/>
      <c r="U369" s="237"/>
      <c r="V369" s="237"/>
      <c r="W369" s="237"/>
      <c r="X369" s="237"/>
      <c r="Y369" s="237"/>
      <c r="Z369" s="237"/>
      <c r="AA369" s="237"/>
      <c r="AB369" s="237"/>
      <c r="AC369" s="237"/>
      <c r="AD369" s="237"/>
      <c r="AE369" s="237"/>
      <c r="AF369" s="237"/>
      <c r="AG369" s="237"/>
      <c r="AI369" s="193"/>
      <c r="AJ369" s="193"/>
    </row>
    <row r="370" spans="2:36" x14ac:dyDescent="0.35">
      <c r="B370" s="193" t="e">
        <f>"2024"&amp;MATCH(Totals!D370,OrgType,0)&amp;"_"&amp;MATCH(Totals!E370,Organisations,0)&amp;"_"&amp;LEFT(Totals!F370,1)&amp;"_"&amp;LEFT(G370,1)&amp;"_"&amp;COUNTIF($G$3:G370,G370)</f>
        <v>#N/A</v>
      </c>
      <c r="C370" s="193">
        <v>2025</v>
      </c>
      <c r="D370" s="193">
        <f>Introduction!$D$7</f>
        <v>0</v>
      </c>
      <c r="E370" s="193">
        <f>Introduction!$D$8</f>
        <v>0</v>
      </c>
      <c r="F370" s="193" t="s">
        <v>488</v>
      </c>
      <c r="G370" s="193" t="s">
        <v>489</v>
      </c>
      <c r="H370" s="195">
        <f>'Site Information'!B374</f>
        <v>0</v>
      </c>
      <c r="I370" s="194"/>
      <c r="J370" s="193">
        <f>'Site Information'!C374</f>
        <v>0</v>
      </c>
      <c r="K370" s="193">
        <f>'Site Information'!D374</f>
        <v>0</v>
      </c>
      <c r="L370" s="193">
        <f>'Site Information'!E374</f>
        <v>0</v>
      </c>
      <c r="M370" s="237"/>
      <c r="N370" s="237"/>
      <c r="O370" s="237"/>
      <c r="P370" s="237"/>
      <c r="Q370" s="237"/>
      <c r="R370" s="193">
        <f>'Site Information'!F374</f>
        <v>0</v>
      </c>
      <c r="S370" s="237"/>
      <c r="T370" s="237"/>
      <c r="U370" s="237"/>
      <c r="V370" s="237"/>
      <c r="W370" s="237"/>
      <c r="X370" s="237"/>
      <c r="Y370" s="237"/>
      <c r="Z370" s="237"/>
      <c r="AA370" s="237"/>
      <c r="AB370" s="237"/>
      <c r="AC370" s="237"/>
      <c r="AD370" s="237"/>
      <c r="AE370" s="237"/>
      <c r="AF370" s="237"/>
      <c r="AG370" s="237"/>
      <c r="AI370" s="193"/>
      <c r="AJ370" s="193"/>
    </row>
    <row r="371" spans="2:36" x14ac:dyDescent="0.35">
      <c r="B371" s="193" t="e">
        <f>"2024"&amp;MATCH(Totals!D371,OrgType,0)&amp;"_"&amp;MATCH(Totals!E371,Organisations,0)&amp;"_"&amp;LEFT(Totals!F371,1)&amp;"_"&amp;LEFT(G371,1)&amp;"_"&amp;COUNTIF($G$3:G371,G371)</f>
        <v>#N/A</v>
      </c>
      <c r="C371" s="193">
        <v>2025</v>
      </c>
      <c r="D371" s="193">
        <f>Introduction!$D$7</f>
        <v>0</v>
      </c>
      <c r="E371" s="193">
        <f>Introduction!$D$8</f>
        <v>0</v>
      </c>
      <c r="F371" s="193" t="s">
        <v>488</v>
      </c>
      <c r="G371" s="193" t="s">
        <v>489</v>
      </c>
      <c r="H371" s="195">
        <f>'Site Information'!B375</f>
        <v>0</v>
      </c>
      <c r="I371" s="194"/>
      <c r="J371" s="193">
        <f>'Site Information'!C375</f>
        <v>0</v>
      </c>
      <c r="K371" s="193">
        <f>'Site Information'!D375</f>
        <v>0</v>
      </c>
      <c r="L371" s="193">
        <f>'Site Information'!E375</f>
        <v>0</v>
      </c>
      <c r="M371" s="237"/>
      <c r="N371" s="237"/>
      <c r="O371" s="237"/>
      <c r="P371" s="237"/>
      <c r="Q371" s="237"/>
      <c r="R371" s="193">
        <f>'Site Information'!F375</f>
        <v>0</v>
      </c>
      <c r="S371" s="237"/>
      <c r="T371" s="237"/>
      <c r="U371" s="237"/>
      <c r="V371" s="237"/>
      <c r="W371" s="237"/>
      <c r="X371" s="237"/>
      <c r="Y371" s="237"/>
      <c r="Z371" s="237"/>
      <c r="AA371" s="237"/>
      <c r="AB371" s="237"/>
      <c r="AC371" s="237"/>
      <c r="AD371" s="237"/>
      <c r="AE371" s="237"/>
      <c r="AF371" s="237"/>
      <c r="AG371" s="237"/>
      <c r="AI371" s="193"/>
      <c r="AJ371" s="193"/>
    </row>
    <row r="372" spans="2:36" x14ac:dyDescent="0.35">
      <c r="B372" s="193" t="e">
        <f>"2024"&amp;MATCH(Totals!D372,OrgType,0)&amp;"_"&amp;MATCH(Totals!E372,Organisations,0)&amp;"_"&amp;LEFT(Totals!F372,1)&amp;"_"&amp;LEFT(G372,1)&amp;"_"&amp;COUNTIF($G$3:G372,G372)</f>
        <v>#N/A</v>
      </c>
      <c r="C372" s="193">
        <v>2025</v>
      </c>
      <c r="D372" s="193">
        <f>Introduction!$D$7</f>
        <v>0</v>
      </c>
      <c r="E372" s="193">
        <f>Introduction!$D$8</f>
        <v>0</v>
      </c>
      <c r="F372" s="193" t="s">
        <v>488</v>
      </c>
      <c r="G372" s="193" t="s">
        <v>489</v>
      </c>
      <c r="H372" s="195">
        <f>'Site Information'!B376</f>
        <v>0</v>
      </c>
      <c r="I372" s="194"/>
      <c r="J372" s="193">
        <f>'Site Information'!C376</f>
        <v>0</v>
      </c>
      <c r="K372" s="193">
        <f>'Site Information'!D376</f>
        <v>0</v>
      </c>
      <c r="L372" s="193">
        <f>'Site Information'!E376</f>
        <v>0</v>
      </c>
      <c r="M372" s="237"/>
      <c r="N372" s="237"/>
      <c r="O372" s="237"/>
      <c r="P372" s="237"/>
      <c r="Q372" s="237"/>
      <c r="R372" s="193">
        <f>'Site Information'!F376</f>
        <v>0</v>
      </c>
      <c r="S372" s="237"/>
      <c r="T372" s="237"/>
      <c r="U372" s="237"/>
      <c r="V372" s="237"/>
      <c r="W372" s="237"/>
      <c r="X372" s="237"/>
      <c r="Y372" s="237"/>
      <c r="Z372" s="237"/>
      <c r="AA372" s="237"/>
      <c r="AB372" s="237"/>
      <c r="AC372" s="237"/>
      <c r="AD372" s="237"/>
      <c r="AE372" s="237"/>
      <c r="AF372" s="237"/>
      <c r="AG372" s="237"/>
      <c r="AI372" s="193"/>
      <c r="AJ372" s="193"/>
    </row>
    <row r="373" spans="2:36" x14ac:dyDescent="0.35">
      <c r="B373" s="193" t="e">
        <f>"2024"&amp;MATCH(Totals!D373,OrgType,0)&amp;"_"&amp;MATCH(Totals!E373,Organisations,0)&amp;"_"&amp;LEFT(Totals!F373,1)&amp;"_"&amp;LEFT(G373,1)&amp;"_"&amp;COUNTIF($G$3:G373,G373)</f>
        <v>#N/A</v>
      </c>
      <c r="C373" s="193">
        <v>2025</v>
      </c>
      <c r="D373" s="193">
        <f>Introduction!$D$7</f>
        <v>0</v>
      </c>
      <c r="E373" s="193">
        <f>Introduction!$D$8</f>
        <v>0</v>
      </c>
      <c r="F373" s="193" t="s">
        <v>488</v>
      </c>
      <c r="G373" s="193" t="s">
        <v>489</v>
      </c>
      <c r="H373" s="195">
        <f>'Site Information'!B377</f>
        <v>0</v>
      </c>
      <c r="I373" s="194"/>
      <c r="J373" s="193">
        <f>'Site Information'!C377</f>
        <v>0</v>
      </c>
      <c r="K373" s="193">
        <f>'Site Information'!D377</f>
        <v>0</v>
      </c>
      <c r="L373" s="193">
        <f>'Site Information'!E377</f>
        <v>0</v>
      </c>
      <c r="M373" s="237"/>
      <c r="N373" s="237"/>
      <c r="O373" s="237"/>
      <c r="P373" s="237"/>
      <c r="Q373" s="237"/>
      <c r="R373" s="193">
        <f>'Site Information'!F377</f>
        <v>0</v>
      </c>
      <c r="S373" s="237"/>
      <c r="T373" s="237"/>
      <c r="U373" s="237"/>
      <c r="V373" s="237"/>
      <c r="W373" s="237"/>
      <c r="X373" s="237"/>
      <c r="Y373" s="237"/>
      <c r="Z373" s="237"/>
      <c r="AA373" s="237"/>
      <c r="AB373" s="237"/>
      <c r="AC373" s="237"/>
      <c r="AD373" s="237"/>
      <c r="AE373" s="237"/>
      <c r="AF373" s="237"/>
      <c r="AG373" s="237"/>
      <c r="AI373" s="193"/>
      <c r="AJ373" s="193"/>
    </row>
    <row r="374" spans="2:36" x14ac:dyDescent="0.35">
      <c r="B374" s="193" t="e">
        <f>"2024"&amp;MATCH(Totals!D374,OrgType,0)&amp;"_"&amp;MATCH(Totals!E374,Organisations,0)&amp;"_"&amp;LEFT(Totals!F374,1)&amp;"_"&amp;LEFT(G374,1)&amp;"_"&amp;COUNTIF($G$3:G374,G374)</f>
        <v>#N/A</v>
      </c>
      <c r="C374" s="193">
        <v>2025</v>
      </c>
      <c r="D374" s="193">
        <f>Introduction!$D$7</f>
        <v>0</v>
      </c>
      <c r="E374" s="193">
        <f>Introduction!$D$8</f>
        <v>0</v>
      </c>
      <c r="F374" s="193" t="s">
        <v>488</v>
      </c>
      <c r="G374" s="193" t="s">
        <v>489</v>
      </c>
      <c r="H374" s="195">
        <f>'Site Information'!B378</f>
        <v>0</v>
      </c>
      <c r="I374" s="194"/>
      <c r="J374" s="193">
        <f>'Site Information'!C378</f>
        <v>0</v>
      </c>
      <c r="K374" s="193">
        <f>'Site Information'!D378</f>
        <v>0</v>
      </c>
      <c r="L374" s="193">
        <f>'Site Information'!E378</f>
        <v>0</v>
      </c>
      <c r="M374" s="237"/>
      <c r="N374" s="237"/>
      <c r="O374" s="237"/>
      <c r="P374" s="237"/>
      <c r="Q374" s="237"/>
      <c r="R374" s="193">
        <f>'Site Information'!F378</f>
        <v>0</v>
      </c>
      <c r="S374" s="237"/>
      <c r="T374" s="237"/>
      <c r="U374" s="237"/>
      <c r="V374" s="237"/>
      <c r="W374" s="237"/>
      <c r="X374" s="237"/>
      <c r="Y374" s="237"/>
      <c r="Z374" s="237"/>
      <c r="AA374" s="237"/>
      <c r="AB374" s="237"/>
      <c r="AC374" s="237"/>
      <c r="AD374" s="237"/>
      <c r="AE374" s="237"/>
      <c r="AF374" s="237"/>
      <c r="AG374" s="237"/>
      <c r="AI374" s="193"/>
      <c r="AJ374" s="193"/>
    </row>
    <row r="375" spans="2:36" x14ac:dyDescent="0.35">
      <c r="B375" s="193" t="e">
        <f>"2024"&amp;MATCH(Totals!D375,OrgType,0)&amp;"_"&amp;MATCH(Totals!E375,Organisations,0)&amp;"_"&amp;LEFT(Totals!F375,1)&amp;"_"&amp;LEFT(G375,1)&amp;"_"&amp;COUNTIF($G$3:G375,G375)</f>
        <v>#N/A</v>
      </c>
      <c r="C375" s="193">
        <v>2025</v>
      </c>
      <c r="D375" s="193">
        <f>Introduction!$D$7</f>
        <v>0</v>
      </c>
      <c r="E375" s="193">
        <f>Introduction!$D$8</f>
        <v>0</v>
      </c>
      <c r="F375" s="193" t="s">
        <v>488</v>
      </c>
      <c r="G375" s="193" t="s">
        <v>489</v>
      </c>
      <c r="H375" s="195">
        <f>'Site Information'!B379</f>
        <v>0</v>
      </c>
      <c r="I375" s="194"/>
      <c r="J375" s="193">
        <f>'Site Information'!C379</f>
        <v>0</v>
      </c>
      <c r="K375" s="193">
        <f>'Site Information'!D379</f>
        <v>0</v>
      </c>
      <c r="L375" s="193">
        <f>'Site Information'!E379</f>
        <v>0</v>
      </c>
      <c r="M375" s="237"/>
      <c r="N375" s="237"/>
      <c r="O375" s="237"/>
      <c r="P375" s="237"/>
      <c r="Q375" s="237"/>
      <c r="R375" s="193">
        <f>'Site Information'!F379</f>
        <v>0</v>
      </c>
      <c r="S375" s="237"/>
      <c r="T375" s="237"/>
      <c r="U375" s="237"/>
      <c r="V375" s="237"/>
      <c r="W375" s="237"/>
      <c r="X375" s="237"/>
      <c r="Y375" s="237"/>
      <c r="Z375" s="237"/>
      <c r="AA375" s="237"/>
      <c r="AB375" s="237"/>
      <c r="AC375" s="237"/>
      <c r="AD375" s="237"/>
      <c r="AE375" s="237"/>
      <c r="AF375" s="237"/>
      <c r="AG375" s="237"/>
      <c r="AI375" s="193"/>
      <c r="AJ375" s="193"/>
    </row>
    <row r="376" spans="2:36" x14ac:dyDescent="0.35">
      <c r="B376" s="193" t="e">
        <f>"2024"&amp;MATCH(Totals!D376,OrgType,0)&amp;"_"&amp;MATCH(Totals!E376,Organisations,0)&amp;"_"&amp;LEFT(Totals!F376,1)&amp;"_"&amp;LEFT(G376,1)&amp;"_"&amp;COUNTIF($G$3:G376,G376)</f>
        <v>#N/A</v>
      </c>
      <c r="C376" s="193">
        <v>2025</v>
      </c>
      <c r="D376" s="193">
        <f>Introduction!$D$7</f>
        <v>0</v>
      </c>
      <c r="E376" s="193">
        <f>Introduction!$D$8</f>
        <v>0</v>
      </c>
      <c r="F376" s="193" t="s">
        <v>488</v>
      </c>
      <c r="G376" s="193" t="s">
        <v>489</v>
      </c>
      <c r="H376" s="195">
        <f>'Site Information'!B380</f>
        <v>0</v>
      </c>
      <c r="I376" s="194"/>
      <c r="J376" s="193">
        <f>'Site Information'!C380</f>
        <v>0</v>
      </c>
      <c r="K376" s="193">
        <f>'Site Information'!D380</f>
        <v>0</v>
      </c>
      <c r="L376" s="193">
        <f>'Site Information'!E380</f>
        <v>0</v>
      </c>
      <c r="M376" s="237"/>
      <c r="N376" s="237"/>
      <c r="O376" s="237"/>
      <c r="P376" s="237"/>
      <c r="Q376" s="237"/>
      <c r="R376" s="193">
        <f>'Site Information'!F380</f>
        <v>0</v>
      </c>
      <c r="S376" s="237"/>
      <c r="T376" s="237"/>
      <c r="U376" s="237"/>
      <c r="V376" s="237"/>
      <c r="W376" s="237"/>
      <c r="X376" s="237"/>
      <c r="Y376" s="237"/>
      <c r="Z376" s="237"/>
      <c r="AA376" s="237"/>
      <c r="AB376" s="237"/>
      <c r="AC376" s="237"/>
      <c r="AD376" s="237"/>
      <c r="AE376" s="237"/>
      <c r="AF376" s="237"/>
      <c r="AG376" s="237"/>
      <c r="AI376" s="193"/>
      <c r="AJ376" s="193"/>
    </row>
    <row r="377" spans="2:36" x14ac:dyDescent="0.35">
      <c r="B377" s="193" t="e">
        <f>"2024"&amp;MATCH(Totals!D377,OrgType,0)&amp;"_"&amp;MATCH(Totals!E377,Organisations,0)&amp;"_"&amp;LEFT(Totals!F377,1)&amp;"_"&amp;LEFT(G377,1)&amp;"_"&amp;COUNTIF($G$3:G377,G377)</f>
        <v>#N/A</v>
      </c>
      <c r="C377" s="193">
        <v>2025</v>
      </c>
      <c r="D377" s="193">
        <f>Introduction!$D$7</f>
        <v>0</v>
      </c>
      <c r="E377" s="193">
        <f>Introduction!$D$8</f>
        <v>0</v>
      </c>
      <c r="F377" s="193" t="s">
        <v>488</v>
      </c>
      <c r="G377" s="193" t="s">
        <v>489</v>
      </c>
      <c r="H377" s="195">
        <f>'Site Information'!B381</f>
        <v>0</v>
      </c>
      <c r="I377" s="194"/>
      <c r="J377" s="193">
        <f>'Site Information'!C381</f>
        <v>0</v>
      </c>
      <c r="K377" s="193">
        <f>'Site Information'!D381</f>
        <v>0</v>
      </c>
      <c r="L377" s="193">
        <f>'Site Information'!E381</f>
        <v>0</v>
      </c>
      <c r="M377" s="237"/>
      <c r="N377" s="237"/>
      <c r="O377" s="237"/>
      <c r="P377" s="237"/>
      <c r="Q377" s="237"/>
      <c r="R377" s="193">
        <f>'Site Information'!F381</f>
        <v>0</v>
      </c>
      <c r="S377" s="237"/>
      <c r="T377" s="237"/>
      <c r="U377" s="237"/>
      <c r="V377" s="237"/>
      <c r="W377" s="237"/>
      <c r="X377" s="237"/>
      <c r="Y377" s="237"/>
      <c r="Z377" s="237"/>
      <c r="AA377" s="237"/>
      <c r="AB377" s="237"/>
      <c r="AC377" s="237"/>
      <c r="AD377" s="237"/>
      <c r="AE377" s="237"/>
      <c r="AF377" s="237"/>
      <c r="AG377" s="237"/>
      <c r="AI377" s="193"/>
      <c r="AJ377" s="193"/>
    </row>
    <row r="378" spans="2:36" x14ac:dyDescent="0.35">
      <c r="B378" s="193" t="e">
        <f>"2024"&amp;MATCH(Totals!D378,OrgType,0)&amp;"_"&amp;MATCH(Totals!E378,Organisations,0)&amp;"_"&amp;LEFT(Totals!F378,1)&amp;"_"&amp;LEFT(G378,1)&amp;"_"&amp;COUNTIF($G$3:G378,G378)</f>
        <v>#N/A</v>
      </c>
      <c r="C378" s="193">
        <v>2025</v>
      </c>
      <c r="D378" s="193">
        <f>Introduction!$D$7</f>
        <v>0</v>
      </c>
      <c r="E378" s="193">
        <f>Introduction!$D$8</f>
        <v>0</v>
      </c>
      <c r="F378" s="193" t="s">
        <v>488</v>
      </c>
      <c r="G378" s="193" t="s">
        <v>489</v>
      </c>
      <c r="H378" s="195">
        <f>'Site Information'!B382</f>
        <v>0</v>
      </c>
      <c r="I378" s="194"/>
      <c r="J378" s="193">
        <f>'Site Information'!C382</f>
        <v>0</v>
      </c>
      <c r="K378" s="193">
        <f>'Site Information'!D382</f>
        <v>0</v>
      </c>
      <c r="L378" s="193">
        <f>'Site Information'!E382</f>
        <v>0</v>
      </c>
      <c r="M378" s="237"/>
      <c r="N378" s="237"/>
      <c r="O378" s="237"/>
      <c r="P378" s="237"/>
      <c r="Q378" s="237"/>
      <c r="R378" s="193">
        <f>'Site Information'!F382</f>
        <v>0</v>
      </c>
      <c r="S378" s="237"/>
      <c r="T378" s="237"/>
      <c r="U378" s="237"/>
      <c r="V378" s="237"/>
      <c r="W378" s="237"/>
      <c r="X378" s="237"/>
      <c r="Y378" s="237"/>
      <c r="Z378" s="237"/>
      <c r="AA378" s="237"/>
      <c r="AB378" s="237"/>
      <c r="AC378" s="237"/>
      <c r="AD378" s="237"/>
      <c r="AE378" s="237"/>
      <c r="AF378" s="237"/>
      <c r="AG378" s="237"/>
      <c r="AI378" s="193"/>
      <c r="AJ378" s="193"/>
    </row>
    <row r="379" spans="2:36" x14ac:dyDescent="0.35">
      <c r="B379" s="193" t="e">
        <f>"2024"&amp;MATCH(Totals!D379,OrgType,0)&amp;"_"&amp;MATCH(Totals!E379,Organisations,0)&amp;"_"&amp;LEFT(Totals!F379,1)&amp;"_"&amp;LEFT(G379,1)&amp;"_"&amp;COUNTIF($G$3:G379,G379)</f>
        <v>#N/A</v>
      </c>
      <c r="C379" s="193">
        <v>2025</v>
      </c>
      <c r="D379" s="193">
        <f>Introduction!$D$7</f>
        <v>0</v>
      </c>
      <c r="E379" s="193">
        <f>Introduction!$D$8</f>
        <v>0</v>
      </c>
      <c r="F379" s="193" t="s">
        <v>488</v>
      </c>
      <c r="G379" s="193" t="s">
        <v>489</v>
      </c>
      <c r="H379" s="195">
        <f>'Site Information'!B383</f>
        <v>0</v>
      </c>
      <c r="I379" s="194"/>
      <c r="J379" s="193">
        <f>'Site Information'!C383</f>
        <v>0</v>
      </c>
      <c r="K379" s="193">
        <f>'Site Information'!D383</f>
        <v>0</v>
      </c>
      <c r="L379" s="193">
        <f>'Site Information'!E383</f>
        <v>0</v>
      </c>
      <c r="M379" s="237"/>
      <c r="N379" s="237"/>
      <c r="O379" s="237"/>
      <c r="P379" s="237"/>
      <c r="Q379" s="237"/>
      <c r="R379" s="193">
        <f>'Site Information'!F383</f>
        <v>0</v>
      </c>
      <c r="S379" s="237"/>
      <c r="T379" s="237"/>
      <c r="U379" s="237"/>
      <c r="V379" s="237"/>
      <c r="W379" s="237"/>
      <c r="X379" s="237"/>
      <c r="Y379" s="237"/>
      <c r="Z379" s="237"/>
      <c r="AA379" s="237"/>
      <c r="AB379" s="237"/>
      <c r="AC379" s="237"/>
      <c r="AD379" s="237"/>
      <c r="AE379" s="237"/>
      <c r="AF379" s="237"/>
      <c r="AG379" s="237"/>
      <c r="AI379" s="193"/>
      <c r="AJ379" s="193"/>
    </row>
    <row r="380" spans="2:36" x14ac:dyDescent="0.35">
      <c r="B380" s="193" t="e">
        <f>"2024"&amp;MATCH(Totals!D380,OrgType,0)&amp;"_"&amp;MATCH(Totals!E380,Organisations,0)&amp;"_"&amp;LEFT(Totals!F380,1)&amp;"_"&amp;LEFT(G380,1)&amp;"_"&amp;COUNTIF($G$3:G380,G380)</f>
        <v>#N/A</v>
      </c>
      <c r="C380" s="193">
        <v>2025</v>
      </c>
      <c r="D380" s="193">
        <f>Introduction!$D$7</f>
        <v>0</v>
      </c>
      <c r="E380" s="193">
        <f>Introduction!$D$8</f>
        <v>0</v>
      </c>
      <c r="F380" s="193" t="s">
        <v>488</v>
      </c>
      <c r="G380" s="193" t="s">
        <v>489</v>
      </c>
      <c r="H380" s="195">
        <f>'Site Information'!B384</f>
        <v>0</v>
      </c>
      <c r="I380" s="194"/>
      <c r="J380" s="193">
        <f>'Site Information'!C384</f>
        <v>0</v>
      </c>
      <c r="K380" s="193">
        <f>'Site Information'!D384</f>
        <v>0</v>
      </c>
      <c r="L380" s="193">
        <f>'Site Information'!E384</f>
        <v>0</v>
      </c>
      <c r="M380" s="237"/>
      <c r="N380" s="237"/>
      <c r="O380" s="237"/>
      <c r="P380" s="237"/>
      <c r="Q380" s="237"/>
      <c r="R380" s="193">
        <f>'Site Information'!F384</f>
        <v>0</v>
      </c>
      <c r="S380" s="237"/>
      <c r="T380" s="237"/>
      <c r="U380" s="237"/>
      <c r="V380" s="237"/>
      <c r="W380" s="237"/>
      <c r="X380" s="237"/>
      <c r="Y380" s="237"/>
      <c r="Z380" s="237"/>
      <c r="AA380" s="237"/>
      <c r="AB380" s="237"/>
      <c r="AC380" s="237"/>
      <c r="AD380" s="237"/>
      <c r="AE380" s="237"/>
      <c r="AF380" s="237"/>
      <c r="AG380" s="237"/>
      <c r="AI380" s="193"/>
      <c r="AJ380" s="193"/>
    </row>
    <row r="381" spans="2:36" x14ac:dyDescent="0.35">
      <c r="B381" s="193" t="e">
        <f>"2024"&amp;MATCH(Totals!D381,OrgType,0)&amp;"_"&amp;MATCH(Totals!E381,Organisations,0)&amp;"_"&amp;LEFT(Totals!F381,1)&amp;"_"&amp;LEFT(G381,1)&amp;"_"&amp;COUNTIF($G$3:G381,G381)</f>
        <v>#N/A</v>
      </c>
      <c r="C381" s="193">
        <v>2025</v>
      </c>
      <c r="D381" s="193">
        <f>Introduction!$D$7</f>
        <v>0</v>
      </c>
      <c r="E381" s="193">
        <f>Introduction!$D$8</f>
        <v>0</v>
      </c>
      <c r="F381" s="193" t="s">
        <v>488</v>
      </c>
      <c r="G381" s="193" t="s">
        <v>489</v>
      </c>
      <c r="H381" s="195">
        <f>'Site Information'!B385</f>
        <v>0</v>
      </c>
      <c r="I381" s="194"/>
      <c r="J381" s="193">
        <f>'Site Information'!C385</f>
        <v>0</v>
      </c>
      <c r="K381" s="193">
        <f>'Site Information'!D385</f>
        <v>0</v>
      </c>
      <c r="L381" s="193">
        <f>'Site Information'!E385</f>
        <v>0</v>
      </c>
      <c r="M381" s="237"/>
      <c r="N381" s="237"/>
      <c r="O381" s="237"/>
      <c r="P381" s="237"/>
      <c r="Q381" s="237"/>
      <c r="R381" s="193">
        <f>'Site Information'!F385</f>
        <v>0</v>
      </c>
      <c r="S381" s="237"/>
      <c r="T381" s="237"/>
      <c r="U381" s="237"/>
      <c r="V381" s="237"/>
      <c r="W381" s="237"/>
      <c r="X381" s="237"/>
      <c r="Y381" s="237"/>
      <c r="Z381" s="237"/>
      <c r="AA381" s="237"/>
      <c r="AB381" s="237"/>
      <c r="AC381" s="237"/>
      <c r="AD381" s="237"/>
      <c r="AE381" s="237"/>
      <c r="AF381" s="237"/>
      <c r="AG381" s="237"/>
      <c r="AI381" s="193"/>
      <c r="AJ381" s="193"/>
    </row>
    <row r="382" spans="2:36" x14ac:dyDescent="0.35">
      <c r="B382" s="193" t="e">
        <f>"2024"&amp;MATCH(Totals!D382,OrgType,0)&amp;"_"&amp;MATCH(Totals!E382,Organisations,0)&amp;"_"&amp;LEFT(Totals!F382,1)&amp;"_"&amp;LEFT(G382,1)&amp;"_"&amp;COUNTIF($G$3:G382,G382)</f>
        <v>#N/A</v>
      </c>
      <c r="C382" s="193">
        <v>2025</v>
      </c>
      <c r="D382" s="193">
        <f>Introduction!$D$7</f>
        <v>0</v>
      </c>
      <c r="E382" s="193">
        <f>Introduction!$D$8</f>
        <v>0</v>
      </c>
      <c r="F382" s="193" t="s">
        <v>488</v>
      </c>
      <c r="G382" s="193" t="s">
        <v>489</v>
      </c>
      <c r="H382" s="195">
        <f>'Site Information'!B386</f>
        <v>0</v>
      </c>
      <c r="I382" s="194"/>
      <c r="J382" s="193">
        <f>'Site Information'!C386</f>
        <v>0</v>
      </c>
      <c r="K382" s="193">
        <f>'Site Information'!D386</f>
        <v>0</v>
      </c>
      <c r="L382" s="193">
        <f>'Site Information'!E386</f>
        <v>0</v>
      </c>
      <c r="M382" s="237"/>
      <c r="N382" s="237"/>
      <c r="O382" s="237"/>
      <c r="P382" s="237"/>
      <c r="Q382" s="237"/>
      <c r="R382" s="193">
        <f>'Site Information'!F386</f>
        <v>0</v>
      </c>
      <c r="S382" s="237"/>
      <c r="T382" s="237"/>
      <c r="U382" s="237"/>
      <c r="V382" s="237"/>
      <c r="W382" s="237"/>
      <c r="X382" s="237"/>
      <c r="Y382" s="237"/>
      <c r="Z382" s="237"/>
      <c r="AA382" s="237"/>
      <c r="AB382" s="237"/>
      <c r="AC382" s="237"/>
      <c r="AD382" s="237"/>
      <c r="AE382" s="237"/>
      <c r="AF382" s="237"/>
      <c r="AG382" s="237"/>
      <c r="AI382" s="193"/>
      <c r="AJ382" s="193"/>
    </row>
    <row r="383" spans="2:36" x14ac:dyDescent="0.35">
      <c r="B383" s="193" t="e">
        <f>"2024"&amp;MATCH(Totals!D383,OrgType,0)&amp;"_"&amp;MATCH(Totals!E383,Organisations,0)&amp;"_"&amp;LEFT(Totals!F383,1)&amp;"_"&amp;LEFT(G383,1)&amp;"_"&amp;COUNTIF($G$3:G383,G383)</f>
        <v>#N/A</v>
      </c>
      <c r="C383" s="193">
        <v>2025</v>
      </c>
      <c r="D383" s="193">
        <f>Introduction!$D$7</f>
        <v>0</v>
      </c>
      <c r="E383" s="193">
        <f>Introduction!$D$8</f>
        <v>0</v>
      </c>
      <c r="F383" s="193" t="s">
        <v>488</v>
      </c>
      <c r="G383" s="193" t="s">
        <v>489</v>
      </c>
      <c r="H383" s="195">
        <f>'Site Information'!B387</f>
        <v>0</v>
      </c>
      <c r="I383" s="194"/>
      <c r="J383" s="193">
        <f>'Site Information'!C387</f>
        <v>0</v>
      </c>
      <c r="K383" s="193">
        <f>'Site Information'!D387</f>
        <v>0</v>
      </c>
      <c r="L383" s="193">
        <f>'Site Information'!E387</f>
        <v>0</v>
      </c>
      <c r="M383" s="237"/>
      <c r="N383" s="237"/>
      <c r="O383" s="237"/>
      <c r="P383" s="237"/>
      <c r="Q383" s="237"/>
      <c r="R383" s="193">
        <f>'Site Information'!F387</f>
        <v>0</v>
      </c>
      <c r="S383" s="237"/>
      <c r="T383" s="237"/>
      <c r="U383" s="237"/>
      <c r="V383" s="237"/>
      <c r="W383" s="237"/>
      <c r="X383" s="237"/>
      <c r="Y383" s="237"/>
      <c r="Z383" s="237"/>
      <c r="AA383" s="237"/>
      <c r="AB383" s="237"/>
      <c r="AC383" s="237"/>
      <c r="AD383" s="237"/>
      <c r="AE383" s="237"/>
      <c r="AF383" s="237"/>
      <c r="AG383" s="237"/>
      <c r="AI383" s="193"/>
      <c r="AJ383" s="193"/>
    </row>
    <row r="384" spans="2:36" x14ac:dyDescent="0.35">
      <c r="B384" s="193" t="e">
        <f>"2024"&amp;MATCH(Totals!D384,OrgType,0)&amp;"_"&amp;MATCH(Totals!E384,Organisations,0)&amp;"_"&amp;LEFT(Totals!F384,1)&amp;"_"&amp;LEFT(G384,1)&amp;"_"&amp;COUNTIF($G$3:G384,G384)</f>
        <v>#N/A</v>
      </c>
      <c r="C384" s="193">
        <v>2025</v>
      </c>
      <c r="D384" s="193">
        <f>Introduction!$D$7</f>
        <v>0</v>
      </c>
      <c r="E384" s="193">
        <f>Introduction!$D$8</f>
        <v>0</v>
      </c>
      <c r="F384" s="193" t="s">
        <v>488</v>
      </c>
      <c r="G384" s="193" t="s">
        <v>489</v>
      </c>
      <c r="H384" s="195">
        <f>'Site Information'!B388</f>
        <v>0</v>
      </c>
      <c r="I384" s="194"/>
      <c r="J384" s="193">
        <f>'Site Information'!C388</f>
        <v>0</v>
      </c>
      <c r="K384" s="193">
        <f>'Site Information'!D388</f>
        <v>0</v>
      </c>
      <c r="L384" s="193">
        <f>'Site Information'!E388</f>
        <v>0</v>
      </c>
      <c r="M384" s="237"/>
      <c r="N384" s="237"/>
      <c r="O384" s="237"/>
      <c r="P384" s="237"/>
      <c r="Q384" s="237"/>
      <c r="R384" s="193">
        <f>'Site Information'!F388</f>
        <v>0</v>
      </c>
      <c r="S384" s="237"/>
      <c r="T384" s="237"/>
      <c r="U384" s="237"/>
      <c r="V384" s="237"/>
      <c r="W384" s="237"/>
      <c r="X384" s="237"/>
      <c r="Y384" s="237"/>
      <c r="Z384" s="237"/>
      <c r="AA384" s="237"/>
      <c r="AB384" s="237"/>
      <c r="AC384" s="237"/>
      <c r="AD384" s="237"/>
      <c r="AE384" s="237"/>
      <c r="AF384" s="237"/>
      <c r="AG384" s="237"/>
      <c r="AI384" s="193"/>
      <c r="AJ384" s="193"/>
    </row>
    <row r="385" spans="2:36" x14ac:dyDescent="0.35">
      <c r="B385" s="193" t="e">
        <f>"2024"&amp;MATCH(Totals!D385,OrgType,0)&amp;"_"&amp;MATCH(Totals!E385,Organisations,0)&amp;"_"&amp;LEFT(Totals!F385,1)&amp;"_"&amp;LEFT(G385,1)&amp;"_"&amp;COUNTIF($G$3:G385,G385)</f>
        <v>#N/A</v>
      </c>
      <c r="C385" s="193">
        <v>2025</v>
      </c>
      <c r="D385" s="193">
        <f>Introduction!$D$7</f>
        <v>0</v>
      </c>
      <c r="E385" s="193">
        <f>Introduction!$D$8</f>
        <v>0</v>
      </c>
      <c r="F385" s="193" t="s">
        <v>488</v>
      </c>
      <c r="G385" s="193" t="s">
        <v>489</v>
      </c>
      <c r="H385" s="195">
        <f>'Site Information'!B389</f>
        <v>0</v>
      </c>
      <c r="I385" s="194"/>
      <c r="J385" s="193">
        <f>'Site Information'!C389</f>
        <v>0</v>
      </c>
      <c r="K385" s="193">
        <f>'Site Information'!D389</f>
        <v>0</v>
      </c>
      <c r="L385" s="193">
        <f>'Site Information'!E389</f>
        <v>0</v>
      </c>
      <c r="M385" s="237"/>
      <c r="N385" s="237"/>
      <c r="O385" s="237"/>
      <c r="P385" s="237"/>
      <c r="Q385" s="237"/>
      <c r="R385" s="193">
        <f>'Site Information'!F389</f>
        <v>0</v>
      </c>
      <c r="S385" s="237"/>
      <c r="T385" s="237"/>
      <c r="U385" s="237"/>
      <c r="V385" s="237"/>
      <c r="W385" s="237"/>
      <c r="X385" s="237"/>
      <c r="Y385" s="237"/>
      <c r="Z385" s="237"/>
      <c r="AA385" s="237"/>
      <c r="AB385" s="237"/>
      <c r="AC385" s="237"/>
      <c r="AD385" s="237"/>
      <c r="AE385" s="237"/>
      <c r="AF385" s="237"/>
      <c r="AG385" s="237"/>
      <c r="AI385" s="193"/>
      <c r="AJ385" s="193"/>
    </row>
    <row r="386" spans="2:36" x14ac:dyDescent="0.35">
      <c r="B386" s="193" t="e">
        <f>"2024"&amp;MATCH(Totals!D386,OrgType,0)&amp;"_"&amp;MATCH(Totals!E386,Organisations,0)&amp;"_"&amp;LEFT(Totals!F386,1)&amp;"_"&amp;LEFT(G386,1)&amp;"_"&amp;COUNTIF($G$3:G386,G386)</f>
        <v>#N/A</v>
      </c>
      <c r="C386" s="193">
        <v>2025</v>
      </c>
      <c r="D386" s="193">
        <f>Introduction!$D$7</f>
        <v>0</v>
      </c>
      <c r="E386" s="193">
        <f>Introduction!$D$8</f>
        <v>0</v>
      </c>
      <c r="F386" s="193" t="s">
        <v>488</v>
      </c>
      <c r="G386" s="193" t="s">
        <v>489</v>
      </c>
      <c r="H386" s="195">
        <f>'Site Information'!B390</f>
        <v>0</v>
      </c>
      <c r="I386" s="194"/>
      <c r="J386" s="193">
        <f>'Site Information'!C390</f>
        <v>0</v>
      </c>
      <c r="K386" s="193">
        <f>'Site Information'!D390</f>
        <v>0</v>
      </c>
      <c r="L386" s="193">
        <f>'Site Information'!E390</f>
        <v>0</v>
      </c>
      <c r="M386" s="237"/>
      <c r="N386" s="237"/>
      <c r="O386" s="237"/>
      <c r="P386" s="237"/>
      <c r="Q386" s="237"/>
      <c r="R386" s="193">
        <f>'Site Information'!F390</f>
        <v>0</v>
      </c>
      <c r="S386" s="237"/>
      <c r="T386" s="237"/>
      <c r="U386" s="237"/>
      <c r="V386" s="237"/>
      <c r="W386" s="237"/>
      <c r="X386" s="237"/>
      <c r="Y386" s="237"/>
      <c r="Z386" s="237"/>
      <c r="AA386" s="237"/>
      <c r="AB386" s="237"/>
      <c r="AC386" s="237"/>
      <c r="AD386" s="237"/>
      <c r="AE386" s="237"/>
      <c r="AF386" s="237"/>
      <c r="AG386" s="237"/>
      <c r="AI386" s="193"/>
      <c r="AJ386" s="193"/>
    </row>
    <row r="387" spans="2:36" x14ac:dyDescent="0.35">
      <c r="B387" s="193" t="e">
        <f>"2024"&amp;MATCH(Totals!D387,OrgType,0)&amp;"_"&amp;MATCH(Totals!E387,Organisations,0)&amp;"_"&amp;LEFT(Totals!F387,1)&amp;"_"&amp;LEFT(G387,1)&amp;"_"&amp;COUNTIF($G$3:G387,G387)</f>
        <v>#N/A</v>
      </c>
      <c r="C387" s="193">
        <v>2025</v>
      </c>
      <c r="D387" s="193">
        <f>Introduction!$D$7</f>
        <v>0</v>
      </c>
      <c r="E387" s="193">
        <f>Introduction!$D$8</f>
        <v>0</v>
      </c>
      <c r="F387" s="193" t="s">
        <v>488</v>
      </c>
      <c r="G387" s="193" t="s">
        <v>489</v>
      </c>
      <c r="H387" s="195">
        <f>'Site Information'!B391</f>
        <v>0</v>
      </c>
      <c r="I387" s="194"/>
      <c r="J387" s="193">
        <f>'Site Information'!C391</f>
        <v>0</v>
      </c>
      <c r="K387" s="193">
        <f>'Site Information'!D391</f>
        <v>0</v>
      </c>
      <c r="L387" s="193">
        <f>'Site Information'!E391</f>
        <v>0</v>
      </c>
      <c r="M387" s="237"/>
      <c r="N387" s="237"/>
      <c r="O387" s="237"/>
      <c r="P387" s="237"/>
      <c r="Q387" s="237"/>
      <c r="R387" s="193">
        <f>'Site Information'!F391</f>
        <v>0</v>
      </c>
      <c r="S387" s="237"/>
      <c r="T387" s="237"/>
      <c r="U387" s="237"/>
      <c r="V387" s="237"/>
      <c r="W387" s="237"/>
      <c r="X387" s="237"/>
      <c r="Y387" s="237"/>
      <c r="Z387" s="237"/>
      <c r="AA387" s="237"/>
      <c r="AB387" s="237"/>
      <c r="AC387" s="237"/>
      <c r="AD387" s="237"/>
      <c r="AE387" s="237"/>
      <c r="AF387" s="237"/>
      <c r="AG387" s="237"/>
      <c r="AI387" s="193"/>
      <c r="AJ387" s="193"/>
    </row>
    <row r="388" spans="2:36" x14ac:dyDescent="0.35">
      <c r="B388" s="193" t="e">
        <f>"2024"&amp;MATCH(Totals!D388,OrgType,0)&amp;"_"&amp;MATCH(Totals!E388,Organisations,0)&amp;"_"&amp;LEFT(Totals!F388,1)&amp;"_"&amp;LEFT(G388,1)&amp;"_"&amp;COUNTIF($G$3:G388,G388)</f>
        <v>#N/A</v>
      </c>
      <c r="C388" s="193">
        <v>2025</v>
      </c>
      <c r="D388" s="193">
        <f>Introduction!$D$7</f>
        <v>0</v>
      </c>
      <c r="E388" s="193">
        <f>Introduction!$D$8</f>
        <v>0</v>
      </c>
      <c r="F388" s="193" t="s">
        <v>488</v>
      </c>
      <c r="G388" s="193" t="s">
        <v>489</v>
      </c>
      <c r="H388" s="195">
        <f>'Site Information'!B392</f>
        <v>0</v>
      </c>
      <c r="I388" s="194"/>
      <c r="J388" s="193">
        <f>'Site Information'!C392</f>
        <v>0</v>
      </c>
      <c r="K388" s="193">
        <f>'Site Information'!D392</f>
        <v>0</v>
      </c>
      <c r="L388" s="193">
        <f>'Site Information'!E392</f>
        <v>0</v>
      </c>
      <c r="M388" s="237"/>
      <c r="N388" s="237"/>
      <c r="O388" s="237"/>
      <c r="P388" s="237"/>
      <c r="Q388" s="237"/>
      <c r="R388" s="193">
        <f>'Site Information'!F392</f>
        <v>0</v>
      </c>
      <c r="S388" s="237"/>
      <c r="T388" s="237"/>
      <c r="U388" s="237"/>
      <c r="V388" s="237"/>
      <c r="W388" s="237"/>
      <c r="X388" s="237"/>
      <c r="Y388" s="237"/>
      <c r="Z388" s="237"/>
      <c r="AA388" s="237"/>
      <c r="AB388" s="237"/>
      <c r="AC388" s="237"/>
      <c r="AD388" s="237"/>
      <c r="AE388" s="237"/>
      <c r="AF388" s="237"/>
      <c r="AG388" s="237"/>
      <c r="AI388" s="193"/>
      <c r="AJ388" s="193"/>
    </row>
    <row r="389" spans="2:36" x14ac:dyDescent="0.35">
      <c r="B389" s="193" t="e">
        <f>"2024"&amp;MATCH(Totals!D389,OrgType,0)&amp;"_"&amp;MATCH(Totals!E389,Organisations,0)&amp;"_"&amp;LEFT(Totals!F389,1)&amp;"_"&amp;LEFT(G389,1)&amp;"_"&amp;COUNTIF($G$3:G389,G389)</f>
        <v>#N/A</v>
      </c>
      <c r="C389" s="193">
        <v>2025</v>
      </c>
      <c r="D389" s="193">
        <f>Introduction!$D$7</f>
        <v>0</v>
      </c>
      <c r="E389" s="193">
        <f>Introduction!$D$8</f>
        <v>0</v>
      </c>
      <c r="F389" s="193" t="s">
        <v>488</v>
      </c>
      <c r="G389" s="193" t="s">
        <v>489</v>
      </c>
      <c r="H389" s="195">
        <f>'Site Information'!B393</f>
        <v>0</v>
      </c>
      <c r="I389" s="194"/>
      <c r="J389" s="193">
        <f>'Site Information'!C393</f>
        <v>0</v>
      </c>
      <c r="K389" s="193">
        <f>'Site Information'!D393</f>
        <v>0</v>
      </c>
      <c r="L389" s="193">
        <f>'Site Information'!E393</f>
        <v>0</v>
      </c>
      <c r="M389" s="237"/>
      <c r="N389" s="237"/>
      <c r="O389" s="237"/>
      <c r="P389" s="237"/>
      <c r="Q389" s="237"/>
      <c r="R389" s="193">
        <f>'Site Information'!F393</f>
        <v>0</v>
      </c>
      <c r="S389" s="237"/>
      <c r="T389" s="237"/>
      <c r="U389" s="237"/>
      <c r="V389" s="237"/>
      <c r="W389" s="237"/>
      <c r="X389" s="237"/>
      <c r="Y389" s="237"/>
      <c r="Z389" s="237"/>
      <c r="AA389" s="237"/>
      <c r="AB389" s="237"/>
      <c r="AC389" s="237"/>
      <c r="AD389" s="237"/>
      <c r="AE389" s="237"/>
      <c r="AF389" s="237"/>
      <c r="AG389" s="237"/>
      <c r="AI389" s="193"/>
      <c r="AJ389" s="193"/>
    </row>
    <row r="390" spans="2:36" x14ac:dyDescent="0.35">
      <c r="B390" s="193" t="e">
        <f>"2024"&amp;MATCH(Totals!D390,OrgType,0)&amp;"_"&amp;MATCH(Totals!E390,Organisations,0)&amp;"_"&amp;LEFT(Totals!F390,1)&amp;"_"&amp;LEFT(G390,1)&amp;"_"&amp;COUNTIF($G$3:G390,G390)</f>
        <v>#N/A</v>
      </c>
      <c r="C390" s="193">
        <v>2025</v>
      </c>
      <c r="D390" s="193">
        <f>Introduction!$D$7</f>
        <v>0</v>
      </c>
      <c r="E390" s="193">
        <f>Introduction!$D$8</f>
        <v>0</v>
      </c>
      <c r="F390" s="193" t="s">
        <v>488</v>
      </c>
      <c r="G390" s="193" t="s">
        <v>489</v>
      </c>
      <c r="H390" s="195">
        <f>'Site Information'!B394</f>
        <v>0</v>
      </c>
      <c r="I390" s="194"/>
      <c r="J390" s="193">
        <f>'Site Information'!C394</f>
        <v>0</v>
      </c>
      <c r="K390" s="193">
        <f>'Site Information'!D394</f>
        <v>0</v>
      </c>
      <c r="L390" s="193">
        <f>'Site Information'!E394</f>
        <v>0</v>
      </c>
      <c r="M390" s="237"/>
      <c r="N390" s="237"/>
      <c r="O390" s="237"/>
      <c r="P390" s="237"/>
      <c r="Q390" s="237"/>
      <c r="R390" s="193">
        <f>'Site Information'!F394</f>
        <v>0</v>
      </c>
      <c r="S390" s="237"/>
      <c r="T390" s="237"/>
      <c r="U390" s="237"/>
      <c r="V390" s="237"/>
      <c r="W390" s="237"/>
      <c r="X390" s="237"/>
      <c r="Y390" s="237"/>
      <c r="Z390" s="237"/>
      <c r="AA390" s="237"/>
      <c r="AB390" s="237"/>
      <c r="AC390" s="237"/>
      <c r="AD390" s="237"/>
      <c r="AE390" s="237"/>
      <c r="AF390" s="237"/>
      <c r="AG390" s="237"/>
      <c r="AI390" s="193"/>
      <c r="AJ390" s="193"/>
    </row>
    <row r="391" spans="2:36" x14ac:dyDescent="0.35">
      <c r="B391" s="193" t="e">
        <f>"2024"&amp;MATCH(Totals!D391,OrgType,0)&amp;"_"&amp;MATCH(Totals!E391,Organisations,0)&amp;"_"&amp;LEFT(Totals!F391,1)&amp;"_"&amp;LEFT(G391,1)&amp;"_"&amp;COUNTIF($G$3:G391,G391)</f>
        <v>#N/A</v>
      </c>
      <c r="C391" s="193">
        <v>2025</v>
      </c>
      <c r="D391" s="193">
        <f>Introduction!$D$7</f>
        <v>0</v>
      </c>
      <c r="E391" s="193">
        <f>Introduction!$D$8</f>
        <v>0</v>
      </c>
      <c r="F391" s="193" t="s">
        <v>488</v>
      </c>
      <c r="G391" s="193" t="s">
        <v>489</v>
      </c>
      <c r="H391" s="195">
        <f>'Site Information'!B395</f>
        <v>0</v>
      </c>
      <c r="I391" s="194"/>
      <c r="J391" s="193">
        <f>'Site Information'!C395</f>
        <v>0</v>
      </c>
      <c r="K391" s="193">
        <f>'Site Information'!D395</f>
        <v>0</v>
      </c>
      <c r="L391" s="193">
        <f>'Site Information'!E395</f>
        <v>0</v>
      </c>
      <c r="M391" s="237"/>
      <c r="N391" s="237"/>
      <c r="O391" s="237"/>
      <c r="P391" s="237"/>
      <c r="Q391" s="237"/>
      <c r="R391" s="193">
        <f>'Site Information'!F395</f>
        <v>0</v>
      </c>
      <c r="S391" s="237"/>
      <c r="T391" s="237"/>
      <c r="U391" s="237"/>
      <c r="V391" s="237"/>
      <c r="W391" s="237"/>
      <c r="X391" s="237"/>
      <c r="Y391" s="237"/>
      <c r="Z391" s="237"/>
      <c r="AA391" s="237"/>
      <c r="AB391" s="237"/>
      <c r="AC391" s="237"/>
      <c r="AD391" s="237"/>
      <c r="AE391" s="237"/>
      <c r="AF391" s="237"/>
      <c r="AG391" s="237"/>
      <c r="AI391" s="193"/>
      <c r="AJ391" s="193"/>
    </row>
    <row r="392" spans="2:36" x14ac:dyDescent="0.35">
      <c r="B392" s="193" t="e">
        <f>"2024"&amp;MATCH(Totals!D392,OrgType,0)&amp;"_"&amp;MATCH(Totals!E392,Organisations,0)&amp;"_"&amp;LEFT(Totals!F392,1)&amp;"_"&amp;LEFT(G392,1)&amp;"_"&amp;COUNTIF($G$3:G392,G392)</f>
        <v>#N/A</v>
      </c>
      <c r="C392" s="193">
        <v>2025</v>
      </c>
      <c r="D392" s="193">
        <f>Introduction!$D$7</f>
        <v>0</v>
      </c>
      <c r="E392" s="193">
        <f>Introduction!$D$8</f>
        <v>0</v>
      </c>
      <c r="F392" s="193" t="s">
        <v>488</v>
      </c>
      <c r="G392" s="193" t="s">
        <v>489</v>
      </c>
      <c r="H392" s="195">
        <f>'Site Information'!B396</f>
        <v>0</v>
      </c>
      <c r="I392" s="194"/>
      <c r="J392" s="193">
        <f>'Site Information'!C396</f>
        <v>0</v>
      </c>
      <c r="K392" s="193">
        <f>'Site Information'!D396</f>
        <v>0</v>
      </c>
      <c r="L392" s="193">
        <f>'Site Information'!E396</f>
        <v>0</v>
      </c>
      <c r="M392" s="237"/>
      <c r="N392" s="237"/>
      <c r="O392" s="237"/>
      <c r="P392" s="237"/>
      <c r="Q392" s="237"/>
      <c r="R392" s="193">
        <f>'Site Information'!F396</f>
        <v>0</v>
      </c>
      <c r="S392" s="237"/>
      <c r="T392" s="237"/>
      <c r="U392" s="237"/>
      <c r="V392" s="237"/>
      <c r="W392" s="237"/>
      <c r="X392" s="237"/>
      <c r="Y392" s="237"/>
      <c r="Z392" s="237"/>
      <c r="AA392" s="237"/>
      <c r="AB392" s="237"/>
      <c r="AC392" s="237"/>
      <c r="AD392" s="237"/>
      <c r="AE392" s="237"/>
      <c r="AF392" s="237"/>
      <c r="AG392" s="237"/>
      <c r="AI392" s="193"/>
      <c r="AJ392" s="193"/>
    </row>
    <row r="393" spans="2:36" x14ac:dyDescent="0.35">
      <c r="B393" s="193" t="e">
        <f>"2024"&amp;MATCH(Totals!D393,OrgType,0)&amp;"_"&amp;MATCH(Totals!E393,Organisations,0)&amp;"_"&amp;LEFT(Totals!F393,1)&amp;"_"&amp;LEFT(G393,1)&amp;"_"&amp;COUNTIF($G$3:G393,G393)</f>
        <v>#N/A</v>
      </c>
      <c r="C393" s="193">
        <v>2025</v>
      </c>
      <c r="D393" s="193">
        <f>Introduction!$D$7</f>
        <v>0</v>
      </c>
      <c r="E393" s="193">
        <f>Introduction!$D$8</f>
        <v>0</v>
      </c>
      <c r="F393" s="193" t="s">
        <v>488</v>
      </c>
      <c r="G393" s="193" t="s">
        <v>489</v>
      </c>
      <c r="H393" s="195">
        <f>'Site Information'!B397</f>
        <v>0</v>
      </c>
      <c r="I393" s="194"/>
      <c r="J393" s="193">
        <f>'Site Information'!C397</f>
        <v>0</v>
      </c>
      <c r="K393" s="193">
        <f>'Site Information'!D397</f>
        <v>0</v>
      </c>
      <c r="L393" s="193">
        <f>'Site Information'!E397</f>
        <v>0</v>
      </c>
      <c r="M393" s="237"/>
      <c r="N393" s="237"/>
      <c r="O393" s="237"/>
      <c r="P393" s="237"/>
      <c r="Q393" s="237"/>
      <c r="R393" s="193">
        <f>'Site Information'!F397</f>
        <v>0</v>
      </c>
      <c r="S393" s="237"/>
      <c r="T393" s="237"/>
      <c r="U393" s="237"/>
      <c r="V393" s="237"/>
      <c r="W393" s="237"/>
      <c r="X393" s="237"/>
      <c r="Y393" s="237"/>
      <c r="Z393" s="237"/>
      <c r="AA393" s="237"/>
      <c r="AB393" s="237"/>
      <c r="AC393" s="237"/>
      <c r="AD393" s="237"/>
      <c r="AE393" s="237"/>
      <c r="AF393" s="237"/>
      <c r="AG393" s="237"/>
      <c r="AI393" s="193"/>
      <c r="AJ393" s="193"/>
    </row>
    <row r="394" spans="2:36" x14ac:dyDescent="0.35">
      <c r="B394" s="193" t="e">
        <f>"2024"&amp;MATCH(Totals!D394,OrgType,0)&amp;"_"&amp;MATCH(Totals!E394,Organisations,0)&amp;"_"&amp;LEFT(Totals!F394,1)&amp;"_"&amp;LEFT(G394,1)&amp;"_"&amp;COUNTIF($G$3:G394,G394)</f>
        <v>#N/A</v>
      </c>
      <c r="C394" s="193">
        <v>2025</v>
      </c>
      <c r="D394" s="193">
        <f>Introduction!$D$7</f>
        <v>0</v>
      </c>
      <c r="E394" s="193">
        <f>Introduction!$D$8</f>
        <v>0</v>
      </c>
      <c r="F394" s="193" t="s">
        <v>488</v>
      </c>
      <c r="G394" s="193" t="s">
        <v>489</v>
      </c>
      <c r="H394" s="195">
        <f>'Site Information'!B398</f>
        <v>0</v>
      </c>
      <c r="I394" s="194"/>
      <c r="J394" s="193">
        <f>'Site Information'!C398</f>
        <v>0</v>
      </c>
      <c r="K394" s="193">
        <f>'Site Information'!D398</f>
        <v>0</v>
      </c>
      <c r="L394" s="193">
        <f>'Site Information'!E398</f>
        <v>0</v>
      </c>
      <c r="M394" s="237"/>
      <c r="N394" s="237"/>
      <c r="O394" s="237"/>
      <c r="P394" s="237"/>
      <c r="Q394" s="237"/>
      <c r="R394" s="193">
        <f>'Site Information'!F398</f>
        <v>0</v>
      </c>
      <c r="S394" s="237"/>
      <c r="T394" s="237"/>
      <c r="U394" s="237"/>
      <c r="V394" s="237"/>
      <c r="W394" s="237"/>
      <c r="X394" s="237"/>
      <c r="Y394" s="237"/>
      <c r="Z394" s="237"/>
      <c r="AA394" s="237"/>
      <c r="AB394" s="237"/>
      <c r="AC394" s="237"/>
      <c r="AD394" s="237"/>
      <c r="AE394" s="237"/>
      <c r="AF394" s="237"/>
      <c r="AG394" s="237"/>
      <c r="AI394" s="193"/>
      <c r="AJ394" s="193"/>
    </row>
    <row r="395" spans="2:36" x14ac:dyDescent="0.35">
      <c r="B395" s="193" t="e">
        <f>"2024"&amp;MATCH(Totals!D395,OrgType,0)&amp;"_"&amp;MATCH(Totals!E395,Organisations,0)&amp;"_"&amp;LEFT(Totals!F395,1)&amp;"_"&amp;LEFT(G395,1)&amp;"_"&amp;COUNTIF($G$3:G395,G395)</f>
        <v>#N/A</v>
      </c>
      <c r="C395" s="193">
        <v>2025</v>
      </c>
      <c r="D395" s="193">
        <f>Introduction!$D$7</f>
        <v>0</v>
      </c>
      <c r="E395" s="193">
        <f>Introduction!$D$8</f>
        <v>0</v>
      </c>
      <c r="F395" s="193" t="s">
        <v>488</v>
      </c>
      <c r="G395" s="193" t="s">
        <v>489</v>
      </c>
      <c r="H395" s="195">
        <f>'Site Information'!B399</f>
        <v>0</v>
      </c>
      <c r="I395" s="194"/>
      <c r="J395" s="193">
        <f>'Site Information'!C399</f>
        <v>0</v>
      </c>
      <c r="K395" s="193">
        <f>'Site Information'!D399</f>
        <v>0</v>
      </c>
      <c r="L395" s="193">
        <f>'Site Information'!E399</f>
        <v>0</v>
      </c>
      <c r="M395" s="237"/>
      <c r="N395" s="237"/>
      <c r="O395" s="237"/>
      <c r="P395" s="237"/>
      <c r="Q395" s="237"/>
      <c r="R395" s="193">
        <f>'Site Information'!F399</f>
        <v>0</v>
      </c>
      <c r="S395" s="237"/>
      <c r="T395" s="237"/>
      <c r="U395" s="237"/>
      <c r="V395" s="237"/>
      <c r="W395" s="237"/>
      <c r="X395" s="237"/>
      <c r="Y395" s="237"/>
      <c r="Z395" s="237"/>
      <c r="AA395" s="237"/>
      <c r="AB395" s="237"/>
      <c r="AC395" s="237"/>
      <c r="AD395" s="237"/>
      <c r="AE395" s="237"/>
      <c r="AF395" s="237"/>
      <c r="AG395" s="237"/>
      <c r="AI395" s="193"/>
      <c r="AJ395" s="193"/>
    </row>
    <row r="396" spans="2:36" x14ac:dyDescent="0.35">
      <c r="B396" s="193" t="e">
        <f>"2024"&amp;MATCH(Totals!D396,OrgType,0)&amp;"_"&amp;MATCH(Totals!E396,Organisations,0)&amp;"_"&amp;LEFT(Totals!F396,1)&amp;"_"&amp;LEFT(G396,1)&amp;"_"&amp;COUNTIF($G$3:G396,G396)</f>
        <v>#N/A</v>
      </c>
      <c r="C396" s="193">
        <v>2025</v>
      </c>
      <c r="D396" s="193">
        <f>Introduction!$D$7</f>
        <v>0</v>
      </c>
      <c r="E396" s="193">
        <f>Introduction!$D$8</f>
        <v>0</v>
      </c>
      <c r="F396" s="193" t="s">
        <v>488</v>
      </c>
      <c r="G396" s="193" t="s">
        <v>489</v>
      </c>
      <c r="H396" s="195">
        <f>'Site Information'!B400</f>
        <v>0</v>
      </c>
      <c r="I396" s="194"/>
      <c r="J396" s="193">
        <f>'Site Information'!C400</f>
        <v>0</v>
      </c>
      <c r="K396" s="193">
        <f>'Site Information'!D400</f>
        <v>0</v>
      </c>
      <c r="L396" s="193">
        <f>'Site Information'!E400</f>
        <v>0</v>
      </c>
      <c r="M396" s="237"/>
      <c r="N396" s="237"/>
      <c r="O396" s="237"/>
      <c r="P396" s="237"/>
      <c r="Q396" s="237"/>
      <c r="R396" s="193">
        <f>'Site Information'!F400</f>
        <v>0</v>
      </c>
      <c r="S396" s="237"/>
      <c r="T396" s="237"/>
      <c r="U396" s="237"/>
      <c r="V396" s="237"/>
      <c r="W396" s="237"/>
      <c r="X396" s="237"/>
      <c r="Y396" s="237"/>
      <c r="Z396" s="237"/>
      <c r="AA396" s="237"/>
      <c r="AB396" s="237"/>
      <c r="AC396" s="237"/>
      <c r="AD396" s="237"/>
      <c r="AE396" s="237"/>
      <c r="AF396" s="237"/>
      <c r="AG396" s="237"/>
      <c r="AI396" s="193"/>
      <c r="AJ396" s="193"/>
    </row>
    <row r="397" spans="2:36" x14ac:dyDescent="0.35">
      <c r="B397" s="193" t="e">
        <f>"2024"&amp;MATCH(Totals!D397,OrgType,0)&amp;"_"&amp;MATCH(Totals!E397,Organisations,0)&amp;"_"&amp;LEFT(Totals!F397,1)&amp;"_"&amp;LEFT(G397,1)&amp;"_"&amp;COUNTIF($G$3:G397,G397)</f>
        <v>#N/A</v>
      </c>
      <c r="C397" s="193">
        <v>2025</v>
      </c>
      <c r="D397" s="193">
        <f>Introduction!$D$7</f>
        <v>0</v>
      </c>
      <c r="E397" s="193">
        <f>Introduction!$D$8</f>
        <v>0</v>
      </c>
      <c r="F397" s="193" t="s">
        <v>488</v>
      </c>
      <c r="G397" s="193" t="s">
        <v>489</v>
      </c>
      <c r="H397" s="195">
        <f>'Site Information'!B401</f>
        <v>0</v>
      </c>
      <c r="I397" s="194"/>
      <c r="J397" s="193">
        <f>'Site Information'!C401</f>
        <v>0</v>
      </c>
      <c r="K397" s="193">
        <f>'Site Information'!D401</f>
        <v>0</v>
      </c>
      <c r="L397" s="193">
        <f>'Site Information'!E401</f>
        <v>0</v>
      </c>
      <c r="M397" s="237"/>
      <c r="N397" s="237"/>
      <c r="O397" s="237"/>
      <c r="P397" s="237"/>
      <c r="Q397" s="237"/>
      <c r="R397" s="193">
        <f>'Site Information'!F401</f>
        <v>0</v>
      </c>
      <c r="S397" s="237"/>
      <c r="T397" s="237"/>
      <c r="U397" s="237"/>
      <c r="V397" s="237"/>
      <c r="W397" s="237"/>
      <c r="X397" s="237"/>
      <c r="Y397" s="237"/>
      <c r="Z397" s="237"/>
      <c r="AA397" s="237"/>
      <c r="AB397" s="237"/>
      <c r="AC397" s="237"/>
      <c r="AD397" s="237"/>
      <c r="AE397" s="237"/>
      <c r="AF397" s="237"/>
      <c r="AG397" s="237"/>
      <c r="AI397" s="193"/>
      <c r="AJ397" s="193"/>
    </row>
    <row r="398" spans="2:36" x14ac:dyDescent="0.35">
      <c r="B398" s="193" t="e">
        <f>"2024"&amp;MATCH(Totals!D398,OrgType,0)&amp;"_"&amp;MATCH(Totals!E398,Organisations,0)&amp;"_"&amp;LEFT(Totals!F398,1)&amp;"_"&amp;LEFT(G398,1)&amp;"_"&amp;COUNTIF($G$3:G398,G398)</f>
        <v>#N/A</v>
      </c>
      <c r="C398" s="193">
        <v>2025</v>
      </c>
      <c r="D398" s="193">
        <f>Introduction!$D$7</f>
        <v>0</v>
      </c>
      <c r="E398" s="193">
        <f>Introduction!$D$8</f>
        <v>0</v>
      </c>
      <c r="F398" s="193" t="s">
        <v>488</v>
      </c>
      <c r="G398" s="193" t="s">
        <v>489</v>
      </c>
      <c r="H398" s="195">
        <f>'Site Information'!B402</f>
        <v>0</v>
      </c>
      <c r="I398" s="194"/>
      <c r="J398" s="193">
        <f>'Site Information'!C402</f>
        <v>0</v>
      </c>
      <c r="K398" s="193">
        <f>'Site Information'!D402</f>
        <v>0</v>
      </c>
      <c r="L398" s="193">
        <f>'Site Information'!E402</f>
        <v>0</v>
      </c>
      <c r="M398" s="237"/>
      <c r="N398" s="237"/>
      <c r="O398" s="237"/>
      <c r="P398" s="237"/>
      <c r="Q398" s="237"/>
      <c r="R398" s="193">
        <f>'Site Information'!F402</f>
        <v>0</v>
      </c>
      <c r="S398" s="237"/>
      <c r="T398" s="237"/>
      <c r="U398" s="237"/>
      <c r="V398" s="237"/>
      <c r="W398" s="237"/>
      <c r="X398" s="237"/>
      <c r="Y398" s="237"/>
      <c r="Z398" s="237"/>
      <c r="AA398" s="237"/>
      <c r="AB398" s="237"/>
      <c r="AC398" s="237"/>
      <c r="AD398" s="237"/>
      <c r="AE398" s="237"/>
      <c r="AF398" s="237"/>
      <c r="AG398" s="237"/>
      <c r="AI398" s="193"/>
      <c r="AJ398" s="193"/>
    </row>
    <row r="399" spans="2:36" x14ac:dyDescent="0.35">
      <c r="B399" s="193" t="e">
        <f>"2024"&amp;MATCH(Totals!D399,OrgType,0)&amp;"_"&amp;MATCH(Totals!E399,Organisations,0)&amp;"_"&amp;LEFT(Totals!F399,1)&amp;"_"&amp;LEFT(G399,1)&amp;"_"&amp;COUNTIF($G$3:G399,G399)</f>
        <v>#N/A</v>
      </c>
      <c r="C399" s="193">
        <v>2025</v>
      </c>
      <c r="D399" s="193">
        <f>Introduction!$D$7</f>
        <v>0</v>
      </c>
      <c r="E399" s="193">
        <f>Introduction!$D$8</f>
        <v>0</v>
      </c>
      <c r="F399" s="193" t="s">
        <v>488</v>
      </c>
      <c r="G399" s="193" t="s">
        <v>489</v>
      </c>
      <c r="H399" s="195">
        <f>'Site Information'!B403</f>
        <v>0</v>
      </c>
      <c r="I399" s="194"/>
      <c r="J399" s="193">
        <f>'Site Information'!C403</f>
        <v>0</v>
      </c>
      <c r="K399" s="193">
        <f>'Site Information'!D403</f>
        <v>0</v>
      </c>
      <c r="L399" s="193">
        <f>'Site Information'!E403</f>
        <v>0</v>
      </c>
      <c r="M399" s="237"/>
      <c r="N399" s="237"/>
      <c r="O399" s="237"/>
      <c r="P399" s="237"/>
      <c r="Q399" s="237"/>
      <c r="R399" s="193">
        <f>'Site Information'!F403</f>
        <v>0</v>
      </c>
      <c r="S399" s="237"/>
      <c r="T399" s="237"/>
      <c r="U399" s="237"/>
      <c r="V399" s="237"/>
      <c r="W399" s="237"/>
      <c r="X399" s="237"/>
      <c r="Y399" s="237"/>
      <c r="Z399" s="237"/>
      <c r="AA399" s="237"/>
      <c r="AB399" s="237"/>
      <c r="AC399" s="237"/>
      <c r="AD399" s="237"/>
      <c r="AE399" s="237"/>
      <c r="AF399" s="237"/>
      <c r="AG399" s="237"/>
      <c r="AI399" s="193"/>
      <c r="AJ399" s="193"/>
    </row>
    <row r="400" spans="2:36" x14ac:dyDescent="0.35">
      <c r="B400" s="193" t="e">
        <f>"2024"&amp;MATCH(Totals!D400,OrgType,0)&amp;"_"&amp;MATCH(Totals!E400,Organisations,0)&amp;"_"&amp;LEFT(Totals!F400,1)&amp;"_"&amp;LEFT(G400,1)&amp;"_"&amp;COUNTIF($G$3:G400,G400)</f>
        <v>#N/A</v>
      </c>
      <c r="C400" s="193">
        <v>2025</v>
      </c>
      <c r="D400" s="193">
        <f>Introduction!$D$7</f>
        <v>0</v>
      </c>
      <c r="E400" s="193">
        <f>Introduction!$D$8</f>
        <v>0</v>
      </c>
      <c r="F400" s="193" t="s">
        <v>488</v>
      </c>
      <c r="G400" s="193" t="s">
        <v>489</v>
      </c>
      <c r="H400" s="195">
        <f>'Site Information'!B404</f>
        <v>0</v>
      </c>
      <c r="I400" s="194"/>
      <c r="J400" s="193">
        <f>'Site Information'!C404</f>
        <v>0</v>
      </c>
      <c r="K400" s="193">
        <f>'Site Information'!D404</f>
        <v>0</v>
      </c>
      <c r="L400" s="193">
        <f>'Site Information'!E404</f>
        <v>0</v>
      </c>
      <c r="M400" s="237"/>
      <c r="N400" s="237"/>
      <c r="O400" s="237"/>
      <c r="P400" s="237"/>
      <c r="Q400" s="237"/>
      <c r="R400" s="193">
        <f>'Site Information'!F404</f>
        <v>0</v>
      </c>
      <c r="S400" s="237"/>
      <c r="T400" s="237"/>
      <c r="U400" s="237"/>
      <c r="V400" s="237"/>
      <c r="W400" s="237"/>
      <c r="X400" s="237"/>
      <c r="Y400" s="237"/>
      <c r="Z400" s="237"/>
      <c r="AA400" s="237"/>
      <c r="AB400" s="237"/>
      <c r="AC400" s="237"/>
      <c r="AD400" s="237"/>
      <c r="AE400" s="237"/>
      <c r="AF400" s="237"/>
      <c r="AG400" s="237"/>
      <c r="AI400" s="193"/>
      <c r="AJ400" s="193"/>
    </row>
    <row r="401" spans="2:36" x14ac:dyDescent="0.35">
      <c r="B401" s="193" t="e">
        <f>"2024"&amp;MATCH(Totals!D401,OrgType,0)&amp;"_"&amp;MATCH(Totals!E401,Organisations,0)&amp;"_"&amp;LEFT(Totals!F401,1)&amp;"_"&amp;LEFT(G401,1)&amp;"_"&amp;COUNTIF($G$3:G401,G401)</f>
        <v>#N/A</v>
      </c>
      <c r="C401" s="193">
        <v>2025</v>
      </c>
      <c r="D401" s="193">
        <f>Introduction!$D$7</f>
        <v>0</v>
      </c>
      <c r="E401" s="193">
        <f>Introduction!$D$8</f>
        <v>0</v>
      </c>
      <c r="F401" s="193" t="s">
        <v>488</v>
      </c>
      <c r="G401" s="193" t="s">
        <v>489</v>
      </c>
      <c r="H401" s="195">
        <f>'Site Information'!B405</f>
        <v>0</v>
      </c>
      <c r="I401" s="194"/>
      <c r="J401" s="193">
        <f>'Site Information'!C405</f>
        <v>0</v>
      </c>
      <c r="K401" s="193">
        <f>'Site Information'!D405</f>
        <v>0</v>
      </c>
      <c r="L401" s="193">
        <f>'Site Information'!E405</f>
        <v>0</v>
      </c>
      <c r="M401" s="237"/>
      <c r="N401" s="237"/>
      <c r="O401" s="237"/>
      <c r="P401" s="237"/>
      <c r="Q401" s="237"/>
      <c r="R401" s="193">
        <f>'Site Information'!F405</f>
        <v>0</v>
      </c>
      <c r="S401" s="237"/>
      <c r="T401" s="237"/>
      <c r="U401" s="237"/>
      <c r="V401" s="237"/>
      <c r="W401" s="237"/>
      <c r="X401" s="237"/>
      <c r="Y401" s="237"/>
      <c r="Z401" s="237"/>
      <c r="AA401" s="237"/>
      <c r="AB401" s="237"/>
      <c r="AC401" s="237"/>
      <c r="AD401" s="237"/>
      <c r="AE401" s="237"/>
      <c r="AF401" s="237"/>
      <c r="AG401" s="237"/>
      <c r="AI401" s="193"/>
      <c r="AJ401" s="193"/>
    </row>
    <row r="402" spans="2:36" x14ac:dyDescent="0.35">
      <c r="B402" s="193" t="e">
        <f>"2024"&amp;MATCH(Totals!D402,OrgType,0)&amp;"_"&amp;MATCH(Totals!E402,Organisations,0)&amp;"_"&amp;LEFT(Totals!F402,1)&amp;"_"&amp;LEFT(G402,1)&amp;"_"&amp;COUNTIF($G$3:G402,G402)</f>
        <v>#N/A</v>
      </c>
      <c r="C402" s="193">
        <v>2025</v>
      </c>
      <c r="D402" s="193">
        <f>Introduction!$D$7</f>
        <v>0</v>
      </c>
      <c r="E402" s="193">
        <f>Introduction!$D$8</f>
        <v>0</v>
      </c>
      <c r="F402" s="193" t="s">
        <v>488</v>
      </c>
      <c r="G402" s="193" t="s">
        <v>489</v>
      </c>
      <c r="H402" s="195">
        <f>'Site Information'!B406</f>
        <v>0</v>
      </c>
      <c r="I402" s="194"/>
      <c r="J402" s="193">
        <f>'Site Information'!C406</f>
        <v>0</v>
      </c>
      <c r="K402" s="193">
        <f>'Site Information'!D406</f>
        <v>0</v>
      </c>
      <c r="L402" s="193">
        <f>'Site Information'!E406</f>
        <v>0</v>
      </c>
      <c r="M402" s="237"/>
      <c r="N402" s="237"/>
      <c r="O402" s="237"/>
      <c r="P402" s="237"/>
      <c r="Q402" s="237"/>
      <c r="R402" s="193">
        <f>'Site Information'!F406</f>
        <v>0</v>
      </c>
      <c r="S402" s="237"/>
      <c r="T402" s="237"/>
      <c r="U402" s="237"/>
      <c r="V402" s="237"/>
      <c r="W402" s="237"/>
      <c r="X402" s="237"/>
      <c r="Y402" s="237"/>
      <c r="Z402" s="237"/>
      <c r="AA402" s="237"/>
      <c r="AB402" s="237"/>
      <c r="AC402" s="237"/>
      <c r="AD402" s="237"/>
      <c r="AE402" s="237"/>
      <c r="AF402" s="237"/>
      <c r="AG402" s="237"/>
      <c r="AI402" s="193"/>
      <c r="AJ402" s="193"/>
    </row>
    <row r="403" spans="2:36" x14ac:dyDescent="0.35">
      <c r="B403" s="193" t="e">
        <f>"2024"&amp;MATCH(Totals!D403,OrgType,0)&amp;"_"&amp;MATCH(Totals!E403,Organisations,0)&amp;"_"&amp;LEFT(Totals!F403,1)&amp;"_"&amp;LEFT(G403,1)&amp;"_"&amp;COUNTIF($G$3:G403,G403)</f>
        <v>#N/A</v>
      </c>
      <c r="C403" s="193">
        <v>2025</v>
      </c>
      <c r="D403" s="193">
        <f>Introduction!$D$7</f>
        <v>0</v>
      </c>
      <c r="E403" s="193">
        <f>Introduction!$D$8</f>
        <v>0</v>
      </c>
      <c r="F403" s="193" t="s">
        <v>488</v>
      </c>
      <c r="G403" s="193" t="s">
        <v>489</v>
      </c>
      <c r="H403" s="195">
        <f>'Site Information'!B407</f>
        <v>0</v>
      </c>
      <c r="I403" s="194"/>
      <c r="J403" s="193">
        <f>'Site Information'!C407</f>
        <v>0</v>
      </c>
      <c r="K403" s="193">
        <f>'Site Information'!D407</f>
        <v>0</v>
      </c>
      <c r="L403" s="193">
        <f>'Site Information'!E407</f>
        <v>0</v>
      </c>
      <c r="M403" s="237"/>
      <c r="N403" s="237"/>
      <c r="O403" s="237"/>
      <c r="P403" s="237"/>
      <c r="Q403" s="237"/>
      <c r="R403" s="193">
        <f>'Site Information'!F407</f>
        <v>0</v>
      </c>
      <c r="S403" s="237"/>
      <c r="T403" s="237"/>
      <c r="U403" s="237"/>
      <c r="V403" s="237"/>
      <c r="W403" s="237"/>
      <c r="X403" s="237"/>
      <c r="Y403" s="237"/>
      <c r="Z403" s="237"/>
      <c r="AA403" s="237"/>
      <c r="AB403" s="237"/>
      <c r="AC403" s="237"/>
      <c r="AD403" s="237"/>
      <c r="AE403" s="237"/>
      <c r="AF403" s="237"/>
      <c r="AG403" s="237"/>
      <c r="AI403" s="193"/>
      <c r="AJ403" s="193"/>
    </row>
    <row r="404" spans="2:36" x14ac:dyDescent="0.35">
      <c r="B404" s="193" t="e">
        <f>"2024"&amp;MATCH(Totals!D404,OrgType,0)&amp;"_"&amp;MATCH(Totals!E404,Organisations,0)&amp;"_"&amp;LEFT(Totals!F404,1)&amp;"_"&amp;LEFT(G404,1)&amp;"_"&amp;COUNTIF($G$3:G404,G404)</f>
        <v>#N/A</v>
      </c>
      <c r="C404" s="193">
        <v>2025</v>
      </c>
      <c r="D404" s="193">
        <f>Introduction!$D$7</f>
        <v>0</v>
      </c>
      <c r="E404" s="193">
        <f>Introduction!$D$8</f>
        <v>0</v>
      </c>
      <c r="F404" s="193" t="s">
        <v>488</v>
      </c>
      <c r="G404" s="193" t="s">
        <v>489</v>
      </c>
      <c r="H404" s="195">
        <f>'Site Information'!B408</f>
        <v>0</v>
      </c>
      <c r="I404" s="194"/>
      <c r="J404" s="193">
        <f>'Site Information'!C408</f>
        <v>0</v>
      </c>
      <c r="K404" s="193">
        <f>'Site Information'!D408</f>
        <v>0</v>
      </c>
      <c r="L404" s="193">
        <f>'Site Information'!E408</f>
        <v>0</v>
      </c>
      <c r="M404" s="237"/>
      <c r="N404" s="237"/>
      <c r="O404" s="237"/>
      <c r="P404" s="237"/>
      <c r="Q404" s="237"/>
      <c r="R404" s="193">
        <f>'Site Information'!F408</f>
        <v>0</v>
      </c>
      <c r="S404" s="237"/>
      <c r="T404" s="237"/>
      <c r="U404" s="237"/>
      <c r="V404" s="237"/>
      <c r="W404" s="237"/>
      <c r="X404" s="237"/>
      <c r="Y404" s="237"/>
      <c r="Z404" s="237"/>
      <c r="AA404" s="237"/>
      <c r="AB404" s="237"/>
      <c r="AC404" s="237"/>
      <c r="AD404" s="237"/>
      <c r="AE404" s="237"/>
      <c r="AF404" s="237"/>
      <c r="AG404" s="237"/>
      <c r="AI404" s="193"/>
      <c r="AJ404" s="193"/>
    </row>
    <row r="405" spans="2:36" x14ac:dyDescent="0.35">
      <c r="B405" s="193" t="e">
        <f>"2024"&amp;MATCH(Totals!D405,OrgType,0)&amp;"_"&amp;MATCH(Totals!E405,Organisations,0)&amp;"_"&amp;LEFT(Totals!F405,1)&amp;"_"&amp;LEFT(G405,1)&amp;"_"&amp;COUNTIF($G$3:G405,G405)</f>
        <v>#N/A</v>
      </c>
      <c r="C405" s="193">
        <v>2025</v>
      </c>
      <c r="D405" s="193">
        <f>Introduction!$D$7</f>
        <v>0</v>
      </c>
      <c r="E405" s="193">
        <f>Introduction!$D$8</f>
        <v>0</v>
      </c>
      <c r="F405" s="193" t="s">
        <v>488</v>
      </c>
      <c r="G405" s="193" t="s">
        <v>489</v>
      </c>
      <c r="H405" s="195">
        <f>'Site Information'!B409</f>
        <v>0</v>
      </c>
      <c r="I405" s="194"/>
      <c r="J405" s="193">
        <f>'Site Information'!C409</f>
        <v>0</v>
      </c>
      <c r="K405" s="193">
        <f>'Site Information'!D409</f>
        <v>0</v>
      </c>
      <c r="L405" s="193">
        <f>'Site Information'!E409</f>
        <v>0</v>
      </c>
      <c r="M405" s="237"/>
      <c r="N405" s="237"/>
      <c r="O405" s="237"/>
      <c r="P405" s="237"/>
      <c r="Q405" s="237"/>
      <c r="R405" s="193">
        <f>'Site Information'!F409</f>
        <v>0</v>
      </c>
      <c r="S405" s="237"/>
      <c r="T405" s="237"/>
      <c r="U405" s="237"/>
      <c r="V405" s="237"/>
      <c r="W405" s="237"/>
      <c r="X405" s="237"/>
      <c r="Y405" s="237"/>
      <c r="Z405" s="237"/>
      <c r="AA405" s="237"/>
      <c r="AB405" s="237"/>
      <c r="AC405" s="237"/>
      <c r="AD405" s="237"/>
      <c r="AE405" s="237"/>
      <c r="AF405" s="237"/>
      <c r="AG405" s="237"/>
      <c r="AI405" s="193"/>
      <c r="AJ405" s="193"/>
    </row>
    <row r="406" spans="2:36" x14ac:dyDescent="0.35">
      <c r="B406" s="193" t="e">
        <f>"2024"&amp;MATCH(Totals!D406,OrgType,0)&amp;"_"&amp;MATCH(Totals!E406,Organisations,0)&amp;"_"&amp;LEFT(Totals!F406,1)&amp;"_"&amp;LEFT(G406,1)&amp;"_"&amp;COUNTIF($G$3:G406,G406)</f>
        <v>#N/A</v>
      </c>
      <c r="C406" s="193">
        <v>2025</v>
      </c>
      <c r="D406" s="193">
        <f>Introduction!$D$7</f>
        <v>0</v>
      </c>
      <c r="E406" s="193">
        <f>Introduction!$D$8</f>
        <v>0</v>
      </c>
      <c r="F406" s="193" t="s">
        <v>488</v>
      </c>
      <c r="G406" s="193" t="s">
        <v>489</v>
      </c>
      <c r="H406" s="195">
        <f>'Site Information'!B410</f>
        <v>0</v>
      </c>
      <c r="I406" s="194"/>
      <c r="J406" s="193">
        <f>'Site Information'!C410</f>
        <v>0</v>
      </c>
      <c r="K406" s="193">
        <f>'Site Information'!D410</f>
        <v>0</v>
      </c>
      <c r="L406" s="193">
        <f>'Site Information'!E410</f>
        <v>0</v>
      </c>
      <c r="M406" s="237"/>
      <c r="N406" s="237"/>
      <c r="O406" s="237"/>
      <c r="P406" s="237"/>
      <c r="Q406" s="237"/>
      <c r="R406" s="193">
        <f>'Site Information'!F410</f>
        <v>0</v>
      </c>
      <c r="S406" s="237"/>
      <c r="T406" s="237"/>
      <c r="U406" s="237"/>
      <c r="V406" s="237"/>
      <c r="W406" s="237"/>
      <c r="X406" s="237"/>
      <c r="Y406" s="237"/>
      <c r="Z406" s="237"/>
      <c r="AA406" s="237"/>
      <c r="AB406" s="237"/>
      <c r="AC406" s="237"/>
      <c r="AD406" s="237"/>
      <c r="AE406" s="237"/>
      <c r="AF406" s="237"/>
      <c r="AG406" s="237"/>
      <c r="AI406" s="193"/>
      <c r="AJ406" s="193"/>
    </row>
    <row r="407" spans="2:36" x14ac:dyDescent="0.35">
      <c r="B407" s="193" t="e">
        <f>"2024"&amp;MATCH(Totals!D407,OrgType,0)&amp;"_"&amp;MATCH(Totals!E407,Organisations,0)&amp;"_"&amp;LEFT(Totals!F407,1)&amp;"_"&amp;LEFT(G407,1)&amp;"_"&amp;COUNTIF($G$3:G407,G407)</f>
        <v>#N/A</v>
      </c>
      <c r="C407" s="193">
        <v>2025</v>
      </c>
      <c r="D407" s="193">
        <f>Introduction!$D$7</f>
        <v>0</v>
      </c>
      <c r="E407" s="193">
        <f>Introduction!$D$8</f>
        <v>0</v>
      </c>
      <c r="F407" s="193" t="s">
        <v>488</v>
      </c>
      <c r="G407" s="193" t="s">
        <v>489</v>
      </c>
      <c r="H407" s="195">
        <f>'Site Information'!B411</f>
        <v>0</v>
      </c>
      <c r="I407" s="194"/>
      <c r="J407" s="193">
        <f>'Site Information'!C411</f>
        <v>0</v>
      </c>
      <c r="K407" s="193">
        <f>'Site Information'!D411</f>
        <v>0</v>
      </c>
      <c r="L407" s="193">
        <f>'Site Information'!E411</f>
        <v>0</v>
      </c>
      <c r="M407" s="237"/>
      <c r="N407" s="237"/>
      <c r="O407" s="237"/>
      <c r="P407" s="237"/>
      <c r="Q407" s="237"/>
      <c r="R407" s="193">
        <f>'Site Information'!F411</f>
        <v>0</v>
      </c>
      <c r="S407" s="237"/>
      <c r="T407" s="237"/>
      <c r="U407" s="237"/>
      <c r="V407" s="237"/>
      <c r="W407" s="237"/>
      <c r="X407" s="237"/>
      <c r="Y407" s="237"/>
      <c r="Z407" s="237"/>
      <c r="AA407" s="237"/>
      <c r="AB407" s="237"/>
      <c r="AC407" s="237"/>
      <c r="AD407" s="237"/>
      <c r="AE407" s="237"/>
      <c r="AF407" s="237"/>
      <c r="AG407" s="237"/>
      <c r="AI407" s="193"/>
      <c r="AJ407" s="193"/>
    </row>
    <row r="408" spans="2:36" x14ac:dyDescent="0.35">
      <c r="B408" s="193" t="e">
        <f>"2024"&amp;MATCH(Totals!D408,OrgType,0)&amp;"_"&amp;MATCH(Totals!E408,Organisations,0)&amp;"_"&amp;LEFT(Totals!F408,1)&amp;"_"&amp;LEFT(G408,1)&amp;"_"&amp;COUNTIF($G$3:G408,G408)</f>
        <v>#N/A</v>
      </c>
      <c r="C408" s="193">
        <v>2025</v>
      </c>
      <c r="D408" s="193">
        <f>Introduction!$D$7</f>
        <v>0</v>
      </c>
      <c r="E408" s="193">
        <f>Introduction!$D$8</f>
        <v>0</v>
      </c>
      <c r="F408" s="193" t="s">
        <v>488</v>
      </c>
      <c r="G408" s="193" t="s">
        <v>489</v>
      </c>
      <c r="H408" s="195">
        <f>'Site Information'!B412</f>
        <v>0</v>
      </c>
      <c r="I408" s="194"/>
      <c r="J408" s="193">
        <f>'Site Information'!C412</f>
        <v>0</v>
      </c>
      <c r="K408" s="193">
        <f>'Site Information'!D412</f>
        <v>0</v>
      </c>
      <c r="L408" s="193">
        <f>'Site Information'!E412</f>
        <v>0</v>
      </c>
      <c r="M408" s="237"/>
      <c r="N408" s="237"/>
      <c r="O408" s="237"/>
      <c r="P408" s="237"/>
      <c r="Q408" s="237"/>
      <c r="R408" s="193">
        <f>'Site Information'!F412</f>
        <v>0</v>
      </c>
      <c r="S408" s="237"/>
      <c r="T408" s="237"/>
      <c r="U408" s="237"/>
      <c r="V408" s="237"/>
      <c r="W408" s="237"/>
      <c r="X408" s="237"/>
      <c r="Y408" s="237"/>
      <c r="Z408" s="237"/>
      <c r="AA408" s="237"/>
      <c r="AB408" s="237"/>
      <c r="AC408" s="237"/>
      <c r="AD408" s="237"/>
      <c r="AE408" s="237"/>
      <c r="AF408" s="237"/>
      <c r="AG408" s="237"/>
      <c r="AI408" s="193"/>
      <c r="AJ408" s="193"/>
    </row>
    <row r="409" spans="2:36" x14ac:dyDescent="0.35">
      <c r="B409" s="193" t="e">
        <f>"2024"&amp;MATCH(Totals!D409,OrgType,0)&amp;"_"&amp;MATCH(Totals!E409,Organisations,0)&amp;"_"&amp;LEFT(Totals!F409,1)&amp;"_"&amp;LEFT(G409,1)&amp;"_"&amp;COUNTIF($G$3:G409,G409)</f>
        <v>#N/A</v>
      </c>
      <c r="C409" s="193">
        <v>2025</v>
      </c>
      <c r="D409" s="193">
        <f>Introduction!$D$7</f>
        <v>0</v>
      </c>
      <c r="E409" s="193">
        <f>Introduction!$D$8</f>
        <v>0</v>
      </c>
      <c r="F409" s="193" t="s">
        <v>488</v>
      </c>
      <c r="G409" s="193" t="s">
        <v>489</v>
      </c>
      <c r="H409" s="195">
        <f>'Site Information'!B413</f>
        <v>0</v>
      </c>
      <c r="I409" s="194"/>
      <c r="J409" s="193">
        <f>'Site Information'!C413</f>
        <v>0</v>
      </c>
      <c r="K409" s="193">
        <f>'Site Information'!D413</f>
        <v>0</v>
      </c>
      <c r="L409" s="193">
        <f>'Site Information'!E413</f>
        <v>0</v>
      </c>
      <c r="M409" s="237"/>
      <c r="N409" s="237"/>
      <c r="O409" s="237"/>
      <c r="P409" s="237"/>
      <c r="Q409" s="237"/>
      <c r="R409" s="193">
        <f>'Site Information'!F413</f>
        <v>0</v>
      </c>
      <c r="S409" s="237"/>
      <c r="T409" s="237"/>
      <c r="U409" s="237"/>
      <c r="V409" s="237"/>
      <c r="W409" s="237"/>
      <c r="X409" s="237"/>
      <c r="Y409" s="237"/>
      <c r="Z409" s="237"/>
      <c r="AA409" s="237"/>
      <c r="AB409" s="237"/>
      <c r="AC409" s="237"/>
      <c r="AD409" s="237"/>
      <c r="AE409" s="237"/>
      <c r="AF409" s="237"/>
      <c r="AG409" s="237"/>
      <c r="AI409" s="193"/>
      <c r="AJ409" s="193"/>
    </row>
    <row r="410" spans="2:36" x14ac:dyDescent="0.35">
      <c r="B410" s="193" t="e">
        <f>"2024"&amp;MATCH(Totals!D410,OrgType,0)&amp;"_"&amp;MATCH(Totals!E410,Organisations,0)&amp;"_"&amp;LEFT(Totals!F410,1)&amp;"_"&amp;LEFT(G410,1)&amp;"_"&amp;COUNTIF($G$3:G410,G410)</f>
        <v>#N/A</v>
      </c>
      <c r="C410" s="193">
        <v>2025</v>
      </c>
      <c r="D410" s="193">
        <f>Introduction!$D$7</f>
        <v>0</v>
      </c>
      <c r="E410" s="193">
        <f>Introduction!$D$8</f>
        <v>0</v>
      </c>
      <c r="F410" s="193" t="s">
        <v>488</v>
      </c>
      <c r="G410" s="193" t="s">
        <v>489</v>
      </c>
      <c r="H410" s="195">
        <f>'Site Information'!B414</f>
        <v>0</v>
      </c>
      <c r="I410" s="194"/>
      <c r="J410" s="193">
        <f>'Site Information'!C414</f>
        <v>0</v>
      </c>
      <c r="K410" s="193">
        <f>'Site Information'!D414</f>
        <v>0</v>
      </c>
      <c r="L410" s="193">
        <f>'Site Information'!E414</f>
        <v>0</v>
      </c>
      <c r="M410" s="237"/>
      <c r="N410" s="237"/>
      <c r="O410" s="237"/>
      <c r="P410" s="237"/>
      <c r="Q410" s="237"/>
      <c r="R410" s="193">
        <f>'Site Information'!F414</f>
        <v>0</v>
      </c>
      <c r="S410" s="237"/>
      <c r="T410" s="237"/>
      <c r="U410" s="237"/>
      <c r="V410" s="237"/>
      <c r="W410" s="237"/>
      <c r="X410" s="237"/>
      <c r="Y410" s="237"/>
      <c r="Z410" s="237"/>
      <c r="AA410" s="237"/>
      <c r="AB410" s="237"/>
      <c r="AC410" s="237"/>
      <c r="AD410" s="237"/>
      <c r="AE410" s="237"/>
      <c r="AF410" s="237"/>
      <c r="AG410" s="237"/>
      <c r="AI410" s="193"/>
      <c r="AJ410" s="193"/>
    </row>
    <row r="411" spans="2:36" x14ac:dyDescent="0.35">
      <c r="B411" s="193" t="e">
        <f>"2024"&amp;MATCH(Totals!D411,OrgType,0)&amp;"_"&amp;MATCH(Totals!E411,Organisations,0)&amp;"_"&amp;LEFT(Totals!F411,1)&amp;"_"&amp;LEFT(G411,1)&amp;"_"&amp;COUNTIF($G$3:G411,G411)</f>
        <v>#N/A</v>
      </c>
      <c r="C411" s="193">
        <v>2025</v>
      </c>
      <c r="D411" s="193">
        <f>Introduction!$D$7</f>
        <v>0</v>
      </c>
      <c r="E411" s="193">
        <f>Introduction!$D$8</f>
        <v>0</v>
      </c>
      <c r="F411" s="193" t="s">
        <v>488</v>
      </c>
      <c r="G411" s="193" t="s">
        <v>489</v>
      </c>
      <c r="H411" s="195">
        <f>'Site Information'!B415</f>
        <v>0</v>
      </c>
      <c r="I411" s="194"/>
      <c r="J411" s="193">
        <f>'Site Information'!C415</f>
        <v>0</v>
      </c>
      <c r="K411" s="193">
        <f>'Site Information'!D415</f>
        <v>0</v>
      </c>
      <c r="L411" s="193">
        <f>'Site Information'!E415</f>
        <v>0</v>
      </c>
      <c r="M411" s="237"/>
      <c r="N411" s="237"/>
      <c r="O411" s="237"/>
      <c r="P411" s="237"/>
      <c r="Q411" s="237"/>
      <c r="R411" s="193">
        <f>'Site Information'!F415</f>
        <v>0</v>
      </c>
      <c r="S411" s="237"/>
      <c r="T411" s="237"/>
      <c r="U411" s="237"/>
      <c r="V411" s="237"/>
      <c r="W411" s="237"/>
      <c r="X411" s="237"/>
      <c r="Y411" s="237"/>
      <c r="Z411" s="237"/>
      <c r="AA411" s="237"/>
      <c r="AB411" s="237"/>
      <c r="AC411" s="237"/>
      <c r="AD411" s="237"/>
      <c r="AE411" s="237"/>
      <c r="AF411" s="237"/>
      <c r="AG411" s="237"/>
      <c r="AI411" s="193"/>
      <c r="AJ411" s="193"/>
    </row>
    <row r="412" spans="2:36" x14ac:dyDescent="0.35">
      <c r="B412" s="193" t="e">
        <f>"2024"&amp;MATCH(Totals!D412,OrgType,0)&amp;"_"&amp;MATCH(Totals!E412,Organisations,0)&amp;"_"&amp;LEFT(Totals!F412,1)&amp;"_"&amp;LEFT(G412,1)&amp;"_"&amp;COUNTIF($G$3:G412,G412)</f>
        <v>#N/A</v>
      </c>
      <c r="C412" s="193">
        <v>2025</v>
      </c>
      <c r="D412" s="193">
        <f>Introduction!$D$7</f>
        <v>0</v>
      </c>
      <c r="E412" s="193">
        <f>Introduction!$D$8</f>
        <v>0</v>
      </c>
      <c r="F412" s="193" t="s">
        <v>488</v>
      </c>
      <c r="G412" s="193" t="s">
        <v>489</v>
      </c>
      <c r="H412" s="195">
        <f>'Site Information'!B416</f>
        <v>0</v>
      </c>
      <c r="I412" s="194"/>
      <c r="J412" s="193">
        <f>'Site Information'!C416</f>
        <v>0</v>
      </c>
      <c r="K412" s="193">
        <f>'Site Information'!D416</f>
        <v>0</v>
      </c>
      <c r="L412" s="193">
        <f>'Site Information'!E416</f>
        <v>0</v>
      </c>
      <c r="M412" s="237"/>
      <c r="N412" s="237"/>
      <c r="O412" s="237"/>
      <c r="P412" s="237"/>
      <c r="Q412" s="237"/>
      <c r="R412" s="193">
        <f>'Site Information'!F416</f>
        <v>0</v>
      </c>
      <c r="S412" s="237"/>
      <c r="T412" s="237"/>
      <c r="U412" s="237"/>
      <c r="V412" s="237"/>
      <c r="W412" s="237"/>
      <c r="X412" s="237"/>
      <c r="Y412" s="237"/>
      <c r="Z412" s="237"/>
      <c r="AA412" s="237"/>
      <c r="AB412" s="237"/>
      <c r="AC412" s="237"/>
      <c r="AD412" s="237"/>
      <c r="AE412" s="237"/>
      <c r="AF412" s="237"/>
      <c r="AG412" s="237"/>
      <c r="AI412" s="193"/>
      <c r="AJ412" s="193"/>
    </row>
    <row r="413" spans="2:36" x14ac:dyDescent="0.35">
      <c r="B413" s="193" t="e">
        <f>"2024"&amp;MATCH(Totals!D413,OrgType,0)&amp;"_"&amp;MATCH(Totals!E413,Organisations,0)&amp;"_"&amp;LEFT(Totals!F413,1)&amp;"_"&amp;LEFT(G413,1)&amp;"_"&amp;COUNTIF($G$3:G413,G413)</f>
        <v>#N/A</v>
      </c>
      <c r="C413" s="193">
        <v>2025</v>
      </c>
      <c r="D413" s="193">
        <f>Introduction!$D$7</f>
        <v>0</v>
      </c>
      <c r="E413" s="193">
        <f>Introduction!$D$8</f>
        <v>0</v>
      </c>
      <c r="F413" s="193" t="s">
        <v>488</v>
      </c>
      <c r="G413" s="193" t="s">
        <v>489</v>
      </c>
      <c r="H413" s="195">
        <f>'Site Information'!B417</f>
        <v>0</v>
      </c>
      <c r="I413" s="194"/>
      <c r="J413" s="193">
        <f>'Site Information'!C417</f>
        <v>0</v>
      </c>
      <c r="K413" s="193">
        <f>'Site Information'!D417</f>
        <v>0</v>
      </c>
      <c r="L413" s="193">
        <f>'Site Information'!E417</f>
        <v>0</v>
      </c>
      <c r="M413" s="237"/>
      <c r="N413" s="237"/>
      <c r="O413" s="237"/>
      <c r="P413" s="237"/>
      <c r="Q413" s="237"/>
      <c r="R413" s="193">
        <f>'Site Information'!F417</f>
        <v>0</v>
      </c>
      <c r="S413" s="237"/>
      <c r="T413" s="237"/>
      <c r="U413" s="237"/>
      <c r="V413" s="237"/>
      <c r="W413" s="237"/>
      <c r="X413" s="237"/>
      <c r="Y413" s="237"/>
      <c r="Z413" s="237"/>
      <c r="AA413" s="237"/>
      <c r="AB413" s="237"/>
      <c r="AC413" s="237"/>
      <c r="AD413" s="237"/>
      <c r="AE413" s="237"/>
      <c r="AF413" s="237"/>
      <c r="AG413" s="237"/>
      <c r="AI413" s="193"/>
      <c r="AJ413" s="193"/>
    </row>
    <row r="414" spans="2:36" x14ac:dyDescent="0.35">
      <c r="B414" s="193" t="e">
        <f>"2024"&amp;MATCH(Totals!D414,OrgType,0)&amp;"_"&amp;MATCH(Totals!E414,Organisations,0)&amp;"_"&amp;LEFT(Totals!F414,1)&amp;"_"&amp;LEFT(G414,1)&amp;"_"&amp;COUNTIF($G$3:G414,G414)</f>
        <v>#N/A</v>
      </c>
      <c r="C414" s="193">
        <v>2025</v>
      </c>
      <c r="D414" s="193">
        <f>Introduction!$D$7</f>
        <v>0</v>
      </c>
      <c r="E414" s="193">
        <f>Introduction!$D$8</f>
        <v>0</v>
      </c>
      <c r="F414" s="193" t="s">
        <v>488</v>
      </c>
      <c r="G414" s="193" t="s">
        <v>489</v>
      </c>
      <c r="H414" s="195">
        <f>'Site Information'!B418</f>
        <v>0</v>
      </c>
      <c r="I414" s="194"/>
      <c r="J414" s="193">
        <f>'Site Information'!C418</f>
        <v>0</v>
      </c>
      <c r="K414" s="193">
        <f>'Site Information'!D418</f>
        <v>0</v>
      </c>
      <c r="L414" s="193">
        <f>'Site Information'!E418</f>
        <v>0</v>
      </c>
      <c r="M414" s="237"/>
      <c r="N414" s="237"/>
      <c r="O414" s="237"/>
      <c r="P414" s="237"/>
      <c r="Q414" s="237"/>
      <c r="R414" s="193">
        <f>'Site Information'!F418</f>
        <v>0</v>
      </c>
      <c r="S414" s="237"/>
      <c r="T414" s="237"/>
      <c r="U414" s="237"/>
      <c r="V414" s="237"/>
      <c r="W414" s="237"/>
      <c r="X414" s="237"/>
      <c r="Y414" s="237"/>
      <c r="Z414" s="237"/>
      <c r="AA414" s="237"/>
      <c r="AB414" s="237"/>
      <c r="AC414" s="237"/>
      <c r="AD414" s="237"/>
      <c r="AE414" s="237"/>
      <c r="AF414" s="237"/>
      <c r="AG414" s="237"/>
      <c r="AI414" s="193"/>
      <c r="AJ414" s="193"/>
    </row>
    <row r="415" spans="2:36" x14ac:dyDescent="0.35">
      <c r="B415" s="193" t="e">
        <f>"2024"&amp;MATCH(Totals!D415,OrgType,0)&amp;"_"&amp;MATCH(Totals!E415,Organisations,0)&amp;"_"&amp;LEFT(Totals!F415,1)&amp;"_"&amp;LEFT(G415,1)&amp;"_"&amp;COUNTIF($G$3:G415,G415)</f>
        <v>#N/A</v>
      </c>
      <c r="C415" s="193">
        <v>2025</v>
      </c>
      <c r="D415" s="193">
        <f>Introduction!$D$7</f>
        <v>0</v>
      </c>
      <c r="E415" s="193">
        <f>Introduction!$D$8</f>
        <v>0</v>
      </c>
      <c r="F415" s="193" t="s">
        <v>488</v>
      </c>
      <c r="G415" s="193" t="s">
        <v>489</v>
      </c>
      <c r="H415" s="195">
        <f>'Site Information'!B419</f>
        <v>0</v>
      </c>
      <c r="I415" s="194"/>
      <c r="J415" s="193">
        <f>'Site Information'!C419</f>
        <v>0</v>
      </c>
      <c r="K415" s="193">
        <f>'Site Information'!D419</f>
        <v>0</v>
      </c>
      <c r="L415" s="193">
        <f>'Site Information'!E419</f>
        <v>0</v>
      </c>
      <c r="M415" s="237"/>
      <c r="N415" s="237"/>
      <c r="O415" s="237"/>
      <c r="P415" s="237"/>
      <c r="Q415" s="237"/>
      <c r="R415" s="193">
        <f>'Site Information'!F419</f>
        <v>0</v>
      </c>
      <c r="S415" s="237"/>
      <c r="T415" s="237"/>
      <c r="U415" s="237"/>
      <c r="V415" s="237"/>
      <c r="W415" s="237"/>
      <c r="X415" s="237"/>
      <c r="Y415" s="237"/>
      <c r="Z415" s="237"/>
      <c r="AA415" s="237"/>
      <c r="AB415" s="237"/>
      <c r="AC415" s="237"/>
      <c r="AD415" s="237"/>
      <c r="AE415" s="237"/>
      <c r="AF415" s="237"/>
      <c r="AG415" s="237"/>
      <c r="AI415" s="193"/>
      <c r="AJ415" s="193"/>
    </row>
    <row r="416" spans="2:36" x14ac:dyDescent="0.35">
      <c r="B416" s="193" t="e">
        <f>"2024"&amp;MATCH(Totals!D416,OrgType,0)&amp;"_"&amp;MATCH(Totals!E416,Organisations,0)&amp;"_"&amp;LEFT(Totals!F416,1)&amp;"_"&amp;LEFT(G416,1)&amp;"_"&amp;COUNTIF($G$3:G416,G416)</f>
        <v>#N/A</v>
      </c>
      <c r="C416" s="193">
        <v>2025</v>
      </c>
      <c r="D416" s="193">
        <f>Introduction!$D$7</f>
        <v>0</v>
      </c>
      <c r="E416" s="193">
        <f>Introduction!$D$8</f>
        <v>0</v>
      </c>
      <c r="F416" s="193" t="s">
        <v>488</v>
      </c>
      <c r="G416" s="193" t="s">
        <v>489</v>
      </c>
      <c r="H416" s="195">
        <f>'Site Information'!B420</f>
        <v>0</v>
      </c>
      <c r="I416" s="194"/>
      <c r="J416" s="193">
        <f>'Site Information'!C420</f>
        <v>0</v>
      </c>
      <c r="K416" s="193">
        <f>'Site Information'!D420</f>
        <v>0</v>
      </c>
      <c r="L416" s="193">
        <f>'Site Information'!E420</f>
        <v>0</v>
      </c>
      <c r="M416" s="237"/>
      <c r="N416" s="237"/>
      <c r="O416" s="237"/>
      <c r="P416" s="237"/>
      <c r="Q416" s="237"/>
      <c r="R416" s="193">
        <f>'Site Information'!F420</f>
        <v>0</v>
      </c>
      <c r="S416" s="237"/>
      <c r="T416" s="237"/>
      <c r="U416" s="237"/>
      <c r="V416" s="237"/>
      <c r="W416" s="237"/>
      <c r="X416" s="237"/>
      <c r="Y416" s="237"/>
      <c r="Z416" s="237"/>
      <c r="AA416" s="237"/>
      <c r="AB416" s="237"/>
      <c r="AC416" s="237"/>
      <c r="AD416" s="237"/>
      <c r="AE416" s="237"/>
      <c r="AF416" s="237"/>
      <c r="AG416" s="237"/>
      <c r="AI416" s="193"/>
      <c r="AJ416" s="193"/>
    </row>
    <row r="417" spans="2:36" x14ac:dyDescent="0.35">
      <c r="B417" s="193" t="e">
        <f>"2024"&amp;MATCH(Totals!D417,OrgType,0)&amp;"_"&amp;MATCH(Totals!E417,Organisations,0)&amp;"_"&amp;LEFT(Totals!F417,1)&amp;"_"&amp;LEFT(G417,1)&amp;"_"&amp;COUNTIF($G$3:G417,G417)</f>
        <v>#N/A</v>
      </c>
      <c r="C417" s="193">
        <v>2025</v>
      </c>
      <c r="D417" s="193">
        <f>Introduction!$D$7</f>
        <v>0</v>
      </c>
      <c r="E417" s="193">
        <f>Introduction!$D$8</f>
        <v>0</v>
      </c>
      <c r="F417" s="193" t="s">
        <v>488</v>
      </c>
      <c r="G417" s="193" t="s">
        <v>489</v>
      </c>
      <c r="H417" s="195">
        <f>'Site Information'!B421</f>
        <v>0</v>
      </c>
      <c r="I417" s="194"/>
      <c r="J417" s="193">
        <f>'Site Information'!C421</f>
        <v>0</v>
      </c>
      <c r="K417" s="193">
        <f>'Site Information'!D421</f>
        <v>0</v>
      </c>
      <c r="L417" s="193">
        <f>'Site Information'!E421</f>
        <v>0</v>
      </c>
      <c r="M417" s="237"/>
      <c r="N417" s="237"/>
      <c r="O417" s="237"/>
      <c r="P417" s="237"/>
      <c r="Q417" s="237"/>
      <c r="R417" s="193">
        <f>'Site Information'!F421</f>
        <v>0</v>
      </c>
      <c r="S417" s="237"/>
      <c r="T417" s="237"/>
      <c r="U417" s="237"/>
      <c r="V417" s="237"/>
      <c r="W417" s="237"/>
      <c r="X417" s="237"/>
      <c r="Y417" s="237"/>
      <c r="Z417" s="237"/>
      <c r="AA417" s="237"/>
      <c r="AB417" s="237"/>
      <c r="AC417" s="237"/>
      <c r="AD417" s="237"/>
      <c r="AE417" s="237"/>
      <c r="AF417" s="237"/>
      <c r="AG417" s="237"/>
      <c r="AI417" s="193"/>
      <c r="AJ417" s="193"/>
    </row>
    <row r="418" spans="2:36" x14ac:dyDescent="0.35">
      <c r="B418" s="193" t="e">
        <f>"2024"&amp;MATCH(Totals!D418,OrgType,0)&amp;"_"&amp;MATCH(Totals!E418,Organisations,0)&amp;"_"&amp;LEFT(Totals!F418,1)&amp;"_"&amp;LEFT(G418,1)&amp;"_"&amp;COUNTIF($G$3:G418,G418)</f>
        <v>#N/A</v>
      </c>
      <c r="C418" s="193">
        <v>2025</v>
      </c>
      <c r="D418" s="193">
        <f>Introduction!$D$7</f>
        <v>0</v>
      </c>
      <c r="E418" s="193">
        <f>Introduction!$D$8</f>
        <v>0</v>
      </c>
      <c r="F418" s="193" t="s">
        <v>488</v>
      </c>
      <c r="G418" s="193" t="s">
        <v>489</v>
      </c>
      <c r="H418" s="195">
        <f>'Site Information'!B422</f>
        <v>0</v>
      </c>
      <c r="I418" s="194"/>
      <c r="J418" s="193">
        <f>'Site Information'!C422</f>
        <v>0</v>
      </c>
      <c r="K418" s="193">
        <f>'Site Information'!D422</f>
        <v>0</v>
      </c>
      <c r="L418" s="193">
        <f>'Site Information'!E422</f>
        <v>0</v>
      </c>
      <c r="M418" s="237"/>
      <c r="N418" s="237"/>
      <c r="O418" s="237"/>
      <c r="P418" s="237"/>
      <c r="Q418" s="237"/>
      <c r="R418" s="193">
        <f>'Site Information'!F422</f>
        <v>0</v>
      </c>
      <c r="S418" s="237"/>
      <c r="T418" s="237"/>
      <c r="U418" s="237"/>
      <c r="V418" s="237"/>
      <c r="W418" s="237"/>
      <c r="X418" s="237"/>
      <c r="Y418" s="237"/>
      <c r="Z418" s="237"/>
      <c r="AA418" s="237"/>
      <c r="AB418" s="237"/>
      <c r="AC418" s="237"/>
      <c r="AD418" s="237"/>
      <c r="AE418" s="237"/>
      <c r="AF418" s="237"/>
      <c r="AG418" s="237"/>
      <c r="AI418" s="193"/>
      <c r="AJ418" s="193"/>
    </row>
    <row r="419" spans="2:36" x14ac:dyDescent="0.35">
      <c r="B419" s="193" t="e">
        <f>"2024"&amp;MATCH(Totals!D419,OrgType,0)&amp;"_"&amp;MATCH(Totals!E419,Organisations,0)&amp;"_"&amp;LEFT(Totals!F419,1)&amp;"_"&amp;LEFT(G419,1)&amp;"_"&amp;COUNTIF($G$3:G419,G419)</f>
        <v>#N/A</v>
      </c>
      <c r="C419" s="193">
        <v>2025</v>
      </c>
      <c r="D419" s="193">
        <f>Introduction!$D$7</f>
        <v>0</v>
      </c>
      <c r="E419" s="193">
        <f>Introduction!$D$8</f>
        <v>0</v>
      </c>
      <c r="F419" s="193" t="s">
        <v>488</v>
      </c>
      <c r="G419" s="193" t="s">
        <v>489</v>
      </c>
      <c r="H419" s="195">
        <f>'Site Information'!B423</f>
        <v>0</v>
      </c>
      <c r="I419" s="194"/>
      <c r="J419" s="193">
        <f>'Site Information'!C423</f>
        <v>0</v>
      </c>
      <c r="K419" s="193">
        <f>'Site Information'!D423</f>
        <v>0</v>
      </c>
      <c r="L419" s="193">
        <f>'Site Information'!E423</f>
        <v>0</v>
      </c>
      <c r="M419" s="237"/>
      <c r="N419" s="237"/>
      <c r="O419" s="237"/>
      <c r="P419" s="237"/>
      <c r="Q419" s="237"/>
      <c r="R419" s="193">
        <f>'Site Information'!F423</f>
        <v>0</v>
      </c>
      <c r="S419" s="237"/>
      <c r="T419" s="237"/>
      <c r="U419" s="237"/>
      <c r="V419" s="237"/>
      <c r="W419" s="237"/>
      <c r="X419" s="237"/>
      <c r="Y419" s="237"/>
      <c r="Z419" s="237"/>
      <c r="AA419" s="237"/>
      <c r="AB419" s="237"/>
      <c r="AC419" s="237"/>
      <c r="AD419" s="237"/>
      <c r="AE419" s="237"/>
      <c r="AF419" s="237"/>
      <c r="AG419" s="237"/>
      <c r="AI419" s="193"/>
      <c r="AJ419" s="193"/>
    </row>
    <row r="420" spans="2:36" x14ac:dyDescent="0.35">
      <c r="B420" s="193" t="e">
        <f>"2024"&amp;MATCH(Totals!D420,OrgType,0)&amp;"_"&amp;MATCH(Totals!E420,Organisations,0)&amp;"_"&amp;LEFT(Totals!F420,1)&amp;"_"&amp;LEFT(G420,1)&amp;"_"&amp;COUNTIF($G$3:G420,G420)</f>
        <v>#N/A</v>
      </c>
      <c r="C420" s="193">
        <v>2025</v>
      </c>
      <c r="D420" s="193">
        <f>Introduction!$D$7</f>
        <v>0</v>
      </c>
      <c r="E420" s="193">
        <f>Introduction!$D$8</f>
        <v>0</v>
      </c>
      <c r="F420" s="193" t="s">
        <v>488</v>
      </c>
      <c r="G420" s="193" t="s">
        <v>489</v>
      </c>
      <c r="H420" s="195">
        <f>'Site Information'!B424</f>
        <v>0</v>
      </c>
      <c r="I420" s="194"/>
      <c r="J420" s="193">
        <f>'Site Information'!C424</f>
        <v>0</v>
      </c>
      <c r="K420" s="193">
        <f>'Site Information'!D424</f>
        <v>0</v>
      </c>
      <c r="L420" s="193">
        <f>'Site Information'!E424</f>
        <v>0</v>
      </c>
      <c r="M420" s="237"/>
      <c r="N420" s="237"/>
      <c r="O420" s="237"/>
      <c r="P420" s="237"/>
      <c r="Q420" s="237"/>
      <c r="R420" s="193">
        <f>'Site Information'!F424</f>
        <v>0</v>
      </c>
      <c r="S420" s="237"/>
      <c r="T420" s="237"/>
      <c r="U420" s="237"/>
      <c r="V420" s="237"/>
      <c r="W420" s="237"/>
      <c r="X420" s="237"/>
      <c r="Y420" s="237"/>
      <c r="Z420" s="237"/>
      <c r="AA420" s="237"/>
      <c r="AB420" s="237"/>
      <c r="AC420" s="237"/>
      <c r="AD420" s="237"/>
      <c r="AE420" s="237"/>
      <c r="AF420" s="237"/>
      <c r="AG420" s="237"/>
      <c r="AI420" s="193"/>
      <c r="AJ420" s="193"/>
    </row>
    <row r="421" spans="2:36" x14ac:dyDescent="0.35">
      <c r="B421" s="193" t="e">
        <f>"2024"&amp;MATCH(Totals!D421,OrgType,0)&amp;"_"&amp;MATCH(Totals!E421,Organisations,0)&amp;"_"&amp;LEFT(Totals!F421,1)&amp;"_"&amp;LEFT(G421,1)&amp;"_"&amp;COUNTIF($G$3:G421,G421)</f>
        <v>#N/A</v>
      </c>
      <c r="C421" s="193">
        <v>2025</v>
      </c>
      <c r="D421" s="193">
        <f>Introduction!$D$7</f>
        <v>0</v>
      </c>
      <c r="E421" s="193">
        <f>Introduction!$D$8</f>
        <v>0</v>
      </c>
      <c r="F421" s="193" t="s">
        <v>488</v>
      </c>
      <c r="G421" s="193" t="s">
        <v>489</v>
      </c>
      <c r="H421" s="195">
        <f>'Site Information'!B425</f>
        <v>0</v>
      </c>
      <c r="I421" s="194"/>
      <c r="J421" s="193">
        <f>'Site Information'!C425</f>
        <v>0</v>
      </c>
      <c r="K421" s="193">
        <f>'Site Information'!D425</f>
        <v>0</v>
      </c>
      <c r="L421" s="193">
        <f>'Site Information'!E425</f>
        <v>0</v>
      </c>
      <c r="M421" s="237"/>
      <c r="N421" s="237"/>
      <c r="O421" s="237"/>
      <c r="P421" s="237"/>
      <c r="Q421" s="237"/>
      <c r="R421" s="193">
        <f>'Site Information'!F425</f>
        <v>0</v>
      </c>
      <c r="S421" s="237"/>
      <c r="T421" s="237"/>
      <c r="U421" s="237"/>
      <c r="V421" s="237"/>
      <c r="W421" s="237"/>
      <c r="X421" s="237"/>
      <c r="Y421" s="237"/>
      <c r="Z421" s="237"/>
      <c r="AA421" s="237"/>
      <c r="AB421" s="237"/>
      <c r="AC421" s="237"/>
      <c r="AD421" s="237"/>
      <c r="AE421" s="237"/>
      <c r="AF421" s="237"/>
      <c r="AG421" s="237"/>
      <c r="AI421" s="193"/>
      <c r="AJ421" s="193"/>
    </row>
    <row r="422" spans="2:36" x14ac:dyDescent="0.35">
      <c r="B422" s="193" t="e">
        <f>"2024"&amp;MATCH(Totals!D422,OrgType,0)&amp;"_"&amp;MATCH(Totals!E422,Organisations,0)&amp;"_"&amp;LEFT(Totals!F422,1)&amp;"_"&amp;LEFT(G422,1)&amp;"_"&amp;COUNTIF($G$3:G422,G422)</f>
        <v>#N/A</v>
      </c>
      <c r="C422" s="193">
        <v>2025</v>
      </c>
      <c r="D422" s="193">
        <f>Introduction!$D$7</f>
        <v>0</v>
      </c>
      <c r="E422" s="193">
        <f>Introduction!$D$8</f>
        <v>0</v>
      </c>
      <c r="F422" s="193" t="s">
        <v>488</v>
      </c>
      <c r="G422" s="193" t="s">
        <v>489</v>
      </c>
      <c r="H422" s="195">
        <f>'Site Information'!B426</f>
        <v>0</v>
      </c>
      <c r="I422" s="194"/>
      <c r="J422" s="193">
        <f>'Site Information'!C426</f>
        <v>0</v>
      </c>
      <c r="K422" s="193">
        <f>'Site Information'!D426</f>
        <v>0</v>
      </c>
      <c r="L422" s="193">
        <f>'Site Information'!E426</f>
        <v>0</v>
      </c>
      <c r="M422" s="237"/>
      <c r="N422" s="237"/>
      <c r="O422" s="237"/>
      <c r="P422" s="237"/>
      <c r="Q422" s="237"/>
      <c r="R422" s="193">
        <f>'Site Information'!F426</f>
        <v>0</v>
      </c>
      <c r="S422" s="237"/>
      <c r="T422" s="237"/>
      <c r="U422" s="237"/>
      <c r="V422" s="237"/>
      <c r="W422" s="237"/>
      <c r="X422" s="237"/>
      <c r="Y422" s="237"/>
      <c r="Z422" s="237"/>
      <c r="AA422" s="237"/>
      <c r="AB422" s="237"/>
      <c r="AC422" s="237"/>
      <c r="AD422" s="237"/>
      <c r="AE422" s="237"/>
      <c r="AF422" s="237"/>
      <c r="AG422" s="237"/>
      <c r="AI422" s="193"/>
      <c r="AJ422" s="193"/>
    </row>
    <row r="423" spans="2:36" x14ac:dyDescent="0.35">
      <c r="B423" s="193" t="e">
        <f>"2024"&amp;MATCH(Totals!D423,OrgType,0)&amp;"_"&amp;MATCH(Totals!E423,Organisations,0)&amp;"_"&amp;LEFT(Totals!F423,1)&amp;"_"&amp;LEFT(G423,1)&amp;"_"&amp;COUNTIF($G$3:G423,G423)</f>
        <v>#N/A</v>
      </c>
      <c r="C423" s="193">
        <v>2025</v>
      </c>
      <c r="D423" s="193">
        <f>Introduction!$D$7</f>
        <v>0</v>
      </c>
      <c r="E423" s="193">
        <f>Introduction!$D$8</f>
        <v>0</v>
      </c>
      <c r="F423" s="193" t="s">
        <v>488</v>
      </c>
      <c r="G423" s="193" t="s">
        <v>489</v>
      </c>
      <c r="H423" s="195">
        <f>'Site Information'!B427</f>
        <v>0</v>
      </c>
      <c r="I423" s="194"/>
      <c r="J423" s="193">
        <f>'Site Information'!C427</f>
        <v>0</v>
      </c>
      <c r="K423" s="193">
        <f>'Site Information'!D427</f>
        <v>0</v>
      </c>
      <c r="L423" s="193">
        <f>'Site Information'!E427</f>
        <v>0</v>
      </c>
      <c r="M423" s="237"/>
      <c r="N423" s="237"/>
      <c r="O423" s="237"/>
      <c r="P423" s="237"/>
      <c r="Q423" s="237"/>
      <c r="R423" s="193">
        <f>'Site Information'!F427</f>
        <v>0</v>
      </c>
      <c r="S423" s="237"/>
      <c r="T423" s="237"/>
      <c r="U423" s="237"/>
      <c r="V423" s="237"/>
      <c r="W423" s="237"/>
      <c r="X423" s="237"/>
      <c r="Y423" s="237"/>
      <c r="Z423" s="237"/>
      <c r="AA423" s="237"/>
      <c r="AB423" s="237"/>
      <c r="AC423" s="237"/>
      <c r="AD423" s="237"/>
      <c r="AE423" s="237"/>
      <c r="AF423" s="237"/>
      <c r="AG423" s="237"/>
      <c r="AI423" s="193"/>
      <c r="AJ423" s="193"/>
    </row>
    <row r="424" spans="2:36" x14ac:dyDescent="0.35">
      <c r="B424" s="193" t="e">
        <f>"2024"&amp;MATCH(Totals!D424,OrgType,0)&amp;"_"&amp;MATCH(Totals!E424,Organisations,0)&amp;"_"&amp;LEFT(Totals!F424,1)&amp;"_"&amp;LEFT(G424,1)&amp;"_"&amp;COUNTIF($G$3:G424,G424)</f>
        <v>#N/A</v>
      </c>
      <c r="C424" s="193">
        <v>2025</v>
      </c>
      <c r="D424" s="193">
        <f>Introduction!$D$7</f>
        <v>0</v>
      </c>
      <c r="E424" s="193">
        <f>Introduction!$D$8</f>
        <v>0</v>
      </c>
      <c r="F424" s="193" t="s">
        <v>488</v>
      </c>
      <c r="G424" s="193" t="s">
        <v>489</v>
      </c>
      <c r="H424" s="195">
        <f>'Site Information'!B428</f>
        <v>0</v>
      </c>
      <c r="I424" s="194"/>
      <c r="J424" s="193">
        <f>'Site Information'!C428</f>
        <v>0</v>
      </c>
      <c r="K424" s="193">
        <f>'Site Information'!D428</f>
        <v>0</v>
      </c>
      <c r="L424" s="193">
        <f>'Site Information'!E428</f>
        <v>0</v>
      </c>
      <c r="M424" s="237"/>
      <c r="N424" s="237"/>
      <c r="O424" s="237"/>
      <c r="P424" s="237"/>
      <c r="Q424" s="237"/>
      <c r="R424" s="193">
        <f>'Site Information'!F428</f>
        <v>0</v>
      </c>
      <c r="S424" s="237"/>
      <c r="T424" s="237"/>
      <c r="U424" s="237"/>
      <c r="V424" s="237"/>
      <c r="W424" s="237"/>
      <c r="X424" s="237"/>
      <c r="Y424" s="237"/>
      <c r="Z424" s="237"/>
      <c r="AA424" s="237"/>
      <c r="AB424" s="237"/>
      <c r="AC424" s="237"/>
      <c r="AD424" s="237"/>
      <c r="AE424" s="237"/>
      <c r="AF424" s="237"/>
      <c r="AG424" s="237"/>
      <c r="AI424" s="193"/>
      <c r="AJ424" s="193"/>
    </row>
    <row r="425" spans="2:36" x14ac:dyDescent="0.35">
      <c r="B425" s="193" t="e">
        <f>"2024"&amp;MATCH(Totals!D425,OrgType,0)&amp;"_"&amp;MATCH(Totals!E425,Organisations,0)&amp;"_"&amp;LEFT(Totals!F425,1)&amp;"_"&amp;LEFT(G425,1)&amp;"_"&amp;COUNTIF($G$3:G425,G425)</f>
        <v>#N/A</v>
      </c>
      <c r="C425" s="193">
        <v>2025</v>
      </c>
      <c r="D425" s="193">
        <f>Introduction!$D$7</f>
        <v>0</v>
      </c>
      <c r="E425" s="193">
        <f>Introduction!$D$8</f>
        <v>0</v>
      </c>
      <c r="F425" s="193" t="s">
        <v>488</v>
      </c>
      <c r="G425" s="193" t="s">
        <v>489</v>
      </c>
      <c r="H425" s="195">
        <f>'Site Information'!B429</f>
        <v>0</v>
      </c>
      <c r="I425" s="194"/>
      <c r="J425" s="193">
        <f>'Site Information'!C429</f>
        <v>0</v>
      </c>
      <c r="K425" s="193">
        <f>'Site Information'!D429</f>
        <v>0</v>
      </c>
      <c r="L425" s="193">
        <f>'Site Information'!E429</f>
        <v>0</v>
      </c>
      <c r="M425" s="237"/>
      <c r="N425" s="237"/>
      <c r="O425" s="237"/>
      <c r="P425" s="237"/>
      <c r="Q425" s="237"/>
      <c r="R425" s="193">
        <f>'Site Information'!F429</f>
        <v>0</v>
      </c>
      <c r="S425" s="237"/>
      <c r="T425" s="237"/>
      <c r="U425" s="237"/>
      <c r="V425" s="237"/>
      <c r="W425" s="237"/>
      <c r="X425" s="237"/>
      <c r="Y425" s="237"/>
      <c r="Z425" s="237"/>
      <c r="AA425" s="237"/>
      <c r="AB425" s="237"/>
      <c r="AC425" s="237"/>
      <c r="AD425" s="237"/>
      <c r="AE425" s="237"/>
      <c r="AF425" s="237"/>
      <c r="AG425" s="237"/>
      <c r="AI425" s="193"/>
      <c r="AJ425" s="193"/>
    </row>
    <row r="426" spans="2:36" x14ac:dyDescent="0.35">
      <c r="B426" s="193" t="e">
        <f>"2024"&amp;MATCH(Totals!D426,OrgType,0)&amp;"_"&amp;MATCH(Totals!E426,Organisations,0)&amp;"_"&amp;LEFT(Totals!F426,1)&amp;"_"&amp;LEFT(G426,1)&amp;"_"&amp;COUNTIF($G$3:G426,G426)</f>
        <v>#N/A</v>
      </c>
      <c r="C426" s="193">
        <v>2025</v>
      </c>
      <c r="D426" s="193">
        <f>Introduction!$D$7</f>
        <v>0</v>
      </c>
      <c r="E426" s="193">
        <f>Introduction!$D$8</f>
        <v>0</v>
      </c>
      <c r="F426" s="193" t="s">
        <v>488</v>
      </c>
      <c r="G426" s="193" t="s">
        <v>489</v>
      </c>
      <c r="H426" s="195">
        <f>'Site Information'!B430</f>
        <v>0</v>
      </c>
      <c r="I426" s="194"/>
      <c r="J426" s="193">
        <f>'Site Information'!C430</f>
        <v>0</v>
      </c>
      <c r="K426" s="193">
        <f>'Site Information'!D430</f>
        <v>0</v>
      </c>
      <c r="L426" s="193">
        <f>'Site Information'!E430</f>
        <v>0</v>
      </c>
      <c r="M426" s="237"/>
      <c r="N426" s="237"/>
      <c r="O426" s="237"/>
      <c r="P426" s="237"/>
      <c r="Q426" s="237"/>
      <c r="R426" s="193">
        <f>'Site Information'!F430</f>
        <v>0</v>
      </c>
      <c r="S426" s="237"/>
      <c r="T426" s="237"/>
      <c r="U426" s="237"/>
      <c r="V426" s="237"/>
      <c r="W426" s="237"/>
      <c r="X426" s="237"/>
      <c r="Y426" s="237"/>
      <c r="Z426" s="237"/>
      <c r="AA426" s="237"/>
      <c r="AB426" s="237"/>
      <c r="AC426" s="237"/>
      <c r="AD426" s="237"/>
      <c r="AE426" s="237"/>
      <c r="AF426" s="237"/>
      <c r="AG426" s="237"/>
      <c r="AI426" s="193"/>
      <c r="AJ426" s="193"/>
    </row>
    <row r="427" spans="2:36" x14ac:dyDescent="0.35">
      <c r="B427" s="193" t="e">
        <f>"2024"&amp;MATCH(Totals!D427,OrgType,0)&amp;"_"&amp;MATCH(Totals!E427,Organisations,0)&amp;"_"&amp;LEFT(Totals!F427,1)&amp;"_"&amp;LEFT(G427,1)&amp;"_"&amp;COUNTIF($G$3:G427,G427)</f>
        <v>#N/A</v>
      </c>
      <c r="C427" s="193">
        <v>2025</v>
      </c>
      <c r="D427" s="193">
        <f>Introduction!$D$7</f>
        <v>0</v>
      </c>
      <c r="E427" s="193">
        <f>Introduction!$D$8</f>
        <v>0</v>
      </c>
      <c r="F427" s="193" t="s">
        <v>488</v>
      </c>
      <c r="G427" s="193" t="s">
        <v>489</v>
      </c>
      <c r="H427" s="195">
        <f>'Site Information'!B431</f>
        <v>0</v>
      </c>
      <c r="I427" s="194"/>
      <c r="J427" s="193">
        <f>'Site Information'!C431</f>
        <v>0</v>
      </c>
      <c r="K427" s="193">
        <f>'Site Information'!D431</f>
        <v>0</v>
      </c>
      <c r="L427" s="193">
        <f>'Site Information'!E431</f>
        <v>0</v>
      </c>
      <c r="M427" s="237"/>
      <c r="N427" s="237"/>
      <c r="O427" s="237"/>
      <c r="P427" s="237"/>
      <c r="Q427" s="237"/>
      <c r="R427" s="193">
        <f>'Site Information'!F431</f>
        <v>0</v>
      </c>
      <c r="S427" s="237"/>
      <c r="T427" s="237"/>
      <c r="U427" s="237"/>
      <c r="V427" s="237"/>
      <c r="W427" s="237"/>
      <c r="X427" s="237"/>
      <c r="Y427" s="237"/>
      <c r="Z427" s="237"/>
      <c r="AA427" s="237"/>
      <c r="AB427" s="237"/>
      <c r="AC427" s="237"/>
      <c r="AD427" s="237"/>
      <c r="AE427" s="237"/>
      <c r="AF427" s="237"/>
      <c r="AG427" s="237"/>
      <c r="AI427" s="193"/>
      <c r="AJ427" s="193"/>
    </row>
    <row r="428" spans="2:36" x14ac:dyDescent="0.35">
      <c r="B428" s="193" t="e">
        <f>"2024"&amp;MATCH(Totals!D428,OrgType,0)&amp;"_"&amp;MATCH(Totals!E428,Organisations,0)&amp;"_"&amp;LEFT(Totals!F428,1)&amp;"_"&amp;LEFT(G428,1)&amp;"_"&amp;COUNTIF($G$3:G428,G428)</f>
        <v>#N/A</v>
      </c>
      <c r="C428" s="193">
        <v>2025</v>
      </c>
      <c r="D428" s="193">
        <f>Introduction!$D$7</f>
        <v>0</v>
      </c>
      <c r="E428" s="193">
        <f>Introduction!$D$8</f>
        <v>0</v>
      </c>
      <c r="F428" s="193" t="s">
        <v>488</v>
      </c>
      <c r="G428" s="193" t="s">
        <v>489</v>
      </c>
      <c r="H428" s="195">
        <f>'Site Information'!B432</f>
        <v>0</v>
      </c>
      <c r="I428" s="194"/>
      <c r="J428" s="193">
        <f>'Site Information'!C432</f>
        <v>0</v>
      </c>
      <c r="K428" s="193">
        <f>'Site Information'!D432</f>
        <v>0</v>
      </c>
      <c r="L428" s="193">
        <f>'Site Information'!E432</f>
        <v>0</v>
      </c>
      <c r="M428" s="237"/>
      <c r="N428" s="237"/>
      <c r="O428" s="237"/>
      <c r="P428" s="237"/>
      <c r="Q428" s="237"/>
      <c r="R428" s="193">
        <f>'Site Information'!F432</f>
        <v>0</v>
      </c>
      <c r="S428" s="237"/>
      <c r="T428" s="237"/>
      <c r="U428" s="237"/>
      <c r="V428" s="237"/>
      <c r="W428" s="237"/>
      <c r="X428" s="237"/>
      <c r="Y428" s="237"/>
      <c r="Z428" s="237"/>
      <c r="AA428" s="237"/>
      <c r="AB428" s="237"/>
      <c r="AC428" s="237"/>
      <c r="AD428" s="237"/>
      <c r="AE428" s="237"/>
      <c r="AF428" s="237"/>
      <c r="AG428" s="237"/>
      <c r="AI428" s="193"/>
      <c r="AJ428" s="193"/>
    </row>
    <row r="429" spans="2:36" x14ac:dyDescent="0.35">
      <c r="B429" s="193" t="e">
        <f>"2024"&amp;MATCH(Totals!D429,OrgType,0)&amp;"_"&amp;MATCH(Totals!E429,Organisations,0)&amp;"_"&amp;LEFT(Totals!F429,1)&amp;"_"&amp;LEFT(G429,1)&amp;"_"&amp;COUNTIF($G$3:G429,G429)</f>
        <v>#N/A</v>
      </c>
      <c r="C429" s="193">
        <v>2025</v>
      </c>
      <c r="D429" s="193">
        <f>Introduction!$D$7</f>
        <v>0</v>
      </c>
      <c r="E429" s="193">
        <f>Introduction!$D$8</f>
        <v>0</v>
      </c>
      <c r="F429" s="193" t="s">
        <v>488</v>
      </c>
      <c r="G429" s="193" t="s">
        <v>489</v>
      </c>
      <c r="H429" s="195">
        <f>'Site Information'!B433</f>
        <v>0</v>
      </c>
      <c r="I429" s="194"/>
      <c r="J429" s="193">
        <f>'Site Information'!C433</f>
        <v>0</v>
      </c>
      <c r="K429" s="193">
        <f>'Site Information'!D433</f>
        <v>0</v>
      </c>
      <c r="L429" s="193">
        <f>'Site Information'!E433</f>
        <v>0</v>
      </c>
      <c r="M429" s="237"/>
      <c r="N429" s="237"/>
      <c r="O429" s="237"/>
      <c r="P429" s="237"/>
      <c r="Q429" s="237"/>
      <c r="R429" s="193">
        <f>'Site Information'!F433</f>
        <v>0</v>
      </c>
      <c r="S429" s="237"/>
      <c r="T429" s="237"/>
      <c r="U429" s="237"/>
      <c r="V429" s="237"/>
      <c r="W429" s="237"/>
      <c r="X429" s="237"/>
      <c r="Y429" s="237"/>
      <c r="Z429" s="237"/>
      <c r="AA429" s="237"/>
      <c r="AB429" s="237"/>
      <c r="AC429" s="237"/>
      <c r="AD429" s="237"/>
      <c r="AE429" s="237"/>
      <c r="AF429" s="237"/>
      <c r="AG429" s="237"/>
      <c r="AI429" s="193"/>
      <c r="AJ429" s="193"/>
    </row>
    <row r="430" spans="2:36" x14ac:dyDescent="0.35">
      <c r="B430" s="193" t="e">
        <f>"2024"&amp;MATCH(Totals!D430,OrgType,0)&amp;"_"&amp;MATCH(Totals!E430,Organisations,0)&amp;"_"&amp;LEFT(Totals!F430,1)&amp;"_"&amp;LEFT(G430,1)&amp;"_"&amp;COUNTIF($G$3:G430,G430)</f>
        <v>#N/A</v>
      </c>
      <c r="C430" s="193">
        <v>2025</v>
      </c>
      <c r="D430" s="193">
        <f>Introduction!$D$7</f>
        <v>0</v>
      </c>
      <c r="E430" s="193">
        <f>Introduction!$D$8</f>
        <v>0</v>
      </c>
      <c r="F430" s="193" t="s">
        <v>488</v>
      </c>
      <c r="G430" s="193" t="s">
        <v>489</v>
      </c>
      <c r="H430" s="195">
        <f>'Site Information'!B434</f>
        <v>0</v>
      </c>
      <c r="I430" s="194"/>
      <c r="J430" s="193">
        <f>'Site Information'!C434</f>
        <v>0</v>
      </c>
      <c r="K430" s="193">
        <f>'Site Information'!D434</f>
        <v>0</v>
      </c>
      <c r="L430" s="193">
        <f>'Site Information'!E434</f>
        <v>0</v>
      </c>
      <c r="M430" s="237"/>
      <c r="N430" s="237"/>
      <c r="O430" s="237"/>
      <c r="P430" s="237"/>
      <c r="Q430" s="237"/>
      <c r="R430" s="193">
        <f>'Site Information'!F434</f>
        <v>0</v>
      </c>
      <c r="S430" s="237"/>
      <c r="T430" s="237"/>
      <c r="U430" s="237"/>
      <c r="V430" s="237"/>
      <c r="W430" s="237"/>
      <c r="X430" s="237"/>
      <c r="Y430" s="237"/>
      <c r="Z430" s="237"/>
      <c r="AA430" s="237"/>
      <c r="AB430" s="237"/>
      <c r="AC430" s="237"/>
      <c r="AD430" s="237"/>
      <c r="AE430" s="237"/>
      <c r="AF430" s="237"/>
      <c r="AG430" s="237"/>
      <c r="AI430" s="193"/>
      <c r="AJ430" s="193"/>
    </row>
    <row r="431" spans="2:36" x14ac:dyDescent="0.35">
      <c r="B431" s="193" t="e">
        <f>"2024"&amp;MATCH(Totals!D431,OrgType,0)&amp;"_"&amp;MATCH(Totals!E431,Organisations,0)&amp;"_"&amp;LEFT(Totals!F431,1)&amp;"_"&amp;LEFT(G431,1)&amp;"_"&amp;COUNTIF($G$3:G431,G431)</f>
        <v>#N/A</v>
      </c>
      <c r="C431" s="193">
        <v>2025</v>
      </c>
      <c r="D431" s="193">
        <f>Introduction!$D$7</f>
        <v>0</v>
      </c>
      <c r="E431" s="193">
        <f>Introduction!$D$8</f>
        <v>0</v>
      </c>
      <c r="F431" s="193" t="s">
        <v>488</v>
      </c>
      <c r="G431" s="193" t="s">
        <v>489</v>
      </c>
      <c r="H431" s="195">
        <f>'Site Information'!B435</f>
        <v>0</v>
      </c>
      <c r="I431" s="194"/>
      <c r="J431" s="193">
        <f>'Site Information'!C435</f>
        <v>0</v>
      </c>
      <c r="K431" s="193">
        <f>'Site Information'!D435</f>
        <v>0</v>
      </c>
      <c r="L431" s="193">
        <f>'Site Information'!E435</f>
        <v>0</v>
      </c>
      <c r="M431" s="237"/>
      <c r="N431" s="237"/>
      <c r="O431" s="237"/>
      <c r="P431" s="237"/>
      <c r="Q431" s="237"/>
      <c r="R431" s="193">
        <f>'Site Information'!F435</f>
        <v>0</v>
      </c>
      <c r="S431" s="237"/>
      <c r="T431" s="237"/>
      <c r="U431" s="237"/>
      <c r="V431" s="237"/>
      <c r="W431" s="237"/>
      <c r="X431" s="237"/>
      <c r="Y431" s="237"/>
      <c r="Z431" s="237"/>
      <c r="AA431" s="237"/>
      <c r="AB431" s="237"/>
      <c r="AC431" s="237"/>
      <c r="AD431" s="237"/>
      <c r="AE431" s="237"/>
      <c r="AF431" s="237"/>
      <c r="AG431" s="237"/>
      <c r="AI431" s="193"/>
      <c r="AJ431" s="193"/>
    </row>
    <row r="432" spans="2:36" x14ac:dyDescent="0.35">
      <c r="B432" s="193" t="e">
        <f>"2024"&amp;MATCH(Totals!D432,OrgType,0)&amp;"_"&amp;MATCH(Totals!E432,Organisations,0)&amp;"_"&amp;LEFT(Totals!F432,1)&amp;"_"&amp;LEFT(G432,1)&amp;"_"&amp;COUNTIF($G$3:G432,G432)</f>
        <v>#N/A</v>
      </c>
      <c r="C432" s="193">
        <v>2025</v>
      </c>
      <c r="D432" s="193">
        <f>Introduction!$D$7</f>
        <v>0</v>
      </c>
      <c r="E432" s="193">
        <f>Introduction!$D$8</f>
        <v>0</v>
      </c>
      <c r="F432" s="193" t="s">
        <v>488</v>
      </c>
      <c r="G432" s="193" t="s">
        <v>489</v>
      </c>
      <c r="H432" s="195">
        <f>'Site Information'!B436</f>
        <v>0</v>
      </c>
      <c r="I432" s="194"/>
      <c r="J432" s="193">
        <f>'Site Information'!C436</f>
        <v>0</v>
      </c>
      <c r="K432" s="193">
        <f>'Site Information'!D436</f>
        <v>0</v>
      </c>
      <c r="L432" s="193">
        <f>'Site Information'!E436</f>
        <v>0</v>
      </c>
      <c r="M432" s="237"/>
      <c r="N432" s="237"/>
      <c r="O432" s="237"/>
      <c r="P432" s="237"/>
      <c r="Q432" s="237"/>
      <c r="R432" s="193">
        <f>'Site Information'!F436</f>
        <v>0</v>
      </c>
      <c r="S432" s="237"/>
      <c r="T432" s="237"/>
      <c r="U432" s="237"/>
      <c r="V432" s="237"/>
      <c r="W432" s="237"/>
      <c r="X432" s="237"/>
      <c r="Y432" s="237"/>
      <c r="Z432" s="237"/>
      <c r="AA432" s="237"/>
      <c r="AB432" s="237"/>
      <c r="AC432" s="237"/>
      <c r="AD432" s="237"/>
      <c r="AE432" s="237"/>
      <c r="AF432" s="237"/>
      <c r="AG432" s="237"/>
      <c r="AI432" s="193"/>
      <c r="AJ432" s="193"/>
    </row>
    <row r="433" spans="2:36" x14ac:dyDescent="0.35">
      <c r="B433" s="193" t="e">
        <f>"2024"&amp;MATCH(Totals!D433,OrgType,0)&amp;"_"&amp;MATCH(Totals!E433,Organisations,0)&amp;"_"&amp;LEFT(Totals!F433,1)&amp;"_"&amp;LEFT(G433,1)&amp;"_"&amp;COUNTIF($G$3:G433,G433)</f>
        <v>#N/A</v>
      </c>
      <c r="C433" s="193">
        <v>2025</v>
      </c>
      <c r="D433" s="193">
        <f>Introduction!$D$7</f>
        <v>0</v>
      </c>
      <c r="E433" s="193">
        <f>Introduction!$D$8</f>
        <v>0</v>
      </c>
      <c r="F433" s="193" t="s">
        <v>488</v>
      </c>
      <c r="G433" s="193" t="s">
        <v>489</v>
      </c>
      <c r="H433" s="195">
        <f>'Site Information'!B437</f>
        <v>0</v>
      </c>
      <c r="I433" s="194"/>
      <c r="J433" s="193">
        <f>'Site Information'!C437</f>
        <v>0</v>
      </c>
      <c r="K433" s="193">
        <f>'Site Information'!D437</f>
        <v>0</v>
      </c>
      <c r="L433" s="193">
        <f>'Site Information'!E437</f>
        <v>0</v>
      </c>
      <c r="M433" s="237"/>
      <c r="N433" s="237"/>
      <c r="O433" s="237"/>
      <c r="P433" s="237"/>
      <c r="Q433" s="237"/>
      <c r="R433" s="193">
        <f>'Site Information'!F437</f>
        <v>0</v>
      </c>
      <c r="S433" s="237"/>
      <c r="T433" s="237"/>
      <c r="U433" s="237"/>
      <c r="V433" s="237"/>
      <c r="W433" s="237"/>
      <c r="X433" s="237"/>
      <c r="Y433" s="237"/>
      <c r="Z433" s="237"/>
      <c r="AA433" s="237"/>
      <c r="AB433" s="237"/>
      <c r="AC433" s="237"/>
      <c r="AD433" s="237"/>
      <c r="AE433" s="237"/>
      <c r="AF433" s="237"/>
      <c r="AG433" s="237"/>
      <c r="AI433" s="193"/>
      <c r="AJ433" s="193"/>
    </row>
    <row r="434" spans="2:36" x14ac:dyDescent="0.35">
      <c r="B434" s="193" t="e">
        <f>"2024"&amp;MATCH(Totals!D434,OrgType,0)&amp;"_"&amp;MATCH(Totals!E434,Organisations,0)&amp;"_"&amp;LEFT(Totals!F434,1)&amp;"_"&amp;LEFT(G434,1)&amp;"_"&amp;COUNTIF($G$3:G434,G434)</f>
        <v>#N/A</v>
      </c>
      <c r="C434" s="193">
        <v>2025</v>
      </c>
      <c r="D434" s="193">
        <f>Introduction!$D$7</f>
        <v>0</v>
      </c>
      <c r="E434" s="193">
        <f>Introduction!$D$8</f>
        <v>0</v>
      </c>
      <c r="F434" s="193" t="s">
        <v>488</v>
      </c>
      <c r="G434" s="193" t="s">
        <v>489</v>
      </c>
      <c r="H434" s="195">
        <f>'Site Information'!B438</f>
        <v>0</v>
      </c>
      <c r="I434" s="194"/>
      <c r="J434" s="193">
        <f>'Site Information'!C438</f>
        <v>0</v>
      </c>
      <c r="K434" s="193">
        <f>'Site Information'!D438</f>
        <v>0</v>
      </c>
      <c r="L434" s="193">
        <f>'Site Information'!E438</f>
        <v>0</v>
      </c>
      <c r="M434" s="237"/>
      <c r="N434" s="237"/>
      <c r="O434" s="237"/>
      <c r="P434" s="237"/>
      <c r="Q434" s="237"/>
      <c r="R434" s="193">
        <f>'Site Information'!F438</f>
        <v>0</v>
      </c>
      <c r="S434" s="237"/>
      <c r="T434" s="237"/>
      <c r="U434" s="237"/>
      <c r="V434" s="237"/>
      <c r="W434" s="237"/>
      <c r="X434" s="237"/>
      <c r="Y434" s="237"/>
      <c r="Z434" s="237"/>
      <c r="AA434" s="237"/>
      <c r="AB434" s="237"/>
      <c r="AC434" s="237"/>
      <c r="AD434" s="237"/>
      <c r="AE434" s="237"/>
      <c r="AF434" s="237"/>
      <c r="AG434" s="237"/>
      <c r="AI434" s="193"/>
      <c r="AJ434" s="193"/>
    </row>
    <row r="435" spans="2:36" x14ac:dyDescent="0.35">
      <c r="B435" s="193" t="e">
        <f>"2024"&amp;MATCH(Totals!D435,OrgType,0)&amp;"_"&amp;MATCH(Totals!E435,Organisations,0)&amp;"_"&amp;LEFT(Totals!F435,1)&amp;"_"&amp;LEFT(G435,1)&amp;"_"&amp;COUNTIF($G$3:G435,G435)</f>
        <v>#N/A</v>
      </c>
      <c r="C435" s="193">
        <v>2025</v>
      </c>
      <c r="D435" s="193">
        <f>Introduction!$D$7</f>
        <v>0</v>
      </c>
      <c r="E435" s="193">
        <f>Introduction!$D$8</f>
        <v>0</v>
      </c>
      <c r="F435" s="193" t="s">
        <v>488</v>
      </c>
      <c r="G435" s="193" t="s">
        <v>489</v>
      </c>
      <c r="H435" s="195">
        <f>'Site Information'!B439</f>
        <v>0</v>
      </c>
      <c r="I435" s="194"/>
      <c r="J435" s="193">
        <f>'Site Information'!C439</f>
        <v>0</v>
      </c>
      <c r="K435" s="193">
        <f>'Site Information'!D439</f>
        <v>0</v>
      </c>
      <c r="L435" s="193">
        <f>'Site Information'!E439</f>
        <v>0</v>
      </c>
      <c r="M435" s="237"/>
      <c r="N435" s="237"/>
      <c r="O435" s="237"/>
      <c r="P435" s="237"/>
      <c r="Q435" s="237"/>
      <c r="R435" s="193">
        <f>'Site Information'!F439</f>
        <v>0</v>
      </c>
      <c r="S435" s="237"/>
      <c r="T435" s="237"/>
      <c r="U435" s="237"/>
      <c r="V435" s="237"/>
      <c r="W435" s="237"/>
      <c r="X435" s="237"/>
      <c r="Y435" s="237"/>
      <c r="Z435" s="237"/>
      <c r="AA435" s="237"/>
      <c r="AB435" s="237"/>
      <c r="AC435" s="237"/>
      <c r="AD435" s="237"/>
      <c r="AE435" s="237"/>
      <c r="AF435" s="237"/>
      <c r="AG435" s="237"/>
      <c r="AI435" s="193"/>
      <c r="AJ435" s="193"/>
    </row>
    <row r="436" spans="2:36" x14ac:dyDescent="0.35">
      <c r="B436" s="193" t="e">
        <f>"2024"&amp;MATCH(Totals!D436,OrgType,0)&amp;"_"&amp;MATCH(Totals!E436,Organisations,0)&amp;"_"&amp;LEFT(Totals!F436,1)&amp;"_"&amp;LEFT(G436,1)&amp;"_"&amp;COUNTIF($G$3:G436,G436)</f>
        <v>#N/A</v>
      </c>
      <c r="C436" s="193">
        <v>2025</v>
      </c>
      <c r="D436" s="193">
        <f>Introduction!$D$7</f>
        <v>0</v>
      </c>
      <c r="E436" s="193">
        <f>Introduction!$D$8</f>
        <v>0</v>
      </c>
      <c r="F436" s="193" t="s">
        <v>488</v>
      </c>
      <c r="G436" s="193" t="s">
        <v>489</v>
      </c>
      <c r="H436" s="195">
        <f>'Site Information'!B440</f>
        <v>0</v>
      </c>
      <c r="I436" s="194"/>
      <c r="J436" s="193">
        <f>'Site Information'!C440</f>
        <v>0</v>
      </c>
      <c r="K436" s="193">
        <f>'Site Information'!D440</f>
        <v>0</v>
      </c>
      <c r="L436" s="193">
        <f>'Site Information'!E440</f>
        <v>0</v>
      </c>
      <c r="M436" s="237"/>
      <c r="N436" s="237"/>
      <c r="O436" s="237"/>
      <c r="P436" s="237"/>
      <c r="Q436" s="237"/>
      <c r="R436" s="193">
        <f>'Site Information'!F440</f>
        <v>0</v>
      </c>
      <c r="S436" s="237"/>
      <c r="T436" s="237"/>
      <c r="U436" s="237"/>
      <c r="V436" s="237"/>
      <c r="W436" s="237"/>
      <c r="X436" s="237"/>
      <c r="Y436" s="237"/>
      <c r="Z436" s="237"/>
      <c r="AA436" s="237"/>
      <c r="AB436" s="237"/>
      <c r="AC436" s="237"/>
      <c r="AD436" s="237"/>
      <c r="AE436" s="237"/>
      <c r="AF436" s="237"/>
      <c r="AG436" s="237"/>
      <c r="AI436" s="193"/>
      <c r="AJ436" s="193"/>
    </row>
    <row r="437" spans="2:36" x14ac:dyDescent="0.35">
      <c r="B437" s="193" t="e">
        <f>"2024"&amp;MATCH(Totals!D437,OrgType,0)&amp;"_"&amp;MATCH(Totals!E437,Organisations,0)&amp;"_"&amp;LEFT(Totals!F437,1)&amp;"_"&amp;LEFT(G437,1)&amp;"_"&amp;COUNTIF($G$3:G437,G437)</f>
        <v>#N/A</v>
      </c>
      <c r="C437" s="193">
        <v>2025</v>
      </c>
      <c r="D437" s="193">
        <f>Introduction!$D$7</f>
        <v>0</v>
      </c>
      <c r="E437" s="193">
        <f>Introduction!$D$8</f>
        <v>0</v>
      </c>
      <c r="F437" s="193" t="s">
        <v>488</v>
      </c>
      <c r="G437" s="193" t="s">
        <v>489</v>
      </c>
      <c r="H437" s="195">
        <f>'Site Information'!B441</f>
        <v>0</v>
      </c>
      <c r="I437" s="194"/>
      <c r="J437" s="193">
        <f>'Site Information'!C441</f>
        <v>0</v>
      </c>
      <c r="K437" s="193">
        <f>'Site Information'!D441</f>
        <v>0</v>
      </c>
      <c r="L437" s="193">
        <f>'Site Information'!E441</f>
        <v>0</v>
      </c>
      <c r="M437" s="237"/>
      <c r="N437" s="237"/>
      <c r="O437" s="237"/>
      <c r="P437" s="237"/>
      <c r="Q437" s="237"/>
      <c r="R437" s="193">
        <f>'Site Information'!F441</f>
        <v>0</v>
      </c>
      <c r="S437" s="237"/>
      <c r="T437" s="237"/>
      <c r="U437" s="237"/>
      <c r="V437" s="237"/>
      <c r="W437" s="237"/>
      <c r="X437" s="237"/>
      <c r="Y437" s="237"/>
      <c r="Z437" s="237"/>
      <c r="AA437" s="237"/>
      <c r="AB437" s="237"/>
      <c r="AC437" s="237"/>
      <c r="AD437" s="237"/>
      <c r="AE437" s="237"/>
      <c r="AF437" s="237"/>
      <c r="AG437" s="237"/>
      <c r="AI437" s="193"/>
      <c r="AJ437" s="193"/>
    </row>
    <row r="438" spans="2:36" x14ac:dyDescent="0.35">
      <c r="B438" s="193" t="e">
        <f>"2024"&amp;MATCH(Totals!D438,OrgType,0)&amp;"_"&amp;MATCH(Totals!E438,Organisations,0)&amp;"_"&amp;LEFT(Totals!F438,1)&amp;"_"&amp;LEFT(G438,1)&amp;"_"&amp;COUNTIF($G$3:G438,G438)</f>
        <v>#N/A</v>
      </c>
      <c r="C438" s="193">
        <v>2025</v>
      </c>
      <c r="D438" s="193">
        <f>Introduction!$D$7</f>
        <v>0</v>
      </c>
      <c r="E438" s="193">
        <f>Introduction!$D$8</f>
        <v>0</v>
      </c>
      <c r="F438" s="193" t="s">
        <v>488</v>
      </c>
      <c r="G438" s="193" t="s">
        <v>489</v>
      </c>
      <c r="H438" s="195">
        <f>'Site Information'!B442</f>
        <v>0</v>
      </c>
      <c r="I438" s="194"/>
      <c r="J438" s="193">
        <f>'Site Information'!C442</f>
        <v>0</v>
      </c>
      <c r="K438" s="193">
        <f>'Site Information'!D442</f>
        <v>0</v>
      </c>
      <c r="L438" s="193">
        <f>'Site Information'!E442</f>
        <v>0</v>
      </c>
      <c r="M438" s="237"/>
      <c r="N438" s="237"/>
      <c r="O438" s="237"/>
      <c r="P438" s="237"/>
      <c r="Q438" s="237"/>
      <c r="R438" s="193">
        <f>'Site Information'!F442</f>
        <v>0</v>
      </c>
      <c r="S438" s="237"/>
      <c r="T438" s="237"/>
      <c r="U438" s="237"/>
      <c r="V438" s="237"/>
      <c r="W438" s="237"/>
      <c r="X438" s="237"/>
      <c r="Y438" s="237"/>
      <c r="Z438" s="237"/>
      <c r="AA438" s="237"/>
      <c r="AB438" s="237"/>
      <c r="AC438" s="237"/>
      <c r="AD438" s="237"/>
      <c r="AE438" s="237"/>
      <c r="AF438" s="237"/>
      <c r="AG438" s="237"/>
      <c r="AI438" s="193"/>
      <c r="AJ438" s="193"/>
    </row>
    <row r="439" spans="2:36" x14ac:dyDescent="0.35">
      <c r="B439" s="193" t="e">
        <f>"2024"&amp;MATCH(Totals!D439,OrgType,0)&amp;"_"&amp;MATCH(Totals!E439,Organisations,0)&amp;"_"&amp;LEFT(Totals!F439,1)&amp;"_"&amp;LEFT(G439,1)&amp;"_"&amp;COUNTIF($G$3:G439,G439)</f>
        <v>#N/A</v>
      </c>
      <c r="C439" s="193">
        <v>2025</v>
      </c>
      <c r="D439" s="193">
        <f>Introduction!$D$7</f>
        <v>0</v>
      </c>
      <c r="E439" s="193">
        <f>Introduction!$D$8</f>
        <v>0</v>
      </c>
      <c r="F439" s="193" t="s">
        <v>488</v>
      </c>
      <c r="G439" s="193" t="s">
        <v>489</v>
      </c>
      <c r="H439" s="195">
        <f>'Site Information'!B443</f>
        <v>0</v>
      </c>
      <c r="I439" s="194"/>
      <c r="J439" s="193">
        <f>'Site Information'!C443</f>
        <v>0</v>
      </c>
      <c r="K439" s="193">
        <f>'Site Information'!D443</f>
        <v>0</v>
      </c>
      <c r="L439" s="193">
        <f>'Site Information'!E443</f>
        <v>0</v>
      </c>
      <c r="M439" s="237"/>
      <c r="N439" s="237"/>
      <c r="O439" s="237"/>
      <c r="P439" s="237"/>
      <c r="Q439" s="237"/>
      <c r="R439" s="193">
        <f>'Site Information'!F443</f>
        <v>0</v>
      </c>
      <c r="S439" s="237"/>
      <c r="T439" s="237"/>
      <c r="U439" s="237"/>
      <c r="V439" s="237"/>
      <c r="W439" s="237"/>
      <c r="X439" s="237"/>
      <c r="Y439" s="237"/>
      <c r="Z439" s="237"/>
      <c r="AA439" s="237"/>
      <c r="AB439" s="237"/>
      <c r="AC439" s="237"/>
      <c r="AD439" s="237"/>
      <c r="AE439" s="237"/>
      <c r="AF439" s="237"/>
      <c r="AG439" s="237"/>
      <c r="AI439" s="193"/>
      <c r="AJ439" s="193"/>
    </row>
    <row r="440" spans="2:36" x14ac:dyDescent="0.35">
      <c r="B440" s="193" t="e">
        <f>"2024"&amp;MATCH(Totals!D440,OrgType,0)&amp;"_"&amp;MATCH(Totals!E440,Organisations,0)&amp;"_"&amp;LEFT(Totals!F440,1)&amp;"_"&amp;LEFT(G440,1)&amp;"_"&amp;COUNTIF($G$3:G440,G440)</f>
        <v>#N/A</v>
      </c>
      <c r="C440" s="193">
        <v>2025</v>
      </c>
      <c r="D440" s="193">
        <f>Introduction!$D$7</f>
        <v>0</v>
      </c>
      <c r="E440" s="193">
        <f>Introduction!$D$8</f>
        <v>0</v>
      </c>
      <c r="F440" s="193" t="s">
        <v>488</v>
      </c>
      <c r="G440" s="193" t="s">
        <v>489</v>
      </c>
      <c r="H440" s="195">
        <f>'Site Information'!B444</f>
        <v>0</v>
      </c>
      <c r="I440" s="194"/>
      <c r="J440" s="193">
        <f>'Site Information'!C444</f>
        <v>0</v>
      </c>
      <c r="K440" s="193">
        <f>'Site Information'!D444</f>
        <v>0</v>
      </c>
      <c r="L440" s="193">
        <f>'Site Information'!E444</f>
        <v>0</v>
      </c>
      <c r="M440" s="237"/>
      <c r="N440" s="237"/>
      <c r="O440" s="237"/>
      <c r="P440" s="237"/>
      <c r="Q440" s="237"/>
      <c r="R440" s="193">
        <f>'Site Information'!F444</f>
        <v>0</v>
      </c>
      <c r="S440" s="237"/>
      <c r="T440" s="237"/>
      <c r="U440" s="237"/>
      <c r="V440" s="237"/>
      <c r="W440" s="237"/>
      <c r="X440" s="237"/>
      <c r="Y440" s="237"/>
      <c r="Z440" s="237"/>
      <c r="AA440" s="237"/>
      <c r="AB440" s="237"/>
      <c r="AC440" s="237"/>
      <c r="AD440" s="237"/>
      <c r="AE440" s="237"/>
      <c r="AF440" s="237"/>
      <c r="AG440" s="237"/>
      <c r="AI440" s="193"/>
      <c r="AJ440" s="193"/>
    </row>
    <row r="441" spans="2:36" x14ac:dyDescent="0.35">
      <c r="B441" s="193" t="e">
        <f>"2024"&amp;MATCH(Totals!D441,OrgType,0)&amp;"_"&amp;MATCH(Totals!E441,Organisations,0)&amp;"_"&amp;LEFT(Totals!F441,1)&amp;"_"&amp;LEFT(G441,1)&amp;"_"&amp;COUNTIF($G$3:G441,G441)</f>
        <v>#N/A</v>
      </c>
      <c r="C441" s="193">
        <v>2025</v>
      </c>
      <c r="D441" s="193">
        <f>Introduction!$D$7</f>
        <v>0</v>
      </c>
      <c r="E441" s="193">
        <f>Introduction!$D$8</f>
        <v>0</v>
      </c>
      <c r="F441" s="193" t="s">
        <v>488</v>
      </c>
      <c r="G441" s="193" t="s">
        <v>489</v>
      </c>
      <c r="H441" s="195">
        <f>'Site Information'!B445</f>
        <v>0</v>
      </c>
      <c r="I441" s="194"/>
      <c r="J441" s="193">
        <f>'Site Information'!C445</f>
        <v>0</v>
      </c>
      <c r="K441" s="193">
        <f>'Site Information'!D445</f>
        <v>0</v>
      </c>
      <c r="L441" s="193">
        <f>'Site Information'!E445</f>
        <v>0</v>
      </c>
      <c r="M441" s="237"/>
      <c r="N441" s="237"/>
      <c r="O441" s="237"/>
      <c r="P441" s="237"/>
      <c r="Q441" s="237"/>
      <c r="R441" s="193">
        <f>'Site Information'!F445</f>
        <v>0</v>
      </c>
      <c r="S441" s="237"/>
      <c r="T441" s="237"/>
      <c r="U441" s="237"/>
      <c r="V441" s="237"/>
      <c r="W441" s="237"/>
      <c r="X441" s="237"/>
      <c r="Y441" s="237"/>
      <c r="Z441" s="237"/>
      <c r="AA441" s="237"/>
      <c r="AB441" s="237"/>
      <c r="AC441" s="237"/>
      <c r="AD441" s="237"/>
      <c r="AE441" s="237"/>
      <c r="AF441" s="237"/>
      <c r="AG441" s="237"/>
      <c r="AI441" s="193"/>
      <c r="AJ441" s="193"/>
    </row>
    <row r="442" spans="2:36" x14ac:dyDescent="0.35">
      <c r="B442" s="193" t="e">
        <f>"2024"&amp;MATCH(Totals!D442,OrgType,0)&amp;"_"&amp;MATCH(Totals!E442,Organisations,0)&amp;"_"&amp;LEFT(Totals!F442,1)&amp;"_"&amp;LEFT(G442,1)&amp;"_"&amp;COUNTIF($G$3:G442,G442)</f>
        <v>#N/A</v>
      </c>
      <c r="C442" s="193">
        <v>2025</v>
      </c>
      <c r="D442" s="193">
        <f>Introduction!$D$7</f>
        <v>0</v>
      </c>
      <c r="E442" s="193">
        <f>Introduction!$D$8</f>
        <v>0</v>
      </c>
      <c r="F442" s="193" t="s">
        <v>488</v>
      </c>
      <c r="G442" s="193" t="s">
        <v>489</v>
      </c>
      <c r="H442" s="195">
        <f>'Site Information'!B446</f>
        <v>0</v>
      </c>
      <c r="I442" s="194"/>
      <c r="J442" s="193">
        <f>'Site Information'!C446</f>
        <v>0</v>
      </c>
      <c r="K442" s="193">
        <f>'Site Information'!D446</f>
        <v>0</v>
      </c>
      <c r="L442" s="193">
        <f>'Site Information'!E446</f>
        <v>0</v>
      </c>
      <c r="M442" s="237"/>
      <c r="N442" s="237"/>
      <c r="O442" s="237"/>
      <c r="P442" s="237"/>
      <c r="Q442" s="237"/>
      <c r="R442" s="193">
        <f>'Site Information'!F446</f>
        <v>0</v>
      </c>
      <c r="S442" s="237"/>
      <c r="T442" s="237"/>
      <c r="U442" s="237"/>
      <c r="V442" s="237"/>
      <c r="W442" s="237"/>
      <c r="X442" s="237"/>
      <c r="Y442" s="237"/>
      <c r="Z442" s="237"/>
      <c r="AA442" s="237"/>
      <c r="AB442" s="237"/>
      <c r="AC442" s="237"/>
      <c r="AD442" s="237"/>
      <c r="AE442" s="237"/>
      <c r="AF442" s="237"/>
      <c r="AG442" s="237"/>
      <c r="AI442" s="193"/>
      <c r="AJ442" s="193"/>
    </row>
    <row r="443" spans="2:36" x14ac:dyDescent="0.35">
      <c r="B443" s="193" t="e">
        <f>"2024"&amp;MATCH(Totals!D443,OrgType,0)&amp;"_"&amp;MATCH(Totals!E443,Organisations,0)&amp;"_"&amp;LEFT(Totals!F443,1)&amp;"_"&amp;LEFT(G443,1)&amp;"_"&amp;COUNTIF($G$3:G443,G443)</f>
        <v>#N/A</v>
      </c>
      <c r="C443" s="193">
        <v>2025</v>
      </c>
      <c r="D443" s="193">
        <f>Introduction!$D$7</f>
        <v>0</v>
      </c>
      <c r="E443" s="193">
        <f>Introduction!$D$8</f>
        <v>0</v>
      </c>
      <c r="F443" s="193" t="s">
        <v>488</v>
      </c>
      <c r="G443" s="193" t="s">
        <v>489</v>
      </c>
      <c r="H443" s="195">
        <f>'Site Information'!B447</f>
        <v>0</v>
      </c>
      <c r="I443" s="194"/>
      <c r="J443" s="193">
        <f>'Site Information'!C447</f>
        <v>0</v>
      </c>
      <c r="K443" s="193">
        <f>'Site Information'!D447</f>
        <v>0</v>
      </c>
      <c r="L443" s="193">
        <f>'Site Information'!E447</f>
        <v>0</v>
      </c>
      <c r="M443" s="237"/>
      <c r="N443" s="237"/>
      <c r="O443" s="237"/>
      <c r="P443" s="237"/>
      <c r="Q443" s="237"/>
      <c r="R443" s="193">
        <f>'Site Information'!F447</f>
        <v>0</v>
      </c>
      <c r="S443" s="237"/>
      <c r="T443" s="237"/>
      <c r="U443" s="237"/>
      <c r="V443" s="237"/>
      <c r="W443" s="237"/>
      <c r="X443" s="237"/>
      <c r="Y443" s="237"/>
      <c r="Z443" s="237"/>
      <c r="AA443" s="237"/>
      <c r="AB443" s="237"/>
      <c r="AC443" s="237"/>
      <c r="AD443" s="237"/>
      <c r="AE443" s="237"/>
      <c r="AF443" s="237"/>
      <c r="AG443" s="237"/>
      <c r="AI443" s="193"/>
      <c r="AJ443" s="193"/>
    </row>
    <row r="444" spans="2:36" x14ac:dyDescent="0.35">
      <c r="B444" s="193" t="e">
        <f>"2024"&amp;MATCH(Totals!D444,OrgType,0)&amp;"_"&amp;MATCH(Totals!E444,Organisations,0)&amp;"_"&amp;LEFT(Totals!F444,1)&amp;"_"&amp;LEFT(G444,1)&amp;"_"&amp;COUNTIF($G$3:G444,G444)</f>
        <v>#N/A</v>
      </c>
      <c r="C444" s="193">
        <v>2025</v>
      </c>
      <c r="D444" s="193">
        <f>Introduction!$D$7</f>
        <v>0</v>
      </c>
      <c r="E444" s="193">
        <f>Introduction!$D$8</f>
        <v>0</v>
      </c>
      <c r="F444" s="193" t="s">
        <v>488</v>
      </c>
      <c r="G444" s="193" t="s">
        <v>489</v>
      </c>
      <c r="H444" s="195">
        <f>'Site Information'!B448</f>
        <v>0</v>
      </c>
      <c r="I444" s="194"/>
      <c r="J444" s="193">
        <f>'Site Information'!C448</f>
        <v>0</v>
      </c>
      <c r="K444" s="193">
        <f>'Site Information'!D448</f>
        <v>0</v>
      </c>
      <c r="L444" s="193">
        <f>'Site Information'!E448</f>
        <v>0</v>
      </c>
      <c r="M444" s="237"/>
      <c r="N444" s="237"/>
      <c r="O444" s="237"/>
      <c r="P444" s="237"/>
      <c r="Q444" s="237"/>
      <c r="R444" s="193">
        <f>'Site Information'!F448</f>
        <v>0</v>
      </c>
      <c r="S444" s="237"/>
      <c r="T444" s="237"/>
      <c r="U444" s="237"/>
      <c r="V444" s="237"/>
      <c r="W444" s="237"/>
      <c r="X444" s="237"/>
      <c r="Y444" s="237"/>
      <c r="Z444" s="237"/>
      <c r="AA444" s="237"/>
      <c r="AB444" s="237"/>
      <c r="AC444" s="237"/>
      <c r="AD444" s="237"/>
      <c r="AE444" s="237"/>
      <c r="AF444" s="237"/>
      <c r="AG444" s="237"/>
      <c r="AI444" s="193"/>
      <c r="AJ444" s="193"/>
    </row>
    <row r="445" spans="2:36" x14ac:dyDescent="0.35">
      <c r="B445" s="193" t="e">
        <f>"2024"&amp;MATCH(Totals!D445,OrgType,0)&amp;"_"&amp;MATCH(Totals!E445,Organisations,0)&amp;"_"&amp;LEFT(Totals!F445,1)&amp;"_"&amp;LEFT(G445,1)&amp;"_"&amp;COUNTIF($G$3:G445,G445)</f>
        <v>#N/A</v>
      </c>
      <c r="C445" s="193">
        <v>2025</v>
      </c>
      <c r="D445" s="193">
        <f>Introduction!$D$7</f>
        <v>0</v>
      </c>
      <c r="E445" s="193">
        <f>Introduction!$D$8</f>
        <v>0</v>
      </c>
      <c r="F445" s="193" t="s">
        <v>488</v>
      </c>
      <c r="G445" s="193" t="s">
        <v>489</v>
      </c>
      <c r="H445" s="195">
        <f>'Site Information'!B449</f>
        <v>0</v>
      </c>
      <c r="I445" s="194"/>
      <c r="J445" s="193">
        <f>'Site Information'!C449</f>
        <v>0</v>
      </c>
      <c r="K445" s="193">
        <f>'Site Information'!D449</f>
        <v>0</v>
      </c>
      <c r="L445" s="193">
        <f>'Site Information'!E449</f>
        <v>0</v>
      </c>
      <c r="M445" s="237"/>
      <c r="N445" s="237"/>
      <c r="O445" s="237"/>
      <c r="P445" s="237"/>
      <c r="Q445" s="237"/>
      <c r="R445" s="193">
        <f>'Site Information'!F449</f>
        <v>0</v>
      </c>
      <c r="S445" s="237"/>
      <c r="T445" s="237"/>
      <c r="U445" s="237"/>
      <c r="V445" s="237"/>
      <c r="W445" s="237"/>
      <c r="X445" s="237"/>
      <c r="Y445" s="237"/>
      <c r="Z445" s="237"/>
      <c r="AA445" s="237"/>
      <c r="AB445" s="237"/>
      <c r="AC445" s="237"/>
      <c r="AD445" s="237"/>
      <c r="AE445" s="237"/>
      <c r="AF445" s="237"/>
      <c r="AG445" s="237"/>
      <c r="AI445" s="193"/>
      <c r="AJ445" s="193"/>
    </row>
    <row r="446" spans="2:36" x14ac:dyDescent="0.35">
      <c r="B446" s="193" t="e">
        <f>"2024"&amp;MATCH(Totals!D446,OrgType,0)&amp;"_"&amp;MATCH(Totals!E446,Organisations,0)&amp;"_"&amp;LEFT(Totals!F446,1)&amp;"_"&amp;LEFT(G446,1)&amp;"_"&amp;COUNTIF($G$3:G446,G446)</f>
        <v>#N/A</v>
      </c>
      <c r="C446" s="193">
        <v>2025</v>
      </c>
      <c r="D446" s="193">
        <f>Introduction!$D$7</f>
        <v>0</v>
      </c>
      <c r="E446" s="193">
        <f>Introduction!$D$8</f>
        <v>0</v>
      </c>
      <c r="F446" s="193" t="s">
        <v>488</v>
      </c>
      <c r="G446" s="193" t="s">
        <v>489</v>
      </c>
      <c r="H446" s="195">
        <f>'Site Information'!B450</f>
        <v>0</v>
      </c>
      <c r="I446" s="194"/>
      <c r="J446" s="193">
        <f>'Site Information'!C450</f>
        <v>0</v>
      </c>
      <c r="K446" s="193">
        <f>'Site Information'!D450</f>
        <v>0</v>
      </c>
      <c r="L446" s="193">
        <f>'Site Information'!E450</f>
        <v>0</v>
      </c>
      <c r="M446" s="237"/>
      <c r="N446" s="237"/>
      <c r="O446" s="237"/>
      <c r="P446" s="237"/>
      <c r="Q446" s="237"/>
      <c r="R446" s="193">
        <f>'Site Information'!F450</f>
        <v>0</v>
      </c>
      <c r="S446" s="237"/>
      <c r="T446" s="237"/>
      <c r="U446" s="237"/>
      <c r="V446" s="237"/>
      <c r="W446" s="237"/>
      <c r="X446" s="237"/>
      <c r="Y446" s="237"/>
      <c r="Z446" s="237"/>
      <c r="AA446" s="237"/>
      <c r="AB446" s="237"/>
      <c r="AC446" s="237"/>
      <c r="AD446" s="237"/>
      <c r="AE446" s="237"/>
      <c r="AF446" s="237"/>
      <c r="AG446" s="237"/>
      <c r="AI446" s="193"/>
      <c r="AJ446" s="193"/>
    </row>
    <row r="447" spans="2:36" x14ac:dyDescent="0.35">
      <c r="B447" s="193" t="e">
        <f>"2024"&amp;MATCH(Totals!D447,OrgType,0)&amp;"_"&amp;MATCH(Totals!E447,Organisations,0)&amp;"_"&amp;LEFT(Totals!F447,1)&amp;"_"&amp;LEFT(G447,1)&amp;"_"&amp;COUNTIF($G$3:G447,G447)</f>
        <v>#N/A</v>
      </c>
      <c r="C447" s="193">
        <v>2025</v>
      </c>
      <c r="D447" s="193">
        <f>Introduction!$D$7</f>
        <v>0</v>
      </c>
      <c r="E447" s="193">
        <f>Introduction!$D$8</f>
        <v>0</v>
      </c>
      <c r="F447" s="193" t="s">
        <v>488</v>
      </c>
      <c r="G447" s="193" t="s">
        <v>489</v>
      </c>
      <c r="H447" s="195">
        <f>'Site Information'!B451</f>
        <v>0</v>
      </c>
      <c r="I447" s="194"/>
      <c r="J447" s="193">
        <f>'Site Information'!C451</f>
        <v>0</v>
      </c>
      <c r="K447" s="193">
        <f>'Site Information'!D451</f>
        <v>0</v>
      </c>
      <c r="L447" s="193">
        <f>'Site Information'!E451</f>
        <v>0</v>
      </c>
      <c r="M447" s="237"/>
      <c r="N447" s="237"/>
      <c r="O447" s="237"/>
      <c r="P447" s="237"/>
      <c r="Q447" s="237"/>
      <c r="R447" s="193">
        <f>'Site Information'!F451</f>
        <v>0</v>
      </c>
      <c r="S447" s="237"/>
      <c r="T447" s="237"/>
      <c r="U447" s="237"/>
      <c r="V447" s="237"/>
      <c r="W447" s="237"/>
      <c r="X447" s="237"/>
      <c r="Y447" s="237"/>
      <c r="Z447" s="237"/>
      <c r="AA447" s="237"/>
      <c r="AB447" s="237"/>
      <c r="AC447" s="237"/>
      <c r="AD447" s="237"/>
      <c r="AE447" s="237"/>
      <c r="AF447" s="237"/>
      <c r="AG447" s="237"/>
      <c r="AI447" s="193"/>
      <c r="AJ447" s="193"/>
    </row>
    <row r="448" spans="2:36" x14ac:dyDescent="0.35">
      <c r="B448" s="193" t="e">
        <f>"2024"&amp;MATCH(Totals!D448,OrgType,0)&amp;"_"&amp;MATCH(Totals!E448,Organisations,0)&amp;"_"&amp;LEFT(Totals!F448,1)&amp;"_"&amp;LEFT(G448,1)&amp;"_"&amp;COUNTIF($G$3:G448,G448)</f>
        <v>#N/A</v>
      </c>
      <c r="C448" s="193">
        <v>2025</v>
      </c>
      <c r="D448" s="193">
        <f>Introduction!$D$7</f>
        <v>0</v>
      </c>
      <c r="E448" s="193">
        <f>Introduction!$D$8</f>
        <v>0</v>
      </c>
      <c r="F448" s="193" t="s">
        <v>488</v>
      </c>
      <c r="G448" s="193" t="s">
        <v>489</v>
      </c>
      <c r="H448" s="195">
        <f>'Site Information'!B452</f>
        <v>0</v>
      </c>
      <c r="I448" s="194"/>
      <c r="J448" s="193">
        <f>'Site Information'!C452</f>
        <v>0</v>
      </c>
      <c r="K448" s="193">
        <f>'Site Information'!D452</f>
        <v>0</v>
      </c>
      <c r="L448" s="193">
        <f>'Site Information'!E452</f>
        <v>0</v>
      </c>
      <c r="M448" s="237"/>
      <c r="N448" s="237"/>
      <c r="O448" s="237"/>
      <c r="P448" s="237"/>
      <c r="Q448" s="237"/>
      <c r="R448" s="193">
        <f>'Site Information'!F452</f>
        <v>0</v>
      </c>
      <c r="S448" s="237"/>
      <c r="T448" s="237"/>
      <c r="U448" s="237"/>
      <c r="V448" s="237"/>
      <c r="W448" s="237"/>
      <c r="X448" s="237"/>
      <c r="Y448" s="237"/>
      <c r="Z448" s="237"/>
      <c r="AA448" s="237"/>
      <c r="AB448" s="237"/>
      <c r="AC448" s="237"/>
      <c r="AD448" s="237"/>
      <c r="AE448" s="237"/>
      <c r="AF448" s="237"/>
      <c r="AG448" s="237"/>
      <c r="AI448" s="193"/>
      <c r="AJ448" s="193"/>
    </row>
    <row r="449" spans="2:36" x14ac:dyDescent="0.35">
      <c r="B449" s="193" t="e">
        <f>"2024"&amp;MATCH(Totals!D449,OrgType,0)&amp;"_"&amp;MATCH(Totals!E449,Organisations,0)&amp;"_"&amp;LEFT(Totals!F449,1)&amp;"_"&amp;LEFT(G449,1)&amp;"_"&amp;COUNTIF($G$3:G449,G449)</f>
        <v>#N/A</v>
      </c>
      <c r="C449" s="193">
        <v>2025</v>
      </c>
      <c r="D449" s="193">
        <f>Introduction!$D$7</f>
        <v>0</v>
      </c>
      <c r="E449" s="193">
        <f>Introduction!$D$8</f>
        <v>0</v>
      </c>
      <c r="F449" s="193" t="s">
        <v>488</v>
      </c>
      <c r="G449" s="193" t="s">
        <v>489</v>
      </c>
      <c r="H449" s="195">
        <f>'Site Information'!B453</f>
        <v>0</v>
      </c>
      <c r="I449" s="194"/>
      <c r="J449" s="193">
        <f>'Site Information'!C453</f>
        <v>0</v>
      </c>
      <c r="K449" s="193">
        <f>'Site Information'!D453</f>
        <v>0</v>
      </c>
      <c r="L449" s="193">
        <f>'Site Information'!E453</f>
        <v>0</v>
      </c>
      <c r="M449" s="237"/>
      <c r="N449" s="237"/>
      <c r="O449" s="237"/>
      <c r="P449" s="237"/>
      <c r="Q449" s="237"/>
      <c r="R449" s="193">
        <f>'Site Information'!F453</f>
        <v>0</v>
      </c>
      <c r="S449" s="237"/>
      <c r="T449" s="237"/>
      <c r="U449" s="237"/>
      <c r="V449" s="237"/>
      <c r="W449" s="237"/>
      <c r="X449" s="237"/>
      <c r="Y449" s="237"/>
      <c r="Z449" s="237"/>
      <c r="AA449" s="237"/>
      <c r="AB449" s="237"/>
      <c r="AC449" s="237"/>
      <c r="AD449" s="237"/>
      <c r="AE449" s="237"/>
      <c r="AF449" s="237"/>
      <c r="AG449" s="237"/>
      <c r="AI449" s="193"/>
      <c r="AJ449" s="193"/>
    </row>
    <row r="450" spans="2:36" x14ac:dyDescent="0.35">
      <c r="B450" s="193" t="e">
        <f>"2024"&amp;MATCH(Totals!D450,OrgType,0)&amp;"_"&amp;MATCH(Totals!E450,Organisations,0)&amp;"_"&amp;LEFT(Totals!F450,1)&amp;"_"&amp;LEFT(G450,1)&amp;"_"&amp;COUNTIF($G$3:G450,G450)</f>
        <v>#N/A</v>
      </c>
      <c r="C450" s="193">
        <v>2025</v>
      </c>
      <c r="D450" s="193">
        <f>Introduction!$D$7</f>
        <v>0</v>
      </c>
      <c r="E450" s="193">
        <f>Introduction!$D$8</f>
        <v>0</v>
      </c>
      <c r="F450" s="193" t="s">
        <v>488</v>
      </c>
      <c r="G450" s="193" t="s">
        <v>489</v>
      </c>
      <c r="H450" s="195">
        <f>'Site Information'!B454</f>
        <v>0</v>
      </c>
      <c r="I450" s="194"/>
      <c r="J450" s="193">
        <f>'Site Information'!C454</f>
        <v>0</v>
      </c>
      <c r="K450" s="193">
        <f>'Site Information'!D454</f>
        <v>0</v>
      </c>
      <c r="L450" s="193">
        <f>'Site Information'!E454</f>
        <v>0</v>
      </c>
      <c r="M450" s="237"/>
      <c r="N450" s="237"/>
      <c r="O450" s="237"/>
      <c r="P450" s="237"/>
      <c r="Q450" s="237"/>
      <c r="R450" s="193">
        <f>'Site Information'!F454</f>
        <v>0</v>
      </c>
      <c r="S450" s="237"/>
      <c r="T450" s="237"/>
      <c r="U450" s="237"/>
      <c r="V450" s="237"/>
      <c r="W450" s="237"/>
      <c r="X450" s="237"/>
      <c r="Y450" s="237"/>
      <c r="Z450" s="237"/>
      <c r="AA450" s="237"/>
      <c r="AB450" s="237"/>
      <c r="AC450" s="237"/>
      <c r="AD450" s="237"/>
      <c r="AE450" s="237"/>
      <c r="AF450" s="237"/>
      <c r="AG450" s="237"/>
      <c r="AI450" s="193"/>
      <c r="AJ450" s="193"/>
    </row>
    <row r="451" spans="2:36" x14ac:dyDescent="0.35">
      <c r="B451" s="193" t="e">
        <f>"2024"&amp;MATCH(Totals!D451,OrgType,0)&amp;"_"&amp;MATCH(Totals!E451,Organisations,0)&amp;"_"&amp;LEFT(Totals!F451,1)&amp;"_"&amp;LEFT(G451,1)&amp;"_"&amp;COUNTIF($G$3:G451,G451)</f>
        <v>#N/A</v>
      </c>
      <c r="C451" s="193">
        <v>2025</v>
      </c>
      <c r="D451" s="193">
        <f>Introduction!$D$7</f>
        <v>0</v>
      </c>
      <c r="E451" s="193">
        <f>Introduction!$D$8</f>
        <v>0</v>
      </c>
      <c r="F451" s="193" t="s">
        <v>488</v>
      </c>
      <c r="G451" s="193" t="s">
        <v>489</v>
      </c>
      <c r="H451" s="195">
        <f>'Site Information'!B455</f>
        <v>0</v>
      </c>
      <c r="I451" s="194"/>
      <c r="J451" s="193">
        <f>'Site Information'!C455</f>
        <v>0</v>
      </c>
      <c r="K451" s="193">
        <f>'Site Information'!D455</f>
        <v>0</v>
      </c>
      <c r="L451" s="193">
        <f>'Site Information'!E455</f>
        <v>0</v>
      </c>
      <c r="M451" s="237"/>
      <c r="N451" s="237"/>
      <c r="O451" s="237"/>
      <c r="P451" s="237"/>
      <c r="Q451" s="237"/>
      <c r="R451" s="193">
        <f>'Site Information'!F455</f>
        <v>0</v>
      </c>
      <c r="S451" s="237"/>
      <c r="T451" s="237"/>
      <c r="U451" s="237"/>
      <c r="V451" s="237"/>
      <c r="W451" s="237"/>
      <c r="X451" s="237"/>
      <c r="Y451" s="237"/>
      <c r="Z451" s="237"/>
      <c r="AA451" s="237"/>
      <c r="AB451" s="237"/>
      <c r="AC451" s="237"/>
      <c r="AD451" s="237"/>
      <c r="AE451" s="237"/>
      <c r="AF451" s="237"/>
      <c r="AG451" s="237"/>
      <c r="AI451" s="193"/>
      <c r="AJ451" s="193"/>
    </row>
    <row r="452" spans="2:36" x14ac:dyDescent="0.35">
      <c r="B452" s="193" t="e">
        <f>"2024"&amp;MATCH(Totals!D452,OrgType,0)&amp;"_"&amp;MATCH(Totals!E452,Organisations,0)&amp;"_"&amp;LEFT(Totals!F452,1)&amp;"_"&amp;LEFT(G452,1)&amp;"_"&amp;COUNTIF($G$3:G452,G452)</f>
        <v>#N/A</v>
      </c>
      <c r="C452" s="193">
        <v>2025</v>
      </c>
      <c r="D452" s="193">
        <f>Introduction!$D$7</f>
        <v>0</v>
      </c>
      <c r="E452" s="193">
        <f>Introduction!$D$8</f>
        <v>0</v>
      </c>
      <c r="F452" s="193" t="s">
        <v>488</v>
      </c>
      <c r="G452" s="193" t="s">
        <v>489</v>
      </c>
      <c r="H452" s="195">
        <f>'Site Information'!B456</f>
        <v>0</v>
      </c>
      <c r="I452" s="194"/>
      <c r="J452" s="193">
        <f>'Site Information'!C456</f>
        <v>0</v>
      </c>
      <c r="K452" s="193">
        <f>'Site Information'!D456</f>
        <v>0</v>
      </c>
      <c r="L452" s="193">
        <f>'Site Information'!E456</f>
        <v>0</v>
      </c>
      <c r="M452" s="237"/>
      <c r="N452" s="237"/>
      <c r="O452" s="237"/>
      <c r="P452" s="237"/>
      <c r="Q452" s="237"/>
      <c r="R452" s="193">
        <f>'Site Information'!F456</f>
        <v>0</v>
      </c>
      <c r="S452" s="237"/>
      <c r="T452" s="237"/>
      <c r="U452" s="237"/>
      <c r="V452" s="237"/>
      <c r="W452" s="237"/>
      <c r="X452" s="237"/>
      <c r="Y452" s="237"/>
      <c r="Z452" s="237"/>
      <c r="AA452" s="237"/>
      <c r="AB452" s="237"/>
      <c r="AC452" s="237"/>
      <c r="AD452" s="237"/>
      <c r="AE452" s="237"/>
      <c r="AF452" s="237"/>
      <c r="AG452" s="237"/>
      <c r="AI452" s="193"/>
      <c r="AJ452" s="193"/>
    </row>
    <row r="453" spans="2:36" x14ac:dyDescent="0.35">
      <c r="B453" s="193" t="e">
        <f>"2024"&amp;MATCH(Totals!D453,OrgType,0)&amp;"_"&amp;MATCH(Totals!E453,Organisations,0)&amp;"_"&amp;LEFT(Totals!F453,1)&amp;"_"&amp;LEFT(G453,1)&amp;"_"&amp;COUNTIF($G$3:G453,G453)</f>
        <v>#N/A</v>
      </c>
      <c r="C453" s="193">
        <v>2025</v>
      </c>
      <c r="D453" s="193">
        <f>Introduction!$D$7</f>
        <v>0</v>
      </c>
      <c r="E453" s="193">
        <f>Introduction!$D$8</f>
        <v>0</v>
      </c>
      <c r="F453" s="193" t="s">
        <v>488</v>
      </c>
      <c r="G453" s="193" t="s">
        <v>489</v>
      </c>
      <c r="H453" s="195">
        <f>'Site Information'!B457</f>
        <v>0</v>
      </c>
      <c r="I453" s="194"/>
      <c r="J453" s="193">
        <f>'Site Information'!C457</f>
        <v>0</v>
      </c>
      <c r="K453" s="193">
        <f>'Site Information'!D457</f>
        <v>0</v>
      </c>
      <c r="L453" s="193">
        <f>'Site Information'!E457</f>
        <v>0</v>
      </c>
      <c r="M453" s="237"/>
      <c r="N453" s="237"/>
      <c r="O453" s="237"/>
      <c r="P453" s="237"/>
      <c r="Q453" s="237"/>
      <c r="R453" s="193">
        <f>'Site Information'!F457</f>
        <v>0</v>
      </c>
      <c r="S453" s="237"/>
      <c r="T453" s="237"/>
      <c r="U453" s="237"/>
      <c r="V453" s="237"/>
      <c r="W453" s="237"/>
      <c r="X453" s="237"/>
      <c r="Y453" s="237"/>
      <c r="Z453" s="237"/>
      <c r="AA453" s="237"/>
      <c r="AB453" s="237"/>
      <c r="AC453" s="237"/>
      <c r="AD453" s="237"/>
      <c r="AE453" s="237"/>
      <c r="AF453" s="237"/>
      <c r="AG453" s="237"/>
      <c r="AI453" s="193"/>
      <c r="AJ453" s="193"/>
    </row>
    <row r="454" spans="2:36" x14ac:dyDescent="0.35">
      <c r="B454" s="193" t="e">
        <f>"2024"&amp;MATCH(Totals!D454,OrgType,0)&amp;"_"&amp;MATCH(Totals!E454,Organisations,0)&amp;"_"&amp;LEFT(Totals!F454,1)&amp;"_"&amp;LEFT(G454,1)&amp;"_"&amp;COUNTIF($G$3:G454,G454)</f>
        <v>#N/A</v>
      </c>
      <c r="C454" s="193">
        <v>2025</v>
      </c>
      <c r="D454" s="193">
        <f>Introduction!$D$7</f>
        <v>0</v>
      </c>
      <c r="E454" s="193">
        <f>Introduction!$D$8</f>
        <v>0</v>
      </c>
      <c r="F454" s="193" t="s">
        <v>488</v>
      </c>
      <c r="G454" s="193" t="s">
        <v>489</v>
      </c>
      <c r="H454" s="195">
        <f>'Site Information'!B458</f>
        <v>0</v>
      </c>
      <c r="I454" s="194"/>
      <c r="J454" s="193">
        <f>'Site Information'!C458</f>
        <v>0</v>
      </c>
      <c r="K454" s="193">
        <f>'Site Information'!D458</f>
        <v>0</v>
      </c>
      <c r="L454" s="193">
        <f>'Site Information'!E458</f>
        <v>0</v>
      </c>
      <c r="M454" s="237"/>
      <c r="N454" s="237"/>
      <c r="O454" s="237"/>
      <c r="P454" s="237"/>
      <c r="Q454" s="237"/>
      <c r="R454" s="193">
        <f>'Site Information'!F458</f>
        <v>0</v>
      </c>
      <c r="S454" s="237"/>
      <c r="T454" s="237"/>
      <c r="U454" s="237"/>
      <c r="V454" s="237"/>
      <c r="W454" s="237"/>
      <c r="X454" s="237"/>
      <c r="Y454" s="237"/>
      <c r="Z454" s="237"/>
      <c r="AA454" s="237"/>
      <c r="AB454" s="237"/>
      <c r="AC454" s="237"/>
      <c r="AD454" s="237"/>
      <c r="AE454" s="237"/>
      <c r="AF454" s="237"/>
      <c r="AG454" s="237"/>
      <c r="AI454" s="193"/>
      <c r="AJ454" s="193"/>
    </row>
    <row r="455" spans="2:36" x14ac:dyDescent="0.35">
      <c r="B455" s="193" t="e">
        <f>"2024"&amp;MATCH(Totals!D455,OrgType,0)&amp;"_"&amp;MATCH(Totals!E455,Organisations,0)&amp;"_"&amp;LEFT(Totals!F455,1)&amp;"_"&amp;LEFT(G455,1)&amp;"_"&amp;COUNTIF($G$3:G455,G455)</f>
        <v>#N/A</v>
      </c>
      <c r="C455" s="193">
        <v>2025</v>
      </c>
      <c r="D455" s="193">
        <f>Introduction!$D$7</f>
        <v>0</v>
      </c>
      <c r="E455" s="193">
        <f>Introduction!$D$8</f>
        <v>0</v>
      </c>
      <c r="F455" s="193" t="s">
        <v>488</v>
      </c>
      <c r="G455" s="193" t="s">
        <v>489</v>
      </c>
      <c r="H455" s="195">
        <f>'Site Information'!B459</f>
        <v>0</v>
      </c>
      <c r="I455" s="194"/>
      <c r="J455" s="193">
        <f>'Site Information'!C459</f>
        <v>0</v>
      </c>
      <c r="K455" s="193">
        <f>'Site Information'!D459</f>
        <v>0</v>
      </c>
      <c r="L455" s="193">
        <f>'Site Information'!E459</f>
        <v>0</v>
      </c>
      <c r="M455" s="237"/>
      <c r="N455" s="237"/>
      <c r="O455" s="237"/>
      <c r="P455" s="237"/>
      <c r="Q455" s="237"/>
      <c r="R455" s="193">
        <f>'Site Information'!F459</f>
        <v>0</v>
      </c>
      <c r="S455" s="237"/>
      <c r="T455" s="237"/>
      <c r="U455" s="237"/>
      <c r="V455" s="237"/>
      <c r="W455" s="237"/>
      <c r="X455" s="237"/>
      <c r="Y455" s="237"/>
      <c r="Z455" s="237"/>
      <c r="AA455" s="237"/>
      <c r="AB455" s="237"/>
      <c r="AC455" s="237"/>
      <c r="AD455" s="237"/>
      <c r="AE455" s="237"/>
      <c r="AF455" s="237"/>
      <c r="AG455" s="237"/>
      <c r="AI455" s="193"/>
      <c r="AJ455" s="193"/>
    </row>
    <row r="456" spans="2:36" x14ac:dyDescent="0.35">
      <c r="B456" s="193" t="e">
        <f>"2024"&amp;MATCH(Totals!D456,OrgType,0)&amp;"_"&amp;MATCH(Totals!E456,Organisations,0)&amp;"_"&amp;LEFT(Totals!F456,1)&amp;"_"&amp;LEFT(G456,1)&amp;"_"&amp;COUNTIF($G$3:G456,G456)</f>
        <v>#N/A</v>
      </c>
      <c r="C456" s="193">
        <v>2025</v>
      </c>
      <c r="D456" s="193">
        <f>Introduction!$D$7</f>
        <v>0</v>
      </c>
      <c r="E456" s="193">
        <f>Introduction!$D$8</f>
        <v>0</v>
      </c>
      <c r="F456" s="193" t="s">
        <v>488</v>
      </c>
      <c r="G456" s="193" t="s">
        <v>489</v>
      </c>
      <c r="H456" s="195">
        <f>'Site Information'!B460</f>
        <v>0</v>
      </c>
      <c r="I456" s="194"/>
      <c r="J456" s="193">
        <f>'Site Information'!C460</f>
        <v>0</v>
      </c>
      <c r="K456" s="193">
        <f>'Site Information'!D460</f>
        <v>0</v>
      </c>
      <c r="L456" s="193">
        <f>'Site Information'!E460</f>
        <v>0</v>
      </c>
      <c r="M456" s="237"/>
      <c r="N456" s="237"/>
      <c r="O456" s="237"/>
      <c r="P456" s="237"/>
      <c r="Q456" s="237"/>
      <c r="R456" s="193">
        <f>'Site Information'!F460</f>
        <v>0</v>
      </c>
      <c r="S456" s="237"/>
      <c r="T456" s="237"/>
      <c r="U456" s="237"/>
      <c r="V456" s="237"/>
      <c r="W456" s="237"/>
      <c r="X456" s="237"/>
      <c r="Y456" s="237"/>
      <c r="Z456" s="237"/>
      <c r="AA456" s="237"/>
      <c r="AB456" s="237"/>
      <c r="AC456" s="237"/>
      <c r="AD456" s="237"/>
      <c r="AE456" s="237"/>
      <c r="AF456" s="237"/>
      <c r="AG456" s="237"/>
      <c r="AI456" s="193"/>
      <c r="AJ456" s="193"/>
    </row>
    <row r="457" spans="2:36" x14ac:dyDescent="0.35">
      <c r="B457" s="193" t="e">
        <f>"2024"&amp;MATCH(Totals!D457,OrgType,0)&amp;"_"&amp;MATCH(Totals!E457,Organisations,0)&amp;"_"&amp;LEFT(Totals!F457,1)&amp;"_"&amp;LEFT(G457,1)&amp;"_"&amp;COUNTIF($G$3:G457,G457)</f>
        <v>#N/A</v>
      </c>
      <c r="C457" s="193">
        <v>2025</v>
      </c>
      <c r="D457" s="193">
        <f>Introduction!$D$7</f>
        <v>0</v>
      </c>
      <c r="E457" s="193">
        <f>Introduction!$D$8</f>
        <v>0</v>
      </c>
      <c r="F457" s="193" t="s">
        <v>488</v>
      </c>
      <c r="G457" s="193" t="s">
        <v>489</v>
      </c>
      <c r="H457" s="195">
        <f>'Site Information'!B461</f>
        <v>0</v>
      </c>
      <c r="I457" s="194"/>
      <c r="J457" s="193">
        <f>'Site Information'!C461</f>
        <v>0</v>
      </c>
      <c r="K457" s="193">
        <f>'Site Information'!D461</f>
        <v>0</v>
      </c>
      <c r="L457" s="193">
        <f>'Site Information'!E461</f>
        <v>0</v>
      </c>
      <c r="M457" s="237"/>
      <c r="N457" s="237"/>
      <c r="O457" s="237"/>
      <c r="P457" s="237"/>
      <c r="Q457" s="237"/>
      <c r="R457" s="193">
        <f>'Site Information'!F461</f>
        <v>0</v>
      </c>
      <c r="S457" s="237"/>
      <c r="T457" s="237"/>
      <c r="U457" s="237"/>
      <c r="V457" s="237"/>
      <c r="W457" s="237"/>
      <c r="X457" s="237"/>
      <c r="Y457" s="237"/>
      <c r="Z457" s="237"/>
      <c r="AA457" s="237"/>
      <c r="AB457" s="237"/>
      <c r="AC457" s="237"/>
      <c r="AD457" s="237"/>
      <c r="AE457" s="237"/>
      <c r="AF457" s="237"/>
      <c r="AG457" s="237"/>
      <c r="AI457" s="193"/>
      <c r="AJ457" s="193"/>
    </row>
    <row r="458" spans="2:36" x14ac:dyDescent="0.35">
      <c r="B458" s="193" t="e">
        <f>"2024"&amp;MATCH(Totals!D458,OrgType,0)&amp;"_"&amp;MATCH(Totals!E458,Organisations,0)&amp;"_"&amp;LEFT(Totals!F458,1)&amp;"_"&amp;LEFT(G458,1)&amp;"_"&amp;COUNTIF($G$3:G458,G458)</f>
        <v>#N/A</v>
      </c>
      <c r="C458" s="193">
        <v>2025</v>
      </c>
      <c r="D458" s="193">
        <f>Introduction!$D$7</f>
        <v>0</v>
      </c>
      <c r="E458" s="193">
        <f>Introduction!$D$8</f>
        <v>0</v>
      </c>
      <c r="F458" s="193" t="s">
        <v>488</v>
      </c>
      <c r="G458" s="193" t="s">
        <v>489</v>
      </c>
      <c r="H458" s="195">
        <f>'Site Information'!B462</f>
        <v>0</v>
      </c>
      <c r="I458" s="194"/>
      <c r="J458" s="193">
        <f>'Site Information'!C462</f>
        <v>0</v>
      </c>
      <c r="K458" s="193">
        <f>'Site Information'!D462</f>
        <v>0</v>
      </c>
      <c r="L458" s="193">
        <f>'Site Information'!E462</f>
        <v>0</v>
      </c>
      <c r="M458" s="237"/>
      <c r="N458" s="237"/>
      <c r="O458" s="237"/>
      <c r="P458" s="237"/>
      <c r="Q458" s="237"/>
      <c r="R458" s="193">
        <f>'Site Information'!F462</f>
        <v>0</v>
      </c>
      <c r="S458" s="237"/>
      <c r="T458" s="237"/>
      <c r="U458" s="237"/>
      <c r="V458" s="237"/>
      <c r="W458" s="237"/>
      <c r="X458" s="237"/>
      <c r="Y458" s="237"/>
      <c r="Z458" s="237"/>
      <c r="AA458" s="237"/>
      <c r="AB458" s="237"/>
      <c r="AC458" s="237"/>
      <c r="AD458" s="237"/>
      <c r="AE458" s="237"/>
      <c r="AF458" s="237"/>
      <c r="AG458" s="237"/>
      <c r="AI458" s="193"/>
      <c r="AJ458" s="193"/>
    </row>
    <row r="459" spans="2:36" x14ac:dyDescent="0.35">
      <c r="B459" s="193" t="e">
        <f>"2024"&amp;MATCH(Totals!D459,OrgType,0)&amp;"_"&amp;MATCH(Totals!E459,Organisations,0)&amp;"_"&amp;LEFT(Totals!F459,1)&amp;"_"&amp;LEFT(G459,1)&amp;"_"&amp;COUNTIF($G$3:G459,G459)</f>
        <v>#N/A</v>
      </c>
      <c r="C459" s="193">
        <v>2025</v>
      </c>
      <c r="D459" s="193">
        <f>Introduction!$D$7</f>
        <v>0</v>
      </c>
      <c r="E459" s="193">
        <f>Introduction!$D$8</f>
        <v>0</v>
      </c>
      <c r="F459" s="193" t="s">
        <v>488</v>
      </c>
      <c r="G459" s="193" t="s">
        <v>489</v>
      </c>
      <c r="H459" s="195">
        <f>'Site Information'!B463</f>
        <v>0</v>
      </c>
      <c r="I459" s="194"/>
      <c r="J459" s="193">
        <f>'Site Information'!C463</f>
        <v>0</v>
      </c>
      <c r="K459" s="193">
        <f>'Site Information'!D463</f>
        <v>0</v>
      </c>
      <c r="L459" s="193">
        <f>'Site Information'!E463</f>
        <v>0</v>
      </c>
      <c r="M459" s="237"/>
      <c r="N459" s="237"/>
      <c r="O459" s="237"/>
      <c r="P459" s="237"/>
      <c r="Q459" s="237"/>
      <c r="R459" s="193">
        <f>'Site Information'!F463</f>
        <v>0</v>
      </c>
      <c r="S459" s="237"/>
      <c r="T459" s="237"/>
      <c r="U459" s="237"/>
      <c r="V459" s="237"/>
      <c r="W459" s="237"/>
      <c r="X459" s="237"/>
      <c r="Y459" s="237"/>
      <c r="Z459" s="237"/>
      <c r="AA459" s="237"/>
      <c r="AB459" s="237"/>
      <c r="AC459" s="237"/>
      <c r="AD459" s="237"/>
      <c r="AE459" s="237"/>
      <c r="AF459" s="237"/>
      <c r="AG459" s="237"/>
      <c r="AI459" s="193"/>
      <c r="AJ459" s="193"/>
    </row>
    <row r="460" spans="2:36" x14ac:dyDescent="0.35">
      <c r="B460" s="193" t="e">
        <f>"2024"&amp;MATCH(Totals!D460,OrgType,0)&amp;"_"&amp;MATCH(Totals!E460,Organisations,0)&amp;"_"&amp;LEFT(Totals!F460,1)&amp;"_"&amp;LEFT(G460,1)&amp;"_"&amp;COUNTIF($G$3:G460,G460)</f>
        <v>#N/A</v>
      </c>
      <c r="C460" s="193">
        <v>2025</v>
      </c>
      <c r="D460" s="193">
        <f>Introduction!$D$7</f>
        <v>0</v>
      </c>
      <c r="E460" s="193">
        <f>Introduction!$D$8</f>
        <v>0</v>
      </c>
      <c r="F460" s="193" t="s">
        <v>488</v>
      </c>
      <c r="G460" s="193" t="s">
        <v>489</v>
      </c>
      <c r="H460" s="195">
        <f>'Site Information'!B464</f>
        <v>0</v>
      </c>
      <c r="I460" s="194"/>
      <c r="J460" s="193">
        <f>'Site Information'!C464</f>
        <v>0</v>
      </c>
      <c r="K460" s="193">
        <f>'Site Information'!D464</f>
        <v>0</v>
      </c>
      <c r="L460" s="193">
        <f>'Site Information'!E464</f>
        <v>0</v>
      </c>
      <c r="M460" s="237"/>
      <c r="N460" s="237"/>
      <c r="O460" s="237"/>
      <c r="P460" s="237"/>
      <c r="Q460" s="237"/>
      <c r="R460" s="193">
        <f>'Site Information'!F464</f>
        <v>0</v>
      </c>
      <c r="S460" s="237"/>
      <c r="T460" s="237"/>
      <c r="U460" s="237"/>
      <c r="V460" s="237"/>
      <c r="W460" s="237"/>
      <c r="X460" s="237"/>
      <c r="Y460" s="237"/>
      <c r="Z460" s="237"/>
      <c r="AA460" s="237"/>
      <c r="AB460" s="237"/>
      <c r="AC460" s="237"/>
      <c r="AD460" s="237"/>
      <c r="AE460" s="237"/>
      <c r="AF460" s="237"/>
      <c r="AG460" s="237"/>
      <c r="AI460" s="193"/>
      <c r="AJ460" s="193"/>
    </row>
    <row r="461" spans="2:36" x14ac:dyDescent="0.35">
      <c r="B461" s="193" t="e">
        <f>"2024"&amp;MATCH(Totals!D461,OrgType,0)&amp;"_"&amp;MATCH(Totals!E461,Organisations,0)&amp;"_"&amp;LEFT(Totals!F461,1)&amp;"_"&amp;LEFT(G461,1)&amp;"_"&amp;COUNTIF($G$3:G461,G461)</f>
        <v>#N/A</v>
      </c>
      <c r="C461" s="193">
        <v>2025</v>
      </c>
      <c r="D461" s="193">
        <f>Introduction!$D$7</f>
        <v>0</v>
      </c>
      <c r="E461" s="193">
        <f>Introduction!$D$8</f>
        <v>0</v>
      </c>
      <c r="F461" s="193" t="s">
        <v>488</v>
      </c>
      <c r="G461" s="193" t="s">
        <v>489</v>
      </c>
      <c r="H461" s="195">
        <f>'Site Information'!B465</f>
        <v>0</v>
      </c>
      <c r="I461" s="194"/>
      <c r="J461" s="193">
        <f>'Site Information'!C465</f>
        <v>0</v>
      </c>
      <c r="K461" s="193">
        <f>'Site Information'!D465</f>
        <v>0</v>
      </c>
      <c r="L461" s="193">
        <f>'Site Information'!E465</f>
        <v>0</v>
      </c>
      <c r="M461" s="237"/>
      <c r="N461" s="237"/>
      <c r="O461" s="237"/>
      <c r="P461" s="237"/>
      <c r="Q461" s="237"/>
      <c r="R461" s="193">
        <f>'Site Information'!F465</f>
        <v>0</v>
      </c>
      <c r="S461" s="237"/>
      <c r="T461" s="237"/>
      <c r="U461" s="237"/>
      <c r="V461" s="237"/>
      <c r="W461" s="237"/>
      <c r="X461" s="237"/>
      <c r="Y461" s="237"/>
      <c r="Z461" s="237"/>
      <c r="AA461" s="237"/>
      <c r="AB461" s="237"/>
      <c r="AC461" s="237"/>
      <c r="AD461" s="237"/>
      <c r="AE461" s="237"/>
      <c r="AF461" s="237"/>
      <c r="AG461" s="237"/>
      <c r="AI461" s="193"/>
      <c r="AJ461" s="193"/>
    </row>
    <row r="462" spans="2:36" x14ac:dyDescent="0.35">
      <c r="B462" s="193" t="e">
        <f>"2024"&amp;MATCH(Totals!D462,OrgType,0)&amp;"_"&amp;MATCH(Totals!E462,Organisations,0)&amp;"_"&amp;LEFT(Totals!F462,1)&amp;"_"&amp;LEFT(G462,1)&amp;"_"&amp;COUNTIF($G$3:G462,G462)</f>
        <v>#N/A</v>
      </c>
      <c r="C462" s="193">
        <v>2025</v>
      </c>
      <c r="D462" s="193">
        <f>Introduction!$D$7</f>
        <v>0</v>
      </c>
      <c r="E462" s="193">
        <f>Introduction!$D$8</f>
        <v>0</v>
      </c>
      <c r="F462" s="193" t="s">
        <v>488</v>
      </c>
      <c r="G462" s="193" t="s">
        <v>489</v>
      </c>
      <c r="H462" s="195">
        <f>'Site Information'!B466</f>
        <v>0</v>
      </c>
      <c r="I462" s="194"/>
      <c r="J462" s="193">
        <f>'Site Information'!C466</f>
        <v>0</v>
      </c>
      <c r="K462" s="193">
        <f>'Site Information'!D466</f>
        <v>0</v>
      </c>
      <c r="L462" s="193">
        <f>'Site Information'!E466</f>
        <v>0</v>
      </c>
      <c r="M462" s="237"/>
      <c r="N462" s="237"/>
      <c r="O462" s="237"/>
      <c r="P462" s="237"/>
      <c r="Q462" s="237"/>
      <c r="R462" s="193">
        <f>'Site Information'!F466</f>
        <v>0</v>
      </c>
      <c r="S462" s="237"/>
      <c r="T462" s="237"/>
      <c r="U462" s="237"/>
      <c r="V462" s="237"/>
      <c r="W462" s="237"/>
      <c r="X462" s="237"/>
      <c r="Y462" s="237"/>
      <c r="Z462" s="237"/>
      <c r="AA462" s="237"/>
      <c r="AB462" s="237"/>
      <c r="AC462" s="237"/>
      <c r="AD462" s="237"/>
      <c r="AE462" s="237"/>
      <c r="AF462" s="237"/>
      <c r="AG462" s="237"/>
      <c r="AI462" s="193"/>
      <c r="AJ462" s="193"/>
    </row>
    <row r="463" spans="2:36" x14ac:dyDescent="0.35">
      <c r="B463" s="193" t="e">
        <f>"2024"&amp;MATCH(Totals!D463,OrgType,0)&amp;"_"&amp;MATCH(Totals!E463,Organisations,0)&amp;"_"&amp;LEFT(Totals!F463,1)&amp;"_"&amp;LEFT(G463,1)&amp;"_"&amp;COUNTIF($G$3:G463,G463)</f>
        <v>#N/A</v>
      </c>
      <c r="C463" s="193">
        <v>2025</v>
      </c>
      <c r="D463" s="193">
        <f>Introduction!$D$7</f>
        <v>0</v>
      </c>
      <c r="E463" s="193">
        <f>Introduction!$D$8</f>
        <v>0</v>
      </c>
      <c r="F463" s="193" t="s">
        <v>488</v>
      </c>
      <c r="G463" s="193" t="s">
        <v>489</v>
      </c>
      <c r="H463" s="195">
        <f>'Site Information'!B467</f>
        <v>0</v>
      </c>
      <c r="I463" s="194"/>
      <c r="J463" s="193">
        <f>'Site Information'!C467</f>
        <v>0</v>
      </c>
      <c r="K463" s="193">
        <f>'Site Information'!D467</f>
        <v>0</v>
      </c>
      <c r="L463" s="193">
        <f>'Site Information'!E467</f>
        <v>0</v>
      </c>
      <c r="M463" s="237"/>
      <c r="N463" s="237"/>
      <c r="O463" s="237"/>
      <c r="P463" s="237"/>
      <c r="Q463" s="237"/>
      <c r="R463" s="193">
        <f>'Site Information'!F467</f>
        <v>0</v>
      </c>
      <c r="S463" s="237"/>
      <c r="T463" s="237"/>
      <c r="U463" s="237"/>
      <c r="V463" s="237"/>
      <c r="W463" s="237"/>
      <c r="X463" s="237"/>
      <c r="Y463" s="237"/>
      <c r="Z463" s="237"/>
      <c r="AA463" s="237"/>
      <c r="AB463" s="237"/>
      <c r="AC463" s="237"/>
      <c r="AD463" s="237"/>
      <c r="AE463" s="237"/>
      <c r="AF463" s="237"/>
      <c r="AG463" s="237"/>
      <c r="AI463" s="193"/>
      <c r="AJ463" s="193"/>
    </row>
    <row r="464" spans="2:36" x14ac:dyDescent="0.35">
      <c r="B464" s="193" t="e">
        <f>"2024"&amp;MATCH(Totals!D464,OrgType,0)&amp;"_"&amp;MATCH(Totals!E464,Organisations,0)&amp;"_"&amp;LEFT(Totals!F464,1)&amp;"_"&amp;LEFT(G464,1)&amp;"_"&amp;COUNTIF($G$3:G464,G464)</f>
        <v>#N/A</v>
      </c>
      <c r="C464" s="193">
        <v>2025</v>
      </c>
      <c r="D464" s="193">
        <f>Introduction!$D$7</f>
        <v>0</v>
      </c>
      <c r="E464" s="193">
        <f>Introduction!$D$8</f>
        <v>0</v>
      </c>
      <c r="F464" s="193" t="s">
        <v>488</v>
      </c>
      <c r="G464" s="193" t="s">
        <v>489</v>
      </c>
      <c r="H464" s="195">
        <f>'Site Information'!B468</f>
        <v>0</v>
      </c>
      <c r="I464" s="194"/>
      <c r="J464" s="193">
        <f>'Site Information'!C468</f>
        <v>0</v>
      </c>
      <c r="K464" s="193">
        <f>'Site Information'!D468</f>
        <v>0</v>
      </c>
      <c r="L464" s="193">
        <f>'Site Information'!E468</f>
        <v>0</v>
      </c>
      <c r="M464" s="237"/>
      <c r="N464" s="237"/>
      <c r="O464" s="237"/>
      <c r="P464" s="237"/>
      <c r="Q464" s="237"/>
      <c r="R464" s="193">
        <f>'Site Information'!F468</f>
        <v>0</v>
      </c>
      <c r="S464" s="237"/>
      <c r="T464" s="237"/>
      <c r="U464" s="237"/>
      <c r="V464" s="237"/>
      <c r="W464" s="237"/>
      <c r="X464" s="237"/>
      <c r="Y464" s="237"/>
      <c r="Z464" s="237"/>
      <c r="AA464" s="237"/>
      <c r="AB464" s="237"/>
      <c r="AC464" s="237"/>
      <c r="AD464" s="237"/>
      <c r="AE464" s="237"/>
      <c r="AF464" s="237"/>
      <c r="AG464" s="237"/>
      <c r="AI464" s="193"/>
      <c r="AJ464" s="193"/>
    </row>
    <row r="465" spans="2:36" x14ac:dyDescent="0.35">
      <c r="B465" s="193" t="e">
        <f>"2024"&amp;MATCH(Totals!D465,OrgType,0)&amp;"_"&amp;MATCH(Totals!E465,Organisations,0)&amp;"_"&amp;LEFT(Totals!F465,1)&amp;"_"&amp;LEFT(G465,1)&amp;"_"&amp;COUNTIF($G$3:G465,G465)</f>
        <v>#N/A</v>
      </c>
      <c r="C465" s="193">
        <v>2025</v>
      </c>
      <c r="D465" s="193">
        <f>Introduction!$D$7</f>
        <v>0</v>
      </c>
      <c r="E465" s="193">
        <f>Introduction!$D$8</f>
        <v>0</v>
      </c>
      <c r="F465" s="193" t="s">
        <v>488</v>
      </c>
      <c r="G465" s="193" t="s">
        <v>489</v>
      </c>
      <c r="H465" s="195">
        <f>'Site Information'!B469</f>
        <v>0</v>
      </c>
      <c r="I465" s="194"/>
      <c r="J465" s="193">
        <f>'Site Information'!C469</f>
        <v>0</v>
      </c>
      <c r="K465" s="193">
        <f>'Site Information'!D469</f>
        <v>0</v>
      </c>
      <c r="L465" s="193">
        <f>'Site Information'!E469</f>
        <v>0</v>
      </c>
      <c r="M465" s="237"/>
      <c r="N465" s="237"/>
      <c r="O465" s="237"/>
      <c r="P465" s="237"/>
      <c r="Q465" s="237"/>
      <c r="R465" s="193">
        <f>'Site Information'!F469</f>
        <v>0</v>
      </c>
      <c r="S465" s="237"/>
      <c r="T465" s="237"/>
      <c r="U465" s="237"/>
      <c r="V465" s="237"/>
      <c r="W465" s="237"/>
      <c r="X465" s="237"/>
      <c r="Y465" s="237"/>
      <c r="Z465" s="237"/>
      <c r="AA465" s="237"/>
      <c r="AB465" s="237"/>
      <c r="AC465" s="237"/>
      <c r="AD465" s="237"/>
      <c r="AE465" s="237"/>
      <c r="AF465" s="237"/>
      <c r="AG465" s="237"/>
      <c r="AI465" s="193"/>
      <c r="AJ465" s="193"/>
    </row>
    <row r="466" spans="2:36" x14ac:dyDescent="0.35">
      <c r="B466" s="193" t="e">
        <f>"2024"&amp;MATCH(Totals!D466,OrgType,0)&amp;"_"&amp;MATCH(Totals!E466,Organisations,0)&amp;"_"&amp;LEFT(Totals!F466,1)&amp;"_"&amp;LEFT(G466,1)&amp;"_"&amp;COUNTIF($G$3:G466,G466)</f>
        <v>#N/A</v>
      </c>
      <c r="C466" s="193">
        <v>2025</v>
      </c>
      <c r="D466" s="193">
        <f>Introduction!$D$7</f>
        <v>0</v>
      </c>
      <c r="E466" s="193">
        <f>Introduction!$D$8</f>
        <v>0</v>
      </c>
      <c r="F466" s="193" t="s">
        <v>488</v>
      </c>
      <c r="G466" s="193" t="s">
        <v>489</v>
      </c>
      <c r="H466" s="195">
        <f>'Site Information'!B470</f>
        <v>0</v>
      </c>
      <c r="I466" s="194"/>
      <c r="J466" s="193">
        <f>'Site Information'!C470</f>
        <v>0</v>
      </c>
      <c r="K466" s="193">
        <f>'Site Information'!D470</f>
        <v>0</v>
      </c>
      <c r="L466" s="193">
        <f>'Site Information'!E470</f>
        <v>0</v>
      </c>
      <c r="M466" s="237"/>
      <c r="N466" s="237"/>
      <c r="O466" s="237"/>
      <c r="P466" s="237"/>
      <c r="Q466" s="237"/>
      <c r="R466" s="193">
        <f>'Site Information'!F470</f>
        <v>0</v>
      </c>
      <c r="S466" s="237"/>
      <c r="T466" s="237"/>
      <c r="U466" s="237"/>
      <c r="V466" s="237"/>
      <c r="W466" s="237"/>
      <c r="X466" s="237"/>
      <c r="Y466" s="237"/>
      <c r="Z466" s="237"/>
      <c r="AA466" s="237"/>
      <c r="AB466" s="237"/>
      <c r="AC466" s="237"/>
      <c r="AD466" s="237"/>
      <c r="AE466" s="237"/>
      <c r="AF466" s="237"/>
      <c r="AG466" s="237"/>
      <c r="AI466" s="193"/>
      <c r="AJ466" s="193"/>
    </row>
    <row r="467" spans="2:36" x14ac:dyDescent="0.35">
      <c r="B467" s="193" t="e">
        <f>"2024"&amp;MATCH(Totals!D467,OrgType,0)&amp;"_"&amp;MATCH(Totals!E467,Organisations,0)&amp;"_"&amp;LEFT(Totals!F467,1)&amp;"_"&amp;LEFT(G467,1)&amp;"_"&amp;COUNTIF($G$3:G467,G467)</f>
        <v>#N/A</v>
      </c>
      <c r="C467" s="193">
        <v>2025</v>
      </c>
      <c r="D467" s="193">
        <f>Introduction!$D$7</f>
        <v>0</v>
      </c>
      <c r="E467" s="193">
        <f>Introduction!$D$8</f>
        <v>0</v>
      </c>
      <c r="F467" s="193" t="s">
        <v>488</v>
      </c>
      <c r="G467" s="193" t="s">
        <v>489</v>
      </c>
      <c r="H467" s="195">
        <f>'Site Information'!B471</f>
        <v>0</v>
      </c>
      <c r="I467" s="194"/>
      <c r="J467" s="193">
        <f>'Site Information'!C471</f>
        <v>0</v>
      </c>
      <c r="K467" s="193">
        <f>'Site Information'!D471</f>
        <v>0</v>
      </c>
      <c r="L467" s="193">
        <f>'Site Information'!E471</f>
        <v>0</v>
      </c>
      <c r="M467" s="237"/>
      <c r="N467" s="237"/>
      <c r="O467" s="237"/>
      <c r="P467" s="237"/>
      <c r="Q467" s="237"/>
      <c r="R467" s="193">
        <f>'Site Information'!F471</f>
        <v>0</v>
      </c>
      <c r="S467" s="237"/>
      <c r="T467" s="237"/>
      <c r="U467" s="237"/>
      <c r="V467" s="237"/>
      <c r="W467" s="237"/>
      <c r="X467" s="237"/>
      <c r="Y467" s="237"/>
      <c r="Z467" s="237"/>
      <c r="AA467" s="237"/>
      <c r="AB467" s="237"/>
      <c r="AC467" s="237"/>
      <c r="AD467" s="237"/>
      <c r="AE467" s="237"/>
      <c r="AF467" s="237"/>
      <c r="AG467" s="237"/>
      <c r="AI467" s="193"/>
      <c r="AJ467" s="193"/>
    </row>
    <row r="468" spans="2:36" x14ac:dyDescent="0.35">
      <c r="B468" s="193" t="e">
        <f>"2024"&amp;MATCH(Totals!D468,OrgType,0)&amp;"_"&amp;MATCH(Totals!E468,Organisations,0)&amp;"_"&amp;LEFT(Totals!F468,1)&amp;"_"&amp;LEFT(G468,1)&amp;"_"&amp;COUNTIF($G$3:G468,G468)</f>
        <v>#N/A</v>
      </c>
      <c r="C468" s="193">
        <v>2025</v>
      </c>
      <c r="D468" s="193">
        <f>Introduction!$D$7</f>
        <v>0</v>
      </c>
      <c r="E468" s="193">
        <f>Introduction!$D$8</f>
        <v>0</v>
      </c>
      <c r="F468" s="193" t="s">
        <v>488</v>
      </c>
      <c r="G468" s="193" t="s">
        <v>489</v>
      </c>
      <c r="H468" s="195">
        <f>'Site Information'!B472</f>
        <v>0</v>
      </c>
      <c r="I468" s="194"/>
      <c r="J468" s="193">
        <f>'Site Information'!C472</f>
        <v>0</v>
      </c>
      <c r="K468" s="193">
        <f>'Site Information'!D472</f>
        <v>0</v>
      </c>
      <c r="L468" s="193">
        <f>'Site Information'!E472</f>
        <v>0</v>
      </c>
      <c r="M468" s="237"/>
      <c r="N468" s="237"/>
      <c r="O468" s="237"/>
      <c r="P468" s="237"/>
      <c r="Q468" s="237"/>
      <c r="R468" s="193">
        <f>'Site Information'!F472</f>
        <v>0</v>
      </c>
      <c r="S468" s="237"/>
      <c r="T468" s="237"/>
      <c r="U468" s="237"/>
      <c r="V468" s="237"/>
      <c r="W468" s="237"/>
      <c r="X468" s="237"/>
      <c r="Y468" s="237"/>
      <c r="Z468" s="237"/>
      <c r="AA468" s="237"/>
      <c r="AB468" s="237"/>
      <c r="AC468" s="237"/>
      <c r="AD468" s="237"/>
      <c r="AE468" s="237"/>
      <c r="AF468" s="237"/>
      <c r="AG468" s="237"/>
      <c r="AI468" s="193"/>
      <c r="AJ468" s="193"/>
    </row>
    <row r="469" spans="2:36" x14ac:dyDescent="0.35">
      <c r="B469" s="193" t="e">
        <f>"2024"&amp;MATCH(Totals!D469,OrgType,0)&amp;"_"&amp;MATCH(Totals!E469,Organisations,0)&amp;"_"&amp;LEFT(Totals!F469,1)&amp;"_"&amp;LEFT(G469,1)&amp;"_"&amp;COUNTIF($G$3:G469,G469)</f>
        <v>#N/A</v>
      </c>
      <c r="C469" s="193">
        <v>2025</v>
      </c>
      <c r="D469" s="193">
        <f>Introduction!$D$7</f>
        <v>0</v>
      </c>
      <c r="E469" s="193">
        <f>Introduction!$D$8</f>
        <v>0</v>
      </c>
      <c r="F469" s="193" t="s">
        <v>488</v>
      </c>
      <c r="G469" s="193" t="s">
        <v>489</v>
      </c>
      <c r="H469" s="195">
        <f>'Site Information'!B473</f>
        <v>0</v>
      </c>
      <c r="I469" s="194"/>
      <c r="J469" s="193">
        <f>'Site Information'!C473</f>
        <v>0</v>
      </c>
      <c r="K469" s="193">
        <f>'Site Information'!D473</f>
        <v>0</v>
      </c>
      <c r="L469" s="193">
        <f>'Site Information'!E473</f>
        <v>0</v>
      </c>
      <c r="M469" s="237"/>
      <c r="N469" s="237"/>
      <c r="O469" s="237"/>
      <c r="P469" s="237"/>
      <c r="Q469" s="237"/>
      <c r="R469" s="193">
        <f>'Site Information'!F473</f>
        <v>0</v>
      </c>
      <c r="S469" s="237"/>
      <c r="T469" s="237"/>
      <c r="U469" s="237"/>
      <c r="V469" s="237"/>
      <c r="W469" s="237"/>
      <c r="X469" s="237"/>
      <c r="Y469" s="237"/>
      <c r="Z469" s="237"/>
      <c r="AA469" s="237"/>
      <c r="AB469" s="237"/>
      <c r="AC469" s="237"/>
      <c r="AD469" s="237"/>
      <c r="AE469" s="237"/>
      <c r="AF469" s="237"/>
      <c r="AG469" s="237"/>
      <c r="AI469" s="193"/>
      <c r="AJ469" s="193"/>
    </row>
    <row r="470" spans="2:36" x14ac:dyDescent="0.35">
      <c r="B470" s="193" t="e">
        <f>"2024"&amp;MATCH(Totals!D470,OrgType,0)&amp;"_"&amp;MATCH(Totals!E470,Organisations,0)&amp;"_"&amp;LEFT(Totals!F470,1)&amp;"_"&amp;LEFT(G470,1)&amp;"_"&amp;COUNTIF($G$3:G470,G470)</f>
        <v>#N/A</v>
      </c>
      <c r="C470" s="193">
        <v>2025</v>
      </c>
      <c r="D470" s="193">
        <f>Introduction!$D$7</f>
        <v>0</v>
      </c>
      <c r="E470" s="193">
        <f>Introduction!$D$8</f>
        <v>0</v>
      </c>
      <c r="F470" s="193" t="s">
        <v>488</v>
      </c>
      <c r="G470" s="193" t="s">
        <v>489</v>
      </c>
      <c r="H470" s="195">
        <f>'Site Information'!B474</f>
        <v>0</v>
      </c>
      <c r="I470" s="194"/>
      <c r="J470" s="193">
        <f>'Site Information'!C474</f>
        <v>0</v>
      </c>
      <c r="K470" s="193">
        <f>'Site Information'!D474</f>
        <v>0</v>
      </c>
      <c r="L470" s="193">
        <f>'Site Information'!E474</f>
        <v>0</v>
      </c>
      <c r="M470" s="237"/>
      <c r="N470" s="237"/>
      <c r="O470" s="237"/>
      <c r="P470" s="237"/>
      <c r="Q470" s="237"/>
      <c r="R470" s="193">
        <f>'Site Information'!F474</f>
        <v>0</v>
      </c>
      <c r="S470" s="237"/>
      <c r="T470" s="237"/>
      <c r="U470" s="237"/>
      <c r="V470" s="237"/>
      <c r="W470" s="237"/>
      <c r="X470" s="237"/>
      <c r="Y470" s="237"/>
      <c r="Z470" s="237"/>
      <c r="AA470" s="237"/>
      <c r="AB470" s="237"/>
      <c r="AC470" s="237"/>
      <c r="AD470" s="237"/>
      <c r="AE470" s="237"/>
      <c r="AF470" s="237"/>
      <c r="AG470" s="237"/>
      <c r="AI470" s="193"/>
      <c r="AJ470" s="193"/>
    </row>
    <row r="471" spans="2:36" x14ac:dyDescent="0.35">
      <c r="B471" s="193" t="e">
        <f>"2024"&amp;MATCH(Totals!D471,OrgType,0)&amp;"_"&amp;MATCH(Totals!E471,Organisations,0)&amp;"_"&amp;LEFT(Totals!F471,1)&amp;"_"&amp;LEFT(G471,1)&amp;"_"&amp;COUNTIF($G$3:G471,G471)</f>
        <v>#N/A</v>
      </c>
      <c r="C471" s="193">
        <v>2025</v>
      </c>
      <c r="D471" s="193">
        <f>Introduction!$D$7</f>
        <v>0</v>
      </c>
      <c r="E471" s="193">
        <f>Introduction!$D$8</f>
        <v>0</v>
      </c>
      <c r="F471" s="193" t="s">
        <v>488</v>
      </c>
      <c r="G471" s="193" t="s">
        <v>489</v>
      </c>
      <c r="H471" s="195">
        <f>'Site Information'!B475</f>
        <v>0</v>
      </c>
      <c r="I471" s="194"/>
      <c r="J471" s="193">
        <f>'Site Information'!C475</f>
        <v>0</v>
      </c>
      <c r="K471" s="193">
        <f>'Site Information'!D475</f>
        <v>0</v>
      </c>
      <c r="L471" s="193">
        <f>'Site Information'!E475</f>
        <v>0</v>
      </c>
      <c r="M471" s="237"/>
      <c r="N471" s="237"/>
      <c r="O471" s="237"/>
      <c r="P471" s="237"/>
      <c r="Q471" s="237"/>
      <c r="R471" s="193">
        <f>'Site Information'!F475</f>
        <v>0</v>
      </c>
      <c r="S471" s="237"/>
      <c r="T471" s="237"/>
      <c r="U471" s="237"/>
      <c r="V471" s="237"/>
      <c r="W471" s="237"/>
      <c r="X471" s="237"/>
      <c r="Y471" s="237"/>
      <c r="Z471" s="237"/>
      <c r="AA471" s="237"/>
      <c r="AB471" s="237"/>
      <c r="AC471" s="237"/>
      <c r="AD471" s="237"/>
      <c r="AE471" s="237"/>
      <c r="AF471" s="237"/>
      <c r="AG471" s="237"/>
      <c r="AI471" s="193"/>
      <c r="AJ471" s="193"/>
    </row>
    <row r="472" spans="2:36" x14ac:dyDescent="0.35">
      <c r="B472" s="193" t="e">
        <f>"2024"&amp;MATCH(Totals!D472,OrgType,0)&amp;"_"&amp;MATCH(Totals!E472,Organisations,0)&amp;"_"&amp;LEFT(Totals!F472,1)&amp;"_"&amp;LEFT(G472,1)&amp;"_"&amp;COUNTIF($G$3:G472,G472)</f>
        <v>#N/A</v>
      </c>
      <c r="C472" s="193">
        <v>2025</v>
      </c>
      <c r="D472" s="193">
        <f>Introduction!$D$7</f>
        <v>0</v>
      </c>
      <c r="E472" s="193">
        <f>Introduction!$D$8</f>
        <v>0</v>
      </c>
      <c r="F472" s="193" t="s">
        <v>488</v>
      </c>
      <c r="G472" s="193" t="s">
        <v>489</v>
      </c>
      <c r="H472" s="195">
        <f>'Site Information'!B476</f>
        <v>0</v>
      </c>
      <c r="I472" s="194"/>
      <c r="J472" s="193">
        <f>'Site Information'!C476</f>
        <v>0</v>
      </c>
      <c r="K472" s="193">
        <f>'Site Information'!D476</f>
        <v>0</v>
      </c>
      <c r="L472" s="193">
        <f>'Site Information'!E476</f>
        <v>0</v>
      </c>
      <c r="M472" s="237"/>
      <c r="N472" s="237"/>
      <c r="O472" s="237"/>
      <c r="P472" s="237"/>
      <c r="Q472" s="237"/>
      <c r="R472" s="193">
        <f>'Site Information'!F476</f>
        <v>0</v>
      </c>
      <c r="S472" s="237"/>
      <c r="T472" s="237"/>
      <c r="U472" s="237"/>
      <c r="V472" s="237"/>
      <c r="W472" s="237"/>
      <c r="X472" s="237"/>
      <c r="Y472" s="237"/>
      <c r="Z472" s="237"/>
      <c r="AA472" s="237"/>
      <c r="AB472" s="237"/>
      <c r="AC472" s="237"/>
      <c r="AD472" s="237"/>
      <c r="AE472" s="237"/>
      <c r="AF472" s="237"/>
      <c r="AG472" s="237"/>
      <c r="AI472" s="193"/>
      <c r="AJ472" s="193"/>
    </row>
    <row r="473" spans="2:36" x14ac:dyDescent="0.35">
      <c r="B473" s="193" t="e">
        <f>"2024"&amp;MATCH(Totals!D473,OrgType,0)&amp;"_"&amp;MATCH(Totals!E473,Organisations,0)&amp;"_"&amp;LEFT(Totals!F473,1)&amp;"_"&amp;LEFT(G473,1)&amp;"_"&amp;COUNTIF($G$3:G473,G473)</f>
        <v>#N/A</v>
      </c>
      <c r="C473" s="193">
        <v>2025</v>
      </c>
      <c r="D473" s="193">
        <f>Introduction!$D$7</f>
        <v>0</v>
      </c>
      <c r="E473" s="193">
        <f>Introduction!$D$8</f>
        <v>0</v>
      </c>
      <c r="F473" s="193" t="s">
        <v>488</v>
      </c>
      <c r="G473" s="193" t="s">
        <v>489</v>
      </c>
      <c r="H473" s="195">
        <f>'Site Information'!B477</f>
        <v>0</v>
      </c>
      <c r="I473" s="194"/>
      <c r="J473" s="193">
        <f>'Site Information'!C477</f>
        <v>0</v>
      </c>
      <c r="K473" s="193">
        <f>'Site Information'!D477</f>
        <v>0</v>
      </c>
      <c r="L473" s="193">
        <f>'Site Information'!E477</f>
        <v>0</v>
      </c>
      <c r="M473" s="237"/>
      <c r="N473" s="237"/>
      <c r="O473" s="237"/>
      <c r="P473" s="237"/>
      <c r="Q473" s="237"/>
      <c r="R473" s="193">
        <f>'Site Information'!F477</f>
        <v>0</v>
      </c>
      <c r="S473" s="237"/>
      <c r="T473" s="237"/>
      <c r="U473" s="237"/>
      <c r="V473" s="237"/>
      <c r="W473" s="237"/>
      <c r="X473" s="237"/>
      <c r="Y473" s="237"/>
      <c r="Z473" s="237"/>
      <c r="AA473" s="237"/>
      <c r="AB473" s="237"/>
      <c r="AC473" s="237"/>
      <c r="AD473" s="237"/>
      <c r="AE473" s="237"/>
      <c r="AF473" s="237"/>
      <c r="AG473" s="237"/>
      <c r="AI473" s="193"/>
      <c r="AJ473" s="193"/>
    </row>
    <row r="474" spans="2:36" x14ac:dyDescent="0.35">
      <c r="B474" s="193" t="e">
        <f>"2024"&amp;MATCH(Totals!D474,OrgType,0)&amp;"_"&amp;MATCH(Totals!E474,Organisations,0)&amp;"_"&amp;LEFT(Totals!F474,1)&amp;"_"&amp;LEFT(G474,1)&amp;"_"&amp;COUNTIF($G$3:G474,G474)</f>
        <v>#N/A</v>
      </c>
      <c r="C474" s="193">
        <v>2025</v>
      </c>
      <c r="D474" s="193">
        <f>Introduction!$D$7</f>
        <v>0</v>
      </c>
      <c r="E474" s="193">
        <f>Introduction!$D$8</f>
        <v>0</v>
      </c>
      <c r="F474" s="193" t="s">
        <v>488</v>
      </c>
      <c r="G474" s="193" t="s">
        <v>489</v>
      </c>
      <c r="H474" s="195">
        <f>'Site Information'!B478</f>
        <v>0</v>
      </c>
      <c r="I474" s="194"/>
      <c r="J474" s="193">
        <f>'Site Information'!C478</f>
        <v>0</v>
      </c>
      <c r="K474" s="193">
        <f>'Site Information'!D478</f>
        <v>0</v>
      </c>
      <c r="L474" s="193">
        <f>'Site Information'!E478</f>
        <v>0</v>
      </c>
      <c r="M474" s="237"/>
      <c r="N474" s="237"/>
      <c r="O474" s="237"/>
      <c r="P474" s="237"/>
      <c r="Q474" s="237"/>
      <c r="R474" s="193">
        <f>'Site Information'!F478</f>
        <v>0</v>
      </c>
      <c r="S474" s="237"/>
      <c r="T474" s="237"/>
      <c r="U474" s="237"/>
      <c r="V474" s="237"/>
      <c r="W474" s="237"/>
      <c r="X474" s="237"/>
      <c r="Y474" s="237"/>
      <c r="Z474" s="237"/>
      <c r="AA474" s="237"/>
      <c r="AB474" s="237"/>
      <c r="AC474" s="237"/>
      <c r="AD474" s="237"/>
      <c r="AE474" s="237"/>
      <c r="AF474" s="237"/>
      <c r="AG474" s="237"/>
      <c r="AI474" s="193"/>
      <c r="AJ474" s="193"/>
    </row>
    <row r="475" spans="2:36" x14ac:dyDescent="0.35">
      <c r="B475" s="193" t="e">
        <f>"2024"&amp;MATCH(Totals!D475,OrgType,0)&amp;"_"&amp;MATCH(Totals!E475,Organisations,0)&amp;"_"&amp;LEFT(Totals!F475,1)&amp;"_"&amp;LEFT(G475,1)&amp;"_"&amp;COUNTIF($G$3:G475,G475)</f>
        <v>#N/A</v>
      </c>
      <c r="C475" s="193">
        <v>2025</v>
      </c>
      <c r="D475" s="193">
        <f>Introduction!$D$7</f>
        <v>0</v>
      </c>
      <c r="E475" s="193">
        <f>Introduction!$D$8</f>
        <v>0</v>
      </c>
      <c r="F475" s="193" t="s">
        <v>488</v>
      </c>
      <c r="G475" s="193" t="s">
        <v>489</v>
      </c>
      <c r="H475" s="195">
        <f>'Site Information'!B479</f>
        <v>0</v>
      </c>
      <c r="I475" s="194"/>
      <c r="J475" s="193">
        <f>'Site Information'!C479</f>
        <v>0</v>
      </c>
      <c r="K475" s="193">
        <f>'Site Information'!D479</f>
        <v>0</v>
      </c>
      <c r="L475" s="193">
        <f>'Site Information'!E479</f>
        <v>0</v>
      </c>
      <c r="M475" s="237"/>
      <c r="N475" s="237"/>
      <c r="O475" s="237"/>
      <c r="P475" s="237"/>
      <c r="Q475" s="237"/>
      <c r="R475" s="193">
        <f>'Site Information'!F479</f>
        <v>0</v>
      </c>
      <c r="S475" s="237"/>
      <c r="T475" s="237"/>
      <c r="U475" s="237"/>
      <c r="V475" s="237"/>
      <c r="W475" s="237"/>
      <c r="X475" s="237"/>
      <c r="Y475" s="237"/>
      <c r="Z475" s="237"/>
      <c r="AA475" s="237"/>
      <c r="AB475" s="237"/>
      <c r="AC475" s="237"/>
      <c r="AD475" s="237"/>
      <c r="AE475" s="237"/>
      <c r="AF475" s="237"/>
      <c r="AG475" s="237"/>
      <c r="AI475" s="193"/>
      <c r="AJ475" s="193"/>
    </row>
    <row r="476" spans="2:36" x14ac:dyDescent="0.35">
      <c r="B476" s="193" t="e">
        <f>"2024"&amp;MATCH(Totals!D476,OrgType,0)&amp;"_"&amp;MATCH(Totals!E476,Organisations,0)&amp;"_"&amp;LEFT(Totals!F476,1)&amp;"_"&amp;LEFT(G476,1)&amp;"_"&amp;COUNTIF($G$3:G476,G476)</f>
        <v>#N/A</v>
      </c>
      <c r="C476" s="193">
        <v>2025</v>
      </c>
      <c r="D476" s="193">
        <f>Introduction!$D$7</f>
        <v>0</v>
      </c>
      <c r="E476" s="193">
        <f>Introduction!$D$8</f>
        <v>0</v>
      </c>
      <c r="F476" s="193" t="s">
        <v>488</v>
      </c>
      <c r="G476" s="193" t="s">
        <v>489</v>
      </c>
      <c r="H476" s="195">
        <f>'Site Information'!B480</f>
        <v>0</v>
      </c>
      <c r="I476" s="194"/>
      <c r="J476" s="193">
        <f>'Site Information'!C480</f>
        <v>0</v>
      </c>
      <c r="K476" s="193">
        <f>'Site Information'!D480</f>
        <v>0</v>
      </c>
      <c r="L476" s="193">
        <f>'Site Information'!E480</f>
        <v>0</v>
      </c>
      <c r="M476" s="237"/>
      <c r="N476" s="237"/>
      <c r="O476" s="237"/>
      <c r="P476" s="237"/>
      <c r="Q476" s="237"/>
      <c r="R476" s="193">
        <f>'Site Information'!F480</f>
        <v>0</v>
      </c>
      <c r="S476" s="237"/>
      <c r="T476" s="237"/>
      <c r="U476" s="237"/>
      <c r="V476" s="237"/>
      <c r="W476" s="237"/>
      <c r="X476" s="237"/>
      <c r="Y476" s="237"/>
      <c r="Z476" s="237"/>
      <c r="AA476" s="237"/>
      <c r="AB476" s="237"/>
      <c r="AC476" s="237"/>
      <c r="AD476" s="237"/>
      <c r="AE476" s="237"/>
      <c r="AF476" s="237"/>
      <c r="AG476" s="237"/>
      <c r="AI476" s="193"/>
      <c r="AJ476" s="193"/>
    </row>
    <row r="477" spans="2:36" x14ac:dyDescent="0.35">
      <c r="B477" s="193" t="e">
        <f>"2024"&amp;MATCH(Totals!D477,OrgType,0)&amp;"_"&amp;MATCH(Totals!E477,Organisations,0)&amp;"_"&amp;LEFT(Totals!F477,1)&amp;"_"&amp;LEFT(G477,1)&amp;"_"&amp;COUNTIF($G$3:G477,G477)</f>
        <v>#N/A</v>
      </c>
      <c r="C477" s="193">
        <v>2025</v>
      </c>
      <c r="D477" s="193">
        <f>Introduction!$D$7</f>
        <v>0</v>
      </c>
      <c r="E477" s="193">
        <f>Introduction!$D$8</f>
        <v>0</v>
      </c>
      <c r="F477" s="193" t="s">
        <v>488</v>
      </c>
      <c r="G477" s="193" t="s">
        <v>489</v>
      </c>
      <c r="H477" s="195">
        <f>'Site Information'!B481</f>
        <v>0</v>
      </c>
      <c r="I477" s="194"/>
      <c r="J477" s="193">
        <f>'Site Information'!C481</f>
        <v>0</v>
      </c>
      <c r="K477" s="193">
        <f>'Site Information'!D481</f>
        <v>0</v>
      </c>
      <c r="L477" s="193">
        <f>'Site Information'!E481</f>
        <v>0</v>
      </c>
      <c r="M477" s="237"/>
      <c r="N477" s="237"/>
      <c r="O477" s="237"/>
      <c r="P477" s="237"/>
      <c r="Q477" s="237"/>
      <c r="R477" s="193">
        <f>'Site Information'!F481</f>
        <v>0</v>
      </c>
      <c r="S477" s="237"/>
      <c r="T477" s="237"/>
      <c r="U477" s="237"/>
      <c r="V477" s="237"/>
      <c r="W477" s="237"/>
      <c r="X477" s="237"/>
      <c r="Y477" s="237"/>
      <c r="Z477" s="237"/>
      <c r="AA477" s="237"/>
      <c r="AB477" s="237"/>
      <c r="AC477" s="237"/>
      <c r="AD477" s="237"/>
      <c r="AE477" s="237"/>
      <c r="AF477" s="237"/>
      <c r="AG477" s="237"/>
      <c r="AI477" s="193"/>
      <c r="AJ477" s="193"/>
    </row>
    <row r="478" spans="2:36" x14ac:dyDescent="0.35">
      <c r="B478" s="193" t="e">
        <f>"2024"&amp;MATCH(Totals!D478,OrgType,0)&amp;"_"&amp;MATCH(Totals!E478,Organisations,0)&amp;"_"&amp;LEFT(Totals!F478,1)&amp;"_"&amp;LEFT(G478,1)&amp;"_"&amp;COUNTIF($G$3:G478,G478)</f>
        <v>#N/A</v>
      </c>
      <c r="C478" s="193">
        <v>2025</v>
      </c>
      <c r="D478" s="193">
        <f>Introduction!$D$7</f>
        <v>0</v>
      </c>
      <c r="E478" s="193">
        <f>Introduction!$D$8</f>
        <v>0</v>
      </c>
      <c r="F478" s="193" t="s">
        <v>488</v>
      </c>
      <c r="G478" s="193" t="s">
        <v>489</v>
      </c>
      <c r="H478" s="195">
        <f>'Site Information'!B482</f>
        <v>0</v>
      </c>
      <c r="I478" s="194"/>
      <c r="J478" s="193">
        <f>'Site Information'!C482</f>
        <v>0</v>
      </c>
      <c r="K478" s="193">
        <f>'Site Information'!D482</f>
        <v>0</v>
      </c>
      <c r="L478" s="193">
        <f>'Site Information'!E482</f>
        <v>0</v>
      </c>
      <c r="M478" s="237"/>
      <c r="N478" s="237"/>
      <c r="O478" s="237"/>
      <c r="P478" s="237"/>
      <c r="Q478" s="237"/>
      <c r="R478" s="193">
        <f>'Site Information'!F482</f>
        <v>0</v>
      </c>
      <c r="S478" s="237"/>
      <c r="T478" s="237"/>
      <c r="U478" s="237"/>
      <c r="V478" s="237"/>
      <c r="W478" s="237"/>
      <c r="X478" s="237"/>
      <c r="Y478" s="237"/>
      <c r="Z478" s="237"/>
      <c r="AA478" s="237"/>
      <c r="AB478" s="237"/>
      <c r="AC478" s="237"/>
      <c r="AD478" s="237"/>
      <c r="AE478" s="237"/>
      <c r="AF478" s="237"/>
      <c r="AG478" s="237"/>
      <c r="AI478" s="193"/>
      <c r="AJ478" s="193"/>
    </row>
    <row r="479" spans="2:36" x14ac:dyDescent="0.35">
      <c r="B479" s="193" t="e">
        <f>"2024"&amp;MATCH(Totals!D479,OrgType,0)&amp;"_"&amp;MATCH(Totals!E479,Organisations,0)&amp;"_"&amp;LEFT(Totals!F479,1)&amp;"_"&amp;LEFT(G479,1)&amp;"_"&amp;COUNTIF($G$3:G479,G479)</f>
        <v>#N/A</v>
      </c>
      <c r="C479" s="193">
        <v>2025</v>
      </c>
      <c r="D479" s="193">
        <f>Introduction!$D$7</f>
        <v>0</v>
      </c>
      <c r="E479" s="193">
        <f>Introduction!$D$8</f>
        <v>0</v>
      </c>
      <c r="F479" s="193" t="s">
        <v>488</v>
      </c>
      <c r="G479" s="193" t="s">
        <v>489</v>
      </c>
      <c r="H479" s="195">
        <f>'Site Information'!B483</f>
        <v>0</v>
      </c>
      <c r="I479" s="194"/>
      <c r="J479" s="193">
        <f>'Site Information'!C483</f>
        <v>0</v>
      </c>
      <c r="K479" s="193">
        <f>'Site Information'!D483</f>
        <v>0</v>
      </c>
      <c r="L479" s="193">
        <f>'Site Information'!E483</f>
        <v>0</v>
      </c>
      <c r="M479" s="237"/>
      <c r="N479" s="237"/>
      <c r="O479" s="237"/>
      <c r="P479" s="237"/>
      <c r="Q479" s="237"/>
      <c r="R479" s="193">
        <f>'Site Information'!F483</f>
        <v>0</v>
      </c>
      <c r="S479" s="237"/>
      <c r="T479" s="237"/>
      <c r="U479" s="237"/>
      <c r="V479" s="237"/>
      <c r="W479" s="237"/>
      <c r="X479" s="237"/>
      <c r="Y479" s="237"/>
      <c r="Z479" s="237"/>
      <c r="AA479" s="237"/>
      <c r="AB479" s="237"/>
      <c r="AC479" s="237"/>
      <c r="AD479" s="237"/>
      <c r="AE479" s="237"/>
      <c r="AF479" s="237"/>
      <c r="AG479" s="237"/>
      <c r="AI479" s="193"/>
      <c r="AJ479" s="193"/>
    </row>
    <row r="480" spans="2:36" x14ac:dyDescent="0.35">
      <c r="B480" s="193" t="e">
        <f>"2024"&amp;MATCH(Totals!D480,OrgType,0)&amp;"_"&amp;MATCH(Totals!E480,Organisations,0)&amp;"_"&amp;LEFT(Totals!F480,1)&amp;"_"&amp;LEFT(G480,1)&amp;"_"&amp;COUNTIF($G$3:G480,G480)</f>
        <v>#N/A</v>
      </c>
      <c r="C480" s="193">
        <v>2025</v>
      </c>
      <c r="D480" s="193">
        <f>Introduction!$D$7</f>
        <v>0</v>
      </c>
      <c r="E480" s="193">
        <f>Introduction!$D$8</f>
        <v>0</v>
      </c>
      <c r="F480" s="193" t="s">
        <v>488</v>
      </c>
      <c r="G480" s="193" t="s">
        <v>489</v>
      </c>
      <c r="H480" s="195">
        <f>'Site Information'!B484</f>
        <v>0</v>
      </c>
      <c r="I480" s="194"/>
      <c r="J480" s="193">
        <f>'Site Information'!C484</f>
        <v>0</v>
      </c>
      <c r="K480" s="193">
        <f>'Site Information'!D484</f>
        <v>0</v>
      </c>
      <c r="L480" s="193">
        <f>'Site Information'!E484</f>
        <v>0</v>
      </c>
      <c r="M480" s="237"/>
      <c r="N480" s="237"/>
      <c r="O480" s="237"/>
      <c r="P480" s="237"/>
      <c r="Q480" s="237"/>
      <c r="R480" s="193">
        <f>'Site Information'!F484</f>
        <v>0</v>
      </c>
      <c r="S480" s="237"/>
      <c r="T480" s="237"/>
      <c r="U480" s="237"/>
      <c r="V480" s="237"/>
      <c r="W480" s="237"/>
      <c r="X480" s="237"/>
      <c r="Y480" s="237"/>
      <c r="Z480" s="237"/>
      <c r="AA480" s="237"/>
      <c r="AB480" s="237"/>
      <c r="AC480" s="237"/>
      <c r="AD480" s="237"/>
      <c r="AE480" s="237"/>
      <c r="AF480" s="237"/>
      <c r="AG480" s="237"/>
      <c r="AI480" s="193"/>
      <c r="AJ480" s="193"/>
    </row>
    <row r="481" spans="2:36" x14ac:dyDescent="0.35">
      <c r="B481" s="193" t="e">
        <f>"2024"&amp;MATCH(Totals!D481,OrgType,0)&amp;"_"&amp;MATCH(Totals!E481,Organisations,0)&amp;"_"&amp;LEFT(Totals!F481,1)&amp;"_"&amp;LEFT(G481,1)&amp;"_"&amp;COUNTIF($G$3:G481,G481)</f>
        <v>#N/A</v>
      </c>
      <c r="C481" s="193">
        <v>2025</v>
      </c>
      <c r="D481" s="193">
        <f>Introduction!$D$7</f>
        <v>0</v>
      </c>
      <c r="E481" s="193">
        <f>Introduction!$D$8</f>
        <v>0</v>
      </c>
      <c r="F481" s="193" t="s">
        <v>488</v>
      </c>
      <c r="G481" s="193" t="s">
        <v>489</v>
      </c>
      <c r="H481" s="195">
        <f>'Site Information'!B485</f>
        <v>0</v>
      </c>
      <c r="I481" s="194"/>
      <c r="J481" s="193">
        <f>'Site Information'!C485</f>
        <v>0</v>
      </c>
      <c r="K481" s="193">
        <f>'Site Information'!D485</f>
        <v>0</v>
      </c>
      <c r="L481" s="193">
        <f>'Site Information'!E485</f>
        <v>0</v>
      </c>
      <c r="M481" s="237"/>
      <c r="N481" s="237"/>
      <c r="O481" s="237"/>
      <c r="P481" s="237"/>
      <c r="Q481" s="237"/>
      <c r="R481" s="193">
        <f>'Site Information'!F485</f>
        <v>0</v>
      </c>
      <c r="S481" s="237"/>
      <c r="T481" s="237"/>
      <c r="U481" s="237"/>
      <c r="V481" s="237"/>
      <c r="W481" s="237"/>
      <c r="X481" s="237"/>
      <c r="Y481" s="237"/>
      <c r="Z481" s="237"/>
      <c r="AA481" s="237"/>
      <c r="AB481" s="237"/>
      <c r="AC481" s="237"/>
      <c r="AD481" s="237"/>
      <c r="AE481" s="237"/>
      <c r="AF481" s="237"/>
      <c r="AG481" s="237"/>
      <c r="AI481" s="193"/>
      <c r="AJ481" s="193"/>
    </row>
    <row r="482" spans="2:36" x14ac:dyDescent="0.35">
      <c r="B482" s="193" t="e">
        <f>"2024"&amp;MATCH(Totals!D482,OrgType,0)&amp;"_"&amp;MATCH(Totals!E482,Organisations,0)&amp;"_"&amp;LEFT(Totals!F482,1)&amp;"_"&amp;LEFT(G482,1)&amp;"_"&amp;COUNTIF($G$3:G482,G482)</f>
        <v>#N/A</v>
      </c>
      <c r="C482" s="193">
        <v>2025</v>
      </c>
      <c r="D482" s="193">
        <f>Introduction!$D$7</f>
        <v>0</v>
      </c>
      <c r="E482" s="193">
        <f>Introduction!$D$8</f>
        <v>0</v>
      </c>
      <c r="F482" s="193" t="s">
        <v>488</v>
      </c>
      <c r="G482" s="193" t="s">
        <v>489</v>
      </c>
      <c r="H482" s="195">
        <f>'Site Information'!B486</f>
        <v>0</v>
      </c>
      <c r="I482" s="194"/>
      <c r="J482" s="193">
        <f>'Site Information'!C486</f>
        <v>0</v>
      </c>
      <c r="K482" s="193">
        <f>'Site Information'!D486</f>
        <v>0</v>
      </c>
      <c r="L482" s="193">
        <f>'Site Information'!E486</f>
        <v>0</v>
      </c>
      <c r="M482" s="237"/>
      <c r="N482" s="237"/>
      <c r="O482" s="237"/>
      <c r="P482" s="237"/>
      <c r="Q482" s="237"/>
      <c r="R482" s="193">
        <f>'Site Information'!F486</f>
        <v>0</v>
      </c>
      <c r="S482" s="237"/>
      <c r="T482" s="237"/>
      <c r="U482" s="237"/>
      <c r="V482" s="237"/>
      <c r="W482" s="237"/>
      <c r="X482" s="237"/>
      <c r="Y482" s="237"/>
      <c r="Z482" s="237"/>
      <c r="AA482" s="237"/>
      <c r="AB482" s="237"/>
      <c r="AC482" s="237"/>
      <c r="AD482" s="237"/>
      <c r="AE482" s="237"/>
      <c r="AF482" s="237"/>
      <c r="AG482" s="237"/>
      <c r="AI482" s="193"/>
      <c r="AJ482" s="193"/>
    </row>
    <row r="483" spans="2:36" x14ac:dyDescent="0.35">
      <c r="B483" s="193" t="e">
        <f>"2024"&amp;MATCH(Totals!D483,OrgType,0)&amp;"_"&amp;MATCH(Totals!E483,Organisations,0)&amp;"_"&amp;LEFT(Totals!F483,1)&amp;"_"&amp;LEFT(G483,1)&amp;"_"&amp;COUNTIF($G$3:G483,G483)</f>
        <v>#N/A</v>
      </c>
      <c r="C483" s="193">
        <v>2025</v>
      </c>
      <c r="D483" s="193">
        <f>Introduction!$D$7</f>
        <v>0</v>
      </c>
      <c r="E483" s="193">
        <f>Introduction!$D$8</f>
        <v>0</v>
      </c>
      <c r="F483" s="193" t="s">
        <v>488</v>
      </c>
      <c r="G483" s="193" t="s">
        <v>489</v>
      </c>
      <c r="H483" s="195">
        <f>'Site Information'!B487</f>
        <v>0</v>
      </c>
      <c r="I483" s="194"/>
      <c r="J483" s="193">
        <f>'Site Information'!C487</f>
        <v>0</v>
      </c>
      <c r="K483" s="193">
        <f>'Site Information'!D487</f>
        <v>0</v>
      </c>
      <c r="L483" s="193">
        <f>'Site Information'!E487</f>
        <v>0</v>
      </c>
      <c r="M483" s="237"/>
      <c r="N483" s="237"/>
      <c r="O483" s="237"/>
      <c r="P483" s="237"/>
      <c r="Q483" s="237"/>
      <c r="R483" s="193">
        <f>'Site Information'!F487</f>
        <v>0</v>
      </c>
      <c r="S483" s="237"/>
      <c r="T483" s="237"/>
      <c r="U483" s="237"/>
      <c r="V483" s="237"/>
      <c r="W483" s="237"/>
      <c r="X483" s="237"/>
      <c r="Y483" s="237"/>
      <c r="Z483" s="237"/>
      <c r="AA483" s="237"/>
      <c r="AB483" s="237"/>
      <c r="AC483" s="237"/>
      <c r="AD483" s="237"/>
      <c r="AE483" s="237"/>
      <c r="AF483" s="237"/>
      <c r="AG483" s="237"/>
      <c r="AI483" s="193"/>
      <c r="AJ483" s="193"/>
    </row>
    <row r="484" spans="2:36" x14ac:dyDescent="0.35">
      <c r="B484" s="193" t="e">
        <f>"2024"&amp;MATCH(Totals!D484,OrgType,0)&amp;"_"&amp;MATCH(Totals!E484,Organisations,0)&amp;"_"&amp;LEFT(Totals!F484,1)&amp;"_"&amp;LEFT(G484,1)&amp;"_"&amp;COUNTIF($G$3:G484,G484)</f>
        <v>#N/A</v>
      </c>
      <c r="C484" s="193">
        <v>2025</v>
      </c>
      <c r="D484" s="193">
        <f>Introduction!$D$7</f>
        <v>0</v>
      </c>
      <c r="E484" s="193">
        <f>Introduction!$D$8</f>
        <v>0</v>
      </c>
      <c r="F484" s="193" t="s">
        <v>488</v>
      </c>
      <c r="G484" s="193" t="s">
        <v>489</v>
      </c>
      <c r="H484" s="195">
        <f>'Site Information'!B488</f>
        <v>0</v>
      </c>
      <c r="I484" s="194"/>
      <c r="J484" s="193">
        <f>'Site Information'!C488</f>
        <v>0</v>
      </c>
      <c r="K484" s="193">
        <f>'Site Information'!D488</f>
        <v>0</v>
      </c>
      <c r="L484" s="193">
        <f>'Site Information'!E488</f>
        <v>0</v>
      </c>
      <c r="M484" s="237"/>
      <c r="N484" s="237"/>
      <c r="O484" s="237"/>
      <c r="P484" s="237"/>
      <c r="Q484" s="237"/>
      <c r="R484" s="193">
        <f>'Site Information'!F488</f>
        <v>0</v>
      </c>
      <c r="S484" s="237"/>
      <c r="T484" s="237"/>
      <c r="U484" s="237"/>
      <c r="V484" s="237"/>
      <c r="W484" s="237"/>
      <c r="X484" s="237"/>
      <c r="Y484" s="237"/>
      <c r="Z484" s="237"/>
      <c r="AA484" s="237"/>
      <c r="AB484" s="237"/>
      <c r="AC484" s="237"/>
      <c r="AD484" s="237"/>
      <c r="AE484" s="237"/>
      <c r="AF484" s="237"/>
      <c r="AG484" s="237"/>
      <c r="AI484" s="193"/>
      <c r="AJ484" s="193"/>
    </row>
    <row r="485" spans="2:36" x14ac:dyDescent="0.35">
      <c r="B485" s="193" t="e">
        <f>"2024"&amp;MATCH(Totals!D485,OrgType,0)&amp;"_"&amp;MATCH(Totals!E485,Organisations,0)&amp;"_"&amp;LEFT(Totals!F485,1)&amp;"_"&amp;LEFT(G485,1)&amp;"_"&amp;COUNTIF($G$3:G485,G485)</f>
        <v>#N/A</v>
      </c>
      <c r="C485" s="193">
        <v>2025</v>
      </c>
      <c r="D485" s="193">
        <f>Introduction!$D$7</f>
        <v>0</v>
      </c>
      <c r="E485" s="193">
        <f>Introduction!$D$8</f>
        <v>0</v>
      </c>
      <c r="F485" s="193" t="s">
        <v>488</v>
      </c>
      <c r="G485" s="193" t="s">
        <v>489</v>
      </c>
      <c r="H485" s="195">
        <f>'Site Information'!B489</f>
        <v>0</v>
      </c>
      <c r="I485" s="194"/>
      <c r="J485" s="193">
        <f>'Site Information'!C489</f>
        <v>0</v>
      </c>
      <c r="K485" s="193">
        <f>'Site Information'!D489</f>
        <v>0</v>
      </c>
      <c r="L485" s="193">
        <f>'Site Information'!E489</f>
        <v>0</v>
      </c>
      <c r="M485" s="237"/>
      <c r="N485" s="237"/>
      <c r="O485" s="237"/>
      <c r="P485" s="237"/>
      <c r="Q485" s="237"/>
      <c r="R485" s="193">
        <f>'Site Information'!F489</f>
        <v>0</v>
      </c>
      <c r="S485" s="237"/>
      <c r="T485" s="237"/>
      <c r="U485" s="237"/>
      <c r="V485" s="237"/>
      <c r="W485" s="237"/>
      <c r="X485" s="237"/>
      <c r="Y485" s="237"/>
      <c r="Z485" s="237"/>
      <c r="AA485" s="237"/>
      <c r="AB485" s="237"/>
      <c r="AC485" s="237"/>
      <c r="AD485" s="237"/>
      <c r="AE485" s="237"/>
      <c r="AF485" s="237"/>
      <c r="AG485" s="237"/>
      <c r="AI485" s="193"/>
      <c r="AJ485" s="193"/>
    </row>
    <row r="486" spans="2:36" x14ac:dyDescent="0.35">
      <c r="B486" s="193" t="e">
        <f>"2024"&amp;MATCH(Totals!D486,OrgType,0)&amp;"_"&amp;MATCH(Totals!E486,Organisations,0)&amp;"_"&amp;LEFT(Totals!F486,1)&amp;"_"&amp;LEFT(G486,1)&amp;"_"&amp;COUNTIF($G$3:G486,G486)</f>
        <v>#N/A</v>
      </c>
      <c r="C486" s="193">
        <v>2025</v>
      </c>
      <c r="D486" s="193">
        <f>Introduction!$D$7</f>
        <v>0</v>
      </c>
      <c r="E486" s="193">
        <f>Introduction!$D$8</f>
        <v>0</v>
      </c>
      <c r="F486" s="193" t="s">
        <v>488</v>
      </c>
      <c r="G486" s="193" t="s">
        <v>489</v>
      </c>
      <c r="H486" s="195">
        <f>'Site Information'!B490</f>
        <v>0</v>
      </c>
      <c r="I486" s="194"/>
      <c r="J486" s="193">
        <f>'Site Information'!C490</f>
        <v>0</v>
      </c>
      <c r="K486" s="193">
        <f>'Site Information'!D490</f>
        <v>0</v>
      </c>
      <c r="L486" s="193">
        <f>'Site Information'!E490</f>
        <v>0</v>
      </c>
      <c r="M486" s="237"/>
      <c r="N486" s="237"/>
      <c r="O486" s="237"/>
      <c r="P486" s="237"/>
      <c r="Q486" s="237"/>
      <c r="R486" s="193">
        <f>'Site Information'!F490</f>
        <v>0</v>
      </c>
      <c r="S486" s="237"/>
      <c r="T486" s="237"/>
      <c r="U486" s="237"/>
      <c r="V486" s="237"/>
      <c r="W486" s="237"/>
      <c r="X486" s="237"/>
      <c r="Y486" s="237"/>
      <c r="Z486" s="237"/>
      <c r="AA486" s="237"/>
      <c r="AB486" s="237"/>
      <c r="AC486" s="237"/>
      <c r="AD486" s="237"/>
      <c r="AE486" s="237"/>
      <c r="AF486" s="237"/>
      <c r="AG486" s="237"/>
      <c r="AI486" s="193"/>
      <c r="AJ486" s="193"/>
    </row>
    <row r="487" spans="2:36" x14ac:dyDescent="0.35">
      <c r="B487" s="193" t="e">
        <f>"2024"&amp;MATCH(Totals!D487,OrgType,0)&amp;"_"&amp;MATCH(Totals!E487,Organisations,0)&amp;"_"&amp;LEFT(Totals!F487,1)&amp;"_"&amp;LEFT(G487,1)&amp;"_"&amp;COUNTIF($G$3:G487,G487)</f>
        <v>#N/A</v>
      </c>
      <c r="C487" s="193">
        <v>2025</v>
      </c>
      <c r="D487" s="193">
        <f>Introduction!$D$7</f>
        <v>0</v>
      </c>
      <c r="E487" s="193">
        <f>Introduction!$D$8</f>
        <v>0</v>
      </c>
      <c r="F487" s="193" t="s">
        <v>488</v>
      </c>
      <c r="G487" s="193" t="s">
        <v>489</v>
      </c>
      <c r="H487" s="195">
        <f>'Site Information'!B491</f>
        <v>0</v>
      </c>
      <c r="I487" s="194"/>
      <c r="J487" s="193">
        <f>'Site Information'!C491</f>
        <v>0</v>
      </c>
      <c r="K487" s="193">
        <f>'Site Information'!D491</f>
        <v>0</v>
      </c>
      <c r="L487" s="193">
        <f>'Site Information'!E491</f>
        <v>0</v>
      </c>
      <c r="M487" s="237"/>
      <c r="N487" s="237"/>
      <c r="O487" s="237"/>
      <c r="P487" s="237"/>
      <c r="Q487" s="237"/>
      <c r="R487" s="193">
        <f>'Site Information'!F491</f>
        <v>0</v>
      </c>
      <c r="S487" s="237"/>
      <c r="T487" s="237"/>
      <c r="U487" s="237"/>
      <c r="V487" s="237"/>
      <c r="W487" s="237"/>
      <c r="X487" s="237"/>
      <c r="Y487" s="237"/>
      <c r="Z487" s="237"/>
      <c r="AA487" s="237"/>
      <c r="AB487" s="237"/>
      <c r="AC487" s="237"/>
      <c r="AD487" s="237"/>
      <c r="AE487" s="237"/>
      <c r="AF487" s="237"/>
      <c r="AG487" s="237"/>
      <c r="AI487" s="193"/>
      <c r="AJ487" s="193"/>
    </row>
    <row r="488" spans="2:36" x14ac:dyDescent="0.35">
      <c r="B488" s="193" t="e">
        <f>"2024"&amp;MATCH(Totals!D488,OrgType,0)&amp;"_"&amp;MATCH(Totals!E488,Organisations,0)&amp;"_"&amp;LEFT(Totals!F488,1)&amp;"_"&amp;LEFT(G488,1)&amp;"_"&amp;COUNTIF($G$3:G488,G488)</f>
        <v>#N/A</v>
      </c>
      <c r="C488" s="193">
        <v>2025</v>
      </c>
      <c r="D488" s="193">
        <f>Introduction!$D$7</f>
        <v>0</v>
      </c>
      <c r="E488" s="193">
        <f>Introduction!$D$8</f>
        <v>0</v>
      </c>
      <c r="F488" s="193" t="s">
        <v>488</v>
      </c>
      <c r="G488" s="193" t="s">
        <v>489</v>
      </c>
      <c r="H488" s="195">
        <f>'Site Information'!B492</f>
        <v>0</v>
      </c>
      <c r="I488" s="194"/>
      <c r="J488" s="193">
        <f>'Site Information'!C492</f>
        <v>0</v>
      </c>
      <c r="K488" s="193">
        <f>'Site Information'!D492</f>
        <v>0</v>
      </c>
      <c r="L488" s="193">
        <f>'Site Information'!E492</f>
        <v>0</v>
      </c>
      <c r="M488" s="237"/>
      <c r="N488" s="237"/>
      <c r="O488" s="237"/>
      <c r="P488" s="237"/>
      <c r="Q488" s="237"/>
      <c r="R488" s="193">
        <f>'Site Information'!F492</f>
        <v>0</v>
      </c>
      <c r="S488" s="237"/>
      <c r="T488" s="237"/>
      <c r="U488" s="237"/>
      <c r="V488" s="237"/>
      <c r="W488" s="237"/>
      <c r="X488" s="237"/>
      <c r="Y488" s="237"/>
      <c r="Z488" s="237"/>
      <c r="AA488" s="237"/>
      <c r="AB488" s="237"/>
      <c r="AC488" s="237"/>
      <c r="AD488" s="237"/>
      <c r="AE488" s="237"/>
      <c r="AF488" s="237"/>
      <c r="AG488" s="237"/>
      <c r="AI488" s="193"/>
      <c r="AJ488" s="193"/>
    </row>
    <row r="489" spans="2:36" x14ac:dyDescent="0.35">
      <c r="B489" s="193" t="e">
        <f>"2024"&amp;MATCH(Totals!D489,OrgType,0)&amp;"_"&amp;MATCH(Totals!E489,Organisations,0)&amp;"_"&amp;LEFT(Totals!F489,1)&amp;"_"&amp;LEFT(G489,1)&amp;"_"&amp;COUNTIF($G$3:G489,G489)</f>
        <v>#N/A</v>
      </c>
      <c r="C489" s="193">
        <v>2025</v>
      </c>
      <c r="D489" s="193">
        <f>Introduction!$D$7</f>
        <v>0</v>
      </c>
      <c r="E489" s="193">
        <f>Introduction!$D$8</f>
        <v>0</v>
      </c>
      <c r="F489" s="193" t="s">
        <v>488</v>
      </c>
      <c r="G489" s="193" t="s">
        <v>489</v>
      </c>
      <c r="H489" s="195">
        <f>'Site Information'!B493</f>
        <v>0</v>
      </c>
      <c r="I489" s="194"/>
      <c r="J489" s="193">
        <f>'Site Information'!C493</f>
        <v>0</v>
      </c>
      <c r="K489" s="193">
        <f>'Site Information'!D493</f>
        <v>0</v>
      </c>
      <c r="L489" s="193">
        <f>'Site Information'!E493</f>
        <v>0</v>
      </c>
      <c r="M489" s="237"/>
      <c r="N489" s="237"/>
      <c r="O489" s="237"/>
      <c r="P489" s="237"/>
      <c r="Q489" s="237"/>
      <c r="R489" s="193">
        <f>'Site Information'!F493</f>
        <v>0</v>
      </c>
      <c r="S489" s="237"/>
      <c r="T489" s="237"/>
      <c r="U489" s="237"/>
      <c r="V489" s="237"/>
      <c r="W489" s="237"/>
      <c r="X489" s="237"/>
      <c r="Y489" s="237"/>
      <c r="Z489" s="237"/>
      <c r="AA489" s="237"/>
      <c r="AB489" s="237"/>
      <c r="AC489" s="237"/>
      <c r="AD489" s="237"/>
      <c r="AE489" s="237"/>
      <c r="AF489" s="237"/>
      <c r="AG489" s="237"/>
      <c r="AI489" s="193"/>
      <c r="AJ489" s="193"/>
    </row>
    <row r="490" spans="2:36" x14ac:dyDescent="0.35">
      <c r="B490" s="193" t="e">
        <f>"2024"&amp;MATCH(Totals!D490,OrgType,0)&amp;"_"&amp;MATCH(Totals!E490,Organisations,0)&amp;"_"&amp;LEFT(Totals!F490,1)&amp;"_"&amp;LEFT(G490,1)&amp;"_"&amp;COUNTIF($G$3:G490,G490)</f>
        <v>#N/A</v>
      </c>
      <c r="C490" s="193">
        <v>2025</v>
      </c>
      <c r="D490" s="193">
        <f>Introduction!$D$7</f>
        <v>0</v>
      </c>
      <c r="E490" s="193">
        <f>Introduction!$D$8</f>
        <v>0</v>
      </c>
      <c r="F490" s="193" t="s">
        <v>488</v>
      </c>
      <c r="G490" s="193" t="s">
        <v>489</v>
      </c>
      <c r="H490" s="195">
        <f>'Site Information'!B494</f>
        <v>0</v>
      </c>
      <c r="I490" s="194"/>
      <c r="J490" s="193">
        <f>'Site Information'!C494</f>
        <v>0</v>
      </c>
      <c r="K490" s="193">
        <f>'Site Information'!D494</f>
        <v>0</v>
      </c>
      <c r="L490" s="193">
        <f>'Site Information'!E494</f>
        <v>0</v>
      </c>
      <c r="M490" s="237"/>
      <c r="N490" s="237"/>
      <c r="O490" s="237"/>
      <c r="P490" s="237"/>
      <c r="Q490" s="237"/>
      <c r="R490" s="193">
        <f>'Site Information'!F494</f>
        <v>0</v>
      </c>
      <c r="S490" s="237"/>
      <c r="T490" s="237"/>
      <c r="U490" s="237"/>
      <c r="V490" s="237"/>
      <c r="W490" s="237"/>
      <c r="X490" s="237"/>
      <c r="Y490" s="237"/>
      <c r="Z490" s="237"/>
      <c r="AA490" s="237"/>
      <c r="AB490" s="237"/>
      <c r="AC490" s="237"/>
      <c r="AD490" s="237"/>
      <c r="AE490" s="237"/>
      <c r="AF490" s="237"/>
      <c r="AG490" s="237"/>
      <c r="AI490" s="193"/>
      <c r="AJ490" s="193"/>
    </row>
    <row r="491" spans="2:36" x14ac:dyDescent="0.35">
      <c r="B491" s="193" t="e">
        <f>"2024"&amp;MATCH(Totals!D491,OrgType,0)&amp;"_"&amp;MATCH(Totals!E491,Organisations,0)&amp;"_"&amp;LEFT(Totals!F491,1)&amp;"_"&amp;LEFT(G491,1)&amp;"_"&amp;COUNTIF($G$3:G491,G491)</f>
        <v>#N/A</v>
      </c>
      <c r="C491" s="193">
        <v>2025</v>
      </c>
      <c r="D491" s="193">
        <f>Introduction!$D$7</f>
        <v>0</v>
      </c>
      <c r="E491" s="193">
        <f>Introduction!$D$8</f>
        <v>0</v>
      </c>
      <c r="F491" s="193" t="s">
        <v>488</v>
      </c>
      <c r="G491" s="193" t="s">
        <v>489</v>
      </c>
      <c r="H491" s="195">
        <f>'Site Information'!B495</f>
        <v>0</v>
      </c>
      <c r="I491" s="194"/>
      <c r="J491" s="193">
        <f>'Site Information'!C495</f>
        <v>0</v>
      </c>
      <c r="K491" s="193">
        <f>'Site Information'!D495</f>
        <v>0</v>
      </c>
      <c r="L491" s="193">
        <f>'Site Information'!E495</f>
        <v>0</v>
      </c>
      <c r="M491" s="237"/>
      <c r="N491" s="237"/>
      <c r="O491" s="237"/>
      <c r="P491" s="237"/>
      <c r="Q491" s="237"/>
      <c r="R491" s="193">
        <f>'Site Information'!F495</f>
        <v>0</v>
      </c>
      <c r="S491" s="237"/>
      <c r="T491" s="237"/>
      <c r="U491" s="237"/>
      <c r="V491" s="237"/>
      <c r="W491" s="237"/>
      <c r="X491" s="237"/>
      <c r="Y491" s="237"/>
      <c r="Z491" s="237"/>
      <c r="AA491" s="237"/>
      <c r="AB491" s="237"/>
      <c r="AC491" s="237"/>
      <c r="AD491" s="237"/>
      <c r="AE491" s="237"/>
      <c r="AF491" s="237"/>
      <c r="AG491" s="237"/>
      <c r="AI491" s="193"/>
      <c r="AJ491" s="193"/>
    </row>
    <row r="492" spans="2:36" x14ac:dyDescent="0.35">
      <c r="B492" s="193" t="e">
        <f>"2024"&amp;MATCH(Totals!D492,OrgType,0)&amp;"_"&amp;MATCH(Totals!E492,Organisations,0)&amp;"_"&amp;LEFT(Totals!F492,1)&amp;"_"&amp;LEFT(G492,1)&amp;"_"&amp;COUNTIF($G$3:G492,G492)</f>
        <v>#N/A</v>
      </c>
      <c r="C492" s="193">
        <v>2025</v>
      </c>
      <c r="D492" s="193">
        <f>Introduction!$D$7</f>
        <v>0</v>
      </c>
      <c r="E492" s="193">
        <f>Introduction!$D$8</f>
        <v>0</v>
      </c>
      <c r="F492" s="193" t="s">
        <v>488</v>
      </c>
      <c r="G492" s="193" t="s">
        <v>489</v>
      </c>
      <c r="H492" s="195">
        <f>'Site Information'!B496</f>
        <v>0</v>
      </c>
      <c r="I492" s="194"/>
      <c r="J492" s="193">
        <f>'Site Information'!C496</f>
        <v>0</v>
      </c>
      <c r="K492" s="193">
        <f>'Site Information'!D496</f>
        <v>0</v>
      </c>
      <c r="L492" s="193">
        <f>'Site Information'!E496</f>
        <v>0</v>
      </c>
      <c r="M492" s="237"/>
      <c r="N492" s="237"/>
      <c r="O492" s="237"/>
      <c r="P492" s="237"/>
      <c r="Q492" s="237"/>
      <c r="R492" s="193">
        <f>'Site Information'!F496</f>
        <v>0</v>
      </c>
      <c r="S492" s="237"/>
      <c r="T492" s="237"/>
      <c r="U492" s="237"/>
      <c r="V492" s="237"/>
      <c r="W492" s="237"/>
      <c r="X492" s="237"/>
      <c r="Y492" s="237"/>
      <c r="Z492" s="237"/>
      <c r="AA492" s="237"/>
      <c r="AB492" s="237"/>
      <c r="AC492" s="237"/>
      <c r="AD492" s="237"/>
      <c r="AE492" s="237"/>
      <c r="AF492" s="237"/>
      <c r="AG492" s="237"/>
      <c r="AI492" s="193"/>
      <c r="AJ492" s="193"/>
    </row>
    <row r="493" spans="2:36" x14ac:dyDescent="0.35">
      <c r="B493" s="193" t="e">
        <f>"2024"&amp;MATCH(Totals!D493,OrgType,0)&amp;"_"&amp;MATCH(Totals!E493,Organisations,0)&amp;"_"&amp;LEFT(Totals!F493,1)&amp;"_"&amp;LEFT(G493,1)&amp;"_"&amp;COUNTIF($G$3:G493,G493)</f>
        <v>#N/A</v>
      </c>
      <c r="C493" s="193">
        <v>2025</v>
      </c>
      <c r="D493" s="193">
        <f>Introduction!$D$7</f>
        <v>0</v>
      </c>
      <c r="E493" s="193">
        <f>Introduction!$D$8</f>
        <v>0</v>
      </c>
      <c r="F493" s="193" t="s">
        <v>488</v>
      </c>
      <c r="G493" s="193" t="s">
        <v>489</v>
      </c>
      <c r="H493" s="195">
        <f>'Site Information'!B497</f>
        <v>0</v>
      </c>
      <c r="I493" s="194"/>
      <c r="J493" s="193">
        <f>'Site Information'!C497</f>
        <v>0</v>
      </c>
      <c r="K493" s="193">
        <f>'Site Information'!D497</f>
        <v>0</v>
      </c>
      <c r="L493" s="193">
        <f>'Site Information'!E497</f>
        <v>0</v>
      </c>
      <c r="M493" s="237"/>
      <c r="N493" s="237"/>
      <c r="O493" s="237"/>
      <c r="P493" s="237"/>
      <c r="Q493" s="237"/>
      <c r="R493" s="193">
        <f>'Site Information'!F497</f>
        <v>0</v>
      </c>
      <c r="S493" s="237"/>
      <c r="T493" s="237"/>
      <c r="U493" s="237"/>
      <c r="V493" s="237"/>
      <c r="W493" s="237"/>
      <c r="X493" s="237"/>
      <c r="Y493" s="237"/>
      <c r="Z493" s="237"/>
      <c r="AA493" s="237"/>
      <c r="AB493" s="237"/>
      <c r="AC493" s="237"/>
      <c r="AD493" s="237"/>
      <c r="AE493" s="237"/>
      <c r="AF493" s="237"/>
      <c r="AG493" s="237"/>
      <c r="AI493" s="193"/>
      <c r="AJ493" s="193"/>
    </row>
    <row r="494" spans="2:36" x14ac:dyDescent="0.35">
      <c r="B494" s="193" t="e">
        <f>"2024"&amp;MATCH(Totals!D494,OrgType,0)&amp;"_"&amp;MATCH(Totals!E494,Organisations,0)&amp;"_"&amp;LEFT(Totals!F494,1)&amp;"_"&amp;LEFT(G494,1)&amp;"_"&amp;COUNTIF($G$3:G494,G494)</f>
        <v>#N/A</v>
      </c>
      <c r="C494" s="193">
        <v>2025</v>
      </c>
      <c r="D494" s="193">
        <f>Introduction!$D$7</f>
        <v>0</v>
      </c>
      <c r="E494" s="193">
        <f>Introduction!$D$8</f>
        <v>0</v>
      </c>
      <c r="F494" s="193" t="s">
        <v>488</v>
      </c>
      <c r="G494" s="193" t="s">
        <v>489</v>
      </c>
      <c r="H494" s="195">
        <f>'Site Information'!B498</f>
        <v>0</v>
      </c>
      <c r="I494" s="194"/>
      <c r="J494" s="193">
        <f>'Site Information'!C498</f>
        <v>0</v>
      </c>
      <c r="K494" s="193">
        <f>'Site Information'!D498</f>
        <v>0</v>
      </c>
      <c r="L494" s="193">
        <f>'Site Information'!E498</f>
        <v>0</v>
      </c>
      <c r="M494" s="237"/>
      <c r="N494" s="237"/>
      <c r="O494" s="237"/>
      <c r="P494" s="237"/>
      <c r="Q494" s="237"/>
      <c r="R494" s="193">
        <f>'Site Information'!F498</f>
        <v>0</v>
      </c>
      <c r="S494" s="237"/>
      <c r="T494" s="237"/>
      <c r="U494" s="237"/>
      <c r="V494" s="237"/>
      <c r="W494" s="237"/>
      <c r="X494" s="237"/>
      <c r="Y494" s="237"/>
      <c r="Z494" s="237"/>
      <c r="AA494" s="237"/>
      <c r="AB494" s="237"/>
      <c r="AC494" s="237"/>
      <c r="AD494" s="237"/>
      <c r="AE494" s="237"/>
      <c r="AF494" s="237"/>
      <c r="AG494" s="237"/>
      <c r="AI494" s="193"/>
      <c r="AJ494" s="193"/>
    </row>
    <row r="495" spans="2:36" x14ac:dyDescent="0.35">
      <c r="B495" s="193" t="e">
        <f>"2024"&amp;MATCH(Totals!D495,OrgType,0)&amp;"_"&amp;MATCH(Totals!E495,Organisations,0)&amp;"_"&amp;LEFT(Totals!F495,1)&amp;"_"&amp;LEFT(G495,1)&amp;"_"&amp;COUNTIF($G$3:G495,G495)</f>
        <v>#N/A</v>
      </c>
      <c r="C495" s="193">
        <v>2025</v>
      </c>
      <c r="D495" s="193">
        <f>Introduction!$D$7</f>
        <v>0</v>
      </c>
      <c r="E495" s="193">
        <f>Introduction!$D$8</f>
        <v>0</v>
      </c>
      <c r="F495" s="193" t="s">
        <v>488</v>
      </c>
      <c r="G495" s="193" t="s">
        <v>489</v>
      </c>
      <c r="H495" s="195">
        <f>'Site Information'!B499</f>
        <v>0</v>
      </c>
      <c r="I495" s="194"/>
      <c r="J495" s="193">
        <f>'Site Information'!C499</f>
        <v>0</v>
      </c>
      <c r="K495" s="193">
        <f>'Site Information'!D499</f>
        <v>0</v>
      </c>
      <c r="L495" s="193">
        <f>'Site Information'!E499</f>
        <v>0</v>
      </c>
      <c r="M495" s="237"/>
      <c r="N495" s="237"/>
      <c r="O495" s="237"/>
      <c r="P495" s="237"/>
      <c r="Q495" s="237"/>
      <c r="R495" s="193">
        <f>'Site Information'!F499</f>
        <v>0</v>
      </c>
      <c r="S495" s="237"/>
      <c r="T495" s="237"/>
      <c r="U495" s="237"/>
      <c r="V495" s="237"/>
      <c r="W495" s="237"/>
      <c r="X495" s="237"/>
      <c r="Y495" s="237"/>
      <c r="Z495" s="237"/>
      <c r="AA495" s="237"/>
      <c r="AB495" s="237"/>
      <c r="AC495" s="237"/>
      <c r="AD495" s="237"/>
      <c r="AE495" s="237"/>
      <c r="AF495" s="237"/>
      <c r="AG495" s="237"/>
      <c r="AI495" s="193"/>
      <c r="AJ495" s="193"/>
    </row>
    <row r="496" spans="2:36" x14ac:dyDescent="0.35">
      <c r="B496" s="193" t="e">
        <f>"2024"&amp;MATCH(Totals!D496,OrgType,0)&amp;"_"&amp;MATCH(Totals!E496,Organisations,0)&amp;"_"&amp;LEFT(Totals!F496,1)&amp;"_"&amp;LEFT(G496,1)&amp;"_"&amp;COUNTIF($G$3:G496,G496)</f>
        <v>#N/A</v>
      </c>
      <c r="C496" s="193">
        <v>2025</v>
      </c>
      <c r="D496" s="193">
        <f>Introduction!$D$7</f>
        <v>0</v>
      </c>
      <c r="E496" s="193">
        <f>Introduction!$D$8</f>
        <v>0</v>
      </c>
      <c r="F496" s="193" t="s">
        <v>488</v>
      </c>
      <c r="G496" s="193" t="s">
        <v>489</v>
      </c>
      <c r="H496" s="195">
        <f>'Site Information'!B500</f>
        <v>0</v>
      </c>
      <c r="I496" s="194"/>
      <c r="J496" s="193">
        <f>'Site Information'!C500</f>
        <v>0</v>
      </c>
      <c r="K496" s="193">
        <f>'Site Information'!D500</f>
        <v>0</v>
      </c>
      <c r="L496" s="193">
        <f>'Site Information'!E500</f>
        <v>0</v>
      </c>
      <c r="M496" s="237"/>
      <c r="N496" s="237"/>
      <c r="O496" s="237"/>
      <c r="P496" s="237"/>
      <c r="Q496" s="237"/>
      <c r="R496" s="193">
        <f>'Site Information'!F500</f>
        <v>0</v>
      </c>
      <c r="S496" s="237"/>
      <c r="T496" s="237"/>
      <c r="U496" s="237"/>
      <c r="V496" s="237"/>
      <c r="W496" s="237"/>
      <c r="X496" s="237"/>
      <c r="Y496" s="237"/>
      <c r="Z496" s="237"/>
      <c r="AA496" s="237"/>
      <c r="AB496" s="237"/>
      <c r="AC496" s="237"/>
      <c r="AD496" s="237"/>
      <c r="AE496" s="237"/>
      <c r="AF496" s="237"/>
      <c r="AG496" s="237"/>
      <c r="AI496" s="193"/>
      <c r="AJ496" s="193"/>
    </row>
    <row r="497" spans="2:36" x14ac:dyDescent="0.35">
      <c r="B497" s="193" t="e">
        <f>"2024"&amp;MATCH(Totals!D497,OrgType,0)&amp;"_"&amp;MATCH(Totals!E497,Organisations,0)&amp;"_"&amp;LEFT(Totals!F497,1)&amp;"_"&amp;LEFT(G497,1)&amp;"_"&amp;COUNTIF($G$3:G497,G497)</f>
        <v>#N/A</v>
      </c>
      <c r="C497" s="193">
        <v>2025</v>
      </c>
      <c r="D497" s="193">
        <f>Introduction!$D$7</f>
        <v>0</v>
      </c>
      <c r="E497" s="193">
        <f>Introduction!$D$8</f>
        <v>0</v>
      </c>
      <c r="F497" s="193" t="s">
        <v>488</v>
      </c>
      <c r="G497" s="193" t="s">
        <v>489</v>
      </c>
      <c r="H497" s="195">
        <f>'Site Information'!B501</f>
        <v>0</v>
      </c>
      <c r="I497" s="194"/>
      <c r="J497" s="193">
        <f>'Site Information'!C501</f>
        <v>0</v>
      </c>
      <c r="K497" s="193">
        <f>'Site Information'!D501</f>
        <v>0</v>
      </c>
      <c r="L497" s="193">
        <f>'Site Information'!E501</f>
        <v>0</v>
      </c>
      <c r="M497" s="237"/>
      <c r="N497" s="237"/>
      <c r="O497" s="237"/>
      <c r="P497" s="237"/>
      <c r="Q497" s="237"/>
      <c r="R497" s="193">
        <f>'Site Information'!F501</f>
        <v>0</v>
      </c>
      <c r="S497" s="237"/>
      <c r="T497" s="237"/>
      <c r="U497" s="237"/>
      <c r="V497" s="237"/>
      <c r="W497" s="237"/>
      <c r="X497" s="237"/>
      <c r="Y497" s="237"/>
      <c r="Z497" s="237"/>
      <c r="AA497" s="237"/>
      <c r="AB497" s="237"/>
      <c r="AC497" s="237"/>
      <c r="AD497" s="237"/>
      <c r="AE497" s="237"/>
      <c r="AF497" s="237"/>
      <c r="AG497" s="237"/>
      <c r="AI497" s="193"/>
      <c r="AJ497" s="193"/>
    </row>
    <row r="498" spans="2:36" x14ac:dyDescent="0.35">
      <c r="B498" s="193" t="e">
        <f>"2024"&amp;MATCH(Totals!D498,OrgType,0)&amp;"_"&amp;MATCH(Totals!E498,Organisations,0)&amp;"_"&amp;LEFT(Totals!F498,1)&amp;"_"&amp;LEFT(G498,1)&amp;"_"&amp;COUNTIF($G$3:G498,G498)</f>
        <v>#N/A</v>
      </c>
      <c r="C498" s="193">
        <v>2025</v>
      </c>
      <c r="D498" s="193">
        <f>Introduction!$D$7</f>
        <v>0</v>
      </c>
      <c r="E498" s="193">
        <f>Introduction!$D$8</f>
        <v>0</v>
      </c>
      <c r="F498" s="193" t="s">
        <v>488</v>
      </c>
      <c r="G498" s="193" t="s">
        <v>489</v>
      </c>
      <c r="H498" s="195">
        <f>'Site Information'!B502</f>
        <v>0</v>
      </c>
      <c r="I498" s="194"/>
      <c r="J498" s="193">
        <f>'Site Information'!C502</f>
        <v>0</v>
      </c>
      <c r="K498" s="193">
        <f>'Site Information'!D502</f>
        <v>0</v>
      </c>
      <c r="L498" s="193">
        <f>'Site Information'!E502</f>
        <v>0</v>
      </c>
      <c r="M498" s="237"/>
      <c r="N498" s="237"/>
      <c r="O498" s="237"/>
      <c r="P498" s="237"/>
      <c r="Q498" s="237"/>
      <c r="R498" s="193">
        <f>'Site Information'!F502</f>
        <v>0</v>
      </c>
      <c r="S498" s="237"/>
      <c r="T498" s="237"/>
      <c r="U498" s="237"/>
      <c r="V498" s="237"/>
      <c r="W498" s="237"/>
      <c r="X498" s="237"/>
      <c r="Y498" s="237"/>
      <c r="Z498" s="237"/>
      <c r="AA498" s="237"/>
      <c r="AB498" s="237"/>
      <c r="AC498" s="237"/>
      <c r="AD498" s="237"/>
      <c r="AE498" s="237"/>
      <c r="AF498" s="237"/>
      <c r="AG498" s="237"/>
      <c r="AI498" s="193"/>
      <c r="AJ498" s="193"/>
    </row>
    <row r="499" spans="2:36" x14ac:dyDescent="0.35">
      <c r="B499" s="193" t="e">
        <f>"2024"&amp;MATCH(Totals!D499,OrgType,0)&amp;"_"&amp;MATCH(Totals!E499,Organisations,0)&amp;"_"&amp;LEFT(Totals!F499,1)&amp;"_"&amp;LEFT(G499,1)&amp;"_"&amp;COUNTIF($G$3:G499,G499)</f>
        <v>#N/A</v>
      </c>
      <c r="C499" s="193">
        <v>2025</v>
      </c>
      <c r="D499" s="193">
        <f>Introduction!$D$7</f>
        <v>0</v>
      </c>
      <c r="E499" s="193">
        <f>Introduction!$D$8</f>
        <v>0</v>
      </c>
      <c r="F499" s="193" t="s">
        <v>488</v>
      </c>
      <c r="G499" s="193" t="s">
        <v>489</v>
      </c>
      <c r="H499" s="195">
        <f>'Site Information'!B503</f>
        <v>0</v>
      </c>
      <c r="I499" s="194"/>
      <c r="J499" s="193">
        <f>'Site Information'!C503</f>
        <v>0</v>
      </c>
      <c r="K499" s="193">
        <f>'Site Information'!D503</f>
        <v>0</v>
      </c>
      <c r="L499" s="193">
        <f>'Site Information'!E503</f>
        <v>0</v>
      </c>
      <c r="M499" s="237"/>
      <c r="N499" s="237"/>
      <c r="O499" s="237"/>
      <c r="P499" s="237"/>
      <c r="Q499" s="237"/>
      <c r="R499" s="193">
        <f>'Site Information'!F503</f>
        <v>0</v>
      </c>
      <c r="S499" s="237"/>
      <c r="T499" s="237"/>
      <c r="U499" s="237"/>
      <c r="V499" s="237"/>
      <c r="W499" s="237"/>
      <c r="X499" s="237"/>
      <c r="Y499" s="237"/>
      <c r="Z499" s="237"/>
      <c r="AA499" s="237"/>
      <c r="AB499" s="237"/>
      <c r="AC499" s="237"/>
      <c r="AD499" s="237"/>
      <c r="AE499" s="237"/>
      <c r="AF499" s="237"/>
      <c r="AG499" s="237"/>
      <c r="AI499" s="193"/>
      <c r="AJ499" s="193"/>
    </row>
    <row r="500" spans="2:36" x14ac:dyDescent="0.35">
      <c r="B500" s="193" t="e">
        <f>"2024"&amp;MATCH(Totals!D500,OrgType,0)&amp;"_"&amp;MATCH(Totals!E500,Organisations,0)&amp;"_"&amp;LEFT(Totals!F500,1)&amp;"_"&amp;LEFT(G500,1)&amp;"_"&amp;COUNTIF($G$3:G500,G500)</f>
        <v>#N/A</v>
      </c>
      <c r="C500" s="193">
        <v>2025</v>
      </c>
      <c r="D500" s="193">
        <f>Introduction!$D$7</f>
        <v>0</v>
      </c>
      <c r="E500" s="193">
        <f>Introduction!$D$8</f>
        <v>0</v>
      </c>
      <c r="F500" s="193" t="s">
        <v>488</v>
      </c>
      <c r="G500" s="193" t="s">
        <v>489</v>
      </c>
      <c r="H500" s="195">
        <f>'Site Information'!B104</f>
        <v>0</v>
      </c>
      <c r="I500" s="237"/>
      <c r="J500" s="193">
        <f>'Site Information'!C104</f>
        <v>0</v>
      </c>
      <c r="K500" s="193">
        <f>'Site Information'!D504</f>
        <v>0</v>
      </c>
      <c r="L500" s="193">
        <f>'Site Information'!E504</f>
        <v>0</v>
      </c>
      <c r="M500" s="237"/>
      <c r="N500" s="237"/>
      <c r="O500" s="237"/>
      <c r="P500" s="237"/>
      <c r="Q500" s="237"/>
      <c r="R500" s="193">
        <f>'Site Information'!F104</f>
        <v>0</v>
      </c>
      <c r="S500" s="237"/>
      <c r="T500" s="237"/>
      <c r="U500" s="237"/>
      <c r="V500" s="237"/>
      <c r="W500" s="237"/>
      <c r="X500" s="237"/>
      <c r="Y500" s="237"/>
      <c r="Z500" s="237"/>
      <c r="AA500" s="237"/>
      <c r="AB500" s="237"/>
      <c r="AC500" s="237"/>
      <c r="AD500" s="237"/>
      <c r="AE500" s="237"/>
      <c r="AF500" s="237"/>
      <c r="AG500" s="237"/>
      <c r="AI500" s="193">
        <f t="shared" si="4"/>
        <v>0</v>
      </c>
      <c r="AJ500" s="193">
        <f t="shared" si="5"/>
        <v>0</v>
      </c>
    </row>
    <row r="501" spans="2:36" x14ac:dyDescent="0.35">
      <c r="B501" s="193" t="e">
        <f>"2024"&amp;MATCH(Totals!D501,OrgType,0)&amp;"_"&amp;MATCH(Totals!E501,Organisations,0)&amp;"_"&amp;LEFT(Totals!F501,1)&amp;"_"&amp;LEFT(G501,1)&amp;"_"&amp;COUNTIF($G$3:G501,G501)</f>
        <v>#N/A</v>
      </c>
      <c r="C501" s="193">
        <v>2025</v>
      </c>
      <c r="D501" s="193">
        <f>Introduction!$D$7</f>
        <v>0</v>
      </c>
      <c r="E501" s="193">
        <f>Introduction!$D$8</f>
        <v>0</v>
      </c>
      <c r="F501" s="193" t="s">
        <v>488</v>
      </c>
      <c r="G501" s="193" t="s">
        <v>489</v>
      </c>
      <c r="H501" s="195">
        <f>'Site Information'!B105</f>
        <v>0</v>
      </c>
      <c r="I501" s="237"/>
      <c r="J501" s="193">
        <f>'Site Information'!C105</f>
        <v>0</v>
      </c>
      <c r="K501" s="193">
        <f>'Site Information'!D505</f>
        <v>0</v>
      </c>
      <c r="L501" s="193">
        <f>'Site Information'!E505</f>
        <v>0</v>
      </c>
      <c r="M501" s="237"/>
      <c r="N501" s="237"/>
      <c r="O501" s="237"/>
      <c r="P501" s="237"/>
      <c r="Q501" s="237"/>
      <c r="R501" s="193">
        <f>'Site Information'!F105</f>
        <v>0</v>
      </c>
      <c r="S501" s="237"/>
      <c r="T501" s="237"/>
      <c r="U501" s="237"/>
      <c r="V501" s="237"/>
      <c r="W501" s="237"/>
      <c r="X501" s="237"/>
      <c r="Y501" s="237"/>
      <c r="Z501" s="237"/>
      <c r="AA501" s="237"/>
      <c r="AB501" s="237"/>
      <c r="AC501" s="237"/>
      <c r="AD501" s="237"/>
      <c r="AE501" s="237"/>
      <c r="AF501" s="237"/>
      <c r="AG501" s="237"/>
      <c r="AI501" s="193">
        <f t="shared" si="4"/>
        <v>0</v>
      </c>
      <c r="AJ501" s="193">
        <f t="shared" si="5"/>
        <v>0</v>
      </c>
    </row>
    <row r="502" spans="2:36" x14ac:dyDescent="0.35">
      <c r="B502" s="193" t="e">
        <f>"2024"&amp;MATCH(Totals!D502,OrgType,0)&amp;"_"&amp;MATCH(Totals!E502,Organisations,0)&amp;"_"&amp;LEFT(Totals!F502,1)&amp;"_"&amp;LEFT(G502,1)&amp;"_"&amp;COUNTIF($G$3:G502,G502)</f>
        <v>#N/A</v>
      </c>
      <c r="C502" s="193">
        <v>2025</v>
      </c>
      <c r="D502" s="193">
        <f>Introduction!$D$7</f>
        <v>0</v>
      </c>
      <c r="E502" s="193">
        <f>Introduction!$D$8</f>
        <v>0</v>
      </c>
      <c r="F502" s="193" t="s">
        <v>488</v>
      </c>
      <c r="G502" s="193" t="s">
        <v>171</v>
      </c>
      <c r="H502" s="193">
        <f>'Buildings - Grid Electricity'!B7</f>
        <v>0</v>
      </c>
      <c r="I502" s="193">
        <f>'Buildings - Grid Electricity'!C7</f>
        <v>0</v>
      </c>
      <c r="J502" s="193" t="str">
        <f>'Buildings - Grid Electricity'!D7</f>
        <v/>
      </c>
      <c r="K502" s="237"/>
      <c r="L502" s="237"/>
      <c r="M502" s="193" t="str">
        <f>'Buildings - Grid Electricity'!E7</f>
        <v/>
      </c>
      <c r="N502" s="193" t="str">
        <f>'Buildings - Grid Electricity'!F7</f>
        <v/>
      </c>
      <c r="O502" s="237"/>
      <c r="P502" s="193">
        <f>'Buildings - Grid Electricity'!G7</f>
        <v>0</v>
      </c>
      <c r="Q502" s="193" t="str">
        <f>'Buildings - Grid Electricity'!H7</f>
        <v/>
      </c>
      <c r="R502" s="193">
        <f>'Buildings - Grid Electricity'!I7</f>
        <v>0</v>
      </c>
      <c r="S502" s="193" t="str">
        <f>'Buildings - Grid Electricity'!J7</f>
        <v/>
      </c>
      <c r="T502" s="193" t="str">
        <f>'Buildings - Grid Electricity'!K7</f>
        <v/>
      </c>
      <c r="U502" s="193" t="str">
        <f>'Buildings - Grid Electricity'!L7</f>
        <v/>
      </c>
      <c r="V502" s="193" t="str">
        <f>'Buildings - Grid Electricity'!M7</f>
        <v/>
      </c>
      <c r="W502" s="193" t="str">
        <f>'Buildings - Grid Electricity'!N7</f>
        <v/>
      </c>
      <c r="X502" s="193">
        <f>'Buildings - Grid Electricity'!O7</f>
        <v>0</v>
      </c>
      <c r="Y502" s="193">
        <f>'Buildings - Grid Electricity'!P7</f>
        <v>0</v>
      </c>
      <c r="Z502" s="193" t="str">
        <f>'Buildings - Grid Electricity'!Q7</f>
        <v/>
      </c>
      <c r="AA502" s="193" t="str">
        <f>'Buildings - Grid Electricity'!R7</f>
        <v/>
      </c>
      <c r="AB502" s="193" t="str">
        <f>'Buildings - Grid Electricity'!S7</f>
        <v/>
      </c>
      <c r="AC502" s="193" t="str">
        <f>'Buildings - Grid Electricity'!T7</f>
        <v/>
      </c>
      <c r="AD502" s="193" t="str">
        <f>'Buildings - Grid Electricity'!U7</f>
        <v/>
      </c>
      <c r="AE502" s="193" t="str">
        <f>'Buildings - Grid Electricity'!V7</f>
        <v/>
      </c>
      <c r="AF502" s="193" t="str">
        <f>'Buildings - Grid Electricity'!W7</f>
        <v/>
      </c>
      <c r="AG502" s="193" t="str">
        <f>'Buildings - Grid Electricity'!X7</f>
        <v/>
      </c>
      <c r="AI502" s="193">
        <f t="shared" si="4"/>
        <v>0</v>
      </c>
      <c r="AJ502" s="193">
        <f t="shared" si="5"/>
        <v>0</v>
      </c>
    </row>
    <row r="503" spans="2:36" x14ac:dyDescent="0.35">
      <c r="B503" s="193" t="e">
        <f>"2024"&amp;MATCH(Totals!D503,OrgType,0)&amp;"_"&amp;MATCH(Totals!E503,Organisations,0)&amp;"_"&amp;LEFT(Totals!F503,1)&amp;"_"&amp;LEFT(G503,1)&amp;"_"&amp;COUNTIF($G$3:G503,G503)</f>
        <v>#N/A</v>
      </c>
      <c r="C503" s="193">
        <v>2025</v>
      </c>
      <c r="D503" s="193">
        <f>Introduction!$D$7</f>
        <v>0</v>
      </c>
      <c r="E503" s="193">
        <f>Introduction!$D$8</f>
        <v>0</v>
      </c>
      <c r="F503" s="193" t="s">
        <v>488</v>
      </c>
      <c r="G503" s="193" t="s">
        <v>171</v>
      </c>
      <c r="H503" s="193">
        <f>'Buildings - Grid Electricity'!B8</f>
        <v>0</v>
      </c>
      <c r="I503" s="193">
        <f>'Buildings - Grid Electricity'!C8</f>
        <v>0</v>
      </c>
      <c r="J503" s="193" t="str">
        <f>'Buildings - Grid Electricity'!D8</f>
        <v/>
      </c>
      <c r="K503" s="237"/>
      <c r="L503" s="237"/>
      <c r="M503" s="193" t="str">
        <f>'Buildings - Grid Electricity'!E8</f>
        <v/>
      </c>
      <c r="N503" s="193" t="str">
        <f>'Buildings - Grid Electricity'!F8</f>
        <v/>
      </c>
      <c r="O503" s="237"/>
      <c r="P503" s="193">
        <f>'Buildings - Grid Electricity'!G8</f>
        <v>0</v>
      </c>
      <c r="Q503" s="193" t="str">
        <f>'Buildings - Grid Electricity'!H8</f>
        <v/>
      </c>
      <c r="R503" s="193">
        <f>'Buildings - Grid Electricity'!I8</f>
        <v>0</v>
      </c>
      <c r="S503" s="193" t="str">
        <f>'Buildings - Grid Electricity'!J8</f>
        <v/>
      </c>
      <c r="T503" s="193" t="str">
        <f>'Buildings - Grid Electricity'!K8</f>
        <v/>
      </c>
      <c r="U503" s="193" t="str">
        <f>'Buildings - Grid Electricity'!L8</f>
        <v/>
      </c>
      <c r="V503" s="193" t="str">
        <f>'Buildings - Grid Electricity'!M8</f>
        <v/>
      </c>
      <c r="W503" s="193" t="str">
        <f>'Buildings - Grid Electricity'!N8</f>
        <v/>
      </c>
      <c r="X503" s="193">
        <f>'Buildings - Grid Electricity'!O8</f>
        <v>0</v>
      </c>
      <c r="Y503" s="193">
        <f>'Buildings - Grid Electricity'!P8</f>
        <v>0</v>
      </c>
      <c r="Z503" s="193" t="str">
        <f>'Buildings - Grid Electricity'!Q8</f>
        <v/>
      </c>
      <c r="AA503" s="193" t="str">
        <f>'Buildings - Grid Electricity'!R8</f>
        <v/>
      </c>
      <c r="AB503" s="193" t="str">
        <f>'Buildings - Grid Electricity'!S8</f>
        <v/>
      </c>
      <c r="AC503" s="193" t="str">
        <f>'Buildings - Grid Electricity'!T8</f>
        <v/>
      </c>
      <c r="AD503" s="193" t="str">
        <f>'Buildings - Grid Electricity'!U8</f>
        <v/>
      </c>
      <c r="AE503" s="193" t="str">
        <f>'Buildings - Grid Electricity'!V8</f>
        <v/>
      </c>
      <c r="AF503" s="193" t="str">
        <f>'Buildings - Grid Electricity'!W8</f>
        <v/>
      </c>
      <c r="AG503" s="193" t="str">
        <f>'Buildings - Grid Electricity'!X8</f>
        <v/>
      </c>
      <c r="AI503" s="193">
        <f t="shared" si="4"/>
        <v>0</v>
      </c>
      <c r="AJ503" s="193">
        <f t="shared" si="5"/>
        <v>0</v>
      </c>
    </row>
    <row r="504" spans="2:36" x14ac:dyDescent="0.35">
      <c r="B504" s="193" t="e">
        <f>"2024"&amp;MATCH(Totals!D504,OrgType,0)&amp;"_"&amp;MATCH(Totals!E504,Organisations,0)&amp;"_"&amp;LEFT(Totals!F504,1)&amp;"_"&amp;LEFT(G504,1)&amp;"_"&amp;COUNTIF($G$3:G504,G504)</f>
        <v>#N/A</v>
      </c>
      <c r="C504" s="193">
        <v>2025</v>
      </c>
      <c r="D504" s="193">
        <f>Introduction!$D$7</f>
        <v>0</v>
      </c>
      <c r="E504" s="193">
        <f>Introduction!$D$8</f>
        <v>0</v>
      </c>
      <c r="F504" s="193" t="s">
        <v>488</v>
      </c>
      <c r="G504" s="193" t="s">
        <v>171</v>
      </c>
      <c r="H504" s="193">
        <f>'Buildings - Grid Electricity'!B9</f>
        <v>0</v>
      </c>
      <c r="I504" s="193">
        <f>'Buildings - Grid Electricity'!C9</f>
        <v>0</v>
      </c>
      <c r="J504" s="193" t="str">
        <f>'Buildings - Grid Electricity'!D9</f>
        <v/>
      </c>
      <c r="K504" s="237"/>
      <c r="L504" s="237"/>
      <c r="M504" s="193" t="str">
        <f>'Buildings - Grid Electricity'!E9</f>
        <v/>
      </c>
      <c r="N504" s="193" t="str">
        <f>'Buildings - Grid Electricity'!F9</f>
        <v/>
      </c>
      <c r="O504" s="237"/>
      <c r="P504" s="193">
        <f>'Buildings - Grid Electricity'!G9</f>
        <v>0</v>
      </c>
      <c r="Q504" s="193" t="str">
        <f>'Buildings - Grid Electricity'!H9</f>
        <v/>
      </c>
      <c r="R504" s="193">
        <f>'Buildings - Grid Electricity'!I9</f>
        <v>0</v>
      </c>
      <c r="S504" s="193" t="str">
        <f>'Buildings - Grid Electricity'!J9</f>
        <v/>
      </c>
      <c r="T504" s="193" t="str">
        <f>'Buildings - Grid Electricity'!K9</f>
        <v/>
      </c>
      <c r="U504" s="193" t="str">
        <f>'Buildings - Grid Electricity'!L9</f>
        <v/>
      </c>
      <c r="V504" s="193" t="str">
        <f>'Buildings - Grid Electricity'!M9</f>
        <v/>
      </c>
      <c r="W504" s="193" t="str">
        <f>'Buildings - Grid Electricity'!N9</f>
        <v/>
      </c>
      <c r="X504" s="193">
        <f>'Buildings - Grid Electricity'!O9</f>
        <v>0</v>
      </c>
      <c r="Y504" s="193">
        <f>'Buildings - Grid Electricity'!P9</f>
        <v>0</v>
      </c>
      <c r="Z504" s="193" t="str">
        <f>'Buildings - Grid Electricity'!Q9</f>
        <v/>
      </c>
      <c r="AA504" s="193" t="str">
        <f>'Buildings - Grid Electricity'!R9</f>
        <v/>
      </c>
      <c r="AB504" s="193" t="str">
        <f>'Buildings - Grid Electricity'!S9</f>
        <v/>
      </c>
      <c r="AC504" s="193" t="str">
        <f>'Buildings - Grid Electricity'!T9</f>
        <v/>
      </c>
      <c r="AD504" s="193" t="str">
        <f>'Buildings - Grid Electricity'!U9</f>
        <v/>
      </c>
      <c r="AE504" s="193" t="str">
        <f>'Buildings - Grid Electricity'!V9</f>
        <v/>
      </c>
      <c r="AF504" s="193" t="str">
        <f>'Buildings - Grid Electricity'!W9</f>
        <v/>
      </c>
      <c r="AG504" s="193" t="str">
        <f>'Buildings - Grid Electricity'!X9</f>
        <v/>
      </c>
      <c r="AI504" s="193">
        <f t="shared" si="4"/>
        <v>0</v>
      </c>
      <c r="AJ504" s="193">
        <f t="shared" si="5"/>
        <v>0</v>
      </c>
    </row>
    <row r="505" spans="2:36" x14ac:dyDescent="0.35">
      <c r="B505" s="193" t="e">
        <f>"2024"&amp;MATCH(Totals!D505,OrgType,0)&amp;"_"&amp;MATCH(Totals!E505,Organisations,0)&amp;"_"&amp;LEFT(Totals!F505,1)&amp;"_"&amp;LEFT(G505,1)&amp;"_"&amp;COUNTIF($G$3:G505,G505)</f>
        <v>#N/A</v>
      </c>
      <c r="C505" s="193">
        <v>2025</v>
      </c>
      <c r="D505" s="193">
        <f>Introduction!$D$7</f>
        <v>0</v>
      </c>
      <c r="E505" s="193">
        <f>Introduction!$D$8</f>
        <v>0</v>
      </c>
      <c r="F505" s="193" t="s">
        <v>488</v>
      </c>
      <c r="G505" s="193" t="s">
        <v>171</v>
      </c>
      <c r="H505" s="193">
        <f>'Buildings - Grid Electricity'!B10</f>
        <v>0</v>
      </c>
      <c r="I505" s="193">
        <f>'Buildings - Grid Electricity'!C10</f>
        <v>0</v>
      </c>
      <c r="J505" s="193" t="str">
        <f>'Buildings - Grid Electricity'!D10</f>
        <v/>
      </c>
      <c r="K505" s="237"/>
      <c r="L505" s="237"/>
      <c r="M505" s="193" t="str">
        <f>'Buildings - Grid Electricity'!E10</f>
        <v/>
      </c>
      <c r="N505" s="193" t="str">
        <f>'Buildings - Grid Electricity'!F10</f>
        <v/>
      </c>
      <c r="O505" s="237"/>
      <c r="P505" s="193">
        <f>'Buildings - Grid Electricity'!G10</f>
        <v>0</v>
      </c>
      <c r="Q505" s="193" t="str">
        <f>'Buildings - Grid Electricity'!H10</f>
        <v/>
      </c>
      <c r="R505" s="193">
        <f>'Buildings - Grid Electricity'!I10</f>
        <v>0</v>
      </c>
      <c r="S505" s="193" t="str">
        <f>'Buildings - Grid Electricity'!J10</f>
        <v/>
      </c>
      <c r="T505" s="193" t="str">
        <f>'Buildings - Grid Electricity'!K10</f>
        <v/>
      </c>
      <c r="U505" s="193" t="str">
        <f>'Buildings - Grid Electricity'!L10</f>
        <v/>
      </c>
      <c r="V505" s="193" t="str">
        <f>'Buildings - Grid Electricity'!M10</f>
        <v/>
      </c>
      <c r="W505" s="193" t="str">
        <f>'Buildings - Grid Electricity'!N10</f>
        <v/>
      </c>
      <c r="X505" s="193">
        <f>'Buildings - Grid Electricity'!O10</f>
        <v>0</v>
      </c>
      <c r="Y505" s="193">
        <f>'Buildings - Grid Electricity'!P10</f>
        <v>0</v>
      </c>
      <c r="Z505" s="193" t="str">
        <f>'Buildings - Grid Electricity'!Q10</f>
        <v/>
      </c>
      <c r="AA505" s="193" t="str">
        <f>'Buildings - Grid Electricity'!R10</f>
        <v/>
      </c>
      <c r="AB505" s="193" t="str">
        <f>'Buildings - Grid Electricity'!S10</f>
        <v/>
      </c>
      <c r="AC505" s="193" t="str">
        <f>'Buildings - Grid Electricity'!T10</f>
        <v/>
      </c>
      <c r="AD505" s="193" t="str">
        <f>'Buildings - Grid Electricity'!U10</f>
        <v/>
      </c>
      <c r="AE505" s="193" t="str">
        <f>'Buildings - Grid Electricity'!V10</f>
        <v/>
      </c>
      <c r="AF505" s="193" t="str">
        <f>'Buildings - Grid Electricity'!W10</f>
        <v/>
      </c>
      <c r="AG505" s="193" t="str">
        <f>'Buildings - Grid Electricity'!X10</f>
        <v/>
      </c>
      <c r="AI505" s="193">
        <f t="shared" si="4"/>
        <v>0</v>
      </c>
      <c r="AJ505" s="193">
        <f t="shared" si="5"/>
        <v>0</v>
      </c>
    </row>
    <row r="506" spans="2:36" x14ac:dyDescent="0.35">
      <c r="B506" s="193" t="e">
        <f>"2024"&amp;MATCH(Totals!D506,OrgType,0)&amp;"_"&amp;MATCH(Totals!E506,Organisations,0)&amp;"_"&amp;LEFT(Totals!F506,1)&amp;"_"&amp;LEFT(G506,1)&amp;"_"&amp;COUNTIF($G$3:G506,G506)</f>
        <v>#N/A</v>
      </c>
      <c r="C506" s="193">
        <v>2025</v>
      </c>
      <c r="D506" s="193">
        <f>Introduction!$D$7</f>
        <v>0</v>
      </c>
      <c r="E506" s="193">
        <f>Introduction!$D$8</f>
        <v>0</v>
      </c>
      <c r="F506" s="193" t="s">
        <v>488</v>
      </c>
      <c r="G506" s="193" t="s">
        <v>171</v>
      </c>
      <c r="H506" s="193">
        <f>'Buildings - Grid Electricity'!B11</f>
        <v>0</v>
      </c>
      <c r="I506" s="193">
        <f>'Buildings - Grid Electricity'!C11</f>
        <v>0</v>
      </c>
      <c r="J506" s="193" t="str">
        <f>'Buildings - Grid Electricity'!D11</f>
        <v/>
      </c>
      <c r="K506" s="237"/>
      <c r="L506" s="237"/>
      <c r="M506" s="193" t="str">
        <f>'Buildings - Grid Electricity'!E11</f>
        <v/>
      </c>
      <c r="N506" s="193" t="str">
        <f>'Buildings - Grid Electricity'!F11</f>
        <v/>
      </c>
      <c r="O506" s="237"/>
      <c r="P506" s="193">
        <f>'Buildings - Grid Electricity'!G11</f>
        <v>0</v>
      </c>
      <c r="Q506" s="193" t="str">
        <f>'Buildings - Grid Electricity'!H11</f>
        <v/>
      </c>
      <c r="R506" s="193">
        <f>'Buildings - Grid Electricity'!I11</f>
        <v>0</v>
      </c>
      <c r="S506" s="193" t="str">
        <f>'Buildings - Grid Electricity'!J11</f>
        <v/>
      </c>
      <c r="T506" s="193" t="str">
        <f>'Buildings - Grid Electricity'!K11</f>
        <v/>
      </c>
      <c r="U506" s="193" t="str">
        <f>'Buildings - Grid Electricity'!L11</f>
        <v/>
      </c>
      <c r="V506" s="193" t="str">
        <f>'Buildings - Grid Electricity'!M11</f>
        <v/>
      </c>
      <c r="W506" s="193" t="str">
        <f>'Buildings - Grid Electricity'!N11</f>
        <v/>
      </c>
      <c r="X506" s="193">
        <f>'Buildings - Grid Electricity'!O11</f>
        <v>0</v>
      </c>
      <c r="Y506" s="193">
        <f>'Buildings - Grid Electricity'!P11</f>
        <v>0</v>
      </c>
      <c r="Z506" s="193" t="str">
        <f>'Buildings - Grid Electricity'!Q11</f>
        <v/>
      </c>
      <c r="AA506" s="193" t="str">
        <f>'Buildings - Grid Electricity'!R11</f>
        <v/>
      </c>
      <c r="AB506" s="193" t="str">
        <f>'Buildings - Grid Electricity'!S11</f>
        <v/>
      </c>
      <c r="AC506" s="193" t="str">
        <f>'Buildings - Grid Electricity'!T11</f>
        <v/>
      </c>
      <c r="AD506" s="193" t="str">
        <f>'Buildings - Grid Electricity'!U11</f>
        <v/>
      </c>
      <c r="AE506" s="193" t="str">
        <f>'Buildings - Grid Electricity'!V11</f>
        <v/>
      </c>
      <c r="AF506" s="193" t="str">
        <f>'Buildings - Grid Electricity'!W11</f>
        <v/>
      </c>
      <c r="AG506" s="193" t="str">
        <f>'Buildings - Grid Electricity'!X11</f>
        <v/>
      </c>
      <c r="AI506" s="193">
        <f t="shared" si="4"/>
        <v>0</v>
      </c>
      <c r="AJ506" s="193">
        <f t="shared" si="5"/>
        <v>0</v>
      </c>
    </row>
    <row r="507" spans="2:36" x14ac:dyDescent="0.35">
      <c r="B507" s="193" t="e">
        <f>"2024"&amp;MATCH(Totals!D507,OrgType,0)&amp;"_"&amp;MATCH(Totals!E507,Organisations,0)&amp;"_"&amp;LEFT(Totals!F507,1)&amp;"_"&amp;LEFT(G507,1)&amp;"_"&amp;COUNTIF($G$3:G507,G507)</f>
        <v>#N/A</v>
      </c>
      <c r="C507" s="193">
        <v>2025</v>
      </c>
      <c r="D507" s="193">
        <f>Introduction!$D$7</f>
        <v>0</v>
      </c>
      <c r="E507" s="193">
        <f>Introduction!$D$8</f>
        <v>0</v>
      </c>
      <c r="F507" s="193" t="s">
        <v>488</v>
      </c>
      <c r="G507" s="193" t="s">
        <v>171</v>
      </c>
      <c r="H507" s="193">
        <f>'Buildings - Grid Electricity'!B12</f>
        <v>0</v>
      </c>
      <c r="I507" s="193">
        <f>'Buildings - Grid Electricity'!C12</f>
        <v>0</v>
      </c>
      <c r="J507" s="193" t="str">
        <f>'Buildings - Grid Electricity'!D12</f>
        <v/>
      </c>
      <c r="K507" s="237"/>
      <c r="L507" s="237"/>
      <c r="M507" s="193" t="str">
        <f>'Buildings - Grid Electricity'!E12</f>
        <v/>
      </c>
      <c r="N507" s="193" t="str">
        <f>'Buildings - Grid Electricity'!F12</f>
        <v/>
      </c>
      <c r="O507" s="237"/>
      <c r="P507" s="193">
        <f>'Buildings - Grid Electricity'!G12</f>
        <v>0</v>
      </c>
      <c r="Q507" s="193" t="str">
        <f>'Buildings - Grid Electricity'!H12</f>
        <v/>
      </c>
      <c r="R507" s="193">
        <f>'Buildings - Grid Electricity'!I12</f>
        <v>0</v>
      </c>
      <c r="S507" s="193" t="str">
        <f>'Buildings - Grid Electricity'!J12</f>
        <v/>
      </c>
      <c r="T507" s="193" t="str">
        <f>'Buildings - Grid Electricity'!K12</f>
        <v/>
      </c>
      <c r="U507" s="193" t="str">
        <f>'Buildings - Grid Electricity'!L12</f>
        <v/>
      </c>
      <c r="V507" s="193" t="str">
        <f>'Buildings - Grid Electricity'!M12</f>
        <v/>
      </c>
      <c r="W507" s="193" t="str">
        <f>'Buildings - Grid Electricity'!N12</f>
        <v/>
      </c>
      <c r="X507" s="193">
        <f>'Buildings - Grid Electricity'!O12</f>
        <v>0</v>
      </c>
      <c r="Y507" s="193">
        <f>'Buildings - Grid Electricity'!P12</f>
        <v>0</v>
      </c>
      <c r="Z507" s="193" t="str">
        <f>'Buildings - Grid Electricity'!Q12</f>
        <v/>
      </c>
      <c r="AA507" s="193" t="str">
        <f>'Buildings - Grid Electricity'!R12</f>
        <v/>
      </c>
      <c r="AB507" s="193" t="str">
        <f>'Buildings - Grid Electricity'!S12</f>
        <v/>
      </c>
      <c r="AC507" s="193" t="str">
        <f>'Buildings - Grid Electricity'!T12</f>
        <v/>
      </c>
      <c r="AD507" s="193" t="str">
        <f>'Buildings - Grid Electricity'!U12</f>
        <v/>
      </c>
      <c r="AE507" s="193" t="str">
        <f>'Buildings - Grid Electricity'!V12</f>
        <v/>
      </c>
      <c r="AF507" s="193" t="str">
        <f>'Buildings - Grid Electricity'!W12</f>
        <v/>
      </c>
      <c r="AG507" s="193" t="str">
        <f>'Buildings - Grid Electricity'!X12</f>
        <v/>
      </c>
      <c r="AI507" s="193">
        <f t="shared" si="4"/>
        <v>0</v>
      </c>
      <c r="AJ507" s="193">
        <f t="shared" si="5"/>
        <v>0</v>
      </c>
    </row>
    <row r="508" spans="2:36" x14ac:dyDescent="0.35">
      <c r="B508" s="193" t="e">
        <f>"2024"&amp;MATCH(Totals!D508,OrgType,0)&amp;"_"&amp;MATCH(Totals!E508,Organisations,0)&amp;"_"&amp;LEFT(Totals!F508,1)&amp;"_"&amp;LEFT(G508,1)&amp;"_"&amp;COUNTIF($G$3:G508,G508)</f>
        <v>#N/A</v>
      </c>
      <c r="C508" s="193">
        <v>2025</v>
      </c>
      <c r="D508" s="193">
        <f>Introduction!$D$7</f>
        <v>0</v>
      </c>
      <c r="E508" s="193">
        <f>Introduction!$D$8</f>
        <v>0</v>
      </c>
      <c r="F508" s="193" t="s">
        <v>488</v>
      </c>
      <c r="G508" s="193" t="s">
        <v>171</v>
      </c>
      <c r="H508" s="193">
        <f>'Buildings - Grid Electricity'!B13</f>
        <v>0</v>
      </c>
      <c r="I508" s="193">
        <f>'Buildings - Grid Electricity'!C13</f>
        <v>0</v>
      </c>
      <c r="J508" s="193" t="str">
        <f>'Buildings - Grid Electricity'!D13</f>
        <v/>
      </c>
      <c r="K508" s="237"/>
      <c r="L508" s="237"/>
      <c r="M508" s="193" t="str">
        <f>'Buildings - Grid Electricity'!E13</f>
        <v/>
      </c>
      <c r="N508" s="193" t="str">
        <f>'Buildings - Grid Electricity'!F13</f>
        <v/>
      </c>
      <c r="O508" s="237"/>
      <c r="P508" s="193">
        <f>'Buildings - Grid Electricity'!G13</f>
        <v>0</v>
      </c>
      <c r="Q508" s="193" t="str">
        <f>'Buildings - Grid Electricity'!H13</f>
        <v/>
      </c>
      <c r="R508" s="193">
        <f>'Buildings - Grid Electricity'!I13</f>
        <v>0</v>
      </c>
      <c r="S508" s="193" t="str">
        <f>'Buildings - Grid Electricity'!J13</f>
        <v/>
      </c>
      <c r="T508" s="193" t="str">
        <f>'Buildings - Grid Electricity'!K13</f>
        <v/>
      </c>
      <c r="U508" s="193" t="str">
        <f>'Buildings - Grid Electricity'!L13</f>
        <v/>
      </c>
      <c r="V508" s="193" t="str">
        <f>'Buildings - Grid Electricity'!M13</f>
        <v/>
      </c>
      <c r="W508" s="193" t="str">
        <f>'Buildings - Grid Electricity'!N13</f>
        <v/>
      </c>
      <c r="X508" s="193">
        <f>'Buildings - Grid Electricity'!O13</f>
        <v>0</v>
      </c>
      <c r="Y508" s="193">
        <f>'Buildings - Grid Electricity'!P13</f>
        <v>0</v>
      </c>
      <c r="Z508" s="193" t="str">
        <f>'Buildings - Grid Electricity'!Q13</f>
        <v/>
      </c>
      <c r="AA508" s="193" t="str">
        <f>'Buildings - Grid Electricity'!R13</f>
        <v/>
      </c>
      <c r="AB508" s="193" t="str">
        <f>'Buildings - Grid Electricity'!S13</f>
        <v/>
      </c>
      <c r="AC508" s="193" t="str">
        <f>'Buildings - Grid Electricity'!T13</f>
        <v/>
      </c>
      <c r="AD508" s="193" t="str">
        <f>'Buildings - Grid Electricity'!U13</f>
        <v/>
      </c>
      <c r="AE508" s="193" t="str">
        <f>'Buildings - Grid Electricity'!V13</f>
        <v/>
      </c>
      <c r="AF508" s="193" t="str">
        <f>'Buildings - Grid Electricity'!W13</f>
        <v/>
      </c>
      <c r="AG508" s="193" t="str">
        <f>'Buildings - Grid Electricity'!X13</f>
        <v/>
      </c>
      <c r="AI508" s="193">
        <f t="shared" si="4"/>
        <v>0</v>
      </c>
      <c r="AJ508" s="193">
        <f t="shared" si="5"/>
        <v>0</v>
      </c>
    </row>
    <row r="509" spans="2:36" x14ac:dyDescent="0.35">
      <c r="B509" s="193" t="e">
        <f>"2024"&amp;MATCH(Totals!D509,OrgType,0)&amp;"_"&amp;MATCH(Totals!E509,Organisations,0)&amp;"_"&amp;LEFT(Totals!F509,1)&amp;"_"&amp;LEFT(G509,1)&amp;"_"&amp;COUNTIF($G$3:G509,G509)</f>
        <v>#N/A</v>
      </c>
      <c r="C509" s="193">
        <v>2025</v>
      </c>
      <c r="D509" s="193">
        <f>Introduction!$D$7</f>
        <v>0</v>
      </c>
      <c r="E509" s="193">
        <f>Introduction!$D$8</f>
        <v>0</v>
      </c>
      <c r="F509" s="193" t="s">
        <v>488</v>
      </c>
      <c r="G509" s="193" t="s">
        <v>171</v>
      </c>
      <c r="H509" s="193">
        <f>'Buildings - Grid Electricity'!B14</f>
        <v>0</v>
      </c>
      <c r="I509" s="193">
        <f>'Buildings - Grid Electricity'!C14</f>
        <v>0</v>
      </c>
      <c r="J509" s="193" t="str">
        <f>'Buildings - Grid Electricity'!D14</f>
        <v/>
      </c>
      <c r="K509" s="237"/>
      <c r="L509" s="237"/>
      <c r="M509" s="193" t="str">
        <f>'Buildings - Grid Electricity'!E14</f>
        <v/>
      </c>
      <c r="N509" s="193" t="str">
        <f>'Buildings - Grid Electricity'!F14</f>
        <v/>
      </c>
      <c r="O509" s="237"/>
      <c r="P509" s="193">
        <f>'Buildings - Grid Electricity'!G14</f>
        <v>0</v>
      </c>
      <c r="Q509" s="193" t="str">
        <f>'Buildings - Grid Electricity'!H14</f>
        <v/>
      </c>
      <c r="R509" s="193">
        <f>'Buildings - Grid Electricity'!I14</f>
        <v>0</v>
      </c>
      <c r="S509" s="193" t="str">
        <f>'Buildings - Grid Electricity'!J14</f>
        <v/>
      </c>
      <c r="T509" s="193" t="str">
        <f>'Buildings - Grid Electricity'!K14</f>
        <v/>
      </c>
      <c r="U509" s="193" t="str">
        <f>'Buildings - Grid Electricity'!L14</f>
        <v/>
      </c>
      <c r="V509" s="193" t="str">
        <f>'Buildings - Grid Electricity'!M14</f>
        <v/>
      </c>
      <c r="W509" s="193" t="str">
        <f>'Buildings - Grid Electricity'!N14</f>
        <v/>
      </c>
      <c r="X509" s="193">
        <f>'Buildings - Grid Electricity'!O14</f>
        <v>0</v>
      </c>
      <c r="Y509" s="193">
        <f>'Buildings - Grid Electricity'!P14</f>
        <v>0</v>
      </c>
      <c r="Z509" s="193" t="str">
        <f>'Buildings - Grid Electricity'!Q14</f>
        <v/>
      </c>
      <c r="AA509" s="193" t="str">
        <f>'Buildings - Grid Electricity'!R14</f>
        <v/>
      </c>
      <c r="AB509" s="193" t="str">
        <f>'Buildings - Grid Electricity'!S14</f>
        <v/>
      </c>
      <c r="AC509" s="193" t="str">
        <f>'Buildings - Grid Electricity'!T14</f>
        <v/>
      </c>
      <c r="AD509" s="193" t="str">
        <f>'Buildings - Grid Electricity'!U14</f>
        <v/>
      </c>
      <c r="AE509" s="193" t="str">
        <f>'Buildings - Grid Electricity'!V14</f>
        <v/>
      </c>
      <c r="AF509" s="193" t="str">
        <f>'Buildings - Grid Electricity'!W14</f>
        <v/>
      </c>
      <c r="AG509" s="193" t="str">
        <f>'Buildings - Grid Electricity'!X14</f>
        <v/>
      </c>
      <c r="AI509" s="193">
        <f t="shared" si="4"/>
        <v>0</v>
      </c>
      <c r="AJ509" s="193">
        <f t="shared" si="5"/>
        <v>0</v>
      </c>
    </row>
    <row r="510" spans="2:36" x14ac:dyDescent="0.35">
      <c r="B510" s="193" t="e">
        <f>"2024"&amp;MATCH(Totals!D510,OrgType,0)&amp;"_"&amp;MATCH(Totals!E510,Organisations,0)&amp;"_"&amp;LEFT(Totals!F510,1)&amp;"_"&amp;LEFT(G510,1)&amp;"_"&amp;COUNTIF($G$3:G510,G510)</f>
        <v>#N/A</v>
      </c>
      <c r="C510" s="193">
        <v>2025</v>
      </c>
      <c r="D510" s="193">
        <f>Introduction!$D$7</f>
        <v>0</v>
      </c>
      <c r="E510" s="193">
        <f>Introduction!$D$8</f>
        <v>0</v>
      </c>
      <c r="F510" s="193" t="s">
        <v>488</v>
      </c>
      <c r="G510" s="193" t="s">
        <v>171</v>
      </c>
      <c r="H510" s="193">
        <f>'Buildings - Grid Electricity'!B15</f>
        <v>0</v>
      </c>
      <c r="I510" s="193">
        <f>'Buildings - Grid Electricity'!C15</f>
        <v>0</v>
      </c>
      <c r="J510" s="193" t="str">
        <f>'Buildings - Grid Electricity'!D15</f>
        <v/>
      </c>
      <c r="K510" s="237"/>
      <c r="L510" s="237"/>
      <c r="M510" s="193" t="str">
        <f>'Buildings - Grid Electricity'!E15</f>
        <v/>
      </c>
      <c r="N510" s="193" t="str">
        <f>'Buildings - Grid Electricity'!F15</f>
        <v/>
      </c>
      <c r="O510" s="237"/>
      <c r="P510" s="193">
        <f>'Buildings - Grid Electricity'!G15</f>
        <v>0</v>
      </c>
      <c r="Q510" s="193" t="str">
        <f>'Buildings - Grid Electricity'!H15</f>
        <v/>
      </c>
      <c r="R510" s="193">
        <f>'Buildings - Grid Electricity'!I15</f>
        <v>0</v>
      </c>
      <c r="S510" s="193" t="str">
        <f>'Buildings - Grid Electricity'!J15</f>
        <v/>
      </c>
      <c r="T510" s="193" t="str">
        <f>'Buildings - Grid Electricity'!K15</f>
        <v/>
      </c>
      <c r="U510" s="193" t="str">
        <f>'Buildings - Grid Electricity'!L15</f>
        <v/>
      </c>
      <c r="V510" s="193" t="str">
        <f>'Buildings - Grid Electricity'!M15</f>
        <v/>
      </c>
      <c r="W510" s="193" t="str">
        <f>'Buildings - Grid Electricity'!N15</f>
        <v/>
      </c>
      <c r="X510" s="193">
        <f>'Buildings - Grid Electricity'!O15</f>
        <v>0</v>
      </c>
      <c r="Y510" s="193">
        <f>'Buildings - Grid Electricity'!P15</f>
        <v>0</v>
      </c>
      <c r="Z510" s="193" t="str">
        <f>'Buildings - Grid Electricity'!Q15</f>
        <v/>
      </c>
      <c r="AA510" s="193" t="str">
        <f>'Buildings - Grid Electricity'!R15</f>
        <v/>
      </c>
      <c r="AB510" s="193" t="str">
        <f>'Buildings - Grid Electricity'!S15</f>
        <v/>
      </c>
      <c r="AC510" s="193" t="str">
        <f>'Buildings - Grid Electricity'!T15</f>
        <v/>
      </c>
      <c r="AD510" s="193" t="str">
        <f>'Buildings - Grid Electricity'!U15</f>
        <v/>
      </c>
      <c r="AE510" s="193" t="str">
        <f>'Buildings - Grid Electricity'!V15</f>
        <v/>
      </c>
      <c r="AF510" s="193" t="str">
        <f>'Buildings - Grid Electricity'!W15</f>
        <v/>
      </c>
      <c r="AG510" s="193" t="str">
        <f>'Buildings - Grid Electricity'!X15</f>
        <v/>
      </c>
      <c r="AI510" s="193">
        <f t="shared" si="4"/>
        <v>0</v>
      </c>
      <c r="AJ510" s="193">
        <f t="shared" si="5"/>
        <v>0</v>
      </c>
    </row>
    <row r="511" spans="2:36" x14ac:dyDescent="0.35">
      <c r="B511" s="193" t="e">
        <f>"2024"&amp;MATCH(Totals!D511,OrgType,0)&amp;"_"&amp;MATCH(Totals!E511,Organisations,0)&amp;"_"&amp;LEFT(Totals!F511,1)&amp;"_"&amp;LEFT(G511,1)&amp;"_"&amp;COUNTIF($G$3:G511,G511)</f>
        <v>#N/A</v>
      </c>
      <c r="C511" s="193">
        <v>2025</v>
      </c>
      <c r="D511" s="193">
        <f>Introduction!$D$7</f>
        <v>0</v>
      </c>
      <c r="E511" s="193">
        <f>Introduction!$D$8</f>
        <v>0</v>
      </c>
      <c r="F511" s="193" t="s">
        <v>488</v>
      </c>
      <c r="G511" s="193" t="s">
        <v>171</v>
      </c>
      <c r="H511" s="193">
        <f>'Buildings - Grid Electricity'!B16</f>
        <v>0</v>
      </c>
      <c r="I511" s="193">
        <f>'Buildings - Grid Electricity'!C16</f>
        <v>0</v>
      </c>
      <c r="J511" s="193" t="str">
        <f>'Buildings - Grid Electricity'!D16</f>
        <v/>
      </c>
      <c r="K511" s="237"/>
      <c r="L511" s="237"/>
      <c r="M511" s="193" t="str">
        <f>'Buildings - Grid Electricity'!E16</f>
        <v/>
      </c>
      <c r="N511" s="193" t="str">
        <f>'Buildings - Grid Electricity'!F16</f>
        <v/>
      </c>
      <c r="O511" s="237"/>
      <c r="P511" s="193">
        <f>'Buildings - Grid Electricity'!G16</f>
        <v>0</v>
      </c>
      <c r="Q511" s="193" t="str">
        <f>'Buildings - Grid Electricity'!H16</f>
        <v/>
      </c>
      <c r="R511" s="193">
        <f>'Buildings - Grid Electricity'!I16</f>
        <v>0</v>
      </c>
      <c r="S511" s="193" t="str">
        <f>'Buildings - Grid Electricity'!J16</f>
        <v/>
      </c>
      <c r="T511" s="193" t="str">
        <f>'Buildings - Grid Electricity'!K16</f>
        <v/>
      </c>
      <c r="U511" s="193" t="str">
        <f>'Buildings - Grid Electricity'!L16</f>
        <v/>
      </c>
      <c r="V511" s="193" t="str">
        <f>'Buildings - Grid Electricity'!M16</f>
        <v/>
      </c>
      <c r="W511" s="193" t="str">
        <f>'Buildings - Grid Electricity'!N16</f>
        <v/>
      </c>
      <c r="X511" s="193">
        <f>'Buildings - Grid Electricity'!O16</f>
        <v>0</v>
      </c>
      <c r="Y511" s="193">
        <f>'Buildings - Grid Electricity'!P16</f>
        <v>0</v>
      </c>
      <c r="Z511" s="193" t="str">
        <f>'Buildings - Grid Electricity'!Q16</f>
        <v/>
      </c>
      <c r="AA511" s="193" t="str">
        <f>'Buildings - Grid Electricity'!R16</f>
        <v/>
      </c>
      <c r="AB511" s="193" t="str">
        <f>'Buildings - Grid Electricity'!S16</f>
        <v/>
      </c>
      <c r="AC511" s="193" t="str">
        <f>'Buildings - Grid Electricity'!T16</f>
        <v/>
      </c>
      <c r="AD511" s="193" t="str">
        <f>'Buildings - Grid Electricity'!U16</f>
        <v/>
      </c>
      <c r="AE511" s="193" t="str">
        <f>'Buildings - Grid Electricity'!V16</f>
        <v/>
      </c>
      <c r="AF511" s="193" t="str">
        <f>'Buildings - Grid Electricity'!W16</f>
        <v/>
      </c>
      <c r="AG511" s="193" t="str">
        <f>'Buildings - Grid Electricity'!X16</f>
        <v/>
      </c>
      <c r="AI511" s="193">
        <f t="shared" si="4"/>
        <v>0</v>
      </c>
      <c r="AJ511" s="193">
        <f t="shared" si="5"/>
        <v>0</v>
      </c>
    </row>
    <row r="512" spans="2:36" x14ac:dyDescent="0.35">
      <c r="B512" s="193" t="e">
        <f>"2024"&amp;MATCH(Totals!D512,OrgType,0)&amp;"_"&amp;MATCH(Totals!E512,Organisations,0)&amp;"_"&amp;LEFT(Totals!F512,1)&amp;"_"&amp;LEFT(G512,1)&amp;"_"&amp;COUNTIF($G$3:G512,G512)</f>
        <v>#N/A</v>
      </c>
      <c r="C512" s="193">
        <v>2025</v>
      </c>
      <c r="D512" s="193">
        <f>Introduction!$D$7</f>
        <v>0</v>
      </c>
      <c r="E512" s="193">
        <f>Introduction!$D$8</f>
        <v>0</v>
      </c>
      <c r="F512" s="193" t="s">
        <v>488</v>
      </c>
      <c r="G512" s="193" t="s">
        <v>171</v>
      </c>
      <c r="H512" s="193">
        <f>'Buildings - Grid Electricity'!B17</f>
        <v>0</v>
      </c>
      <c r="I512" s="193">
        <f>'Buildings - Grid Electricity'!C17</f>
        <v>0</v>
      </c>
      <c r="J512" s="193" t="str">
        <f>'Buildings - Grid Electricity'!D17</f>
        <v/>
      </c>
      <c r="K512" s="237"/>
      <c r="L512" s="237"/>
      <c r="M512" s="193" t="str">
        <f>'Buildings - Grid Electricity'!E17</f>
        <v/>
      </c>
      <c r="N512" s="193" t="str">
        <f>'Buildings - Grid Electricity'!F17</f>
        <v/>
      </c>
      <c r="O512" s="237"/>
      <c r="P512" s="193">
        <f>'Buildings - Grid Electricity'!G17</f>
        <v>0</v>
      </c>
      <c r="Q512" s="193" t="str">
        <f>'Buildings - Grid Electricity'!H17</f>
        <v/>
      </c>
      <c r="R512" s="193">
        <f>'Buildings - Grid Electricity'!I17</f>
        <v>0</v>
      </c>
      <c r="S512" s="193" t="str">
        <f>'Buildings - Grid Electricity'!J17</f>
        <v/>
      </c>
      <c r="T512" s="193" t="str">
        <f>'Buildings - Grid Electricity'!K17</f>
        <v/>
      </c>
      <c r="U512" s="193" t="str">
        <f>'Buildings - Grid Electricity'!L17</f>
        <v/>
      </c>
      <c r="V512" s="193" t="str">
        <f>'Buildings - Grid Electricity'!M17</f>
        <v/>
      </c>
      <c r="W512" s="193" t="str">
        <f>'Buildings - Grid Electricity'!N17</f>
        <v/>
      </c>
      <c r="X512" s="193">
        <f>'Buildings - Grid Electricity'!O17</f>
        <v>0</v>
      </c>
      <c r="Y512" s="193">
        <f>'Buildings - Grid Electricity'!P17</f>
        <v>0</v>
      </c>
      <c r="Z512" s="193" t="str">
        <f>'Buildings - Grid Electricity'!Q17</f>
        <v/>
      </c>
      <c r="AA512" s="193" t="str">
        <f>'Buildings - Grid Electricity'!R17</f>
        <v/>
      </c>
      <c r="AB512" s="193" t="str">
        <f>'Buildings - Grid Electricity'!S17</f>
        <v/>
      </c>
      <c r="AC512" s="193" t="str">
        <f>'Buildings - Grid Electricity'!T17</f>
        <v/>
      </c>
      <c r="AD512" s="193" t="str">
        <f>'Buildings - Grid Electricity'!U17</f>
        <v/>
      </c>
      <c r="AE512" s="193" t="str">
        <f>'Buildings - Grid Electricity'!V17</f>
        <v/>
      </c>
      <c r="AF512" s="193" t="str">
        <f>'Buildings - Grid Electricity'!W17</f>
        <v/>
      </c>
      <c r="AG512" s="193" t="str">
        <f>'Buildings - Grid Electricity'!X17</f>
        <v/>
      </c>
      <c r="AI512" s="193">
        <f t="shared" si="4"/>
        <v>0</v>
      </c>
      <c r="AJ512" s="193">
        <f t="shared" si="5"/>
        <v>0</v>
      </c>
    </row>
    <row r="513" spans="2:36" x14ac:dyDescent="0.35">
      <c r="B513" s="193" t="e">
        <f>"2024"&amp;MATCH(Totals!D513,OrgType,0)&amp;"_"&amp;MATCH(Totals!E513,Organisations,0)&amp;"_"&amp;LEFT(Totals!F513,1)&amp;"_"&amp;LEFT(G513,1)&amp;"_"&amp;COUNTIF($G$3:G513,G513)</f>
        <v>#N/A</v>
      </c>
      <c r="C513" s="193">
        <v>2025</v>
      </c>
      <c r="D513" s="193">
        <f>Introduction!$D$7</f>
        <v>0</v>
      </c>
      <c r="E513" s="193">
        <f>Introduction!$D$8</f>
        <v>0</v>
      </c>
      <c r="F513" s="193" t="s">
        <v>488</v>
      </c>
      <c r="G513" s="193" t="s">
        <v>171</v>
      </c>
      <c r="H513" s="193">
        <f>'Buildings - Grid Electricity'!B18</f>
        <v>0</v>
      </c>
      <c r="I513" s="193">
        <f>'Buildings - Grid Electricity'!C18</f>
        <v>0</v>
      </c>
      <c r="J513" s="193" t="str">
        <f>'Buildings - Grid Electricity'!D18</f>
        <v/>
      </c>
      <c r="K513" s="237"/>
      <c r="L513" s="237"/>
      <c r="M513" s="193" t="str">
        <f>'Buildings - Grid Electricity'!E18</f>
        <v/>
      </c>
      <c r="N513" s="193" t="str">
        <f>'Buildings - Grid Electricity'!F18</f>
        <v/>
      </c>
      <c r="O513" s="237"/>
      <c r="P513" s="193">
        <f>'Buildings - Grid Electricity'!G18</f>
        <v>0</v>
      </c>
      <c r="Q513" s="193" t="str">
        <f>'Buildings - Grid Electricity'!H18</f>
        <v/>
      </c>
      <c r="R513" s="193">
        <f>'Buildings - Grid Electricity'!I18</f>
        <v>0</v>
      </c>
      <c r="S513" s="193" t="str">
        <f>'Buildings - Grid Electricity'!J18</f>
        <v/>
      </c>
      <c r="T513" s="193" t="str">
        <f>'Buildings - Grid Electricity'!K18</f>
        <v/>
      </c>
      <c r="U513" s="193" t="str">
        <f>'Buildings - Grid Electricity'!L18</f>
        <v/>
      </c>
      <c r="V513" s="193" t="str">
        <f>'Buildings - Grid Electricity'!M18</f>
        <v/>
      </c>
      <c r="W513" s="193" t="str">
        <f>'Buildings - Grid Electricity'!N18</f>
        <v/>
      </c>
      <c r="X513" s="193">
        <f>'Buildings - Grid Electricity'!O18</f>
        <v>0</v>
      </c>
      <c r="Y513" s="193">
        <f>'Buildings - Grid Electricity'!P18</f>
        <v>0</v>
      </c>
      <c r="Z513" s="193" t="str">
        <f>'Buildings - Grid Electricity'!Q18</f>
        <v/>
      </c>
      <c r="AA513" s="193" t="str">
        <f>'Buildings - Grid Electricity'!R18</f>
        <v/>
      </c>
      <c r="AB513" s="193" t="str">
        <f>'Buildings - Grid Electricity'!S18</f>
        <v/>
      </c>
      <c r="AC513" s="193" t="str">
        <f>'Buildings - Grid Electricity'!T18</f>
        <v/>
      </c>
      <c r="AD513" s="193" t="str">
        <f>'Buildings - Grid Electricity'!U18</f>
        <v/>
      </c>
      <c r="AE513" s="193" t="str">
        <f>'Buildings - Grid Electricity'!V18</f>
        <v/>
      </c>
      <c r="AF513" s="193" t="str">
        <f>'Buildings - Grid Electricity'!W18</f>
        <v/>
      </c>
      <c r="AG513" s="193" t="str">
        <f>'Buildings - Grid Electricity'!X18</f>
        <v/>
      </c>
      <c r="AI513" s="193">
        <f t="shared" si="4"/>
        <v>0</v>
      </c>
      <c r="AJ513" s="193">
        <f t="shared" si="5"/>
        <v>0</v>
      </c>
    </row>
    <row r="514" spans="2:36" x14ac:dyDescent="0.35">
      <c r="B514" s="193" t="e">
        <f>"2024"&amp;MATCH(Totals!D514,OrgType,0)&amp;"_"&amp;MATCH(Totals!E514,Organisations,0)&amp;"_"&amp;LEFT(Totals!F514,1)&amp;"_"&amp;LEFT(G514,1)&amp;"_"&amp;COUNTIF($G$3:G514,G514)</f>
        <v>#N/A</v>
      </c>
      <c r="C514" s="193">
        <v>2025</v>
      </c>
      <c r="D514" s="193">
        <f>Introduction!$D$7</f>
        <v>0</v>
      </c>
      <c r="E514" s="193">
        <f>Introduction!$D$8</f>
        <v>0</v>
      </c>
      <c r="F514" s="193" t="s">
        <v>488</v>
      </c>
      <c r="G514" s="193" t="s">
        <v>171</v>
      </c>
      <c r="H514" s="193">
        <f>'Buildings - Grid Electricity'!B19</f>
        <v>0</v>
      </c>
      <c r="I514" s="193">
        <f>'Buildings - Grid Electricity'!C19</f>
        <v>0</v>
      </c>
      <c r="J514" s="193" t="str">
        <f>'Buildings - Grid Electricity'!D19</f>
        <v/>
      </c>
      <c r="K514" s="237"/>
      <c r="L514" s="237"/>
      <c r="M514" s="193" t="str">
        <f>'Buildings - Grid Electricity'!E19</f>
        <v/>
      </c>
      <c r="N514" s="193" t="str">
        <f>'Buildings - Grid Electricity'!F19</f>
        <v/>
      </c>
      <c r="O514" s="237"/>
      <c r="P514" s="193">
        <f>'Buildings - Grid Electricity'!G19</f>
        <v>0</v>
      </c>
      <c r="Q514" s="193" t="str">
        <f>'Buildings - Grid Electricity'!H19</f>
        <v/>
      </c>
      <c r="R514" s="193">
        <f>'Buildings - Grid Electricity'!I19</f>
        <v>0</v>
      </c>
      <c r="S514" s="193" t="str">
        <f>'Buildings - Grid Electricity'!J19</f>
        <v/>
      </c>
      <c r="T514" s="193" t="str">
        <f>'Buildings - Grid Electricity'!K19</f>
        <v/>
      </c>
      <c r="U514" s="193" t="str">
        <f>'Buildings - Grid Electricity'!L19</f>
        <v/>
      </c>
      <c r="V514" s="193" t="str">
        <f>'Buildings - Grid Electricity'!M19</f>
        <v/>
      </c>
      <c r="W514" s="193" t="str">
        <f>'Buildings - Grid Electricity'!N19</f>
        <v/>
      </c>
      <c r="X514" s="193">
        <f>'Buildings - Grid Electricity'!O19</f>
        <v>0</v>
      </c>
      <c r="Y514" s="193">
        <f>'Buildings - Grid Electricity'!P19</f>
        <v>0</v>
      </c>
      <c r="Z514" s="193" t="str">
        <f>'Buildings - Grid Electricity'!Q19</f>
        <v/>
      </c>
      <c r="AA514" s="193" t="str">
        <f>'Buildings - Grid Electricity'!R19</f>
        <v/>
      </c>
      <c r="AB514" s="193" t="str">
        <f>'Buildings - Grid Electricity'!S19</f>
        <v/>
      </c>
      <c r="AC514" s="193" t="str">
        <f>'Buildings - Grid Electricity'!T19</f>
        <v/>
      </c>
      <c r="AD514" s="193" t="str">
        <f>'Buildings - Grid Electricity'!U19</f>
        <v/>
      </c>
      <c r="AE514" s="193" t="str">
        <f>'Buildings - Grid Electricity'!V19</f>
        <v/>
      </c>
      <c r="AF514" s="193" t="str">
        <f>'Buildings - Grid Electricity'!W19</f>
        <v/>
      </c>
      <c r="AG514" s="193" t="str">
        <f>'Buildings - Grid Electricity'!X19</f>
        <v/>
      </c>
      <c r="AI514" s="193">
        <f t="shared" si="4"/>
        <v>0</v>
      </c>
      <c r="AJ514" s="193">
        <f t="shared" si="5"/>
        <v>0</v>
      </c>
    </row>
    <row r="515" spans="2:36" x14ac:dyDescent="0.35">
      <c r="B515" s="193" t="e">
        <f>"2024"&amp;MATCH(Totals!D515,OrgType,0)&amp;"_"&amp;MATCH(Totals!E515,Organisations,0)&amp;"_"&amp;LEFT(Totals!F515,1)&amp;"_"&amp;LEFT(G515,1)&amp;"_"&amp;COUNTIF($G$3:G515,G515)</f>
        <v>#N/A</v>
      </c>
      <c r="C515" s="193">
        <v>2025</v>
      </c>
      <c r="D515" s="193">
        <f>Introduction!$D$7</f>
        <v>0</v>
      </c>
      <c r="E515" s="193">
        <f>Introduction!$D$8</f>
        <v>0</v>
      </c>
      <c r="F515" s="193" t="s">
        <v>488</v>
      </c>
      <c r="G515" s="193" t="s">
        <v>171</v>
      </c>
      <c r="H515" s="193">
        <f>'Buildings - Grid Electricity'!B20</f>
        <v>0</v>
      </c>
      <c r="I515" s="193">
        <f>'Buildings - Grid Electricity'!C20</f>
        <v>0</v>
      </c>
      <c r="J515" s="193" t="str">
        <f>'Buildings - Grid Electricity'!D20</f>
        <v/>
      </c>
      <c r="K515" s="237"/>
      <c r="L515" s="237"/>
      <c r="M515" s="193" t="str">
        <f>'Buildings - Grid Electricity'!E20</f>
        <v/>
      </c>
      <c r="N515" s="193" t="str">
        <f>'Buildings - Grid Electricity'!F20</f>
        <v/>
      </c>
      <c r="O515" s="237"/>
      <c r="P515" s="193">
        <f>'Buildings - Grid Electricity'!G20</f>
        <v>0</v>
      </c>
      <c r="Q515" s="193" t="str">
        <f>'Buildings - Grid Electricity'!H20</f>
        <v/>
      </c>
      <c r="R515" s="193">
        <f>'Buildings - Grid Electricity'!I20</f>
        <v>0</v>
      </c>
      <c r="S515" s="193" t="str">
        <f>'Buildings - Grid Electricity'!J20</f>
        <v/>
      </c>
      <c r="T515" s="193" t="str">
        <f>'Buildings - Grid Electricity'!K20</f>
        <v/>
      </c>
      <c r="U515" s="193" t="str">
        <f>'Buildings - Grid Electricity'!L20</f>
        <v/>
      </c>
      <c r="V515" s="193" t="str">
        <f>'Buildings - Grid Electricity'!M20</f>
        <v/>
      </c>
      <c r="W515" s="193" t="str">
        <f>'Buildings - Grid Electricity'!N20</f>
        <v/>
      </c>
      <c r="X515" s="193">
        <f>'Buildings - Grid Electricity'!O20</f>
        <v>0</v>
      </c>
      <c r="Y515" s="193">
        <f>'Buildings - Grid Electricity'!P20</f>
        <v>0</v>
      </c>
      <c r="Z515" s="193" t="str">
        <f>'Buildings - Grid Electricity'!Q20</f>
        <v/>
      </c>
      <c r="AA515" s="193" t="str">
        <f>'Buildings - Grid Electricity'!R20</f>
        <v/>
      </c>
      <c r="AB515" s="193" t="str">
        <f>'Buildings - Grid Electricity'!S20</f>
        <v/>
      </c>
      <c r="AC515" s="193" t="str">
        <f>'Buildings - Grid Electricity'!T20</f>
        <v/>
      </c>
      <c r="AD515" s="193" t="str">
        <f>'Buildings - Grid Electricity'!U20</f>
        <v/>
      </c>
      <c r="AE515" s="193" t="str">
        <f>'Buildings - Grid Electricity'!V20</f>
        <v/>
      </c>
      <c r="AF515" s="193" t="str">
        <f>'Buildings - Grid Electricity'!W20</f>
        <v/>
      </c>
      <c r="AG515" s="193" t="str">
        <f>'Buildings - Grid Electricity'!X20</f>
        <v/>
      </c>
      <c r="AI515" s="193">
        <f t="shared" si="4"/>
        <v>0</v>
      </c>
      <c r="AJ515" s="193">
        <f t="shared" si="5"/>
        <v>0</v>
      </c>
    </row>
    <row r="516" spans="2:36" x14ac:dyDescent="0.35">
      <c r="B516" s="193" t="e">
        <f>"2024"&amp;MATCH(Totals!D516,OrgType,0)&amp;"_"&amp;MATCH(Totals!E516,Organisations,0)&amp;"_"&amp;LEFT(Totals!F516,1)&amp;"_"&amp;LEFT(G516,1)&amp;"_"&amp;COUNTIF($G$3:G516,G516)</f>
        <v>#N/A</v>
      </c>
      <c r="C516" s="193">
        <v>2025</v>
      </c>
      <c r="D516" s="193">
        <f>Introduction!$D$7</f>
        <v>0</v>
      </c>
      <c r="E516" s="193">
        <f>Introduction!$D$8</f>
        <v>0</v>
      </c>
      <c r="F516" s="193" t="s">
        <v>488</v>
      </c>
      <c r="G516" s="193" t="s">
        <v>171</v>
      </c>
      <c r="H516" s="193">
        <f>'Buildings - Grid Electricity'!B21</f>
        <v>0</v>
      </c>
      <c r="I516" s="193">
        <f>'Buildings - Grid Electricity'!C21</f>
        <v>0</v>
      </c>
      <c r="J516" s="193" t="str">
        <f>'Buildings - Grid Electricity'!D21</f>
        <v/>
      </c>
      <c r="K516" s="237"/>
      <c r="L516" s="237"/>
      <c r="M516" s="193" t="str">
        <f>'Buildings - Grid Electricity'!E21</f>
        <v/>
      </c>
      <c r="N516" s="193" t="str">
        <f>'Buildings - Grid Electricity'!F21</f>
        <v/>
      </c>
      <c r="O516" s="237"/>
      <c r="P516" s="193">
        <f>'Buildings - Grid Electricity'!G21</f>
        <v>0</v>
      </c>
      <c r="Q516" s="193" t="str">
        <f>'Buildings - Grid Electricity'!H21</f>
        <v/>
      </c>
      <c r="R516" s="193">
        <f>'Buildings - Grid Electricity'!I21</f>
        <v>0</v>
      </c>
      <c r="S516" s="193" t="str">
        <f>'Buildings - Grid Electricity'!J21</f>
        <v/>
      </c>
      <c r="T516" s="193" t="str">
        <f>'Buildings - Grid Electricity'!K21</f>
        <v/>
      </c>
      <c r="U516" s="193" t="str">
        <f>'Buildings - Grid Electricity'!L21</f>
        <v/>
      </c>
      <c r="V516" s="193" t="str">
        <f>'Buildings - Grid Electricity'!M21</f>
        <v/>
      </c>
      <c r="W516" s="193" t="str">
        <f>'Buildings - Grid Electricity'!N21</f>
        <v/>
      </c>
      <c r="X516" s="193">
        <f>'Buildings - Grid Electricity'!O21</f>
        <v>0</v>
      </c>
      <c r="Y516" s="193">
        <f>'Buildings - Grid Electricity'!P21</f>
        <v>0</v>
      </c>
      <c r="Z516" s="193" t="str">
        <f>'Buildings - Grid Electricity'!Q21</f>
        <v/>
      </c>
      <c r="AA516" s="193" t="str">
        <f>'Buildings - Grid Electricity'!R21</f>
        <v/>
      </c>
      <c r="AB516" s="193" t="str">
        <f>'Buildings - Grid Electricity'!S21</f>
        <v/>
      </c>
      <c r="AC516" s="193" t="str">
        <f>'Buildings - Grid Electricity'!T21</f>
        <v/>
      </c>
      <c r="AD516" s="193" t="str">
        <f>'Buildings - Grid Electricity'!U21</f>
        <v/>
      </c>
      <c r="AE516" s="193" t="str">
        <f>'Buildings - Grid Electricity'!V21</f>
        <v/>
      </c>
      <c r="AF516" s="193" t="str">
        <f>'Buildings - Grid Electricity'!W21</f>
        <v/>
      </c>
      <c r="AG516" s="193" t="str">
        <f>'Buildings - Grid Electricity'!X21</f>
        <v/>
      </c>
      <c r="AI516" s="193">
        <f t="shared" si="4"/>
        <v>0</v>
      </c>
      <c r="AJ516" s="193">
        <f t="shared" si="5"/>
        <v>0</v>
      </c>
    </row>
    <row r="517" spans="2:36" x14ac:dyDescent="0.35">
      <c r="B517" s="193" t="e">
        <f>"2024"&amp;MATCH(Totals!D517,OrgType,0)&amp;"_"&amp;MATCH(Totals!E517,Organisations,0)&amp;"_"&amp;LEFT(Totals!F517,1)&amp;"_"&amp;LEFT(G517,1)&amp;"_"&amp;COUNTIF($G$3:G517,G517)</f>
        <v>#N/A</v>
      </c>
      <c r="C517" s="193">
        <v>2025</v>
      </c>
      <c r="D517" s="193">
        <f>Introduction!$D$7</f>
        <v>0</v>
      </c>
      <c r="E517" s="193">
        <f>Introduction!$D$8</f>
        <v>0</v>
      </c>
      <c r="F517" s="193" t="s">
        <v>488</v>
      </c>
      <c r="G517" s="193" t="s">
        <v>171</v>
      </c>
      <c r="H517" s="193">
        <f>'Buildings - Grid Electricity'!B22</f>
        <v>0</v>
      </c>
      <c r="I517" s="193">
        <f>'Buildings - Grid Electricity'!C22</f>
        <v>0</v>
      </c>
      <c r="J517" s="193" t="str">
        <f>'Buildings - Grid Electricity'!D22</f>
        <v/>
      </c>
      <c r="K517" s="237"/>
      <c r="L517" s="237"/>
      <c r="M517" s="193" t="str">
        <f>'Buildings - Grid Electricity'!E22</f>
        <v/>
      </c>
      <c r="N517" s="193" t="str">
        <f>'Buildings - Grid Electricity'!F22</f>
        <v/>
      </c>
      <c r="O517" s="237"/>
      <c r="P517" s="193">
        <f>'Buildings - Grid Electricity'!G22</f>
        <v>0</v>
      </c>
      <c r="Q517" s="193" t="str">
        <f>'Buildings - Grid Electricity'!H22</f>
        <v/>
      </c>
      <c r="R517" s="193">
        <f>'Buildings - Grid Electricity'!I22</f>
        <v>0</v>
      </c>
      <c r="S517" s="193" t="str">
        <f>'Buildings - Grid Electricity'!J22</f>
        <v/>
      </c>
      <c r="T517" s="193" t="str">
        <f>'Buildings - Grid Electricity'!K22</f>
        <v/>
      </c>
      <c r="U517" s="193" t="str">
        <f>'Buildings - Grid Electricity'!L22</f>
        <v/>
      </c>
      <c r="V517" s="193" t="str">
        <f>'Buildings - Grid Electricity'!M22</f>
        <v/>
      </c>
      <c r="W517" s="193" t="str">
        <f>'Buildings - Grid Electricity'!N22</f>
        <v/>
      </c>
      <c r="X517" s="193">
        <f>'Buildings - Grid Electricity'!O22</f>
        <v>0</v>
      </c>
      <c r="Y517" s="193">
        <f>'Buildings - Grid Electricity'!P22</f>
        <v>0</v>
      </c>
      <c r="Z517" s="193" t="str">
        <f>'Buildings - Grid Electricity'!Q22</f>
        <v/>
      </c>
      <c r="AA517" s="193" t="str">
        <f>'Buildings - Grid Electricity'!R22</f>
        <v/>
      </c>
      <c r="AB517" s="193" t="str">
        <f>'Buildings - Grid Electricity'!S22</f>
        <v/>
      </c>
      <c r="AC517" s="193" t="str">
        <f>'Buildings - Grid Electricity'!T22</f>
        <v/>
      </c>
      <c r="AD517" s="193" t="str">
        <f>'Buildings - Grid Electricity'!U22</f>
        <v/>
      </c>
      <c r="AE517" s="193" t="str">
        <f>'Buildings - Grid Electricity'!V22</f>
        <v/>
      </c>
      <c r="AF517" s="193" t="str">
        <f>'Buildings - Grid Electricity'!W22</f>
        <v/>
      </c>
      <c r="AG517" s="193" t="str">
        <f>'Buildings - Grid Electricity'!X22</f>
        <v/>
      </c>
      <c r="AI517" s="193">
        <f t="shared" si="4"/>
        <v>0</v>
      </c>
      <c r="AJ517" s="193">
        <f t="shared" si="5"/>
        <v>0</v>
      </c>
    </row>
    <row r="518" spans="2:36" x14ac:dyDescent="0.35">
      <c r="B518" s="193" t="e">
        <f>"2024"&amp;MATCH(Totals!D518,OrgType,0)&amp;"_"&amp;MATCH(Totals!E518,Organisations,0)&amp;"_"&amp;LEFT(Totals!F518,1)&amp;"_"&amp;LEFT(G518,1)&amp;"_"&amp;COUNTIF($G$3:G518,G518)</f>
        <v>#N/A</v>
      </c>
      <c r="C518" s="193">
        <v>2025</v>
      </c>
      <c r="D518" s="193">
        <f>Introduction!$D$7</f>
        <v>0</v>
      </c>
      <c r="E518" s="193">
        <f>Introduction!$D$8</f>
        <v>0</v>
      </c>
      <c r="F518" s="193" t="s">
        <v>488</v>
      </c>
      <c r="G518" s="193" t="s">
        <v>171</v>
      </c>
      <c r="H518" s="193">
        <f>'Buildings - Grid Electricity'!B23</f>
        <v>0</v>
      </c>
      <c r="I518" s="193">
        <f>'Buildings - Grid Electricity'!C23</f>
        <v>0</v>
      </c>
      <c r="J518" s="193" t="str">
        <f>'Buildings - Grid Electricity'!D23</f>
        <v/>
      </c>
      <c r="K518" s="237"/>
      <c r="L518" s="237"/>
      <c r="M518" s="193" t="str">
        <f>'Buildings - Grid Electricity'!E23</f>
        <v/>
      </c>
      <c r="N518" s="193" t="str">
        <f>'Buildings - Grid Electricity'!F23</f>
        <v/>
      </c>
      <c r="O518" s="237"/>
      <c r="P518" s="193">
        <f>'Buildings - Grid Electricity'!G23</f>
        <v>0</v>
      </c>
      <c r="Q518" s="193" t="str">
        <f>'Buildings - Grid Electricity'!H23</f>
        <v/>
      </c>
      <c r="R518" s="193">
        <f>'Buildings - Grid Electricity'!I23</f>
        <v>0</v>
      </c>
      <c r="S518" s="193" t="str">
        <f>'Buildings - Grid Electricity'!J23</f>
        <v/>
      </c>
      <c r="T518" s="193" t="str">
        <f>'Buildings - Grid Electricity'!K23</f>
        <v/>
      </c>
      <c r="U518" s="193" t="str">
        <f>'Buildings - Grid Electricity'!L23</f>
        <v/>
      </c>
      <c r="V518" s="193" t="str">
        <f>'Buildings - Grid Electricity'!M23</f>
        <v/>
      </c>
      <c r="W518" s="193" t="str">
        <f>'Buildings - Grid Electricity'!N23</f>
        <v/>
      </c>
      <c r="X518" s="193">
        <f>'Buildings - Grid Electricity'!O23</f>
        <v>0</v>
      </c>
      <c r="Y518" s="193">
        <f>'Buildings - Grid Electricity'!P23</f>
        <v>0</v>
      </c>
      <c r="Z518" s="193" t="str">
        <f>'Buildings - Grid Electricity'!Q23</f>
        <v/>
      </c>
      <c r="AA518" s="193" t="str">
        <f>'Buildings - Grid Electricity'!R23</f>
        <v/>
      </c>
      <c r="AB518" s="193" t="str">
        <f>'Buildings - Grid Electricity'!S23</f>
        <v/>
      </c>
      <c r="AC518" s="193" t="str">
        <f>'Buildings - Grid Electricity'!T23</f>
        <v/>
      </c>
      <c r="AD518" s="193" t="str">
        <f>'Buildings - Grid Electricity'!U23</f>
        <v/>
      </c>
      <c r="AE518" s="193" t="str">
        <f>'Buildings - Grid Electricity'!V23</f>
        <v/>
      </c>
      <c r="AF518" s="193" t="str">
        <f>'Buildings - Grid Electricity'!W23</f>
        <v/>
      </c>
      <c r="AG518" s="193" t="str">
        <f>'Buildings - Grid Electricity'!X23</f>
        <v/>
      </c>
      <c r="AI518" s="193">
        <f t="shared" si="4"/>
        <v>0</v>
      </c>
      <c r="AJ518" s="193">
        <f t="shared" si="5"/>
        <v>0</v>
      </c>
    </row>
    <row r="519" spans="2:36" x14ac:dyDescent="0.35">
      <c r="B519" s="193" t="e">
        <f>"2024"&amp;MATCH(Totals!D519,OrgType,0)&amp;"_"&amp;MATCH(Totals!E519,Organisations,0)&amp;"_"&amp;LEFT(Totals!F519,1)&amp;"_"&amp;LEFT(G519,1)&amp;"_"&amp;COUNTIF($G$3:G519,G519)</f>
        <v>#N/A</v>
      </c>
      <c r="C519" s="193">
        <v>2025</v>
      </c>
      <c r="D519" s="193">
        <f>Introduction!$D$7</f>
        <v>0</v>
      </c>
      <c r="E519" s="193">
        <f>Introduction!$D$8</f>
        <v>0</v>
      </c>
      <c r="F519" s="193" t="s">
        <v>488</v>
      </c>
      <c r="G519" s="193" t="s">
        <v>171</v>
      </c>
      <c r="H519" s="193">
        <f>'Buildings - Grid Electricity'!B24</f>
        <v>0</v>
      </c>
      <c r="I519" s="193">
        <f>'Buildings - Grid Electricity'!C24</f>
        <v>0</v>
      </c>
      <c r="J519" s="193" t="str">
        <f>'Buildings - Grid Electricity'!D24</f>
        <v/>
      </c>
      <c r="K519" s="237"/>
      <c r="L519" s="237"/>
      <c r="M519" s="193" t="str">
        <f>'Buildings - Grid Electricity'!E24</f>
        <v/>
      </c>
      <c r="N519" s="193" t="str">
        <f>'Buildings - Grid Electricity'!F24</f>
        <v/>
      </c>
      <c r="O519" s="237"/>
      <c r="P519" s="193">
        <f>'Buildings - Grid Electricity'!G24</f>
        <v>0</v>
      </c>
      <c r="Q519" s="193" t="str">
        <f>'Buildings - Grid Electricity'!H24</f>
        <v/>
      </c>
      <c r="R519" s="193">
        <f>'Buildings - Grid Electricity'!I24</f>
        <v>0</v>
      </c>
      <c r="S519" s="193" t="str">
        <f>'Buildings - Grid Electricity'!J24</f>
        <v/>
      </c>
      <c r="T519" s="193" t="str">
        <f>'Buildings - Grid Electricity'!K24</f>
        <v/>
      </c>
      <c r="U519" s="193" t="str">
        <f>'Buildings - Grid Electricity'!L24</f>
        <v/>
      </c>
      <c r="V519" s="193" t="str">
        <f>'Buildings - Grid Electricity'!M24</f>
        <v/>
      </c>
      <c r="W519" s="193" t="str">
        <f>'Buildings - Grid Electricity'!N24</f>
        <v/>
      </c>
      <c r="X519" s="193">
        <f>'Buildings - Grid Electricity'!O24</f>
        <v>0</v>
      </c>
      <c r="Y519" s="193">
        <f>'Buildings - Grid Electricity'!P24</f>
        <v>0</v>
      </c>
      <c r="Z519" s="193" t="str">
        <f>'Buildings - Grid Electricity'!Q24</f>
        <v/>
      </c>
      <c r="AA519" s="193" t="str">
        <f>'Buildings - Grid Electricity'!R24</f>
        <v/>
      </c>
      <c r="AB519" s="193" t="str">
        <f>'Buildings - Grid Electricity'!S24</f>
        <v/>
      </c>
      <c r="AC519" s="193" t="str">
        <f>'Buildings - Grid Electricity'!T24</f>
        <v/>
      </c>
      <c r="AD519" s="193" t="str">
        <f>'Buildings - Grid Electricity'!U24</f>
        <v/>
      </c>
      <c r="AE519" s="193" t="str">
        <f>'Buildings - Grid Electricity'!V24</f>
        <v/>
      </c>
      <c r="AF519" s="193" t="str">
        <f>'Buildings - Grid Electricity'!W24</f>
        <v/>
      </c>
      <c r="AG519" s="193" t="str">
        <f>'Buildings - Grid Electricity'!X24</f>
        <v/>
      </c>
      <c r="AI519" s="193">
        <f t="shared" si="4"/>
        <v>0</v>
      </c>
      <c r="AJ519" s="193">
        <f t="shared" si="5"/>
        <v>0</v>
      </c>
    </row>
    <row r="520" spans="2:36" x14ac:dyDescent="0.35">
      <c r="B520" s="193" t="e">
        <f>"2024"&amp;MATCH(Totals!D520,OrgType,0)&amp;"_"&amp;MATCH(Totals!E520,Organisations,0)&amp;"_"&amp;LEFT(Totals!F520,1)&amp;"_"&amp;LEFT(G520,1)&amp;"_"&amp;COUNTIF($G$3:G520,G520)</f>
        <v>#N/A</v>
      </c>
      <c r="C520" s="193">
        <v>2025</v>
      </c>
      <c r="D520" s="193">
        <f>Introduction!$D$7</f>
        <v>0</v>
      </c>
      <c r="E520" s="193">
        <f>Introduction!$D$8</f>
        <v>0</v>
      </c>
      <c r="F520" s="193" t="s">
        <v>488</v>
      </c>
      <c r="G520" s="193" t="s">
        <v>171</v>
      </c>
      <c r="H520" s="193">
        <f>'Buildings - Grid Electricity'!B25</f>
        <v>0</v>
      </c>
      <c r="I520" s="193">
        <f>'Buildings - Grid Electricity'!C25</f>
        <v>0</v>
      </c>
      <c r="J520" s="193" t="str">
        <f>'Buildings - Grid Electricity'!D25</f>
        <v/>
      </c>
      <c r="K520" s="237"/>
      <c r="L520" s="237"/>
      <c r="M520" s="193" t="str">
        <f>'Buildings - Grid Electricity'!E25</f>
        <v/>
      </c>
      <c r="N520" s="193" t="str">
        <f>'Buildings - Grid Electricity'!F25</f>
        <v/>
      </c>
      <c r="O520" s="237"/>
      <c r="P520" s="193">
        <f>'Buildings - Grid Electricity'!G25</f>
        <v>0</v>
      </c>
      <c r="Q520" s="193" t="str">
        <f>'Buildings - Grid Electricity'!H25</f>
        <v/>
      </c>
      <c r="R520" s="193">
        <f>'Buildings - Grid Electricity'!I25</f>
        <v>0</v>
      </c>
      <c r="S520" s="193" t="str">
        <f>'Buildings - Grid Electricity'!J25</f>
        <v/>
      </c>
      <c r="T520" s="193" t="str">
        <f>'Buildings - Grid Electricity'!K25</f>
        <v/>
      </c>
      <c r="U520" s="193" t="str">
        <f>'Buildings - Grid Electricity'!L25</f>
        <v/>
      </c>
      <c r="V520" s="193" t="str">
        <f>'Buildings - Grid Electricity'!M25</f>
        <v/>
      </c>
      <c r="W520" s="193" t="str">
        <f>'Buildings - Grid Electricity'!N25</f>
        <v/>
      </c>
      <c r="X520" s="193">
        <f>'Buildings - Grid Electricity'!O25</f>
        <v>0</v>
      </c>
      <c r="Y520" s="193">
        <f>'Buildings - Grid Electricity'!P25</f>
        <v>0</v>
      </c>
      <c r="Z520" s="193" t="str">
        <f>'Buildings - Grid Electricity'!Q25</f>
        <v/>
      </c>
      <c r="AA520" s="193" t="str">
        <f>'Buildings - Grid Electricity'!R25</f>
        <v/>
      </c>
      <c r="AB520" s="193" t="str">
        <f>'Buildings - Grid Electricity'!S25</f>
        <v/>
      </c>
      <c r="AC520" s="193" t="str">
        <f>'Buildings - Grid Electricity'!T25</f>
        <v/>
      </c>
      <c r="AD520" s="193" t="str">
        <f>'Buildings - Grid Electricity'!U25</f>
        <v/>
      </c>
      <c r="AE520" s="193" t="str">
        <f>'Buildings - Grid Electricity'!V25</f>
        <v/>
      </c>
      <c r="AF520" s="193" t="str">
        <f>'Buildings - Grid Electricity'!W25</f>
        <v/>
      </c>
      <c r="AG520" s="193" t="str">
        <f>'Buildings - Grid Electricity'!X25</f>
        <v/>
      </c>
      <c r="AI520" s="193">
        <f t="shared" si="4"/>
        <v>0</v>
      </c>
      <c r="AJ520" s="193">
        <f t="shared" si="5"/>
        <v>0</v>
      </c>
    </row>
    <row r="521" spans="2:36" x14ac:dyDescent="0.35">
      <c r="B521" s="193" t="e">
        <f>"2024"&amp;MATCH(Totals!D521,OrgType,0)&amp;"_"&amp;MATCH(Totals!E521,Organisations,0)&amp;"_"&amp;LEFT(Totals!F521,1)&amp;"_"&amp;LEFT(G521,1)&amp;"_"&amp;COUNTIF($G$3:G521,G521)</f>
        <v>#N/A</v>
      </c>
      <c r="C521" s="193">
        <v>2025</v>
      </c>
      <c r="D521" s="193">
        <f>Introduction!$D$7</f>
        <v>0</v>
      </c>
      <c r="E521" s="193">
        <f>Introduction!$D$8</f>
        <v>0</v>
      </c>
      <c r="F521" s="193" t="s">
        <v>488</v>
      </c>
      <c r="G521" s="193" t="s">
        <v>171</v>
      </c>
      <c r="H521" s="193">
        <f>'Buildings - Grid Electricity'!B26</f>
        <v>0</v>
      </c>
      <c r="I521" s="193">
        <f>'Buildings - Grid Electricity'!C26</f>
        <v>0</v>
      </c>
      <c r="J521" s="193" t="str">
        <f>'Buildings - Grid Electricity'!D26</f>
        <v/>
      </c>
      <c r="K521" s="237"/>
      <c r="L521" s="237"/>
      <c r="M521" s="193" t="str">
        <f>'Buildings - Grid Electricity'!E26</f>
        <v/>
      </c>
      <c r="N521" s="193" t="str">
        <f>'Buildings - Grid Electricity'!F26</f>
        <v/>
      </c>
      <c r="O521" s="237"/>
      <c r="P521" s="193">
        <f>'Buildings - Grid Electricity'!G26</f>
        <v>0</v>
      </c>
      <c r="Q521" s="193" t="str">
        <f>'Buildings - Grid Electricity'!H26</f>
        <v/>
      </c>
      <c r="R521" s="193">
        <f>'Buildings - Grid Electricity'!I26</f>
        <v>0</v>
      </c>
      <c r="S521" s="193" t="str">
        <f>'Buildings - Grid Electricity'!J26</f>
        <v/>
      </c>
      <c r="T521" s="193" t="str">
        <f>'Buildings - Grid Electricity'!K26</f>
        <v/>
      </c>
      <c r="U521" s="193" t="str">
        <f>'Buildings - Grid Electricity'!L26</f>
        <v/>
      </c>
      <c r="V521" s="193" t="str">
        <f>'Buildings - Grid Electricity'!M26</f>
        <v/>
      </c>
      <c r="W521" s="193" t="str">
        <f>'Buildings - Grid Electricity'!N26</f>
        <v/>
      </c>
      <c r="X521" s="193">
        <f>'Buildings - Grid Electricity'!O26</f>
        <v>0</v>
      </c>
      <c r="Y521" s="193">
        <f>'Buildings - Grid Electricity'!P26</f>
        <v>0</v>
      </c>
      <c r="Z521" s="193" t="str">
        <f>'Buildings - Grid Electricity'!Q26</f>
        <v/>
      </c>
      <c r="AA521" s="193" t="str">
        <f>'Buildings - Grid Electricity'!R26</f>
        <v/>
      </c>
      <c r="AB521" s="193" t="str">
        <f>'Buildings - Grid Electricity'!S26</f>
        <v/>
      </c>
      <c r="AC521" s="193" t="str">
        <f>'Buildings - Grid Electricity'!T26</f>
        <v/>
      </c>
      <c r="AD521" s="193" t="str">
        <f>'Buildings - Grid Electricity'!U26</f>
        <v/>
      </c>
      <c r="AE521" s="193" t="str">
        <f>'Buildings - Grid Electricity'!V26</f>
        <v/>
      </c>
      <c r="AF521" s="193" t="str">
        <f>'Buildings - Grid Electricity'!W26</f>
        <v/>
      </c>
      <c r="AG521" s="193" t="str">
        <f>'Buildings - Grid Electricity'!X26</f>
        <v/>
      </c>
      <c r="AI521" s="193">
        <f t="shared" si="4"/>
        <v>0</v>
      </c>
      <c r="AJ521" s="193">
        <f t="shared" si="5"/>
        <v>0</v>
      </c>
    </row>
    <row r="522" spans="2:36" x14ac:dyDescent="0.35">
      <c r="B522" s="193" t="e">
        <f>"2024"&amp;MATCH(Totals!D522,OrgType,0)&amp;"_"&amp;MATCH(Totals!E522,Organisations,0)&amp;"_"&amp;LEFT(Totals!F522,1)&amp;"_"&amp;LEFT(G522,1)&amp;"_"&amp;COUNTIF($G$3:G522,G522)</f>
        <v>#N/A</v>
      </c>
      <c r="C522" s="193">
        <v>2025</v>
      </c>
      <c r="D522" s="193">
        <f>Introduction!$D$7</f>
        <v>0</v>
      </c>
      <c r="E522" s="193">
        <f>Introduction!$D$8</f>
        <v>0</v>
      </c>
      <c r="F522" s="193" t="s">
        <v>488</v>
      </c>
      <c r="G522" s="193" t="s">
        <v>171</v>
      </c>
      <c r="H522" s="193">
        <f>'Buildings - Grid Electricity'!B27</f>
        <v>0</v>
      </c>
      <c r="I522" s="193">
        <f>'Buildings - Grid Electricity'!C27</f>
        <v>0</v>
      </c>
      <c r="J522" s="193" t="str">
        <f>'Buildings - Grid Electricity'!D27</f>
        <v/>
      </c>
      <c r="K522" s="237"/>
      <c r="L522" s="237"/>
      <c r="M522" s="193" t="str">
        <f>'Buildings - Grid Electricity'!E27</f>
        <v/>
      </c>
      <c r="N522" s="193" t="str">
        <f>'Buildings - Grid Electricity'!F27</f>
        <v/>
      </c>
      <c r="O522" s="237"/>
      <c r="P522" s="193">
        <f>'Buildings - Grid Electricity'!G27</f>
        <v>0</v>
      </c>
      <c r="Q522" s="193" t="str">
        <f>'Buildings - Grid Electricity'!H27</f>
        <v/>
      </c>
      <c r="R522" s="193">
        <f>'Buildings - Grid Electricity'!I27</f>
        <v>0</v>
      </c>
      <c r="S522" s="193" t="str">
        <f>'Buildings - Grid Electricity'!J27</f>
        <v/>
      </c>
      <c r="T522" s="193" t="str">
        <f>'Buildings - Grid Electricity'!K27</f>
        <v/>
      </c>
      <c r="U522" s="193" t="str">
        <f>'Buildings - Grid Electricity'!L27</f>
        <v/>
      </c>
      <c r="V522" s="193" t="str">
        <f>'Buildings - Grid Electricity'!M27</f>
        <v/>
      </c>
      <c r="W522" s="193" t="str">
        <f>'Buildings - Grid Electricity'!N27</f>
        <v/>
      </c>
      <c r="X522" s="193">
        <f>'Buildings - Grid Electricity'!O27</f>
        <v>0</v>
      </c>
      <c r="Y522" s="193">
        <f>'Buildings - Grid Electricity'!P27</f>
        <v>0</v>
      </c>
      <c r="Z522" s="193" t="str">
        <f>'Buildings - Grid Electricity'!Q27</f>
        <v/>
      </c>
      <c r="AA522" s="193" t="str">
        <f>'Buildings - Grid Electricity'!R27</f>
        <v/>
      </c>
      <c r="AB522" s="193" t="str">
        <f>'Buildings - Grid Electricity'!S27</f>
        <v/>
      </c>
      <c r="AC522" s="193" t="str">
        <f>'Buildings - Grid Electricity'!T27</f>
        <v/>
      </c>
      <c r="AD522" s="193" t="str">
        <f>'Buildings - Grid Electricity'!U27</f>
        <v/>
      </c>
      <c r="AE522" s="193" t="str">
        <f>'Buildings - Grid Electricity'!V27</f>
        <v/>
      </c>
      <c r="AF522" s="193" t="str">
        <f>'Buildings - Grid Electricity'!W27</f>
        <v/>
      </c>
      <c r="AG522" s="193" t="str">
        <f>'Buildings - Grid Electricity'!X27</f>
        <v/>
      </c>
      <c r="AI522" s="193">
        <f t="shared" si="4"/>
        <v>0</v>
      </c>
      <c r="AJ522" s="193">
        <f t="shared" si="5"/>
        <v>0</v>
      </c>
    </row>
    <row r="523" spans="2:36" x14ac:dyDescent="0.35">
      <c r="B523" s="193" t="e">
        <f>"2024"&amp;MATCH(Totals!D523,OrgType,0)&amp;"_"&amp;MATCH(Totals!E523,Organisations,0)&amp;"_"&amp;LEFT(Totals!F523,1)&amp;"_"&amp;LEFT(G523,1)&amp;"_"&amp;COUNTIF($G$3:G523,G523)</f>
        <v>#N/A</v>
      </c>
      <c r="C523" s="193">
        <v>2025</v>
      </c>
      <c r="D523" s="193">
        <f>Introduction!$D$7</f>
        <v>0</v>
      </c>
      <c r="E523" s="193">
        <f>Introduction!$D$8</f>
        <v>0</v>
      </c>
      <c r="F523" s="193" t="s">
        <v>488</v>
      </c>
      <c r="G523" s="193" t="s">
        <v>171</v>
      </c>
      <c r="H523" s="193">
        <f>'Buildings - Grid Electricity'!B28</f>
        <v>0</v>
      </c>
      <c r="I523" s="193">
        <f>'Buildings - Grid Electricity'!C28</f>
        <v>0</v>
      </c>
      <c r="J523" s="193" t="str">
        <f>'Buildings - Grid Electricity'!D28</f>
        <v/>
      </c>
      <c r="K523" s="237"/>
      <c r="L523" s="237"/>
      <c r="M523" s="193" t="str">
        <f>'Buildings - Grid Electricity'!E28</f>
        <v/>
      </c>
      <c r="N523" s="193" t="str">
        <f>'Buildings - Grid Electricity'!F28</f>
        <v/>
      </c>
      <c r="O523" s="237"/>
      <c r="P523" s="193">
        <f>'Buildings - Grid Electricity'!G28</f>
        <v>0</v>
      </c>
      <c r="Q523" s="193" t="str">
        <f>'Buildings - Grid Electricity'!H28</f>
        <v/>
      </c>
      <c r="R523" s="193">
        <f>'Buildings - Grid Electricity'!I28</f>
        <v>0</v>
      </c>
      <c r="S523" s="193" t="str">
        <f>'Buildings - Grid Electricity'!J28</f>
        <v/>
      </c>
      <c r="T523" s="193" t="str">
        <f>'Buildings - Grid Electricity'!K28</f>
        <v/>
      </c>
      <c r="U523" s="193" t="str">
        <f>'Buildings - Grid Electricity'!L28</f>
        <v/>
      </c>
      <c r="V523" s="193" t="str">
        <f>'Buildings - Grid Electricity'!M28</f>
        <v/>
      </c>
      <c r="W523" s="193" t="str">
        <f>'Buildings - Grid Electricity'!N28</f>
        <v/>
      </c>
      <c r="X523" s="193">
        <f>'Buildings - Grid Electricity'!O28</f>
        <v>0</v>
      </c>
      <c r="Y523" s="193">
        <f>'Buildings - Grid Electricity'!P28</f>
        <v>0</v>
      </c>
      <c r="Z523" s="193" t="str">
        <f>'Buildings - Grid Electricity'!Q28</f>
        <v/>
      </c>
      <c r="AA523" s="193" t="str">
        <f>'Buildings - Grid Electricity'!R28</f>
        <v/>
      </c>
      <c r="AB523" s="193" t="str">
        <f>'Buildings - Grid Electricity'!S28</f>
        <v/>
      </c>
      <c r="AC523" s="193" t="str">
        <f>'Buildings - Grid Electricity'!T28</f>
        <v/>
      </c>
      <c r="AD523" s="193" t="str">
        <f>'Buildings - Grid Electricity'!U28</f>
        <v/>
      </c>
      <c r="AE523" s="193" t="str">
        <f>'Buildings - Grid Electricity'!V28</f>
        <v/>
      </c>
      <c r="AF523" s="193" t="str">
        <f>'Buildings - Grid Electricity'!W28</f>
        <v/>
      </c>
      <c r="AG523" s="193" t="str">
        <f>'Buildings - Grid Electricity'!X28</f>
        <v/>
      </c>
      <c r="AI523" s="193">
        <f t="shared" si="4"/>
        <v>0</v>
      </c>
      <c r="AJ523" s="193">
        <f t="shared" si="5"/>
        <v>0</v>
      </c>
    </row>
    <row r="524" spans="2:36" x14ac:dyDescent="0.35">
      <c r="B524" s="193" t="e">
        <f>"2024"&amp;MATCH(Totals!D524,OrgType,0)&amp;"_"&amp;MATCH(Totals!E524,Organisations,0)&amp;"_"&amp;LEFT(Totals!F524,1)&amp;"_"&amp;LEFT(G524,1)&amp;"_"&amp;COUNTIF($G$3:G524,G524)</f>
        <v>#N/A</v>
      </c>
      <c r="C524" s="193">
        <v>2025</v>
      </c>
      <c r="D524" s="193">
        <f>Introduction!$D$7</f>
        <v>0</v>
      </c>
      <c r="E524" s="193">
        <f>Introduction!$D$8</f>
        <v>0</v>
      </c>
      <c r="F524" s="193" t="s">
        <v>488</v>
      </c>
      <c r="G524" s="193" t="s">
        <v>171</v>
      </c>
      <c r="H524" s="193">
        <f>'Buildings - Grid Electricity'!B29</f>
        <v>0</v>
      </c>
      <c r="I524" s="193">
        <f>'Buildings - Grid Electricity'!C29</f>
        <v>0</v>
      </c>
      <c r="J524" s="193" t="str">
        <f>'Buildings - Grid Electricity'!D29</f>
        <v/>
      </c>
      <c r="K524" s="237"/>
      <c r="L524" s="237"/>
      <c r="M524" s="193" t="str">
        <f>'Buildings - Grid Electricity'!E29</f>
        <v/>
      </c>
      <c r="N524" s="193" t="str">
        <f>'Buildings - Grid Electricity'!F29</f>
        <v/>
      </c>
      <c r="O524" s="237"/>
      <c r="P524" s="193">
        <f>'Buildings - Grid Electricity'!G29</f>
        <v>0</v>
      </c>
      <c r="Q524" s="193" t="str">
        <f>'Buildings - Grid Electricity'!H29</f>
        <v/>
      </c>
      <c r="R524" s="193">
        <f>'Buildings - Grid Electricity'!I29</f>
        <v>0</v>
      </c>
      <c r="S524" s="193" t="str">
        <f>'Buildings - Grid Electricity'!J29</f>
        <v/>
      </c>
      <c r="T524" s="193" t="str">
        <f>'Buildings - Grid Electricity'!K29</f>
        <v/>
      </c>
      <c r="U524" s="193" t="str">
        <f>'Buildings - Grid Electricity'!L29</f>
        <v/>
      </c>
      <c r="V524" s="193" t="str">
        <f>'Buildings - Grid Electricity'!M29</f>
        <v/>
      </c>
      <c r="W524" s="193" t="str">
        <f>'Buildings - Grid Electricity'!N29</f>
        <v/>
      </c>
      <c r="X524" s="193">
        <f>'Buildings - Grid Electricity'!O29</f>
        <v>0</v>
      </c>
      <c r="Y524" s="193">
        <f>'Buildings - Grid Electricity'!P29</f>
        <v>0</v>
      </c>
      <c r="Z524" s="193" t="str">
        <f>'Buildings - Grid Electricity'!Q29</f>
        <v/>
      </c>
      <c r="AA524" s="193" t="str">
        <f>'Buildings - Grid Electricity'!R29</f>
        <v/>
      </c>
      <c r="AB524" s="193" t="str">
        <f>'Buildings - Grid Electricity'!S29</f>
        <v/>
      </c>
      <c r="AC524" s="193" t="str">
        <f>'Buildings - Grid Electricity'!T29</f>
        <v/>
      </c>
      <c r="AD524" s="193" t="str">
        <f>'Buildings - Grid Electricity'!U29</f>
        <v/>
      </c>
      <c r="AE524" s="193" t="str">
        <f>'Buildings - Grid Electricity'!V29</f>
        <v/>
      </c>
      <c r="AF524" s="193" t="str">
        <f>'Buildings - Grid Electricity'!W29</f>
        <v/>
      </c>
      <c r="AG524" s="193" t="str">
        <f>'Buildings - Grid Electricity'!X29</f>
        <v/>
      </c>
      <c r="AI524" s="193">
        <f t="shared" si="4"/>
        <v>0</v>
      </c>
      <c r="AJ524" s="193">
        <f t="shared" si="5"/>
        <v>0</v>
      </c>
    </row>
    <row r="525" spans="2:36" x14ac:dyDescent="0.35">
      <c r="B525" s="193" t="e">
        <f>"2024"&amp;MATCH(Totals!D525,OrgType,0)&amp;"_"&amp;MATCH(Totals!E525,Organisations,0)&amp;"_"&amp;LEFT(Totals!F525,1)&amp;"_"&amp;LEFT(G525,1)&amp;"_"&amp;COUNTIF($G$3:G525,G525)</f>
        <v>#N/A</v>
      </c>
      <c r="C525" s="193">
        <v>2025</v>
      </c>
      <c r="D525" s="193">
        <f>Introduction!$D$7</f>
        <v>0</v>
      </c>
      <c r="E525" s="193">
        <f>Introduction!$D$8</f>
        <v>0</v>
      </c>
      <c r="F525" s="193" t="s">
        <v>488</v>
      </c>
      <c r="G525" s="193" t="s">
        <v>171</v>
      </c>
      <c r="H525" s="193">
        <f>'Buildings - Grid Electricity'!B30</f>
        <v>0</v>
      </c>
      <c r="I525" s="193">
        <f>'Buildings - Grid Electricity'!C30</f>
        <v>0</v>
      </c>
      <c r="J525" s="193" t="str">
        <f>'Buildings - Grid Electricity'!D30</f>
        <v/>
      </c>
      <c r="K525" s="237"/>
      <c r="L525" s="237"/>
      <c r="M525" s="193" t="str">
        <f>'Buildings - Grid Electricity'!E30</f>
        <v/>
      </c>
      <c r="N525" s="193" t="str">
        <f>'Buildings - Grid Electricity'!F30</f>
        <v/>
      </c>
      <c r="O525" s="237"/>
      <c r="P525" s="193">
        <f>'Buildings - Grid Electricity'!G30</f>
        <v>0</v>
      </c>
      <c r="Q525" s="193" t="str">
        <f>'Buildings - Grid Electricity'!H30</f>
        <v/>
      </c>
      <c r="R525" s="193">
        <f>'Buildings - Grid Electricity'!I30</f>
        <v>0</v>
      </c>
      <c r="S525" s="193" t="str">
        <f>'Buildings - Grid Electricity'!J30</f>
        <v/>
      </c>
      <c r="T525" s="193" t="str">
        <f>'Buildings - Grid Electricity'!K30</f>
        <v/>
      </c>
      <c r="U525" s="193" t="str">
        <f>'Buildings - Grid Electricity'!L30</f>
        <v/>
      </c>
      <c r="V525" s="193" t="str">
        <f>'Buildings - Grid Electricity'!M30</f>
        <v/>
      </c>
      <c r="W525" s="193" t="str">
        <f>'Buildings - Grid Electricity'!N30</f>
        <v/>
      </c>
      <c r="X525" s="193">
        <f>'Buildings - Grid Electricity'!O30</f>
        <v>0</v>
      </c>
      <c r="Y525" s="193">
        <f>'Buildings - Grid Electricity'!P30</f>
        <v>0</v>
      </c>
      <c r="Z525" s="193" t="str">
        <f>'Buildings - Grid Electricity'!Q30</f>
        <v/>
      </c>
      <c r="AA525" s="193" t="str">
        <f>'Buildings - Grid Electricity'!R30</f>
        <v/>
      </c>
      <c r="AB525" s="193" t="str">
        <f>'Buildings - Grid Electricity'!S30</f>
        <v/>
      </c>
      <c r="AC525" s="193" t="str">
        <f>'Buildings - Grid Electricity'!T30</f>
        <v/>
      </c>
      <c r="AD525" s="193" t="str">
        <f>'Buildings - Grid Electricity'!U30</f>
        <v/>
      </c>
      <c r="AE525" s="193" t="str">
        <f>'Buildings - Grid Electricity'!V30</f>
        <v/>
      </c>
      <c r="AF525" s="193" t="str">
        <f>'Buildings - Grid Electricity'!W30</f>
        <v/>
      </c>
      <c r="AG525" s="193" t="str">
        <f>'Buildings - Grid Electricity'!X30</f>
        <v/>
      </c>
      <c r="AI525" s="193">
        <f t="shared" si="4"/>
        <v>0</v>
      </c>
      <c r="AJ525" s="193">
        <f t="shared" si="5"/>
        <v>0</v>
      </c>
    </row>
    <row r="526" spans="2:36" x14ac:dyDescent="0.35">
      <c r="B526" s="193" t="e">
        <f>"2024"&amp;MATCH(Totals!D526,OrgType,0)&amp;"_"&amp;MATCH(Totals!E526,Organisations,0)&amp;"_"&amp;LEFT(Totals!F526,1)&amp;"_"&amp;LEFT(G526,1)&amp;"_"&amp;COUNTIF($G$3:G526,G526)</f>
        <v>#N/A</v>
      </c>
      <c r="C526" s="193">
        <v>2025</v>
      </c>
      <c r="D526" s="193">
        <f>Introduction!$D$7</f>
        <v>0</v>
      </c>
      <c r="E526" s="193">
        <f>Introduction!$D$8</f>
        <v>0</v>
      </c>
      <c r="F526" s="193" t="s">
        <v>488</v>
      </c>
      <c r="G526" s="193" t="s">
        <v>171</v>
      </c>
      <c r="H526" s="193">
        <f>'Buildings - Grid Electricity'!B31</f>
        <v>0</v>
      </c>
      <c r="I526" s="193">
        <f>'Buildings - Grid Electricity'!C31</f>
        <v>0</v>
      </c>
      <c r="J526" s="193" t="str">
        <f>'Buildings - Grid Electricity'!D31</f>
        <v/>
      </c>
      <c r="K526" s="237"/>
      <c r="L526" s="237"/>
      <c r="M526" s="193" t="str">
        <f>'Buildings - Grid Electricity'!E31</f>
        <v/>
      </c>
      <c r="N526" s="193" t="str">
        <f>'Buildings - Grid Electricity'!F31</f>
        <v/>
      </c>
      <c r="O526" s="237"/>
      <c r="P526" s="193">
        <f>'Buildings - Grid Electricity'!G31</f>
        <v>0</v>
      </c>
      <c r="Q526" s="193" t="str">
        <f>'Buildings - Grid Electricity'!H31</f>
        <v/>
      </c>
      <c r="R526" s="193">
        <f>'Buildings - Grid Electricity'!I31</f>
        <v>0</v>
      </c>
      <c r="S526" s="193" t="str">
        <f>'Buildings - Grid Electricity'!J31</f>
        <v/>
      </c>
      <c r="T526" s="193" t="str">
        <f>'Buildings - Grid Electricity'!K31</f>
        <v/>
      </c>
      <c r="U526" s="193" t="str">
        <f>'Buildings - Grid Electricity'!L31</f>
        <v/>
      </c>
      <c r="V526" s="193" t="str">
        <f>'Buildings - Grid Electricity'!M31</f>
        <v/>
      </c>
      <c r="W526" s="193" t="str">
        <f>'Buildings - Grid Electricity'!N31</f>
        <v/>
      </c>
      <c r="X526" s="193">
        <f>'Buildings - Grid Electricity'!O31</f>
        <v>0</v>
      </c>
      <c r="Y526" s="193">
        <f>'Buildings - Grid Electricity'!P31</f>
        <v>0</v>
      </c>
      <c r="Z526" s="193" t="str">
        <f>'Buildings - Grid Electricity'!Q31</f>
        <v/>
      </c>
      <c r="AA526" s="193" t="str">
        <f>'Buildings - Grid Electricity'!R31</f>
        <v/>
      </c>
      <c r="AB526" s="193" t="str">
        <f>'Buildings - Grid Electricity'!S31</f>
        <v/>
      </c>
      <c r="AC526" s="193" t="str">
        <f>'Buildings - Grid Electricity'!T31</f>
        <v/>
      </c>
      <c r="AD526" s="193" t="str">
        <f>'Buildings - Grid Electricity'!U31</f>
        <v/>
      </c>
      <c r="AE526" s="193" t="str">
        <f>'Buildings - Grid Electricity'!V31</f>
        <v/>
      </c>
      <c r="AF526" s="193" t="str">
        <f>'Buildings - Grid Electricity'!W31</f>
        <v/>
      </c>
      <c r="AG526" s="193" t="str">
        <f>'Buildings - Grid Electricity'!X31</f>
        <v/>
      </c>
      <c r="AI526" s="193">
        <f t="shared" si="4"/>
        <v>0</v>
      </c>
      <c r="AJ526" s="193">
        <f t="shared" si="5"/>
        <v>0</v>
      </c>
    </row>
    <row r="527" spans="2:36" x14ac:dyDescent="0.35">
      <c r="B527" s="193" t="e">
        <f>"2024"&amp;MATCH(Totals!D527,OrgType,0)&amp;"_"&amp;MATCH(Totals!E527,Organisations,0)&amp;"_"&amp;LEFT(Totals!F527,1)&amp;"_"&amp;LEFT(G527,1)&amp;"_"&amp;COUNTIF($G$3:G527,G527)</f>
        <v>#N/A</v>
      </c>
      <c r="C527" s="193">
        <v>2025</v>
      </c>
      <c r="D527" s="193">
        <f>Introduction!$D$7</f>
        <v>0</v>
      </c>
      <c r="E527" s="193">
        <f>Introduction!$D$8</f>
        <v>0</v>
      </c>
      <c r="F527" s="193" t="s">
        <v>488</v>
      </c>
      <c r="G527" s="193" t="s">
        <v>171</v>
      </c>
      <c r="H527" s="193">
        <f>'Buildings - Grid Electricity'!B32</f>
        <v>0</v>
      </c>
      <c r="I527" s="193">
        <f>'Buildings - Grid Electricity'!C32</f>
        <v>0</v>
      </c>
      <c r="J527" s="193" t="str">
        <f>'Buildings - Grid Electricity'!D32</f>
        <v/>
      </c>
      <c r="K527" s="237"/>
      <c r="L527" s="237"/>
      <c r="M527" s="193" t="str">
        <f>'Buildings - Grid Electricity'!E32</f>
        <v/>
      </c>
      <c r="N527" s="193" t="str">
        <f>'Buildings - Grid Electricity'!F32</f>
        <v/>
      </c>
      <c r="O527" s="237"/>
      <c r="P527" s="193">
        <f>'Buildings - Grid Electricity'!G32</f>
        <v>0</v>
      </c>
      <c r="Q527" s="193" t="str">
        <f>'Buildings - Grid Electricity'!H32</f>
        <v/>
      </c>
      <c r="R527" s="193">
        <f>'Buildings - Grid Electricity'!I32</f>
        <v>0</v>
      </c>
      <c r="S527" s="193" t="str">
        <f>'Buildings - Grid Electricity'!J32</f>
        <v/>
      </c>
      <c r="T527" s="193" t="str">
        <f>'Buildings - Grid Electricity'!K32</f>
        <v/>
      </c>
      <c r="U527" s="193" t="str">
        <f>'Buildings - Grid Electricity'!L32</f>
        <v/>
      </c>
      <c r="V527" s="193" t="str">
        <f>'Buildings - Grid Electricity'!M32</f>
        <v/>
      </c>
      <c r="W527" s="193" t="str">
        <f>'Buildings - Grid Electricity'!N32</f>
        <v/>
      </c>
      <c r="X527" s="193">
        <f>'Buildings - Grid Electricity'!O32</f>
        <v>0</v>
      </c>
      <c r="Y527" s="193">
        <f>'Buildings - Grid Electricity'!P32</f>
        <v>0</v>
      </c>
      <c r="Z527" s="193" t="str">
        <f>'Buildings - Grid Electricity'!Q32</f>
        <v/>
      </c>
      <c r="AA527" s="193" t="str">
        <f>'Buildings - Grid Electricity'!R32</f>
        <v/>
      </c>
      <c r="AB527" s="193" t="str">
        <f>'Buildings - Grid Electricity'!S32</f>
        <v/>
      </c>
      <c r="AC527" s="193" t="str">
        <f>'Buildings - Grid Electricity'!T32</f>
        <v/>
      </c>
      <c r="AD527" s="193" t="str">
        <f>'Buildings - Grid Electricity'!U32</f>
        <v/>
      </c>
      <c r="AE527" s="193" t="str">
        <f>'Buildings - Grid Electricity'!V32</f>
        <v/>
      </c>
      <c r="AF527" s="193" t="str">
        <f>'Buildings - Grid Electricity'!W32</f>
        <v/>
      </c>
      <c r="AG527" s="193" t="str">
        <f>'Buildings - Grid Electricity'!X32</f>
        <v/>
      </c>
      <c r="AI527" s="193">
        <f t="shared" si="4"/>
        <v>0</v>
      </c>
      <c r="AJ527" s="193">
        <f t="shared" si="5"/>
        <v>0</v>
      </c>
    </row>
    <row r="528" spans="2:36" x14ac:dyDescent="0.35">
      <c r="B528" s="193" t="e">
        <f>"2024"&amp;MATCH(Totals!D528,OrgType,0)&amp;"_"&amp;MATCH(Totals!E528,Organisations,0)&amp;"_"&amp;LEFT(Totals!F528,1)&amp;"_"&amp;LEFT(G528,1)&amp;"_"&amp;COUNTIF($G$3:G528,G528)</f>
        <v>#N/A</v>
      </c>
      <c r="C528" s="193">
        <v>2025</v>
      </c>
      <c r="D528" s="193">
        <f>Introduction!$D$7</f>
        <v>0</v>
      </c>
      <c r="E528" s="193">
        <f>Introduction!$D$8</f>
        <v>0</v>
      </c>
      <c r="F528" s="193" t="s">
        <v>488</v>
      </c>
      <c r="G528" s="193" t="s">
        <v>171</v>
      </c>
      <c r="H528" s="193">
        <f>'Buildings - Grid Electricity'!B33</f>
        <v>0</v>
      </c>
      <c r="I528" s="193">
        <f>'Buildings - Grid Electricity'!C33</f>
        <v>0</v>
      </c>
      <c r="J528" s="193" t="str">
        <f>'Buildings - Grid Electricity'!D33</f>
        <v/>
      </c>
      <c r="K528" s="237"/>
      <c r="L528" s="237"/>
      <c r="M528" s="193" t="str">
        <f>'Buildings - Grid Electricity'!E33</f>
        <v/>
      </c>
      <c r="N528" s="193" t="str">
        <f>'Buildings - Grid Electricity'!F33</f>
        <v/>
      </c>
      <c r="O528" s="237"/>
      <c r="P528" s="193">
        <f>'Buildings - Grid Electricity'!G33</f>
        <v>0</v>
      </c>
      <c r="Q528" s="193" t="str">
        <f>'Buildings - Grid Electricity'!H33</f>
        <v/>
      </c>
      <c r="R528" s="193">
        <f>'Buildings - Grid Electricity'!I33</f>
        <v>0</v>
      </c>
      <c r="S528" s="193" t="str">
        <f>'Buildings - Grid Electricity'!J33</f>
        <v/>
      </c>
      <c r="T528" s="193" t="str">
        <f>'Buildings - Grid Electricity'!K33</f>
        <v/>
      </c>
      <c r="U528" s="193" t="str">
        <f>'Buildings - Grid Electricity'!L33</f>
        <v/>
      </c>
      <c r="V528" s="193" t="str">
        <f>'Buildings - Grid Electricity'!M33</f>
        <v/>
      </c>
      <c r="W528" s="193" t="str">
        <f>'Buildings - Grid Electricity'!N33</f>
        <v/>
      </c>
      <c r="X528" s="193">
        <f>'Buildings - Grid Electricity'!O33</f>
        <v>0</v>
      </c>
      <c r="Y528" s="193">
        <f>'Buildings - Grid Electricity'!P33</f>
        <v>0</v>
      </c>
      <c r="Z528" s="193" t="str">
        <f>'Buildings - Grid Electricity'!Q33</f>
        <v/>
      </c>
      <c r="AA528" s="193" t="str">
        <f>'Buildings - Grid Electricity'!R33</f>
        <v/>
      </c>
      <c r="AB528" s="193" t="str">
        <f>'Buildings - Grid Electricity'!S33</f>
        <v/>
      </c>
      <c r="AC528" s="193" t="str">
        <f>'Buildings - Grid Electricity'!T33</f>
        <v/>
      </c>
      <c r="AD528" s="193" t="str">
        <f>'Buildings - Grid Electricity'!U33</f>
        <v/>
      </c>
      <c r="AE528" s="193" t="str">
        <f>'Buildings - Grid Electricity'!V33</f>
        <v/>
      </c>
      <c r="AF528" s="193" t="str">
        <f>'Buildings - Grid Electricity'!W33</f>
        <v/>
      </c>
      <c r="AG528" s="193" t="str">
        <f>'Buildings - Grid Electricity'!X33</f>
        <v/>
      </c>
      <c r="AI528" s="193">
        <f t="shared" si="4"/>
        <v>0</v>
      </c>
      <c r="AJ528" s="193">
        <f t="shared" si="5"/>
        <v>0</v>
      </c>
    </row>
    <row r="529" spans="2:36" x14ac:dyDescent="0.35">
      <c r="B529" s="193" t="e">
        <f>"2024"&amp;MATCH(Totals!D529,OrgType,0)&amp;"_"&amp;MATCH(Totals!E529,Organisations,0)&amp;"_"&amp;LEFT(Totals!F529,1)&amp;"_"&amp;LEFT(G529,1)&amp;"_"&amp;COUNTIF($G$3:G529,G529)</f>
        <v>#N/A</v>
      </c>
      <c r="C529" s="193">
        <v>2025</v>
      </c>
      <c r="D529" s="193">
        <f>Introduction!$D$7</f>
        <v>0</v>
      </c>
      <c r="E529" s="193">
        <f>Introduction!$D$8</f>
        <v>0</v>
      </c>
      <c r="F529" s="193" t="s">
        <v>488</v>
      </c>
      <c r="G529" s="193" t="s">
        <v>171</v>
      </c>
      <c r="H529" s="193">
        <f>'Buildings - Grid Electricity'!B34</f>
        <v>0</v>
      </c>
      <c r="I529" s="193">
        <f>'Buildings - Grid Electricity'!C34</f>
        <v>0</v>
      </c>
      <c r="J529" s="193" t="str">
        <f>'Buildings - Grid Electricity'!D34</f>
        <v/>
      </c>
      <c r="K529" s="237"/>
      <c r="L529" s="237"/>
      <c r="M529" s="193" t="str">
        <f>'Buildings - Grid Electricity'!E34</f>
        <v/>
      </c>
      <c r="N529" s="193" t="str">
        <f>'Buildings - Grid Electricity'!F34</f>
        <v/>
      </c>
      <c r="O529" s="237"/>
      <c r="P529" s="193">
        <f>'Buildings - Grid Electricity'!G34</f>
        <v>0</v>
      </c>
      <c r="Q529" s="193" t="str">
        <f>'Buildings - Grid Electricity'!H34</f>
        <v/>
      </c>
      <c r="R529" s="193">
        <f>'Buildings - Grid Electricity'!I34</f>
        <v>0</v>
      </c>
      <c r="S529" s="193" t="str">
        <f>'Buildings - Grid Electricity'!J34</f>
        <v/>
      </c>
      <c r="T529" s="193" t="str">
        <f>'Buildings - Grid Electricity'!K34</f>
        <v/>
      </c>
      <c r="U529" s="193" t="str">
        <f>'Buildings - Grid Electricity'!L34</f>
        <v/>
      </c>
      <c r="V529" s="193" t="str">
        <f>'Buildings - Grid Electricity'!M34</f>
        <v/>
      </c>
      <c r="W529" s="193" t="str">
        <f>'Buildings - Grid Electricity'!N34</f>
        <v/>
      </c>
      <c r="X529" s="193">
        <f>'Buildings - Grid Electricity'!O34</f>
        <v>0</v>
      </c>
      <c r="Y529" s="193">
        <f>'Buildings - Grid Electricity'!P34</f>
        <v>0</v>
      </c>
      <c r="Z529" s="193" t="str">
        <f>'Buildings - Grid Electricity'!Q34</f>
        <v/>
      </c>
      <c r="AA529" s="193" t="str">
        <f>'Buildings - Grid Electricity'!R34</f>
        <v/>
      </c>
      <c r="AB529" s="193" t="str">
        <f>'Buildings - Grid Electricity'!S34</f>
        <v/>
      </c>
      <c r="AC529" s="193" t="str">
        <f>'Buildings - Grid Electricity'!T34</f>
        <v/>
      </c>
      <c r="AD529" s="193" t="str">
        <f>'Buildings - Grid Electricity'!U34</f>
        <v/>
      </c>
      <c r="AE529" s="193" t="str">
        <f>'Buildings - Grid Electricity'!V34</f>
        <v/>
      </c>
      <c r="AF529" s="193" t="str">
        <f>'Buildings - Grid Electricity'!W34</f>
        <v/>
      </c>
      <c r="AG529" s="193" t="str">
        <f>'Buildings - Grid Electricity'!X34</f>
        <v/>
      </c>
      <c r="AI529" s="193">
        <f t="shared" si="4"/>
        <v>0</v>
      </c>
      <c r="AJ529" s="193">
        <f t="shared" si="5"/>
        <v>0</v>
      </c>
    </row>
    <row r="530" spans="2:36" x14ac:dyDescent="0.35">
      <c r="B530" s="193" t="e">
        <f>"2024"&amp;MATCH(Totals!D530,OrgType,0)&amp;"_"&amp;MATCH(Totals!E530,Organisations,0)&amp;"_"&amp;LEFT(Totals!F530,1)&amp;"_"&amp;LEFT(G530,1)&amp;"_"&amp;COUNTIF($G$3:G530,G530)</f>
        <v>#N/A</v>
      </c>
      <c r="C530" s="193">
        <v>2025</v>
      </c>
      <c r="D530" s="193">
        <f>Introduction!$D$7</f>
        <v>0</v>
      </c>
      <c r="E530" s="193">
        <f>Introduction!$D$8</f>
        <v>0</v>
      </c>
      <c r="F530" s="193" t="s">
        <v>488</v>
      </c>
      <c r="G530" s="193" t="s">
        <v>171</v>
      </c>
      <c r="H530" s="193">
        <f>'Buildings - Grid Electricity'!B35</f>
        <v>0</v>
      </c>
      <c r="I530" s="193">
        <f>'Buildings - Grid Electricity'!C35</f>
        <v>0</v>
      </c>
      <c r="J530" s="193" t="str">
        <f>'Buildings - Grid Electricity'!D35</f>
        <v/>
      </c>
      <c r="K530" s="237"/>
      <c r="L530" s="237"/>
      <c r="M530" s="193" t="str">
        <f>'Buildings - Grid Electricity'!E35</f>
        <v/>
      </c>
      <c r="N530" s="193" t="str">
        <f>'Buildings - Grid Electricity'!F35</f>
        <v/>
      </c>
      <c r="O530" s="237"/>
      <c r="P530" s="193">
        <f>'Buildings - Grid Electricity'!G35</f>
        <v>0</v>
      </c>
      <c r="Q530" s="193" t="str">
        <f>'Buildings - Grid Electricity'!H35</f>
        <v/>
      </c>
      <c r="R530" s="193">
        <f>'Buildings - Grid Electricity'!I35</f>
        <v>0</v>
      </c>
      <c r="S530" s="193" t="str">
        <f>'Buildings - Grid Electricity'!J35</f>
        <v/>
      </c>
      <c r="T530" s="193" t="str">
        <f>'Buildings - Grid Electricity'!K35</f>
        <v/>
      </c>
      <c r="U530" s="193" t="str">
        <f>'Buildings - Grid Electricity'!L35</f>
        <v/>
      </c>
      <c r="V530" s="193" t="str">
        <f>'Buildings - Grid Electricity'!M35</f>
        <v/>
      </c>
      <c r="W530" s="193" t="str">
        <f>'Buildings - Grid Electricity'!N35</f>
        <v/>
      </c>
      <c r="X530" s="193">
        <f>'Buildings - Grid Electricity'!O35</f>
        <v>0</v>
      </c>
      <c r="Y530" s="193">
        <f>'Buildings - Grid Electricity'!P35</f>
        <v>0</v>
      </c>
      <c r="Z530" s="193" t="str">
        <f>'Buildings - Grid Electricity'!Q35</f>
        <v/>
      </c>
      <c r="AA530" s="193" t="str">
        <f>'Buildings - Grid Electricity'!R35</f>
        <v/>
      </c>
      <c r="AB530" s="193" t="str">
        <f>'Buildings - Grid Electricity'!S35</f>
        <v/>
      </c>
      <c r="AC530" s="193" t="str">
        <f>'Buildings - Grid Electricity'!T35</f>
        <v/>
      </c>
      <c r="AD530" s="193" t="str">
        <f>'Buildings - Grid Electricity'!U35</f>
        <v/>
      </c>
      <c r="AE530" s="193" t="str">
        <f>'Buildings - Grid Electricity'!V35</f>
        <v/>
      </c>
      <c r="AF530" s="193" t="str">
        <f>'Buildings - Grid Electricity'!W35</f>
        <v/>
      </c>
      <c r="AG530" s="193" t="str">
        <f>'Buildings - Grid Electricity'!X35</f>
        <v/>
      </c>
      <c r="AI530" s="193">
        <f t="shared" si="4"/>
        <v>0</v>
      </c>
      <c r="AJ530" s="193">
        <f t="shared" si="5"/>
        <v>0</v>
      </c>
    </row>
    <row r="531" spans="2:36" x14ac:dyDescent="0.35">
      <c r="B531" s="193" t="e">
        <f>"2024"&amp;MATCH(Totals!D531,OrgType,0)&amp;"_"&amp;MATCH(Totals!E531,Organisations,0)&amp;"_"&amp;LEFT(Totals!F531,1)&amp;"_"&amp;LEFT(G531,1)&amp;"_"&amp;COUNTIF($G$3:G531,G531)</f>
        <v>#N/A</v>
      </c>
      <c r="C531" s="193">
        <v>2025</v>
      </c>
      <c r="D531" s="193">
        <f>Introduction!$D$7</f>
        <v>0</v>
      </c>
      <c r="E531" s="193">
        <f>Introduction!$D$8</f>
        <v>0</v>
      </c>
      <c r="F531" s="193" t="s">
        <v>488</v>
      </c>
      <c r="G531" s="193" t="s">
        <v>171</v>
      </c>
      <c r="H531" s="193">
        <f>'Buildings - Grid Electricity'!B36</f>
        <v>0</v>
      </c>
      <c r="I531" s="193">
        <f>'Buildings - Grid Electricity'!C36</f>
        <v>0</v>
      </c>
      <c r="J531" s="193" t="str">
        <f>'Buildings - Grid Electricity'!D36</f>
        <v/>
      </c>
      <c r="K531" s="237"/>
      <c r="L531" s="237"/>
      <c r="M531" s="193" t="str">
        <f>'Buildings - Grid Electricity'!E36</f>
        <v/>
      </c>
      <c r="N531" s="193" t="str">
        <f>'Buildings - Grid Electricity'!F36</f>
        <v/>
      </c>
      <c r="O531" s="237"/>
      <c r="P531" s="193">
        <f>'Buildings - Grid Electricity'!G36</f>
        <v>0</v>
      </c>
      <c r="Q531" s="193" t="str">
        <f>'Buildings - Grid Electricity'!H36</f>
        <v/>
      </c>
      <c r="R531" s="193">
        <f>'Buildings - Grid Electricity'!I36</f>
        <v>0</v>
      </c>
      <c r="S531" s="193" t="str">
        <f>'Buildings - Grid Electricity'!J36</f>
        <v/>
      </c>
      <c r="T531" s="193" t="str">
        <f>'Buildings - Grid Electricity'!K36</f>
        <v/>
      </c>
      <c r="U531" s="193" t="str">
        <f>'Buildings - Grid Electricity'!L36</f>
        <v/>
      </c>
      <c r="V531" s="193" t="str">
        <f>'Buildings - Grid Electricity'!M36</f>
        <v/>
      </c>
      <c r="W531" s="193" t="str">
        <f>'Buildings - Grid Electricity'!N36</f>
        <v/>
      </c>
      <c r="X531" s="193">
        <f>'Buildings - Grid Electricity'!O36</f>
        <v>0</v>
      </c>
      <c r="Y531" s="193">
        <f>'Buildings - Grid Electricity'!P36</f>
        <v>0</v>
      </c>
      <c r="Z531" s="193" t="str">
        <f>'Buildings - Grid Electricity'!Q36</f>
        <v/>
      </c>
      <c r="AA531" s="193" t="str">
        <f>'Buildings - Grid Electricity'!R36</f>
        <v/>
      </c>
      <c r="AB531" s="193" t="str">
        <f>'Buildings - Grid Electricity'!S36</f>
        <v/>
      </c>
      <c r="AC531" s="193" t="str">
        <f>'Buildings - Grid Electricity'!T36</f>
        <v/>
      </c>
      <c r="AD531" s="193" t="str">
        <f>'Buildings - Grid Electricity'!U36</f>
        <v/>
      </c>
      <c r="AE531" s="193" t="str">
        <f>'Buildings - Grid Electricity'!V36</f>
        <v/>
      </c>
      <c r="AF531" s="193" t="str">
        <f>'Buildings - Grid Electricity'!W36</f>
        <v/>
      </c>
      <c r="AG531" s="193" t="str">
        <f>'Buildings - Grid Electricity'!X36</f>
        <v/>
      </c>
      <c r="AI531" s="193">
        <f t="shared" si="4"/>
        <v>0</v>
      </c>
      <c r="AJ531" s="193">
        <f t="shared" si="5"/>
        <v>0</v>
      </c>
    </row>
    <row r="532" spans="2:36" x14ac:dyDescent="0.35">
      <c r="B532" s="193" t="e">
        <f>"2024"&amp;MATCH(Totals!D532,OrgType,0)&amp;"_"&amp;MATCH(Totals!E532,Organisations,0)&amp;"_"&amp;LEFT(Totals!F532,1)&amp;"_"&amp;LEFT(G532,1)&amp;"_"&amp;COUNTIF($G$3:G532,G532)</f>
        <v>#N/A</v>
      </c>
      <c r="C532" s="193">
        <v>2025</v>
      </c>
      <c r="D532" s="193">
        <f>Introduction!$D$7</f>
        <v>0</v>
      </c>
      <c r="E532" s="193">
        <f>Introduction!$D$8</f>
        <v>0</v>
      </c>
      <c r="F532" s="193" t="s">
        <v>488</v>
      </c>
      <c r="G532" s="193" t="s">
        <v>171</v>
      </c>
      <c r="H532" s="193">
        <f>'Buildings - Grid Electricity'!B37</f>
        <v>0</v>
      </c>
      <c r="I532" s="193">
        <f>'Buildings - Grid Electricity'!C37</f>
        <v>0</v>
      </c>
      <c r="J532" s="193" t="str">
        <f>'Buildings - Grid Electricity'!D37</f>
        <v/>
      </c>
      <c r="K532" s="237"/>
      <c r="L532" s="237"/>
      <c r="M532" s="193" t="str">
        <f>'Buildings - Grid Electricity'!E37</f>
        <v/>
      </c>
      <c r="N532" s="193" t="str">
        <f>'Buildings - Grid Electricity'!F37</f>
        <v/>
      </c>
      <c r="O532" s="237"/>
      <c r="P532" s="193">
        <f>'Buildings - Grid Electricity'!G37</f>
        <v>0</v>
      </c>
      <c r="Q532" s="193" t="str">
        <f>'Buildings - Grid Electricity'!H37</f>
        <v/>
      </c>
      <c r="R532" s="193">
        <f>'Buildings - Grid Electricity'!I37</f>
        <v>0</v>
      </c>
      <c r="S532" s="193" t="str">
        <f>'Buildings - Grid Electricity'!J37</f>
        <v/>
      </c>
      <c r="T532" s="193" t="str">
        <f>'Buildings - Grid Electricity'!K37</f>
        <v/>
      </c>
      <c r="U532" s="193" t="str">
        <f>'Buildings - Grid Electricity'!L37</f>
        <v/>
      </c>
      <c r="V532" s="193" t="str">
        <f>'Buildings - Grid Electricity'!M37</f>
        <v/>
      </c>
      <c r="W532" s="193" t="str">
        <f>'Buildings - Grid Electricity'!N37</f>
        <v/>
      </c>
      <c r="X532" s="193">
        <f>'Buildings - Grid Electricity'!O37</f>
        <v>0</v>
      </c>
      <c r="Y532" s="193">
        <f>'Buildings - Grid Electricity'!P37</f>
        <v>0</v>
      </c>
      <c r="Z532" s="193" t="str">
        <f>'Buildings - Grid Electricity'!Q37</f>
        <v/>
      </c>
      <c r="AA532" s="193" t="str">
        <f>'Buildings - Grid Electricity'!R37</f>
        <v/>
      </c>
      <c r="AB532" s="193" t="str">
        <f>'Buildings - Grid Electricity'!S37</f>
        <v/>
      </c>
      <c r="AC532" s="193" t="str">
        <f>'Buildings - Grid Electricity'!T37</f>
        <v/>
      </c>
      <c r="AD532" s="193" t="str">
        <f>'Buildings - Grid Electricity'!U37</f>
        <v/>
      </c>
      <c r="AE532" s="193" t="str">
        <f>'Buildings - Grid Electricity'!V37</f>
        <v/>
      </c>
      <c r="AF532" s="193" t="str">
        <f>'Buildings - Grid Electricity'!W37</f>
        <v/>
      </c>
      <c r="AG532" s="193" t="str">
        <f>'Buildings - Grid Electricity'!X37</f>
        <v/>
      </c>
      <c r="AI532" s="193">
        <f t="shared" ref="AI532:AI595" si="6">IF(AND(V532="",R532&lt;&gt;0),1,0)</f>
        <v>0</v>
      </c>
      <c r="AJ532" s="193">
        <f t="shared" ref="AJ532:AJ595" si="7">IF(AND(W532="",R532&lt;&gt;0),1,0)</f>
        <v>0</v>
      </c>
    </row>
    <row r="533" spans="2:36" x14ac:dyDescent="0.35">
      <c r="B533" s="193" t="e">
        <f>"2024"&amp;MATCH(Totals!D533,OrgType,0)&amp;"_"&amp;MATCH(Totals!E533,Organisations,0)&amp;"_"&amp;LEFT(Totals!F533,1)&amp;"_"&amp;LEFT(G533,1)&amp;"_"&amp;COUNTIF($G$3:G533,G533)</f>
        <v>#N/A</v>
      </c>
      <c r="C533" s="193">
        <v>2025</v>
      </c>
      <c r="D533" s="193">
        <f>Introduction!$D$7</f>
        <v>0</v>
      </c>
      <c r="E533" s="193">
        <f>Introduction!$D$8</f>
        <v>0</v>
      </c>
      <c r="F533" s="193" t="s">
        <v>488</v>
      </c>
      <c r="G533" s="193" t="s">
        <v>171</v>
      </c>
      <c r="H533" s="193">
        <f>'Buildings - Grid Electricity'!B38</f>
        <v>0</v>
      </c>
      <c r="I533" s="193">
        <f>'Buildings - Grid Electricity'!C38</f>
        <v>0</v>
      </c>
      <c r="J533" s="193" t="str">
        <f>'Buildings - Grid Electricity'!D38</f>
        <v/>
      </c>
      <c r="K533" s="237"/>
      <c r="L533" s="237"/>
      <c r="M533" s="193" t="str">
        <f>'Buildings - Grid Electricity'!E38</f>
        <v/>
      </c>
      <c r="N533" s="193" t="str">
        <f>'Buildings - Grid Electricity'!F38</f>
        <v/>
      </c>
      <c r="O533" s="237"/>
      <c r="P533" s="193">
        <f>'Buildings - Grid Electricity'!G38</f>
        <v>0</v>
      </c>
      <c r="Q533" s="193" t="str">
        <f>'Buildings - Grid Electricity'!H38</f>
        <v/>
      </c>
      <c r="R533" s="193">
        <f>'Buildings - Grid Electricity'!I38</f>
        <v>0</v>
      </c>
      <c r="S533" s="193" t="str">
        <f>'Buildings - Grid Electricity'!J38</f>
        <v/>
      </c>
      <c r="T533" s="193" t="str">
        <f>'Buildings - Grid Electricity'!K38</f>
        <v/>
      </c>
      <c r="U533" s="193" t="str">
        <f>'Buildings - Grid Electricity'!L38</f>
        <v/>
      </c>
      <c r="V533" s="193" t="str">
        <f>'Buildings - Grid Electricity'!M38</f>
        <v/>
      </c>
      <c r="W533" s="193" t="str">
        <f>'Buildings - Grid Electricity'!N38</f>
        <v/>
      </c>
      <c r="X533" s="193">
        <f>'Buildings - Grid Electricity'!O38</f>
        <v>0</v>
      </c>
      <c r="Y533" s="193">
        <f>'Buildings - Grid Electricity'!P38</f>
        <v>0</v>
      </c>
      <c r="Z533" s="193" t="str">
        <f>'Buildings - Grid Electricity'!Q38</f>
        <v/>
      </c>
      <c r="AA533" s="193" t="str">
        <f>'Buildings - Grid Electricity'!R38</f>
        <v/>
      </c>
      <c r="AB533" s="193" t="str">
        <f>'Buildings - Grid Electricity'!S38</f>
        <v/>
      </c>
      <c r="AC533" s="193" t="str">
        <f>'Buildings - Grid Electricity'!T38</f>
        <v/>
      </c>
      <c r="AD533" s="193" t="str">
        <f>'Buildings - Grid Electricity'!U38</f>
        <v/>
      </c>
      <c r="AE533" s="193" t="str">
        <f>'Buildings - Grid Electricity'!V38</f>
        <v/>
      </c>
      <c r="AF533" s="193" t="str">
        <f>'Buildings - Grid Electricity'!W38</f>
        <v/>
      </c>
      <c r="AG533" s="193" t="str">
        <f>'Buildings - Grid Electricity'!X38</f>
        <v/>
      </c>
      <c r="AI533" s="193">
        <f t="shared" si="6"/>
        <v>0</v>
      </c>
      <c r="AJ533" s="193">
        <f t="shared" si="7"/>
        <v>0</v>
      </c>
    </row>
    <row r="534" spans="2:36" x14ac:dyDescent="0.35">
      <c r="B534" s="193" t="e">
        <f>"2024"&amp;MATCH(Totals!D534,OrgType,0)&amp;"_"&amp;MATCH(Totals!E534,Organisations,0)&amp;"_"&amp;LEFT(Totals!F534,1)&amp;"_"&amp;LEFT(G534,1)&amp;"_"&amp;COUNTIF($G$3:G534,G534)</f>
        <v>#N/A</v>
      </c>
      <c r="C534" s="193">
        <v>2025</v>
      </c>
      <c r="D534" s="193">
        <f>Introduction!$D$7</f>
        <v>0</v>
      </c>
      <c r="E534" s="193">
        <f>Introduction!$D$8</f>
        <v>0</v>
      </c>
      <c r="F534" s="193" t="s">
        <v>488</v>
      </c>
      <c r="G534" s="193" t="s">
        <v>171</v>
      </c>
      <c r="H534" s="193">
        <f>'Buildings - Grid Electricity'!B39</f>
        <v>0</v>
      </c>
      <c r="I534" s="193">
        <f>'Buildings - Grid Electricity'!C39</f>
        <v>0</v>
      </c>
      <c r="J534" s="193" t="str">
        <f>'Buildings - Grid Electricity'!D39</f>
        <v/>
      </c>
      <c r="K534" s="237"/>
      <c r="L534" s="237"/>
      <c r="M534" s="193" t="str">
        <f>'Buildings - Grid Electricity'!E39</f>
        <v/>
      </c>
      <c r="N534" s="193" t="str">
        <f>'Buildings - Grid Electricity'!F39</f>
        <v/>
      </c>
      <c r="O534" s="237"/>
      <c r="P534" s="193">
        <f>'Buildings - Grid Electricity'!G39</f>
        <v>0</v>
      </c>
      <c r="Q534" s="193" t="str">
        <f>'Buildings - Grid Electricity'!H39</f>
        <v/>
      </c>
      <c r="R534" s="193">
        <f>'Buildings - Grid Electricity'!I39</f>
        <v>0</v>
      </c>
      <c r="S534" s="193" t="str">
        <f>'Buildings - Grid Electricity'!J39</f>
        <v/>
      </c>
      <c r="T534" s="193" t="str">
        <f>'Buildings - Grid Electricity'!K39</f>
        <v/>
      </c>
      <c r="U534" s="193" t="str">
        <f>'Buildings - Grid Electricity'!L39</f>
        <v/>
      </c>
      <c r="V534" s="193" t="str">
        <f>'Buildings - Grid Electricity'!M39</f>
        <v/>
      </c>
      <c r="W534" s="193" t="str">
        <f>'Buildings - Grid Electricity'!N39</f>
        <v/>
      </c>
      <c r="X534" s="193">
        <f>'Buildings - Grid Electricity'!O39</f>
        <v>0</v>
      </c>
      <c r="Y534" s="193">
        <f>'Buildings - Grid Electricity'!P39</f>
        <v>0</v>
      </c>
      <c r="Z534" s="193" t="str">
        <f>'Buildings - Grid Electricity'!Q39</f>
        <v/>
      </c>
      <c r="AA534" s="193" t="str">
        <f>'Buildings - Grid Electricity'!R39</f>
        <v/>
      </c>
      <c r="AB534" s="193" t="str">
        <f>'Buildings - Grid Electricity'!S39</f>
        <v/>
      </c>
      <c r="AC534" s="193" t="str">
        <f>'Buildings - Grid Electricity'!T39</f>
        <v/>
      </c>
      <c r="AD534" s="193" t="str">
        <f>'Buildings - Grid Electricity'!U39</f>
        <v/>
      </c>
      <c r="AE534" s="193" t="str">
        <f>'Buildings - Grid Electricity'!V39</f>
        <v/>
      </c>
      <c r="AF534" s="193" t="str">
        <f>'Buildings - Grid Electricity'!W39</f>
        <v/>
      </c>
      <c r="AG534" s="193" t="str">
        <f>'Buildings - Grid Electricity'!X39</f>
        <v/>
      </c>
      <c r="AI534" s="193">
        <f t="shared" si="6"/>
        <v>0</v>
      </c>
      <c r="AJ534" s="193">
        <f t="shared" si="7"/>
        <v>0</v>
      </c>
    </row>
    <row r="535" spans="2:36" x14ac:dyDescent="0.35">
      <c r="B535" s="193" t="e">
        <f>"2024"&amp;MATCH(Totals!D535,OrgType,0)&amp;"_"&amp;MATCH(Totals!E535,Organisations,0)&amp;"_"&amp;LEFT(Totals!F535,1)&amp;"_"&amp;LEFT(G535,1)&amp;"_"&amp;COUNTIF($G$3:G535,G535)</f>
        <v>#N/A</v>
      </c>
      <c r="C535" s="193">
        <v>2025</v>
      </c>
      <c r="D535" s="193">
        <f>Introduction!$D$7</f>
        <v>0</v>
      </c>
      <c r="E535" s="193">
        <f>Introduction!$D$8</f>
        <v>0</v>
      </c>
      <c r="F535" s="193" t="s">
        <v>488</v>
      </c>
      <c r="G535" s="193" t="s">
        <v>171</v>
      </c>
      <c r="H535" s="193">
        <f>'Buildings - Grid Electricity'!B40</f>
        <v>0</v>
      </c>
      <c r="I535" s="193">
        <f>'Buildings - Grid Electricity'!C40</f>
        <v>0</v>
      </c>
      <c r="J535" s="193" t="str">
        <f>'Buildings - Grid Electricity'!D40</f>
        <v/>
      </c>
      <c r="K535" s="237"/>
      <c r="L535" s="237"/>
      <c r="M535" s="193" t="str">
        <f>'Buildings - Grid Electricity'!E40</f>
        <v/>
      </c>
      <c r="N535" s="193" t="str">
        <f>'Buildings - Grid Electricity'!F40</f>
        <v/>
      </c>
      <c r="O535" s="237"/>
      <c r="P535" s="193">
        <f>'Buildings - Grid Electricity'!G40</f>
        <v>0</v>
      </c>
      <c r="Q535" s="193" t="str">
        <f>'Buildings - Grid Electricity'!H40</f>
        <v/>
      </c>
      <c r="R535" s="193">
        <f>'Buildings - Grid Electricity'!I40</f>
        <v>0</v>
      </c>
      <c r="S535" s="193" t="str">
        <f>'Buildings - Grid Electricity'!J40</f>
        <v/>
      </c>
      <c r="T535" s="193" t="str">
        <f>'Buildings - Grid Electricity'!K40</f>
        <v/>
      </c>
      <c r="U535" s="193" t="str">
        <f>'Buildings - Grid Electricity'!L40</f>
        <v/>
      </c>
      <c r="V535" s="193" t="str">
        <f>'Buildings - Grid Electricity'!M40</f>
        <v/>
      </c>
      <c r="W535" s="193" t="str">
        <f>'Buildings - Grid Electricity'!N40</f>
        <v/>
      </c>
      <c r="X535" s="193">
        <f>'Buildings - Grid Electricity'!O40</f>
        <v>0</v>
      </c>
      <c r="Y535" s="193">
        <f>'Buildings - Grid Electricity'!P40</f>
        <v>0</v>
      </c>
      <c r="Z535" s="193" t="str">
        <f>'Buildings - Grid Electricity'!Q40</f>
        <v/>
      </c>
      <c r="AA535" s="193" t="str">
        <f>'Buildings - Grid Electricity'!R40</f>
        <v/>
      </c>
      <c r="AB535" s="193" t="str">
        <f>'Buildings - Grid Electricity'!S40</f>
        <v/>
      </c>
      <c r="AC535" s="193" t="str">
        <f>'Buildings - Grid Electricity'!T40</f>
        <v/>
      </c>
      <c r="AD535" s="193" t="str">
        <f>'Buildings - Grid Electricity'!U40</f>
        <v/>
      </c>
      <c r="AE535" s="193" t="str">
        <f>'Buildings - Grid Electricity'!V40</f>
        <v/>
      </c>
      <c r="AF535" s="193" t="str">
        <f>'Buildings - Grid Electricity'!W40</f>
        <v/>
      </c>
      <c r="AG535" s="193" t="str">
        <f>'Buildings - Grid Electricity'!X40</f>
        <v/>
      </c>
      <c r="AI535" s="193">
        <f t="shared" si="6"/>
        <v>0</v>
      </c>
      <c r="AJ535" s="193">
        <f t="shared" si="7"/>
        <v>0</v>
      </c>
    </row>
    <row r="536" spans="2:36" x14ac:dyDescent="0.35">
      <c r="B536" s="193" t="e">
        <f>"2024"&amp;MATCH(Totals!D536,OrgType,0)&amp;"_"&amp;MATCH(Totals!E536,Organisations,0)&amp;"_"&amp;LEFT(Totals!F536,1)&amp;"_"&amp;LEFT(G536,1)&amp;"_"&amp;COUNTIF($G$3:G536,G536)</f>
        <v>#N/A</v>
      </c>
      <c r="C536" s="193">
        <v>2025</v>
      </c>
      <c r="D536" s="193">
        <f>Introduction!$D$7</f>
        <v>0</v>
      </c>
      <c r="E536" s="193">
        <f>Introduction!$D$8</f>
        <v>0</v>
      </c>
      <c r="F536" s="193" t="s">
        <v>488</v>
      </c>
      <c r="G536" s="193" t="s">
        <v>171</v>
      </c>
      <c r="H536" s="193">
        <f>'Buildings - Grid Electricity'!B41</f>
        <v>0</v>
      </c>
      <c r="I536" s="193">
        <f>'Buildings - Grid Electricity'!C41</f>
        <v>0</v>
      </c>
      <c r="J536" s="193" t="str">
        <f>'Buildings - Grid Electricity'!D41</f>
        <v/>
      </c>
      <c r="K536" s="237"/>
      <c r="L536" s="237"/>
      <c r="M536" s="193" t="str">
        <f>'Buildings - Grid Electricity'!E41</f>
        <v/>
      </c>
      <c r="N536" s="193" t="str">
        <f>'Buildings - Grid Electricity'!F41</f>
        <v/>
      </c>
      <c r="O536" s="237"/>
      <c r="P536" s="193">
        <f>'Buildings - Grid Electricity'!G41</f>
        <v>0</v>
      </c>
      <c r="Q536" s="193" t="str">
        <f>'Buildings - Grid Electricity'!H41</f>
        <v/>
      </c>
      <c r="R536" s="193">
        <f>'Buildings - Grid Electricity'!I41</f>
        <v>0</v>
      </c>
      <c r="S536" s="193" t="str">
        <f>'Buildings - Grid Electricity'!J41</f>
        <v/>
      </c>
      <c r="T536" s="193" t="str">
        <f>'Buildings - Grid Electricity'!K41</f>
        <v/>
      </c>
      <c r="U536" s="193" t="str">
        <f>'Buildings - Grid Electricity'!L41</f>
        <v/>
      </c>
      <c r="V536" s="193" t="str">
        <f>'Buildings - Grid Electricity'!M41</f>
        <v/>
      </c>
      <c r="W536" s="193" t="str">
        <f>'Buildings - Grid Electricity'!N41</f>
        <v/>
      </c>
      <c r="X536" s="193">
        <f>'Buildings - Grid Electricity'!O41</f>
        <v>0</v>
      </c>
      <c r="Y536" s="193">
        <f>'Buildings - Grid Electricity'!P41</f>
        <v>0</v>
      </c>
      <c r="Z536" s="193" t="str">
        <f>'Buildings - Grid Electricity'!Q41</f>
        <v/>
      </c>
      <c r="AA536" s="193" t="str">
        <f>'Buildings - Grid Electricity'!R41</f>
        <v/>
      </c>
      <c r="AB536" s="193" t="str">
        <f>'Buildings - Grid Electricity'!S41</f>
        <v/>
      </c>
      <c r="AC536" s="193" t="str">
        <f>'Buildings - Grid Electricity'!T41</f>
        <v/>
      </c>
      <c r="AD536" s="193" t="str">
        <f>'Buildings - Grid Electricity'!U41</f>
        <v/>
      </c>
      <c r="AE536" s="193" t="str">
        <f>'Buildings - Grid Electricity'!V41</f>
        <v/>
      </c>
      <c r="AF536" s="193" t="str">
        <f>'Buildings - Grid Electricity'!W41</f>
        <v/>
      </c>
      <c r="AG536" s="193" t="str">
        <f>'Buildings - Grid Electricity'!X41</f>
        <v/>
      </c>
      <c r="AI536" s="193">
        <f t="shared" si="6"/>
        <v>0</v>
      </c>
      <c r="AJ536" s="193">
        <f t="shared" si="7"/>
        <v>0</v>
      </c>
    </row>
    <row r="537" spans="2:36" x14ac:dyDescent="0.35">
      <c r="B537" s="193" t="e">
        <f>"2024"&amp;MATCH(Totals!D537,OrgType,0)&amp;"_"&amp;MATCH(Totals!E537,Organisations,0)&amp;"_"&amp;LEFT(Totals!F537,1)&amp;"_"&amp;LEFT(G537,1)&amp;"_"&amp;COUNTIF($G$3:G537,G537)</f>
        <v>#N/A</v>
      </c>
      <c r="C537" s="193">
        <v>2025</v>
      </c>
      <c r="D537" s="193">
        <f>Introduction!$D$7</f>
        <v>0</v>
      </c>
      <c r="E537" s="193">
        <f>Introduction!$D$8</f>
        <v>0</v>
      </c>
      <c r="F537" s="193" t="s">
        <v>488</v>
      </c>
      <c r="G537" s="193" t="s">
        <v>171</v>
      </c>
      <c r="H537" s="193">
        <f>'Buildings - Grid Electricity'!B42</f>
        <v>0</v>
      </c>
      <c r="I537" s="193">
        <f>'Buildings - Grid Electricity'!C42</f>
        <v>0</v>
      </c>
      <c r="J537" s="193" t="str">
        <f>'Buildings - Grid Electricity'!D42</f>
        <v/>
      </c>
      <c r="K537" s="237"/>
      <c r="L537" s="237"/>
      <c r="M537" s="193" t="str">
        <f>'Buildings - Grid Electricity'!E42</f>
        <v/>
      </c>
      <c r="N537" s="193" t="str">
        <f>'Buildings - Grid Electricity'!F42</f>
        <v/>
      </c>
      <c r="O537" s="237"/>
      <c r="P537" s="193">
        <f>'Buildings - Grid Electricity'!G42</f>
        <v>0</v>
      </c>
      <c r="Q537" s="193" t="str">
        <f>'Buildings - Grid Electricity'!H42</f>
        <v/>
      </c>
      <c r="R537" s="193">
        <f>'Buildings - Grid Electricity'!I42</f>
        <v>0</v>
      </c>
      <c r="S537" s="193" t="str">
        <f>'Buildings - Grid Electricity'!J42</f>
        <v/>
      </c>
      <c r="T537" s="193" t="str">
        <f>'Buildings - Grid Electricity'!K42</f>
        <v/>
      </c>
      <c r="U537" s="193" t="str">
        <f>'Buildings - Grid Electricity'!L42</f>
        <v/>
      </c>
      <c r="V537" s="193" t="str">
        <f>'Buildings - Grid Electricity'!M42</f>
        <v/>
      </c>
      <c r="W537" s="193" t="str">
        <f>'Buildings - Grid Electricity'!N42</f>
        <v/>
      </c>
      <c r="X537" s="193">
        <f>'Buildings - Grid Electricity'!O42</f>
        <v>0</v>
      </c>
      <c r="Y537" s="193">
        <f>'Buildings - Grid Electricity'!P42</f>
        <v>0</v>
      </c>
      <c r="Z537" s="193" t="str">
        <f>'Buildings - Grid Electricity'!Q42</f>
        <v/>
      </c>
      <c r="AA537" s="193" t="str">
        <f>'Buildings - Grid Electricity'!R42</f>
        <v/>
      </c>
      <c r="AB537" s="193" t="str">
        <f>'Buildings - Grid Electricity'!S42</f>
        <v/>
      </c>
      <c r="AC537" s="193" t="str">
        <f>'Buildings - Grid Electricity'!T42</f>
        <v/>
      </c>
      <c r="AD537" s="193" t="str">
        <f>'Buildings - Grid Electricity'!U42</f>
        <v/>
      </c>
      <c r="AE537" s="193" t="str">
        <f>'Buildings - Grid Electricity'!V42</f>
        <v/>
      </c>
      <c r="AF537" s="193" t="str">
        <f>'Buildings - Grid Electricity'!W42</f>
        <v/>
      </c>
      <c r="AG537" s="193" t="str">
        <f>'Buildings - Grid Electricity'!X42</f>
        <v/>
      </c>
      <c r="AI537" s="193">
        <f t="shared" si="6"/>
        <v>0</v>
      </c>
      <c r="AJ537" s="193">
        <f t="shared" si="7"/>
        <v>0</v>
      </c>
    </row>
    <row r="538" spans="2:36" x14ac:dyDescent="0.35">
      <c r="B538" s="193" t="e">
        <f>"2024"&amp;MATCH(Totals!D538,OrgType,0)&amp;"_"&amp;MATCH(Totals!E538,Organisations,0)&amp;"_"&amp;LEFT(Totals!F538,1)&amp;"_"&amp;LEFT(G538,1)&amp;"_"&amp;COUNTIF($G$3:G538,G538)</f>
        <v>#N/A</v>
      </c>
      <c r="C538" s="193">
        <v>2025</v>
      </c>
      <c r="D538" s="193">
        <f>Introduction!$D$7</f>
        <v>0</v>
      </c>
      <c r="E538" s="193">
        <f>Introduction!$D$8</f>
        <v>0</v>
      </c>
      <c r="F538" s="193" t="s">
        <v>488</v>
      </c>
      <c r="G538" s="193" t="s">
        <v>171</v>
      </c>
      <c r="H538" s="193">
        <f>'Buildings - Grid Electricity'!B43</f>
        <v>0</v>
      </c>
      <c r="I538" s="193">
        <f>'Buildings - Grid Electricity'!C43</f>
        <v>0</v>
      </c>
      <c r="J538" s="193" t="str">
        <f>'Buildings - Grid Electricity'!D43</f>
        <v/>
      </c>
      <c r="K538" s="237"/>
      <c r="L538" s="237"/>
      <c r="M538" s="193" t="str">
        <f>'Buildings - Grid Electricity'!E43</f>
        <v/>
      </c>
      <c r="N538" s="193" t="str">
        <f>'Buildings - Grid Electricity'!F43</f>
        <v/>
      </c>
      <c r="O538" s="237"/>
      <c r="P538" s="193">
        <f>'Buildings - Grid Electricity'!G43</f>
        <v>0</v>
      </c>
      <c r="Q538" s="193" t="str">
        <f>'Buildings - Grid Electricity'!H43</f>
        <v/>
      </c>
      <c r="R538" s="193">
        <f>'Buildings - Grid Electricity'!I43</f>
        <v>0</v>
      </c>
      <c r="S538" s="193" t="str">
        <f>'Buildings - Grid Electricity'!J43</f>
        <v/>
      </c>
      <c r="T538" s="193" t="str">
        <f>'Buildings - Grid Electricity'!K43</f>
        <v/>
      </c>
      <c r="U538" s="193" t="str">
        <f>'Buildings - Grid Electricity'!L43</f>
        <v/>
      </c>
      <c r="V538" s="193" t="str">
        <f>'Buildings - Grid Electricity'!M43</f>
        <v/>
      </c>
      <c r="W538" s="193" t="str">
        <f>'Buildings - Grid Electricity'!N43</f>
        <v/>
      </c>
      <c r="X538" s="193">
        <f>'Buildings - Grid Electricity'!O43</f>
        <v>0</v>
      </c>
      <c r="Y538" s="193">
        <f>'Buildings - Grid Electricity'!P43</f>
        <v>0</v>
      </c>
      <c r="Z538" s="193" t="str">
        <f>'Buildings - Grid Electricity'!Q43</f>
        <v/>
      </c>
      <c r="AA538" s="193" t="str">
        <f>'Buildings - Grid Electricity'!R43</f>
        <v/>
      </c>
      <c r="AB538" s="193" t="str">
        <f>'Buildings - Grid Electricity'!S43</f>
        <v/>
      </c>
      <c r="AC538" s="193" t="str">
        <f>'Buildings - Grid Electricity'!T43</f>
        <v/>
      </c>
      <c r="AD538" s="193" t="str">
        <f>'Buildings - Grid Electricity'!U43</f>
        <v/>
      </c>
      <c r="AE538" s="193" t="str">
        <f>'Buildings - Grid Electricity'!V43</f>
        <v/>
      </c>
      <c r="AF538" s="193" t="str">
        <f>'Buildings - Grid Electricity'!W43</f>
        <v/>
      </c>
      <c r="AG538" s="193" t="str">
        <f>'Buildings - Grid Electricity'!X43</f>
        <v/>
      </c>
      <c r="AI538" s="193">
        <f t="shared" si="6"/>
        <v>0</v>
      </c>
      <c r="AJ538" s="193">
        <f t="shared" si="7"/>
        <v>0</v>
      </c>
    </row>
    <row r="539" spans="2:36" x14ac:dyDescent="0.35">
      <c r="B539" s="193" t="e">
        <f>"2024"&amp;MATCH(Totals!D539,OrgType,0)&amp;"_"&amp;MATCH(Totals!E539,Organisations,0)&amp;"_"&amp;LEFT(Totals!F539,1)&amp;"_"&amp;LEFT(G539,1)&amp;"_"&amp;COUNTIF($G$3:G539,G539)</f>
        <v>#N/A</v>
      </c>
      <c r="C539" s="193">
        <v>2025</v>
      </c>
      <c r="D539" s="193">
        <f>Introduction!$D$7</f>
        <v>0</v>
      </c>
      <c r="E539" s="193">
        <f>Introduction!$D$8</f>
        <v>0</v>
      </c>
      <c r="F539" s="193" t="s">
        <v>488</v>
      </c>
      <c r="G539" s="193" t="s">
        <v>171</v>
      </c>
      <c r="H539" s="193">
        <f>'Buildings - Grid Electricity'!B44</f>
        <v>0</v>
      </c>
      <c r="I539" s="193">
        <f>'Buildings - Grid Electricity'!C44</f>
        <v>0</v>
      </c>
      <c r="J539" s="193" t="str">
        <f>'Buildings - Grid Electricity'!D44</f>
        <v/>
      </c>
      <c r="K539" s="237"/>
      <c r="L539" s="237"/>
      <c r="M539" s="193" t="str">
        <f>'Buildings - Grid Electricity'!E44</f>
        <v/>
      </c>
      <c r="N539" s="193" t="str">
        <f>'Buildings - Grid Electricity'!F44</f>
        <v/>
      </c>
      <c r="O539" s="237"/>
      <c r="P539" s="193">
        <f>'Buildings - Grid Electricity'!G44</f>
        <v>0</v>
      </c>
      <c r="Q539" s="193" t="str">
        <f>'Buildings - Grid Electricity'!H44</f>
        <v/>
      </c>
      <c r="R539" s="193">
        <f>'Buildings - Grid Electricity'!I44</f>
        <v>0</v>
      </c>
      <c r="S539" s="193" t="str">
        <f>'Buildings - Grid Electricity'!J44</f>
        <v/>
      </c>
      <c r="T539" s="193" t="str">
        <f>'Buildings - Grid Electricity'!K44</f>
        <v/>
      </c>
      <c r="U539" s="193" t="str">
        <f>'Buildings - Grid Electricity'!L44</f>
        <v/>
      </c>
      <c r="V539" s="193" t="str">
        <f>'Buildings - Grid Electricity'!M44</f>
        <v/>
      </c>
      <c r="W539" s="193" t="str">
        <f>'Buildings - Grid Electricity'!N44</f>
        <v/>
      </c>
      <c r="X539" s="193">
        <f>'Buildings - Grid Electricity'!O44</f>
        <v>0</v>
      </c>
      <c r="Y539" s="193">
        <f>'Buildings - Grid Electricity'!P44</f>
        <v>0</v>
      </c>
      <c r="Z539" s="193" t="str">
        <f>'Buildings - Grid Electricity'!Q44</f>
        <v/>
      </c>
      <c r="AA539" s="193" t="str">
        <f>'Buildings - Grid Electricity'!R44</f>
        <v/>
      </c>
      <c r="AB539" s="193" t="str">
        <f>'Buildings - Grid Electricity'!S44</f>
        <v/>
      </c>
      <c r="AC539" s="193" t="str">
        <f>'Buildings - Grid Electricity'!T44</f>
        <v/>
      </c>
      <c r="AD539" s="193" t="str">
        <f>'Buildings - Grid Electricity'!U44</f>
        <v/>
      </c>
      <c r="AE539" s="193" t="str">
        <f>'Buildings - Grid Electricity'!V44</f>
        <v/>
      </c>
      <c r="AF539" s="193" t="str">
        <f>'Buildings - Grid Electricity'!W44</f>
        <v/>
      </c>
      <c r="AG539" s="193" t="str">
        <f>'Buildings - Grid Electricity'!X44</f>
        <v/>
      </c>
      <c r="AI539" s="193">
        <f t="shared" si="6"/>
        <v>0</v>
      </c>
      <c r="AJ539" s="193">
        <f t="shared" si="7"/>
        <v>0</v>
      </c>
    </row>
    <row r="540" spans="2:36" x14ac:dyDescent="0.35">
      <c r="B540" s="193" t="e">
        <f>"2024"&amp;MATCH(Totals!D540,OrgType,0)&amp;"_"&amp;MATCH(Totals!E540,Organisations,0)&amp;"_"&amp;LEFT(Totals!F540,1)&amp;"_"&amp;LEFT(G540,1)&amp;"_"&amp;COUNTIF($G$3:G540,G540)</f>
        <v>#N/A</v>
      </c>
      <c r="C540" s="193">
        <v>2025</v>
      </c>
      <c r="D540" s="193">
        <f>Introduction!$D$7</f>
        <v>0</v>
      </c>
      <c r="E540" s="193">
        <f>Introduction!$D$8</f>
        <v>0</v>
      </c>
      <c r="F540" s="193" t="s">
        <v>488</v>
      </c>
      <c r="G540" s="193" t="s">
        <v>171</v>
      </c>
      <c r="H540" s="193">
        <f>'Buildings - Grid Electricity'!B45</f>
        <v>0</v>
      </c>
      <c r="I540" s="193">
        <f>'Buildings - Grid Electricity'!C45</f>
        <v>0</v>
      </c>
      <c r="J540" s="193" t="str">
        <f>'Buildings - Grid Electricity'!D45</f>
        <v/>
      </c>
      <c r="K540" s="237"/>
      <c r="L540" s="237"/>
      <c r="M540" s="193" t="str">
        <f>'Buildings - Grid Electricity'!E45</f>
        <v/>
      </c>
      <c r="N540" s="193" t="str">
        <f>'Buildings - Grid Electricity'!F45</f>
        <v/>
      </c>
      <c r="O540" s="237"/>
      <c r="P540" s="193">
        <f>'Buildings - Grid Electricity'!G45</f>
        <v>0</v>
      </c>
      <c r="Q540" s="193" t="str">
        <f>'Buildings - Grid Electricity'!H45</f>
        <v/>
      </c>
      <c r="R540" s="193">
        <f>'Buildings - Grid Electricity'!I45</f>
        <v>0</v>
      </c>
      <c r="S540" s="193" t="str">
        <f>'Buildings - Grid Electricity'!J45</f>
        <v/>
      </c>
      <c r="T540" s="193" t="str">
        <f>'Buildings - Grid Electricity'!K45</f>
        <v/>
      </c>
      <c r="U540" s="193" t="str">
        <f>'Buildings - Grid Electricity'!L45</f>
        <v/>
      </c>
      <c r="V540" s="193" t="str">
        <f>'Buildings - Grid Electricity'!M45</f>
        <v/>
      </c>
      <c r="W540" s="193" t="str">
        <f>'Buildings - Grid Electricity'!N45</f>
        <v/>
      </c>
      <c r="X540" s="193">
        <f>'Buildings - Grid Electricity'!O45</f>
        <v>0</v>
      </c>
      <c r="Y540" s="193">
        <f>'Buildings - Grid Electricity'!P45</f>
        <v>0</v>
      </c>
      <c r="Z540" s="193" t="str">
        <f>'Buildings - Grid Electricity'!Q45</f>
        <v/>
      </c>
      <c r="AA540" s="193" t="str">
        <f>'Buildings - Grid Electricity'!R45</f>
        <v/>
      </c>
      <c r="AB540" s="193" t="str">
        <f>'Buildings - Grid Electricity'!S45</f>
        <v/>
      </c>
      <c r="AC540" s="193" t="str">
        <f>'Buildings - Grid Electricity'!T45</f>
        <v/>
      </c>
      <c r="AD540" s="193" t="str">
        <f>'Buildings - Grid Electricity'!U45</f>
        <v/>
      </c>
      <c r="AE540" s="193" t="str">
        <f>'Buildings - Grid Electricity'!V45</f>
        <v/>
      </c>
      <c r="AF540" s="193" t="str">
        <f>'Buildings - Grid Electricity'!W45</f>
        <v/>
      </c>
      <c r="AG540" s="193" t="str">
        <f>'Buildings - Grid Electricity'!X45</f>
        <v/>
      </c>
      <c r="AI540" s="193">
        <f t="shared" si="6"/>
        <v>0</v>
      </c>
      <c r="AJ540" s="193">
        <f t="shared" si="7"/>
        <v>0</v>
      </c>
    </row>
    <row r="541" spans="2:36" x14ac:dyDescent="0.35">
      <c r="B541" s="193" t="e">
        <f>"2024"&amp;MATCH(Totals!D541,OrgType,0)&amp;"_"&amp;MATCH(Totals!E541,Organisations,0)&amp;"_"&amp;LEFT(Totals!F541,1)&amp;"_"&amp;LEFT(G541,1)&amp;"_"&amp;COUNTIF($G$3:G541,G541)</f>
        <v>#N/A</v>
      </c>
      <c r="C541" s="193">
        <v>2025</v>
      </c>
      <c r="D541" s="193">
        <f>Introduction!$D$7</f>
        <v>0</v>
      </c>
      <c r="E541" s="193">
        <f>Introduction!$D$8</f>
        <v>0</v>
      </c>
      <c r="F541" s="193" t="s">
        <v>488</v>
      </c>
      <c r="G541" s="193" t="s">
        <v>171</v>
      </c>
      <c r="H541" s="193">
        <f>'Buildings - Grid Electricity'!B46</f>
        <v>0</v>
      </c>
      <c r="I541" s="193">
        <f>'Buildings - Grid Electricity'!C46</f>
        <v>0</v>
      </c>
      <c r="J541" s="193" t="str">
        <f>'Buildings - Grid Electricity'!D46</f>
        <v/>
      </c>
      <c r="K541" s="237"/>
      <c r="L541" s="237"/>
      <c r="M541" s="193" t="str">
        <f>'Buildings - Grid Electricity'!E46</f>
        <v/>
      </c>
      <c r="N541" s="193" t="str">
        <f>'Buildings - Grid Electricity'!F46</f>
        <v/>
      </c>
      <c r="O541" s="237"/>
      <c r="P541" s="193">
        <f>'Buildings - Grid Electricity'!G46</f>
        <v>0</v>
      </c>
      <c r="Q541" s="193" t="str">
        <f>'Buildings - Grid Electricity'!H46</f>
        <v/>
      </c>
      <c r="R541" s="193">
        <f>'Buildings - Grid Electricity'!I46</f>
        <v>0</v>
      </c>
      <c r="S541" s="193" t="str">
        <f>'Buildings - Grid Electricity'!J46</f>
        <v/>
      </c>
      <c r="T541" s="193" t="str">
        <f>'Buildings - Grid Electricity'!K46</f>
        <v/>
      </c>
      <c r="U541" s="193" t="str">
        <f>'Buildings - Grid Electricity'!L46</f>
        <v/>
      </c>
      <c r="V541" s="193" t="str">
        <f>'Buildings - Grid Electricity'!M46</f>
        <v/>
      </c>
      <c r="W541" s="193" t="str">
        <f>'Buildings - Grid Electricity'!N46</f>
        <v/>
      </c>
      <c r="X541" s="193">
        <f>'Buildings - Grid Electricity'!O46</f>
        <v>0</v>
      </c>
      <c r="Y541" s="193">
        <f>'Buildings - Grid Electricity'!P46</f>
        <v>0</v>
      </c>
      <c r="Z541" s="193" t="str">
        <f>'Buildings - Grid Electricity'!Q46</f>
        <v/>
      </c>
      <c r="AA541" s="193" t="str">
        <f>'Buildings - Grid Electricity'!R46</f>
        <v/>
      </c>
      <c r="AB541" s="193" t="str">
        <f>'Buildings - Grid Electricity'!S46</f>
        <v/>
      </c>
      <c r="AC541" s="193" t="str">
        <f>'Buildings - Grid Electricity'!T46</f>
        <v/>
      </c>
      <c r="AD541" s="193" t="str">
        <f>'Buildings - Grid Electricity'!U46</f>
        <v/>
      </c>
      <c r="AE541" s="193" t="str">
        <f>'Buildings - Grid Electricity'!V46</f>
        <v/>
      </c>
      <c r="AF541" s="193" t="str">
        <f>'Buildings - Grid Electricity'!W46</f>
        <v/>
      </c>
      <c r="AG541" s="193" t="str">
        <f>'Buildings - Grid Electricity'!X46</f>
        <v/>
      </c>
      <c r="AI541" s="193">
        <f t="shared" si="6"/>
        <v>0</v>
      </c>
      <c r="AJ541" s="193">
        <f t="shared" si="7"/>
        <v>0</v>
      </c>
    </row>
    <row r="542" spans="2:36" x14ac:dyDescent="0.35">
      <c r="B542" s="193" t="e">
        <f>"2024"&amp;MATCH(Totals!D542,OrgType,0)&amp;"_"&amp;MATCH(Totals!E542,Organisations,0)&amp;"_"&amp;LEFT(Totals!F542,1)&amp;"_"&amp;LEFT(G542,1)&amp;"_"&amp;COUNTIF($G$3:G542,G542)</f>
        <v>#N/A</v>
      </c>
      <c r="C542" s="193">
        <v>2025</v>
      </c>
      <c r="D542" s="193">
        <f>Introduction!$D$7</f>
        <v>0</v>
      </c>
      <c r="E542" s="193">
        <f>Introduction!$D$8</f>
        <v>0</v>
      </c>
      <c r="F542" s="193" t="s">
        <v>488</v>
      </c>
      <c r="G542" s="193" t="s">
        <v>171</v>
      </c>
      <c r="H542" s="193">
        <f>'Buildings - Grid Electricity'!B47</f>
        <v>0</v>
      </c>
      <c r="I542" s="193">
        <f>'Buildings - Grid Electricity'!C47</f>
        <v>0</v>
      </c>
      <c r="J542" s="193" t="str">
        <f>'Buildings - Grid Electricity'!D47</f>
        <v/>
      </c>
      <c r="K542" s="237"/>
      <c r="L542" s="237"/>
      <c r="M542" s="193" t="str">
        <f>'Buildings - Grid Electricity'!E47</f>
        <v/>
      </c>
      <c r="N542" s="193" t="str">
        <f>'Buildings - Grid Electricity'!F47</f>
        <v/>
      </c>
      <c r="O542" s="237"/>
      <c r="P542" s="193">
        <f>'Buildings - Grid Electricity'!G47</f>
        <v>0</v>
      </c>
      <c r="Q542" s="193" t="str">
        <f>'Buildings - Grid Electricity'!H47</f>
        <v/>
      </c>
      <c r="R542" s="193">
        <f>'Buildings - Grid Electricity'!I47</f>
        <v>0</v>
      </c>
      <c r="S542" s="193" t="str">
        <f>'Buildings - Grid Electricity'!J47</f>
        <v/>
      </c>
      <c r="T542" s="193" t="str">
        <f>'Buildings - Grid Electricity'!K47</f>
        <v/>
      </c>
      <c r="U542" s="193" t="str">
        <f>'Buildings - Grid Electricity'!L47</f>
        <v/>
      </c>
      <c r="V542" s="193" t="str">
        <f>'Buildings - Grid Electricity'!M47</f>
        <v/>
      </c>
      <c r="W542" s="193" t="str">
        <f>'Buildings - Grid Electricity'!N47</f>
        <v/>
      </c>
      <c r="X542" s="193">
        <f>'Buildings - Grid Electricity'!O47</f>
        <v>0</v>
      </c>
      <c r="Y542" s="193">
        <f>'Buildings - Grid Electricity'!P47</f>
        <v>0</v>
      </c>
      <c r="Z542" s="193" t="str">
        <f>'Buildings - Grid Electricity'!Q47</f>
        <v/>
      </c>
      <c r="AA542" s="193" t="str">
        <f>'Buildings - Grid Electricity'!R47</f>
        <v/>
      </c>
      <c r="AB542" s="193" t="str">
        <f>'Buildings - Grid Electricity'!S47</f>
        <v/>
      </c>
      <c r="AC542" s="193" t="str">
        <f>'Buildings - Grid Electricity'!T47</f>
        <v/>
      </c>
      <c r="AD542" s="193" t="str">
        <f>'Buildings - Grid Electricity'!U47</f>
        <v/>
      </c>
      <c r="AE542" s="193" t="str">
        <f>'Buildings - Grid Electricity'!V47</f>
        <v/>
      </c>
      <c r="AF542" s="193" t="str">
        <f>'Buildings - Grid Electricity'!W47</f>
        <v/>
      </c>
      <c r="AG542" s="193" t="str">
        <f>'Buildings - Grid Electricity'!X47</f>
        <v/>
      </c>
      <c r="AI542" s="193">
        <f t="shared" si="6"/>
        <v>0</v>
      </c>
      <c r="AJ542" s="193">
        <f t="shared" si="7"/>
        <v>0</v>
      </c>
    </row>
    <row r="543" spans="2:36" x14ac:dyDescent="0.35">
      <c r="B543" s="193" t="e">
        <f>"2024"&amp;MATCH(Totals!D543,OrgType,0)&amp;"_"&amp;MATCH(Totals!E543,Organisations,0)&amp;"_"&amp;LEFT(Totals!F543,1)&amp;"_"&amp;LEFT(G543,1)&amp;"_"&amp;COUNTIF($G$3:G543,G543)</f>
        <v>#N/A</v>
      </c>
      <c r="C543" s="193">
        <v>2025</v>
      </c>
      <c r="D543" s="193">
        <f>Introduction!$D$7</f>
        <v>0</v>
      </c>
      <c r="E543" s="193">
        <f>Introduction!$D$8</f>
        <v>0</v>
      </c>
      <c r="F543" s="193" t="s">
        <v>488</v>
      </c>
      <c r="G543" s="193" t="s">
        <v>171</v>
      </c>
      <c r="H543" s="193">
        <f>'Buildings - Grid Electricity'!B48</f>
        <v>0</v>
      </c>
      <c r="I543" s="193">
        <f>'Buildings - Grid Electricity'!C48</f>
        <v>0</v>
      </c>
      <c r="J543" s="193" t="str">
        <f>'Buildings - Grid Electricity'!D48</f>
        <v/>
      </c>
      <c r="K543" s="237"/>
      <c r="L543" s="237"/>
      <c r="M543" s="193" t="str">
        <f>'Buildings - Grid Electricity'!E48</f>
        <v/>
      </c>
      <c r="N543" s="193" t="str">
        <f>'Buildings - Grid Electricity'!F48</f>
        <v/>
      </c>
      <c r="O543" s="237"/>
      <c r="P543" s="193">
        <f>'Buildings - Grid Electricity'!G48</f>
        <v>0</v>
      </c>
      <c r="Q543" s="193" t="str">
        <f>'Buildings - Grid Electricity'!H48</f>
        <v/>
      </c>
      <c r="R543" s="193">
        <f>'Buildings - Grid Electricity'!I48</f>
        <v>0</v>
      </c>
      <c r="S543" s="193" t="str">
        <f>'Buildings - Grid Electricity'!J48</f>
        <v/>
      </c>
      <c r="T543" s="193" t="str">
        <f>'Buildings - Grid Electricity'!K48</f>
        <v/>
      </c>
      <c r="U543" s="193" t="str">
        <f>'Buildings - Grid Electricity'!L48</f>
        <v/>
      </c>
      <c r="V543" s="193" t="str">
        <f>'Buildings - Grid Electricity'!M48</f>
        <v/>
      </c>
      <c r="W543" s="193" t="str">
        <f>'Buildings - Grid Electricity'!N48</f>
        <v/>
      </c>
      <c r="X543" s="193">
        <f>'Buildings - Grid Electricity'!O48</f>
        <v>0</v>
      </c>
      <c r="Y543" s="193">
        <f>'Buildings - Grid Electricity'!P48</f>
        <v>0</v>
      </c>
      <c r="Z543" s="193" t="str">
        <f>'Buildings - Grid Electricity'!Q48</f>
        <v/>
      </c>
      <c r="AA543" s="193" t="str">
        <f>'Buildings - Grid Electricity'!R48</f>
        <v/>
      </c>
      <c r="AB543" s="193" t="str">
        <f>'Buildings - Grid Electricity'!S48</f>
        <v/>
      </c>
      <c r="AC543" s="193" t="str">
        <f>'Buildings - Grid Electricity'!T48</f>
        <v/>
      </c>
      <c r="AD543" s="193" t="str">
        <f>'Buildings - Grid Electricity'!U48</f>
        <v/>
      </c>
      <c r="AE543" s="193" t="str">
        <f>'Buildings - Grid Electricity'!V48</f>
        <v/>
      </c>
      <c r="AF543" s="193" t="str">
        <f>'Buildings - Grid Electricity'!W48</f>
        <v/>
      </c>
      <c r="AG543" s="193" t="str">
        <f>'Buildings - Grid Electricity'!X48</f>
        <v/>
      </c>
      <c r="AI543" s="193">
        <f t="shared" si="6"/>
        <v>0</v>
      </c>
      <c r="AJ543" s="193">
        <f t="shared" si="7"/>
        <v>0</v>
      </c>
    </row>
    <row r="544" spans="2:36" x14ac:dyDescent="0.35">
      <c r="B544" s="193" t="e">
        <f>"2024"&amp;MATCH(Totals!D544,OrgType,0)&amp;"_"&amp;MATCH(Totals!E544,Organisations,0)&amp;"_"&amp;LEFT(Totals!F544,1)&amp;"_"&amp;LEFT(G544,1)&amp;"_"&amp;COUNTIF($G$3:G544,G544)</f>
        <v>#N/A</v>
      </c>
      <c r="C544" s="193">
        <v>2025</v>
      </c>
      <c r="D544" s="193">
        <f>Introduction!$D$7</f>
        <v>0</v>
      </c>
      <c r="E544" s="193">
        <f>Introduction!$D$8</f>
        <v>0</v>
      </c>
      <c r="F544" s="193" t="s">
        <v>488</v>
      </c>
      <c r="G544" s="193" t="s">
        <v>171</v>
      </c>
      <c r="H544" s="193">
        <f>'Buildings - Grid Electricity'!B49</f>
        <v>0</v>
      </c>
      <c r="I544" s="193">
        <f>'Buildings - Grid Electricity'!C49</f>
        <v>0</v>
      </c>
      <c r="J544" s="193" t="str">
        <f>'Buildings - Grid Electricity'!D49</f>
        <v/>
      </c>
      <c r="K544" s="237"/>
      <c r="L544" s="237"/>
      <c r="M544" s="193" t="str">
        <f>'Buildings - Grid Electricity'!E49</f>
        <v/>
      </c>
      <c r="N544" s="193" t="str">
        <f>'Buildings - Grid Electricity'!F49</f>
        <v/>
      </c>
      <c r="O544" s="237"/>
      <c r="P544" s="193">
        <f>'Buildings - Grid Electricity'!G49</f>
        <v>0</v>
      </c>
      <c r="Q544" s="193" t="str">
        <f>'Buildings - Grid Electricity'!H49</f>
        <v/>
      </c>
      <c r="R544" s="193">
        <f>'Buildings - Grid Electricity'!I49</f>
        <v>0</v>
      </c>
      <c r="S544" s="193" t="str">
        <f>'Buildings - Grid Electricity'!J49</f>
        <v/>
      </c>
      <c r="T544" s="193" t="str">
        <f>'Buildings - Grid Electricity'!K49</f>
        <v/>
      </c>
      <c r="U544" s="193" t="str">
        <f>'Buildings - Grid Electricity'!L49</f>
        <v/>
      </c>
      <c r="V544" s="193" t="str">
        <f>'Buildings - Grid Electricity'!M49</f>
        <v/>
      </c>
      <c r="W544" s="193" t="str">
        <f>'Buildings - Grid Electricity'!N49</f>
        <v/>
      </c>
      <c r="X544" s="193">
        <f>'Buildings - Grid Electricity'!O49</f>
        <v>0</v>
      </c>
      <c r="Y544" s="193">
        <f>'Buildings - Grid Electricity'!P49</f>
        <v>0</v>
      </c>
      <c r="Z544" s="193" t="str">
        <f>'Buildings - Grid Electricity'!Q49</f>
        <v/>
      </c>
      <c r="AA544" s="193" t="str">
        <f>'Buildings - Grid Electricity'!R49</f>
        <v/>
      </c>
      <c r="AB544" s="193" t="str">
        <f>'Buildings - Grid Electricity'!S49</f>
        <v/>
      </c>
      <c r="AC544" s="193" t="str">
        <f>'Buildings - Grid Electricity'!T49</f>
        <v/>
      </c>
      <c r="AD544" s="193" t="str">
        <f>'Buildings - Grid Electricity'!U49</f>
        <v/>
      </c>
      <c r="AE544" s="193" t="str">
        <f>'Buildings - Grid Electricity'!V49</f>
        <v/>
      </c>
      <c r="AF544" s="193" t="str">
        <f>'Buildings - Grid Electricity'!W49</f>
        <v/>
      </c>
      <c r="AG544" s="193" t="str">
        <f>'Buildings - Grid Electricity'!X49</f>
        <v/>
      </c>
      <c r="AI544" s="193">
        <f t="shared" si="6"/>
        <v>0</v>
      </c>
      <c r="AJ544" s="193">
        <f t="shared" si="7"/>
        <v>0</v>
      </c>
    </row>
    <row r="545" spans="2:36" x14ac:dyDescent="0.35">
      <c r="B545" s="193" t="e">
        <f>"2024"&amp;MATCH(Totals!D545,OrgType,0)&amp;"_"&amp;MATCH(Totals!E545,Organisations,0)&amp;"_"&amp;LEFT(Totals!F545,1)&amp;"_"&amp;LEFT(G545,1)&amp;"_"&amp;COUNTIF($G$3:G545,G545)</f>
        <v>#N/A</v>
      </c>
      <c r="C545" s="193">
        <v>2025</v>
      </c>
      <c r="D545" s="193">
        <f>Introduction!$D$7</f>
        <v>0</v>
      </c>
      <c r="E545" s="193">
        <f>Introduction!$D$8</f>
        <v>0</v>
      </c>
      <c r="F545" s="193" t="s">
        <v>488</v>
      </c>
      <c r="G545" s="193" t="s">
        <v>171</v>
      </c>
      <c r="H545" s="193">
        <f>'Buildings - Grid Electricity'!B50</f>
        <v>0</v>
      </c>
      <c r="I545" s="193">
        <f>'Buildings - Grid Electricity'!C50</f>
        <v>0</v>
      </c>
      <c r="J545" s="193" t="str">
        <f>'Buildings - Grid Electricity'!D50</f>
        <v/>
      </c>
      <c r="K545" s="237"/>
      <c r="L545" s="237"/>
      <c r="M545" s="193" t="str">
        <f>'Buildings - Grid Electricity'!E50</f>
        <v/>
      </c>
      <c r="N545" s="193" t="str">
        <f>'Buildings - Grid Electricity'!F50</f>
        <v/>
      </c>
      <c r="O545" s="237"/>
      <c r="P545" s="193">
        <f>'Buildings - Grid Electricity'!G50</f>
        <v>0</v>
      </c>
      <c r="Q545" s="193" t="str">
        <f>'Buildings - Grid Electricity'!H50</f>
        <v/>
      </c>
      <c r="R545" s="193">
        <f>'Buildings - Grid Electricity'!I50</f>
        <v>0</v>
      </c>
      <c r="S545" s="193" t="str">
        <f>'Buildings - Grid Electricity'!J50</f>
        <v/>
      </c>
      <c r="T545" s="193" t="str">
        <f>'Buildings - Grid Electricity'!K50</f>
        <v/>
      </c>
      <c r="U545" s="193" t="str">
        <f>'Buildings - Grid Electricity'!L50</f>
        <v/>
      </c>
      <c r="V545" s="193" t="str">
        <f>'Buildings - Grid Electricity'!M50</f>
        <v/>
      </c>
      <c r="W545" s="193" t="str">
        <f>'Buildings - Grid Electricity'!N50</f>
        <v/>
      </c>
      <c r="X545" s="193">
        <f>'Buildings - Grid Electricity'!O50</f>
        <v>0</v>
      </c>
      <c r="Y545" s="193">
        <f>'Buildings - Grid Electricity'!P50</f>
        <v>0</v>
      </c>
      <c r="Z545" s="193" t="str">
        <f>'Buildings - Grid Electricity'!Q50</f>
        <v/>
      </c>
      <c r="AA545" s="193" t="str">
        <f>'Buildings - Grid Electricity'!R50</f>
        <v/>
      </c>
      <c r="AB545" s="193" t="str">
        <f>'Buildings - Grid Electricity'!S50</f>
        <v/>
      </c>
      <c r="AC545" s="193" t="str">
        <f>'Buildings - Grid Electricity'!T50</f>
        <v/>
      </c>
      <c r="AD545" s="193" t="str">
        <f>'Buildings - Grid Electricity'!U50</f>
        <v/>
      </c>
      <c r="AE545" s="193" t="str">
        <f>'Buildings - Grid Electricity'!V50</f>
        <v/>
      </c>
      <c r="AF545" s="193" t="str">
        <f>'Buildings - Grid Electricity'!W50</f>
        <v/>
      </c>
      <c r="AG545" s="193" t="str">
        <f>'Buildings - Grid Electricity'!X50</f>
        <v/>
      </c>
      <c r="AI545" s="193">
        <f t="shared" si="6"/>
        <v>0</v>
      </c>
      <c r="AJ545" s="193">
        <f t="shared" si="7"/>
        <v>0</v>
      </c>
    </row>
    <row r="546" spans="2:36" x14ac:dyDescent="0.35">
      <c r="B546" s="193" t="e">
        <f>"2024"&amp;MATCH(Totals!D546,OrgType,0)&amp;"_"&amp;MATCH(Totals!E546,Organisations,0)&amp;"_"&amp;LEFT(Totals!F546,1)&amp;"_"&amp;LEFT(G546,1)&amp;"_"&amp;COUNTIF($G$3:G546,G546)</f>
        <v>#N/A</v>
      </c>
      <c r="C546" s="193">
        <v>2025</v>
      </c>
      <c r="D546" s="193">
        <f>Introduction!$D$7</f>
        <v>0</v>
      </c>
      <c r="E546" s="193">
        <f>Introduction!$D$8</f>
        <v>0</v>
      </c>
      <c r="F546" s="193" t="s">
        <v>488</v>
      </c>
      <c r="G546" s="193" t="s">
        <v>171</v>
      </c>
      <c r="H546" s="193">
        <f>'Buildings - Grid Electricity'!B51</f>
        <v>0</v>
      </c>
      <c r="I546" s="193">
        <f>'Buildings - Grid Electricity'!C51</f>
        <v>0</v>
      </c>
      <c r="J546" s="193" t="str">
        <f>'Buildings - Grid Electricity'!D51</f>
        <v/>
      </c>
      <c r="K546" s="237"/>
      <c r="L546" s="237"/>
      <c r="M546" s="193" t="str">
        <f>'Buildings - Grid Electricity'!E51</f>
        <v/>
      </c>
      <c r="N546" s="193" t="str">
        <f>'Buildings - Grid Electricity'!F51</f>
        <v/>
      </c>
      <c r="O546" s="237"/>
      <c r="P546" s="193">
        <f>'Buildings - Grid Electricity'!G51</f>
        <v>0</v>
      </c>
      <c r="Q546" s="193" t="str">
        <f>'Buildings - Grid Electricity'!H51</f>
        <v/>
      </c>
      <c r="R546" s="193">
        <f>'Buildings - Grid Electricity'!I51</f>
        <v>0</v>
      </c>
      <c r="S546" s="193" t="str">
        <f>'Buildings - Grid Electricity'!J51</f>
        <v/>
      </c>
      <c r="T546" s="193" t="str">
        <f>'Buildings - Grid Electricity'!K51</f>
        <v/>
      </c>
      <c r="U546" s="193" t="str">
        <f>'Buildings - Grid Electricity'!L51</f>
        <v/>
      </c>
      <c r="V546" s="193" t="str">
        <f>'Buildings - Grid Electricity'!M51</f>
        <v/>
      </c>
      <c r="W546" s="193" t="str">
        <f>'Buildings - Grid Electricity'!N51</f>
        <v/>
      </c>
      <c r="X546" s="193">
        <f>'Buildings - Grid Electricity'!O51</f>
        <v>0</v>
      </c>
      <c r="Y546" s="193">
        <f>'Buildings - Grid Electricity'!P51</f>
        <v>0</v>
      </c>
      <c r="Z546" s="193" t="str">
        <f>'Buildings - Grid Electricity'!Q51</f>
        <v/>
      </c>
      <c r="AA546" s="193" t="str">
        <f>'Buildings - Grid Electricity'!R51</f>
        <v/>
      </c>
      <c r="AB546" s="193" t="str">
        <f>'Buildings - Grid Electricity'!S51</f>
        <v/>
      </c>
      <c r="AC546" s="193" t="str">
        <f>'Buildings - Grid Electricity'!T51</f>
        <v/>
      </c>
      <c r="AD546" s="193" t="str">
        <f>'Buildings - Grid Electricity'!U51</f>
        <v/>
      </c>
      <c r="AE546" s="193" t="str">
        <f>'Buildings - Grid Electricity'!V51</f>
        <v/>
      </c>
      <c r="AF546" s="193" t="str">
        <f>'Buildings - Grid Electricity'!W51</f>
        <v/>
      </c>
      <c r="AG546" s="193" t="str">
        <f>'Buildings - Grid Electricity'!X51</f>
        <v/>
      </c>
      <c r="AI546" s="193">
        <f t="shared" si="6"/>
        <v>0</v>
      </c>
      <c r="AJ546" s="193">
        <f t="shared" si="7"/>
        <v>0</v>
      </c>
    </row>
    <row r="547" spans="2:36" x14ac:dyDescent="0.35">
      <c r="B547" s="193" t="e">
        <f>"2024"&amp;MATCH(Totals!D547,OrgType,0)&amp;"_"&amp;MATCH(Totals!E547,Organisations,0)&amp;"_"&amp;LEFT(Totals!F547,1)&amp;"_"&amp;LEFT(G547,1)&amp;"_"&amp;COUNTIF($G$3:G547,G547)</f>
        <v>#N/A</v>
      </c>
      <c r="C547" s="193">
        <v>2025</v>
      </c>
      <c r="D547" s="193">
        <f>Introduction!$D$7</f>
        <v>0</v>
      </c>
      <c r="E547" s="193">
        <f>Introduction!$D$8</f>
        <v>0</v>
      </c>
      <c r="F547" s="193" t="s">
        <v>488</v>
      </c>
      <c r="G547" s="193" t="s">
        <v>171</v>
      </c>
      <c r="H547" s="193">
        <f>'Buildings - Grid Electricity'!B52</f>
        <v>0</v>
      </c>
      <c r="I547" s="193">
        <f>'Buildings - Grid Electricity'!C52</f>
        <v>0</v>
      </c>
      <c r="J547" s="193" t="str">
        <f>'Buildings - Grid Electricity'!D52</f>
        <v/>
      </c>
      <c r="K547" s="237"/>
      <c r="L547" s="237"/>
      <c r="M547" s="193" t="str">
        <f>'Buildings - Grid Electricity'!E52</f>
        <v/>
      </c>
      <c r="N547" s="193" t="str">
        <f>'Buildings - Grid Electricity'!F52</f>
        <v/>
      </c>
      <c r="O547" s="237"/>
      <c r="P547" s="193">
        <f>'Buildings - Grid Electricity'!G52</f>
        <v>0</v>
      </c>
      <c r="Q547" s="193" t="str">
        <f>'Buildings - Grid Electricity'!H52</f>
        <v/>
      </c>
      <c r="R547" s="193">
        <f>'Buildings - Grid Electricity'!I52</f>
        <v>0</v>
      </c>
      <c r="S547" s="193" t="str">
        <f>'Buildings - Grid Electricity'!J52</f>
        <v/>
      </c>
      <c r="T547" s="193" t="str">
        <f>'Buildings - Grid Electricity'!K52</f>
        <v/>
      </c>
      <c r="U547" s="193" t="str">
        <f>'Buildings - Grid Electricity'!L52</f>
        <v/>
      </c>
      <c r="V547" s="193" t="str">
        <f>'Buildings - Grid Electricity'!M52</f>
        <v/>
      </c>
      <c r="W547" s="193" t="str">
        <f>'Buildings - Grid Electricity'!N52</f>
        <v/>
      </c>
      <c r="X547" s="193">
        <f>'Buildings - Grid Electricity'!O52</f>
        <v>0</v>
      </c>
      <c r="Y547" s="193">
        <f>'Buildings - Grid Electricity'!P52</f>
        <v>0</v>
      </c>
      <c r="Z547" s="193" t="str">
        <f>'Buildings - Grid Electricity'!Q52</f>
        <v/>
      </c>
      <c r="AA547" s="193" t="str">
        <f>'Buildings - Grid Electricity'!R52</f>
        <v/>
      </c>
      <c r="AB547" s="193" t="str">
        <f>'Buildings - Grid Electricity'!S52</f>
        <v/>
      </c>
      <c r="AC547" s="193" t="str">
        <f>'Buildings - Grid Electricity'!T52</f>
        <v/>
      </c>
      <c r="AD547" s="193" t="str">
        <f>'Buildings - Grid Electricity'!U52</f>
        <v/>
      </c>
      <c r="AE547" s="193" t="str">
        <f>'Buildings - Grid Electricity'!V52</f>
        <v/>
      </c>
      <c r="AF547" s="193" t="str">
        <f>'Buildings - Grid Electricity'!W52</f>
        <v/>
      </c>
      <c r="AG547" s="193" t="str">
        <f>'Buildings - Grid Electricity'!X52</f>
        <v/>
      </c>
      <c r="AI547" s="193">
        <f t="shared" si="6"/>
        <v>0</v>
      </c>
      <c r="AJ547" s="193">
        <f t="shared" si="7"/>
        <v>0</v>
      </c>
    </row>
    <row r="548" spans="2:36" x14ac:dyDescent="0.35">
      <c r="B548" s="193" t="e">
        <f>"2024"&amp;MATCH(Totals!D548,OrgType,0)&amp;"_"&amp;MATCH(Totals!E548,Organisations,0)&amp;"_"&amp;LEFT(Totals!F548,1)&amp;"_"&amp;LEFT(G548,1)&amp;"_"&amp;COUNTIF($G$3:G548,G548)</f>
        <v>#N/A</v>
      </c>
      <c r="C548" s="193">
        <v>2025</v>
      </c>
      <c r="D548" s="193">
        <f>Introduction!$D$7</f>
        <v>0</v>
      </c>
      <c r="E548" s="193">
        <f>Introduction!$D$8</f>
        <v>0</v>
      </c>
      <c r="F548" s="193" t="s">
        <v>488</v>
      </c>
      <c r="G548" s="193" t="s">
        <v>171</v>
      </c>
      <c r="H548" s="193">
        <f>'Buildings - Grid Electricity'!B53</f>
        <v>0</v>
      </c>
      <c r="I548" s="193">
        <f>'Buildings - Grid Electricity'!C53</f>
        <v>0</v>
      </c>
      <c r="J548" s="193" t="str">
        <f>'Buildings - Grid Electricity'!D53</f>
        <v/>
      </c>
      <c r="K548" s="237"/>
      <c r="L548" s="237"/>
      <c r="M548" s="193" t="str">
        <f>'Buildings - Grid Electricity'!E53</f>
        <v/>
      </c>
      <c r="N548" s="193" t="str">
        <f>'Buildings - Grid Electricity'!F53</f>
        <v/>
      </c>
      <c r="O548" s="237"/>
      <c r="P548" s="193">
        <f>'Buildings - Grid Electricity'!G53</f>
        <v>0</v>
      </c>
      <c r="Q548" s="193" t="str">
        <f>'Buildings - Grid Electricity'!H53</f>
        <v/>
      </c>
      <c r="R548" s="193">
        <f>'Buildings - Grid Electricity'!I53</f>
        <v>0</v>
      </c>
      <c r="S548" s="193" t="str">
        <f>'Buildings - Grid Electricity'!J53</f>
        <v/>
      </c>
      <c r="T548" s="193" t="str">
        <f>'Buildings - Grid Electricity'!K53</f>
        <v/>
      </c>
      <c r="U548" s="193" t="str">
        <f>'Buildings - Grid Electricity'!L53</f>
        <v/>
      </c>
      <c r="V548" s="193" t="str">
        <f>'Buildings - Grid Electricity'!M53</f>
        <v/>
      </c>
      <c r="W548" s="193" t="str">
        <f>'Buildings - Grid Electricity'!N53</f>
        <v/>
      </c>
      <c r="X548" s="193">
        <f>'Buildings - Grid Electricity'!O53</f>
        <v>0</v>
      </c>
      <c r="Y548" s="193">
        <f>'Buildings - Grid Electricity'!P53</f>
        <v>0</v>
      </c>
      <c r="Z548" s="193" t="str">
        <f>'Buildings - Grid Electricity'!Q53</f>
        <v/>
      </c>
      <c r="AA548" s="193" t="str">
        <f>'Buildings - Grid Electricity'!R53</f>
        <v/>
      </c>
      <c r="AB548" s="193" t="str">
        <f>'Buildings - Grid Electricity'!S53</f>
        <v/>
      </c>
      <c r="AC548" s="193" t="str">
        <f>'Buildings - Grid Electricity'!T53</f>
        <v/>
      </c>
      <c r="AD548" s="193" t="str">
        <f>'Buildings - Grid Electricity'!U53</f>
        <v/>
      </c>
      <c r="AE548" s="193" t="str">
        <f>'Buildings - Grid Electricity'!V53</f>
        <v/>
      </c>
      <c r="AF548" s="193" t="str">
        <f>'Buildings - Grid Electricity'!W53</f>
        <v/>
      </c>
      <c r="AG548" s="193" t="str">
        <f>'Buildings - Grid Electricity'!X53</f>
        <v/>
      </c>
      <c r="AI548" s="193">
        <f t="shared" si="6"/>
        <v>0</v>
      </c>
      <c r="AJ548" s="193">
        <f t="shared" si="7"/>
        <v>0</v>
      </c>
    </row>
    <row r="549" spans="2:36" x14ac:dyDescent="0.35">
      <c r="B549" s="193" t="e">
        <f>"2024"&amp;MATCH(Totals!D549,OrgType,0)&amp;"_"&amp;MATCH(Totals!E549,Organisations,0)&amp;"_"&amp;LEFT(Totals!F549,1)&amp;"_"&amp;LEFT(G549,1)&amp;"_"&amp;COUNTIF($G$3:G549,G549)</f>
        <v>#N/A</v>
      </c>
      <c r="C549" s="193">
        <v>2025</v>
      </c>
      <c r="D549" s="193">
        <f>Introduction!$D$7</f>
        <v>0</v>
      </c>
      <c r="E549" s="193">
        <f>Introduction!$D$8</f>
        <v>0</v>
      </c>
      <c r="F549" s="193" t="s">
        <v>488</v>
      </c>
      <c r="G549" s="193" t="s">
        <v>171</v>
      </c>
      <c r="H549" s="193">
        <f>'Buildings - Grid Electricity'!B54</f>
        <v>0</v>
      </c>
      <c r="I549" s="193">
        <f>'Buildings - Grid Electricity'!C54</f>
        <v>0</v>
      </c>
      <c r="J549" s="193" t="str">
        <f>'Buildings - Grid Electricity'!D54</f>
        <v/>
      </c>
      <c r="K549" s="237"/>
      <c r="L549" s="237"/>
      <c r="M549" s="193" t="str">
        <f>'Buildings - Grid Electricity'!E54</f>
        <v/>
      </c>
      <c r="N549" s="193" t="str">
        <f>'Buildings - Grid Electricity'!F54</f>
        <v/>
      </c>
      <c r="O549" s="237"/>
      <c r="P549" s="193">
        <f>'Buildings - Grid Electricity'!G54</f>
        <v>0</v>
      </c>
      <c r="Q549" s="193" t="str">
        <f>'Buildings - Grid Electricity'!H54</f>
        <v/>
      </c>
      <c r="R549" s="193">
        <f>'Buildings - Grid Electricity'!I54</f>
        <v>0</v>
      </c>
      <c r="S549" s="193" t="str">
        <f>'Buildings - Grid Electricity'!J54</f>
        <v/>
      </c>
      <c r="T549" s="193" t="str">
        <f>'Buildings - Grid Electricity'!K54</f>
        <v/>
      </c>
      <c r="U549" s="193" t="str">
        <f>'Buildings - Grid Electricity'!L54</f>
        <v/>
      </c>
      <c r="V549" s="193" t="str">
        <f>'Buildings - Grid Electricity'!M54</f>
        <v/>
      </c>
      <c r="W549" s="193" t="str">
        <f>'Buildings - Grid Electricity'!N54</f>
        <v/>
      </c>
      <c r="X549" s="193">
        <f>'Buildings - Grid Electricity'!O54</f>
        <v>0</v>
      </c>
      <c r="Y549" s="193">
        <f>'Buildings - Grid Electricity'!P54</f>
        <v>0</v>
      </c>
      <c r="Z549" s="193" t="str">
        <f>'Buildings - Grid Electricity'!Q54</f>
        <v/>
      </c>
      <c r="AA549" s="193" t="str">
        <f>'Buildings - Grid Electricity'!R54</f>
        <v/>
      </c>
      <c r="AB549" s="193" t="str">
        <f>'Buildings - Grid Electricity'!S54</f>
        <v/>
      </c>
      <c r="AC549" s="193" t="str">
        <f>'Buildings - Grid Electricity'!T54</f>
        <v/>
      </c>
      <c r="AD549" s="193" t="str">
        <f>'Buildings - Grid Electricity'!U54</f>
        <v/>
      </c>
      <c r="AE549" s="193" t="str">
        <f>'Buildings - Grid Electricity'!V54</f>
        <v/>
      </c>
      <c r="AF549" s="193" t="str">
        <f>'Buildings - Grid Electricity'!W54</f>
        <v/>
      </c>
      <c r="AG549" s="193" t="str">
        <f>'Buildings - Grid Electricity'!X54</f>
        <v/>
      </c>
      <c r="AI549" s="193">
        <f t="shared" si="6"/>
        <v>0</v>
      </c>
      <c r="AJ549" s="193">
        <f t="shared" si="7"/>
        <v>0</v>
      </c>
    </row>
    <row r="550" spans="2:36" x14ac:dyDescent="0.35">
      <c r="B550" s="193" t="e">
        <f>"2024"&amp;MATCH(Totals!D550,OrgType,0)&amp;"_"&amp;MATCH(Totals!E550,Organisations,0)&amp;"_"&amp;LEFT(Totals!F550,1)&amp;"_"&amp;LEFT(G550,1)&amp;"_"&amp;COUNTIF($G$3:G550,G550)</f>
        <v>#N/A</v>
      </c>
      <c r="C550" s="193">
        <v>2025</v>
      </c>
      <c r="D550" s="193">
        <f>Introduction!$D$7</f>
        <v>0</v>
      </c>
      <c r="E550" s="193">
        <f>Introduction!$D$8</f>
        <v>0</v>
      </c>
      <c r="F550" s="193" t="s">
        <v>488</v>
      </c>
      <c r="G550" s="193" t="s">
        <v>171</v>
      </c>
      <c r="H550" s="193">
        <f>'Buildings - Grid Electricity'!B55</f>
        <v>0</v>
      </c>
      <c r="I550" s="193">
        <f>'Buildings - Grid Electricity'!C55</f>
        <v>0</v>
      </c>
      <c r="J550" s="193" t="str">
        <f>'Buildings - Grid Electricity'!D55</f>
        <v/>
      </c>
      <c r="K550" s="237"/>
      <c r="L550" s="237"/>
      <c r="M550" s="193" t="str">
        <f>'Buildings - Grid Electricity'!E55</f>
        <v/>
      </c>
      <c r="N550" s="193" t="str">
        <f>'Buildings - Grid Electricity'!F55</f>
        <v/>
      </c>
      <c r="O550" s="237"/>
      <c r="P550" s="193">
        <f>'Buildings - Grid Electricity'!G55</f>
        <v>0</v>
      </c>
      <c r="Q550" s="193" t="str">
        <f>'Buildings - Grid Electricity'!H55</f>
        <v/>
      </c>
      <c r="R550" s="193">
        <f>'Buildings - Grid Electricity'!I55</f>
        <v>0</v>
      </c>
      <c r="S550" s="193" t="str">
        <f>'Buildings - Grid Electricity'!J55</f>
        <v/>
      </c>
      <c r="T550" s="193" t="str">
        <f>'Buildings - Grid Electricity'!K55</f>
        <v/>
      </c>
      <c r="U550" s="193" t="str">
        <f>'Buildings - Grid Electricity'!L55</f>
        <v/>
      </c>
      <c r="V550" s="193" t="str">
        <f>'Buildings - Grid Electricity'!M55</f>
        <v/>
      </c>
      <c r="W550" s="193" t="str">
        <f>'Buildings - Grid Electricity'!N55</f>
        <v/>
      </c>
      <c r="X550" s="193">
        <f>'Buildings - Grid Electricity'!O55</f>
        <v>0</v>
      </c>
      <c r="Y550" s="193">
        <f>'Buildings - Grid Electricity'!P55</f>
        <v>0</v>
      </c>
      <c r="Z550" s="193" t="str">
        <f>'Buildings - Grid Electricity'!Q55</f>
        <v/>
      </c>
      <c r="AA550" s="193" t="str">
        <f>'Buildings - Grid Electricity'!R55</f>
        <v/>
      </c>
      <c r="AB550" s="193" t="str">
        <f>'Buildings - Grid Electricity'!S55</f>
        <v/>
      </c>
      <c r="AC550" s="193" t="str">
        <f>'Buildings - Grid Electricity'!T55</f>
        <v/>
      </c>
      <c r="AD550" s="193" t="str">
        <f>'Buildings - Grid Electricity'!U55</f>
        <v/>
      </c>
      <c r="AE550" s="193" t="str">
        <f>'Buildings - Grid Electricity'!V55</f>
        <v/>
      </c>
      <c r="AF550" s="193" t="str">
        <f>'Buildings - Grid Electricity'!W55</f>
        <v/>
      </c>
      <c r="AG550" s="193" t="str">
        <f>'Buildings - Grid Electricity'!X55</f>
        <v/>
      </c>
      <c r="AI550" s="193">
        <f t="shared" si="6"/>
        <v>0</v>
      </c>
      <c r="AJ550" s="193">
        <f t="shared" si="7"/>
        <v>0</v>
      </c>
    </row>
    <row r="551" spans="2:36" x14ac:dyDescent="0.35">
      <c r="B551" s="193" t="e">
        <f>"2024"&amp;MATCH(Totals!D551,OrgType,0)&amp;"_"&amp;MATCH(Totals!E551,Organisations,0)&amp;"_"&amp;LEFT(Totals!F551,1)&amp;"_"&amp;LEFT(G551,1)&amp;"_"&amp;COUNTIF($G$3:G551,G551)</f>
        <v>#N/A</v>
      </c>
      <c r="C551" s="193">
        <v>2025</v>
      </c>
      <c r="D551" s="193">
        <f>Introduction!$D$7</f>
        <v>0</v>
      </c>
      <c r="E551" s="193">
        <f>Introduction!$D$8</f>
        <v>0</v>
      </c>
      <c r="F551" s="193" t="s">
        <v>488</v>
      </c>
      <c r="G551" s="193" t="s">
        <v>171</v>
      </c>
      <c r="H551" s="193">
        <f>'Buildings - Grid Electricity'!B56</f>
        <v>0</v>
      </c>
      <c r="I551" s="193">
        <f>'Buildings - Grid Electricity'!C56</f>
        <v>0</v>
      </c>
      <c r="J551" s="193" t="str">
        <f>'Buildings - Grid Electricity'!D56</f>
        <v/>
      </c>
      <c r="K551" s="237"/>
      <c r="L551" s="237"/>
      <c r="M551" s="193" t="str">
        <f>'Buildings - Grid Electricity'!E56</f>
        <v/>
      </c>
      <c r="N551" s="193" t="str">
        <f>'Buildings - Grid Electricity'!F56</f>
        <v/>
      </c>
      <c r="O551" s="237"/>
      <c r="P551" s="193">
        <f>'Buildings - Grid Electricity'!G56</f>
        <v>0</v>
      </c>
      <c r="Q551" s="193" t="str">
        <f>'Buildings - Grid Electricity'!H56</f>
        <v/>
      </c>
      <c r="R551" s="193">
        <f>'Buildings - Grid Electricity'!I56</f>
        <v>0</v>
      </c>
      <c r="S551" s="193" t="str">
        <f>'Buildings - Grid Electricity'!J56</f>
        <v/>
      </c>
      <c r="T551" s="193" t="str">
        <f>'Buildings - Grid Electricity'!K56</f>
        <v/>
      </c>
      <c r="U551" s="193" t="str">
        <f>'Buildings - Grid Electricity'!L56</f>
        <v/>
      </c>
      <c r="V551" s="193" t="str">
        <f>'Buildings - Grid Electricity'!M56</f>
        <v/>
      </c>
      <c r="W551" s="193" t="str">
        <f>'Buildings - Grid Electricity'!N56</f>
        <v/>
      </c>
      <c r="X551" s="193">
        <f>'Buildings - Grid Electricity'!O56</f>
        <v>0</v>
      </c>
      <c r="Y551" s="193">
        <f>'Buildings - Grid Electricity'!P56</f>
        <v>0</v>
      </c>
      <c r="Z551" s="193" t="str">
        <f>'Buildings - Grid Electricity'!Q56</f>
        <v/>
      </c>
      <c r="AA551" s="193" t="str">
        <f>'Buildings - Grid Electricity'!R56</f>
        <v/>
      </c>
      <c r="AB551" s="193" t="str">
        <f>'Buildings - Grid Electricity'!S56</f>
        <v/>
      </c>
      <c r="AC551" s="193" t="str">
        <f>'Buildings - Grid Electricity'!T56</f>
        <v/>
      </c>
      <c r="AD551" s="193" t="str">
        <f>'Buildings - Grid Electricity'!U56</f>
        <v/>
      </c>
      <c r="AE551" s="193" t="str">
        <f>'Buildings - Grid Electricity'!V56</f>
        <v/>
      </c>
      <c r="AF551" s="193" t="str">
        <f>'Buildings - Grid Electricity'!W56</f>
        <v/>
      </c>
      <c r="AG551" s="193" t="str">
        <f>'Buildings - Grid Electricity'!X56</f>
        <v/>
      </c>
      <c r="AI551" s="193">
        <f t="shared" si="6"/>
        <v>0</v>
      </c>
      <c r="AJ551" s="193">
        <f t="shared" si="7"/>
        <v>0</v>
      </c>
    </row>
    <row r="552" spans="2:36" x14ac:dyDescent="0.35">
      <c r="B552" s="193" t="e">
        <f>"2024"&amp;MATCH(Totals!D552,OrgType,0)&amp;"_"&amp;MATCH(Totals!E552,Organisations,0)&amp;"_"&amp;LEFT(Totals!F552,1)&amp;"_"&amp;LEFT(G552,1)&amp;"_"&amp;COUNTIF($G$3:G552,G552)</f>
        <v>#N/A</v>
      </c>
      <c r="C552" s="193">
        <v>2025</v>
      </c>
      <c r="D552" s="193">
        <f>Introduction!$D$7</f>
        <v>0</v>
      </c>
      <c r="E552" s="193">
        <f>Introduction!$D$8</f>
        <v>0</v>
      </c>
      <c r="F552" s="193" t="s">
        <v>488</v>
      </c>
      <c r="G552" s="193" t="s">
        <v>171</v>
      </c>
      <c r="H552" s="193">
        <f>'Buildings - Grid Electricity'!B57</f>
        <v>0</v>
      </c>
      <c r="I552" s="193">
        <f>'Buildings - Grid Electricity'!C57</f>
        <v>0</v>
      </c>
      <c r="J552" s="193" t="str">
        <f>'Buildings - Grid Electricity'!D57</f>
        <v/>
      </c>
      <c r="K552" s="237"/>
      <c r="L552" s="237"/>
      <c r="M552" s="193" t="str">
        <f>'Buildings - Grid Electricity'!E57</f>
        <v/>
      </c>
      <c r="N552" s="193" t="str">
        <f>'Buildings - Grid Electricity'!F57</f>
        <v/>
      </c>
      <c r="O552" s="237"/>
      <c r="P552" s="193">
        <f>'Buildings - Grid Electricity'!G57</f>
        <v>0</v>
      </c>
      <c r="Q552" s="193" t="str">
        <f>'Buildings - Grid Electricity'!H57</f>
        <v/>
      </c>
      <c r="R552" s="193">
        <f>'Buildings - Grid Electricity'!I57</f>
        <v>0</v>
      </c>
      <c r="S552" s="193" t="str">
        <f>'Buildings - Grid Electricity'!J57</f>
        <v/>
      </c>
      <c r="T552" s="193" t="str">
        <f>'Buildings - Grid Electricity'!K57</f>
        <v/>
      </c>
      <c r="U552" s="193" t="str">
        <f>'Buildings - Grid Electricity'!L57</f>
        <v/>
      </c>
      <c r="V552" s="193" t="str">
        <f>'Buildings - Grid Electricity'!M57</f>
        <v/>
      </c>
      <c r="W552" s="193" t="str">
        <f>'Buildings - Grid Electricity'!N57</f>
        <v/>
      </c>
      <c r="X552" s="193">
        <f>'Buildings - Grid Electricity'!O57</f>
        <v>0</v>
      </c>
      <c r="Y552" s="193">
        <f>'Buildings - Grid Electricity'!P57</f>
        <v>0</v>
      </c>
      <c r="Z552" s="193" t="str">
        <f>'Buildings - Grid Electricity'!Q57</f>
        <v/>
      </c>
      <c r="AA552" s="193" t="str">
        <f>'Buildings - Grid Electricity'!R57</f>
        <v/>
      </c>
      <c r="AB552" s="193" t="str">
        <f>'Buildings - Grid Electricity'!S57</f>
        <v/>
      </c>
      <c r="AC552" s="193" t="str">
        <f>'Buildings - Grid Electricity'!T57</f>
        <v/>
      </c>
      <c r="AD552" s="193" t="str">
        <f>'Buildings - Grid Electricity'!U57</f>
        <v/>
      </c>
      <c r="AE552" s="193" t="str">
        <f>'Buildings - Grid Electricity'!V57</f>
        <v/>
      </c>
      <c r="AF552" s="193" t="str">
        <f>'Buildings - Grid Electricity'!W57</f>
        <v/>
      </c>
      <c r="AG552" s="193" t="str">
        <f>'Buildings - Grid Electricity'!X57</f>
        <v/>
      </c>
      <c r="AI552" s="193">
        <f t="shared" si="6"/>
        <v>0</v>
      </c>
      <c r="AJ552" s="193">
        <f t="shared" si="7"/>
        <v>0</v>
      </c>
    </row>
    <row r="553" spans="2:36" x14ac:dyDescent="0.35">
      <c r="B553" s="193" t="e">
        <f>"2024"&amp;MATCH(Totals!D553,OrgType,0)&amp;"_"&amp;MATCH(Totals!E553,Organisations,0)&amp;"_"&amp;LEFT(Totals!F553,1)&amp;"_"&amp;LEFT(G553,1)&amp;"_"&amp;COUNTIF($G$3:G553,G553)</f>
        <v>#N/A</v>
      </c>
      <c r="C553" s="193">
        <v>2025</v>
      </c>
      <c r="D553" s="193">
        <f>Introduction!$D$7</f>
        <v>0</v>
      </c>
      <c r="E553" s="193">
        <f>Introduction!$D$8</f>
        <v>0</v>
      </c>
      <c r="F553" s="193" t="s">
        <v>488</v>
      </c>
      <c r="G553" s="193" t="s">
        <v>171</v>
      </c>
      <c r="H553" s="193">
        <f>'Buildings - Grid Electricity'!B58</f>
        <v>0</v>
      </c>
      <c r="I553" s="193">
        <f>'Buildings - Grid Electricity'!C58</f>
        <v>0</v>
      </c>
      <c r="J553" s="193" t="str">
        <f>'Buildings - Grid Electricity'!D58</f>
        <v/>
      </c>
      <c r="K553" s="237"/>
      <c r="L553" s="237"/>
      <c r="M553" s="193" t="str">
        <f>'Buildings - Grid Electricity'!E58</f>
        <v/>
      </c>
      <c r="N553" s="193" t="str">
        <f>'Buildings - Grid Electricity'!F58</f>
        <v/>
      </c>
      <c r="O553" s="237"/>
      <c r="P553" s="193">
        <f>'Buildings - Grid Electricity'!G58</f>
        <v>0</v>
      </c>
      <c r="Q553" s="193" t="str">
        <f>'Buildings - Grid Electricity'!H58</f>
        <v/>
      </c>
      <c r="R553" s="193">
        <f>'Buildings - Grid Electricity'!I58</f>
        <v>0</v>
      </c>
      <c r="S553" s="193" t="str">
        <f>'Buildings - Grid Electricity'!J58</f>
        <v/>
      </c>
      <c r="T553" s="193" t="str">
        <f>'Buildings - Grid Electricity'!K58</f>
        <v/>
      </c>
      <c r="U553" s="193" t="str">
        <f>'Buildings - Grid Electricity'!L58</f>
        <v/>
      </c>
      <c r="V553" s="193" t="str">
        <f>'Buildings - Grid Electricity'!M58</f>
        <v/>
      </c>
      <c r="W553" s="193" t="str">
        <f>'Buildings - Grid Electricity'!N58</f>
        <v/>
      </c>
      <c r="X553" s="193">
        <f>'Buildings - Grid Electricity'!O58</f>
        <v>0</v>
      </c>
      <c r="Y553" s="193">
        <f>'Buildings - Grid Electricity'!P58</f>
        <v>0</v>
      </c>
      <c r="Z553" s="193" t="str">
        <f>'Buildings - Grid Electricity'!Q58</f>
        <v/>
      </c>
      <c r="AA553" s="193" t="str">
        <f>'Buildings - Grid Electricity'!R58</f>
        <v/>
      </c>
      <c r="AB553" s="193" t="str">
        <f>'Buildings - Grid Electricity'!S58</f>
        <v/>
      </c>
      <c r="AC553" s="193" t="str">
        <f>'Buildings - Grid Electricity'!T58</f>
        <v/>
      </c>
      <c r="AD553" s="193" t="str">
        <f>'Buildings - Grid Electricity'!U58</f>
        <v/>
      </c>
      <c r="AE553" s="193" t="str">
        <f>'Buildings - Grid Electricity'!V58</f>
        <v/>
      </c>
      <c r="AF553" s="193" t="str">
        <f>'Buildings - Grid Electricity'!W58</f>
        <v/>
      </c>
      <c r="AG553" s="193" t="str">
        <f>'Buildings - Grid Electricity'!X58</f>
        <v/>
      </c>
      <c r="AI553" s="193">
        <f t="shared" si="6"/>
        <v>0</v>
      </c>
      <c r="AJ553" s="193">
        <f t="shared" si="7"/>
        <v>0</v>
      </c>
    </row>
    <row r="554" spans="2:36" x14ac:dyDescent="0.35">
      <c r="B554" s="193" t="e">
        <f>"2024"&amp;MATCH(Totals!D554,OrgType,0)&amp;"_"&amp;MATCH(Totals!E554,Organisations,0)&amp;"_"&amp;LEFT(Totals!F554,1)&amp;"_"&amp;LEFT(G554,1)&amp;"_"&amp;COUNTIF($G$3:G554,G554)</f>
        <v>#N/A</v>
      </c>
      <c r="C554" s="193">
        <v>2025</v>
      </c>
      <c r="D554" s="193">
        <f>Introduction!$D$7</f>
        <v>0</v>
      </c>
      <c r="E554" s="193">
        <f>Introduction!$D$8</f>
        <v>0</v>
      </c>
      <c r="F554" s="193" t="s">
        <v>488</v>
      </c>
      <c r="G554" s="193" t="s">
        <v>171</v>
      </c>
      <c r="H554" s="193">
        <f>'Buildings - Grid Electricity'!B59</f>
        <v>0</v>
      </c>
      <c r="I554" s="193">
        <f>'Buildings - Grid Electricity'!C59</f>
        <v>0</v>
      </c>
      <c r="J554" s="193" t="str">
        <f>'Buildings - Grid Electricity'!D59</f>
        <v/>
      </c>
      <c r="K554" s="237"/>
      <c r="L554" s="237"/>
      <c r="M554" s="193" t="str">
        <f>'Buildings - Grid Electricity'!E59</f>
        <v/>
      </c>
      <c r="N554" s="193" t="str">
        <f>'Buildings - Grid Electricity'!F59</f>
        <v/>
      </c>
      <c r="O554" s="237"/>
      <c r="P554" s="193">
        <f>'Buildings - Grid Electricity'!G59</f>
        <v>0</v>
      </c>
      <c r="Q554" s="193" t="str">
        <f>'Buildings - Grid Electricity'!H59</f>
        <v/>
      </c>
      <c r="R554" s="193">
        <f>'Buildings - Grid Electricity'!I59</f>
        <v>0</v>
      </c>
      <c r="S554" s="193" t="str">
        <f>'Buildings - Grid Electricity'!J59</f>
        <v/>
      </c>
      <c r="T554" s="193" t="str">
        <f>'Buildings - Grid Electricity'!K59</f>
        <v/>
      </c>
      <c r="U554" s="193" t="str">
        <f>'Buildings - Grid Electricity'!L59</f>
        <v/>
      </c>
      <c r="V554" s="193" t="str">
        <f>'Buildings - Grid Electricity'!M59</f>
        <v/>
      </c>
      <c r="W554" s="193" t="str">
        <f>'Buildings - Grid Electricity'!N59</f>
        <v/>
      </c>
      <c r="X554" s="193">
        <f>'Buildings - Grid Electricity'!O59</f>
        <v>0</v>
      </c>
      <c r="Y554" s="193">
        <f>'Buildings - Grid Electricity'!P59</f>
        <v>0</v>
      </c>
      <c r="Z554" s="193" t="str">
        <f>'Buildings - Grid Electricity'!Q59</f>
        <v/>
      </c>
      <c r="AA554" s="193" t="str">
        <f>'Buildings - Grid Electricity'!R59</f>
        <v/>
      </c>
      <c r="AB554" s="193" t="str">
        <f>'Buildings - Grid Electricity'!S59</f>
        <v/>
      </c>
      <c r="AC554" s="193" t="str">
        <f>'Buildings - Grid Electricity'!T59</f>
        <v/>
      </c>
      <c r="AD554" s="193" t="str">
        <f>'Buildings - Grid Electricity'!U59</f>
        <v/>
      </c>
      <c r="AE554" s="193" t="str">
        <f>'Buildings - Grid Electricity'!V59</f>
        <v/>
      </c>
      <c r="AF554" s="193" t="str">
        <f>'Buildings - Grid Electricity'!W59</f>
        <v/>
      </c>
      <c r="AG554" s="193" t="str">
        <f>'Buildings - Grid Electricity'!X59</f>
        <v/>
      </c>
      <c r="AI554" s="193">
        <f t="shared" si="6"/>
        <v>0</v>
      </c>
      <c r="AJ554" s="193">
        <f t="shared" si="7"/>
        <v>0</v>
      </c>
    </row>
    <row r="555" spans="2:36" x14ac:dyDescent="0.35">
      <c r="B555" s="193" t="e">
        <f>"2024"&amp;MATCH(Totals!D555,OrgType,0)&amp;"_"&amp;MATCH(Totals!E555,Organisations,0)&amp;"_"&amp;LEFT(Totals!F555,1)&amp;"_"&amp;LEFT(G555,1)&amp;"_"&amp;COUNTIF($G$3:G555,G555)</f>
        <v>#N/A</v>
      </c>
      <c r="C555" s="193">
        <v>2025</v>
      </c>
      <c r="D555" s="193">
        <f>Introduction!$D$7</f>
        <v>0</v>
      </c>
      <c r="E555" s="193">
        <f>Introduction!$D$8</f>
        <v>0</v>
      </c>
      <c r="F555" s="193" t="s">
        <v>488</v>
      </c>
      <c r="G555" s="193" t="s">
        <v>171</v>
      </c>
      <c r="H555" s="193">
        <f>'Buildings - Grid Electricity'!B60</f>
        <v>0</v>
      </c>
      <c r="I555" s="193">
        <f>'Buildings - Grid Electricity'!C60</f>
        <v>0</v>
      </c>
      <c r="J555" s="193" t="str">
        <f>'Buildings - Grid Electricity'!D60</f>
        <v/>
      </c>
      <c r="K555" s="237"/>
      <c r="L555" s="237"/>
      <c r="M555" s="193" t="str">
        <f>'Buildings - Grid Electricity'!E60</f>
        <v/>
      </c>
      <c r="N555" s="193" t="str">
        <f>'Buildings - Grid Electricity'!F60</f>
        <v/>
      </c>
      <c r="O555" s="237"/>
      <c r="P555" s="193">
        <f>'Buildings - Grid Electricity'!G60</f>
        <v>0</v>
      </c>
      <c r="Q555" s="193" t="str">
        <f>'Buildings - Grid Electricity'!H60</f>
        <v/>
      </c>
      <c r="R555" s="193">
        <f>'Buildings - Grid Electricity'!I60</f>
        <v>0</v>
      </c>
      <c r="S555" s="193" t="str">
        <f>'Buildings - Grid Electricity'!J60</f>
        <v/>
      </c>
      <c r="T555" s="193" t="str">
        <f>'Buildings - Grid Electricity'!K60</f>
        <v/>
      </c>
      <c r="U555" s="193" t="str">
        <f>'Buildings - Grid Electricity'!L60</f>
        <v/>
      </c>
      <c r="V555" s="193" t="str">
        <f>'Buildings - Grid Electricity'!M60</f>
        <v/>
      </c>
      <c r="W555" s="193" t="str">
        <f>'Buildings - Grid Electricity'!N60</f>
        <v/>
      </c>
      <c r="X555" s="193">
        <f>'Buildings - Grid Electricity'!O60</f>
        <v>0</v>
      </c>
      <c r="Y555" s="193">
        <f>'Buildings - Grid Electricity'!P60</f>
        <v>0</v>
      </c>
      <c r="Z555" s="193" t="str">
        <f>'Buildings - Grid Electricity'!Q60</f>
        <v/>
      </c>
      <c r="AA555" s="193" t="str">
        <f>'Buildings - Grid Electricity'!R60</f>
        <v/>
      </c>
      <c r="AB555" s="193" t="str">
        <f>'Buildings - Grid Electricity'!S60</f>
        <v/>
      </c>
      <c r="AC555" s="193" t="str">
        <f>'Buildings - Grid Electricity'!T60</f>
        <v/>
      </c>
      <c r="AD555" s="193" t="str">
        <f>'Buildings - Grid Electricity'!U60</f>
        <v/>
      </c>
      <c r="AE555" s="193" t="str">
        <f>'Buildings - Grid Electricity'!V60</f>
        <v/>
      </c>
      <c r="AF555" s="193" t="str">
        <f>'Buildings - Grid Electricity'!W60</f>
        <v/>
      </c>
      <c r="AG555" s="193" t="str">
        <f>'Buildings - Grid Electricity'!X60</f>
        <v/>
      </c>
      <c r="AI555" s="193">
        <f t="shared" si="6"/>
        <v>0</v>
      </c>
      <c r="AJ555" s="193">
        <f t="shared" si="7"/>
        <v>0</v>
      </c>
    </row>
    <row r="556" spans="2:36" x14ac:dyDescent="0.35">
      <c r="B556" s="193" t="e">
        <f>"2024"&amp;MATCH(Totals!D556,OrgType,0)&amp;"_"&amp;MATCH(Totals!E556,Organisations,0)&amp;"_"&amp;LEFT(Totals!F556,1)&amp;"_"&amp;LEFT(G556,1)&amp;"_"&amp;COUNTIF($G$3:G556,G556)</f>
        <v>#N/A</v>
      </c>
      <c r="C556" s="193">
        <v>2025</v>
      </c>
      <c r="D556" s="193">
        <f>Introduction!$D$7</f>
        <v>0</v>
      </c>
      <c r="E556" s="193">
        <f>Introduction!$D$8</f>
        <v>0</v>
      </c>
      <c r="F556" s="193" t="s">
        <v>488</v>
      </c>
      <c r="G556" s="193" t="s">
        <v>171</v>
      </c>
      <c r="H556" s="193">
        <f>'Buildings - Grid Electricity'!B61</f>
        <v>0</v>
      </c>
      <c r="I556" s="193">
        <f>'Buildings - Grid Electricity'!C61</f>
        <v>0</v>
      </c>
      <c r="J556" s="193" t="str">
        <f>'Buildings - Grid Electricity'!D61</f>
        <v/>
      </c>
      <c r="K556" s="237"/>
      <c r="L556" s="237"/>
      <c r="M556" s="193" t="str">
        <f>'Buildings - Grid Electricity'!E61</f>
        <v/>
      </c>
      <c r="N556" s="193" t="str">
        <f>'Buildings - Grid Electricity'!F61</f>
        <v/>
      </c>
      <c r="O556" s="237"/>
      <c r="P556" s="193">
        <f>'Buildings - Grid Electricity'!G61</f>
        <v>0</v>
      </c>
      <c r="Q556" s="193" t="str">
        <f>'Buildings - Grid Electricity'!H61</f>
        <v/>
      </c>
      <c r="R556" s="193">
        <f>'Buildings - Grid Electricity'!I61</f>
        <v>0</v>
      </c>
      <c r="S556" s="193" t="str">
        <f>'Buildings - Grid Electricity'!J61</f>
        <v/>
      </c>
      <c r="T556" s="193" t="str">
        <f>'Buildings - Grid Electricity'!K61</f>
        <v/>
      </c>
      <c r="U556" s="193" t="str">
        <f>'Buildings - Grid Electricity'!L61</f>
        <v/>
      </c>
      <c r="V556" s="193" t="str">
        <f>'Buildings - Grid Electricity'!M61</f>
        <v/>
      </c>
      <c r="W556" s="193" t="str">
        <f>'Buildings - Grid Electricity'!N61</f>
        <v/>
      </c>
      <c r="X556" s="193">
        <f>'Buildings - Grid Electricity'!O61</f>
        <v>0</v>
      </c>
      <c r="Y556" s="193">
        <f>'Buildings - Grid Electricity'!P61</f>
        <v>0</v>
      </c>
      <c r="Z556" s="193" t="str">
        <f>'Buildings - Grid Electricity'!Q61</f>
        <v/>
      </c>
      <c r="AA556" s="193" t="str">
        <f>'Buildings - Grid Electricity'!R61</f>
        <v/>
      </c>
      <c r="AB556" s="193" t="str">
        <f>'Buildings - Grid Electricity'!S61</f>
        <v/>
      </c>
      <c r="AC556" s="193" t="str">
        <f>'Buildings - Grid Electricity'!T61</f>
        <v/>
      </c>
      <c r="AD556" s="193" t="str">
        <f>'Buildings - Grid Electricity'!U61</f>
        <v/>
      </c>
      <c r="AE556" s="193" t="str">
        <f>'Buildings - Grid Electricity'!V61</f>
        <v/>
      </c>
      <c r="AF556" s="193" t="str">
        <f>'Buildings - Grid Electricity'!W61</f>
        <v/>
      </c>
      <c r="AG556" s="193" t="str">
        <f>'Buildings - Grid Electricity'!X61</f>
        <v/>
      </c>
      <c r="AI556" s="193">
        <f t="shared" si="6"/>
        <v>0</v>
      </c>
      <c r="AJ556" s="193">
        <f t="shared" si="7"/>
        <v>0</v>
      </c>
    </row>
    <row r="557" spans="2:36" x14ac:dyDescent="0.35">
      <c r="B557" s="193" t="e">
        <f>"2024"&amp;MATCH(Totals!D557,OrgType,0)&amp;"_"&amp;MATCH(Totals!E557,Organisations,0)&amp;"_"&amp;LEFT(Totals!F557,1)&amp;"_"&amp;LEFT(G557,1)&amp;"_"&amp;COUNTIF($G$3:G557,G557)</f>
        <v>#N/A</v>
      </c>
      <c r="C557" s="193">
        <v>2025</v>
      </c>
      <c r="D557" s="193">
        <f>Introduction!$D$7</f>
        <v>0</v>
      </c>
      <c r="E557" s="193">
        <f>Introduction!$D$8</f>
        <v>0</v>
      </c>
      <c r="F557" s="193" t="s">
        <v>488</v>
      </c>
      <c r="G557" s="193" t="s">
        <v>171</v>
      </c>
      <c r="H557" s="193">
        <f>'Buildings - Grid Electricity'!B62</f>
        <v>0</v>
      </c>
      <c r="I557" s="193">
        <f>'Buildings - Grid Electricity'!C62</f>
        <v>0</v>
      </c>
      <c r="J557" s="193" t="str">
        <f>'Buildings - Grid Electricity'!D62</f>
        <v/>
      </c>
      <c r="K557" s="237"/>
      <c r="L557" s="237"/>
      <c r="M557" s="193" t="str">
        <f>'Buildings - Grid Electricity'!E62</f>
        <v/>
      </c>
      <c r="N557" s="193" t="str">
        <f>'Buildings - Grid Electricity'!F62</f>
        <v/>
      </c>
      <c r="O557" s="237"/>
      <c r="P557" s="193">
        <f>'Buildings - Grid Electricity'!G62</f>
        <v>0</v>
      </c>
      <c r="Q557" s="193" t="str">
        <f>'Buildings - Grid Electricity'!H62</f>
        <v/>
      </c>
      <c r="R557" s="193">
        <f>'Buildings - Grid Electricity'!I62</f>
        <v>0</v>
      </c>
      <c r="S557" s="193" t="str">
        <f>'Buildings - Grid Electricity'!J62</f>
        <v/>
      </c>
      <c r="T557" s="193" t="str">
        <f>'Buildings - Grid Electricity'!K62</f>
        <v/>
      </c>
      <c r="U557" s="193" t="str">
        <f>'Buildings - Grid Electricity'!L62</f>
        <v/>
      </c>
      <c r="V557" s="193" t="str">
        <f>'Buildings - Grid Electricity'!M62</f>
        <v/>
      </c>
      <c r="W557" s="193" t="str">
        <f>'Buildings - Grid Electricity'!N62</f>
        <v/>
      </c>
      <c r="X557" s="193">
        <f>'Buildings - Grid Electricity'!O62</f>
        <v>0</v>
      </c>
      <c r="Y557" s="193">
        <f>'Buildings - Grid Electricity'!P62</f>
        <v>0</v>
      </c>
      <c r="Z557" s="193" t="str">
        <f>'Buildings - Grid Electricity'!Q62</f>
        <v/>
      </c>
      <c r="AA557" s="193" t="str">
        <f>'Buildings - Grid Electricity'!R62</f>
        <v/>
      </c>
      <c r="AB557" s="193" t="str">
        <f>'Buildings - Grid Electricity'!S62</f>
        <v/>
      </c>
      <c r="AC557" s="193" t="str">
        <f>'Buildings - Grid Electricity'!T62</f>
        <v/>
      </c>
      <c r="AD557" s="193" t="str">
        <f>'Buildings - Grid Electricity'!U62</f>
        <v/>
      </c>
      <c r="AE557" s="193" t="str">
        <f>'Buildings - Grid Electricity'!V62</f>
        <v/>
      </c>
      <c r="AF557" s="193" t="str">
        <f>'Buildings - Grid Electricity'!W62</f>
        <v/>
      </c>
      <c r="AG557" s="193" t="str">
        <f>'Buildings - Grid Electricity'!X62</f>
        <v/>
      </c>
      <c r="AI557" s="193">
        <f t="shared" si="6"/>
        <v>0</v>
      </c>
      <c r="AJ557" s="193">
        <f t="shared" si="7"/>
        <v>0</v>
      </c>
    </row>
    <row r="558" spans="2:36" x14ac:dyDescent="0.35">
      <c r="B558" s="193" t="e">
        <f>"2024"&amp;MATCH(Totals!D558,OrgType,0)&amp;"_"&amp;MATCH(Totals!E558,Organisations,0)&amp;"_"&amp;LEFT(Totals!F558,1)&amp;"_"&amp;LEFT(G558,1)&amp;"_"&amp;COUNTIF($G$3:G558,G558)</f>
        <v>#N/A</v>
      </c>
      <c r="C558" s="193">
        <v>2025</v>
      </c>
      <c r="D558" s="193">
        <f>Introduction!$D$7</f>
        <v>0</v>
      </c>
      <c r="E558" s="193">
        <f>Introduction!$D$8</f>
        <v>0</v>
      </c>
      <c r="F558" s="193" t="s">
        <v>488</v>
      </c>
      <c r="G558" s="193" t="s">
        <v>171</v>
      </c>
      <c r="H558" s="193">
        <f>'Buildings - Grid Electricity'!B63</f>
        <v>0</v>
      </c>
      <c r="I558" s="193">
        <f>'Buildings - Grid Electricity'!C63</f>
        <v>0</v>
      </c>
      <c r="J558" s="193" t="str">
        <f>'Buildings - Grid Electricity'!D63</f>
        <v/>
      </c>
      <c r="K558" s="237"/>
      <c r="L558" s="237"/>
      <c r="M558" s="193" t="str">
        <f>'Buildings - Grid Electricity'!E63</f>
        <v/>
      </c>
      <c r="N558" s="193" t="str">
        <f>'Buildings - Grid Electricity'!F63</f>
        <v/>
      </c>
      <c r="O558" s="237"/>
      <c r="P558" s="193">
        <f>'Buildings - Grid Electricity'!G63</f>
        <v>0</v>
      </c>
      <c r="Q558" s="193" t="str">
        <f>'Buildings - Grid Electricity'!H63</f>
        <v/>
      </c>
      <c r="R558" s="193">
        <f>'Buildings - Grid Electricity'!I63</f>
        <v>0</v>
      </c>
      <c r="S558" s="193" t="str">
        <f>'Buildings - Grid Electricity'!J63</f>
        <v/>
      </c>
      <c r="T558" s="193" t="str">
        <f>'Buildings - Grid Electricity'!K63</f>
        <v/>
      </c>
      <c r="U558" s="193" t="str">
        <f>'Buildings - Grid Electricity'!L63</f>
        <v/>
      </c>
      <c r="V558" s="193" t="str">
        <f>'Buildings - Grid Electricity'!M63</f>
        <v/>
      </c>
      <c r="W558" s="193" t="str">
        <f>'Buildings - Grid Electricity'!N63</f>
        <v/>
      </c>
      <c r="X558" s="193">
        <f>'Buildings - Grid Electricity'!O63</f>
        <v>0</v>
      </c>
      <c r="Y558" s="193">
        <f>'Buildings - Grid Electricity'!P63</f>
        <v>0</v>
      </c>
      <c r="Z558" s="193" t="str">
        <f>'Buildings - Grid Electricity'!Q63</f>
        <v/>
      </c>
      <c r="AA558" s="193" t="str">
        <f>'Buildings - Grid Electricity'!R63</f>
        <v/>
      </c>
      <c r="AB558" s="193" t="str">
        <f>'Buildings - Grid Electricity'!S63</f>
        <v/>
      </c>
      <c r="AC558" s="193" t="str">
        <f>'Buildings - Grid Electricity'!T63</f>
        <v/>
      </c>
      <c r="AD558" s="193" t="str">
        <f>'Buildings - Grid Electricity'!U63</f>
        <v/>
      </c>
      <c r="AE558" s="193" t="str">
        <f>'Buildings - Grid Electricity'!V63</f>
        <v/>
      </c>
      <c r="AF558" s="193" t="str">
        <f>'Buildings - Grid Electricity'!W63</f>
        <v/>
      </c>
      <c r="AG558" s="193" t="str">
        <f>'Buildings - Grid Electricity'!X63</f>
        <v/>
      </c>
      <c r="AI558" s="193">
        <f t="shared" si="6"/>
        <v>0</v>
      </c>
      <c r="AJ558" s="193">
        <f t="shared" si="7"/>
        <v>0</v>
      </c>
    </row>
    <row r="559" spans="2:36" x14ac:dyDescent="0.35">
      <c r="B559" s="193" t="e">
        <f>"2024"&amp;MATCH(Totals!D559,OrgType,0)&amp;"_"&amp;MATCH(Totals!E559,Organisations,0)&amp;"_"&amp;LEFT(Totals!F559,1)&amp;"_"&amp;LEFT(G559,1)&amp;"_"&amp;COUNTIF($G$3:G559,G559)</f>
        <v>#N/A</v>
      </c>
      <c r="C559" s="193">
        <v>2025</v>
      </c>
      <c r="D559" s="193">
        <f>Introduction!$D$7</f>
        <v>0</v>
      </c>
      <c r="E559" s="193">
        <f>Introduction!$D$8</f>
        <v>0</v>
      </c>
      <c r="F559" s="193" t="s">
        <v>488</v>
      </c>
      <c r="G559" s="193" t="s">
        <v>171</v>
      </c>
      <c r="H559" s="193">
        <f>'Buildings - Grid Electricity'!B64</f>
        <v>0</v>
      </c>
      <c r="I559" s="193">
        <f>'Buildings - Grid Electricity'!C64</f>
        <v>0</v>
      </c>
      <c r="J559" s="193" t="str">
        <f>'Buildings - Grid Electricity'!D64</f>
        <v/>
      </c>
      <c r="K559" s="237"/>
      <c r="L559" s="237"/>
      <c r="M559" s="193" t="str">
        <f>'Buildings - Grid Electricity'!E64</f>
        <v/>
      </c>
      <c r="N559" s="193" t="str">
        <f>'Buildings - Grid Electricity'!F64</f>
        <v/>
      </c>
      <c r="O559" s="237"/>
      <c r="P559" s="193">
        <f>'Buildings - Grid Electricity'!G64</f>
        <v>0</v>
      </c>
      <c r="Q559" s="193" t="str">
        <f>'Buildings - Grid Electricity'!H64</f>
        <v/>
      </c>
      <c r="R559" s="193">
        <f>'Buildings - Grid Electricity'!I64</f>
        <v>0</v>
      </c>
      <c r="S559" s="193" t="str">
        <f>'Buildings - Grid Electricity'!J64</f>
        <v/>
      </c>
      <c r="T559" s="193" t="str">
        <f>'Buildings - Grid Electricity'!K64</f>
        <v/>
      </c>
      <c r="U559" s="193" t="str">
        <f>'Buildings - Grid Electricity'!L64</f>
        <v/>
      </c>
      <c r="V559" s="193" t="str">
        <f>'Buildings - Grid Electricity'!M64</f>
        <v/>
      </c>
      <c r="W559" s="193" t="str">
        <f>'Buildings - Grid Electricity'!N64</f>
        <v/>
      </c>
      <c r="X559" s="193">
        <f>'Buildings - Grid Electricity'!O64</f>
        <v>0</v>
      </c>
      <c r="Y559" s="193">
        <f>'Buildings - Grid Electricity'!P64</f>
        <v>0</v>
      </c>
      <c r="Z559" s="193" t="str">
        <f>'Buildings - Grid Electricity'!Q64</f>
        <v/>
      </c>
      <c r="AA559" s="193" t="str">
        <f>'Buildings - Grid Electricity'!R64</f>
        <v/>
      </c>
      <c r="AB559" s="193" t="str">
        <f>'Buildings - Grid Electricity'!S64</f>
        <v/>
      </c>
      <c r="AC559" s="193" t="str">
        <f>'Buildings - Grid Electricity'!T64</f>
        <v/>
      </c>
      <c r="AD559" s="193" t="str">
        <f>'Buildings - Grid Electricity'!U64</f>
        <v/>
      </c>
      <c r="AE559" s="193" t="str">
        <f>'Buildings - Grid Electricity'!V64</f>
        <v/>
      </c>
      <c r="AF559" s="193" t="str">
        <f>'Buildings - Grid Electricity'!W64</f>
        <v/>
      </c>
      <c r="AG559" s="193" t="str">
        <f>'Buildings - Grid Electricity'!X64</f>
        <v/>
      </c>
      <c r="AI559" s="193">
        <f t="shared" si="6"/>
        <v>0</v>
      </c>
      <c r="AJ559" s="193">
        <f t="shared" si="7"/>
        <v>0</v>
      </c>
    </row>
    <row r="560" spans="2:36" x14ac:dyDescent="0.35">
      <c r="B560" s="193" t="e">
        <f>"2024"&amp;MATCH(Totals!D560,OrgType,0)&amp;"_"&amp;MATCH(Totals!E560,Organisations,0)&amp;"_"&amp;LEFT(Totals!F560,1)&amp;"_"&amp;LEFT(G560,1)&amp;"_"&amp;COUNTIF($G$3:G560,G560)</f>
        <v>#N/A</v>
      </c>
      <c r="C560" s="193">
        <v>2025</v>
      </c>
      <c r="D560" s="193">
        <f>Introduction!$D$7</f>
        <v>0</v>
      </c>
      <c r="E560" s="193">
        <f>Introduction!$D$8</f>
        <v>0</v>
      </c>
      <c r="F560" s="193" t="s">
        <v>488</v>
      </c>
      <c r="G560" s="193" t="s">
        <v>171</v>
      </c>
      <c r="H560" s="193">
        <f>'Buildings - Grid Electricity'!B65</f>
        <v>0</v>
      </c>
      <c r="I560" s="193">
        <f>'Buildings - Grid Electricity'!C65</f>
        <v>0</v>
      </c>
      <c r="J560" s="193" t="str">
        <f>'Buildings - Grid Electricity'!D65</f>
        <v/>
      </c>
      <c r="K560" s="237"/>
      <c r="L560" s="237"/>
      <c r="M560" s="193" t="str">
        <f>'Buildings - Grid Electricity'!E65</f>
        <v/>
      </c>
      <c r="N560" s="193" t="str">
        <f>'Buildings - Grid Electricity'!F65</f>
        <v/>
      </c>
      <c r="O560" s="237"/>
      <c r="P560" s="193">
        <f>'Buildings - Grid Electricity'!G65</f>
        <v>0</v>
      </c>
      <c r="Q560" s="193" t="str">
        <f>'Buildings - Grid Electricity'!H65</f>
        <v/>
      </c>
      <c r="R560" s="193">
        <f>'Buildings - Grid Electricity'!I65</f>
        <v>0</v>
      </c>
      <c r="S560" s="193" t="str">
        <f>'Buildings - Grid Electricity'!J65</f>
        <v/>
      </c>
      <c r="T560" s="193" t="str">
        <f>'Buildings - Grid Electricity'!K65</f>
        <v/>
      </c>
      <c r="U560" s="193" t="str">
        <f>'Buildings - Grid Electricity'!L65</f>
        <v/>
      </c>
      <c r="V560" s="193" t="str">
        <f>'Buildings - Grid Electricity'!M65</f>
        <v/>
      </c>
      <c r="W560" s="193" t="str">
        <f>'Buildings - Grid Electricity'!N65</f>
        <v/>
      </c>
      <c r="X560" s="193">
        <f>'Buildings - Grid Electricity'!O65</f>
        <v>0</v>
      </c>
      <c r="Y560" s="193">
        <f>'Buildings - Grid Electricity'!P65</f>
        <v>0</v>
      </c>
      <c r="Z560" s="193" t="str">
        <f>'Buildings - Grid Electricity'!Q65</f>
        <v/>
      </c>
      <c r="AA560" s="193" t="str">
        <f>'Buildings - Grid Electricity'!R65</f>
        <v/>
      </c>
      <c r="AB560" s="193" t="str">
        <f>'Buildings - Grid Electricity'!S65</f>
        <v/>
      </c>
      <c r="AC560" s="193" t="str">
        <f>'Buildings - Grid Electricity'!T65</f>
        <v/>
      </c>
      <c r="AD560" s="193" t="str">
        <f>'Buildings - Grid Electricity'!U65</f>
        <v/>
      </c>
      <c r="AE560" s="193" t="str">
        <f>'Buildings - Grid Electricity'!V65</f>
        <v/>
      </c>
      <c r="AF560" s="193" t="str">
        <f>'Buildings - Grid Electricity'!W65</f>
        <v/>
      </c>
      <c r="AG560" s="193" t="str">
        <f>'Buildings - Grid Electricity'!X65</f>
        <v/>
      </c>
      <c r="AI560" s="193">
        <f t="shared" si="6"/>
        <v>0</v>
      </c>
      <c r="AJ560" s="193">
        <f t="shared" si="7"/>
        <v>0</v>
      </c>
    </row>
    <row r="561" spans="2:36" x14ac:dyDescent="0.35">
      <c r="B561" s="193" t="e">
        <f>"2024"&amp;MATCH(Totals!D561,OrgType,0)&amp;"_"&amp;MATCH(Totals!E561,Organisations,0)&amp;"_"&amp;LEFT(Totals!F561,1)&amp;"_"&amp;LEFT(G561,1)&amp;"_"&amp;COUNTIF($G$3:G561,G561)</f>
        <v>#N/A</v>
      </c>
      <c r="C561" s="193">
        <v>2025</v>
      </c>
      <c r="D561" s="193">
        <f>Introduction!$D$7</f>
        <v>0</v>
      </c>
      <c r="E561" s="193">
        <f>Introduction!$D$8</f>
        <v>0</v>
      </c>
      <c r="F561" s="193" t="s">
        <v>488</v>
      </c>
      <c r="G561" s="193" t="s">
        <v>171</v>
      </c>
      <c r="H561" s="193">
        <f>'Buildings - Grid Electricity'!B66</f>
        <v>0</v>
      </c>
      <c r="I561" s="193">
        <f>'Buildings - Grid Electricity'!C66</f>
        <v>0</v>
      </c>
      <c r="J561" s="193" t="str">
        <f>'Buildings - Grid Electricity'!D66</f>
        <v/>
      </c>
      <c r="K561" s="237"/>
      <c r="L561" s="237"/>
      <c r="M561" s="193" t="str">
        <f>'Buildings - Grid Electricity'!E66</f>
        <v/>
      </c>
      <c r="N561" s="193" t="str">
        <f>'Buildings - Grid Electricity'!F66</f>
        <v/>
      </c>
      <c r="O561" s="237"/>
      <c r="P561" s="193">
        <f>'Buildings - Grid Electricity'!G66</f>
        <v>0</v>
      </c>
      <c r="Q561" s="193" t="str">
        <f>'Buildings - Grid Electricity'!H66</f>
        <v/>
      </c>
      <c r="R561" s="193">
        <f>'Buildings - Grid Electricity'!I66</f>
        <v>0</v>
      </c>
      <c r="S561" s="193" t="str">
        <f>'Buildings - Grid Electricity'!J66</f>
        <v/>
      </c>
      <c r="T561" s="193" t="str">
        <f>'Buildings - Grid Electricity'!K66</f>
        <v/>
      </c>
      <c r="U561" s="193" t="str">
        <f>'Buildings - Grid Electricity'!L66</f>
        <v/>
      </c>
      <c r="V561" s="193" t="str">
        <f>'Buildings - Grid Electricity'!M66</f>
        <v/>
      </c>
      <c r="W561" s="193" t="str">
        <f>'Buildings - Grid Electricity'!N66</f>
        <v/>
      </c>
      <c r="X561" s="193">
        <f>'Buildings - Grid Electricity'!O66</f>
        <v>0</v>
      </c>
      <c r="Y561" s="193">
        <f>'Buildings - Grid Electricity'!P66</f>
        <v>0</v>
      </c>
      <c r="Z561" s="193" t="str">
        <f>'Buildings - Grid Electricity'!Q66</f>
        <v/>
      </c>
      <c r="AA561" s="193" t="str">
        <f>'Buildings - Grid Electricity'!R66</f>
        <v/>
      </c>
      <c r="AB561" s="193" t="str">
        <f>'Buildings - Grid Electricity'!S66</f>
        <v/>
      </c>
      <c r="AC561" s="193" t="str">
        <f>'Buildings - Grid Electricity'!T66</f>
        <v/>
      </c>
      <c r="AD561" s="193" t="str">
        <f>'Buildings - Grid Electricity'!U66</f>
        <v/>
      </c>
      <c r="AE561" s="193" t="str">
        <f>'Buildings - Grid Electricity'!V66</f>
        <v/>
      </c>
      <c r="AF561" s="193" t="str">
        <f>'Buildings - Grid Electricity'!W66</f>
        <v/>
      </c>
      <c r="AG561" s="193" t="str">
        <f>'Buildings - Grid Electricity'!X66</f>
        <v/>
      </c>
      <c r="AI561" s="193">
        <f t="shared" si="6"/>
        <v>0</v>
      </c>
      <c r="AJ561" s="193">
        <f t="shared" si="7"/>
        <v>0</v>
      </c>
    </row>
    <row r="562" spans="2:36" x14ac:dyDescent="0.35">
      <c r="B562" s="193" t="e">
        <f>"2024"&amp;MATCH(Totals!D562,OrgType,0)&amp;"_"&amp;MATCH(Totals!E562,Organisations,0)&amp;"_"&amp;LEFT(Totals!F562,1)&amp;"_"&amp;LEFT(G562,1)&amp;"_"&amp;COUNTIF($G$3:G562,G562)</f>
        <v>#N/A</v>
      </c>
      <c r="C562" s="193">
        <v>2025</v>
      </c>
      <c r="D562" s="193">
        <f>Introduction!$D$7</f>
        <v>0</v>
      </c>
      <c r="E562" s="193">
        <f>Introduction!$D$8</f>
        <v>0</v>
      </c>
      <c r="F562" s="193" t="s">
        <v>488</v>
      </c>
      <c r="G562" s="193" t="s">
        <v>171</v>
      </c>
      <c r="H562" s="193">
        <f>'Buildings - Grid Electricity'!B67</f>
        <v>0</v>
      </c>
      <c r="I562" s="193">
        <f>'Buildings - Grid Electricity'!C67</f>
        <v>0</v>
      </c>
      <c r="J562" s="193" t="str">
        <f>'Buildings - Grid Electricity'!D67</f>
        <v/>
      </c>
      <c r="K562" s="237"/>
      <c r="L562" s="237"/>
      <c r="M562" s="193" t="str">
        <f>'Buildings - Grid Electricity'!E67</f>
        <v/>
      </c>
      <c r="N562" s="193" t="str">
        <f>'Buildings - Grid Electricity'!F67</f>
        <v/>
      </c>
      <c r="O562" s="237"/>
      <c r="P562" s="193">
        <f>'Buildings - Grid Electricity'!G67</f>
        <v>0</v>
      </c>
      <c r="Q562" s="193" t="str">
        <f>'Buildings - Grid Electricity'!H67</f>
        <v/>
      </c>
      <c r="R562" s="193">
        <f>'Buildings - Grid Electricity'!I67</f>
        <v>0</v>
      </c>
      <c r="S562" s="193" t="str">
        <f>'Buildings - Grid Electricity'!J67</f>
        <v/>
      </c>
      <c r="T562" s="193" t="str">
        <f>'Buildings - Grid Electricity'!K67</f>
        <v/>
      </c>
      <c r="U562" s="193" t="str">
        <f>'Buildings - Grid Electricity'!L67</f>
        <v/>
      </c>
      <c r="V562" s="193" t="str">
        <f>'Buildings - Grid Electricity'!M67</f>
        <v/>
      </c>
      <c r="W562" s="193" t="str">
        <f>'Buildings - Grid Electricity'!N67</f>
        <v/>
      </c>
      <c r="X562" s="193">
        <f>'Buildings - Grid Electricity'!O67</f>
        <v>0</v>
      </c>
      <c r="Y562" s="193">
        <f>'Buildings - Grid Electricity'!P67</f>
        <v>0</v>
      </c>
      <c r="Z562" s="193" t="str">
        <f>'Buildings - Grid Electricity'!Q67</f>
        <v/>
      </c>
      <c r="AA562" s="193" t="str">
        <f>'Buildings - Grid Electricity'!R67</f>
        <v/>
      </c>
      <c r="AB562" s="193" t="str">
        <f>'Buildings - Grid Electricity'!S67</f>
        <v/>
      </c>
      <c r="AC562" s="193" t="str">
        <f>'Buildings - Grid Electricity'!T67</f>
        <v/>
      </c>
      <c r="AD562" s="193" t="str">
        <f>'Buildings - Grid Electricity'!U67</f>
        <v/>
      </c>
      <c r="AE562" s="193" t="str">
        <f>'Buildings - Grid Electricity'!V67</f>
        <v/>
      </c>
      <c r="AF562" s="193" t="str">
        <f>'Buildings - Grid Electricity'!W67</f>
        <v/>
      </c>
      <c r="AG562" s="193" t="str">
        <f>'Buildings - Grid Electricity'!X67</f>
        <v/>
      </c>
      <c r="AI562" s="193">
        <f t="shared" si="6"/>
        <v>0</v>
      </c>
      <c r="AJ562" s="193">
        <f t="shared" si="7"/>
        <v>0</v>
      </c>
    </row>
    <row r="563" spans="2:36" x14ac:dyDescent="0.35">
      <c r="B563" s="193" t="e">
        <f>"2024"&amp;MATCH(Totals!D563,OrgType,0)&amp;"_"&amp;MATCH(Totals!E563,Organisations,0)&amp;"_"&amp;LEFT(Totals!F563,1)&amp;"_"&amp;LEFT(G563,1)&amp;"_"&amp;COUNTIF($G$3:G563,G563)</f>
        <v>#N/A</v>
      </c>
      <c r="C563" s="193">
        <v>2025</v>
      </c>
      <c r="D563" s="193">
        <f>Introduction!$D$7</f>
        <v>0</v>
      </c>
      <c r="E563" s="193">
        <f>Introduction!$D$8</f>
        <v>0</v>
      </c>
      <c r="F563" s="193" t="s">
        <v>488</v>
      </c>
      <c r="G563" s="193" t="s">
        <v>171</v>
      </c>
      <c r="H563" s="193">
        <f>'Buildings - Grid Electricity'!B68</f>
        <v>0</v>
      </c>
      <c r="I563" s="193">
        <f>'Buildings - Grid Electricity'!C68</f>
        <v>0</v>
      </c>
      <c r="J563" s="193" t="str">
        <f>'Buildings - Grid Electricity'!D68</f>
        <v/>
      </c>
      <c r="K563" s="237"/>
      <c r="L563" s="237"/>
      <c r="M563" s="193" t="str">
        <f>'Buildings - Grid Electricity'!E68</f>
        <v/>
      </c>
      <c r="N563" s="193" t="str">
        <f>'Buildings - Grid Electricity'!F68</f>
        <v/>
      </c>
      <c r="O563" s="237"/>
      <c r="P563" s="193">
        <f>'Buildings - Grid Electricity'!G68</f>
        <v>0</v>
      </c>
      <c r="Q563" s="193" t="str">
        <f>'Buildings - Grid Electricity'!H68</f>
        <v/>
      </c>
      <c r="R563" s="193">
        <f>'Buildings - Grid Electricity'!I68</f>
        <v>0</v>
      </c>
      <c r="S563" s="193" t="str">
        <f>'Buildings - Grid Electricity'!J68</f>
        <v/>
      </c>
      <c r="T563" s="193" t="str">
        <f>'Buildings - Grid Electricity'!K68</f>
        <v/>
      </c>
      <c r="U563" s="193" t="str">
        <f>'Buildings - Grid Electricity'!L68</f>
        <v/>
      </c>
      <c r="V563" s="193" t="str">
        <f>'Buildings - Grid Electricity'!M68</f>
        <v/>
      </c>
      <c r="W563" s="193" t="str">
        <f>'Buildings - Grid Electricity'!N68</f>
        <v/>
      </c>
      <c r="X563" s="193">
        <f>'Buildings - Grid Electricity'!O68</f>
        <v>0</v>
      </c>
      <c r="Y563" s="193">
        <f>'Buildings - Grid Electricity'!P68</f>
        <v>0</v>
      </c>
      <c r="Z563" s="193" t="str">
        <f>'Buildings - Grid Electricity'!Q68</f>
        <v/>
      </c>
      <c r="AA563" s="193" t="str">
        <f>'Buildings - Grid Electricity'!R68</f>
        <v/>
      </c>
      <c r="AB563" s="193" t="str">
        <f>'Buildings - Grid Electricity'!S68</f>
        <v/>
      </c>
      <c r="AC563" s="193" t="str">
        <f>'Buildings - Grid Electricity'!T68</f>
        <v/>
      </c>
      <c r="AD563" s="193" t="str">
        <f>'Buildings - Grid Electricity'!U68</f>
        <v/>
      </c>
      <c r="AE563" s="193" t="str">
        <f>'Buildings - Grid Electricity'!V68</f>
        <v/>
      </c>
      <c r="AF563" s="193" t="str">
        <f>'Buildings - Grid Electricity'!W68</f>
        <v/>
      </c>
      <c r="AG563" s="193" t="str">
        <f>'Buildings - Grid Electricity'!X68</f>
        <v/>
      </c>
      <c r="AI563" s="193">
        <f t="shared" si="6"/>
        <v>0</v>
      </c>
      <c r="AJ563" s="193">
        <f t="shared" si="7"/>
        <v>0</v>
      </c>
    </row>
    <row r="564" spans="2:36" x14ac:dyDescent="0.35">
      <c r="B564" s="193" t="e">
        <f>"2024"&amp;MATCH(Totals!D564,OrgType,0)&amp;"_"&amp;MATCH(Totals!E564,Organisations,0)&amp;"_"&amp;LEFT(Totals!F564,1)&amp;"_"&amp;LEFT(G564,1)&amp;"_"&amp;COUNTIF($G$3:G564,G564)</f>
        <v>#N/A</v>
      </c>
      <c r="C564" s="193">
        <v>2025</v>
      </c>
      <c r="D564" s="193">
        <f>Introduction!$D$7</f>
        <v>0</v>
      </c>
      <c r="E564" s="193">
        <f>Introduction!$D$8</f>
        <v>0</v>
      </c>
      <c r="F564" s="193" t="s">
        <v>488</v>
      </c>
      <c r="G564" s="193" t="s">
        <v>171</v>
      </c>
      <c r="H564" s="193">
        <f>'Buildings - Grid Electricity'!B69</f>
        <v>0</v>
      </c>
      <c r="I564" s="193">
        <f>'Buildings - Grid Electricity'!C69</f>
        <v>0</v>
      </c>
      <c r="J564" s="193" t="str">
        <f>'Buildings - Grid Electricity'!D69</f>
        <v/>
      </c>
      <c r="K564" s="237"/>
      <c r="L564" s="237"/>
      <c r="M564" s="193" t="str">
        <f>'Buildings - Grid Electricity'!E69</f>
        <v/>
      </c>
      <c r="N564" s="193" t="str">
        <f>'Buildings - Grid Electricity'!F69</f>
        <v/>
      </c>
      <c r="O564" s="237"/>
      <c r="P564" s="193">
        <f>'Buildings - Grid Electricity'!G69</f>
        <v>0</v>
      </c>
      <c r="Q564" s="193" t="str">
        <f>'Buildings - Grid Electricity'!H69</f>
        <v/>
      </c>
      <c r="R564" s="193">
        <f>'Buildings - Grid Electricity'!I69</f>
        <v>0</v>
      </c>
      <c r="S564" s="193" t="str">
        <f>'Buildings - Grid Electricity'!J69</f>
        <v/>
      </c>
      <c r="T564" s="193" t="str">
        <f>'Buildings - Grid Electricity'!K69</f>
        <v/>
      </c>
      <c r="U564" s="193" t="str">
        <f>'Buildings - Grid Electricity'!L69</f>
        <v/>
      </c>
      <c r="V564" s="193" t="str">
        <f>'Buildings - Grid Electricity'!M69</f>
        <v/>
      </c>
      <c r="W564" s="193" t="str">
        <f>'Buildings - Grid Electricity'!N69</f>
        <v/>
      </c>
      <c r="X564" s="193">
        <f>'Buildings - Grid Electricity'!O69</f>
        <v>0</v>
      </c>
      <c r="Y564" s="193">
        <f>'Buildings - Grid Electricity'!P69</f>
        <v>0</v>
      </c>
      <c r="Z564" s="193" t="str">
        <f>'Buildings - Grid Electricity'!Q69</f>
        <v/>
      </c>
      <c r="AA564" s="193" t="str">
        <f>'Buildings - Grid Electricity'!R69</f>
        <v/>
      </c>
      <c r="AB564" s="193" t="str">
        <f>'Buildings - Grid Electricity'!S69</f>
        <v/>
      </c>
      <c r="AC564" s="193" t="str">
        <f>'Buildings - Grid Electricity'!T69</f>
        <v/>
      </c>
      <c r="AD564" s="193" t="str">
        <f>'Buildings - Grid Electricity'!U69</f>
        <v/>
      </c>
      <c r="AE564" s="193" t="str">
        <f>'Buildings - Grid Electricity'!V69</f>
        <v/>
      </c>
      <c r="AF564" s="193" t="str">
        <f>'Buildings - Grid Electricity'!W69</f>
        <v/>
      </c>
      <c r="AG564" s="193" t="str">
        <f>'Buildings - Grid Electricity'!X69</f>
        <v/>
      </c>
      <c r="AI564" s="193">
        <f t="shared" si="6"/>
        <v>0</v>
      </c>
      <c r="AJ564" s="193">
        <f t="shared" si="7"/>
        <v>0</v>
      </c>
    </row>
    <row r="565" spans="2:36" x14ac:dyDescent="0.35">
      <c r="B565" s="193" t="e">
        <f>"2024"&amp;MATCH(Totals!D565,OrgType,0)&amp;"_"&amp;MATCH(Totals!E565,Organisations,0)&amp;"_"&amp;LEFT(Totals!F565,1)&amp;"_"&amp;LEFT(G565,1)&amp;"_"&amp;COUNTIF($G$3:G565,G565)</f>
        <v>#N/A</v>
      </c>
      <c r="C565" s="193">
        <v>2025</v>
      </c>
      <c r="D565" s="193">
        <f>Introduction!$D$7</f>
        <v>0</v>
      </c>
      <c r="E565" s="193">
        <f>Introduction!$D$8</f>
        <v>0</v>
      </c>
      <c r="F565" s="193" t="s">
        <v>488</v>
      </c>
      <c r="G565" s="193" t="s">
        <v>171</v>
      </c>
      <c r="H565" s="193">
        <f>'Buildings - Grid Electricity'!B70</f>
        <v>0</v>
      </c>
      <c r="I565" s="193">
        <f>'Buildings - Grid Electricity'!C70</f>
        <v>0</v>
      </c>
      <c r="J565" s="193" t="str">
        <f>'Buildings - Grid Electricity'!D70</f>
        <v/>
      </c>
      <c r="K565" s="237"/>
      <c r="L565" s="237"/>
      <c r="M565" s="193" t="str">
        <f>'Buildings - Grid Electricity'!E70</f>
        <v/>
      </c>
      <c r="N565" s="193" t="str">
        <f>'Buildings - Grid Electricity'!F70</f>
        <v/>
      </c>
      <c r="O565" s="237"/>
      <c r="P565" s="193">
        <f>'Buildings - Grid Electricity'!G70</f>
        <v>0</v>
      </c>
      <c r="Q565" s="193" t="str">
        <f>'Buildings - Grid Electricity'!H70</f>
        <v/>
      </c>
      <c r="R565" s="193">
        <f>'Buildings - Grid Electricity'!I70</f>
        <v>0</v>
      </c>
      <c r="S565" s="193" t="str">
        <f>'Buildings - Grid Electricity'!J70</f>
        <v/>
      </c>
      <c r="T565" s="193" t="str">
        <f>'Buildings - Grid Electricity'!K70</f>
        <v/>
      </c>
      <c r="U565" s="193" t="str">
        <f>'Buildings - Grid Electricity'!L70</f>
        <v/>
      </c>
      <c r="V565" s="193" t="str">
        <f>'Buildings - Grid Electricity'!M70</f>
        <v/>
      </c>
      <c r="W565" s="193" t="str">
        <f>'Buildings - Grid Electricity'!N70</f>
        <v/>
      </c>
      <c r="X565" s="193">
        <f>'Buildings - Grid Electricity'!O70</f>
        <v>0</v>
      </c>
      <c r="Y565" s="193">
        <f>'Buildings - Grid Electricity'!P70</f>
        <v>0</v>
      </c>
      <c r="Z565" s="193" t="str">
        <f>'Buildings - Grid Electricity'!Q70</f>
        <v/>
      </c>
      <c r="AA565" s="193" t="str">
        <f>'Buildings - Grid Electricity'!R70</f>
        <v/>
      </c>
      <c r="AB565" s="193" t="str">
        <f>'Buildings - Grid Electricity'!S70</f>
        <v/>
      </c>
      <c r="AC565" s="193" t="str">
        <f>'Buildings - Grid Electricity'!T70</f>
        <v/>
      </c>
      <c r="AD565" s="193" t="str">
        <f>'Buildings - Grid Electricity'!U70</f>
        <v/>
      </c>
      <c r="AE565" s="193" t="str">
        <f>'Buildings - Grid Electricity'!V70</f>
        <v/>
      </c>
      <c r="AF565" s="193" t="str">
        <f>'Buildings - Grid Electricity'!W70</f>
        <v/>
      </c>
      <c r="AG565" s="193" t="str">
        <f>'Buildings - Grid Electricity'!X70</f>
        <v/>
      </c>
      <c r="AI565" s="193">
        <f t="shared" si="6"/>
        <v>0</v>
      </c>
      <c r="AJ565" s="193">
        <f t="shared" si="7"/>
        <v>0</v>
      </c>
    </row>
    <row r="566" spans="2:36" x14ac:dyDescent="0.35">
      <c r="B566" s="193" t="e">
        <f>"2024"&amp;MATCH(Totals!D566,OrgType,0)&amp;"_"&amp;MATCH(Totals!E566,Organisations,0)&amp;"_"&amp;LEFT(Totals!F566,1)&amp;"_"&amp;LEFT(G566,1)&amp;"_"&amp;COUNTIF($G$3:G566,G566)</f>
        <v>#N/A</v>
      </c>
      <c r="C566" s="193">
        <v>2025</v>
      </c>
      <c r="D566" s="193">
        <f>Introduction!$D$7</f>
        <v>0</v>
      </c>
      <c r="E566" s="193">
        <f>Introduction!$D$8</f>
        <v>0</v>
      </c>
      <c r="F566" s="193" t="s">
        <v>488</v>
      </c>
      <c r="G566" s="193" t="s">
        <v>171</v>
      </c>
      <c r="H566" s="193">
        <f>'Buildings - Grid Electricity'!B71</f>
        <v>0</v>
      </c>
      <c r="I566" s="193">
        <f>'Buildings - Grid Electricity'!C71</f>
        <v>0</v>
      </c>
      <c r="J566" s="193" t="str">
        <f>'Buildings - Grid Electricity'!D71</f>
        <v/>
      </c>
      <c r="K566" s="237"/>
      <c r="L566" s="237"/>
      <c r="M566" s="193" t="str">
        <f>'Buildings - Grid Electricity'!E71</f>
        <v/>
      </c>
      <c r="N566" s="193" t="str">
        <f>'Buildings - Grid Electricity'!F71</f>
        <v/>
      </c>
      <c r="O566" s="237"/>
      <c r="P566" s="193">
        <f>'Buildings - Grid Electricity'!G71</f>
        <v>0</v>
      </c>
      <c r="Q566" s="193" t="str">
        <f>'Buildings - Grid Electricity'!H71</f>
        <v/>
      </c>
      <c r="R566" s="193">
        <f>'Buildings - Grid Electricity'!I71</f>
        <v>0</v>
      </c>
      <c r="S566" s="193" t="str">
        <f>'Buildings - Grid Electricity'!J71</f>
        <v/>
      </c>
      <c r="T566" s="193" t="str">
        <f>'Buildings - Grid Electricity'!K71</f>
        <v/>
      </c>
      <c r="U566" s="193" t="str">
        <f>'Buildings - Grid Electricity'!L71</f>
        <v/>
      </c>
      <c r="V566" s="193" t="str">
        <f>'Buildings - Grid Electricity'!M71</f>
        <v/>
      </c>
      <c r="W566" s="193" t="str">
        <f>'Buildings - Grid Electricity'!N71</f>
        <v/>
      </c>
      <c r="X566" s="193">
        <f>'Buildings - Grid Electricity'!O71</f>
        <v>0</v>
      </c>
      <c r="Y566" s="193">
        <f>'Buildings - Grid Electricity'!P71</f>
        <v>0</v>
      </c>
      <c r="Z566" s="193" t="str">
        <f>'Buildings - Grid Electricity'!Q71</f>
        <v/>
      </c>
      <c r="AA566" s="193" t="str">
        <f>'Buildings - Grid Electricity'!R71</f>
        <v/>
      </c>
      <c r="AB566" s="193" t="str">
        <f>'Buildings - Grid Electricity'!S71</f>
        <v/>
      </c>
      <c r="AC566" s="193" t="str">
        <f>'Buildings - Grid Electricity'!T71</f>
        <v/>
      </c>
      <c r="AD566" s="193" t="str">
        <f>'Buildings - Grid Electricity'!U71</f>
        <v/>
      </c>
      <c r="AE566" s="193" t="str">
        <f>'Buildings - Grid Electricity'!V71</f>
        <v/>
      </c>
      <c r="AF566" s="193" t="str">
        <f>'Buildings - Grid Electricity'!W71</f>
        <v/>
      </c>
      <c r="AG566" s="193" t="str">
        <f>'Buildings - Grid Electricity'!X71</f>
        <v/>
      </c>
      <c r="AI566" s="193">
        <f t="shared" si="6"/>
        <v>0</v>
      </c>
      <c r="AJ566" s="193">
        <f t="shared" si="7"/>
        <v>0</v>
      </c>
    </row>
    <row r="567" spans="2:36" x14ac:dyDescent="0.35">
      <c r="B567" s="193" t="e">
        <f>"2024"&amp;MATCH(Totals!D567,OrgType,0)&amp;"_"&amp;MATCH(Totals!E567,Organisations,0)&amp;"_"&amp;LEFT(Totals!F567,1)&amp;"_"&amp;LEFT(G567,1)&amp;"_"&amp;COUNTIF($G$3:G567,G567)</f>
        <v>#N/A</v>
      </c>
      <c r="C567" s="193">
        <v>2025</v>
      </c>
      <c r="D567" s="193">
        <f>Introduction!$D$7</f>
        <v>0</v>
      </c>
      <c r="E567" s="193">
        <f>Introduction!$D$8</f>
        <v>0</v>
      </c>
      <c r="F567" s="193" t="s">
        <v>488</v>
      </c>
      <c r="G567" s="193" t="s">
        <v>171</v>
      </c>
      <c r="H567" s="193">
        <f>'Buildings - Grid Electricity'!B72</f>
        <v>0</v>
      </c>
      <c r="I567" s="193">
        <f>'Buildings - Grid Electricity'!C72</f>
        <v>0</v>
      </c>
      <c r="J567" s="193" t="str">
        <f>'Buildings - Grid Electricity'!D72</f>
        <v/>
      </c>
      <c r="K567" s="237"/>
      <c r="L567" s="237"/>
      <c r="M567" s="193" t="str">
        <f>'Buildings - Grid Electricity'!E72</f>
        <v/>
      </c>
      <c r="N567" s="193" t="str">
        <f>'Buildings - Grid Electricity'!F72</f>
        <v/>
      </c>
      <c r="O567" s="237"/>
      <c r="P567" s="193">
        <f>'Buildings - Grid Electricity'!G72</f>
        <v>0</v>
      </c>
      <c r="Q567" s="193" t="str">
        <f>'Buildings - Grid Electricity'!H72</f>
        <v/>
      </c>
      <c r="R567" s="193">
        <f>'Buildings - Grid Electricity'!I72</f>
        <v>0</v>
      </c>
      <c r="S567" s="193" t="str">
        <f>'Buildings - Grid Electricity'!J72</f>
        <v/>
      </c>
      <c r="T567" s="193" t="str">
        <f>'Buildings - Grid Electricity'!K72</f>
        <v/>
      </c>
      <c r="U567" s="193" t="str">
        <f>'Buildings - Grid Electricity'!L72</f>
        <v/>
      </c>
      <c r="V567" s="193" t="str">
        <f>'Buildings - Grid Electricity'!M72</f>
        <v/>
      </c>
      <c r="W567" s="193" t="str">
        <f>'Buildings - Grid Electricity'!N72</f>
        <v/>
      </c>
      <c r="X567" s="193">
        <f>'Buildings - Grid Electricity'!O72</f>
        <v>0</v>
      </c>
      <c r="Y567" s="193">
        <f>'Buildings - Grid Electricity'!P72</f>
        <v>0</v>
      </c>
      <c r="Z567" s="193" t="str">
        <f>'Buildings - Grid Electricity'!Q72</f>
        <v/>
      </c>
      <c r="AA567" s="193" t="str">
        <f>'Buildings - Grid Electricity'!R72</f>
        <v/>
      </c>
      <c r="AB567" s="193" t="str">
        <f>'Buildings - Grid Electricity'!S72</f>
        <v/>
      </c>
      <c r="AC567" s="193" t="str">
        <f>'Buildings - Grid Electricity'!T72</f>
        <v/>
      </c>
      <c r="AD567" s="193" t="str">
        <f>'Buildings - Grid Electricity'!U72</f>
        <v/>
      </c>
      <c r="AE567" s="193" t="str">
        <f>'Buildings - Grid Electricity'!V72</f>
        <v/>
      </c>
      <c r="AF567" s="193" t="str">
        <f>'Buildings - Grid Electricity'!W72</f>
        <v/>
      </c>
      <c r="AG567" s="193" t="str">
        <f>'Buildings - Grid Electricity'!X72</f>
        <v/>
      </c>
      <c r="AI567" s="193">
        <f t="shared" si="6"/>
        <v>0</v>
      </c>
      <c r="AJ567" s="193">
        <f t="shared" si="7"/>
        <v>0</v>
      </c>
    </row>
    <row r="568" spans="2:36" x14ac:dyDescent="0.35">
      <c r="B568" s="193" t="e">
        <f>"2024"&amp;MATCH(Totals!D568,OrgType,0)&amp;"_"&amp;MATCH(Totals!E568,Organisations,0)&amp;"_"&amp;LEFT(Totals!F568,1)&amp;"_"&amp;LEFT(G568,1)&amp;"_"&amp;COUNTIF($G$3:G568,G568)</f>
        <v>#N/A</v>
      </c>
      <c r="C568" s="193">
        <v>2025</v>
      </c>
      <c r="D568" s="193">
        <f>Introduction!$D$7</f>
        <v>0</v>
      </c>
      <c r="E568" s="193">
        <f>Introduction!$D$8</f>
        <v>0</v>
      </c>
      <c r="F568" s="193" t="s">
        <v>488</v>
      </c>
      <c r="G568" s="193" t="s">
        <v>171</v>
      </c>
      <c r="H568" s="193">
        <f>'Buildings - Grid Electricity'!B73</f>
        <v>0</v>
      </c>
      <c r="I568" s="193">
        <f>'Buildings - Grid Electricity'!C73</f>
        <v>0</v>
      </c>
      <c r="J568" s="193" t="str">
        <f>'Buildings - Grid Electricity'!D73</f>
        <v/>
      </c>
      <c r="K568" s="237"/>
      <c r="L568" s="237"/>
      <c r="M568" s="193" t="str">
        <f>'Buildings - Grid Electricity'!E73</f>
        <v/>
      </c>
      <c r="N568" s="193" t="str">
        <f>'Buildings - Grid Electricity'!F73</f>
        <v/>
      </c>
      <c r="O568" s="237"/>
      <c r="P568" s="193">
        <f>'Buildings - Grid Electricity'!G73</f>
        <v>0</v>
      </c>
      <c r="Q568" s="193" t="str">
        <f>'Buildings - Grid Electricity'!H73</f>
        <v/>
      </c>
      <c r="R568" s="193">
        <f>'Buildings - Grid Electricity'!I73</f>
        <v>0</v>
      </c>
      <c r="S568" s="193" t="str">
        <f>'Buildings - Grid Electricity'!J73</f>
        <v/>
      </c>
      <c r="T568" s="193" t="str">
        <f>'Buildings - Grid Electricity'!K73</f>
        <v/>
      </c>
      <c r="U568" s="193" t="str">
        <f>'Buildings - Grid Electricity'!L73</f>
        <v/>
      </c>
      <c r="V568" s="193" t="str">
        <f>'Buildings - Grid Electricity'!M73</f>
        <v/>
      </c>
      <c r="W568" s="193" t="str">
        <f>'Buildings - Grid Electricity'!N73</f>
        <v/>
      </c>
      <c r="X568" s="193">
        <f>'Buildings - Grid Electricity'!O73</f>
        <v>0</v>
      </c>
      <c r="Y568" s="193">
        <f>'Buildings - Grid Electricity'!P73</f>
        <v>0</v>
      </c>
      <c r="Z568" s="193" t="str">
        <f>'Buildings - Grid Electricity'!Q73</f>
        <v/>
      </c>
      <c r="AA568" s="193" t="str">
        <f>'Buildings - Grid Electricity'!R73</f>
        <v/>
      </c>
      <c r="AB568" s="193" t="str">
        <f>'Buildings - Grid Electricity'!S73</f>
        <v/>
      </c>
      <c r="AC568" s="193" t="str">
        <f>'Buildings - Grid Electricity'!T73</f>
        <v/>
      </c>
      <c r="AD568" s="193" t="str">
        <f>'Buildings - Grid Electricity'!U73</f>
        <v/>
      </c>
      <c r="AE568" s="193" t="str">
        <f>'Buildings - Grid Electricity'!V73</f>
        <v/>
      </c>
      <c r="AF568" s="193" t="str">
        <f>'Buildings - Grid Electricity'!W73</f>
        <v/>
      </c>
      <c r="AG568" s="193" t="str">
        <f>'Buildings - Grid Electricity'!X73</f>
        <v/>
      </c>
      <c r="AI568" s="193">
        <f t="shared" si="6"/>
        <v>0</v>
      </c>
      <c r="AJ568" s="193">
        <f t="shared" si="7"/>
        <v>0</v>
      </c>
    </row>
    <row r="569" spans="2:36" x14ac:dyDescent="0.35">
      <c r="B569" s="193" t="e">
        <f>"2024"&amp;MATCH(Totals!D569,OrgType,0)&amp;"_"&amp;MATCH(Totals!E569,Organisations,0)&amp;"_"&amp;LEFT(Totals!F569,1)&amp;"_"&amp;LEFT(G569,1)&amp;"_"&amp;COUNTIF($G$3:G569,G569)</f>
        <v>#N/A</v>
      </c>
      <c r="C569" s="193">
        <v>2025</v>
      </c>
      <c r="D569" s="193">
        <f>Introduction!$D$7</f>
        <v>0</v>
      </c>
      <c r="E569" s="193">
        <f>Introduction!$D$8</f>
        <v>0</v>
      </c>
      <c r="F569" s="193" t="s">
        <v>488</v>
      </c>
      <c r="G569" s="193" t="s">
        <v>171</v>
      </c>
      <c r="H569" s="193">
        <f>'Buildings - Grid Electricity'!B74</f>
        <v>0</v>
      </c>
      <c r="I569" s="193">
        <f>'Buildings - Grid Electricity'!C74</f>
        <v>0</v>
      </c>
      <c r="J569" s="193" t="str">
        <f>'Buildings - Grid Electricity'!D74</f>
        <v/>
      </c>
      <c r="K569" s="237"/>
      <c r="L569" s="237"/>
      <c r="M569" s="193" t="str">
        <f>'Buildings - Grid Electricity'!E74</f>
        <v/>
      </c>
      <c r="N569" s="193" t="str">
        <f>'Buildings - Grid Electricity'!F74</f>
        <v/>
      </c>
      <c r="O569" s="237"/>
      <c r="P569" s="193">
        <f>'Buildings - Grid Electricity'!G74</f>
        <v>0</v>
      </c>
      <c r="Q569" s="193" t="str">
        <f>'Buildings - Grid Electricity'!H74</f>
        <v/>
      </c>
      <c r="R569" s="193">
        <f>'Buildings - Grid Electricity'!I74</f>
        <v>0</v>
      </c>
      <c r="S569" s="193" t="str">
        <f>'Buildings - Grid Electricity'!J74</f>
        <v/>
      </c>
      <c r="T569" s="193" t="str">
        <f>'Buildings - Grid Electricity'!K74</f>
        <v/>
      </c>
      <c r="U569" s="193" t="str">
        <f>'Buildings - Grid Electricity'!L74</f>
        <v/>
      </c>
      <c r="V569" s="193" t="str">
        <f>'Buildings - Grid Electricity'!M74</f>
        <v/>
      </c>
      <c r="W569" s="193" t="str">
        <f>'Buildings - Grid Electricity'!N74</f>
        <v/>
      </c>
      <c r="X569" s="193">
        <f>'Buildings - Grid Electricity'!O74</f>
        <v>0</v>
      </c>
      <c r="Y569" s="193">
        <f>'Buildings - Grid Electricity'!P74</f>
        <v>0</v>
      </c>
      <c r="Z569" s="193" t="str">
        <f>'Buildings - Grid Electricity'!Q74</f>
        <v/>
      </c>
      <c r="AA569" s="193" t="str">
        <f>'Buildings - Grid Electricity'!R74</f>
        <v/>
      </c>
      <c r="AB569" s="193" t="str">
        <f>'Buildings - Grid Electricity'!S74</f>
        <v/>
      </c>
      <c r="AC569" s="193" t="str">
        <f>'Buildings - Grid Electricity'!T74</f>
        <v/>
      </c>
      <c r="AD569" s="193" t="str">
        <f>'Buildings - Grid Electricity'!U74</f>
        <v/>
      </c>
      <c r="AE569" s="193" t="str">
        <f>'Buildings - Grid Electricity'!V74</f>
        <v/>
      </c>
      <c r="AF569" s="193" t="str">
        <f>'Buildings - Grid Electricity'!W74</f>
        <v/>
      </c>
      <c r="AG569" s="193" t="str">
        <f>'Buildings - Grid Electricity'!X74</f>
        <v/>
      </c>
      <c r="AI569" s="193">
        <f t="shared" si="6"/>
        <v>0</v>
      </c>
      <c r="AJ569" s="193">
        <f t="shared" si="7"/>
        <v>0</v>
      </c>
    </row>
    <row r="570" spans="2:36" x14ac:dyDescent="0.35">
      <c r="B570" s="193" t="e">
        <f>"2024"&amp;MATCH(Totals!D570,OrgType,0)&amp;"_"&amp;MATCH(Totals!E570,Organisations,0)&amp;"_"&amp;LEFT(Totals!F570,1)&amp;"_"&amp;LEFT(G570,1)&amp;"_"&amp;COUNTIF($G$3:G570,G570)</f>
        <v>#N/A</v>
      </c>
      <c r="C570" s="193">
        <v>2025</v>
      </c>
      <c r="D570" s="193">
        <f>Introduction!$D$7</f>
        <v>0</v>
      </c>
      <c r="E570" s="193">
        <f>Introduction!$D$8</f>
        <v>0</v>
      </c>
      <c r="F570" s="193" t="s">
        <v>488</v>
      </c>
      <c r="G570" s="193" t="s">
        <v>171</v>
      </c>
      <c r="H570" s="193">
        <f>'Buildings - Grid Electricity'!B75</f>
        <v>0</v>
      </c>
      <c r="I570" s="193">
        <f>'Buildings - Grid Electricity'!C75</f>
        <v>0</v>
      </c>
      <c r="J570" s="193" t="str">
        <f>'Buildings - Grid Electricity'!D75</f>
        <v/>
      </c>
      <c r="K570" s="237"/>
      <c r="L570" s="237"/>
      <c r="M570" s="193" t="str">
        <f>'Buildings - Grid Electricity'!E75</f>
        <v/>
      </c>
      <c r="N570" s="193" t="str">
        <f>'Buildings - Grid Electricity'!F75</f>
        <v/>
      </c>
      <c r="O570" s="237"/>
      <c r="P570" s="193">
        <f>'Buildings - Grid Electricity'!G75</f>
        <v>0</v>
      </c>
      <c r="Q570" s="193" t="str">
        <f>'Buildings - Grid Electricity'!H75</f>
        <v/>
      </c>
      <c r="R570" s="193">
        <f>'Buildings - Grid Electricity'!I75</f>
        <v>0</v>
      </c>
      <c r="S570" s="193" t="str">
        <f>'Buildings - Grid Electricity'!J75</f>
        <v/>
      </c>
      <c r="T570" s="193" t="str">
        <f>'Buildings - Grid Electricity'!K75</f>
        <v/>
      </c>
      <c r="U570" s="193" t="str">
        <f>'Buildings - Grid Electricity'!L75</f>
        <v/>
      </c>
      <c r="V570" s="193" t="str">
        <f>'Buildings - Grid Electricity'!M75</f>
        <v/>
      </c>
      <c r="W570" s="193" t="str">
        <f>'Buildings - Grid Electricity'!N75</f>
        <v/>
      </c>
      <c r="X570" s="193">
        <f>'Buildings - Grid Electricity'!O75</f>
        <v>0</v>
      </c>
      <c r="Y570" s="193">
        <f>'Buildings - Grid Electricity'!P75</f>
        <v>0</v>
      </c>
      <c r="Z570" s="193" t="str">
        <f>'Buildings - Grid Electricity'!Q75</f>
        <v/>
      </c>
      <c r="AA570" s="193" t="str">
        <f>'Buildings - Grid Electricity'!R75</f>
        <v/>
      </c>
      <c r="AB570" s="193" t="str">
        <f>'Buildings - Grid Electricity'!S75</f>
        <v/>
      </c>
      <c r="AC570" s="193" t="str">
        <f>'Buildings - Grid Electricity'!T75</f>
        <v/>
      </c>
      <c r="AD570" s="193" t="str">
        <f>'Buildings - Grid Electricity'!U75</f>
        <v/>
      </c>
      <c r="AE570" s="193" t="str">
        <f>'Buildings - Grid Electricity'!V75</f>
        <v/>
      </c>
      <c r="AF570" s="193" t="str">
        <f>'Buildings - Grid Electricity'!W75</f>
        <v/>
      </c>
      <c r="AG570" s="193" t="str">
        <f>'Buildings - Grid Electricity'!X75</f>
        <v/>
      </c>
      <c r="AI570" s="193">
        <f t="shared" si="6"/>
        <v>0</v>
      </c>
      <c r="AJ570" s="193">
        <f t="shared" si="7"/>
        <v>0</v>
      </c>
    </row>
    <row r="571" spans="2:36" x14ac:dyDescent="0.35">
      <c r="B571" s="193" t="e">
        <f>"2024"&amp;MATCH(Totals!D571,OrgType,0)&amp;"_"&amp;MATCH(Totals!E571,Organisations,0)&amp;"_"&amp;LEFT(Totals!F571,1)&amp;"_"&amp;LEFT(G571,1)&amp;"_"&amp;COUNTIF($G$3:G571,G571)</f>
        <v>#N/A</v>
      </c>
      <c r="C571" s="193">
        <v>2025</v>
      </c>
      <c r="D571" s="193">
        <f>Introduction!$D$7</f>
        <v>0</v>
      </c>
      <c r="E571" s="193">
        <f>Introduction!$D$8</f>
        <v>0</v>
      </c>
      <c r="F571" s="193" t="s">
        <v>488</v>
      </c>
      <c r="G571" s="193" t="s">
        <v>171</v>
      </c>
      <c r="H571" s="193">
        <f>'Buildings - Grid Electricity'!B76</f>
        <v>0</v>
      </c>
      <c r="I571" s="193">
        <f>'Buildings - Grid Electricity'!C76</f>
        <v>0</v>
      </c>
      <c r="J571" s="193" t="str">
        <f>'Buildings - Grid Electricity'!D76</f>
        <v/>
      </c>
      <c r="K571" s="237"/>
      <c r="L571" s="237"/>
      <c r="M571" s="193" t="str">
        <f>'Buildings - Grid Electricity'!E76</f>
        <v/>
      </c>
      <c r="N571" s="193" t="str">
        <f>'Buildings - Grid Electricity'!F76</f>
        <v/>
      </c>
      <c r="O571" s="237"/>
      <c r="P571" s="193">
        <f>'Buildings - Grid Electricity'!G76</f>
        <v>0</v>
      </c>
      <c r="Q571" s="193" t="str">
        <f>'Buildings - Grid Electricity'!H76</f>
        <v/>
      </c>
      <c r="R571" s="193">
        <f>'Buildings - Grid Electricity'!I76</f>
        <v>0</v>
      </c>
      <c r="S571" s="193" t="str">
        <f>'Buildings - Grid Electricity'!J76</f>
        <v/>
      </c>
      <c r="T571" s="193" t="str">
        <f>'Buildings - Grid Electricity'!K76</f>
        <v/>
      </c>
      <c r="U571" s="193" t="str">
        <f>'Buildings - Grid Electricity'!L76</f>
        <v/>
      </c>
      <c r="V571" s="193" t="str">
        <f>'Buildings - Grid Electricity'!M76</f>
        <v/>
      </c>
      <c r="W571" s="193" t="str">
        <f>'Buildings - Grid Electricity'!N76</f>
        <v/>
      </c>
      <c r="X571" s="193">
        <f>'Buildings - Grid Electricity'!O76</f>
        <v>0</v>
      </c>
      <c r="Y571" s="193">
        <f>'Buildings - Grid Electricity'!P76</f>
        <v>0</v>
      </c>
      <c r="Z571" s="193" t="str">
        <f>'Buildings - Grid Electricity'!Q76</f>
        <v/>
      </c>
      <c r="AA571" s="193" t="str">
        <f>'Buildings - Grid Electricity'!R76</f>
        <v/>
      </c>
      <c r="AB571" s="193" t="str">
        <f>'Buildings - Grid Electricity'!S76</f>
        <v/>
      </c>
      <c r="AC571" s="193" t="str">
        <f>'Buildings - Grid Electricity'!T76</f>
        <v/>
      </c>
      <c r="AD571" s="193" t="str">
        <f>'Buildings - Grid Electricity'!U76</f>
        <v/>
      </c>
      <c r="AE571" s="193" t="str">
        <f>'Buildings - Grid Electricity'!V76</f>
        <v/>
      </c>
      <c r="AF571" s="193" t="str">
        <f>'Buildings - Grid Electricity'!W76</f>
        <v/>
      </c>
      <c r="AG571" s="193" t="str">
        <f>'Buildings - Grid Electricity'!X76</f>
        <v/>
      </c>
      <c r="AI571" s="193">
        <f t="shared" si="6"/>
        <v>0</v>
      </c>
      <c r="AJ571" s="193">
        <f t="shared" si="7"/>
        <v>0</v>
      </c>
    </row>
    <row r="572" spans="2:36" x14ac:dyDescent="0.35">
      <c r="B572" s="193" t="e">
        <f>"2024"&amp;MATCH(Totals!D572,OrgType,0)&amp;"_"&amp;MATCH(Totals!E572,Organisations,0)&amp;"_"&amp;LEFT(Totals!F572,1)&amp;"_"&amp;LEFT(G572,1)&amp;"_"&amp;COUNTIF($G$3:G572,G572)</f>
        <v>#N/A</v>
      </c>
      <c r="C572" s="193">
        <v>2025</v>
      </c>
      <c r="D572" s="193">
        <f>Introduction!$D$7</f>
        <v>0</v>
      </c>
      <c r="E572" s="193">
        <f>Introduction!$D$8</f>
        <v>0</v>
      </c>
      <c r="F572" s="193" t="s">
        <v>488</v>
      </c>
      <c r="G572" s="193" t="s">
        <v>171</v>
      </c>
      <c r="H572" s="193">
        <f>'Buildings - Grid Electricity'!B77</f>
        <v>0</v>
      </c>
      <c r="I572" s="193">
        <f>'Buildings - Grid Electricity'!C77</f>
        <v>0</v>
      </c>
      <c r="J572" s="193" t="str">
        <f>'Buildings - Grid Electricity'!D77</f>
        <v/>
      </c>
      <c r="K572" s="237"/>
      <c r="L572" s="237"/>
      <c r="M572" s="193" t="str">
        <f>'Buildings - Grid Electricity'!E77</f>
        <v/>
      </c>
      <c r="N572" s="193" t="str">
        <f>'Buildings - Grid Electricity'!F77</f>
        <v/>
      </c>
      <c r="O572" s="237"/>
      <c r="P572" s="193">
        <f>'Buildings - Grid Electricity'!G77</f>
        <v>0</v>
      </c>
      <c r="Q572" s="193" t="str">
        <f>'Buildings - Grid Electricity'!H77</f>
        <v/>
      </c>
      <c r="R572" s="193">
        <f>'Buildings - Grid Electricity'!I77</f>
        <v>0</v>
      </c>
      <c r="S572" s="193" t="str">
        <f>'Buildings - Grid Electricity'!J77</f>
        <v/>
      </c>
      <c r="T572" s="193" t="str">
        <f>'Buildings - Grid Electricity'!K77</f>
        <v/>
      </c>
      <c r="U572" s="193" t="str">
        <f>'Buildings - Grid Electricity'!L77</f>
        <v/>
      </c>
      <c r="V572" s="193" t="str">
        <f>'Buildings - Grid Electricity'!M77</f>
        <v/>
      </c>
      <c r="W572" s="193" t="str">
        <f>'Buildings - Grid Electricity'!N77</f>
        <v/>
      </c>
      <c r="X572" s="193">
        <f>'Buildings - Grid Electricity'!O77</f>
        <v>0</v>
      </c>
      <c r="Y572" s="193">
        <f>'Buildings - Grid Electricity'!P77</f>
        <v>0</v>
      </c>
      <c r="Z572" s="193" t="str">
        <f>'Buildings - Grid Electricity'!Q77</f>
        <v/>
      </c>
      <c r="AA572" s="193" t="str">
        <f>'Buildings - Grid Electricity'!R77</f>
        <v/>
      </c>
      <c r="AB572" s="193" t="str">
        <f>'Buildings - Grid Electricity'!S77</f>
        <v/>
      </c>
      <c r="AC572" s="193" t="str">
        <f>'Buildings - Grid Electricity'!T77</f>
        <v/>
      </c>
      <c r="AD572" s="193" t="str">
        <f>'Buildings - Grid Electricity'!U77</f>
        <v/>
      </c>
      <c r="AE572" s="193" t="str">
        <f>'Buildings - Grid Electricity'!V77</f>
        <v/>
      </c>
      <c r="AF572" s="193" t="str">
        <f>'Buildings - Grid Electricity'!W77</f>
        <v/>
      </c>
      <c r="AG572" s="193" t="str">
        <f>'Buildings - Grid Electricity'!X77</f>
        <v/>
      </c>
      <c r="AI572" s="193">
        <f t="shared" si="6"/>
        <v>0</v>
      </c>
      <c r="AJ572" s="193">
        <f t="shared" si="7"/>
        <v>0</v>
      </c>
    </row>
    <row r="573" spans="2:36" x14ac:dyDescent="0.35">
      <c r="B573" s="193" t="e">
        <f>"2024"&amp;MATCH(Totals!D573,OrgType,0)&amp;"_"&amp;MATCH(Totals!E573,Organisations,0)&amp;"_"&amp;LEFT(Totals!F573,1)&amp;"_"&amp;LEFT(G573,1)&amp;"_"&amp;COUNTIF($G$3:G573,G573)</f>
        <v>#N/A</v>
      </c>
      <c r="C573" s="193">
        <v>2025</v>
      </c>
      <c r="D573" s="193">
        <f>Introduction!$D$7</f>
        <v>0</v>
      </c>
      <c r="E573" s="193">
        <f>Introduction!$D$8</f>
        <v>0</v>
      </c>
      <c r="F573" s="193" t="s">
        <v>488</v>
      </c>
      <c r="G573" s="193" t="s">
        <v>171</v>
      </c>
      <c r="H573" s="193">
        <f>'Buildings - Grid Electricity'!B78</f>
        <v>0</v>
      </c>
      <c r="I573" s="193">
        <f>'Buildings - Grid Electricity'!C78</f>
        <v>0</v>
      </c>
      <c r="J573" s="193" t="str">
        <f>'Buildings - Grid Electricity'!D78</f>
        <v/>
      </c>
      <c r="K573" s="237"/>
      <c r="L573" s="237"/>
      <c r="M573" s="193" t="str">
        <f>'Buildings - Grid Electricity'!E78</f>
        <v/>
      </c>
      <c r="N573" s="193" t="str">
        <f>'Buildings - Grid Electricity'!F78</f>
        <v/>
      </c>
      <c r="O573" s="237"/>
      <c r="P573" s="193">
        <f>'Buildings - Grid Electricity'!G78</f>
        <v>0</v>
      </c>
      <c r="Q573" s="193" t="str">
        <f>'Buildings - Grid Electricity'!H78</f>
        <v/>
      </c>
      <c r="R573" s="193">
        <f>'Buildings - Grid Electricity'!I78</f>
        <v>0</v>
      </c>
      <c r="S573" s="193" t="str">
        <f>'Buildings - Grid Electricity'!J78</f>
        <v/>
      </c>
      <c r="T573" s="193" t="str">
        <f>'Buildings - Grid Electricity'!K78</f>
        <v/>
      </c>
      <c r="U573" s="193" t="str">
        <f>'Buildings - Grid Electricity'!L78</f>
        <v/>
      </c>
      <c r="V573" s="193" t="str">
        <f>'Buildings - Grid Electricity'!M78</f>
        <v/>
      </c>
      <c r="W573" s="193" t="str">
        <f>'Buildings - Grid Electricity'!N78</f>
        <v/>
      </c>
      <c r="X573" s="193">
        <f>'Buildings - Grid Electricity'!O78</f>
        <v>0</v>
      </c>
      <c r="Y573" s="193">
        <f>'Buildings - Grid Electricity'!P78</f>
        <v>0</v>
      </c>
      <c r="Z573" s="193" t="str">
        <f>'Buildings - Grid Electricity'!Q78</f>
        <v/>
      </c>
      <c r="AA573" s="193" t="str">
        <f>'Buildings - Grid Electricity'!R78</f>
        <v/>
      </c>
      <c r="AB573" s="193" t="str">
        <f>'Buildings - Grid Electricity'!S78</f>
        <v/>
      </c>
      <c r="AC573" s="193" t="str">
        <f>'Buildings - Grid Electricity'!T78</f>
        <v/>
      </c>
      <c r="AD573" s="193" t="str">
        <f>'Buildings - Grid Electricity'!U78</f>
        <v/>
      </c>
      <c r="AE573" s="193" t="str">
        <f>'Buildings - Grid Electricity'!V78</f>
        <v/>
      </c>
      <c r="AF573" s="193" t="str">
        <f>'Buildings - Grid Electricity'!W78</f>
        <v/>
      </c>
      <c r="AG573" s="193" t="str">
        <f>'Buildings - Grid Electricity'!X78</f>
        <v/>
      </c>
      <c r="AI573" s="193">
        <f t="shared" si="6"/>
        <v>0</v>
      </c>
      <c r="AJ573" s="193">
        <f t="shared" si="7"/>
        <v>0</v>
      </c>
    </row>
    <row r="574" spans="2:36" x14ac:dyDescent="0.35">
      <c r="B574" s="193" t="e">
        <f>"2024"&amp;MATCH(Totals!D574,OrgType,0)&amp;"_"&amp;MATCH(Totals!E574,Organisations,0)&amp;"_"&amp;LEFT(Totals!F574,1)&amp;"_"&amp;LEFT(G574,1)&amp;"_"&amp;COUNTIF($G$3:G574,G574)</f>
        <v>#N/A</v>
      </c>
      <c r="C574" s="193">
        <v>2025</v>
      </c>
      <c r="D574" s="193">
        <f>Introduction!$D$7</f>
        <v>0</v>
      </c>
      <c r="E574" s="193">
        <f>Introduction!$D$8</f>
        <v>0</v>
      </c>
      <c r="F574" s="193" t="s">
        <v>488</v>
      </c>
      <c r="G574" s="193" t="s">
        <v>171</v>
      </c>
      <c r="H574" s="193">
        <f>'Buildings - Grid Electricity'!B79</f>
        <v>0</v>
      </c>
      <c r="I574" s="193">
        <f>'Buildings - Grid Electricity'!C79</f>
        <v>0</v>
      </c>
      <c r="J574" s="193" t="str">
        <f>'Buildings - Grid Electricity'!D79</f>
        <v/>
      </c>
      <c r="K574" s="237"/>
      <c r="L574" s="237"/>
      <c r="M574" s="193" t="str">
        <f>'Buildings - Grid Electricity'!E79</f>
        <v/>
      </c>
      <c r="N574" s="193" t="str">
        <f>'Buildings - Grid Electricity'!F79</f>
        <v/>
      </c>
      <c r="O574" s="237"/>
      <c r="P574" s="193">
        <f>'Buildings - Grid Electricity'!G79</f>
        <v>0</v>
      </c>
      <c r="Q574" s="193" t="str">
        <f>'Buildings - Grid Electricity'!H79</f>
        <v/>
      </c>
      <c r="R574" s="193">
        <f>'Buildings - Grid Electricity'!I79</f>
        <v>0</v>
      </c>
      <c r="S574" s="193" t="str">
        <f>'Buildings - Grid Electricity'!J79</f>
        <v/>
      </c>
      <c r="T574" s="193" t="str">
        <f>'Buildings - Grid Electricity'!K79</f>
        <v/>
      </c>
      <c r="U574" s="193" t="str">
        <f>'Buildings - Grid Electricity'!L79</f>
        <v/>
      </c>
      <c r="V574" s="193" t="str">
        <f>'Buildings - Grid Electricity'!M79</f>
        <v/>
      </c>
      <c r="W574" s="193" t="str">
        <f>'Buildings - Grid Electricity'!N79</f>
        <v/>
      </c>
      <c r="X574" s="193">
        <f>'Buildings - Grid Electricity'!O79</f>
        <v>0</v>
      </c>
      <c r="Y574" s="193">
        <f>'Buildings - Grid Electricity'!P79</f>
        <v>0</v>
      </c>
      <c r="Z574" s="193" t="str">
        <f>'Buildings - Grid Electricity'!Q79</f>
        <v/>
      </c>
      <c r="AA574" s="193" t="str">
        <f>'Buildings - Grid Electricity'!R79</f>
        <v/>
      </c>
      <c r="AB574" s="193" t="str">
        <f>'Buildings - Grid Electricity'!S79</f>
        <v/>
      </c>
      <c r="AC574" s="193" t="str">
        <f>'Buildings - Grid Electricity'!T79</f>
        <v/>
      </c>
      <c r="AD574" s="193" t="str">
        <f>'Buildings - Grid Electricity'!U79</f>
        <v/>
      </c>
      <c r="AE574" s="193" t="str">
        <f>'Buildings - Grid Electricity'!V79</f>
        <v/>
      </c>
      <c r="AF574" s="193" t="str">
        <f>'Buildings - Grid Electricity'!W79</f>
        <v/>
      </c>
      <c r="AG574" s="193" t="str">
        <f>'Buildings - Grid Electricity'!X79</f>
        <v/>
      </c>
      <c r="AI574" s="193">
        <f t="shared" si="6"/>
        <v>0</v>
      </c>
      <c r="AJ574" s="193">
        <f t="shared" si="7"/>
        <v>0</v>
      </c>
    </row>
    <row r="575" spans="2:36" x14ac:dyDescent="0.35">
      <c r="B575" s="193" t="e">
        <f>"2024"&amp;MATCH(Totals!D575,OrgType,0)&amp;"_"&amp;MATCH(Totals!E575,Organisations,0)&amp;"_"&amp;LEFT(Totals!F575,1)&amp;"_"&amp;LEFT(G575,1)&amp;"_"&amp;COUNTIF($G$3:G575,G575)</f>
        <v>#N/A</v>
      </c>
      <c r="C575" s="193">
        <v>2025</v>
      </c>
      <c r="D575" s="193">
        <f>Introduction!$D$7</f>
        <v>0</v>
      </c>
      <c r="E575" s="193">
        <f>Introduction!$D$8</f>
        <v>0</v>
      </c>
      <c r="F575" s="193" t="s">
        <v>488</v>
      </c>
      <c r="G575" s="193" t="s">
        <v>171</v>
      </c>
      <c r="H575" s="193">
        <f>'Buildings - Grid Electricity'!B80</f>
        <v>0</v>
      </c>
      <c r="I575" s="193">
        <f>'Buildings - Grid Electricity'!C80</f>
        <v>0</v>
      </c>
      <c r="J575" s="193" t="str">
        <f>'Buildings - Grid Electricity'!D80</f>
        <v/>
      </c>
      <c r="K575" s="237"/>
      <c r="L575" s="237"/>
      <c r="M575" s="193" t="str">
        <f>'Buildings - Grid Electricity'!E80</f>
        <v/>
      </c>
      <c r="N575" s="193" t="str">
        <f>'Buildings - Grid Electricity'!F80</f>
        <v/>
      </c>
      <c r="O575" s="237"/>
      <c r="P575" s="193">
        <f>'Buildings - Grid Electricity'!G80</f>
        <v>0</v>
      </c>
      <c r="Q575" s="193" t="str">
        <f>'Buildings - Grid Electricity'!H80</f>
        <v/>
      </c>
      <c r="R575" s="193">
        <f>'Buildings - Grid Electricity'!I80</f>
        <v>0</v>
      </c>
      <c r="S575" s="193" t="str">
        <f>'Buildings - Grid Electricity'!J80</f>
        <v/>
      </c>
      <c r="T575" s="193" t="str">
        <f>'Buildings - Grid Electricity'!K80</f>
        <v/>
      </c>
      <c r="U575" s="193" t="str">
        <f>'Buildings - Grid Electricity'!L80</f>
        <v/>
      </c>
      <c r="V575" s="193" t="str">
        <f>'Buildings - Grid Electricity'!M80</f>
        <v/>
      </c>
      <c r="W575" s="193" t="str">
        <f>'Buildings - Grid Electricity'!N80</f>
        <v/>
      </c>
      <c r="X575" s="193">
        <f>'Buildings - Grid Electricity'!O80</f>
        <v>0</v>
      </c>
      <c r="Y575" s="193">
        <f>'Buildings - Grid Electricity'!P80</f>
        <v>0</v>
      </c>
      <c r="Z575" s="193" t="str">
        <f>'Buildings - Grid Electricity'!Q80</f>
        <v/>
      </c>
      <c r="AA575" s="193" t="str">
        <f>'Buildings - Grid Electricity'!R80</f>
        <v/>
      </c>
      <c r="AB575" s="193" t="str">
        <f>'Buildings - Grid Electricity'!S80</f>
        <v/>
      </c>
      <c r="AC575" s="193" t="str">
        <f>'Buildings - Grid Electricity'!T80</f>
        <v/>
      </c>
      <c r="AD575" s="193" t="str">
        <f>'Buildings - Grid Electricity'!U80</f>
        <v/>
      </c>
      <c r="AE575" s="193" t="str">
        <f>'Buildings - Grid Electricity'!V80</f>
        <v/>
      </c>
      <c r="AF575" s="193" t="str">
        <f>'Buildings - Grid Electricity'!W80</f>
        <v/>
      </c>
      <c r="AG575" s="193" t="str">
        <f>'Buildings - Grid Electricity'!X80</f>
        <v/>
      </c>
      <c r="AI575" s="193">
        <f t="shared" si="6"/>
        <v>0</v>
      </c>
      <c r="AJ575" s="193">
        <f t="shared" si="7"/>
        <v>0</v>
      </c>
    </row>
    <row r="576" spans="2:36" x14ac:dyDescent="0.35">
      <c r="B576" s="193" t="e">
        <f>"2024"&amp;MATCH(Totals!D576,OrgType,0)&amp;"_"&amp;MATCH(Totals!E576,Organisations,0)&amp;"_"&amp;LEFT(Totals!F576,1)&amp;"_"&amp;LEFT(G576,1)&amp;"_"&amp;COUNTIF($G$3:G576,G576)</f>
        <v>#N/A</v>
      </c>
      <c r="C576" s="193">
        <v>2025</v>
      </c>
      <c r="D576" s="193">
        <f>Introduction!$D$7</f>
        <v>0</v>
      </c>
      <c r="E576" s="193">
        <f>Introduction!$D$8</f>
        <v>0</v>
      </c>
      <c r="F576" s="193" t="s">
        <v>488</v>
      </c>
      <c r="G576" s="193" t="s">
        <v>171</v>
      </c>
      <c r="H576" s="193">
        <f>'Buildings - Grid Electricity'!B81</f>
        <v>0</v>
      </c>
      <c r="I576" s="193">
        <f>'Buildings - Grid Electricity'!C81</f>
        <v>0</v>
      </c>
      <c r="J576" s="193" t="str">
        <f>'Buildings - Grid Electricity'!D81</f>
        <v/>
      </c>
      <c r="K576" s="237"/>
      <c r="L576" s="237"/>
      <c r="M576" s="193" t="str">
        <f>'Buildings - Grid Electricity'!E81</f>
        <v/>
      </c>
      <c r="N576" s="193" t="str">
        <f>'Buildings - Grid Electricity'!F81</f>
        <v/>
      </c>
      <c r="O576" s="237"/>
      <c r="P576" s="193">
        <f>'Buildings - Grid Electricity'!G81</f>
        <v>0</v>
      </c>
      <c r="Q576" s="193" t="str">
        <f>'Buildings - Grid Electricity'!H81</f>
        <v/>
      </c>
      <c r="R576" s="193">
        <f>'Buildings - Grid Electricity'!I81</f>
        <v>0</v>
      </c>
      <c r="S576" s="193" t="str">
        <f>'Buildings - Grid Electricity'!J81</f>
        <v/>
      </c>
      <c r="T576" s="193" t="str">
        <f>'Buildings - Grid Electricity'!K81</f>
        <v/>
      </c>
      <c r="U576" s="193" t="str">
        <f>'Buildings - Grid Electricity'!L81</f>
        <v/>
      </c>
      <c r="V576" s="193" t="str">
        <f>'Buildings - Grid Electricity'!M81</f>
        <v/>
      </c>
      <c r="W576" s="193" t="str">
        <f>'Buildings - Grid Electricity'!N81</f>
        <v/>
      </c>
      <c r="X576" s="193">
        <f>'Buildings - Grid Electricity'!O81</f>
        <v>0</v>
      </c>
      <c r="Y576" s="193">
        <f>'Buildings - Grid Electricity'!P81</f>
        <v>0</v>
      </c>
      <c r="Z576" s="193" t="str">
        <f>'Buildings - Grid Electricity'!Q81</f>
        <v/>
      </c>
      <c r="AA576" s="193" t="str">
        <f>'Buildings - Grid Electricity'!R81</f>
        <v/>
      </c>
      <c r="AB576" s="193" t="str">
        <f>'Buildings - Grid Electricity'!S81</f>
        <v/>
      </c>
      <c r="AC576" s="193" t="str">
        <f>'Buildings - Grid Electricity'!T81</f>
        <v/>
      </c>
      <c r="AD576" s="193" t="str">
        <f>'Buildings - Grid Electricity'!U81</f>
        <v/>
      </c>
      <c r="AE576" s="193" t="str">
        <f>'Buildings - Grid Electricity'!V81</f>
        <v/>
      </c>
      <c r="AF576" s="193" t="str">
        <f>'Buildings - Grid Electricity'!W81</f>
        <v/>
      </c>
      <c r="AG576" s="193" t="str">
        <f>'Buildings - Grid Electricity'!X81</f>
        <v/>
      </c>
      <c r="AI576" s="193">
        <f t="shared" si="6"/>
        <v>0</v>
      </c>
      <c r="AJ576" s="193">
        <f t="shared" si="7"/>
        <v>0</v>
      </c>
    </row>
    <row r="577" spans="2:36" x14ac:dyDescent="0.35">
      <c r="B577" s="193" t="e">
        <f>"2024"&amp;MATCH(Totals!D577,OrgType,0)&amp;"_"&amp;MATCH(Totals!E577,Organisations,0)&amp;"_"&amp;LEFT(Totals!F577,1)&amp;"_"&amp;LEFT(G577,1)&amp;"_"&amp;COUNTIF($G$3:G577,G577)</f>
        <v>#N/A</v>
      </c>
      <c r="C577" s="193">
        <v>2025</v>
      </c>
      <c r="D577" s="193">
        <f>Introduction!$D$7</f>
        <v>0</v>
      </c>
      <c r="E577" s="193">
        <f>Introduction!$D$8</f>
        <v>0</v>
      </c>
      <c r="F577" s="193" t="s">
        <v>488</v>
      </c>
      <c r="G577" s="193" t="s">
        <v>171</v>
      </c>
      <c r="H577" s="193">
        <f>'Buildings - Grid Electricity'!B82</f>
        <v>0</v>
      </c>
      <c r="I577" s="193">
        <f>'Buildings - Grid Electricity'!C82</f>
        <v>0</v>
      </c>
      <c r="J577" s="193" t="str">
        <f>'Buildings - Grid Electricity'!D82</f>
        <v/>
      </c>
      <c r="K577" s="237"/>
      <c r="L577" s="237"/>
      <c r="M577" s="193" t="str">
        <f>'Buildings - Grid Electricity'!E82</f>
        <v/>
      </c>
      <c r="N577" s="193" t="str">
        <f>'Buildings - Grid Electricity'!F82</f>
        <v/>
      </c>
      <c r="O577" s="237"/>
      <c r="P577" s="193">
        <f>'Buildings - Grid Electricity'!G82</f>
        <v>0</v>
      </c>
      <c r="Q577" s="193" t="str">
        <f>'Buildings - Grid Electricity'!H82</f>
        <v/>
      </c>
      <c r="R577" s="193">
        <f>'Buildings - Grid Electricity'!I82</f>
        <v>0</v>
      </c>
      <c r="S577" s="193" t="str">
        <f>'Buildings - Grid Electricity'!J82</f>
        <v/>
      </c>
      <c r="T577" s="193" t="str">
        <f>'Buildings - Grid Electricity'!K82</f>
        <v/>
      </c>
      <c r="U577" s="193" t="str">
        <f>'Buildings - Grid Electricity'!L82</f>
        <v/>
      </c>
      <c r="V577" s="193" t="str">
        <f>'Buildings - Grid Electricity'!M82</f>
        <v/>
      </c>
      <c r="W577" s="193" t="str">
        <f>'Buildings - Grid Electricity'!N82</f>
        <v/>
      </c>
      <c r="X577" s="193">
        <f>'Buildings - Grid Electricity'!O82</f>
        <v>0</v>
      </c>
      <c r="Y577" s="193">
        <f>'Buildings - Grid Electricity'!P82</f>
        <v>0</v>
      </c>
      <c r="Z577" s="193" t="str">
        <f>'Buildings - Grid Electricity'!Q82</f>
        <v/>
      </c>
      <c r="AA577" s="193" t="str">
        <f>'Buildings - Grid Electricity'!R82</f>
        <v/>
      </c>
      <c r="AB577" s="193" t="str">
        <f>'Buildings - Grid Electricity'!S82</f>
        <v/>
      </c>
      <c r="AC577" s="193" t="str">
        <f>'Buildings - Grid Electricity'!T82</f>
        <v/>
      </c>
      <c r="AD577" s="193" t="str">
        <f>'Buildings - Grid Electricity'!U82</f>
        <v/>
      </c>
      <c r="AE577" s="193" t="str">
        <f>'Buildings - Grid Electricity'!V82</f>
        <v/>
      </c>
      <c r="AF577" s="193" t="str">
        <f>'Buildings - Grid Electricity'!W82</f>
        <v/>
      </c>
      <c r="AG577" s="193" t="str">
        <f>'Buildings - Grid Electricity'!X82</f>
        <v/>
      </c>
      <c r="AI577" s="193">
        <f t="shared" si="6"/>
        <v>0</v>
      </c>
      <c r="AJ577" s="193">
        <f t="shared" si="7"/>
        <v>0</v>
      </c>
    </row>
    <row r="578" spans="2:36" x14ac:dyDescent="0.35">
      <c r="B578" s="193" t="e">
        <f>"2024"&amp;MATCH(Totals!D578,OrgType,0)&amp;"_"&amp;MATCH(Totals!E578,Organisations,0)&amp;"_"&amp;LEFT(Totals!F578,1)&amp;"_"&amp;LEFT(G578,1)&amp;"_"&amp;COUNTIF($G$3:G578,G578)</f>
        <v>#N/A</v>
      </c>
      <c r="C578" s="193">
        <v>2025</v>
      </c>
      <c r="D578" s="193">
        <f>Introduction!$D$7</f>
        <v>0</v>
      </c>
      <c r="E578" s="193">
        <f>Introduction!$D$8</f>
        <v>0</v>
      </c>
      <c r="F578" s="193" t="s">
        <v>488</v>
      </c>
      <c r="G578" s="193" t="s">
        <v>171</v>
      </c>
      <c r="H578" s="193">
        <f>'Buildings - Grid Electricity'!B83</f>
        <v>0</v>
      </c>
      <c r="I578" s="193">
        <f>'Buildings - Grid Electricity'!C83</f>
        <v>0</v>
      </c>
      <c r="J578" s="193" t="str">
        <f>'Buildings - Grid Electricity'!D83</f>
        <v/>
      </c>
      <c r="K578" s="237"/>
      <c r="L578" s="237"/>
      <c r="M578" s="193" t="str">
        <f>'Buildings - Grid Electricity'!E83</f>
        <v/>
      </c>
      <c r="N578" s="193" t="str">
        <f>'Buildings - Grid Electricity'!F83</f>
        <v/>
      </c>
      <c r="O578" s="237"/>
      <c r="P578" s="193">
        <f>'Buildings - Grid Electricity'!G83</f>
        <v>0</v>
      </c>
      <c r="Q578" s="193" t="str">
        <f>'Buildings - Grid Electricity'!H83</f>
        <v/>
      </c>
      <c r="R578" s="193">
        <f>'Buildings - Grid Electricity'!I83</f>
        <v>0</v>
      </c>
      <c r="S578" s="193" t="str">
        <f>'Buildings - Grid Electricity'!J83</f>
        <v/>
      </c>
      <c r="T578" s="193" t="str">
        <f>'Buildings - Grid Electricity'!K83</f>
        <v/>
      </c>
      <c r="U578" s="193" t="str">
        <f>'Buildings - Grid Electricity'!L83</f>
        <v/>
      </c>
      <c r="V578" s="193" t="str">
        <f>'Buildings - Grid Electricity'!M83</f>
        <v/>
      </c>
      <c r="W578" s="193" t="str">
        <f>'Buildings - Grid Electricity'!N83</f>
        <v/>
      </c>
      <c r="X578" s="193">
        <f>'Buildings - Grid Electricity'!O83</f>
        <v>0</v>
      </c>
      <c r="Y578" s="193">
        <f>'Buildings - Grid Electricity'!P83</f>
        <v>0</v>
      </c>
      <c r="Z578" s="193" t="str">
        <f>'Buildings - Grid Electricity'!Q83</f>
        <v/>
      </c>
      <c r="AA578" s="193" t="str">
        <f>'Buildings - Grid Electricity'!R83</f>
        <v/>
      </c>
      <c r="AB578" s="193" t="str">
        <f>'Buildings - Grid Electricity'!S83</f>
        <v/>
      </c>
      <c r="AC578" s="193" t="str">
        <f>'Buildings - Grid Electricity'!T83</f>
        <v/>
      </c>
      <c r="AD578" s="193" t="str">
        <f>'Buildings - Grid Electricity'!U83</f>
        <v/>
      </c>
      <c r="AE578" s="193" t="str">
        <f>'Buildings - Grid Electricity'!V83</f>
        <v/>
      </c>
      <c r="AF578" s="193" t="str">
        <f>'Buildings - Grid Electricity'!W83</f>
        <v/>
      </c>
      <c r="AG578" s="193" t="str">
        <f>'Buildings - Grid Electricity'!X83</f>
        <v/>
      </c>
      <c r="AI578" s="193">
        <f t="shared" si="6"/>
        <v>0</v>
      </c>
      <c r="AJ578" s="193">
        <f t="shared" si="7"/>
        <v>0</v>
      </c>
    </row>
    <row r="579" spans="2:36" x14ac:dyDescent="0.35">
      <c r="B579" s="193" t="e">
        <f>"2024"&amp;MATCH(Totals!D579,OrgType,0)&amp;"_"&amp;MATCH(Totals!E579,Organisations,0)&amp;"_"&amp;LEFT(Totals!F579,1)&amp;"_"&amp;LEFT(G579,1)&amp;"_"&amp;COUNTIF($G$3:G579,G579)</f>
        <v>#N/A</v>
      </c>
      <c r="C579" s="193">
        <v>2025</v>
      </c>
      <c r="D579" s="193">
        <f>Introduction!$D$7</f>
        <v>0</v>
      </c>
      <c r="E579" s="193">
        <f>Introduction!$D$8</f>
        <v>0</v>
      </c>
      <c r="F579" s="193" t="s">
        <v>488</v>
      </c>
      <c r="G579" s="193" t="s">
        <v>171</v>
      </c>
      <c r="H579" s="193">
        <f>'Buildings - Grid Electricity'!B84</f>
        <v>0</v>
      </c>
      <c r="I579" s="193">
        <f>'Buildings - Grid Electricity'!C84</f>
        <v>0</v>
      </c>
      <c r="J579" s="193" t="str">
        <f>'Buildings - Grid Electricity'!D84</f>
        <v/>
      </c>
      <c r="K579" s="237"/>
      <c r="L579" s="237"/>
      <c r="M579" s="193" t="str">
        <f>'Buildings - Grid Electricity'!E84</f>
        <v/>
      </c>
      <c r="N579" s="193" t="str">
        <f>'Buildings - Grid Electricity'!F84</f>
        <v/>
      </c>
      <c r="O579" s="237"/>
      <c r="P579" s="193">
        <f>'Buildings - Grid Electricity'!G84</f>
        <v>0</v>
      </c>
      <c r="Q579" s="193" t="str">
        <f>'Buildings - Grid Electricity'!H84</f>
        <v/>
      </c>
      <c r="R579" s="193">
        <f>'Buildings - Grid Electricity'!I84</f>
        <v>0</v>
      </c>
      <c r="S579" s="193" t="str">
        <f>'Buildings - Grid Electricity'!J84</f>
        <v/>
      </c>
      <c r="T579" s="193" t="str">
        <f>'Buildings - Grid Electricity'!K84</f>
        <v/>
      </c>
      <c r="U579" s="193" t="str">
        <f>'Buildings - Grid Electricity'!L84</f>
        <v/>
      </c>
      <c r="V579" s="193" t="str">
        <f>'Buildings - Grid Electricity'!M84</f>
        <v/>
      </c>
      <c r="W579" s="193" t="str">
        <f>'Buildings - Grid Electricity'!N84</f>
        <v/>
      </c>
      <c r="X579" s="193">
        <f>'Buildings - Grid Electricity'!O84</f>
        <v>0</v>
      </c>
      <c r="Y579" s="193">
        <f>'Buildings - Grid Electricity'!P84</f>
        <v>0</v>
      </c>
      <c r="Z579" s="193" t="str">
        <f>'Buildings - Grid Electricity'!Q84</f>
        <v/>
      </c>
      <c r="AA579" s="193" t="str">
        <f>'Buildings - Grid Electricity'!R84</f>
        <v/>
      </c>
      <c r="AB579" s="193" t="str">
        <f>'Buildings - Grid Electricity'!S84</f>
        <v/>
      </c>
      <c r="AC579" s="193" t="str">
        <f>'Buildings - Grid Electricity'!T84</f>
        <v/>
      </c>
      <c r="AD579" s="193" t="str">
        <f>'Buildings - Grid Electricity'!U84</f>
        <v/>
      </c>
      <c r="AE579" s="193" t="str">
        <f>'Buildings - Grid Electricity'!V84</f>
        <v/>
      </c>
      <c r="AF579" s="193" t="str">
        <f>'Buildings - Grid Electricity'!W84</f>
        <v/>
      </c>
      <c r="AG579" s="193" t="str">
        <f>'Buildings - Grid Electricity'!X84</f>
        <v/>
      </c>
      <c r="AI579" s="193">
        <f t="shared" si="6"/>
        <v>0</v>
      </c>
      <c r="AJ579" s="193">
        <f t="shared" si="7"/>
        <v>0</v>
      </c>
    </row>
    <row r="580" spans="2:36" x14ac:dyDescent="0.35">
      <c r="B580" s="193" t="e">
        <f>"2024"&amp;MATCH(Totals!D580,OrgType,0)&amp;"_"&amp;MATCH(Totals!E580,Organisations,0)&amp;"_"&amp;LEFT(Totals!F580,1)&amp;"_"&amp;LEFT(G580,1)&amp;"_"&amp;COUNTIF($G$3:G580,G580)</f>
        <v>#N/A</v>
      </c>
      <c r="C580" s="193">
        <v>2025</v>
      </c>
      <c r="D580" s="193">
        <f>Introduction!$D$7</f>
        <v>0</v>
      </c>
      <c r="E580" s="193">
        <f>Introduction!$D$8</f>
        <v>0</v>
      </c>
      <c r="F580" s="193" t="s">
        <v>488</v>
      </c>
      <c r="G580" s="193" t="s">
        <v>171</v>
      </c>
      <c r="H580" s="193">
        <f>'Buildings - Grid Electricity'!B85</f>
        <v>0</v>
      </c>
      <c r="I580" s="193">
        <f>'Buildings - Grid Electricity'!C85</f>
        <v>0</v>
      </c>
      <c r="J580" s="193" t="str">
        <f>'Buildings - Grid Electricity'!D85</f>
        <v/>
      </c>
      <c r="K580" s="237"/>
      <c r="L580" s="237"/>
      <c r="M580" s="193" t="str">
        <f>'Buildings - Grid Electricity'!E85</f>
        <v/>
      </c>
      <c r="N580" s="193" t="str">
        <f>'Buildings - Grid Electricity'!F85</f>
        <v/>
      </c>
      <c r="O580" s="237"/>
      <c r="P580" s="193">
        <f>'Buildings - Grid Electricity'!G85</f>
        <v>0</v>
      </c>
      <c r="Q580" s="193" t="str">
        <f>'Buildings - Grid Electricity'!H85</f>
        <v/>
      </c>
      <c r="R580" s="193">
        <f>'Buildings - Grid Electricity'!I85</f>
        <v>0</v>
      </c>
      <c r="S580" s="193" t="str">
        <f>'Buildings - Grid Electricity'!J85</f>
        <v/>
      </c>
      <c r="T580" s="193" t="str">
        <f>'Buildings - Grid Electricity'!K85</f>
        <v/>
      </c>
      <c r="U580" s="193" t="str">
        <f>'Buildings - Grid Electricity'!L85</f>
        <v/>
      </c>
      <c r="V580" s="193" t="str">
        <f>'Buildings - Grid Electricity'!M85</f>
        <v/>
      </c>
      <c r="W580" s="193" t="str">
        <f>'Buildings - Grid Electricity'!N85</f>
        <v/>
      </c>
      <c r="X580" s="193">
        <f>'Buildings - Grid Electricity'!O85</f>
        <v>0</v>
      </c>
      <c r="Y580" s="193">
        <f>'Buildings - Grid Electricity'!P85</f>
        <v>0</v>
      </c>
      <c r="Z580" s="193" t="str">
        <f>'Buildings - Grid Electricity'!Q85</f>
        <v/>
      </c>
      <c r="AA580" s="193" t="str">
        <f>'Buildings - Grid Electricity'!R85</f>
        <v/>
      </c>
      <c r="AB580" s="193" t="str">
        <f>'Buildings - Grid Electricity'!S85</f>
        <v/>
      </c>
      <c r="AC580" s="193" t="str">
        <f>'Buildings - Grid Electricity'!T85</f>
        <v/>
      </c>
      <c r="AD580" s="193" t="str">
        <f>'Buildings - Grid Electricity'!U85</f>
        <v/>
      </c>
      <c r="AE580" s="193" t="str">
        <f>'Buildings - Grid Electricity'!V85</f>
        <v/>
      </c>
      <c r="AF580" s="193" t="str">
        <f>'Buildings - Grid Electricity'!W85</f>
        <v/>
      </c>
      <c r="AG580" s="193" t="str">
        <f>'Buildings - Grid Electricity'!X85</f>
        <v/>
      </c>
      <c r="AI580" s="193">
        <f t="shared" si="6"/>
        <v>0</v>
      </c>
      <c r="AJ580" s="193">
        <f t="shared" si="7"/>
        <v>0</v>
      </c>
    </row>
    <row r="581" spans="2:36" x14ac:dyDescent="0.35">
      <c r="B581" s="193" t="e">
        <f>"2024"&amp;MATCH(Totals!D581,OrgType,0)&amp;"_"&amp;MATCH(Totals!E581,Organisations,0)&amp;"_"&amp;LEFT(Totals!F581,1)&amp;"_"&amp;LEFT(G581,1)&amp;"_"&amp;COUNTIF($G$3:G581,G581)</f>
        <v>#N/A</v>
      </c>
      <c r="C581" s="193">
        <v>2025</v>
      </c>
      <c r="D581" s="193">
        <f>Introduction!$D$7</f>
        <v>0</v>
      </c>
      <c r="E581" s="193">
        <f>Introduction!$D$8</f>
        <v>0</v>
      </c>
      <c r="F581" s="193" t="s">
        <v>488</v>
      </c>
      <c r="G581" s="193" t="s">
        <v>171</v>
      </c>
      <c r="H581" s="193">
        <f>'Buildings - Grid Electricity'!B86</f>
        <v>0</v>
      </c>
      <c r="I581" s="193">
        <f>'Buildings - Grid Electricity'!C86</f>
        <v>0</v>
      </c>
      <c r="J581" s="193" t="str">
        <f>'Buildings - Grid Electricity'!D86</f>
        <v/>
      </c>
      <c r="K581" s="237"/>
      <c r="L581" s="237"/>
      <c r="M581" s="193" t="str">
        <f>'Buildings - Grid Electricity'!E86</f>
        <v/>
      </c>
      <c r="N581" s="193" t="str">
        <f>'Buildings - Grid Electricity'!F86</f>
        <v/>
      </c>
      <c r="O581" s="237"/>
      <c r="P581" s="193">
        <f>'Buildings - Grid Electricity'!G86</f>
        <v>0</v>
      </c>
      <c r="Q581" s="193" t="str">
        <f>'Buildings - Grid Electricity'!H86</f>
        <v/>
      </c>
      <c r="R581" s="193">
        <f>'Buildings - Grid Electricity'!I86</f>
        <v>0</v>
      </c>
      <c r="S581" s="193" t="str">
        <f>'Buildings - Grid Electricity'!J86</f>
        <v/>
      </c>
      <c r="T581" s="193" t="str">
        <f>'Buildings - Grid Electricity'!K86</f>
        <v/>
      </c>
      <c r="U581" s="193" t="str">
        <f>'Buildings - Grid Electricity'!L86</f>
        <v/>
      </c>
      <c r="V581" s="193" t="str">
        <f>'Buildings - Grid Electricity'!M86</f>
        <v/>
      </c>
      <c r="W581" s="193" t="str">
        <f>'Buildings - Grid Electricity'!N86</f>
        <v/>
      </c>
      <c r="X581" s="193">
        <f>'Buildings - Grid Electricity'!O86</f>
        <v>0</v>
      </c>
      <c r="Y581" s="193">
        <f>'Buildings - Grid Electricity'!P86</f>
        <v>0</v>
      </c>
      <c r="Z581" s="193" t="str">
        <f>'Buildings - Grid Electricity'!Q86</f>
        <v/>
      </c>
      <c r="AA581" s="193" t="str">
        <f>'Buildings - Grid Electricity'!R86</f>
        <v/>
      </c>
      <c r="AB581" s="193" t="str">
        <f>'Buildings - Grid Electricity'!S86</f>
        <v/>
      </c>
      <c r="AC581" s="193" t="str">
        <f>'Buildings - Grid Electricity'!T86</f>
        <v/>
      </c>
      <c r="AD581" s="193" t="str">
        <f>'Buildings - Grid Electricity'!U86</f>
        <v/>
      </c>
      <c r="AE581" s="193" t="str">
        <f>'Buildings - Grid Electricity'!V86</f>
        <v/>
      </c>
      <c r="AF581" s="193" t="str">
        <f>'Buildings - Grid Electricity'!W86</f>
        <v/>
      </c>
      <c r="AG581" s="193" t="str">
        <f>'Buildings - Grid Electricity'!X86</f>
        <v/>
      </c>
      <c r="AI581" s="193">
        <f t="shared" si="6"/>
        <v>0</v>
      </c>
      <c r="AJ581" s="193">
        <f t="shared" si="7"/>
        <v>0</v>
      </c>
    </row>
    <row r="582" spans="2:36" x14ac:dyDescent="0.35">
      <c r="B582" s="193" t="e">
        <f>"2024"&amp;MATCH(Totals!D582,OrgType,0)&amp;"_"&amp;MATCH(Totals!E582,Organisations,0)&amp;"_"&amp;LEFT(Totals!F582,1)&amp;"_"&amp;LEFT(G582,1)&amp;"_"&amp;COUNTIF($G$3:G582,G582)</f>
        <v>#N/A</v>
      </c>
      <c r="C582" s="193">
        <v>2025</v>
      </c>
      <c r="D582" s="193">
        <f>Introduction!$D$7</f>
        <v>0</v>
      </c>
      <c r="E582" s="193">
        <f>Introduction!$D$8</f>
        <v>0</v>
      </c>
      <c r="F582" s="193" t="s">
        <v>488</v>
      </c>
      <c r="G582" s="193" t="s">
        <v>171</v>
      </c>
      <c r="H582" s="193">
        <f>'Buildings - Grid Electricity'!B87</f>
        <v>0</v>
      </c>
      <c r="I582" s="193">
        <f>'Buildings - Grid Electricity'!C87</f>
        <v>0</v>
      </c>
      <c r="J582" s="193" t="str">
        <f>'Buildings - Grid Electricity'!D87</f>
        <v/>
      </c>
      <c r="K582" s="237"/>
      <c r="L582" s="237"/>
      <c r="M582" s="193" t="str">
        <f>'Buildings - Grid Electricity'!E87</f>
        <v/>
      </c>
      <c r="N582" s="193" t="str">
        <f>'Buildings - Grid Electricity'!F87</f>
        <v/>
      </c>
      <c r="O582" s="237"/>
      <c r="P582" s="193">
        <f>'Buildings - Grid Electricity'!G87</f>
        <v>0</v>
      </c>
      <c r="Q582" s="193" t="str">
        <f>'Buildings - Grid Electricity'!H87</f>
        <v/>
      </c>
      <c r="R582" s="193">
        <f>'Buildings - Grid Electricity'!I87</f>
        <v>0</v>
      </c>
      <c r="S582" s="193" t="str">
        <f>'Buildings - Grid Electricity'!J87</f>
        <v/>
      </c>
      <c r="T582" s="193" t="str">
        <f>'Buildings - Grid Electricity'!K87</f>
        <v/>
      </c>
      <c r="U582" s="193" t="str">
        <f>'Buildings - Grid Electricity'!L87</f>
        <v/>
      </c>
      <c r="V582" s="193" t="str">
        <f>'Buildings - Grid Electricity'!M87</f>
        <v/>
      </c>
      <c r="W582" s="193" t="str">
        <f>'Buildings - Grid Electricity'!N87</f>
        <v/>
      </c>
      <c r="X582" s="193">
        <f>'Buildings - Grid Electricity'!O87</f>
        <v>0</v>
      </c>
      <c r="Y582" s="193">
        <f>'Buildings - Grid Electricity'!P87</f>
        <v>0</v>
      </c>
      <c r="Z582" s="193" t="str">
        <f>'Buildings - Grid Electricity'!Q87</f>
        <v/>
      </c>
      <c r="AA582" s="193" t="str">
        <f>'Buildings - Grid Electricity'!R87</f>
        <v/>
      </c>
      <c r="AB582" s="193" t="str">
        <f>'Buildings - Grid Electricity'!S87</f>
        <v/>
      </c>
      <c r="AC582" s="193" t="str">
        <f>'Buildings - Grid Electricity'!T87</f>
        <v/>
      </c>
      <c r="AD582" s="193" t="str">
        <f>'Buildings - Grid Electricity'!U87</f>
        <v/>
      </c>
      <c r="AE582" s="193" t="str">
        <f>'Buildings - Grid Electricity'!V87</f>
        <v/>
      </c>
      <c r="AF582" s="193" t="str">
        <f>'Buildings - Grid Electricity'!W87</f>
        <v/>
      </c>
      <c r="AG582" s="193" t="str">
        <f>'Buildings - Grid Electricity'!X87</f>
        <v/>
      </c>
      <c r="AI582" s="193">
        <f t="shared" si="6"/>
        <v>0</v>
      </c>
      <c r="AJ582" s="193">
        <f t="shared" si="7"/>
        <v>0</v>
      </c>
    </row>
    <row r="583" spans="2:36" x14ac:dyDescent="0.35">
      <c r="B583" s="193" t="e">
        <f>"2024"&amp;MATCH(Totals!D583,OrgType,0)&amp;"_"&amp;MATCH(Totals!E583,Organisations,0)&amp;"_"&amp;LEFT(Totals!F583,1)&amp;"_"&amp;LEFT(G583,1)&amp;"_"&amp;COUNTIF($G$3:G583,G583)</f>
        <v>#N/A</v>
      </c>
      <c r="C583" s="193">
        <v>2025</v>
      </c>
      <c r="D583" s="193">
        <f>Introduction!$D$7</f>
        <v>0</v>
      </c>
      <c r="E583" s="193">
        <f>Introduction!$D$8</f>
        <v>0</v>
      </c>
      <c r="F583" s="193" t="s">
        <v>488</v>
      </c>
      <c r="G583" s="193" t="s">
        <v>171</v>
      </c>
      <c r="H583" s="193">
        <f>'Buildings - Grid Electricity'!B88</f>
        <v>0</v>
      </c>
      <c r="I583" s="193">
        <f>'Buildings - Grid Electricity'!C88</f>
        <v>0</v>
      </c>
      <c r="J583" s="193" t="str">
        <f>'Buildings - Grid Electricity'!D88</f>
        <v/>
      </c>
      <c r="K583" s="237"/>
      <c r="L583" s="237"/>
      <c r="M583" s="193" t="str">
        <f>'Buildings - Grid Electricity'!E88</f>
        <v/>
      </c>
      <c r="N583" s="193" t="str">
        <f>'Buildings - Grid Electricity'!F88</f>
        <v/>
      </c>
      <c r="O583" s="237"/>
      <c r="P583" s="193">
        <f>'Buildings - Grid Electricity'!G88</f>
        <v>0</v>
      </c>
      <c r="Q583" s="193" t="str">
        <f>'Buildings - Grid Electricity'!H88</f>
        <v/>
      </c>
      <c r="R583" s="193">
        <f>'Buildings - Grid Electricity'!I88</f>
        <v>0</v>
      </c>
      <c r="S583" s="193" t="str">
        <f>'Buildings - Grid Electricity'!J88</f>
        <v/>
      </c>
      <c r="T583" s="193" t="str">
        <f>'Buildings - Grid Electricity'!K88</f>
        <v/>
      </c>
      <c r="U583" s="193" t="str">
        <f>'Buildings - Grid Electricity'!L88</f>
        <v/>
      </c>
      <c r="V583" s="193" t="str">
        <f>'Buildings - Grid Electricity'!M88</f>
        <v/>
      </c>
      <c r="W583" s="193" t="str">
        <f>'Buildings - Grid Electricity'!N88</f>
        <v/>
      </c>
      <c r="X583" s="193">
        <f>'Buildings - Grid Electricity'!O88</f>
        <v>0</v>
      </c>
      <c r="Y583" s="193">
        <f>'Buildings - Grid Electricity'!P88</f>
        <v>0</v>
      </c>
      <c r="Z583" s="193" t="str">
        <f>'Buildings - Grid Electricity'!Q88</f>
        <v/>
      </c>
      <c r="AA583" s="193" t="str">
        <f>'Buildings - Grid Electricity'!R88</f>
        <v/>
      </c>
      <c r="AB583" s="193" t="str">
        <f>'Buildings - Grid Electricity'!S88</f>
        <v/>
      </c>
      <c r="AC583" s="193" t="str">
        <f>'Buildings - Grid Electricity'!T88</f>
        <v/>
      </c>
      <c r="AD583" s="193" t="str">
        <f>'Buildings - Grid Electricity'!U88</f>
        <v/>
      </c>
      <c r="AE583" s="193" t="str">
        <f>'Buildings - Grid Electricity'!V88</f>
        <v/>
      </c>
      <c r="AF583" s="193" t="str">
        <f>'Buildings - Grid Electricity'!W88</f>
        <v/>
      </c>
      <c r="AG583" s="193" t="str">
        <f>'Buildings - Grid Electricity'!X88</f>
        <v/>
      </c>
      <c r="AI583" s="193">
        <f t="shared" si="6"/>
        <v>0</v>
      </c>
      <c r="AJ583" s="193">
        <f t="shared" si="7"/>
        <v>0</v>
      </c>
    </row>
    <row r="584" spans="2:36" x14ac:dyDescent="0.35">
      <c r="B584" s="193" t="e">
        <f>"2024"&amp;MATCH(Totals!D584,OrgType,0)&amp;"_"&amp;MATCH(Totals!E584,Organisations,0)&amp;"_"&amp;LEFT(Totals!F584,1)&amp;"_"&amp;LEFT(G584,1)&amp;"_"&amp;COUNTIF($G$3:G584,G584)</f>
        <v>#N/A</v>
      </c>
      <c r="C584" s="193">
        <v>2025</v>
      </c>
      <c r="D584" s="193">
        <f>Introduction!$D$7</f>
        <v>0</v>
      </c>
      <c r="E584" s="193">
        <f>Introduction!$D$8</f>
        <v>0</v>
      </c>
      <c r="F584" s="193" t="s">
        <v>488</v>
      </c>
      <c r="G584" s="193" t="s">
        <v>171</v>
      </c>
      <c r="H584" s="193">
        <f>'Buildings - Grid Electricity'!B89</f>
        <v>0</v>
      </c>
      <c r="I584" s="193">
        <f>'Buildings - Grid Electricity'!C89</f>
        <v>0</v>
      </c>
      <c r="J584" s="193" t="str">
        <f>'Buildings - Grid Electricity'!D89</f>
        <v/>
      </c>
      <c r="K584" s="237"/>
      <c r="L584" s="237"/>
      <c r="M584" s="193" t="str">
        <f>'Buildings - Grid Electricity'!E89</f>
        <v/>
      </c>
      <c r="N584" s="193" t="str">
        <f>'Buildings - Grid Electricity'!F89</f>
        <v/>
      </c>
      <c r="O584" s="237"/>
      <c r="P584" s="193">
        <f>'Buildings - Grid Electricity'!G89</f>
        <v>0</v>
      </c>
      <c r="Q584" s="193" t="str">
        <f>'Buildings - Grid Electricity'!H89</f>
        <v/>
      </c>
      <c r="R584" s="193">
        <f>'Buildings - Grid Electricity'!I89</f>
        <v>0</v>
      </c>
      <c r="S584" s="193" t="str">
        <f>'Buildings - Grid Electricity'!J89</f>
        <v/>
      </c>
      <c r="T584" s="193" t="str">
        <f>'Buildings - Grid Electricity'!K89</f>
        <v/>
      </c>
      <c r="U584" s="193" t="str">
        <f>'Buildings - Grid Electricity'!L89</f>
        <v/>
      </c>
      <c r="V584" s="193" t="str">
        <f>'Buildings - Grid Electricity'!M89</f>
        <v/>
      </c>
      <c r="W584" s="193" t="str">
        <f>'Buildings - Grid Electricity'!N89</f>
        <v/>
      </c>
      <c r="X584" s="193">
        <f>'Buildings - Grid Electricity'!O89</f>
        <v>0</v>
      </c>
      <c r="Y584" s="193">
        <f>'Buildings - Grid Electricity'!P89</f>
        <v>0</v>
      </c>
      <c r="Z584" s="193" t="str">
        <f>'Buildings - Grid Electricity'!Q89</f>
        <v/>
      </c>
      <c r="AA584" s="193" t="str">
        <f>'Buildings - Grid Electricity'!R89</f>
        <v/>
      </c>
      <c r="AB584" s="193" t="str">
        <f>'Buildings - Grid Electricity'!S89</f>
        <v/>
      </c>
      <c r="AC584" s="193" t="str">
        <f>'Buildings - Grid Electricity'!T89</f>
        <v/>
      </c>
      <c r="AD584" s="193" t="str">
        <f>'Buildings - Grid Electricity'!U89</f>
        <v/>
      </c>
      <c r="AE584" s="193" t="str">
        <f>'Buildings - Grid Electricity'!V89</f>
        <v/>
      </c>
      <c r="AF584" s="193" t="str">
        <f>'Buildings - Grid Electricity'!W89</f>
        <v/>
      </c>
      <c r="AG584" s="193" t="str">
        <f>'Buildings - Grid Electricity'!X89</f>
        <v/>
      </c>
      <c r="AI584" s="193">
        <f t="shared" si="6"/>
        <v>0</v>
      </c>
      <c r="AJ584" s="193">
        <f t="shared" si="7"/>
        <v>0</v>
      </c>
    </row>
    <row r="585" spans="2:36" x14ac:dyDescent="0.35">
      <c r="B585" s="193" t="e">
        <f>"2024"&amp;MATCH(Totals!D585,OrgType,0)&amp;"_"&amp;MATCH(Totals!E585,Organisations,0)&amp;"_"&amp;LEFT(Totals!F585,1)&amp;"_"&amp;LEFT(G585,1)&amp;"_"&amp;COUNTIF($G$3:G585,G585)</f>
        <v>#N/A</v>
      </c>
      <c r="C585" s="193">
        <v>2025</v>
      </c>
      <c r="D585" s="193">
        <f>Introduction!$D$7</f>
        <v>0</v>
      </c>
      <c r="E585" s="193">
        <f>Introduction!$D$8</f>
        <v>0</v>
      </c>
      <c r="F585" s="193" t="s">
        <v>488</v>
      </c>
      <c r="G585" s="193" t="s">
        <v>171</v>
      </c>
      <c r="H585" s="193">
        <f>'Buildings - Grid Electricity'!B90</f>
        <v>0</v>
      </c>
      <c r="I585" s="193">
        <f>'Buildings - Grid Electricity'!C90</f>
        <v>0</v>
      </c>
      <c r="J585" s="193" t="str">
        <f>'Buildings - Grid Electricity'!D90</f>
        <v/>
      </c>
      <c r="K585" s="237"/>
      <c r="L585" s="237"/>
      <c r="M585" s="193" t="str">
        <f>'Buildings - Grid Electricity'!E90</f>
        <v/>
      </c>
      <c r="N585" s="193" t="str">
        <f>'Buildings - Grid Electricity'!F90</f>
        <v/>
      </c>
      <c r="O585" s="237"/>
      <c r="P585" s="193">
        <f>'Buildings - Grid Electricity'!G90</f>
        <v>0</v>
      </c>
      <c r="Q585" s="193" t="str">
        <f>'Buildings - Grid Electricity'!H90</f>
        <v/>
      </c>
      <c r="R585" s="193">
        <f>'Buildings - Grid Electricity'!I90</f>
        <v>0</v>
      </c>
      <c r="S585" s="193" t="str">
        <f>'Buildings - Grid Electricity'!J90</f>
        <v/>
      </c>
      <c r="T585" s="193" t="str">
        <f>'Buildings - Grid Electricity'!K90</f>
        <v/>
      </c>
      <c r="U585" s="193" t="str">
        <f>'Buildings - Grid Electricity'!L90</f>
        <v/>
      </c>
      <c r="V585" s="193" t="str">
        <f>'Buildings - Grid Electricity'!M90</f>
        <v/>
      </c>
      <c r="W585" s="193" t="str">
        <f>'Buildings - Grid Electricity'!N90</f>
        <v/>
      </c>
      <c r="X585" s="193">
        <f>'Buildings - Grid Electricity'!O90</f>
        <v>0</v>
      </c>
      <c r="Y585" s="193">
        <f>'Buildings - Grid Electricity'!P90</f>
        <v>0</v>
      </c>
      <c r="Z585" s="193" t="str">
        <f>'Buildings - Grid Electricity'!Q90</f>
        <v/>
      </c>
      <c r="AA585" s="193" t="str">
        <f>'Buildings - Grid Electricity'!R90</f>
        <v/>
      </c>
      <c r="AB585" s="193" t="str">
        <f>'Buildings - Grid Electricity'!S90</f>
        <v/>
      </c>
      <c r="AC585" s="193" t="str">
        <f>'Buildings - Grid Electricity'!T90</f>
        <v/>
      </c>
      <c r="AD585" s="193" t="str">
        <f>'Buildings - Grid Electricity'!U90</f>
        <v/>
      </c>
      <c r="AE585" s="193" t="str">
        <f>'Buildings - Grid Electricity'!V90</f>
        <v/>
      </c>
      <c r="AF585" s="193" t="str">
        <f>'Buildings - Grid Electricity'!W90</f>
        <v/>
      </c>
      <c r="AG585" s="193" t="str">
        <f>'Buildings - Grid Electricity'!X90</f>
        <v/>
      </c>
      <c r="AI585" s="193">
        <f t="shared" si="6"/>
        <v>0</v>
      </c>
      <c r="AJ585" s="193">
        <f t="shared" si="7"/>
        <v>0</v>
      </c>
    </row>
    <row r="586" spans="2:36" x14ac:dyDescent="0.35">
      <c r="B586" s="193" t="e">
        <f>"2024"&amp;MATCH(Totals!D586,OrgType,0)&amp;"_"&amp;MATCH(Totals!E586,Organisations,0)&amp;"_"&amp;LEFT(Totals!F586,1)&amp;"_"&amp;LEFT(G586,1)&amp;"_"&amp;COUNTIF($G$3:G586,G586)</f>
        <v>#N/A</v>
      </c>
      <c r="C586" s="193">
        <v>2025</v>
      </c>
      <c r="D586" s="193">
        <f>Introduction!$D$7</f>
        <v>0</v>
      </c>
      <c r="E586" s="193">
        <f>Introduction!$D$8</f>
        <v>0</v>
      </c>
      <c r="F586" s="193" t="s">
        <v>488</v>
      </c>
      <c r="G586" s="193" t="s">
        <v>171</v>
      </c>
      <c r="H586" s="193">
        <f>'Buildings - Grid Electricity'!B91</f>
        <v>0</v>
      </c>
      <c r="I586" s="193">
        <f>'Buildings - Grid Electricity'!C91</f>
        <v>0</v>
      </c>
      <c r="J586" s="193" t="str">
        <f>'Buildings - Grid Electricity'!D91</f>
        <v/>
      </c>
      <c r="K586" s="237"/>
      <c r="L586" s="237"/>
      <c r="M586" s="193" t="str">
        <f>'Buildings - Grid Electricity'!E91</f>
        <v/>
      </c>
      <c r="N586" s="193" t="str">
        <f>'Buildings - Grid Electricity'!F91</f>
        <v/>
      </c>
      <c r="O586" s="237"/>
      <c r="P586" s="193">
        <f>'Buildings - Grid Electricity'!G91</f>
        <v>0</v>
      </c>
      <c r="Q586" s="193" t="str">
        <f>'Buildings - Grid Electricity'!H91</f>
        <v/>
      </c>
      <c r="R586" s="193">
        <f>'Buildings - Grid Electricity'!I91</f>
        <v>0</v>
      </c>
      <c r="S586" s="193" t="str">
        <f>'Buildings - Grid Electricity'!J91</f>
        <v/>
      </c>
      <c r="T586" s="193" t="str">
        <f>'Buildings - Grid Electricity'!K91</f>
        <v/>
      </c>
      <c r="U586" s="193" t="str">
        <f>'Buildings - Grid Electricity'!L91</f>
        <v/>
      </c>
      <c r="V586" s="193" t="str">
        <f>'Buildings - Grid Electricity'!M91</f>
        <v/>
      </c>
      <c r="W586" s="193" t="str">
        <f>'Buildings - Grid Electricity'!N91</f>
        <v/>
      </c>
      <c r="X586" s="193">
        <f>'Buildings - Grid Electricity'!O91</f>
        <v>0</v>
      </c>
      <c r="Y586" s="193">
        <f>'Buildings - Grid Electricity'!P91</f>
        <v>0</v>
      </c>
      <c r="Z586" s="193" t="str">
        <f>'Buildings - Grid Electricity'!Q91</f>
        <v/>
      </c>
      <c r="AA586" s="193" t="str">
        <f>'Buildings - Grid Electricity'!R91</f>
        <v/>
      </c>
      <c r="AB586" s="193" t="str">
        <f>'Buildings - Grid Electricity'!S91</f>
        <v/>
      </c>
      <c r="AC586" s="193" t="str">
        <f>'Buildings - Grid Electricity'!T91</f>
        <v/>
      </c>
      <c r="AD586" s="193" t="str">
        <f>'Buildings - Grid Electricity'!U91</f>
        <v/>
      </c>
      <c r="AE586" s="193" t="str">
        <f>'Buildings - Grid Electricity'!V91</f>
        <v/>
      </c>
      <c r="AF586" s="193" t="str">
        <f>'Buildings - Grid Electricity'!W91</f>
        <v/>
      </c>
      <c r="AG586" s="193" t="str">
        <f>'Buildings - Grid Electricity'!X91</f>
        <v/>
      </c>
      <c r="AI586" s="193">
        <f t="shared" si="6"/>
        <v>0</v>
      </c>
      <c r="AJ586" s="193">
        <f t="shared" si="7"/>
        <v>0</v>
      </c>
    </row>
    <row r="587" spans="2:36" x14ac:dyDescent="0.35">
      <c r="B587" s="193" t="e">
        <f>"2024"&amp;MATCH(Totals!D587,OrgType,0)&amp;"_"&amp;MATCH(Totals!E587,Organisations,0)&amp;"_"&amp;LEFT(Totals!F587,1)&amp;"_"&amp;LEFT(G587,1)&amp;"_"&amp;COUNTIF($G$3:G587,G587)</f>
        <v>#N/A</v>
      </c>
      <c r="C587" s="193">
        <v>2025</v>
      </c>
      <c r="D587" s="193">
        <f>Introduction!$D$7</f>
        <v>0</v>
      </c>
      <c r="E587" s="193">
        <f>Introduction!$D$8</f>
        <v>0</v>
      </c>
      <c r="F587" s="193" t="s">
        <v>488</v>
      </c>
      <c r="G587" s="193" t="s">
        <v>171</v>
      </c>
      <c r="H587" s="193">
        <f>'Buildings - Grid Electricity'!B92</f>
        <v>0</v>
      </c>
      <c r="I587" s="193">
        <f>'Buildings - Grid Electricity'!C92</f>
        <v>0</v>
      </c>
      <c r="J587" s="193" t="str">
        <f>'Buildings - Grid Electricity'!D92</f>
        <v/>
      </c>
      <c r="K587" s="237"/>
      <c r="L587" s="237"/>
      <c r="M587" s="193" t="str">
        <f>'Buildings - Grid Electricity'!E92</f>
        <v/>
      </c>
      <c r="N587" s="193" t="str">
        <f>'Buildings - Grid Electricity'!F92</f>
        <v/>
      </c>
      <c r="O587" s="237"/>
      <c r="P587" s="193">
        <f>'Buildings - Grid Electricity'!G92</f>
        <v>0</v>
      </c>
      <c r="Q587" s="193" t="str">
        <f>'Buildings - Grid Electricity'!H92</f>
        <v/>
      </c>
      <c r="R587" s="193">
        <f>'Buildings - Grid Electricity'!I92</f>
        <v>0</v>
      </c>
      <c r="S587" s="193" t="str">
        <f>'Buildings - Grid Electricity'!J92</f>
        <v/>
      </c>
      <c r="T587" s="193" t="str">
        <f>'Buildings - Grid Electricity'!K92</f>
        <v/>
      </c>
      <c r="U587" s="193" t="str">
        <f>'Buildings - Grid Electricity'!L92</f>
        <v/>
      </c>
      <c r="V587" s="193" t="str">
        <f>'Buildings - Grid Electricity'!M92</f>
        <v/>
      </c>
      <c r="W587" s="193" t="str">
        <f>'Buildings - Grid Electricity'!N92</f>
        <v/>
      </c>
      <c r="X587" s="193">
        <f>'Buildings - Grid Electricity'!O92</f>
        <v>0</v>
      </c>
      <c r="Y587" s="193">
        <f>'Buildings - Grid Electricity'!P92</f>
        <v>0</v>
      </c>
      <c r="Z587" s="193" t="str">
        <f>'Buildings - Grid Electricity'!Q92</f>
        <v/>
      </c>
      <c r="AA587" s="193" t="str">
        <f>'Buildings - Grid Electricity'!R92</f>
        <v/>
      </c>
      <c r="AB587" s="193" t="str">
        <f>'Buildings - Grid Electricity'!S92</f>
        <v/>
      </c>
      <c r="AC587" s="193" t="str">
        <f>'Buildings - Grid Electricity'!T92</f>
        <v/>
      </c>
      <c r="AD587" s="193" t="str">
        <f>'Buildings - Grid Electricity'!U92</f>
        <v/>
      </c>
      <c r="AE587" s="193" t="str">
        <f>'Buildings - Grid Electricity'!V92</f>
        <v/>
      </c>
      <c r="AF587" s="193" t="str">
        <f>'Buildings - Grid Electricity'!W92</f>
        <v/>
      </c>
      <c r="AG587" s="193" t="str">
        <f>'Buildings - Grid Electricity'!X92</f>
        <v/>
      </c>
      <c r="AI587" s="193">
        <f t="shared" si="6"/>
        <v>0</v>
      </c>
      <c r="AJ587" s="193">
        <f t="shared" si="7"/>
        <v>0</v>
      </c>
    </row>
    <row r="588" spans="2:36" x14ac:dyDescent="0.35">
      <c r="B588" s="193" t="e">
        <f>"2024"&amp;MATCH(Totals!D588,OrgType,0)&amp;"_"&amp;MATCH(Totals!E588,Organisations,0)&amp;"_"&amp;LEFT(Totals!F588,1)&amp;"_"&amp;LEFT(G588,1)&amp;"_"&amp;COUNTIF($G$3:G588,G588)</f>
        <v>#N/A</v>
      </c>
      <c r="C588" s="193">
        <v>2025</v>
      </c>
      <c r="D588" s="193">
        <f>Introduction!$D$7</f>
        <v>0</v>
      </c>
      <c r="E588" s="193">
        <f>Introduction!$D$8</f>
        <v>0</v>
      </c>
      <c r="F588" s="193" t="s">
        <v>488</v>
      </c>
      <c r="G588" s="193" t="s">
        <v>171</v>
      </c>
      <c r="H588" s="193">
        <f>'Buildings - Grid Electricity'!B93</f>
        <v>0</v>
      </c>
      <c r="I588" s="193">
        <f>'Buildings - Grid Electricity'!C93</f>
        <v>0</v>
      </c>
      <c r="J588" s="193" t="str">
        <f>'Buildings - Grid Electricity'!D93</f>
        <v/>
      </c>
      <c r="K588" s="237"/>
      <c r="L588" s="237"/>
      <c r="M588" s="193" t="str">
        <f>'Buildings - Grid Electricity'!E93</f>
        <v/>
      </c>
      <c r="N588" s="193" t="str">
        <f>'Buildings - Grid Electricity'!F93</f>
        <v/>
      </c>
      <c r="O588" s="237"/>
      <c r="P588" s="193">
        <f>'Buildings - Grid Electricity'!G93</f>
        <v>0</v>
      </c>
      <c r="Q588" s="193" t="str">
        <f>'Buildings - Grid Electricity'!H93</f>
        <v/>
      </c>
      <c r="R588" s="193">
        <f>'Buildings - Grid Electricity'!I93</f>
        <v>0</v>
      </c>
      <c r="S588" s="193" t="str">
        <f>'Buildings - Grid Electricity'!J93</f>
        <v/>
      </c>
      <c r="T588" s="193" t="str">
        <f>'Buildings - Grid Electricity'!K93</f>
        <v/>
      </c>
      <c r="U588" s="193" t="str">
        <f>'Buildings - Grid Electricity'!L93</f>
        <v/>
      </c>
      <c r="V588" s="193" t="str">
        <f>'Buildings - Grid Electricity'!M93</f>
        <v/>
      </c>
      <c r="W588" s="193" t="str">
        <f>'Buildings - Grid Electricity'!N93</f>
        <v/>
      </c>
      <c r="X588" s="193">
        <f>'Buildings - Grid Electricity'!O93</f>
        <v>0</v>
      </c>
      <c r="Y588" s="193">
        <f>'Buildings - Grid Electricity'!P93</f>
        <v>0</v>
      </c>
      <c r="Z588" s="193" t="str">
        <f>'Buildings - Grid Electricity'!Q93</f>
        <v/>
      </c>
      <c r="AA588" s="193" t="str">
        <f>'Buildings - Grid Electricity'!R93</f>
        <v/>
      </c>
      <c r="AB588" s="193" t="str">
        <f>'Buildings - Grid Electricity'!S93</f>
        <v/>
      </c>
      <c r="AC588" s="193" t="str">
        <f>'Buildings - Grid Electricity'!T93</f>
        <v/>
      </c>
      <c r="AD588" s="193" t="str">
        <f>'Buildings - Grid Electricity'!U93</f>
        <v/>
      </c>
      <c r="AE588" s="193" t="str">
        <f>'Buildings - Grid Electricity'!V93</f>
        <v/>
      </c>
      <c r="AF588" s="193" t="str">
        <f>'Buildings - Grid Electricity'!W93</f>
        <v/>
      </c>
      <c r="AG588" s="193" t="str">
        <f>'Buildings - Grid Electricity'!X93</f>
        <v/>
      </c>
      <c r="AI588" s="193">
        <f t="shared" si="6"/>
        <v>0</v>
      </c>
      <c r="AJ588" s="193">
        <f t="shared" si="7"/>
        <v>0</v>
      </c>
    </row>
    <row r="589" spans="2:36" x14ac:dyDescent="0.35">
      <c r="B589" s="193" t="e">
        <f>"2024"&amp;MATCH(Totals!D589,OrgType,0)&amp;"_"&amp;MATCH(Totals!E589,Organisations,0)&amp;"_"&amp;LEFT(Totals!F589,1)&amp;"_"&amp;LEFT(G589,1)&amp;"_"&amp;COUNTIF($G$3:G589,G589)</f>
        <v>#N/A</v>
      </c>
      <c r="C589" s="193">
        <v>2025</v>
      </c>
      <c r="D589" s="193">
        <f>Introduction!$D$7</f>
        <v>0</v>
      </c>
      <c r="E589" s="193">
        <f>Introduction!$D$8</f>
        <v>0</v>
      </c>
      <c r="F589" s="193" t="s">
        <v>488</v>
      </c>
      <c r="G589" s="193" t="s">
        <v>171</v>
      </c>
      <c r="H589" s="193">
        <f>'Buildings - Grid Electricity'!B94</f>
        <v>0</v>
      </c>
      <c r="I589" s="193">
        <f>'Buildings - Grid Electricity'!C94</f>
        <v>0</v>
      </c>
      <c r="J589" s="193" t="str">
        <f>'Buildings - Grid Electricity'!D94</f>
        <v/>
      </c>
      <c r="K589" s="237"/>
      <c r="L589" s="237"/>
      <c r="M589" s="193" t="str">
        <f>'Buildings - Grid Electricity'!E94</f>
        <v/>
      </c>
      <c r="N589" s="193" t="str">
        <f>'Buildings - Grid Electricity'!F94</f>
        <v/>
      </c>
      <c r="O589" s="237"/>
      <c r="P589" s="193">
        <f>'Buildings - Grid Electricity'!G94</f>
        <v>0</v>
      </c>
      <c r="Q589" s="193" t="str">
        <f>'Buildings - Grid Electricity'!H94</f>
        <v/>
      </c>
      <c r="R589" s="193">
        <f>'Buildings - Grid Electricity'!I94</f>
        <v>0</v>
      </c>
      <c r="S589" s="193" t="str">
        <f>'Buildings - Grid Electricity'!J94</f>
        <v/>
      </c>
      <c r="T589" s="193" t="str">
        <f>'Buildings - Grid Electricity'!K94</f>
        <v/>
      </c>
      <c r="U589" s="193" t="str">
        <f>'Buildings - Grid Electricity'!L94</f>
        <v/>
      </c>
      <c r="V589" s="193" t="str">
        <f>'Buildings - Grid Electricity'!M94</f>
        <v/>
      </c>
      <c r="W589" s="193" t="str">
        <f>'Buildings - Grid Electricity'!N94</f>
        <v/>
      </c>
      <c r="X589" s="193">
        <f>'Buildings - Grid Electricity'!O94</f>
        <v>0</v>
      </c>
      <c r="Y589" s="193">
        <f>'Buildings - Grid Electricity'!P94</f>
        <v>0</v>
      </c>
      <c r="Z589" s="193" t="str">
        <f>'Buildings - Grid Electricity'!Q94</f>
        <v/>
      </c>
      <c r="AA589" s="193" t="str">
        <f>'Buildings - Grid Electricity'!R94</f>
        <v/>
      </c>
      <c r="AB589" s="193" t="str">
        <f>'Buildings - Grid Electricity'!S94</f>
        <v/>
      </c>
      <c r="AC589" s="193" t="str">
        <f>'Buildings - Grid Electricity'!T94</f>
        <v/>
      </c>
      <c r="AD589" s="193" t="str">
        <f>'Buildings - Grid Electricity'!U94</f>
        <v/>
      </c>
      <c r="AE589" s="193" t="str">
        <f>'Buildings - Grid Electricity'!V94</f>
        <v/>
      </c>
      <c r="AF589" s="193" t="str">
        <f>'Buildings - Grid Electricity'!W94</f>
        <v/>
      </c>
      <c r="AG589" s="193" t="str">
        <f>'Buildings - Grid Electricity'!X94</f>
        <v/>
      </c>
      <c r="AI589" s="193">
        <f t="shared" si="6"/>
        <v>0</v>
      </c>
      <c r="AJ589" s="193">
        <f t="shared" si="7"/>
        <v>0</v>
      </c>
    </row>
    <row r="590" spans="2:36" x14ac:dyDescent="0.35">
      <c r="B590" s="193" t="e">
        <f>"2024"&amp;MATCH(Totals!D590,OrgType,0)&amp;"_"&amp;MATCH(Totals!E590,Organisations,0)&amp;"_"&amp;LEFT(Totals!F590,1)&amp;"_"&amp;LEFT(G590,1)&amp;"_"&amp;COUNTIF($G$3:G590,G590)</f>
        <v>#N/A</v>
      </c>
      <c r="C590" s="193">
        <v>2025</v>
      </c>
      <c r="D590" s="193">
        <f>Introduction!$D$7</f>
        <v>0</v>
      </c>
      <c r="E590" s="193">
        <f>Introduction!$D$8</f>
        <v>0</v>
      </c>
      <c r="F590" s="193" t="s">
        <v>488</v>
      </c>
      <c r="G590" s="193" t="s">
        <v>171</v>
      </c>
      <c r="H590" s="193">
        <f>'Buildings - Grid Electricity'!B95</f>
        <v>0</v>
      </c>
      <c r="I590" s="193">
        <f>'Buildings - Grid Electricity'!C95</f>
        <v>0</v>
      </c>
      <c r="J590" s="193" t="str">
        <f>'Buildings - Grid Electricity'!D95</f>
        <v/>
      </c>
      <c r="K590" s="237"/>
      <c r="L590" s="237"/>
      <c r="M590" s="193" t="str">
        <f>'Buildings - Grid Electricity'!E95</f>
        <v/>
      </c>
      <c r="N590" s="193" t="str">
        <f>'Buildings - Grid Electricity'!F95</f>
        <v/>
      </c>
      <c r="O590" s="237"/>
      <c r="P590" s="193">
        <f>'Buildings - Grid Electricity'!G95</f>
        <v>0</v>
      </c>
      <c r="Q590" s="193" t="str">
        <f>'Buildings - Grid Electricity'!H95</f>
        <v/>
      </c>
      <c r="R590" s="193">
        <f>'Buildings - Grid Electricity'!I95</f>
        <v>0</v>
      </c>
      <c r="S590" s="193" t="str">
        <f>'Buildings - Grid Electricity'!J95</f>
        <v/>
      </c>
      <c r="T590" s="193" t="str">
        <f>'Buildings - Grid Electricity'!K95</f>
        <v/>
      </c>
      <c r="U590" s="193" t="str">
        <f>'Buildings - Grid Electricity'!L95</f>
        <v/>
      </c>
      <c r="V590" s="193" t="str">
        <f>'Buildings - Grid Electricity'!M95</f>
        <v/>
      </c>
      <c r="W590" s="193" t="str">
        <f>'Buildings - Grid Electricity'!N95</f>
        <v/>
      </c>
      <c r="X590" s="193">
        <f>'Buildings - Grid Electricity'!O95</f>
        <v>0</v>
      </c>
      <c r="Y590" s="193">
        <f>'Buildings - Grid Electricity'!P95</f>
        <v>0</v>
      </c>
      <c r="Z590" s="193" t="str">
        <f>'Buildings - Grid Electricity'!Q95</f>
        <v/>
      </c>
      <c r="AA590" s="193" t="str">
        <f>'Buildings - Grid Electricity'!R95</f>
        <v/>
      </c>
      <c r="AB590" s="193" t="str">
        <f>'Buildings - Grid Electricity'!S95</f>
        <v/>
      </c>
      <c r="AC590" s="193" t="str">
        <f>'Buildings - Grid Electricity'!T95</f>
        <v/>
      </c>
      <c r="AD590" s="193" t="str">
        <f>'Buildings - Grid Electricity'!U95</f>
        <v/>
      </c>
      <c r="AE590" s="193" t="str">
        <f>'Buildings - Grid Electricity'!V95</f>
        <v/>
      </c>
      <c r="AF590" s="193" t="str">
        <f>'Buildings - Grid Electricity'!W95</f>
        <v/>
      </c>
      <c r="AG590" s="193" t="str">
        <f>'Buildings - Grid Electricity'!X95</f>
        <v/>
      </c>
      <c r="AI590" s="193">
        <f t="shared" si="6"/>
        <v>0</v>
      </c>
      <c r="AJ590" s="193">
        <f t="shared" si="7"/>
        <v>0</v>
      </c>
    </row>
    <row r="591" spans="2:36" x14ac:dyDescent="0.35">
      <c r="B591" s="193" t="e">
        <f>"2024"&amp;MATCH(Totals!D591,OrgType,0)&amp;"_"&amp;MATCH(Totals!E591,Organisations,0)&amp;"_"&amp;LEFT(Totals!F591,1)&amp;"_"&amp;LEFT(G591,1)&amp;"_"&amp;COUNTIF($G$3:G591,G591)</f>
        <v>#N/A</v>
      </c>
      <c r="C591" s="193">
        <v>2025</v>
      </c>
      <c r="D591" s="193">
        <f>Introduction!$D$7</f>
        <v>0</v>
      </c>
      <c r="E591" s="193">
        <f>Introduction!$D$8</f>
        <v>0</v>
      </c>
      <c r="F591" s="193" t="s">
        <v>488</v>
      </c>
      <c r="G591" s="193" t="s">
        <v>171</v>
      </c>
      <c r="H591" s="193">
        <f>'Buildings - Grid Electricity'!B96</f>
        <v>0</v>
      </c>
      <c r="I591" s="193">
        <f>'Buildings - Grid Electricity'!C96</f>
        <v>0</v>
      </c>
      <c r="J591" s="193" t="str">
        <f>'Buildings - Grid Electricity'!D96</f>
        <v/>
      </c>
      <c r="K591" s="237"/>
      <c r="L591" s="237"/>
      <c r="M591" s="193" t="str">
        <f>'Buildings - Grid Electricity'!E96</f>
        <v/>
      </c>
      <c r="N591" s="193" t="str">
        <f>'Buildings - Grid Electricity'!F96</f>
        <v/>
      </c>
      <c r="O591" s="237"/>
      <c r="P591" s="193">
        <f>'Buildings - Grid Electricity'!G96</f>
        <v>0</v>
      </c>
      <c r="Q591" s="193" t="str">
        <f>'Buildings - Grid Electricity'!H96</f>
        <v/>
      </c>
      <c r="R591" s="193">
        <f>'Buildings - Grid Electricity'!I96</f>
        <v>0</v>
      </c>
      <c r="S591" s="193" t="str">
        <f>'Buildings - Grid Electricity'!J96</f>
        <v/>
      </c>
      <c r="T591" s="193" t="str">
        <f>'Buildings - Grid Electricity'!K96</f>
        <v/>
      </c>
      <c r="U591" s="193" t="str">
        <f>'Buildings - Grid Electricity'!L96</f>
        <v/>
      </c>
      <c r="V591" s="193" t="str">
        <f>'Buildings - Grid Electricity'!M96</f>
        <v/>
      </c>
      <c r="W591" s="193" t="str">
        <f>'Buildings - Grid Electricity'!N96</f>
        <v/>
      </c>
      <c r="X591" s="193">
        <f>'Buildings - Grid Electricity'!O96</f>
        <v>0</v>
      </c>
      <c r="Y591" s="193">
        <f>'Buildings - Grid Electricity'!P96</f>
        <v>0</v>
      </c>
      <c r="Z591" s="193" t="str">
        <f>'Buildings - Grid Electricity'!Q96</f>
        <v/>
      </c>
      <c r="AA591" s="193" t="str">
        <f>'Buildings - Grid Electricity'!R96</f>
        <v/>
      </c>
      <c r="AB591" s="193" t="str">
        <f>'Buildings - Grid Electricity'!S96</f>
        <v/>
      </c>
      <c r="AC591" s="193" t="str">
        <f>'Buildings - Grid Electricity'!T96</f>
        <v/>
      </c>
      <c r="AD591" s="193" t="str">
        <f>'Buildings - Grid Electricity'!U96</f>
        <v/>
      </c>
      <c r="AE591" s="193" t="str">
        <f>'Buildings - Grid Electricity'!V96</f>
        <v/>
      </c>
      <c r="AF591" s="193" t="str">
        <f>'Buildings - Grid Electricity'!W96</f>
        <v/>
      </c>
      <c r="AG591" s="193" t="str">
        <f>'Buildings - Grid Electricity'!X96</f>
        <v/>
      </c>
      <c r="AI591" s="193">
        <f t="shared" si="6"/>
        <v>0</v>
      </c>
      <c r="AJ591" s="193">
        <f t="shared" si="7"/>
        <v>0</v>
      </c>
    </row>
    <row r="592" spans="2:36" x14ac:dyDescent="0.35">
      <c r="B592" s="193" t="e">
        <f>"2024"&amp;MATCH(Totals!D592,OrgType,0)&amp;"_"&amp;MATCH(Totals!E592,Organisations,0)&amp;"_"&amp;LEFT(Totals!F592,1)&amp;"_"&amp;LEFT(G592,1)&amp;"_"&amp;COUNTIF($G$3:G592,G592)</f>
        <v>#N/A</v>
      </c>
      <c r="C592" s="193">
        <v>2025</v>
      </c>
      <c r="D592" s="193">
        <f>Introduction!$D$7</f>
        <v>0</v>
      </c>
      <c r="E592" s="193">
        <f>Introduction!$D$8</f>
        <v>0</v>
      </c>
      <c r="F592" s="193" t="s">
        <v>488</v>
      </c>
      <c r="G592" s="193" t="s">
        <v>171</v>
      </c>
      <c r="H592" s="193">
        <f>'Buildings - Grid Electricity'!B97</f>
        <v>0</v>
      </c>
      <c r="I592" s="193">
        <f>'Buildings - Grid Electricity'!C97</f>
        <v>0</v>
      </c>
      <c r="J592" s="193" t="str">
        <f>'Buildings - Grid Electricity'!D97</f>
        <v/>
      </c>
      <c r="K592" s="237"/>
      <c r="L592" s="237"/>
      <c r="M592" s="193" t="str">
        <f>'Buildings - Grid Electricity'!E97</f>
        <v/>
      </c>
      <c r="N592" s="193" t="str">
        <f>'Buildings - Grid Electricity'!F97</f>
        <v/>
      </c>
      <c r="O592" s="237"/>
      <c r="P592" s="193">
        <f>'Buildings - Grid Electricity'!G97</f>
        <v>0</v>
      </c>
      <c r="Q592" s="193" t="str">
        <f>'Buildings - Grid Electricity'!H97</f>
        <v/>
      </c>
      <c r="R592" s="193">
        <f>'Buildings - Grid Electricity'!I97</f>
        <v>0</v>
      </c>
      <c r="S592" s="193" t="str">
        <f>'Buildings - Grid Electricity'!J97</f>
        <v/>
      </c>
      <c r="T592" s="193" t="str">
        <f>'Buildings - Grid Electricity'!K97</f>
        <v/>
      </c>
      <c r="U592" s="193" t="str">
        <f>'Buildings - Grid Electricity'!L97</f>
        <v/>
      </c>
      <c r="V592" s="193" t="str">
        <f>'Buildings - Grid Electricity'!M97</f>
        <v/>
      </c>
      <c r="W592" s="193" t="str">
        <f>'Buildings - Grid Electricity'!N97</f>
        <v/>
      </c>
      <c r="X592" s="193">
        <f>'Buildings - Grid Electricity'!O97</f>
        <v>0</v>
      </c>
      <c r="Y592" s="193">
        <f>'Buildings - Grid Electricity'!P97</f>
        <v>0</v>
      </c>
      <c r="Z592" s="193" t="str">
        <f>'Buildings - Grid Electricity'!Q97</f>
        <v/>
      </c>
      <c r="AA592" s="193" t="str">
        <f>'Buildings - Grid Electricity'!R97</f>
        <v/>
      </c>
      <c r="AB592" s="193" t="str">
        <f>'Buildings - Grid Electricity'!S97</f>
        <v/>
      </c>
      <c r="AC592" s="193" t="str">
        <f>'Buildings - Grid Electricity'!T97</f>
        <v/>
      </c>
      <c r="AD592" s="193" t="str">
        <f>'Buildings - Grid Electricity'!U97</f>
        <v/>
      </c>
      <c r="AE592" s="193" t="str">
        <f>'Buildings - Grid Electricity'!V97</f>
        <v/>
      </c>
      <c r="AF592" s="193" t="str">
        <f>'Buildings - Grid Electricity'!W97</f>
        <v/>
      </c>
      <c r="AG592" s="193" t="str">
        <f>'Buildings - Grid Electricity'!X97</f>
        <v/>
      </c>
      <c r="AI592" s="193">
        <f t="shared" si="6"/>
        <v>0</v>
      </c>
      <c r="AJ592" s="193">
        <f t="shared" si="7"/>
        <v>0</v>
      </c>
    </row>
    <row r="593" spans="2:36" x14ac:dyDescent="0.35">
      <c r="B593" s="193" t="e">
        <f>"2024"&amp;MATCH(Totals!D593,OrgType,0)&amp;"_"&amp;MATCH(Totals!E593,Organisations,0)&amp;"_"&amp;LEFT(Totals!F593,1)&amp;"_"&amp;LEFT(G593,1)&amp;"_"&amp;COUNTIF($G$3:G593,G593)</f>
        <v>#N/A</v>
      </c>
      <c r="C593" s="193">
        <v>2025</v>
      </c>
      <c r="D593" s="193">
        <f>Introduction!$D$7</f>
        <v>0</v>
      </c>
      <c r="E593" s="193">
        <f>Introduction!$D$8</f>
        <v>0</v>
      </c>
      <c r="F593" s="193" t="s">
        <v>488</v>
      </c>
      <c r="G593" s="193" t="s">
        <v>171</v>
      </c>
      <c r="H593" s="193">
        <f>'Buildings - Grid Electricity'!B98</f>
        <v>0</v>
      </c>
      <c r="I593" s="193">
        <f>'Buildings - Grid Electricity'!C98</f>
        <v>0</v>
      </c>
      <c r="J593" s="193" t="str">
        <f>'Buildings - Grid Electricity'!D98</f>
        <v/>
      </c>
      <c r="K593" s="237"/>
      <c r="L593" s="237"/>
      <c r="M593" s="193" t="str">
        <f>'Buildings - Grid Electricity'!E98</f>
        <v/>
      </c>
      <c r="N593" s="193" t="str">
        <f>'Buildings - Grid Electricity'!F98</f>
        <v/>
      </c>
      <c r="O593" s="237"/>
      <c r="P593" s="193">
        <f>'Buildings - Grid Electricity'!G98</f>
        <v>0</v>
      </c>
      <c r="Q593" s="193" t="str">
        <f>'Buildings - Grid Electricity'!H98</f>
        <v/>
      </c>
      <c r="R593" s="193">
        <f>'Buildings - Grid Electricity'!I98</f>
        <v>0</v>
      </c>
      <c r="S593" s="193" t="str">
        <f>'Buildings - Grid Electricity'!J98</f>
        <v/>
      </c>
      <c r="T593" s="193" t="str">
        <f>'Buildings - Grid Electricity'!K98</f>
        <v/>
      </c>
      <c r="U593" s="193" t="str">
        <f>'Buildings - Grid Electricity'!L98</f>
        <v/>
      </c>
      <c r="V593" s="193" t="str">
        <f>'Buildings - Grid Electricity'!M98</f>
        <v/>
      </c>
      <c r="W593" s="193" t="str">
        <f>'Buildings - Grid Electricity'!N98</f>
        <v/>
      </c>
      <c r="X593" s="193">
        <f>'Buildings - Grid Electricity'!O98</f>
        <v>0</v>
      </c>
      <c r="Y593" s="193">
        <f>'Buildings - Grid Electricity'!P98</f>
        <v>0</v>
      </c>
      <c r="Z593" s="193" t="str">
        <f>'Buildings - Grid Electricity'!Q98</f>
        <v/>
      </c>
      <c r="AA593" s="193" t="str">
        <f>'Buildings - Grid Electricity'!R98</f>
        <v/>
      </c>
      <c r="AB593" s="193" t="str">
        <f>'Buildings - Grid Electricity'!S98</f>
        <v/>
      </c>
      <c r="AC593" s="193" t="str">
        <f>'Buildings - Grid Electricity'!T98</f>
        <v/>
      </c>
      <c r="AD593" s="193" t="str">
        <f>'Buildings - Grid Electricity'!U98</f>
        <v/>
      </c>
      <c r="AE593" s="193" t="str">
        <f>'Buildings - Grid Electricity'!V98</f>
        <v/>
      </c>
      <c r="AF593" s="193" t="str">
        <f>'Buildings - Grid Electricity'!W98</f>
        <v/>
      </c>
      <c r="AG593" s="193" t="str">
        <f>'Buildings - Grid Electricity'!X98</f>
        <v/>
      </c>
      <c r="AI593" s="193">
        <f t="shared" si="6"/>
        <v>0</v>
      </c>
      <c r="AJ593" s="193">
        <f t="shared" si="7"/>
        <v>0</v>
      </c>
    </row>
    <row r="594" spans="2:36" x14ac:dyDescent="0.35">
      <c r="B594" s="193" t="e">
        <f>"2024"&amp;MATCH(Totals!D594,OrgType,0)&amp;"_"&amp;MATCH(Totals!E594,Organisations,0)&amp;"_"&amp;LEFT(Totals!F594,1)&amp;"_"&amp;LEFT(G594,1)&amp;"_"&amp;COUNTIF($G$3:G594,G594)</f>
        <v>#N/A</v>
      </c>
      <c r="C594" s="193">
        <v>2025</v>
      </c>
      <c r="D594" s="193">
        <f>Introduction!$D$7</f>
        <v>0</v>
      </c>
      <c r="E594" s="193">
        <f>Introduction!$D$8</f>
        <v>0</v>
      </c>
      <c r="F594" s="193" t="s">
        <v>488</v>
      </c>
      <c r="G594" s="193" t="s">
        <v>171</v>
      </c>
      <c r="H594" s="193">
        <f>'Buildings - Grid Electricity'!B99</f>
        <v>0</v>
      </c>
      <c r="I594" s="193">
        <f>'Buildings - Grid Electricity'!C99</f>
        <v>0</v>
      </c>
      <c r="J594" s="193" t="str">
        <f>'Buildings - Grid Electricity'!D99</f>
        <v/>
      </c>
      <c r="K594" s="237"/>
      <c r="L594" s="237"/>
      <c r="M594" s="193" t="str">
        <f>'Buildings - Grid Electricity'!E99</f>
        <v/>
      </c>
      <c r="N594" s="193" t="str">
        <f>'Buildings - Grid Electricity'!F99</f>
        <v/>
      </c>
      <c r="O594" s="237"/>
      <c r="P594" s="193">
        <f>'Buildings - Grid Electricity'!G99</f>
        <v>0</v>
      </c>
      <c r="Q594" s="193" t="str">
        <f>'Buildings - Grid Electricity'!H99</f>
        <v/>
      </c>
      <c r="R594" s="193">
        <f>'Buildings - Grid Electricity'!I99</f>
        <v>0</v>
      </c>
      <c r="S594" s="193" t="str">
        <f>'Buildings - Grid Electricity'!J99</f>
        <v/>
      </c>
      <c r="T594" s="193" t="str">
        <f>'Buildings - Grid Electricity'!K99</f>
        <v/>
      </c>
      <c r="U594" s="193" t="str">
        <f>'Buildings - Grid Electricity'!L99</f>
        <v/>
      </c>
      <c r="V594" s="193" t="str">
        <f>'Buildings - Grid Electricity'!M99</f>
        <v/>
      </c>
      <c r="W594" s="193" t="str">
        <f>'Buildings - Grid Electricity'!N99</f>
        <v/>
      </c>
      <c r="X594" s="193">
        <f>'Buildings - Grid Electricity'!O99</f>
        <v>0</v>
      </c>
      <c r="Y594" s="193">
        <f>'Buildings - Grid Electricity'!P99</f>
        <v>0</v>
      </c>
      <c r="Z594" s="193" t="str">
        <f>'Buildings - Grid Electricity'!Q99</f>
        <v/>
      </c>
      <c r="AA594" s="193" t="str">
        <f>'Buildings - Grid Electricity'!R99</f>
        <v/>
      </c>
      <c r="AB594" s="193" t="str">
        <f>'Buildings - Grid Electricity'!S99</f>
        <v/>
      </c>
      <c r="AC594" s="193" t="str">
        <f>'Buildings - Grid Electricity'!T99</f>
        <v/>
      </c>
      <c r="AD594" s="193" t="str">
        <f>'Buildings - Grid Electricity'!U99</f>
        <v/>
      </c>
      <c r="AE594" s="193" t="str">
        <f>'Buildings - Grid Electricity'!V99</f>
        <v/>
      </c>
      <c r="AF594" s="193" t="str">
        <f>'Buildings - Grid Electricity'!W99</f>
        <v/>
      </c>
      <c r="AG594" s="193" t="str">
        <f>'Buildings - Grid Electricity'!X99</f>
        <v/>
      </c>
      <c r="AI594" s="193">
        <f t="shared" si="6"/>
        <v>0</v>
      </c>
      <c r="AJ594" s="193">
        <f t="shared" si="7"/>
        <v>0</v>
      </c>
    </row>
    <row r="595" spans="2:36" x14ac:dyDescent="0.35">
      <c r="B595" s="193" t="e">
        <f>"2024"&amp;MATCH(Totals!D595,OrgType,0)&amp;"_"&amp;MATCH(Totals!E595,Organisations,0)&amp;"_"&amp;LEFT(Totals!F595,1)&amp;"_"&amp;LEFT(G595,1)&amp;"_"&amp;COUNTIF($G$3:G595,G595)</f>
        <v>#N/A</v>
      </c>
      <c r="C595" s="193">
        <v>2025</v>
      </c>
      <c r="D595" s="193">
        <f>Introduction!$D$7</f>
        <v>0</v>
      </c>
      <c r="E595" s="193">
        <f>Introduction!$D$8</f>
        <v>0</v>
      </c>
      <c r="F595" s="193" t="s">
        <v>488</v>
      </c>
      <c r="G595" s="193" t="s">
        <v>171</v>
      </c>
      <c r="H595" s="193">
        <f>'Buildings - Grid Electricity'!B100</f>
        <v>0</v>
      </c>
      <c r="I595" s="193">
        <f>'Buildings - Grid Electricity'!C100</f>
        <v>0</v>
      </c>
      <c r="J595" s="193" t="str">
        <f>'Buildings - Grid Electricity'!D100</f>
        <v/>
      </c>
      <c r="K595" s="237"/>
      <c r="L595" s="237"/>
      <c r="M595" s="193" t="str">
        <f>'Buildings - Grid Electricity'!E100</f>
        <v/>
      </c>
      <c r="N595" s="193" t="str">
        <f>'Buildings - Grid Electricity'!F100</f>
        <v/>
      </c>
      <c r="O595" s="237"/>
      <c r="P595" s="193">
        <f>'Buildings - Grid Electricity'!G100</f>
        <v>0</v>
      </c>
      <c r="Q595" s="193" t="str">
        <f>'Buildings - Grid Electricity'!H100</f>
        <v/>
      </c>
      <c r="R595" s="193">
        <f>'Buildings - Grid Electricity'!I100</f>
        <v>0</v>
      </c>
      <c r="S595" s="193" t="str">
        <f>'Buildings - Grid Electricity'!J100</f>
        <v/>
      </c>
      <c r="T595" s="193" t="str">
        <f>'Buildings - Grid Electricity'!K100</f>
        <v/>
      </c>
      <c r="U595" s="193" t="str">
        <f>'Buildings - Grid Electricity'!L100</f>
        <v/>
      </c>
      <c r="V595" s="193" t="str">
        <f>'Buildings - Grid Electricity'!M100</f>
        <v/>
      </c>
      <c r="W595" s="193" t="str">
        <f>'Buildings - Grid Electricity'!N100</f>
        <v/>
      </c>
      <c r="X595" s="193">
        <f>'Buildings - Grid Electricity'!O100</f>
        <v>0</v>
      </c>
      <c r="Y595" s="193">
        <f>'Buildings - Grid Electricity'!P100</f>
        <v>0</v>
      </c>
      <c r="Z595" s="193" t="str">
        <f>'Buildings - Grid Electricity'!Q100</f>
        <v/>
      </c>
      <c r="AA595" s="193" t="str">
        <f>'Buildings - Grid Electricity'!R100</f>
        <v/>
      </c>
      <c r="AB595" s="193" t="str">
        <f>'Buildings - Grid Electricity'!S100</f>
        <v/>
      </c>
      <c r="AC595" s="193" t="str">
        <f>'Buildings - Grid Electricity'!T100</f>
        <v/>
      </c>
      <c r="AD595" s="193" t="str">
        <f>'Buildings - Grid Electricity'!U100</f>
        <v/>
      </c>
      <c r="AE595" s="193" t="str">
        <f>'Buildings - Grid Electricity'!V100</f>
        <v/>
      </c>
      <c r="AF595" s="193" t="str">
        <f>'Buildings - Grid Electricity'!W100</f>
        <v/>
      </c>
      <c r="AG595" s="193" t="str">
        <f>'Buildings - Grid Electricity'!X100</f>
        <v/>
      </c>
      <c r="AI595" s="193">
        <f t="shared" si="6"/>
        <v>0</v>
      </c>
      <c r="AJ595" s="193">
        <f t="shared" si="7"/>
        <v>0</v>
      </c>
    </row>
    <row r="596" spans="2:36" x14ac:dyDescent="0.35">
      <c r="B596" s="193" t="e">
        <f>"2024"&amp;MATCH(Totals!D596,OrgType,0)&amp;"_"&amp;MATCH(Totals!E596,Organisations,0)&amp;"_"&amp;LEFT(Totals!F596,1)&amp;"_"&amp;LEFT(G596,1)&amp;"_"&amp;COUNTIF($G$3:G596,G596)</f>
        <v>#N/A</v>
      </c>
      <c r="C596" s="193">
        <v>2025</v>
      </c>
      <c r="D596" s="193">
        <f>Introduction!$D$7</f>
        <v>0</v>
      </c>
      <c r="E596" s="193">
        <f>Introduction!$D$8</f>
        <v>0</v>
      </c>
      <c r="F596" s="193" t="s">
        <v>488</v>
      </c>
      <c r="G596" s="193" t="s">
        <v>171</v>
      </c>
      <c r="H596" s="193">
        <f>'Buildings - Grid Electricity'!B101</f>
        <v>0</v>
      </c>
      <c r="I596" s="193">
        <f>'Buildings - Grid Electricity'!C101</f>
        <v>0</v>
      </c>
      <c r="J596" s="193" t="str">
        <f>'Buildings - Grid Electricity'!D101</f>
        <v/>
      </c>
      <c r="K596" s="237"/>
      <c r="L596" s="237"/>
      <c r="M596" s="193" t="str">
        <f>'Buildings - Grid Electricity'!E101</f>
        <v/>
      </c>
      <c r="N596" s="193" t="str">
        <f>'Buildings - Grid Electricity'!F101</f>
        <v/>
      </c>
      <c r="O596" s="237"/>
      <c r="P596" s="193">
        <f>'Buildings - Grid Electricity'!G101</f>
        <v>0</v>
      </c>
      <c r="Q596" s="193" t="str">
        <f>'Buildings - Grid Electricity'!H101</f>
        <v/>
      </c>
      <c r="R596" s="193">
        <f>'Buildings - Grid Electricity'!I101</f>
        <v>0</v>
      </c>
      <c r="S596" s="193" t="str">
        <f>'Buildings - Grid Electricity'!J101</f>
        <v/>
      </c>
      <c r="T596" s="193" t="str">
        <f>'Buildings - Grid Electricity'!K101</f>
        <v/>
      </c>
      <c r="U596" s="193" t="str">
        <f>'Buildings - Grid Electricity'!L101</f>
        <v/>
      </c>
      <c r="V596" s="193" t="str">
        <f>'Buildings - Grid Electricity'!M101</f>
        <v/>
      </c>
      <c r="W596" s="193" t="str">
        <f>'Buildings - Grid Electricity'!N101</f>
        <v/>
      </c>
      <c r="X596" s="193">
        <f>'Buildings - Grid Electricity'!O101</f>
        <v>0</v>
      </c>
      <c r="Y596" s="193">
        <f>'Buildings - Grid Electricity'!P101</f>
        <v>0</v>
      </c>
      <c r="Z596" s="193" t="str">
        <f>'Buildings - Grid Electricity'!Q101</f>
        <v/>
      </c>
      <c r="AA596" s="193" t="str">
        <f>'Buildings - Grid Electricity'!R101</f>
        <v/>
      </c>
      <c r="AB596" s="193" t="str">
        <f>'Buildings - Grid Electricity'!S101</f>
        <v/>
      </c>
      <c r="AC596" s="193" t="str">
        <f>'Buildings - Grid Electricity'!T101</f>
        <v/>
      </c>
      <c r="AD596" s="193" t="str">
        <f>'Buildings - Grid Electricity'!U101</f>
        <v/>
      </c>
      <c r="AE596" s="193" t="str">
        <f>'Buildings - Grid Electricity'!V101</f>
        <v/>
      </c>
      <c r="AF596" s="193" t="str">
        <f>'Buildings - Grid Electricity'!W101</f>
        <v/>
      </c>
      <c r="AG596" s="193" t="str">
        <f>'Buildings - Grid Electricity'!X101</f>
        <v/>
      </c>
      <c r="AI596" s="193">
        <f t="shared" ref="AI596:AI659" si="8">IF(AND(V596="",R596&lt;&gt;0),1,0)</f>
        <v>0</v>
      </c>
      <c r="AJ596" s="193">
        <f t="shared" ref="AJ596:AJ659" si="9">IF(AND(W596="",R596&lt;&gt;0),1,0)</f>
        <v>0</v>
      </c>
    </row>
    <row r="597" spans="2:36" x14ac:dyDescent="0.35">
      <c r="B597" s="193" t="e">
        <f>"2024"&amp;MATCH(Totals!D597,OrgType,0)&amp;"_"&amp;MATCH(Totals!E597,Organisations,0)&amp;"_"&amp;LEFT(Totals!F597,1)&amp;"_"&amp;LEFT(G597,1)&amp;"_"&amp;COUNTIF($G$3:G597,G597)</f>
        <v>#N/A</v>
      </c>
      <c r="C597" s="193">
        <v>2025</v>
      </c>
      <c r="D597" s="193">
        <f>Introduction!$D$7</f>
        <v>0</v>
      </c>
      <c r="E597" s="193">
        <f>Introduction!$D$8</f>
        <v>0</v>
      </c>
      <c r="F597" s="193" t="s">
        <v>488</v>
      </c>
      <c r="G597" s="193" t="s">
        <v>171</v>
      </c>
      <c r="H597" s="193">
        <f>'Buildings - Grid Electricity'!B102</f>
        <v>0</v>
      </c>
      <c r="I597" s="193">
        <f>'Buildings - Grid Electricity'!C102</f>
        <v>0</v>
      </c>
      <c r="J597" s="193" t="str">
        <f>'Buildings - Grid Electricity'!D102</f>
        <v/>
      </c>
      <c r="K597" s="237"/>
      <c r="L597" s="237"/>
      <c r="M597" s="193" t="str">
        <f>'Buildings - Grid Electricity'!E102</f>
        <v/>
      </c>
      <c r="N597" s="193" t="str">
        <f>'Buildings - Grid Electricity'!F102</f>
        <v/>
      </c>
      <c r="O597" s="237"/>
      <c r="P597" s="193">
        <f>'Buildings - Grid Electricity'!G102</f>
        <v>0</v>
      </c>
      <c r="Q597" s="193" t="str">
        <f>'Buildings - Grid Electricity'!H102</f>
        <v/>
      </c>
      <c r="R597" s="193">
        <f>'Buildings - Grid Electricity'!I102</f>
        <v>0</v>
      </c>
      <c r="S597" s="193" t="str">
        <f>'Buildings - Grid Electricity'!J102</f>
        <v/>
      </c>
      <c r="T597" s="193" t="str">
        <f>'Buildings - Grid Electricity'!K102</f>
        <v/>
      </c>
      <c r="U597" s="193" t="str">
        <f>'Buildings - Grid Electricity'!L102</f>
        <v/>
      </c>
      <c r="V597" s="193" t="str">
        <f>'Buildings - Grid Electricity'!M102</f>
        <v/>
      </c>
      <c r="W597" s="193" t="str">
        <f>'Buildings - Grid Electricity'!N102</f>
        <v/>
      </c>
      <c r="X597" s="193">
        <f>'Buildings - Grid Electricity'!O102</f>
        <v>0</v>
      </c>
      <c r="Y597" s="193">
        <f>'Buildings - Grid Electricity'!P102</f>
        <v>0</v>
      </c>
      <c r="Z597" s="193" t="str">
        <f>'Buildings - Grid Electricity'!Q102</f>
        <v/>
      </c>
      <c r="AA597" s="193" t="str">
        <f>'Buildings - Grid Electricity'!R102</f>
        <v/>
      </c>
      <c r="AB597" s="193" t="str">
        <f>'Buildings - Grid Electricity'!S102</f>
        <v/>
      </c>
      <c r="AC597" s="193" t="str">
        <f>'Buildings - Grid Electricity'!T102</f>
        <v/>
      </c>
      <c r="AD597" s="193" t="str">
        <f>'Buildings - Grid Electricity'!U102</f>
        <v/>
      </c>
      <c r="AE597" s="193" t="str">
        <f>'Buildings - Grid Electricity'!V102</f>
        <v/>
      </c>
      <c r="AF597" s="193" t="str">
        <f>'Buildings - Grid Electricity'!W102</f>
        <v/>
      </c>
      <c r="AG597" s="193" t="str">
        <f>'Buildings - Grid Electricity'!X102</f>
        <v/>
      </c>
      <c r="AI597" s="193">
        <f t="shared" si="8"/>
        <v>0</v>
      </c>
      <c r="AJ597" s="193">
        <f t="shared" si="9"/>
        <v>0</v>
      </c>
    </row>
    <row r="598" spans="2:36" x14ac:dyDescent="0.35">
      <c r="B598" s="193" t="e">
        <f>"2024"&amp;MATCH(Totals!D598,OrgType,0)&amp;"_"&amp;MATCH(Totals!E598,Organisations,0)&amp;"_"&amp;LEFT(Totals!F598,1)&amp;"_"&amp;LEFT(G598,1)&amp;"_"&amp;COUNTIF($G$3:G598,G598)</f>
        <v>#N/A</v>
      </c>
      <c r="C598" s="193">
        <v>2025</v>
      </c>
      <c r="D598" s="193">
        <f>Introduction!$D$7</f>
        <v>0</v>
      </c>
      <c r="E598" s="193">
        <f>Introduction!$D$8</f>
        <v>0</v>
      </c>
      <c r="F598" s="193" t="s">
        <v>488</v>
      </c>
      <c r="G598" s="193" t="s">
        <v>171</v>
      </c>
      <c r="H598" s="193">
        <f>'Buildings - Grid Electricity'!B103</f>
        <v>0</v>
      </c>
      <c r="I598" s="193">
        <f>'Buildings - Grid Electricity'!C103</f>
        <v>0</v>
      </c>
      <c r="J598" s="193" t="str">
        <f>'Buildings - Grid Electricity'!D103</f>
        <v/>
      </c>
      <c r="K598" s="237"/>
      <c r="L598" s="237"/>
      <c r="M598" s="193" t="str">
        <f>'Buildings - Grid Electricity'!E103</f>
        <v/>
      </c>
      <c r="N598" s="193" t="str">
        <f>'Buildings - Grid Electricity'!F103</f>
        <v/>
      </c>
      <c r="O598" s="237"/>
      <c r="P598" s="193">
        <f>'Buildings - Grid Electricity'!G103</f>
        <v>0</v>
      </c>
      <c r="Q598" s="193" t="str">
        <f>'Buildings - Grid Electricity'!H103</f>
        <v/>
      </c>
      <c r="R598" s="193">
        <f>'Buildings - Grid Electricity'!I103</f>
        <v>0</v>
      </c>
      <c r="S598" s="193" t="str">
        <f>'Buildings - Grid Electricity'!J103</f>
        <v/>
      </c>
      <c r="T598" s="193" t="str">
        <f>'Buildings - Grid Electricity'!K103</f>
        <v/>
      </c>
      <c r="U598" s="193" t="str">
        <f>'Buildings - Grid Electricity'!L103</f>
        <v/>
      </c>
      <c r="V598" s="193" t="str">
        <f>'Buildings - Grid Electricity'!M103</f>
        <v/>
      </c>
      <c r="W598" s="193" t="str">
        <f>'Buildings - Grid Electricity'!N103</f>
        <v/>
      </c>
      <c r="X598" s="193">
        <f>'Buildings - Grid Electricity'!O103</f>
        <v>0</v>
      </c>
      <c r="Y598" s="193">
        <f>'Buildings - Grid Electricity'!P103</f>
        <v>0</v>
      </c>
      <c r="Z598" s="193" t="str">
        <f>'Buildings - Grid Electricity'!Q103</f>
        <v/>
      </c>
      <c r="AA598" s="193" t="str">
        <f>'Buildings - Grid Electricity'!R103</f>
        <v/>
      </c>
      <c r="AB598" s="193" t="str">
        <f>'Buildings - Grid Electricity'!S103</f>
        <v/>
      </c>
      <c r="AC598" s="193" t="str">
        <f>'Buildings - Grid Electricity'!T103</f>
        <v/>
      </c>
      <c r="AD598" s="193" t="str">
        <f>'Buildings - Grid Electricity'!U103</f>
        <v/>
      </c>
      <c r="AE598" s="193" t="str">
        <f>'Buildings - Grid Electricity'!V103</f>
        <v/>
      </c>
      <c r="AF598" s="193" t="str">
        <f>'Buildings - Grid Electricity'!W103</f>
        <v/>
      </c>
      <c r="AG598" s="193" t="str">
        <f>'Buildings - Grid Electricity'!X103</f>
        <v/>
      </c>
      <c r="AI598" s="193">
        <f t="shared" si="8"/>
        <v>0</v>
      </c>
      <c r="AJ598" s="193">
        <f t="shared" si="9"/>
        <v>0</v>
      </c>
    </row>
    <row r="599" spans="2:36" x14ac:dyDescent="0.35">
      <c r="B599" s="193" t="e">
        <f>"2024"&amp;MATCH(Totals!D599,OrgType,0)&amp;"_"&amp;MATCH(Totals!E599,Organisations,0)&amp;"_"&amp;LEFT(Totals!F599,1)&amp;"_"&amp;LEFT(G599,1)&amp;"_"&amp;COUNTIF($G$3:G599,G599)</f>
        <v>#N/A</v>
      </c>
      <c r="C599" s="193">
        <v>2025</v>
      </c>
      <c r="D599" s="193">
        <f>Introduction!$D$7</f>
        <v>0</v>
      </c>
      <c r="E599" s="193">
        <f>Introduction!$D$8</f>
        <v>0</v>
      </c>
      <c r="F599" s="193" t="s">
        <v>488</v>
      </c>
      <c r="G599" s="193" t="s">
        <v>171</v>
      </c>
      <c r="H599" s="193">
        <f>'Buildings - Grid Electricity'!B104</f>
        <v>0</v>
      </c>
      <c r="I599" s="193">
        <f>'Buildings - Grid Electricity'!C104</f>
        <v>0</v>
      </c>
      <c r="J599" s="193" t="str">
        <f>'Buildings - Grid Electricity'!D104</f>
        <v/>
      </c>
      <c r="K599" s="237"/>
      <c r="L599" s="237"/>
      <c r="M599" s="193" t="str">
        <f>'Buildings - Grid Electricity'!E104</f>
        <v/>
      </c>
      <c r="N599" s="193" t="str">
        <f>'Buildings - Grid Electricity'!F104</f>
        <v/>
      </c>
      <c r="O599" s="237"/>
      <c r="P599" s="193">
        <f>'Buildings - Grid Electricity'!G104</f>
        <v>0</v>
      </c>
      <c r="Q599" s="193" t="str">
        <f>'Buildings - Grid Electricity'!H104</f>
        <v/>
      </c>
      <c r="R599" s="193">
        <f>'Buildings - Grid Electricity'!I104</f>
        <v>0</v>
      </c>
      <c r="S599" s="193" t="str">
        <f>'Buildings - Grid Electricity'!J104</f>
        <v/>
      </c>
      <c r="T599" s="193" t="str">
        <f>'Buildings - Grid Electricity'!K104</f>
        <v/>
      </c>
      <c r="U599" s="193" t="str">
        <f>'Buildings - Grid Electricity'!L104</f>
        <v/>
      </c>
      <c r="V599" s="193" t="str">
        <f>'Buildings - Grid Electricity'!M104</f>
        <v/>
      </c>
      <c r="W599" s="193" t="str">
        <f>'Buildings - Grid Electricity'!N104</f>
        <v/>
      </c>
      <c r="X599" s="193">
        <f>'Buildings - Grid Electricity'!O104</f>
        <v>0</v>
      </c>
      <c r="Y599" s="193">
        <f>'Buildings - Grid Electricity'!P104</f>
        <v>0</v>
      </c>
      <c r="Z599" s="193" t="str">
        <f>'Buildings - Grid Electricity'!Q104</f>
        <v/>
      </c>
      <c r="AA599" s="193" t="str">
        <f>'Buildings - Grid Electricity'!R104</f>
        <v/>
      </c>
      <c r="AB599" s="193" t="str">
        <f>'Buildings - Grid Electricity'!S104</f>
        <v/>
      </c>
      <c r="AC599" s="193" t="str">
        <f>'Buildings - Grid Electricity'!T104</f>
        <v/>
      </c>
      <c r="AD599" s="193" t="str">
        <f>'Buildings - Grid Electricity'!U104</f>
        <v/>
      </c>
      <c r="AE599" s="193" t="str">
        <f>'Buildings - Grid Electricity'!V104</f>
        <v/>
      </c>
      <c r="AF599" s="193" t="str">
        <f>'Buildings - Grid Electricity'!W104</f>
        <v/>
      </c>
      <c r="AG599" s="193" t="str">
        <f>'Buildings - Grid Electricity'!X104</f>
        <v/>
      </c>
      <c r="AI599" s="193">
        <f t="shared" si="8"/>
        <v>0</v>
      </c>
      <c r="AJ599" s="193">
        <f t="shared" si="9"/>
        <v>0</v>
      </c>
    </row>
    <row r="600" spans="2:36" x14ac:dyDescent="0.35">
      <c r="B600" s="193" t="e">
        <f>"2024"&amp;MATCH(Totals!D600,OrgType,0)&amp;"_"&amp;MATCH(Totals!E600,Organisations,0)&amp;"_"&amp;LEFT(Totals!F600,1)&amp;"_"&amp;LEFT(G600,1)&amp;"_"&amp;COUNTIF($G$3:G600,G600)</f>
        <v>#N/A</v>
      </c>
      <c r="C600" s="193">
        <v>2025</v>
      </c>
      <c r="D600" s="193">
        <f>Introduction!$D$7</f>
        <v>0</v>
      </c>
      <c r="E600" s="193">
        <f>Introduction!$D$8</f>
        <v>0</v>
      </c>
      <c r="F600" s="193" t="s">
        <v>488</v>
      </c>
      <c r="G600" s="193" t="s">
        <v>171</v>
      </c>
      <c r="H600" s="193">
        <f>'Buildings - Grid Electricity'!B105</f>
        <v>0</v>
      </c>
      <c r="I600" s="193">
        <f>'Buildings - Grid Electricity'!C105</f>
        <v>0</v>
      </c>
      <c r="J600" s="193" t="str">
        <f>'Buildings - Grid Electricity'!D105</f>
        <v/>
      </c>
      <c r="K600" s="237"/>
      <c r="L600" s="237"/>
      <c r="M600" s="193" t="str">
        <f>'Buildings - Grid Electricity'!E105</f>
        <v/>
      </c>
      <c r="N600" s="193" t="str">
        <f>'Buildings - Grid Electricity'!F105</f>
        <v/>
      </c>
      <c r="O600" s="237"/>
      <c r="P600" s="193">
        <f>'Buildings - Grid Electricity'!G105</f>
        <v>0</v>
      </c>
      <c r="Q600" s="193" t="str">
        <f>'Buildings - Grid Electricity'!H105</f>
        <v/>
      </c>
      <c r="R600" s="193">
        <f>'Buildings - Grid Electricity'!I105</f>
        <v>0</v>
      </c>
      <c r="S600" s="193" t="str">
        <f>'Buildings - Grid Electricity'!J105</f>
        <v/>
      </c>
      <c r="T600" s="193" t="str">
        <f>'Buildings - Grid Electricity'!K105</f>
        <v/>
      </c>
      <c r="U600" s="193" t="str">
        <f>'Buildings - Grid Electricity'!L105</f>
        <v/>
      </c>
      <c r="V600" s="193" t="str">
        <f>'Buildings - Grid Electricity'!M105</f>
        <v/>
      </c>
      <c r="W600" s="193" t="str">
        <f>'Buildings - Grid Electricity'!N105</f>
        <v/>
      </c>
      <c r="X600" s="193">
        <f>'Buildings - Grid Electricity'!O105</f>
        <v>0</v>
      </c>
      <c r="Y600" s="193">
        <f>'Buildings - Grid Electricity'!P105</f>
        <v>0</v>
      </c>
      <c r="Z600" s="193" t="str">
        <f>'Buildings - Grid Electricity'!Q105</f>
        <v/>
      </c>
      <c r="AA600" s="193" t="str">
        <f>'Buildings - Grid Electricity'!R105</f>
        <v/>
      </c>
      <c r="AB600" s="193" t="str">
        <f>'Buildings - Grid Electricity'!S105</f>
        <v/>
      </c>
      <c r="AC600" s="193" t="str">
        <f>'Buildings - Grid Electricity'!T105</f>
        <v/>
      </c>
      <c r="AD600" s="193" t="str">
        <f>'Buildings - Grid Electricity'!U105</f>
        <v/>
      </c>
      <c r="AE600" s="193" t="str">
        <f>'Buildings - Grid Electricity'!V105</f>
        <v/>
      </c>
      <c r="AF600" s="193" t="str">
        <f>'Buildings - Grid Electricity'!W105</f>
        <v/>
      </c>
      <c r="AG600" s="193" t="str">
        <f>'Buildings - Grid Electricity'!X105</f>
        <v/>
      </c>
      <c r="AI600" s="193">
        <f t="shared" si="8"/>
        <v>0</v>
      </c>
      <c r="AJ600" s="193">
        <f t="shared" si="9"/>
        <v>0</v>
      </c>
    </row>
    <row r="601" spans="2:36" x14ac:dyDescent="0.35">
      <c r="B601" s="193" t="e">
        <f>"2024"&amp;MATCH(Totals!D601,OrgType,0)&amp;"_"&amp;MATCH(Totals!E601,Organisations,0)&amp;"_"&amp;LEFT(Totals!F601,1)&amp;"_"&amp;LEFT(G601,1)&amp;"_"&amp;COUNTIF($G$3:G601,G601)</f>
        <v>#N/A</v>
      </c>
      <c r="C601" s="193">
        <v>2025</v>
      </c>
      <c r="D601" s="193">
        <f>Introduction!$D$7</f>
        <v>0</v>
      </c>
      <c r="E601" s="193">
        <f>Introduction!$D$8</f>
        <v>0</v>
      </c>
      <c r="F601" s="193" t="s">
        <v>488</v>
      </c>
      <c r="G601" s="193" t="s">
        <v>171</v>
      </c>
      <c r="H601" s="193">
        <f>'Buildings - Grid Electricity'!B106</f>
        <v>0</v>
      </c>
      <c r="I601" s="193">
        <f>'Buildings - Grid Electricity'!C106</f>
        <v>0</v>
      </c>
      <c r="J601" s="193" t="str">
        <f>'Buildings - Grid Electricity'!D106</f>
        <v/>
      </c>
      <c r="K601" s="237"/>
      <c r="L601" s="237"/>
      <c r="M601" s="193" t="str">
        <f>'Buildings - Grid Electricity'!E106</f>
        <v/>
      </c>
      <c r="N601" s="193" t="str">
        <f>'Buildings - Grid Electricity'!F106</f>
        <v/>
      </c>
      <c r="O601" s="237"/>
      <c r="P601" s="193">
        <f>'Buildings - Grid Electricity'!G106</f>
        <v>0</v>
      </c>
      <c r="Q601" s="193" t="str">
        <f>'Buildings - Grid Electricity'!H106</f>
        <v/>
      </c>
      <c r="R601" s="193">
        <f>'Buildings - Grid Electricity'!I106</f>
        <v>0</v>
      </c>
      <c r="S601" s="193" t="str">
        <f>'Buildings - Grid Electricity'!J106</f>
        <v/>
      </c>
      <c r="T601" s="193" t="str">
        <f>'Buildings - Grid Electricity'!K106</f>
        <v/>
      </c>
      <c r="U601" s="193" t="str">
        <f>'Buildings - Grid Electricity'!L106</f>
        <v/>
      </c>
      <c r="V601" s="193" t="str">
        <f>'Buildings - Grid Electricity'!M106</f>
        <v/>
      </c>
      <c r="W601" s="193" t="str">
        <f>'Buildings - Grid Electricity'!N106</f>
        <v/>
      </c>
      <c r="X601" s="193">
        <f>'Buildings - Grid Electricity'!O106</f>
        <v>0</v>
      </c>
      <c r="Y601" s="193">
        <f>'Buildings - Grid Electricity'!P106</f>
        <v>0</v>
      </c>
      <c r="Z601" s="193" t="str">
        <f>'Buildings - Grid Electricity'!Q106</f>
        <v/>
      </c>
      <c r="AA601" s="193" t="str">
        <f>'Buildings - Grid Electricity'!R106</f>
        <v/>
      </c>
      <c r="AB601" s="193" t="str">
        <f>'Buildings - Grid Electricity'!S106</f>
        <v/>
      </c>
      <c r="AC601" s="193" t="str">
        <f>'Buildings - Grid Electricity'!T106</f>
        <v/>
      </c>
      <c r="AD601" s="193" t="str">
        <f>'Buildings - Grid Electricity'!U106</f>
        <v/>
      </c>
      <c r="AE601" s="193" t="str">
        <f>'Buildings - Grid Electricity'!V106</f>
        <v/>
      </c>
      <c r="AF601" s="193" t="str">
        <f>'Buildings - Grid Electricity'!W106</f>
        <v/>
      </c>
      <c r="AG601" s="193" t="str">
        <f>'Buildings - Grid Electricity'!X106</f>
        <v/>
      </c>
      <c r="AI601" s="193">
        <f t="shared" si="8"/>
        <v>0</v>
      </c>
      <c r="AJ601" s="193">
        <f t="shared" si="9"/>
        <v>0</v>
      </c>
    </row>
    <row r="602" spans="2:36" x14ac:dyDescent="0.35">
      <c r="B602" s="193" t="e">
        <f>"2024"&amp;MATCH(Totals!D602,OrgType,0)&amp;"_"&amp;MATCH(Totals!E602,Organisations,0)&amp;"_"&amp;LEFT(Totals!F602,1)&amp;"_"&amp;LEFT(G602,1)&amp;"_"&amp;COUNTIF($G$3:G602,G602)</f>
        <v>#N/A</v>
      </c>
      <c r="C602" s="193">
        <v>2025</v>
      </c>
      <c r="D602" s="193">
        <f>Introduction!$D$7</f>
        <v>0</v>
      </c>
      <c r="E602" s="193">
        <f>Introduction!$D$8</f>
        <v>0</v>
      </c>
      <c r="F602" s="193" t="s">
        <v>488</v>
      </c>
      <c r="G602" s="193" t="s">
        <v>171</v>
      </c>
      <c r="H602" s="193">
        <f>'Buildings - Grid Electricity'!B107</f>
        <v>0</v>
      </c>
      <c r="I602" s="193">
        <f>'Buildings - Grid Electricity'!C107</f>
        <v>0</v>
      </c>
      <c r="J602" s="193" t="str">
        <f>'Buildings - Grid Electricity'!D107</f>
        <v/>
      </c>
      <c r="K602" s="237"/>
      <c r="L602" s="237"/>
      <c r="M602" s="193" t="str">
        <f>'Buildings - Grid Electricity'!E107</f>
        <v/>
      </c>
      <c r="N602" s="193" t="str">
        <f>'Buildings - Grid Electricity'!F107</f>
        <v/>
      </c>
      <c r="O602" s="237"/>
      <c r="P602" s="193">
        <f>'Buildings - Grid Electricity'!G107</f>
        <v>0</v>
      </c>
      <c r="Q602" s="193" t="str">
        <f>'Buildings - Grid Electricity'!H107</f>
        <v/>
      </c>
      <c r="R602" s="193">
        <f>'Buildings - Grid Electricity'!I107</f>
        <v>0</v>
      </c>
      <c r="S602" s="193" t="str">
        <f>'Buildings - Grid Electricity'!J107</f>
        <v/>
      </c>
      <c r="T602" s="193" t="str">
        <f>'Buildings - Grid Electricity'!K107</f>
        <v/>
      </c>
      <c r="U602" s="193" t="str">
        <f>'Buildings - Grid Electricity'!L107</f>
        <v/>
      </c>
      <c r="V602" s="193" t="str">
        <f>'Buildings - Grid Electricity'!M107</f>
        <v/>
      </c>
      <c r="W602" s="193" t="str">
        <f>'Buildings - Grid Electricity'!N107</f>
        <v/>
      </c>
      <c r="X602" s="193">
        <f>'Buildings - Grid Electricity'!O107</f>
        <v>0</v>
      </c>
      <c r="Y602" s="193">
        <f>'Buildings - Grid Electricity'!P107</f>
        <v>0</v>
      </c>
      <c r="Z602" s="193" t="str">
        <f>'Buildings - Grid Electricity'!Q107</f>
        <v/>
      </c>
      <c r="AA602" s="193" t="str">
        <f>'Buildings - Grid Electricity'!R107</f>
        <v/>
      </c>
      <c r="AB602" s="193" t="str">
        <f>'Buildings - Grid Electricity'!S107</f>
        <v/>
      </c>
      <c r="AC602" s="193" t="str">
        <f>'Buildings - Grid Electricity'!T107</f>
        <v/>
      </c>
      <c r="AD602" s="193" t="str">
        <f>'Buildings - Grid Electricity'!U107</f>
        <v/>
      </c>
      <c r="AE602" s="193" t="str">
        <f>'Buildings - Grid Electricity'!V107</f>
        <v/>
      </c>
      <c r="AF602" s="193" t="str">
        <f>'Buildings - Grid Electricity'!W107</f>
        <v/>
      </c>
      <c r="AG602" s="193" t="str">
        <f>'Buildings - Grid Electricity'!X107</f>
        <v/>
      </c>
      <c r="AI602" s="193">
        <f t="shared" si="8"/>
        <v>0</v>
      </c>
      <c r="AJ602" s="193">
        <f t="shared" si="9"/>
        <v>0</v>
      </c>
    </row>
    <row r="603" spans="2:36" x14ac:dyDescent="0.35">
      <c r="B603" s="193" t="e">
        <f>"2024"&amp;MATCH(Totals!D603,OrgType,0)&amp;"_"&amp;MATCH(Totals!E603,Organisations,0)&amp;"_"&amp;LEFT(Totals!F603,1)&amp;"_"&amp;LEFT(G603,1)&amp;"_"&amp;COUNTIF($G$3:G603,G603)</f>
        <v>#N/A</v>
      </c>
      <c r="C603" s="193">
        <v>2025</v>
      </c>
      <c r="D603" s="193">
        <f>Introduction!$D$7</f>
        <v>0</v>
      </c>
      <c r="E603" s="193">
        <f>Introduction!$D$8</f>
        <v>0</v>
      </c>
      <c r="F603" s="193" t="s">
        <v>488</v>
      </c>
      <c r="G603" s="193" t="s">
        <v>171</v>
      </c>
      <c r="H603" s="193">
        <f>'Buildings - Grid Electricity'!B108</f>
        <v>0</v>
      </c>
      <c r="I603" s="193">
        <f>'Buildings - Grid Electricity'!C108</f>
        <v>0</v>
      </c>
      <c r="J603" s="193" t="str">
        <f>'Buildings - Grid Electricity'!D108</f>
        <v/>
      </c>
      <c r="K603" s="237"/>
      <c r="L603" s="237"/>
      <c r="M603" s="193" t="str">
        <f>'Buildings - Grid Electricity'!E108</f>
        <v/>
      </c>
      <c r="N603" s="193" t="str">
        <f>'Buildings - Grid Electricity'!F108</f>
        <v/>
      </c>
      <c r="O603" s="237"/>
      <c r="P603" s="193">
        <f>'Buildings - Grid Electricity'!G108</f>
        <v>0</v>
      </c>
      <c r="Q603" s="193" t="str">
        <f>'Buildings - Grid Electricity'!H108</f>
        <v/>
      </c>
      <c r="R603" s="193">
        <f>'Buildings - Grid Electricity'!I108</f>
        <v>0</v>
      </c>
      <c r="S603" s="193" t="str">
        <f>'Buildings - Grid Electricity'!J108</f>
        <v/>
      </c>
      <c r="T603" s="193" t="str">
        <f>'Buildings - Grid Electricity'!K108</f>
        <v/>
      </c>
      <c r="U603" s="193" t="str">
        <f>'Buildings - Grid Electricity'!L108</f>
        <v/>
      </c>
      <c r="V603" s="193" t="str">
        <f>'Buildings - Grid Electricity'!M108</f>
        <v/>
      </c>
      <c r="W603" s="193" t="str">
        <f>'Buildings - Grid Electricity'!N108</f>
        <v/>
      </c>
      <c r="X603" s="193">
        <f>'Buildings - Grid Electricity'!O108</f>
        <v>0</v>
      </c>
      <c r="Y603" s="193">
        <f>'Buildings - Grid Electricity'!P108</f>
        <v>0</v>
      </c>
      <c r="Z603" s="193" t="str">
        <f>'Buildings - Grid Electricity'!Q108</f>
        <v/>
      </c>
      <c r="AA603" s="193" t="str">
        <f>'Buildings - Grid Electricity'!R108</f>
        <v/>
      </c>
      <c r="AB603" s="193" t="str">
        <f>'Buildings - Grid Electricity'!S108</f>
        <v/>
      </c>
      <c r="AC603" s="193" t="str">
        <f>'Buildings - Grid Electricity'!T108</f>
        <v/>
      </c>
      <c r="AD603" s="193" t="str">
        <f>'Buildings - Grid Electricity'!U108</f>
        <v/>
      </c>
      <c r="AE603" s="193" t="str">
        <f>'Buildings - Grid Electricity'!V108</f>
        <v/>
      </c>
      <c r="AF603" s="193" t="str">
        <f>'Buildings - Grid Electricity'!W108</f>
        <v/>
      </c>
      <c r="AG603" s="193" t="str">
        <f>'Buildings - Grid Electricity'!X108</f>
        <v/>
      </c>
      <c r="AI603" s="193">
        <f t="shared" si="8"/>
        <v>0</v>
      </c>
      <c r="AJ603" s="193">
        <f t="shared" si="9"/>
        <v>0</v>
      </c>
    </row>
    <row r="604" spans="2:36" x14ac:dyDescent="0.35">
      <c r="B604" s="193" t="e">
        <f>"2024"&amp;MATCH(Totals!D604,OrgType,0)&amp;"_"&amp;MATCH(Totals!E604,Organisations,0)&amp;"_"&amp;LEFT(Totals!F604,1)&amp;"_"&amp;LEFT(G604,1)&amp;"_"&amp;COUNTIF($G$3:G604,G604)</f>
        <v>#N/A</v>
      </c>
      <c r="C604" s="193">
        <v>2025</v>
      </c>
      <c r="D604" s="193">
        <f>Introduction!$D$7</f>
        <v>0</v>
      </c>
      <c r="E604" s="193">
        <f>Introduction!$D$8</f>
        <v>0</v>
      </c>
      <c r="F604" s="193" t="s">
        <v>488</v>
      </c>
      <c r="G604" s="193" t="s">
        <v>171</v>
      </c>
      <c r="H604" s="193">
        <f>'Buildings - Grid Electricity'!B109</f>
        <v>0</v>
      </c>
      <c r="I604" s="193">
        <f>'Buildings - Grid Electricity'!C109</f>
        <v>0</v>
      </c>
      <c r="J604" s="193" t="str">
        <f>'Buildings - Grid Electricity'!D109</f>
        <v/>
      </c>
      <c r="K604" s="237"/>
      <c r="L604" s="237"/>
      <c r="M604" s="193" t="str">
        <f>'Buildings - Grid Electricity'!E109</f>
        <v/>
      </c>
      <c r="N604" s="193" t="str">
        <f>'Buildings - Grid Electricity'!F109</f>
        <v/>
      </c>
      <c r="O604" s="237"/>
      <c r="P604" s="193">
        <f>'Buildings - Grid Electricity'!G109</f>
        <v>0</v>
      </c>
      <c r="Q604" s="193" t="str">
        <f>'Buildings - Grid Electricity'!H109</f>
        <v/>
      </c>
      <c r="R604" s="193">
        <f>'Buildings - Grid Electricity'!I109</f>
        <v>0</v>
      </c>
      <c r="S604" s="193" t="str">
        <f>'Buildings - Grid Electricity'!J109</f>
        <v/>
      </c>
      <c r="T604" s="193" t="str">
        <f>'Buildings - Grid Electricity'!K109</f>
        <v/>
      </c>
      <c r="U604" s="193" t="str">
        <f>'Buildings - Grid Electricity'!L109</f>
        <v/>
      </c>
      <c r="V604" s="193" t="str">
        <f>'Buildings - Grid Electricity'!M109</f>
        <v/>
      </c>
      <c r="W604" s="193" t="str">
        <f>'Buildings - Grid Electricity'!N109</f>
        <v/>
      </c>
      <c r="X604" s="193">
        <f>'Buildings - Grid Electricity'!O109</f>
        <v>0</v>
      </c>
      <c r="Y604" s="193">
        <f>'Buildings - Grid Electricity'!P109</f>
        <v>0</v>
      </c>
      <c r="Z604" s="193" t="str">
        <f>'Buildings - Grid Electricity'!Q109</f>
        <v/>
      </c>
      <c r="AA604" s="193" t="str">
        <f>'Buildings - Grid Electricity'!R109</f>
        <v/>
      </c>
      <c r="AB604" s="193" t="str">
        <f>'Buildings - Grid Electricity'!S109</f>
        <v/>
      </c>
      <c r="AC604" s="193" t="str">
        <f>'Buildings - Grid Electricity'!T109</f>
        <v/>
      </c>
      <c r="AD604" s="193" t="str">
        <f>'Buildings - Grid Electricity'!U109</f>
        <v/>
      </c>
      <c r="AE604" s="193" t="str">
        <f>'Buildings - Grid Electricity'!V109</f>
        <v/>
      </c>
      <c r="AF604" s="193" t="str">
        <f>'Buildings - Grid Electricity'!W109</f>
        <v/>
      </c>
      <c r="AG604" s="193" t="str">
        <f>'Buildings - Grid Electricity'!X109</f>
        <v/>
      </c>
      <c r="AI604" s="193">
        <f t="shared" si="8"/>
        <v>0</v>
      </c>
      <c r="AJ604" s="193">
        <f t="shared" si="9"/>
        <v>0</v>
      </c>
    </row>
    <row r="605" spans="2:36" x14ac:dyDescent="0.35">
      <c r="B605" s="193" t="e">
        <f>"2024"&amp;MATCH(Totals!D605,OrgType,0)&amp;"_"&amp;MATCH(Totals!E605,Organisations,0)&amp;"_"&amp;LEFT(Totals!F605,1)&amp;"_"&amp;LEFT(G605,1)&amp;"_"&amp;COUNTIF($G$3:G605,G605)</f>
        <v>#N/A</v>
      </c>
      <c r="C605" s="193">
        <v>2025</v>
      </c>
      <c r="D605" s="193">
        <f>Introduction!$D$7</f>
        <v>0</v>
      </c>
      <c r="E605" s="193">
        <f>Introduction!$D$8</f>
        <v>0</v>
      </c>
      <c r="F605" s="193" t="s">
        <v>488</v>
      </c>
      <c r="G605" s="193" t="s">
        <v>171</v>
      </c>
      <c r="H605" s="193">
        <f>'Buildings - Grid Electricity'!B110</f>
        <v>0</v>
      </c>
      <c r="I605" s="193">
        <f>'Buildings - Grid Electricity'!C110</f>
        <v>0</v>
      </c>
      <c r="J605" s="193" t="str">
        <f>'Buildings - Grid Electricity'!D110</f>
        <v/>
      </c>
      <c r="K605" s="237"/>
      <c r="L605" s="237"/>
      <c r="M605" s="193" t="str">
        <f>'Buildings - Grid Electricity'!E110</f>
        <v/>
      </c>
      <c r="N605" s="193" t="str">
        <f>'Buildings - Grid Electricity'!F110</f>
        <v/>
      </c>
      <c r="O605" s="237"/>
      <c r="P605" s="193">
        <f>'Buildings - Grid Electricity'!G110</f>
        <v>0</v>
      </c>
      <c r="Q605" s="193" t="str">
        <f>'Buildings - Grid Electricity'!H110</f>
        <v/>
      </c>
      <c r="R605" s="193">
        <f>'Buildings - Grid Electricity'!I110</f>
        <v>0</v>
      </c>
      <c r="S605" s="193" t="str">
        <f>'Buildings - Grid Electricity'!J110</f>
        <v/>
      </c>
      <c r="T605" s="193" t="str">
        <f>'Buildings - Grid Electricity'!K110</f>
        <v/>
      </c>
      <c r="U605" s="193" t="str">
        <f>'Buildings - Grid Electricity'!L110</f>
        <v/>
      </c>
      <c r="V605" s="193" t="str">
        <f>'Buildings - Grid Electricity'!M110</f>
        <v/>
      </c>
      <c r="W605" s="193" t="str">
        <f>'Buildings - Grid Electricity'!N110</f>
        <v/>
      </c>
      <c r="X605" s="193">
        <f>'Buildings - Grid Electricity'!O110</f>
        <v>0</v>
      </c>
      <c r="Y605" s="193">
        <f>'Buildings - Grid Electricity'!P110</f>
        <v>0</v>
      </c>
      <c r="Z605" s="193" t="str">
        <f>'Buildings - Grid Electricity'!Q110</f>
        <v/>
      </c>
      <c r="AA605" s="193" t="str">
        <f>'Buildings - Grid Electricity'!R110</f>
        <v/>
      </c>
      <c r="AB605" s="193" t="str">
        <f>'Buildings - Grid Electricity'!S110</f>
        <v/>
      </c>
      <c r="AC605" s="193" t="str">
        <f>'Buildings - Grid Electricity'!T110</f>
        <v/>
      </c>
      <c r="AD605" s="193" t="str">
        <f>'Buildings - Grid Electricity'!U110</f>
        <v/>
      </c>
      <c r="AE605" s="193" t="str">
        <f>'Buildings - Grid Electricity'!V110</f>
        <v/>
      </c>
      <c r="AF605" s="193" t="str">
        <f>'Buildings - Grid Electricity'!W110</f>
        <v/>
      </c>
      <c r="AG605" s="193" t="str">
        <f>'Buildings - Grid Electricity'!X110</f>
        <v/>
      </c>
      <c r="AI605" s="193">
        <f t="shared" si="8"/>
        <v>0</v>
      </c>
      <c r="AJ605" s="193">
        <f t="shared" si="9"/>
        <v>0</v>
      </c>
    </row>
    <row r="606" spans="2:36" x14ac:dyDescent="0.35">
      <c r="B606" s="193" t="e">
        <f>"2024"&amp;MATCH(Totals!D606,OrgType,0)&amp;"_"&amp;MATCH(Totals!E606,Organisations,0)&amp;"_"&amp;LEFT(Totals!F606,1)&amp;"_"&amp;LEFT(G606,1)&amp;"_"&amp;COUNTIF($G$3:G606,G606)</f>
        <v>#N/A</v>
      </c>
      <c r="C606" s="193">
        <v>2025</v>
      </c>
      <c r="D606" s="193">
        <f>Introduction!$D$7</f>
        <v>0</v>
      </c>
      <c r="E606" s="193">
        <f>Introduction!$D$8</f>
        <v>0</v>
      </c>
      <c r="F606" s="193" t="s">
        <v>488</v>
      </c>
      <c r="G606" s="193" t="s">
        <v>171</v>
      </c>
      <c r="H606" s="193">
        <f>'Buildings - Grid Electricity'!B111</f>
        <v>0</v>
      </c>
      <c r="I606" s="193">
        <f>'Buildings - Grid Electricity'!C111</f>
        <v>0</v>
      </c>
      <c r="J606" s="193" t="str">
        <f>'Buildings - Grid Electricity'!D111</f>
        <v/>
      </c>
      <c r="K606" s="237"/>
      <c r="L606" s="237"/>
      <c r="M606" s="193" t="str">
        <f>'Buildings - Grid Electricity'!E111</f>
        <v/>
      </c>
      <c r="N606" s="193" t="str">
        <f>'Buildings - Grid Electricity'!F111</f>
        <v/>
      </c>
      <c r="O606" s="237"/>
      <c r="P606" s="193">
        <f>'Buildings - Grid Electricity'!G111</f>
        <v>0</v>
      </c>
      <c r="Q606" s="193" t="str">
        <f>'Buildings - Grid Electricity'!H111</f>
        <v/>
      </c>
      <c r="R606" s="193">
        <f>'Buildings - Grid Electricity'!I111</f>
        <v>0</v>
      </c>
      <c r="S606" s="193" t="str">
        <f>'Buildings - Grid Electricity'!J111</f>
        <v/>
      </c>
      <c r="T606" s="193" t="str">
        <f>'Buildings - Grid Electricity'!K111</f>
        <v/>
      </c>
      <c r="U606" s="193" t="str">
        <f>'Buildings - Grid Electricity'!L111</f>
        <v/>
      </c>
      <c r="V606" s="193" t="str">
        <f>'Buildings - Grid Electricity'!M111</f>
        <v/>
      </c>
      <c r="W606" s="193" t="str">
        <f>'Buildings - Grid Electricity'!N111</f>
        <v/>
      </c>
      <c r="X606" s="193">
        <f>'Buildings - Grid Electricity'!O111</f>
        <v>0</v>
      </c>
      <c r="Y606" s="193">
        <f>'Buildings - Grid Electricity'!P111</f>
        <v>0</v>
      </c>
      <c r="Z606" s="193" t="str">
        <f>'Buildings - Grid Electricity'!Q111</f>
        <v/>
      </c>
      <c r="AA606" s="193" t="str">
        <f>'Buildings - Grid Electricity'!R111</f>
        <v/>
      </c>
      <c r="AB606" s="193" t="str">
        <f>'Buildings - Grid Electricity'!S111</f>
        <v/>
      </c>
      <c r="AC606" s="193" t="str">
        <f>'Buildings - Grid Electricity'!T111</f>
        <v/>
      </c>
      <c r="AD606" s="193" t="str">
        <f>'Buildings - Grid Electricity'!U111</f>
        <v/>
      </c>
      <c r="AE606" s="193" t="str">
        <f>'Buildings - Grid Electricity'!V111</f>
        <v/>
      </c>
      <c r="AF606" s="193" t="str">
        <f>'Buildings - Grid Electricity'!W111</f>
        <v/>
      </c>
      <c r="AG606" s="193" t="str">
        <f>'Buildings - Grid Electricity'!X111</f>
        <v/>
      </c>
      <c r="AI606" s="193">
        <f t="shared" si="8"/>
        <v>0</v>
      </c>
      <c r="AJ606" s="193">
        <f t="shared" si="9"/>
        <v>0</v>
      </c>
    </row>
    <row r="607" spans="2:36" x14ac:dyDescent="0.35">
      <c r="B607" s="193" t="e">
        <f>"2024"&amp;MATCH(Totals!D607,OrgType,0)&amp;"_"&amp;MATCH(Totals!E607,Organisations,0)&amp;"_"&amp;LEFT(Totals!F607,1)&amp;"_"&amp;LEFT(G607,1)&amp;"_"&amp;COUNTIF($G$3:G607,G607)</f>
        <v>#N/A</v>
      </c>
      <c r="C607" s="193">
        <v>2025</v>
      </c>
      <c r="D607" s="193">
        <f>Introduction!$D$7</f>
        <v>0</v>
      </c>
      <c r="E607" s="193">
        <f>Introduction!$D$8</f>
        <v>0</v>
      </c>
      <c r="F607" s="193" t="s">
        <v>488</v>
      </c>
      <c r="G607" s="193" t="s">
        <v>171</v>
      </c>
      <c r="H607" s="193">
        <f>'Buildings - Grid Electricity'!B112</f>
        <v>0</v>
      </c>
      <c r="I607" s="193">
        <f>'Buildings - Grid Electricity'!C112</f>
        <v>0</v>
      </c>
      <c r="J607" s="193" t="str">
        <f>'Buildings - Grid Electricity'!D112</f>
        <v/>
      </c>
      <c r="K607" s="237"/>
      <c r="L607" s="237"/>
      <c r="M607" s="193" t="str">
        <f>'Buildings - Grid Electricity'!E112</f>
        <v/>
      </c>
      <c r="N607" s="193" t="str">
        <f>'Buildings - Grid Electricity'!F112</f>
        <v/>
      </c>
      <c r="O607" s="237"/>
      <c r="P607" s="193">
        <f>'Buildings - Grid Electricity'!G112</f>
        <v>0</v>
      </c>
      <c r="Q607" s="193" t="str">
        <f>'Buildings - Grid Electricity'!H112</f>
        <v/>
      </c>
      <c r="R607" s="193">
        <f>'Buildings - Grid Electricity'!I112</f>
        <v>0</v>
      </c>
      <c r="S607" s="193" t="str">
        <f>'Buildings - Grid Electricity'!J112</f>
        <v/>
      </c>
      <c r="T607" s="193" t="str">
        <f>'Buildings - Grid Electricity'!K112</f>
        <v/>
      </c>
      <c r="U607" s="193" t="str">
        <f>'Buildings - Grid Electricity'!L112</f>
        <v/>
      </c>
      <c r="V607" s="193" t="str">
        <f>'Buildings - Grid Electricity'!M112</f>
        <v/>
      </c>
      <c r="W607" s="193" t="str">
        <f>'Buildings - Grid Electricity'!N112</f>
        <v/>
      </c>
      <c r="X607" s="193">
        <f>'Buildings - Grid Electricity'!O112</f>
        <v>0</v>
      </c>
      <c r="Y607" s="193">
        <f>'Buildings - Grid Electricity'!P112</f>
        <v>0</v>
      </c>
      <c r="Z607" s="193" t="str">
        <f>'Buildings - Grid Electricity'!Q112</f>
        <v/>
      </c>
      <c r="AA607" s="193" t="str">
        <f>'Buildings - Grid Electricity'!R112</f>
        <v/>
      </c>
      <c r="AB607" s="193" t="str">
        <f>'Buildings - Grid Electricity'!S112</f>
        <v/>
      </c>
      <c r="AC607" s="193" t="str">
        <f>'Buildings - Grid Electricity'!T112</f>
        <v/>
      </c>
      <c r="AD607" s="193" t="str">
        <f>'Buildings - Grid Electricity'!U112</f>
        <v/>
      </c>
      <c r="AE607" s="193" t="str">
        <f>'Buildings - Grid Electricity'!V112</f>
        <v/>
      </c>
      <c r="AF607" s="193" t="str">
        <f>'Buildings - Grid Electricity'!W112</f>
        <v/>
      </c>
      <c r="AG607" s="193" t="str">
        <f>'Buildings - Grid Electricity'!X112</f>
        <v/>
      </c>
      <c r="AI607" s="193">
        <f t="shared" si="8"/>
        <v>0</v>
      </c>
      <c r="AJ607" s="193">
        <f t="shared" si="9"/>
        <v>0</v>
      </c>
    </row>
    <row r="608" spans="2:36" x14ac:dyDescent="0.35">
      <c r="B608" s="193" t="e">
        <f>"2024"&amp;MATCH(Totals!D608,OrgType,0)&amp;"_"&amp;MATCH(Totals!E608,Organisations,0)&amp;"_"&amp;LEFT(Totals!F608,1)&amp;"_"&amp;LEFT(G608,1)&amp;"_"&amp;COUNTIF($G$3:G608,G608)</f>
        <v>#N/A</v>
      </c>
      <c r="C608" s="193">
        <v>2025</v>
      </c>
      <c r="D608" s="193">
        <f>Introduction!$D$7</f>
        <v>0</v>
      </c>
      <c r="E608" s="193">
        <f>Introduction!$D$8</f>
        <v>0</v>
      </c>
      <c r="F608" s="193" t="s">
        <v>488</v>
      </c>
      <c r="G608" s="193" t="s">
        <v>171</v>
      </c>
      <c r="H608" s="193">
        <f>'Buildings - Grid Electricity'!B113</f>
        <v>0</v>
      </c>
      <c r="I608" s="193">
        <f>'Buildings - Grid Electricity'!C113</f>
        <v>0</v>
      </c>
      <c r="J608" s="193" t="str">
        <f>'Buildings - Grid Electricity'!D113</f>
        <v/>
      </c>
      <c r="K608" s="237"/>
      <c r="L608" s="237"/>
      <c r="M608" s="193" t="str">
        <f>'Buildings - Grid Electricity'!E113</f>
        <v/>
      </c>
      <c r="N608" s="193" t="str">
        <f>'Buildings - Grid Electricity'!F113</f>
        <v/>
      </c>
      <c r="O608" s="237"/>
      <c r="P608" s="193">
        <f>'Buildings - Grid Electricity'!G113</f>
        <v>0</v>
      </c>
      <c r="Q608" s="193" t="str">
        <f>'Buildings - Grid Electricity'!H113</f>
        <v/>
      </c>
      <c r="R608" s="193">
        <f>'Buildings - Grid Electricity'!I113</f>
        <v>0</v>
      </c>
      <c r="S608" s="193" t="str">
        <f>'Buildings - Grid Electricity'!J113</f>
        <v/>
      </c>
      <c r="T608" s="193" t="str">
        <f>'Buildings - Grid Electricity'!K113</f>
        <v/>
      </c>
      <c r="U608" s="193" t="str">
        <f>'Buildings - Grid Electricity'!L113</f>
        <v/>
      </c>
      <c r="V608" s="193" t="str">
        <f>'Buildings - Grid Electricity'!M113</f>
        <v/>
      </c>
      <c r="W608" s="193" t="str">
        <f>'Buildings - Grid Electricity'!N113</f>
        <v/>
      </c>
      <c r="X608" s="193">
        <f>'Buildings - Grid Electricity'!O113</f>
        <v>0</v>
      </c>
      <c r="Y608" s="193">
        <f>'Buildings - Grid Electricity'!P113</f>
        <v>0</v>
      </c>
      <c r="Z608" s="193" t="str">
        <f>'Buildings - Grid Electricity'!Q113</f>
        <v/>
      </c>
      <c r="AA608" s="193" t="str">
        <f>'Buildings - Grid Electricity'!R113</f>
        <v/>
      </c>
      <c r="AB608" s="193" t="str">
        <f>'Buildings - Grid Electricity'!S113</f>
        <v/>
      </c>
      <c r="AC608" s="193" t="str">
        <f>'Buildings - Grid Electricity'!T113</f>
        <v/>
      </c>
      <c r="AD608" s="193" t="str">
        <f>'Buildings - Grid Electricity'!U113</f>
        <v/>
      </c>
      <c r="AE608" s="193" t="str">
        <f>'Buildings - Grid Electricity'!V113</f>
        <v/>
      </c>
      <c r="AF608" s="193" t="str">
        <f>'Buildings - Grid Electricity'!W113</f>
        <v/>
      </c>
      <c r="AG608" s="193" t="str">
        <f>'Buildings - Grid Electricity'!X113</f>
        <v/>
      </c>
      <c r="AI608" s="193">
        <f t="shared" si="8"/>
        <v>0</v>
      </c>
      <c r="AJ608" s="193">
        <f t="shared" si="9"/>
        <v>0</v>
      </c>
    </row>
    <row r="609" spans="2:36" x14ac:dyDescent="0.35">
      <c r="B609" s="193" t="e">
        <f>"2024"&amp;MATCH(Totals!D609,OrgType,0)&amp;"_"&amp;MATCH(Totals!E609,Organisations,0)&amp;"_"&amp;LEFT(Totals!F609,1)&amp;"_"&amp;LEFT(G609,1)&amp;"_"&amp;COUNTIF($G$3:G609,G609)</f>
        <v>#N/A</v>
      </c>
      <c r="C609" s="193">
        <v>2025</v>
      </c>
      <c r="D609" s="193">
        <f>Introduction!$D$7</f>
        <v>0</v>
      </c>
      <c r="E609" s="193">
        <f>Introduction!$D$8</f>
        <v>0</v>
      </c>
      <c r="F609" s="193" t="s">
        <v>488</v>
      </c>
      <c r="G609" s="193" t="s">
        <v>171</v>
      </c>
      <c r="H609" s="193">
        <f>'Buildings - Grid Electricity'!B114</f>
        <v>0</v>
      </c>
      <c r="I609" s="193">
        <f>'Buildings - Grid Electricity'!C114</f>
        <v>0</v>
      </c>
      <c r="J609" s="193" t="str">
        <f>'Buildings - Grid Electricity'!D114</f>
        <v/>
      </c>
      <c r="K609" s="237"/>
      <c r="L609" s="237"/>
      <c r="M609" s="193" t="str">
        <f>'Buildings - Grid Electricity'!E114</f>
        <v/>
      </c>
      <c r="N609" s="193" t="str">
        <f>'Buildings - Grid Electricity'!F114</f>
        <v/>
      </c>
      <c r="O609" s="237"/>
      <c r="P609" s="193">
        <f>'Buildings - Grid Electricity'!G114</f>
        <v>0</v>
      </c>
      <c r="Q609" s="193" t="str">
        <f>'Buildings - Grid Electricity'!H114</f>
        <v/>
      </c>
      <c r="R609" s="193">
        <f>'Buildings - Grid Electricity'!I114</f>
        <v>0</v>
      </c>
      <c r="S609" s="193" t="str">
        <f>'Buildings - Grid Electricity'!J114</f>
        <v/>
      </c>
      <c r="T609" s="193" t="str">
        <f>'Buildings - Grid Electricity'!K114</f>
        <v/>
      </c>
      <c r="U609" s="193" t="str">
        <f>'Buildings - Grid Electricity'!L114</f>
        <v/>
      </c>
      <c r="V609" s="193" t="str">
        <f>'Buildings - Grid Electricity'!M114</f>
        <v/>
      </c>
      <c r="W609" s="193" t="str">
        <f>'Buildings - Grid Electricity'!N114</f>
        <v/>
      </c>
      <c r="X609" s="193">
        <f>'Buildings - Grid Electricity'!O114</f>
        <v>0</v>
      </c>
      <c r="Y609" s="193">
        <f>'Buildings - Grid Electricity'!P114</f>
        <v>0</v>
      </c>
      <c r="Z609" s="193" t="str">
        <f>'Buildings - Grid Electricity'!Q114</f>
        <v/>
      </c>
      <c r="AA609" s="193" t="str">
        <f>'Buildings - Grid Electricity'!R114</f>
        <v/>
      </c>
      <c r="AB609" s="193" t="str">
        <f>'Buildings - Grid Electricity'!S114</f>
        <v/>
      </c>
      <c r="AC609" s="193" t="str">
        <f>'Buildings - Grid Electricity'!T114</f>
        <v/>
      </c>
      <c r="AD609" s="193" t="str">
        <f>'Buildings - Grid Electricity'!U114</f>
        <v/>
      </c>
      <c r="AE609" s="193" t="str">
        <f>'Buildings - Grid Electricity'!V114</f>
        <v/>
      </c>
      <c r="AF609" s="193" t="str">
        <f>'Buildings - Grid Electricity'!W114</f>
        <v/>
      </c>
      <c r="AG609" s="193" t="str">
        <f>'Buildings - Grid Electricity'!X114</f>
        <v/>
      </c>
      <c r="AI609" s="193">
        <f t="shared" si="8"/>
        <v>0</v>
      </c>
      <c r="AJ609" s="193">
        <f t="shared" si="9"/>
        <v>0</v>
      </c>
    </row>
    <row r="610" spans="2:36" x14ac:dyDescent="0.35">
      <c r="B610" s="193" t="e">
        <f>"2024"&amp;MATCH(Totals!D610,OrgType,0)&amp;"_"&amp;MATCH(Totals!E610,Organisations,0)&amp;"_"&amp;LEFT(Totals!F610,1)&amp;"_"&amp;LEFT(G610,1)&amp;"_"&amp;COUNTIF($G$3:G610,G610)</f>
        <v>#N/A</v>
      </c>
      <c r="C610" s="193">
        <v>2025</v>
      </c>
      <c r="D610" s="193">
        <f>Introduction!$D$7</f>
        <v>0</v>
      </c>
      <c r="E610" s="193">
        <f>Introduction!$D$8</f>
        <v>0</v>
      </c>
      <c r="F610" s="193" t="s">
        <v>488</v>
      </c>
      <c r="G610" s="193" t="s">
        <v>171</v>
      </c>
      <c r="H610" s="193">
        <f>'Buildings - Grid Electricity'!B115</f>
        <v>0</v>
      </c>
      <c r="I610" s="193">
        <f>'Buildings - Grid Electricity'!C115</f>
        <v>0</v>
      </c>
      <c r="J610" s="193" t="str">
        <f>'Buildings - Grid Electricity'!D115</f>
        <v/>
      </c>
      <c r="K610" s="237"/>
      <c r="L610" s="237"/>
      <c r="M610" s="193" t="str">
        <f>'Buildings - Grid Electricity'!E115</f>
        <v/>
      </c>
      <c r="N610" s="193" t="str">
        <f>'Buildings - Grid Electricity'!F115</f>
        <v/>
      </c>
      <c r="O610" s="237"/>
      <c r="P610" s="193">
        <f>'Buildings - Grid Electricity'!G115</f>
        <v>0</v>
      </c>
      <c r="Q610" s="193" t="str">
        <f>'Buildings - Grid Electricity'!H115</f>
        <v/>
      </c>
      <c r="R610" s="193">
        <f>'Buildings - Grid Electricity'!I115</f>
        <v>0</v>
      </c>
      <c r="S610" s="193" t="str">
        <f>'Buildings - Grid Electricity'!J115</f>
        <v/>
      </c>
      <c r="T610" s="193" t="str">
        <f>'Buildings - Grid Electricity'!K115</f>
        <v/>
      </c>
      <c r="U610" s="193" t="str">
        <f>'Buildings - Grid Electricity'!L115</f>
        <v/>
      </c>
      <c r="V610" s="193" t="str">
        <f>'Buildings - Grid Electricity'!M115</f>
        <v/>
      </c>
      <c r="W610" s="193" t="str">
        <f>'Buildings - Grid Electricity'!N115</f>
        <v/>
      </c>
      <c r="X610" s="193">
        <f>'Buildings - Grid Electricity'!O115</f>
        <v>0</v>
      </c>
      <c r="Y610" s="193">
        <f>'Buildings - Grid Electricity'!P115</f>
        <v>0</v>
      </c>
      <c r="Z610" s="193" t="str">
        <f>'Buildings - Grid Electricity'!Q115</f>
        <v/>
      </c>
      <c r="AA610" s="193" t="str">
        <f>'Buildings - Grid Electricity'!R115</f>
        <v/>
      </c>
      <c r="AB610" s="193" t="str">
        <f>'Buildings - Grid Electricity'!S115</f>
        <v/>
      </c>
      <c r="AC610" s="193" t="str">
        <f>'Buildings - Grid Electricity'!T115</f>
        <v/>
      </c>
      <c r="AD610" s="193" t="str">
        <f>'Buildings - Grid Electricity'!U115</f>
        <v/>
      </c>
      <c r="AE610" s="193" t="str">
        <f>'Buildings - Grid Electricity'!V115</f>
        <v/>
      </c>
      <c r="AF610" s="193" t="str">
        <f>'Buildings - Grid Electricity'!W115</f>
        <v/>
      </c>
      <c r="AG610" s="193" t="str">
        <f>'Buildings - Grid Electricity'!X115</f>
        <v/>
      </c>
      <c r="AI610" s="193">
        <f t="shared" si="8"/>
        <v>0</v>
      </c>
      <c r="AJ610" s="193">
        <f t="shared" si="9"/>
        <v>0</v>
      </c>
    </row>
    <row r="611" spans="2:36" x14ac:dyDescent="0.35">
      <c r="B611" s="193" t="e">
        <f>"2024"&amp;MATCH(Totals!D611,OrgType,0)&amp;"_"&amp;MATCH(Totals!E611,Organisations,0)&amp;"_"&amp;LEFT(Totals!F611,1)&amp;"_"&amp;LEFT(G611,1)&amp;"_"&amp;COUNTIF($G$3:G611,G611)</f>
        <v>#N/A</v>
      </c>
      <c r="C611" s="193">
        <v>2025</v>
      </c>
      <c r="D611" s="193">
        <f>Introduction!$D$7</f>
        <v>0</v>
      </c>
      <c r="E611" s="193">
        <f>Introduction!$D$8</f>
        <v>0</v>
      </c>
      <c r="F611" s="193" t="s">
        <v>488</v>
      </c>
      <c r="G611" s="193" t="s">
        <v>171</v>
      </c>
      <c r="H611" s="193">
        <f>'Buildings - Grid Electricity'!B116</f>
        <v>0</v>
      </c>
      <c r="I611" s="193">
        <f>'Buildings - Grid Electricity'!C116</f>
        <v>0</v>
      </c>
      <c r="J611" s="193" t="str">
        <f>'Buildings - Grid Electricity'!D116</f>
        <v/>
      </c>
      <c r="K611" s="237"/>
      <c r="L611" s="237"/>
      <c r="M611" s="193" t="str">
        <f>'Buildings - Grid Electricity'!E116</f>
        <v/>
      </c>
      <c r="N611" s="193" t="str">
        <f>'Buildings - Grid Electricity'!F116</f>
        <v/>
      </c>
      <c r="O611" s="237"/>
      <c r="P611" s="193">
        <f>'Buildings - Grid Electricity'!G116</f>
        <v>0</v>
      </c>
      <c r="Q611" s="193" t="str">
        <f>'Buildings - Grid Electricity'!H116</f>
        <v/>
      </c>
      <c r="R611" s="193">
        <f>'Buildings - Grid Electricity'!I116</f>
        <v>0</v>
      </c>
      <c r="S611" s="193" t="str">
        <f>'Buildings - Grid Electricity'!J116</f>
        <v/>
      </c>
      <c r="T611" s="193" t="str">
        <f>'Buildings - Grid Electricity'!K116</f>
        <v/>
      </c>
      <c r="U611" s="193" t="str">
        <f>'Buildings - Grid Electricity'!L116</f>
        <v/>
      </c>
      <c r="V611" s="193" t="str">
        <f>'Buildings - Grid Electricity'!M116</f>
        <v/>
      </c>
      <c r="W611" s="193" t="str">
        <f>'Buildings - Grid Electricity'!N116</f>
        <v/>
      </c>
      <c r="X611" s="193">
        <f>'Buildings - Grid Electricity'!O116</f>
        <v>0</v>
      </c>
      <c r="Y611" s="193">
        <f>'Buildings - Grid Electricity'!P116</f>
        <v>0</v>
      </c>
      <c r="Z611" s="193" t="str">
        <f>'Buildings - Grid Electricity'!Q116</f>
        <v/>
      </c>
      <c r="AA611" s="193" t="str">
        <f>'Buildings - Grid Electricity'!R116</f>
        <v/>
      </c>
      <c r="AB611" s="193" t="str">
        <f>'Buildings - Grid Electricity'!S116</f>
        <v/>
      </c>
      <c r="AC611" s="193" t="str">
        <f>'Buildings - Grid Electricity'!T116</f>
        <v/>
      </c>
      <c r="AD611" s="193" t="str">
        <f>'Buildings - Grid Electricity'!U116</f>
        <v/>
      </c>
      <c r="AE611" s="193" t="str">
        <f>'Buildings - Grid Electricity'!V116</f>
        <v/>
      </c>
      <c r="AF611" s="193" t="str">
        <f>'Buildings - Grid Electricity'!W116</f>
        <v/>
      </c>
      <c r="AG611" s="193" t="str">
        <f>'Buildings - Grid Electricity'!X116</f>
        <v/>
      </c>
      <c r="AI611" s="193">
        <f t="shared" si="8"/>
        <v>0</v>
      </c>
      <c r="AJ611" s="193">
        <f t="shared" si="9"/>
        <v>0</v>
      </c>
    </row>
    <row r="612" spans="2:36" x14ac:dyDescent="0.35">
      <c r="B612" s="193" t="e">
        <f>"2024"&amp;MATCH(Totals!D612,OrgType,0)&amp;"_"&amp;MATCH(Totals!E612,Organisations,0)&amp;"_"&amp;LEFT(Totals!F612,1)&amp;"_"&amp;LEFT(G612,1)&amp;"_"&amp;COUNTIF($G$3:G612,G612)</f>
        <v>#N/A</v>
      </c>
      <c r="C612" s="193">
        <v>2025</v>
      </c>
      <c r="D612" s="193">
        <f>Introduction!$D$7</f>
        <v>0</v>
      </c>
      <c r="E612" s="193">
        <f>Introduction!$D$8</f>
        <v>0</v>
      </c>
      <c r="F612" s="193" t="s">
        <v>488</v>
      </c>
      <c r="G612" s="193" t="s">
        <v>171</v>
      </c>
      <c r="H612" s="193">
        <f>'Buildings - Grid Electricity'!B117</f>
        <v>0</v>
      </c>
      <c r="I612" s="193">
        <f>'Buildings - Grid Electricity'!C117</f>
        <v>0</v>
      </c>
      <c r="J612" s="193" t="str">
        <f>'Buildings - Grid Electricity'!D117</f>
        <v/>
      </c>
      <c r="K612" s="237"/>
      <c r="L612" s="237"/>
      <c r="M612" s="193" t="str">
        <f>'Buildings - Grid Electricity'!E117</f>
        <v/>
      </c>
      <c r="N612" s="193" t="str">
        <f>'Buildings - Grid Electricity'!F117</f>
        <v/>
      </c>
      <c r="O612" s="237"/>
      <c r="P612" s="193">
        <f>'Buildings - Grid Electricity'!G117</f>
        <v>0</v>
      </c>
      <c r="Q612" s="193" t="str">
        <f>'Buildings - Grid Electricity'!H117</f>
        <v/>
      </c>
      <c r="R612" s="193">
        <f>'Buildings - Grid Electricity'!I117</f>
        <v>0</v>
      </c>
      <c r="S612" s="193" t="str">
        <f>'Buildings - Grid Electricity'!J117</f>
        <v/>
      </c>
      <c r="T612" s="193" t="str">
        <f>'Buildings - Grid Electricity'!K117</f>
        <v/>
      </c>
      <c r="U612" s="193" t="str">
        <f>'Buildings - Grid Electricity'!L117</f>
        <v/>
      </c>
      <c r="V612" s="193" t="str">
        <f>'Buildings - Grid Electricity'!M117</f>
        <v/>
      </c>
      <c r="W612" s="193" t="str">
        <f>'Buildings - Grid Electricity'!N117</f>
        <v/>
      </c>
      <c r="X612" s="193">
        <f>'Buildings - Grid Electricity'!O117</f>
        <v>0</v>
      </c>
      <c r="Y612" s="193">
        <f>'Buildings - Grid Electricity'!P117</f>
        <v>0</v>
      </c>
      <c r="Z612" s="193" t="str">
        <f>'Buildings - Grid Electricity'!Q117</f>
        <v/>
      </c>
      <c r="AA612" s="193" t="str">
        <f>'Buildings - Grid Electricity'!R117</f>
        <v/>
      </c>
      <c r="AB612" s="193" t="str">
        <f>'Buildings - Grid Electricity'!S117</f>
        <v/>
      </c>
      <c r="AC612" s="193" t="str">
        <f>'Buildings - Grid Electricity'!T117</f>
        <v/>
      </c>
      <c r="AD612" s="193" t="str">
        <f>'Buildings - Grid Electricity'!U117</f>
        <v/>
      </c>
      <c r="AE612" s="193" t="str">
        <f>'Buildings - Grid Electricity'!V117</f>
        <v/>
      </c>
      <c r="AF612" s="193" t="str">
        <f>'Buildings - Grid Electricity'!W117</f>
        <v/>
      </c>
      <c r="AG612" s="193" t="str">
        <f>'Buildings - Grid Electricity'!X117</f>
        <v/>
      </c>
      <c r="AI612" s="193">
        <f t="shared" si="8"/>
        <v>0</v>
      </c>
      <c r="AJ612" s="193">
        <f t="shared" si="9"/>
        <v>0</v>
      </c>
    </row>
    <row r="613" spans="2:36" x14ac:dyDescent="0.35">
      <c r="B613" s="193" t="e">
        <f>"2024"&amp;MATCH(Totals!D613,OrgType,0)&amp;"_"&amp;MATCH(Totals!E613,Organisations,0)&amp;"_"&amp;LEFT(Totals!F613,1)&amp;"_"&amp;LEFT(G613,1)&amp;"_"&amp;COUNTIF($G$3:G613,G613)</f>
        <v>#N/A</v>
      </c>
      <c r="C613" s="193">
        <v>2025</v>
      </c>
      <c r="D613" s="193">
        <f>Introduction!$D$7</f>
        <v>0</v>
      </c>
      <c r="E613" s="193">
        <f>Introduction!$D$8</f>
        <v>0</v>
      </c>
      <c r="F613" s="193" t="s">
        <v>488</v>
      </c>
      <c r="G613" s="193" t="s">
        <v>171</v>
      </c>
      <c r="H613" s="193">
        <f>'Buildings - Grid Electricity'!B118</f>
        <v>0</v>
      </c>
      <c r="I613" s="193">
        <f>'Buildings - Grid Electricity'!C118</f>
        <v>0</v>
      </c>
      <c r="J613" s="193" t="str">
        <f>'Buildings - Grid Electricity'!D118</f>
        <v/>
      </c>
      <c r="K613" s="237"/>
      <c r="L613" s="237"/>
      <c r="M613" s="193" t="str">
        <f>'Buildings - Grid Electricity'!E118</f>
        <v/>
      </c>
      <c r="N613" s="193" t="str">
        <f>'Buildings - Grid Electricity'!F118</f>
        <v/>
      </c>
      <c r="O613" s="237"/>
      <c r="P613" s="193">
        <f>'Buildings - Grid Electricity'!G118</f>
        <v>0</v>
      </c>
      <c r="Q613" s="193" t="str">
        <f>'Buildings - Grid Electricity'!H118</f>
        <v/>
      </c>
      <c r="R613" s="193">
        <f>'Buildings - Grid Electricity'!I118</f>
        <v>0</v>
      </c>
      <c r="S613" s="193" t="str">
        <f>'Buildings - Grid Electricity'!J118</f>
        <v/>
      </c>
      <c r="T613" s="193" t="str">
        <f>'Buildings - Grid Electricity'!K118</f>
        <v/>
      </c>
      <c r="U613" s="193" t="str">
        <f>'Buildings - Grid Electricity'!L118</f>
        <v/>
      </c>
      <c r="V613" s="193" t="str">
        <f>'Buildings - Grid Electricity'!M118</f>
        <v/>
      </c>
      <c r="W613" s="193" t="str">
        <f>'Buildings - Grid Electricity'!N118</f>
        <v/>
      </c>
      <c r="X613" s="193">
        <f>'Buildings - Grid Electricity'!O118</f>
        <v>0</v>
      </c>
      <c r="Y613" s="193">
        <f>'Buildings - Grid Electricity'!P118</f>
        <v>0</v>
      </c>
      <c r="Z613" s="193" t="str">
        <f>'Buildings - Grid Electricity'!Q118</f>
        <v/>
      </c>
      <c r="AA613" s="193" t="str">
        <f>'Buildings - Grid Electricity'!R118</f>
        <v/>
      </c>
      <c r="AB613" s="193" t="str">
        <f>'Buildings - Grid Electricity'!S118</f>
        <v/>
      </c>
      <c r="AC613" s="193" t="str">
        <f>'Buildings - Grid Electricity'!T118</f>
        <v/>
      </c>
      <c r="AD613" s="193" t="str">
        <f>'Buildings - Grid Electricity'!U118</f>
        <v/>
      </c>
      <c r="AE613" s="193" t="str">
        <f>'Buildings - Grid Electricity'!V118</f>
        <v/>
      </c>
      <c r="AF613" s="193" t="str">
        <f>'Buildings - Grid Electricity'!W118</f>
        <v/>
      </c>
      <c r="AG613" s="193" t="str">
        <f>'Buildings - Grid Electricity'!X118</f>
        <v/>
      </c>
      <c r="AI613" s="193">
        <f t="shared" si="8"/>
        <v>0</v>
      </c>
      <c r="AJ613" s="193">
        <f t="shared" si="9"/>
        <v>0</v>
      </c>
    </row>
    <row r="614" spans="2:36" x14ac:dyDescent="0.35">
      <c r="B614" s="193" t="e">
        <f>"2024"&amp;MATCH(Totals!D614,OrgType,0)&amp;"_"&amp;MATCH(Totals!E614,Organisations,0)&amp;"_"&amp;LEFT(Totals!F614,1)&amp;"_"&amp;LEFT(G614,1)&amp;"_"&amp;COUNTIF($G$3:G614,G614)</f>
        <v>#N/A</v>
      </c>
      <c r="C614" s="193">
        <v>2025</v>
      </c>
      <c r="D614" s="193">
        <f>Introduction!$D$7</f>
        <v>0</v>
      </c>
      <c r="E614" s="193">
        <f>Introduction!$D$8</f>
        <v>0</v>
      </c>
      <c r="F614" s="193" t="s">
        <v>488</v>
      </c>
      <c r="G614" s="193" t="s">
        <v>171</v>
      </c>
      <c r="H614" s="193">
        <f>'Buildings - Grid Electricity'!B119</f>
        <v>0</v>
      </c>
      <c r="I614" s="193">
        <f>'Buildings - Grid Electricity'!C119</f>
        <v>0</v>
      </c>
      <c r="J614" s="193" t="str">
        <f>'Buildings - Grid Electricity'!D119</f>
        <v/>
      </c>
      <c r="K614" s="237"/>
      <c r="L614" s="237"/>
      <c r="M614" s="193" t="str">
        <f>'Buildings - Grid Electricity'!E119</f>
        <v/>
      </c>
      <c r="N614" s="193" t="str">
        <f>'Buildings - Grid Electricity'!F119</f>
        <v/>
      </c>
      <c r="O614" s="237"/>
      <c r="P614" s="193">
        <f>'Buildings - Grid Electricity'!G119</f>
        <v>0</v>
      </c>
      <c r="Q614" s="193" t="str">
        <f>'Buildings - Grid Electricity'!H119</f>
        <v/>
      </c>
      <c r="R614" s="193">
        <f>'Buildings - Grid Electricity'!I119</f>
        <v>0</v>
      </c>
      <c r="S614" s="193" t="str">
        <f>'Buildings - Grid Electricity'!J119</f>
        <v/>
      </c>
      <c r="T614" s="193" t="str">
        <f>'Buildings - Grid Electricity'!K119</f>
        <v/>
      </c>
      <c r="U614" s="193" t="str">
        <f>'Buildings - Grid Electricity'!L119</f>
        <v/>
      </c>
      <c r="V614" s="193" t="str">
        <f>'Buildings - Grid Electricity'!M119</f>
        <v/>
      </c>
      <c r="W614" s="193" t="str">
        <f>'Buildings - Grid Electricity'!N119</f>
        <v/>
      </c>
      <c r="X614" s="193">
        <f>'Buildings - Grid Electricity'!O119</f>
        <v>0</v>
      </c>
      <c r="Y614" s="193">
        <f>'Buildings - Grid Electricity'!P119</f>
        <v>0</v>
      </c>
      <c r="Z614" s="193" t="str">
        <f>'Buildings - Grid Electricity'!Q119</f>
        <v/>
      </c>
      <c r="AA614" s="193" t="str">
        <f>'Buildings - Grid Electricity'!R119</f>
        <v/>
      </c>
      <c r="AB614" s="193" t="str">
        <f>'Buildings - Grid Electricity'!S119</f>
        <v/>
      </c>
      <c r="AC614" s="193" t="str">
        <f>'Buildings - Grid Electricity'!T119</f>
        <v/>
      </c>
      <c r="AD614" s="193" t="str">
        <f>'Buildings - Grid Electricity'!U119</f>
        <v/>
      </c>
      <c r="AE614" s="193" t="str">
        <f>'Buildings - Grid Electricity'!V119</f>
        <v/>
      </c>
      <c r="AF614" s="193" t="str">
        <f>'Buildings - Grid Electricity'!W119</f>
        <v/>
      </c>
      <c r="AG614" s="193" t="str">
        <f>'Buildings - Grid Electricity'!X119</f>
        <v/>
      </c>
      <c r="AI614" s="193">
        <f t="shared" si="8"/>
        <v>0</v>
      </c>
      <c r="AJ614" s="193">
        <f t="shared" si="9"/>
        <v>0</v>
      </c>
    </row>
    <row r="615" spans="2:36" x14ac:dyDescent="0.35">
      <c r="B615" s="193" t="e">
        <f>"2024"&amp;MATCH(Totals!D615,OrgType,0)&amp;"_"&amp;MATCH(Totals!E615,Organisations,0)&amp;"_"&amp;LEFT(Totals!F615,1)&amp;"_"&amp;LEFT(G615,1)&amp;"_"&amp;COUNTIF($G$3:G615,G615)</f>
        <v>#N/A</v>
      </c>
      <c r="C615" s="193">
        <v>2025</v>
      </c>
      <c r="D615" s="193">
        <f>Introduction!$D$7</f>
        <v>0</v>
      </c>
      <c r="E615" s="193">
        <f>Introduction!$D$8</f>
        <v>0</v>
      </c>
      <c r="F615" s="193" t="s">
        <v>488</v>
      </c>
      <c r="G615" s="193" t="s">
        <v>171</v>
      </c>
      <c r="H615" s="193">
        <f>'Buildings - Grid Electricity'!B120</f>
        <v>0</v>
      </c>
      <c r="I615" s="193">
        <f>'Buildings - Grid Electricity'!C120</f>
        <v>0</v>
      </c>
      <c r="J615" s="193" t="str">
        <f>'Buildings - Grid Electricity'!D120</f>
        <v/>
      </c>
      <c r="K615" s="237"/>
      <c r="L615" s="237"/>
      <c r="M615" s="193" t="str">
        <f>'Buildings - Grid Electricity'!E120</f>
        <v/>
      </c>
      <c r="N615" s="193" t="str">
        <f>'Buildings - Grid Electricity'!F120</f>
        <v/>
      </c>
      <c r="O615" s="237"/>
      <c r="P615" s="193">
        <f>'Buildings - Grid Electricity'!G120</f>
        <v>0</v>
      </c>
      <c r="Q615" s="193" t="str">
        <f>'Buildings - Grid Electricity'!H120</f>
        <v/>
      </c>
      <c r="R615" s="193">
        <f>'Buildings - Grid Electricity'!I120</f>
        <v>0</v>
      </c>
      <c r="S615" s="193" t="str">
        <f>'Buildings - Grid Electricity'!J120</f>
        <v/>
      </c>
      <c r="T615" s="193" t="str">
        <f>'Buildings - Grid Electricity'!K120</f>
        <v/>
      </c>
      <c r="U615" s="193" t="str">
        <f>'Buildings - Grid Electricity'!L120</f>
        <v/>
      </c>
      <c r="V615" s="193" t="str">
        <f>'Buildings - Grid Electricity'!M120</f>
        <v/>
      </c>
      <c r="W615" s="193" t="str">
        <f>'Buildings - Grid Electricity'!N120</f>
        <v/>
      </c>
      <c r="X615" s="193">
        <f>'Buildings - Grid Electricity'!O120</f>
        <v>0</v>
      </c>
      <c r="Y615" s="193">
        <f>'Buildings - Grid Electricity'!P120</f>
        <v>0</v>
      </c>
      <c r="Z615" s="193" t="str">
        <f>'Buildings - Grid Electricity'!Q120</f>
        <v/>
      </c>
      <c r="AA615" s="193" t="str">
        <f>'Buildings - Grid Electricity'!R120</f>
        <v/>
      </c>
      <c r="AB615" s="193" t="str">
        <f>'Buildings - Grid Electricity'!S120</f>
        <v/>
      </c>
      <c r="AC615" s="193" t="str">
        <f>'Buildings - Grid Electricity'!T120</f>
        <v/>
      </c>
      <c r="AD615" s="193" t="str">
        <f>'Buildings - Grid Electricity'!U120</f>
        <v/>
      </c>
      <c r="AE615" s="193" t="str">
        <f>'Buildings - Grid Electricity'!V120</f>
        <v/>
      </c>
      <c r="AF615" s="193" t="str">
        <f>'Buildings - Grid Electricity'!W120</f>
        <v/>
      </c>
      <c r="AG615" s="193" t="str">
        <f>'Buildings - Grid Electricity'!X120</f>
        <v/>
      </c>
      <c r="AI615" s="193">
        <f t="shared" si="8"/>
        <v>0</v>
      </c>
      <c r="AJ615" s="193">
        <f t="shared" si="9"/>
        <v>0</v>
      </c>
    </row>
    <row r="616" spans="2:36" x14ac:dyDescent="0.35">
      <c r="B616" s="193" t="e">
        <f>"2024"&amp;MATCH(Totals!D616,OrgType,0)&amp;"_"&amp;MATCH(Totals!E616,Organisations,0)&amp;"_"&amp;LEFT(Totals!F616,1)&amp;"_"&amp;LEFT(G616,1)&amp;"_"&amp;COUNTIF($G$3:G616,G616)</f>
        <v>#N/A</v>
      </c>
      <c r="C616" s="193">
        <v>2025</v>
      </c>
      <c r="D616" s="193">
        <f>Introduction!$D$7</f>
        <v>0</v>
      </c>
      <c r="E616" s="193">
        <f>Introduction!$D$8</f>
        <v>0</v>
      </c>
      <c r="F616" s="193" t="s">
        <v>488</v>
      </c>
      <c r="G616" s="193" t="s">
        <v>171</v>
      </c>
      <c r="H616" s="193">
        <f>'Buildings - Grid Electricity'!B121</f>
        <v>0</v>
      </c>
      <c r="I616" s="193">
        <f>'Buildings - Grid Electricity'!C121</f>
        <v>0</v>
      </c>
      <c r="J616" s="193" t="str">
        <f>'Buildings - Grid Electricity'!D121</f>
        <v/>
      </c>
      <c r="K616" s="237"/>
      <c r="L616" s="237"/>
      <c r="M616" s="193" t="str">
        <f>'Buildings - Grid Electricity'!E121</f>
        <v/>
      </c>
      <c r="N616" s="193" t="str">
        <f>'Buildings - Grid Electricity'!F121</f>
        <v/>
      </c>
      <c r="O616" s="237"/>
      <c r="P616" s="193">
        <f>'Buildings - Grid Electricity'!G121</f>
        <v>0</v>
      </c>
      <c r="Q616" s="193" t="str">
        <f>'Buildings - Grid Electricity'!H121</f>
        <v/>
      </c>
      <c r="R616" s="193">
        <f>'Buildings - Grid Electricity'!I121</f>
        <v>0</v>
      </c>
      <c r="S616" s="193" t="str">
        <f>'Buildings - Grid Electricity'!J121</f>
        <v/>
      </c>
      <c r="T616" s="193" t="str">
        <f>'Buildings - Grid Electricity'!K121</f>
        <v/>
      </c>
      <c r="U616" s="193" t="str">
        <f>'Buildings - Grid Electricity'!L121</f>
        <v/>
      </c>
      <c r="V616" s="193" t="str">
        <f>'Buildings - Grid Electricity'!M121</f>
        <v/>
      </c>
      <c r="W616" s="193" t="str">
        <f>'Buildings - Grid Electricity'!N121</f>
        <v/>
      </c>
      <c r="X616" s="193">
        <f>'Buildings - Grid Electricity'!O121</f>
        <v>0</v>
      </c>
      <c r="Y616" s="193">
        <f>'Buildings - Grid Electricity'!P121</f>
        <v>0</v>
      </c>
      <c r="Z616" s="193" t="str">
        <f>'Buildings - Grid Electricity'!Q121</f>
        <v/>
      </c>
      <c r="AA616" s="193" t="str">
        <f>'Buildings - Grid Electricity'!R121</f>
        <v/>
      </c>
      <c r="AB616" s="193" t="str">
        <f>'Buildings - Grid Electricity'!S121</f>
        <v/>
      </c>
      <c r="AC616" s="193" t="str">
        <f>'Buildings - Grid Electricity'!T121</f>
        <v/>
      </c>
      <c r="AD616" s="193" t="str">
        <f>'Buildings - Grid Electricity'!U121</f>
        <v/>
      </c>
      <c r="AE616" s="193" t="str">
        <f>'Buildings - Grid Electricity'!V121</f>
        <v/>
      </c>
      <c r="AF616" s="193" t="str">
        <f>'Buildings - Grid Electricity'!W121</f>
        <v/>
      </c>
      <c r="AG616" s="193" t="str">
        <f>'Buildings - Grid Electricity'!X121</f>
        <v/>
      </c>
      <c r="AI616" s="193">
        <f t="shared" si="8"/>
        <v>0</v>
      </c>
      <c r="AJ616" s="193">
        <f t="shared" si="9"/>
        <v>0</v>
      </c>
    </row>
    <row r="617" spans="2:36" x14ac:dyDescent="0.35">
      <c r="B617" s="193" t="e">
        <f>"2024"&amp;MATCH(Totals!D617,OrgType,0)&amp;"_"&amp;MATCH(Totals!E617,Organisations,0)&amp;"_"&amp;LEFT(Totals!F617,1)&amp;"_"&amp;LEFT(G617,1)&amp;"_"&amp;COUNTIF($G$3:G617,G617)</f>
        <v>#N/A</v>
      </c>
      <c r="C617" s="193">
        <v>2025</v>
      </c>
      <c r="D617" s="193">
        <f>Introduction!$D$7</f>
        <v>0</v>
      </c>
      <c r="E617" s="193">
        <f>Introduction!$D$8</f>
        <v>0</v>
      </c>
      <c r="F617" s="193" t="s">
        <v>488</v>
      </c>
      <c r="G617" s="193" t="s">
        <v>171</v>
      </c>
      <c r="H617" s="193">
        <f>'Buildings - Grid Electricity'!B122</f>
        <v>0</v>
      </c>
      <c r="I617" s="193">
        <f>'Buildings - Grid Electricity'!C122</f>
        <v>0</v>
      </c>
      <c r="J617" s="193" t="str">
        <f>'Buildings - Grid Electricity'!D122</f>
        <v/>
      </c>
      <c r="K617" s="237"/>
      <c r="L617" s="237"/>
      <c r="M617" s="193" t="str">
        <f>'Buildings - Grid Electricity'!E122</f>
        <v/>
      </c>
      <c r="N617" s="193" t="str">
        <f>'Buildings - Grid Electricity'!F122</f>
        <v/>
      </c>
      <c r="O617" s="237"/>
      <c r="P617" s="193">
        <f>'Buildings - Grid Electricity'!G122</f>
        <v>0</v>
      </c>
      <c r="Q617" s="193" t="str">
        <f>'Buildings - Grid Electricity'!H122</f>
        <v/>
      </c>
      <c r="R617" s="193">
        <f>'Buildings - Grid Electricity'!I122</f>
        <v>0</v>
      </c>
      <c r="S617" s="193" t="str">
        <f>'Buildings - Grid Electricity'!J122</f>
        <v/>
      </c>
      <c r="T617" s="193" t="str">
        <f>'Buildings - Grid Electricity'!K122</f>
        <v/>
      </c>
      <c r="U617" s="193" t="str">
        <f>'Buildings - Grid Electricity'!L122</f>
        <v/>
      </c>
      <c r="V617" s="193" t="str">
        <f>'Buildings - Grid Electricity'!M122</f>
        <v/>
      </c>
      <c r="W617" s="193" t="str">
        <f>'Buildings - Grid Electricity'!N122</f>
        <v/>
      </c>
      <c r="X617" s="193">
        <f>'Buildings - Grid Electricity'!O122</f>
        <v>0</v>
      </c>
      <c r="Y617" s="193">
        <f>'Buildings - Grid Electricity'!P122</f>
        <v>0</v>
      </c>
      <c r="Z617" s="193" t="str">
        <f>'Buildings - Grid Electricity'!Q122</f>
        <v/>
      </c>
      <c r="AA617" s="193" t="str">
        <f>'Buildings - Grid Electricity'!R122</f>
        <v/>
      </c>
      <c r="AB617" s="193" t="str">
        <f>'Buildings - Grid Electricity'!S122</f>
        <v/>
      </c>
      <c r="AC617" s="193" t="str">
        <f>'Buildings - Grid Electricity'!T122</f>
        <v/>
      </c>
      <c r="AD617" s="193" t="str">
        <f>'Buildings - Grid Electricity'!U122</f>
        <v/>
      </c>
      <c r="AE617" s="193" t="str">
        <f>'Buildings - Grid Electricity'!V122</f>
        <v/>
      </c>
      <c r="AF617" s="193" t="str">
        <f>'Buildings - Grid Electricity'!W122</f>
        <v/>
      </c>
      <c r="AG617" s="193" t="str">
        <f>'Buildings - Grid Electricity'!X122</f>
        <v/>
      </c>
      <c r="AI617" s="193">
        <f t="shared" si="8"/>
        <v>0</v>
      </c>
      <c r="AJ617" s="193">
        <f t="shared" si="9"/>
        <v>0</v>
      </c>
    </row>
    <row r="618" spans="2:36" x14ac:dyDescent="0.35">
      <c r="B618" s="193" t="e">
        <f>"2024"&amp;MATCH(Totals!D618,OrgType,0)&amp;"_"&amp;MATCH(Totals!E618,Organisations,0)&amp;"_"&amp;LEFT(Totals!F618,1)&amp;"_"&amp;LEFT(G618,1)&amp;"_"&amp;COUNTIF($G$3:G618,G618)</f>
        <v>#N/A</v>
      </c>
      <c r="C618" s="193">
        <v>2025</v>
      </c>
      <c r="D618" s="193">
        <f>Introduction!$D$7</f>
        <v>0</v>
      </c>
      <c r="E618" s="193">
        <f>Introduction!$D$8</f>
        <v>0</v>
      </c>
      <c r="F618" s="193" t="s">
        <v>488</v>
      </c>
      <c r="G618" s="193" t="s">
        <v>171</v>
      </c>
      <c r="H618" s="193">
        <f>'Buildings - Grid Electricity'!B123</f>
        <v>0</v>
      </c>
      <c r="I618" s="193">
        <f>'Buildings - Grid Electricity'!C123</f>
        <v>0</v>
      </c>
      <c r="J618" s="193" t="str">
        <f>'Buildings - Grid Electricity'!D123</f>
        <v/>
      </c>
      <c r="K618" s="237"/>
      <c r="L618" s="237"/>
      <c r="M618" s="193" t="str">
        <f>'Buildings - Grid Electricity'!E123</f>
        <v/>
      </c>
      <c r="N618" s="193" t="str">
        <f>'Buildings - Grid Electricity'!F123</f>
        <v/>
      </c>
      <c r="O618" s="237"/>
      <c r="P618" s="193">
        <f>'Buildings - Grid Electricity'!G123</f>
        <v>0</v>
      </c>
      <c r="Q618" s="193" t="str">
        <f>'Buildings - Grid Electricity'!H123</f>
        <v/>
      </c>
      <c r="R618" s="193">
        <f>'Buildings - Grid Electricity'!I123</f>
        <v>0</v>
      </c>
      <c r="S618" s="193" t="str">
        <f>'Buildings - Grid Electricity'!J123</f>
        <v/>
      </c>
      <c r="T618" s="193" t="str">
        <f>'Buildings - Grid Electricity'!K123</f>
        <v/>
      </c>
      <c r="U618" s="193" t="str">
        <f>'Buildings - Grid Electricity'!L123</f>
        <v/>
      </c>
      <c r="V618" s="193" t="str">
        <f>'Buildings - Grid Electricity'!M123</f>
        <v/>
      </c>
      <c r="W618" s="193" t="str">
        <f>'Buildings - Grid Electricity'!N123</f>
        <v/>
      </c>
      <c r="X618" s="193">
        <f>'Buildings - Grid Electricity'!O123</f>
        <v>0</v>
      </c>
      <c r="Y618" s="193">
        <f>'Buildings - Grid Electricity'!P123</f>
        <v>0</v>
      </c>
      <c r="Z618" s="193" t="str">
        <f>'Buildings - Grid Electricity'!Q123</f>
        <v/>
      </c>
      <c r="AA618" s="193" t="str">
        <f>'Buildings - Grid Electricity'!R123</f>
        <v/>
      </c>
      <c r="AB618" s="193" t="str">
        <f>'Buildings - Grid Electricity'!S123</f>
        <v/>
      </c>
      <c r="AC618" s="193" t="str">
        <f>'Buildings - Grid Electricity'!T123</f>
        <v/>
      </c>
      <c r="AD618" s="193" t="str">
        <f>'Buildings - Grid Electricity'!U123</f>
        <v/>
      </c>
      <c r="AE618" s="193" t="str">
        <f>'Buildings - Grid Electricity'!V123</f>
        <v/>
      </c>
      <c r="AF618" s="193" t="str">
        <f>'Buildings - Grid Electricity'!W123</f>
        <v/>
      </c>
      <c r="AG618" s="193" t="str">
        <f>'Buildings - Grid Electricity'!X123</f>
        <v/>
      </c>
      <c r="AI618" s="193">
        <f t="shared" si="8"/>
        <v>0</v>
      </c>
      <c r="AJ618" s="193">
        <f t="shared" si="9"/>
        <v>0</v>
      </c>
    </row>
    <row r="619" spans="2:36" x14ac:dyDescent="0.35">
      <c r="B619" s="193" t="e">
        <f>"2024"&amp;MATCH(Totals!D619,OrgType,0)&amp;"_"&amp;MATCH(Totals!E619,Organisations,0)&amp;"_"&amp;LEFT(Totals!F619,1)&amp;"_"&amp;LEFT(G619,1)&amp;"_"&amp;COUNTIF($G$3:G619,G619)</f>
        <v>#N/A</v>
      </c>
      <c r="C619" s="193">
        <v>2025</v>
      </c>
      <c r="D619" s="193">
        <f>Introduction!$D$7</f>
        <v>0</v>
      </c>
      <c r="E619" s="193">
        <f>Introduction!$D$8</f>
        <v>0</v>
      </c>
      <c r="F619" s="193" t="s">
        <v>488</v>
      </c>
      <c r="G619" s="193" t="s">
        <v>171</v>
      </c>
      <c r="H619" s="193">
        <f>'Buildings - Grid Electricity'!B124</f>
        <v>0</v>
      </c>
      <c r="I619" s="193">
        <f>'Buildings - Grid Electricity'!C124</f>
        <v>0</v>
      </c>
      <c r="J619" s="193" t="str">
        <f>'Buildings - Grid Electricity'!D124</f>
        <v/>
      </c>
      <c r="K619" s="237"/>
      <c r="L619" s="237"/>
      <c r="M619" s="193" t="str">
        <f>'Buildings - Grid Electricity'!E124</f>
        <v/>
      </c>
      <c r="N619" s="193" t="str">
        <f>'Buildings - Grid Electricity'!F124</f>
        <v/>
      </c>
      <c r="O619" s="237"/>
      <c r="P619" s="193">
        <f>'Buildings - Grid Electricity'!G124</f>
        <v>0</v>
      </c>
      <c r="Q619" s="193" t="str">
        <f>'Buildings - Grid Electricity'!H124</f>
        <v/>
      </c>
      <c r="R619" s="193">
        <f>'Buildings - Grid Electricity'!I124</f>
        <v>0</v>
      </c>
      <c r="S619" s="193" t="str">
        <f>'Buildings - Grid Electricity'!J124</f>
        <v/>
      </c>
      <c r="T619" s="193" t="str">
        <f>'Buildings - Grid Electricity'!K124</f>
        <v/>
      </c>
      <c r="U619" s="193" t="str">
        <f>'Buildings - Grid Electricity'!L124</f>
        <v/>
      </c>
      <c r="V619" s="193" t="str">
        <f>'Buildings - Grid Electricity'!M124</f>
        <v/>
      </c>
      <c r="W619" s="193" t="str">
        <f>'Buildings - Grid Electricity'!N124</f>
        <v/>
      </c>
      <c r="X619" s="193">
        <f>'Buildings - Grid Electricity'!O124</f>
        <v>0</v>
      </c>
      <c r="Y619" s="193">
        <f>'Buildings - Grid Electricity'!P124</f>
        <v>0</v>
      </c>
      <c r="Z619" s="193" t="str">
        <f>'Buildings - Grid Electricity'!Q124</f>
        <v/>
      </c>
      <c r="AA619" s="193" t="str">
        <f>'Buildings - Grid Electricity'!R124</f>
        <v/>
      </c>
      <c r="AB619" s="193" t="str">
        <f>'Buildings - Grid Electricity'!S124</f>
        <v/>
      </c>
      <c r="AC619" s="193" t="str">
        <f>'Buildings - Grid Electricity'!T124</f>
        <v/>
      </c>
      <c r="AD619" s="193" t="str">
        <f>'Buildings - Grid Electricity'!U124</f>
        <v/>
      </c>
      <c r="AE619" s="193" t="str">
        <f>'Buildings - Grid Electricity'!V124</f>
        <v/>
      </c>
      <c r="AF619" s="193" t="str">
        <f>'Buildings - Grid Electricity'!W124</f>
        <v/>
      </c>
      <c r="AG619" s="193" t="str">
        <f>'Buildings - Grid Electricity'!X124</f>
        <v/>
      </c>
      <c r="AI619" s="193">
        <f t="shared" si="8"/>
        <v>0</v>
      </c>
      <c r="AJ619" s="193">
        <f t="shared" si="9"/>
        <v>0</v>
      </c>
    </row>
    <row r="620" spans="2:36" x14ac:dyDescent="0.35">
      <c r="B620" s="193" t="e">
        <f>"2024"&amp;MATCH(Totals!D620,OrgType,0)&amp;"_"&amp;MATCH(Totals!E620,Organisations,0)&amp;"_"&amp;LEFT(Totals!F620,1)&amp;"_"&amp;LEFT(G620,1)&amp;"_"&amp;COUNTIF($G$3:G620,G620)</f>
        <v>#N/A</v>
      </c>
      <c r="C620" s="193">
        <v>2025</v>
      </c>
      <c r="D620" s="193">
        <f>Introduction!$D$7</f>
        <v>0</v>
      </c>
      <c r="E620" s="193">
        <f>Introduction!$D$8</f>
        <v>0</v>
      </c>
      <c r="F620" s="193" t="s">
        <v>488</v>
      </c>
      <c r="G620" s="193" t="s">
        <v>171</v>
      </c>
      <c r="H620" s="193">
        <f>'Buildings - Grid Electricity'!B125</f>
        <v>0</v>
      </c>
      <c r="I620" s="193">
        <f>'Buildings - Grid Electricity'!C125</f>
        <v>0</v>
      </c>
      <c r="J620" s="193" t="str">
        <f>'Buildings - Grid Electricity'!D125</f>
        <v/>
      </c>
      <c r="K620" s="237"/>
      <c r="L620" s="237"/>
      <c r="M620" s="193" t="str">
        <f>'Buildings - Grid Electricity'!E125</f>
        <v/>
      </c>
      <c r="N620" s="193" t="str">
        <f>'Buildings - Grid Electricity'!F125</f>
        <v/>
      </c>
      <c r="O620" s="237"/>
      <c r="P620" s="193">
        <f>'Buildings - Grid Electricity'!G125</f>
        <v>0</v>
      </c>
      <c r="Q620" s="193" t="str">
        <f>'Buildings - Grid Electricity'!H125</f>
        <v/>
      </c>
      <c r="R620" s="193">
        <f>'Buildings - Grid Electricity'!I125</f>
        <v>0</v>
      </c>
      <c r="S620" s="193" t="str">
        <f>'Buildings - Grid Electricity'!J125</f>
        <v/>
      </c>
      <c r="T620" s="193" t="str">
        <f>'Buildings - Grid Electricity'!K125</f>
        <v/>
      </c>
      <c r="U620" s="193" t="str">
        <f>'Buildings - Grid Electricity'!L125</f>
        <v/>
      </c>
      <c r="V620" s="193" t="str">
        <f>'Buildings - Grid Electricity'!M125</f>
        <v/>
      </c>
      <c r="W620" s="193" t="str">
        <f>'Buildings - Grid Electricity'!N125</f>
        <v/>
      </c>
      <c r="X620" s="193">
        <f>'Buildings - Grid Electricity'!O125</f>
        <v>0</v>
      </c>
      <c r="Y620" s="193">
        <f>'Buildings - Grid Electricity'!P125</f>
        <v>0</v>
      </c>
      <c r="Z620" s="193" t="str">
        <f>'Buildings - Grid Electricity'!Q125</f>
        <v/>
      </c>
      <c r="AA620" s="193" t="str">
        <f>'Buildings - Grid Electricity'!R125</f>
        <v/>
      </c>
      <c r="AB620" s="193" t="str">
        <f>'Buildings - Grid Electricity'!S125</f>
        <v/>
      </c>
      <c r="AC620" s="193" t="str">
        <f>'Buildings - Grid Electricity'!T125</f>
        <v/>
      </c>
      <c r="AD620" s="193" t="str">
        <f>'Buildings - Grid Electricity'!U125</f>
        <v/>
      </c>
      <c r="AE620" s="193" t="str">
        <f>'Buildings - Grid Electricity'!V125</f>
        <v/>
      </c>
      <c r="AF620" s="193" t="str">
        <f>'Buildings - Grid Electricity'!W125</f>
        <v/>
      </c>
      <c r="AG620" s="193" t="str">
        <f>'Buildings - Grid Electricity'!X125</f>
        <v/>
      </c>
      <c r="AI620" s="193">
        <f t="shared" si="8"/>
        <v>0</v>
      </c>
      <c r="AJ620" s="193">
        <f t="shared" si="9"/>
        <v>0</v>
      </c>
    </row>
    <row r="621" spans="2:36" x14ac:dyDescent="0.35">
      <c r="B621" s="193" t="e">
        <f>"2024"&amp;MATCH(Totals!D621,OrgType,0)&amp;"_"&amp;MATCH(Totals!E621,Organisations,0)&amp;"_"&amp;LEFT(Totals!F621,1)&amp;"_"&amp;LEFT(G621,1)&amp;"_"&amp;COUNTIF($G$3:G621,G621)</f>
        <v>#N/A</v>
      </c>
      <c r="C621" s="193">
        <v>2025</v>
      </c>
      <c r="D621" s="193">
        <f>Introduction!$D$7</f>
        <v>0</v>
      </c>
      <c r="E621" s="193">
        <f>Introduction!$D$8</f>
        <v>0</v>
      </c>
      <c r="F621" s="193" t="s">
        <v>488</v>
      </c>
      <c r="G621" s="193" t="s">
        <v>171</v>
      </c>
      <c r="H621" s="193">
        <f>'Buildings - Grid Electricity'!B126</f>
        <v>0</v>
      </c>
      <c r="I621" s="193">
        <f>'Buildings - Grid Electricity'!C126</f>
        <v>0</v>
      </c>
      <c r="J621" s="193" t="str">
        <f>'Buildings - Grid Electricity'!D126</f>
        <v/>
      </c>
      <c r="K621" s="237"/>
      <c r="L621" s="237"/>
      <c r="M621" s="193" t="str">
        <f>'Buildings - Grid Electricity'!E126</f>
        <v/>
      </c>
      <c r="N621" s="193" t="str">
        <f>'Buildings - Grid Electricity'!F126</f>
        <v/>
      </c>
      <c r="O621" s="237"/>
      <c r="P621" s="193">
        <f>'Buildings - Grid Electricity'!G126</f>
        <v>0</v>
      </c>
      <c r="Q621" s="193" t="str">
        <f>'Buildings - Grid Electricity'!H126</f>
        <v/>
      </c>
      <c r="R621" s="193">
        <f>'Buildings - Grid Electricity'!I126</f>
        <v>0</v>
      </c>
      <c r="S621" s="193" t="str">
        <f>'Buildings - Grid Electricity'!J126</f>
        <v/>
      </c>
      <c r="T621" s="193" t="str">
        <f>'Buildings - Grid Electricity'!K126</f>
        <v/>
      </c>
      <c r="U621" s="193" t="str">
        <f>'Buildings - Grid Electricity'!L126</f>
        <v/>
      </c>
      <c r="V621" s="193" t="str">
        <f>'Buildings - Grid Electricity'!M126</f>
        <v/>
      </c>
      <c r="W621" s="193" t="str">
        <f>'Buildings - Grid Electricity'!N126</f>
        <v/>
      </c>
      <c r="X621" s="193">
        <f>'Buildings - Grid Electricity'!O126</f>
        <v>0</v>
      </c>
      <c r="Y621" s="193">
        <f>'Buildings - Grid Electricity'!P126</f>
        <v>0</v>
      </c>
      <c r="Z621" s="193" t="str">
        <f>'Buildings - Grid Electricity'!Q126</f>
        <v/>
      </c>
      <c r="AA621" s="193" t="str">
        <f>'Buildings - Grid Electricity'!R126</f>
        <v/>
      </c>
      <c r="AB621" s="193" t="str">
        <f>'Buildings - Grid Electricity'!S126</f>
        <v/>
      </c>
      <c r="AC621" s="193" t="str">
        <f>'Buildings - Grid Electricity'!T126</f>
        <v/>
      </c>
      <c r="AD621" s="193" t="str">
        <f>'Buildings - Grid Electricity'!U126</f>
        <v/>
      </c>
      <c r="AE621" s="193" t="str">
        <f>'Buildings - Grid Electricity'!V126</f>
        <v/>
      </c>
      <c r="AF621" s="193" t="str">
        <f>'Buildings - Grid Electricity'!W126</f>
        <v/>
      </c>
      <c r="AG621" s="193" t="str">
        <f>'Buildings - Grid Electricity'!X126</f>
        <v/>
      </c>
      <c r="AI621" s="193">
        <f t="shared" si="8"/>
        <v>0</v>
      </c>
      <c r="AJ621" s="193">
        <f t="shared" si="9"/>
        <v>0</v>
      </c>
    </row>
    <row r="622" spans="2:36" x14ac:dyDescent="0.35">
      <c r="B622" s="193" t="e">
        <f>"2024"&amp;MATCH(Totals!D622,OrgType,0)&amp;"_"&amp;MATCH(Totals!E622,Organisations,0)&amp;"_"&amp;LEFT(Totals!F622,1)&amp;"_"&amp;LEFT(G622,1)&amp;"_"&amp;COUNTIF($G$3:G622,G622)</f>
        <v>#N/A</v>
      </c>
      <c r="C622" s="193">
        <v>2025</v>
      </c>
      <c r="D622" s="193">
        <f>Introduction!$D$7</f>
        <v>0</v>
      </c>
      <c r="E622" s="193">
        <f>Introduction!$D$8</f>
        <v>0</v>
      </c>
      <c r="F622" s="193" t="s">
        <v>488</v>
      </c>
      <c r="G622" s="193" t="s">
        <v>171</v>
      </c>
      <c r="H622" s="193">
        <f>'Buildings - Grid Electricity'!B127</f>
        <v>0</v>
      </c>
      <c r="I622" s="193">
        <f>'Buildings - Grid Electricity'!C127</f>
        <v>0</v>
      </c>
      <c r="J622" s="193" t="str">
        <f>'Buildings - Grid Electricity'!D127</f>
        <v/>
      </c>
      <c r="K622" s="237"/>
      <c r="L622" s="237"/>
      <c r="M622" s="193" t="str">
        <f>'Buildings - Grid Electricity'!E127</f>
        <v/>
      </c>
      <c r="N622" s="193" t="str">
        <f>'Buildings - Grid Electricity'!F127</f>
        <v/>
      </c>
      <c r="O622" s="237"/>
      <c r="P622" s="193">
        <f>'Buildings - Grid Electricity'!G127</f>
        <v>0</v>
      </c>
      <c r="Q622" s="193" t="str">
        <f>'Buildings - Grid Electricity'!H127</f>
        <v/>
      </c>
      <c r="R622" s="193">
        <f>'Buildings - Grid Electricity'!I127</f>
        <v>0</v>
      </c>
      <c r="S622" s="193" t="str">
        <f>'Buildings - Grid Electricity'!J127</f>
        <v/>
      </c>
      <c r="T622" s="193" t="str">
        <f>'Buildings - Grid Electricity'!K127</f>
        <v/>
      </c>
      <c r="U622" s="193" t="str">
        <f>'Buildings - Grid Electricity'!L127</f>
        <v/>
      </c>
      <c r="V622" s="193" t="str">
        <f>'Buildings - Grid Electricity'!M127</f>
        <v/>
      </c>
      <c r="W622" s="193" t="str">
        <f>'Buildings - Grid Electricity'!N127</f>
        <v/>
      </c>
      <c r="X622" s="193">
        <f>'Buildings - Grid Electricity'!O127</f>
        <v>0</v>
      </c>
      <c r="Y622" s="193">
        <f>'Buildings - Grid Electricity'!P127</f>
        <v>0</v>
      </c>
      <c r="Z622" s="193" t="str">
        <f>'Buildings - Grid Electricity'!Q127</f>
        <v/>
      </c>
      <c r="AA622" s="193" t="str">
        <f>'Buildings - Grid Electricity'!R127</f>
        <v/>
      </c>
      <c r="AB622" s="193" t="str">
        <f>'Buildings - Grid Electricity'!S127</f>
        <v/>
      </c>
      <c r="AC622" s="193" t="str">
        <f>'Buildings - Grid Electricity'!T127</f>
        <v/>
      </c>
      <c r="AD622" s="193" t="str">
        <f>'Buildings - Grid Electricity'!U127</f>
        <v/>
      </c>
      <c r="AE622" s="193" t="str">
        <f>'Buildings - Grid Electricity'!V127</f>
        <v/>
      </c>
      <c r="AF622" s="193" t="str">
        <f>'Buildings - Grid Electricity'!W127</f>
        <v/>
      </c>
      <c r="AG622" s="193" t="str">
        <f>'Buildings - Grid Electricity'!X127</f>
        <v/>
      </c>
      <c r="AI622" s="193">
        <f t="shared" si="8"/>
        <v>0</v>
      </c>
      <c r="AJ622" s="193">
        <f t="shared" si="9"/>
        <v>0</v>
      </c>
    </row>
    <row r="623" spans="2:36" x14ac:dyDescent="0.35">
      <c r="B623" s="193" t="e">
        <f>"2024"&amp;MATCH(Totals!D623,OrgType,0)&amp;"_"&amp;MATCH(Totals!E623,Organisations,0)&amp;"_"&amp;LEFT(Totals!F623,1)&amp;"_"&amp;LEFT(G623,1)&amp;"_"&amp;COUNTIF($G$3:G623,G623)</f>
        <v>#N/A</v>
      </c>
      <c r="C623" s="193">
        <v>2025</v>
      </c>
      <c r="D623" s="193">
        <f>Introduction!$D$7</f>
        <v>0</v>
      </c>
      <c r="E623" s="193">
        <f>Introduction!$D$8</f>
        <v>0</v>
      </c>
      <c r="F623" s="193" t="s">
        <v>488</v>
      </c>
      <c r="G623" s="193" t="s">
        <v>171</v>
      </c>
      <c r="H623" s="193">
        <f>'Buildings - Grid Electricity'!B128</f>
        <v>0</v>
      </c>
      <c r="I623" s="193">
        <f>'Buildings - Grid Electricity'!C128</f>
        <v>0</v>
      </c>
      <c r="J623" s="193" t="str">
        <f>'Buildings - Grid Electricity'!D128</f>
        <v/>
      </c>
      <c r="K623" s="237"/>
      <c r="L623" s="237"/>
      <c r="M623" s="193" t="str">
        <f>'Buildings - Grid Electricity'!E128</f>
        <v/>
      </c>
      <c r="N623" s="193" t="str">
        <f>'Buildings - Grid Electricity'!F128</f>
        <v/>
      </c>
      <c r="O623" s="237"/>
      <c r="P623" s="193">
        <f>'Buildings - Grid Electricity'!G128</f>
        <v>0</v>
      </c>
      <c r="Q623" s="193" t="str">
        <f>'Buildings - Grid Electricity'!H128</f>
        <v/>
      </c>
      <c r="R623" s="193">
        <f>'Buildings - Grid Electricity'!I128</f>
        <v>0</v>
      </c>
      <c r="S623" s="193" t="str">
        <f>'Buildings - Grid Electricity'!J128</f>
        <v/>
      </c>
      <c r="T623" s="193" t="str">
        <f>'Buildings - Grid Electricity'!K128</f>
        <v/>
      </c>
      <c r="U623" s="193" t="str">
        <f>'Buildings - Grid Electricity'!L128</f>
        <v/>
      </c>
      <c r="V623" s="193" t="str">
        <f>'Buildings - Grid Electricity'!M128</f>
        <v/>
      </c>
      <c r="W623" s="193" t="str">
        <f>'Buildings - Grid Electricity'!N128</f>
        <v/>
      </c>
      <c r="X623" s="193">
        <f>'Buildings - Grid Electricity'!O128</f>
        <v>0</v>
      </c>
      <c r="Y623" s="193">
        <f>'Buildings - Grid Electricity'!P128</f>
        <v>0</v>
      </c>
      <c r="Z623" s="193" t="str">
        <f>'Buildings - Grid Electricity'!Q128</f>
        <v/>
      </c>
      <c r="AA623" s="193" t="str">
        <f>'Buildings - Grid Electricity'!R128</f>
        <v/>
      </c>
      <c r="AB623" s="193" t="str">
        <f>'Buildings - Grid Electricity'!S128</f>
        <v/>
      </c>
      <c r="AC623" s="193" t="str">
        <f>'Buildings - Grid Electricity'!T128</f>
        <v/>
      </c>
      <c r="AD623" s="193" t="str">
        <f>'Buildings - Grid Electricity'!U128</f>
        <v/>
      </c>
      <c r="AE623" s="193" t="str">
        <f>'Buildings - Grid Electricity'!V128</f>
        <v/>
      </c>
      <c r="AF623" s="193" t="str">
        <f>'Buildings - Grid Electricity'!W128</f>
        <v/>
      </c>
      <c r="AG623" s="193" t="str">
        <f>'Buildings - Grid Electricity'!X128</f>
        <v/>
      </c>
      <c r="AI623" s="193">
        <f t="shared" si="8"/>
        <v>0</v>
      </c>
      <c r="AJ623" s="193">
        <f t="shared" si="9"/>
        <v>0</v>
      </c>
    </row>
    <row r="624" spans="2:36" x14ac:dyDescent="0.35">
      <c r="B624" s="193" t="e">
        <f>"2024"&amp;MATCH(Totals!D624,OrgType,0)&amp;"_"&amp;MATCH(Totals!E624,Organisations,0)&amp;"_"&amp;LEFT(Totals!F624,1)&amp;"_"&amp;LEFT(G624,1)&amp;"_"&amp;COUNTIF($G$3:G624,G624)</f>
        <v>#N/A</v>
      </c>
      <c r="C624" s="193">
        <v>2025</v>
      </c>
      <c r="D624" s="193">
        <f>Introduction!$D$7</f>
        <v>0</v>
      </c>
      <c r="E624" s="193">
        <f>Introduction!$D$8</f>
        <v>0</v>
      </c>
      <c r="F624" s="193" t="s">
        <v>488</v>
      </c>
      <c r="G624" s="193" t="s">
        <v>171</v>
      </c>
      <c r="H624" s="193">
        <f>'Buildings - Grid Electricity'!B129</f>
        <v>0</v>
      </c>
      <c r="I624" s="193">
        <f>'Buildings - Grid Electricity'!C129</f>
        <v>0</v>
      </c>
      <c r="J624" s="193" t="str">
        <f>'Buildings - Grid Electricity'!D129</f>
        <v/>
      </c>
      <c r="K624" s="237"/>
      <c r="L624" s="237"/>
      <c r="M624" s="193" t="str">
        <f>'Buildings - Grid Electricity'!E129</f>
        <v/>
      </c>
      <c r="N624" s="193" t="str">
        <f>'Buildings - Grid Electricity'!F129</f>
        <v/>
      </c>
      <c r="O624" s="237"/>
      <c r="P624" s="193">
        <f>'Buildings - Grid Electricity'!G129</f>
        <v>0</v>
      </c>
      <c r="Q624" s="193" t="str">
        <f>'Buildings - Grid Electricity'!H129</f>
        <v/>
      </c>
      <c r="R624" s="193">
        <f>'Buildings - Grid Electricity'!I129</f>
        <v>0</v>
      </c>
      <c r="S624" s="193" t="str">
        <f>'Buildings - Grid Electricity'!J129</f>
        <v/>
      </c>
      <c r="T624" s="193" t="str">
        <f>'Buildings - Grid Electricity'!K129</f>
        <v/>
      </c>
      <c r="U624" s="193" t="str">
        <f>'Buildings - Grid Electricity'!L129</f>
        <v/>
      </c>
      <c r="V624" s="193" t="str">
        <f>'Buildings - Grid Electricity'!M129</f>
        <v/>
      </c>
      <c r="W624" s="193" t="str">
        <f>'Buildings - Grid Electricity'!N129</f>
        <v/>
      </c>
      <c r="X624" s="193">
        <f>'Buildings - Grid Electricity'!O129</f>
        <v>0</v>
      </c>
      <c r="Y624" s="193">
        <f>'Buildings - Grid Electricity'!P129</f>
        <v>0</v>
      </c>
      <c r="Z624" s="193" t="str">
        <f>'Buildings - Grid Electricity'!Q129</f>
        <v/>
      </c>
      <c r="AA624" s="193" t="str">
        <f>'Buildings - Grid Electricity'!R129</f>
        <v/>
      </c>
      <c r="AB624" s="193" t="str">
        <f>'Buildings - Grid Electricity'!S129</f>
        <v/>
      </c>
      <c r="AC624" s="193" t="str">
        <f>'Buildings - Grid Electricity'!T129</f>
        <v/>
      </c>
      <c r="AD624" s="193" t="str">
        <f>'Buildings - Grid Electricity'!U129</f>
        <v/>
      </c>
      <c r="AE624" s="193" t="str">
        <f>'Buildings - Grid Electricity'!V129</f>
        <v/>
      </c>
      <c r="AF624" s="193" t="str">
        <f>'Buildings - Grid Electricity'!W129</f>
        <v/>
      </c>
      <c r="AG624" s="193" t="str">
        <f>'Buildings - Grid Electricity'!X129</f>
        <v/>
      </c>
      <c r="AI624" s="193">
        <f t="shared" si="8"/>
        <v>0</v>
      </c>
      <c r="AJ624" s="193">
        <f t="shared" si="9"/>
        <v>0</v>
      </c>
    </row>
    <row r="625" spans="2:36" x14ac:dyDescent="0.35">
      <c r="B625" s="193" t="e">
        <f>"2024"&amp;MATCH(Totals!D625,OrgType,0)&amp;"_"&amp;MATCH(Totals!E625,Organisations,0)&amp;"_"&amp;LEFT(Totals!F625,1)&amp;"_"&amp;LEFT(G625,1)&amp;"_"&amp;COUNTIF($G$3:G625,G625)</f>
        <v>#N/A</v>
      </c>
      <c r="C625" s="193">
        <v>2025</v>
      </c>
      <c r="D625" s="193">
        <f>Introduction!$D$7</f>
        <v>0</v>
      </c>
      <c r="E625" s="193">
        <f>Introduction!$D$8</f>
        <v>0</v>
      </c>
      <c r="F625" s="193" t="s">
        <v>488</v>
      </c>
      <c r="G625" s="193" t="s">
        <v>171</v>
      </c>
      <c r="H625" s="193">
        <f>'Buildings - Grid Electricity'!B130</f>
        <v>0</v>
      </c>
      <c r="I625" s="193">
        <f>'Buildings - Grid Electricity'!C130</f>
        <v>0</v>
      </c>
      <c r="J625" s="193" t="str">
        <f>'Buildings - Grid Electricity'!D130</f>
        <v/>
      </c>
      <c r="K625" s="237"/>
      <c r="L625" s="237"/>
      <c r="M625" s="193" t="str">
        <f>'Buildings - Grid Electricity'!E130</f>
        <v/>
      </c>
      <c r="N625" s="193" t="str">
        <f>'Buildings - Grid Electricity'!F130</f>
        <v/>
      </c>
      <c r="O625" s="237"/>
      <c r="P625" s="193">
        <f>'Buildings - Grid Electricity'!G130</f>
        <v>0</v>
      </c>
      <c r="Q625" s="193" t="str">
        <f>'Buildings - Grid Electricity'!H130</f>
        <v/>
      </c>
      <c r="R625" s="193">
        <f>'Buildings - Grid Electricity'!I130</f>
        <v>0</v>
      </c>
      <c r="S625" s="193" t="str">
        <f>'Buildings - Grid Electricity'!J130</f>
        <v/>
      </c>
      <c r="T625" s="193" t="str">
        <f>'Buildings - Grid Electricity'!K130</f>
        <v/>
      </c>
      <c r="U625" s="193" t="str">
        <f>'Buildings - Grid Electricity'!L130</f>
        <v/>
      </c>
      <c r="V625" s="193" t="str">
        <f>'Buildings - Grid Electricity'!M130</f>
        <v/>
      </c>
      <c r="W625" s="193" t="str">
        <f>'Buildings - Grid Electricity'!N130</f>
        <v/>
      </c>
      <c r="X625" s="193">
        <f>'Buildings - Grid Electricity'!O130</f>
        <v>0</v>
      </c>
      <c r="Y625" s="193">
        <f>'Buildings - Grid Electricity'!P130</f>
        <v>0</v>
      </c>
      <c r="Z625" s="193" t="str">
        <f>'Buildings - Grid Electricity'!Q130</f>
        <v/>
      </c>
      <c r="AA625" s="193" t="str">
        <f>'Buildings - Grid Electricity'!R130</f>
        <v/>
      </c>
      <c r="AB625" s="193" t="str">
        <f>'Buildings - Grid Electricity'!S130</f>
        <v/>
      </c>
      <c r="AC625" s="193" t="str">
        <f>'Buildings - Grid Electricity'!T130</f>
        <v/>
      </c>
      <c r="AD625" s="193" t="str">
        <f>'Buildings - Grid Electricity'!U130</f>
        <v/>
      </c>
      <c r="AE625" s="193" t="str">
        <f>'Buildings - Grid Electricity'!V130</f>
        <v/>
      </c>
      <c r="AF625" s="193" t="str">
        <f>'Buildings - Grid Electricity'!W130</f>
        <v/>
      </c>
      <c r="AG625" s="193" t="str">
        <f>'Buildings - Grid Electricity'!X130</f>
        <v/>
      </c>
      <c r="AI625" s="193">
        <f t="shared" si="8"/>
        <v>0</v>
      </c>
      <c r="AJ625" s="193">
        <f t="shared" si="9"/>
        <v>0</v>
      </c>
    </row>
    <row r="626" spans="2:36" x14ac:dyDescent="0.35">
      <c r="B626" s="193" t="e">
        <f>"2024"&amp;MATCH(Totals!D626,OrgType,0)&amp;"_"&amp;MATCH(Totals!E626,Organisations,0)&amp;"_"&amp;LEFT(Totals!F626,1)&amp;"_"&amp;LEFT(G626,1)&amp;"_"&amp;COUNTIF($G$3:G626,G626)</f>
        <v>#N/A</v>
      </c>
      <c r="C626" s="193">
        <v>2025</v>
      </c>
      <c r="D626" s="193">
        <f>Introduction!$D$7</f>
        <v>0</v>
      </c>
      <c r="E626" s="193">
        <f>Introduction!$D$8</f>
        <v>0</v>
      </c>
      <c r="F626" s="193" t="s">
        <v>488</v>
      </c>
      <c r="G626" s="193" t="s">
        <v>171</v>
      </c>
      <c r="H626" s="193">
        <f>'Buildings - Grid Electricity'!B131</f>
        <v>0</v>
      </c>
      <c r="I626" s="193">
        <f>'Buildings - Grid Electricity'!C131</f>
        <v>0</v>
      </c>
      <c r="J626" s="193" t="str">
        <f>'Buildings - Grid Electricity'!D131</f>
        <v/>
      </c>
      <c r="K626" s="237"/>
      <c r="L626" s="237"/>
      <c r="M626" s="193" t="str">
        <f>'Buildings - Grid Electricity'!E131</f>
        <v/>
      </c>
      <c r="N626" s="193" t="str">
        <f>'Buildings - Grid Electricity'!F131</f>
        <v/>
      </c>
      <c r="O626" s="237"/>
      <c r="P626" s="193">
        <f>'Buildings - Grid Electricity'!G131</f>
        <v>0</v>
      </c>
      <c r="Q626" s="193" t="str">
        <f>'Buildings - Grid Electricity'!H131</f>
        <v/>
      </c>
      <c r="R626" s="193">
        <f>'Buildings - Grid Electricity'!I131</f>
        <v>0</v>
      </c>
      <c r="S626" s="193" t="str">
        <f>'Buildings - Grid Electricity'!J131</f>
        <v/>
      </c>
      <c r="T626" s="193" t="str">
        <f>'Buildings - Grid Electricity'!K131</f>
        <v/>
      </c>
      <c r="U626" s="193" t="str">
        <f>'Buildings - Grid Electricity'!L131</f>
        <v/>
      </c>
      <c r="V626" s="193" t="str">
        <f>'Buildings - Grid Electricity'!M131</f>
        <v/>
      </c>
      <c r="W626" s="193" t="str">
        <f>'Buildings - Grid Electricity'!N131</f>
        <v/>
      </c>
      <c r="X626" s="193">
        <f>'Buildings - Grid Electricity'!O131</f>
        <v>0</v>
      </c>
      <c r="Y626" s="193">
        <f>'Buildings - Grid Electricity'!P131</f>
        <v>0</v>
      </c>
      <c r="Z626" s="193" t="str">
        <f>'Buildings - Grid Electricity'!Q131</f>
        <v/>
      </c>
      <c r="AA626" s="193" t="str">
        <f>'Buildings - Grid Electricity'!R131</f>
        <v/>
      </c>
      <c r="AB626" s="193" t="str">
        <f>'Buildings - Grid Electricity'!S131</f>
        <v/>
      </c>
      <c r="AC626" s="193" t="str">
        <f>'Buildings - Grid Electricity'!T131</f>
        <v/>
      </c>
      <c r="AD626" s="193" t="str">
        <f>'Buildings - Grid Electricity'!U131</f>
        <v/>
      </c>
      <c r="AE626" s="193" t="str">
        <f>'Buildings - Grid Electricity'!V131</f>
        <v/>
      </c>
      <c r="AF626" s="193" t="str">
        <f>'Buildings - Grid Electricity'!W131</f>
        <v/>
      </c>
      <c r="AG626" s="193" t="str">
        <f>'Buildings - Grid Electricity'!X131</f>
        <v/>
      </c>
      <c r="AI626" s="193">
        <f t="shared" si="8"/>
        <v>0</v>
      </c>
      <c r="AJ626" s="193">
        <f t="shared" si="9"/>
        <v>0</v>
      </c>
    </row>
    <row r="627" spans="2:36" x14ac:dyDescent="0.35">
      <c r="B627" s="193" t="e">
        <f>"2024"&amp;MATCH(Totals!D627,OrgType,0)&amp;"_"&amp;MATCH(Totals!E627,Organisations,0)&amp;"_"&amp;LEFT(Totals!F627,1)&amp;"_"&amp;LEFT(G627,1)&amp;"_"&amp;COUNTIF($G$3:G627,G627)</f>
        <v>#N/A</v>
      </c>
      <c r="C627" s="193">
        <v>2025</v>
      </c>
      <c r="D627" s="193">
        <f>Introduction!$D$7</f>
        <v>0</v>
      </c>
      <c r="E627" s="193">
        <f>Introduction!$D$8</f>
        <v>0</v>
      </c>
      <c r="F627" s="193" t="s">
        <v>488</v>
      </c>
      <c r="G627" s="193" t="s">
        <v>171</v>
      </c>
      <c r="H627" s="193">
        <f>'Buildings - Grid Electricity'!B132</f>
        <v>0</v>
      </c>
      <c r="I627" s="193">
        <f>'Buildings - Grid Electricity'!C132</f>
        <v>0</v>
      </c>
      <c r="J627" s="193" t="str">
        <f>'Buildings - Grid Electricity'!D132</f>
        <v/>
      </c>
      <c r="K627" s="237"/>
      <c r="L627" s="237"/>
      <c r="M627" s="193" t="str">
        <f>'Buildings - Grid Electricity'!E132</f>
        <v/>
      </c>
      <c r="N627" s="193" t="str">
        <f>'Buildings - Grid Electricity'!F132</f>
        <v/>
      </c>
      <c r="O627" s="237"/>
      <c r="P627" s="193">
        <f>'Buildings - Grid Electricity'!G132</f>
        <v>0</v>
      </c>
      <c r="Q627" s="193" t="str">
        <f>'Buildings - Grid Electricity'!H132</f>
        <v/>
      </c>
      <c r="R627" s="193">
        <f>'Buildings - Grid Electricity'!I132</f>
        <v>0</v>
      </c>
      <c r="S627" s="193" t="str">
        <f>'Buildings - Grid Electricity'!J132</f>
        <v/>
      </c>
      <c r="T627" s="193" t="str">
        <f>'Buildings - Grid Electricity'!K132</f>
        <v/>
      </c>
      <c r="U627" s="193" t="str">
        <f>'Buildings - Grid Electricity'!L132</f>
        <v/>
      </c>
      <c r="V627" s="193" t="str">
        <f>'Buildings - Grid Electricity'!M132</f>
        <v/>
      </c>
      <c r="W627" s="193" t="str">
        <f>'Buildings - Grid Electricity'!N132</f>
        <v/>
      </c>
      <c r="X627" s="193">
        <f>'Buildings - Grid Electricity'!O132</f>
        <v>0</v>
      </c>
      <c r="Y627" s="193">
        <f>'Buildings - Grid Electricity'!P132</f>
        <v>0</v>
      </c>
      <c r="Z627" s="193" t="str">
        <f>'Buildings - Grid Electricity'!Q132</f>
        <v/>
      </c>
      <c r="AA627" s="193" t="str">
        <f>'Buildings - Grid Electricity'!R132</f>
        <v/>
      </c>
      <c r="AB627" s="193" t="str">
        <f>'Buildings - Grid Electricity'!S132</f>
        <v/>
      </c>
      <c r="AC627" s="193" t="str">
        <f>'Buildings - Grid Electricity'!T132</f>
        <v/>
      </c>
      <c r="AD627" s="193" t="str">
        <f>'Buildings - Grid Electricity'!U132</f>
        <v/>
      </c>
      <c r="AE627" s="193" t="str">
        <f>'Buildings - Grid Electricity'!V132</f>
        <v/>
      </c>
      <c r="AF627" s="193" t="str">
        <f>'Buildings - Grid Electricity'!W132</f>
        <v/>
      </c>
      <c r="AG627" s="193" t="str">
        <f>'Buildings - Grid Electricity'!X132</f>
        <v/>
      </c>
      <c r="AI627" s="193">
        <f t="shared" si="8"/>
        <v>0</v>
      </c>
      <c r="AJ627" s="193">
        <f t="shared" si="9"/>
        <v>0</v>
      </c>
    </row>
    <row r="628" spans="2:36" x14ac:dyDescent="0.35">
      <c r="B628" s="193" t="e">
        <f>"2024"&amp;MATCH(Totals!D628,OrgType,0)&amp;"_"&amp;MATCH(Totals!E628,Organisations,0)&amp;"_"&amp;LEFT(Totals!F628,1)&amp;"_"&amp;LEFT(G628,1)&amp;"_"&amp;COUNTIF($G$3:G628,G628)</f>
        <v>#N/A</v>
      </c>
      <c r="C628" s="193">
        <v>2025</v>
      </c>
      <c r="D628" s="193">
        <f>Introduction!$D$7</f>
        <v>0</v>
      </c>
      <c r="E628" s="193">
        <f>Introduction!$D$8</f>
        <v>0</v>
      </c>
      <c r="F628" s="193" t="s">
        <v>488</v>
      </c>
      <c r="G628" s="193" t="s">
        <v>171</v>
      </c>
      <c r="H628" s="193">
        <f>'Buildings - Grid Electricity'!B133</f>
        <v>0</v>
      </c>
      <c r="I628" s="193">
        <f>'Buildings - Grid Electricity'!C133</f>
        <v>0</v>
      </c>
      <c r="J628" s="193" t="str">
        <f>'Buildings - Grid Electricity'!D133</f>
        <v/>
      </c>
      <c r="K628" s="237"/>
      <c r="L628" s="237"/>
      <c r="M628" s="193" t="str">
        <f>'Buildings - Grid Electricity'!E133</f>
        <v/>
      </c>
      <c r="N628" s="193" t="str">
        <f>'Buildings - Grid Electricity'!F133</f>
        <v/>
      </c>
      <c r="O628" s="237"/>
      <c r="P628" s="193">
        <f>'Buildings - Grid Electricity'!G133</f>
        <v>0</v>
      </c>
      <c r="Q628" s="193" t="str">
        <f>'Buildings - Grid Electricity'!H133</f>
        <v/>
      </c>
      <c r="R628" s="193">
        <f>'Buildings - Grid Electricity'!I133</f>
        <v>0</v>
      </c>
      <c r="S628" s="193" t="str">
        <f>'Buildings - Grid Electricity'!J133</f>
        <v/>
      </c>
      <c r="T628" s="193" t="str">
        <f>'Buildings - Grid Electricity'!K133</f>
        <v/>
      </c>
      <c r="U628" s="193" t="str">
        <f>'Buildings - Grid Electricity'!L133</f>
        <v/>
      </c>
      <c r="V628" s="193" t="str">
        <f>'Buildings - Grid Electricity'!M133</f>
        <v/>
      </c>
      <c r="W628" s="193" t="str">
        <f>'Buildings - Grid Electricity'!N133</f>
        <v/>
      </c>
      <c r="X628" s="193">
        <f>'Buildings - Grid Electricity'!O133</f>
        <v>0</v>
      </c>
      <c r="Y628" s="193">
        <f>'Buildings - Grid Electricity'!P133</f>
        <v>0</v>
      </c>
      <c r="Z628" s="193" t="str">
        <f>'Buildings - Grid Electricity'!Q133</f>
        <v/>
      </c>
      <c r="AA628" s="193" t="str">
        <f>'Buildings - Grid Electricity'!R133</f>
        <v/>
      </c>
      <c r="AB628" s="193" t="str">
        <f>'Buildings - Grid Electricity'!S133</f>
        <v/>
      </c>
      <c r="AC628" s="193" t="str">
        <f>'Buildings - Grid Electricity'!T133</f>
        <v/>
      </c>
      <c r="AD628" s="193" t="str">
        <f>'Buildings - Grid Electricity'!U133</f>
        <v/>
      </c>
      <c r="AE628" s="193" t="str">
        <f>'Buildings - Grid Electricity'!V133</f>
        <v/>
      </c>
      <c r="AF628" s="193" t="str">
        <f>'Buildings - Grid Electricity'!W133</f>
        <v/>
      </c>
      <c r="AG628" s="193" t="str">
        <f>'Buildings - Grid Electricity'!X133</f>
        <v/>
      </c>
      <c r="AI628" s="193">
        <f t="shared" si="8"/>
        <v>0</v>
      </c>
      <c r="AJ628" s="193">
        <f t="shared" si="9"/>
        <v>0</v>
      </c>
    </row>
    <row r="629" spans="2:36" x14ac:dyDescent="0.35">
      <c r="B629" s="193" t="e">
        <f>"2024"&amp;MATCH(Totals!D629,OrgType,0)&amp;"_"&amp;MATCH(Totals!E629,Organisations,0)&amp;"_"&amp;LEFT(Totals!F629,1)&amp;"_"&amp;LEFT(G629,1)&amp;"_"&amp;COUNTIF($G$3:G629,G629)</f>
        <v>#N/A</v>
      </c>
      <c r="C629" s="193">
        <v>2025</v>
      </c>
      <c r="D629" s="193">
        <f>Introduction!$D$7</f>
        <v>0</v>
      </c>
      <c r="E629" s="193">
        <f>Introduction!$D$8</f>
        <v>0</v>
      </c>
      <c r="F629" s="193" t="s">
        <v>488</v>
      </c>
      <c r="G629" s="193" t="s">
        <v>171</v>
      </c>
      <c r="H629" s="193">
        <f>'Buildings - Grid Electricity'!B134</f>
        <v>0</v>
      </c>
      <c r="I629" s="193">
        <f>'Buildings - Grid Electricity'!C134</f>
        <v>0</v>
      </c>
      <c r="J629" s="193" t="str">
        <f>'Buildings - Grid Electricity'!D134</f>
        <v/>
      </c>
      <c r="K629" s="237"/>
      <c r="L629" s="237"/>
      <c r="M629" s="193" t="str">
        <f>'Buildings - Grid Electricity'!E134</f>
        <v/>
      </c>
      <c r="N629" s="193" t="str">
        <f>'Buildings - Grid Electricity'!F134</f>
        <v/>
      </c>
      <c r="O629" s="237"/>
      <c r="P629" s="193">
        <f>'Buildings - Grid Electricity'!G134</f>
        <v>0</v>
      </c>
      <c r="Q629" s="193" t="str">
        <f>'Buildings - Grid Electricity'!H134</f>
        <v/>
      </c>
      <c r="R629" s="193">
        <f>'Buildings - Grid Electricity'!I134</f>
        <v>0</v>
      </c>
      <c r="S629" s="193" t="str">
        <f>'Buildings - Grid Electricity'!J134</f>
        <v/>
      </c>
      <c r="T629" s="193" t="str">
        <f>'Buildings - Grid Electricity'!K134</f>
        <v/>
      </c>
      <c r="U629" s="193" t="str">
        <f>'Buildings - Grid Electricity'!L134</f>
        <v/>
      </c>
      <c r="V629" s="193" t="str">
        <f>'Buildings - Grid Electricity'!M134</f>
        <v/>
      </c>
      <c r="W629" s="193" t="str">
        <f>'Buildings - Grid Electricity'!N134</f>
        <v/>
      </c>
      <c r="X629" s="193">
        <f>'Buildings - Grid Electricity'!O134</f>
        <v>0</v>
      </c>
      <c r="Y629" s="193">
        <f>'Buildings - Grid Electricity'!P134</f>
        <v>0</v>
      </c>
      <c r="Z629" s="193" t="str">
        <f>'Buildings - Grid Electricity'!Q134</f>
        <v/>
      </c>
      <c r="AA629" s="193" t="str">
        <f>'Buildings - Grid Electricity'!R134</f>
        <v/>
      </c>
      <c r="AB629" s="193" t="str">
        <f>'Buildings - Grid Electricity'!S134</f>
        <v/>
      </c>
      <c r="AC629" s="193" t="str">
        <f>'Buildings - Grid Electricity'!T134</f>
        <v/>
      </c>
      <c r="AD629" s="193" t="str">
        <f>'Buildings - Grid Electricity'!U134</f>
        <v/>
      </c>
      <c r="AE629" s="193" t="str">
        <f>'Buildings - Grid Electricity'!V134</f>
        <v/>
      </c>
      <c r="AF629" s="193" t="str">
        <f>'Buildings - Grid Electricity'!W134</f>
        <v/>
      </c>
      <c r="AG629" s="193" t="str">
        <f>'Buildings - Grid Electricity'!X134</f>
        <v/>
      </c>
      <c r="AI629" s="193">
        <f t="shared" si="8"/>
        <v>0</v>
      </c>
      <c r="AJ629" s="193">
        <f t="shared" si="9"/>
        <v>0</v>
      </c>
    </row>
    <row r="630" spans="2:36" x14ac:dyDescent="0.35">
      <c r="B630" s="193" t="e">
        <f>"2024"&amp;MATCH(Totals!D630,OrgType,0)&amp;"_"&amp;MATCH(Totals!E630,Organisations,0)&amp;"_"&amp;LEFT(Totals!F630,1)&amp;"_"&amp;LEFT(G630,1)&amp;"_"&amp;COUNTIF($G$3:G630,G630)</f>
        <v>#N/A</v>
      </c>
      <c r="C630" s="193">
        <v>2025</v>
      </c>
      <c r="D630" s="193">
        <f>Introduction!$D$7</f>
        <v>0</v>
      </c>
      <c r="E630" s="193">
        <f>Introduction!$D$8</f>
        <v>0</v>
      </c>
      <c r="F630" s="193" t="s">
        <v>488</v>
      </c>
      <c r="G630" s="193" t="s">
        <v>171</v>
      </c>
      <c r="H630" s="193">
        <f>'Buildings - Grid Electricity'!B135</f>
        <v>0</v>
      </c>
      <c r="I630" s="193">
        <f>'Buildings - Grid Electricity'!C135</f>
        <v>0</v>
      </c>
      <c r="J630" s="193" t="str">
        <f>'Buildings - Grid Electricity'!D135</f>
        <v/>
      </c>
      <c r="K630" s="237"/>
      <c r="L630" s="237"/>
      <c r="M630" s="193" t="str">
        <f>'Buildings - Grid Electricity'!E135</f>
        <v/>
      </c>
      <c r="N630" s="193" t="str">
        <f>'Buildings - Grid Electricity'!F135</f>
        <v/>
      </c>
      <c r="O630" s="237"/>
      <c r="P630" s="193">
        <f>'Buildings - Grid Electricity'!G135</f>
        <v>0</v>
      </c>
      <c r="Q630" s="193" t="str">
        <f>'Buildings - Grid Electricity'!H135</f>
        <v/>
      </c>
      <c r="R630" s="193">
        <f>'Buildings - Grid Electricity'!I135</f>
        <v>0</v>
      </c>
      <c r="S630" s="193" t="str">
        <f>'Buildings - Grid Electricity'!J135</f>
        <v/>
      </c>
      <c r="T630" s="193" t="str">
        <f>'Buildings - Grid Electricity'!K135</f>
        <v/>
      </c>
      <c r="U630" s="193" t="str">
        <f>'Buildings - Grid Electricity'!L135</f>
        <v/>
      </c>
      <c r="V630" s="193" t="str">
        <f>'Buildings - Grid Electricity'!M135</f>
        <v/>
      </c>
      <c r="W630" s="193" t="str">
        <f>'Buildings - Grid Electricity'!N135</f>
        <v/>
      </c>
      <c r="X630" s="193">
        <f>'Buildings - Grid Electricity'!O135</f>
        <v>0</v>
      </c>
      <c r="Y630" s="193">
        <f>'Buildings - Grid Electricity'!P135</f>
        <v>0</v>
      </c>
      <c r="Z630" s="193" t="str">
        <f>'Buildings - Grid Electricity'!Q135</f>
        <v/>
      </c>
      <c r="AA630" s="193" t="str">
        <f>'Buildings - Grid Electricity'!R135</f>
        <v/>
      </c>
      <c r="AB630" s="193" t="str">
        <f>'Buildings - Grid Electricity'!S135</f>
        <v/>
      </c>
      <c r="AC630" s="193" t="str">
        <f>'Buildings - Grid Electricity'!T135</f>
        <v/>
      </c>
      <c r="AD630" s="193" t="str">
        <f>'Buildings - Grid Electricity'!U135</f>
        <v/>
      </c>
      <c r="AE630" s="193" t="str">
        <f>'Buildings - Grid Electricity'!V135</f>
        <v/>
      </c>
      <c r="AF630" s="193" t="str">
        <f>'Buildings - Grid Electricity'!W135</f>
        <v/>
      </c>
      <c r="AG630" s="193" t="str">
        <f>'Buildings - Grid Electricity'!X135</f>
        <v/>
      </c>
      <c r="AI630" s="193">
        <f t="shared" si="8"/>
        <v>0</v>
      </c>
      <c r="AJ630" s="193">
        <f t="shared" si="9"/>
        <v>0</v>
      </c>
    </row>
    <row r="631" spans="2:36" x14ac:dyDescent="0.35">
      <c r="B631" s="193" t="e">
        <f>"2024"&amp;MATCH(Totals!D631,OrgType,0)&amp;"_"&amp;MATCH(Totals!E631,Organisations,0)&amp;"_"&amp;LEFT(Totals!F631,1)&amp;"_"&amp;LEFT(G631,1)&amp;"_"&amp;COUNTIF($G$3:G631,G631)</f>
        <v>#N/A</v>
      </c>
      <c r="C631" s="193">
        <v>2025</v>
      </c>
      <c r="D631" s="193">
        <f>Introduction!$D$7</f>
        <v>0</v>
      </c>
      <c r="E631" s="193">
        <f>Introduction!$D$8</f>
        <v>0</v>
      </c>
      <c r="F631" s="193" t="s">
        <v>488</v>
      </c>
      <c r="G631" s="193" t="s">
        <v>171</v>
      </c>
      <c r="H631" s="193">
        <f>'Buildings - Grid Electricity'!B136</f>
        <v>0</v>
      </c>
      <c r="I631" s="193">
        <f>'Buildings - Grid Electricity'!C136</f>
        <v>0</v>
      </c>
      <c r="J631" s="193" t="str">
        <f>'Buildings - Grid Electricity'!D136</f>
        <v/>
      </c>
      <c r="K631" s="237"/>
      <c r="L631" s="237"/>
      <c r="M631" s="193" t="str">
        <f>'Buildings - Grid Electricity'!E136</f>
        <v/>
      </c>
      <c r="N631" s="193" t="str">
        <f>'Buildings - Grid Electricity'!F136</f>
        <v/>
      </c>
      <c r="O631" s="237"/>
      <c r="P631" s="193">
        <f>'Buildings - Grid Electricity'!G136</f>
        <v>0</v>
      </c>
      <c r="Q631" s="193" t="str">
        <f>'Buildings - Grid Electricity'!H136</f>
        <v/>
      </c>
      <c r="R631" s="193">
        <f>'Buildings - Grid Electricity'!I136</f>
        <v>0</v>
      </c>
      <c r="S631" s="193" t="str">
        <f>'Buildings - Grid Electricity'!J136</f>
        <v/>
      </c>
      <c r="T631" s="193" t="str">
        <f>'Buildings - Grid Electricity'!K136</f>
        <v/>
      </c>
      <c r="U631" s="193" t="str">
        <f>'Buildings - Grid Electricity'!L136</f>
        <v/>
      </c>
      <c r="V631" s="193" t="str">
        <f>'Buildings - Grid Electricity'!M136</f>
        <v/>
      </c>
      <c r="W631" s="193" t="str">
        <f>'Buildings - Grid Electricity'!N136</f>
        <v/>
      </c>
      <c r="X631" s="193">
        <f>'Buildings - Grid Electricity'!O136</f>
        <v>0</v>
      </c>
      <c r="Y631" s="193">
        <f>'Buildings - Grid Electricity'!P136</f>
        <v>0</v>
      </c>
      <c r="Z631" s="193" t="str">
        <f>'Buildings - Grid Electricity'!Q136</f>
        <v/>
      </c>
      <c r="AA631" s="193" t="str">
        <f>'Buildings - Grid Electricity'!R136</f>
        <v/>
      </c>
      <c r="AB631" s="193" t="str">
        <f>'Buildings - Grid Electricity'!S136</f>
        <v/>
      </c>
      <c r="AC631" s="193" t="str">
        <f>'Buildings - Grid Electricity'!T136</f>
        <v/>
      </c>
      <c r="AD631" s="193" t="str">
        <f>'Buildings - Grid Electricity'!U136</f>
        <v/>
      </c>
      <c r="AE631" s="193" t="str">
        <f>'Buildings - Grid Electricity'!V136</f>
        <v/>
      </c>
      <c r="AF631" s="193" t="str">
        <f>'Buildings - Grid Electricity'!W136</f>
        <v/>
      </c>
      <c r="AG631" s="193" t="str">
        <f>'Buildings - Grid Electricity'!X136</f>
        <v/>
      </c>
      <c r="AI631" s="193">
        <f t="shared" si="8"/>
        <v>0</v>
      </c>
      <c r="AJ631" s="193">
        <f t="shared" si="9"/>
        <v>0</v>
      </c>
    </row>
    <row r="632" spans="2:36" x14ac:dyDescent="0.35">
      <c r="B632" s="193" t="e">
        <f>"2024"&amp;MATCH(Totals!D632,OrgType,0)&amp;"_"&amp;MATCH(Totals!E632,Organisations,0)&amp;"_"&amp;LEFT(Totals!F632,1)&amp;"_"&amp;LEFT(G632,1)&amp;"_"&amp;COUNTIF($G$3:G632,G632)</f>
        <v>#N/A</v>
      </c>
      <c r="C632" s="193">
        <v>2025</v>
      </c>
      <c r="D632" s="193">
        <f>Introduction!$D$7</f>
        <v>0</v>
      </c>
      <c r="E632" s="193">
        <f>Introduction!$D$8</f>
        <v>0</v>
      </c>
      <c r="F632" s="193" t="s">
        <v>488</v>
      </c>
      <c r="G632" s="193" t="s">
        <v>171</v>
      </c>
      <c r="H632" s="193">
        <f>'Buildings - Grid Electricity'!B137</f>
        <v>0</v>
      </c>
      <c r="I632" s="193">
        <f>'Buildings - Grid Electricity'!C137</f>
        <v>0</v>
      </c>
      <c r="J632" s="193" t="str">
        <f>'Buildings - Grid Electricity'!D137</f>
        <v/>
      </c>
      <c r="K632" s="237"/>
      <c r="L632" s="237"/>
      <c r="M632" s="193" t="str">
        <f>'Buildings - Grid Electricity'!E137</f>
        <v/>
      </c>
      <c r="N632" s="193" t="str">
        <f>'Buildings - Grid Electricity'!F137</f>
        <v/>
      </c>
      <c r="O632" s="237"/>
      <c r="P632" s="193">
        <f>'Buildings - Grid Electricity'!G137</f>
        <v>0</v>
      </c>
      <c r="Q632" s="193" t="str">
        <f>'Buildings - Grid Electricity'!H137</f>
        <v/>
      </c>
      <c r="R632" s="193">
        <f>'Buildings - Grid Electricity'!I137</f>
        <v>0</v>
      </c>
      <c r="S632" s="193" t="str">
        <f>'Buildings - Grid Electricity'!J137</f>
        <v/>
      </c>
      <c r="T632" s="193" t="str">
        <f>'Buildings - Grid Electricity'!K137</f>
        <v/>
      </c>
      <c r="U632" s="193" t="str">
        <f>'Buildings - Grid Electricity'!L137</f>
        <v/>
      </c>
      <c r="V632" s="193" t="str">
        <f>'Buildings - Grid Electricity'!M137</f>
        <v/>
      </c>
      <c r="W632" s="193" t="str">
        <f>'Buildings - Grid Electricity'!N137</f>
        <v/>
      </c>
      <c r="X632" s="193">
        <f>'Buildings - Grid Electricity'!O137</f>
        <v>0</v>
      </c>
      <c r="Y632" s="193">
        <f>'Buildings - Grid Electricity'!P137</f>
        <v>0</v>
      </c>
      <c r="Z632" s="193" t="str">
        <f>'Buildings - Grid Electricity'!Q137</f>
        <v/>
      </c>
      <c r="AA632" s="193" t="str">
        <f>'Buildings - Grid Electricity'!R137</f>
        <v/>
      </c>
      <c r="AB632" s="193" t="str">
        <f>'Buildings - Grid Electricity'!S137</f>
        <v/>
      </c>
      <c r="AC632" s="193" t="str">
        <f>'Buildings - Grid Electricity'!T137</f>
        <v/>
      </c>
      <c r="AD632" s="193" t="str">
        <f>'Buildings - Grid Electricity'!U137</f>
        <v/>
      </c>
      <c r="AE632" s="193" t="str">
        <f>'Buildings - Grid Electricity'!V137</f>
        <v/>
      </c>
      <c r="AF632" s="193" t="str">
        <f>'Buildings - Grid Electricity'!W137</f>
        <v/>
      </c>
      <c r="AG632" s="193" t="str">
        <f>'Buildings - Grid Electricity'!X137</f>
        <v/>
      </c>
      <c r="AI632" s="193">
        <f t="shared" si="8"/>
        <v>0</v>
      </c>
      <c r="AJ632" s="193">
        <f t="shared" si="9"/>
        <v>0</v>
      </c>
    </row>
    <row r="633" spans="2:36" x14ac:dyDescent="0.35">
      <c r="B633" s="193" t="e">
        <f>"2024"&amp;MATCH(Totals!D633,OrgType,0)&amp;"_"&amp;MATCH(Totals!E633,Organisations,0)&amp;"_"&amp;LEFT(Totals!F633,1)&amp;"_"&amp;LEFT(G633,1)&amp;"_"&amp;COUNTIF($G$3:G633,G633)</f>
        <v>#N/A</v>
      </c>
      <c r="C633" s="193">
        <v>2025</v>
      </c>
      <c r="D633" s="193">
        <f>Introduction!$D$7</f>
        <v>0</v>
      </c>
      <c r="E633" s="193">
        <f>Introduction!$D$8</f>
        <v>0</v>
      </c>
      <c r="F633" s="193" t="s">
        <v>488</v>
      </c>
      <c r="G633" s="193" t="s">
        <v>171</v>
      </c>
      <c r="H633" s="193">
        <f>'Buildings - Grid Electricity'!B138</f>
        <v>0</v>
      </c>
      <c r="I633" s="193">
        <f>'Buildings - Grid Electricity'!C138</f>
        <v>0</v>
      </c>
      <c r="J633" s="193" t="str">
        <f>'Buildings - Grid Electricity'!D138</f>
        <v/>
      </c>
      <c r="K633" s="237"/>
      <c r="L633" s="237"/>
      <c r="M633" s="193" t="str">
        <f>'Buildings - Grid Electricity'!E138</f>
        <v/>
      </c>
      <c r="N633" s="193" t="str">
        <f>'Buildings - Grid Electricity'!F138</f>
        <v/>
      </c>
      <c r="O633" s="237"/>
      <c r="P633" s="193">
        <f>'Buildings - Grid Electricity'!G138</f>
        <v>0</v>
      </c>
      <c r="Q633" s="193" t="str">
        <f>'Buildings - Grid Electricity'!H138</f>
        <v/>
      </c>
      <c r="R633" s="193">
        <f>'Buildings - Grid Electricity'!I138</f>
        <v>0</v>
      </c>
      <c r="S633" s="193" t="str">
        <f>'Buildings - Grid Electricity'!J138</f>
        <v/>
      </c>
      <c r="T633" s="193" t="str">
        <f>'Buildings - Grid Electricity'!K138</f>
        <v/>
      </c>
      <c r="U633" s="193" t="str">
        <f>'Buildings - Grid Electricity'!L138</f>
        <v/>
      </c>
      <c r="V633" s="193" t="str">
        <f>'Buildings - Grid Electricity'!M138</f>
        <v/>
      </c>
      <c r="W633" s="193" t="str">
        <f>'Buildings - Grid Electricity'!N138</f>
        <v/>
      </c>
      <c r="X633" s="193">
        <f>'Buildings - Grid Electricity'!O138</f>
        <v>0</v>
      </c>
      <c r="Y633" s="193">
        <f>'Buildings - Grid Electricity'!P138</f>
        <v>0</v>
      </c>
      <c r="Z633" s="193" t="str">
        <f>'Buildings - Grid Electricity'!Q138</f>
        <v/>
      </c>
      <c r="AA633" s="193" t="str">
        <f>'Buildings - Grid Electricity'!R138</f>
        <v/>
      </c>
      <c r="AB633" s="193" t="str">
        <f>'Buildings - Grid Electricity'!S138</f>
        <v/>
      </c>
      <c r="AC633" s="193" t="str">
        <f>'Buildings - Grid Electricity'!T138</f>
        <v/>
      </c>
      <c r="AD633" s="193" t="str">
        <f>'Buildings - Grid Electricity'!U138</f>
        <v/>
      </c>
      <c r="AE633" s="193" t="str">
        <f>'Buildings - Grid Electricity'!V138</f>
        <v/>
      </c>
      <c r="AF633" s="193" t="str">
        <f>'Buildings - Grid Electricity'!W138</f>
        <v/>
      </c>
      <c r="AG633" s="193" t="str">
        <f>'Buildings - Grid Electricity'!X138</f>
        <v/>
      </c>
      <c r="AI633" s="193">
        <f t="shared" si="8"/>
        <v>0</v>
      </c>
      <c r="AJ633" s="193">
        <f t="shared" si="9"/>
        <v>0</v>
      </c>
    </row>
    <row r="634" spans="2:36" x14ac:dyDescent="0.35">
      <c r="B634" s="193" t="e">
        <f>"2024"&amp;MATCH(Totals!D634,OrgType,0)&amp;"_"&amp;MATCH(Totals!E634,Organisations,0)&amp;"_"&amp;LEFT(Totals!F634,1)&amp;"_"&amp;LEFT(G634,1)&amp;"_"&amp;COUNTIF($G$3:G634,G634)</f>
        <v>#N/A</v>
      </c>
      <c r="C634" s="193">
        <v>2025</v>
      </c>
      <c r="D634" s="193">
        <f>Introduction!$D$7</f>
        <v>0</v>
      </c>
      <c r="E634" s="193">
        <f>Introduction!$D$8</f>
        <v>0</v>
      </c>
      <c r="F634" s="193" t="s">
        <v>488</v>
      </c>
      <c r="G634" s="193" t="s">
        <v>171</v>
      </c>
      <c r="H634" s="193">
        <f>'Buildings - Grid Electricity'!B139</f>
        <v>0</v>
      </c>
      <c r="I634" s="193">
        <f>'Buildings - Grid Electricity'!C139</f>
        <v>0</v>
      </c>
      <c r="J634" s="193" t="str">
        <f>'Buildings - Grid Electricity'!D139</f>
        <v/>
      </c>
      <c r="K634" s="237"/>
      <c r="L634" s="237"/>
      <c r="M634" s="193" t="str">
        <f>'Buildings - Grid Electricity'!E139</f>
        <v/>
      </c>
      <c r="N634" s="193" t="str">
        <f>'Buildings - Grid Electricity'!F139</f>
        <v/>
      </c>
      <c r="O634" s="237"/>
      <c r="P634" s="193">
        <f>'Buildings - Grid Electricity'!G139</f>
        <v>0</v>
      </c>
      <c r="Q634" s="193" t="str">
        <f>'Buildings - Grid Electricity'!H139</f>
        <v/>
      </c>
      <c r="R634" s="193">
        <f>'Buildings - Grid Electricity'!I139</f>
        <v>0</v>
      </c>
      <c r="S634" s="193" t="str">
        <f>'Buildings - Grid Electricity'!J139</f>
        <v/>
      </c>
      <c r="T634" s="193" t="str">
        <f>'Buildings - Grid Electricity'!K139</f>
        <v/>
      </c>
      <c r="U634" s="193" t="str">
        <f>'Buildings - Grid Electricity'!L139</f>
        <v/>
      </c>
      <c r="V634" s="193" t="str">
        <f>'Buildings - Grid Electricity'!M139</f>
        <v/>
      </c>
      <c r="W634" s="193" t="str">
        <f>'Buildings - Grid Electricity'!N139</f>
        <v/>
      </c>
      <c r="X634" s="193">
        <f>'Buildings - Grid Electricity'!O139</f>
        <v>0</v>
      </c>
      <c r="Y634" s="193">
        <f>'Buildings - Grid Electricity'!P139</f>
        <v>0</v>
      </c>
      <c r="Z634" s="193" t="str">
        <f>'Buildings - Grid Electricity'!Q139</f>
        <v/>
      </c>
      <c r="AA634" s="193" t="str">
        <f>'Buildings - Grid Electricity'!R139</f>
        <v/>
      </c>
      <c r="AB634" s="193" t="str">
        <f>'Buildings - Grid Electricity'!S139</f>
        <v/>
      </c>
      <c r="AC634" s="193" t="str">
        <f>'Buildings - Grid Electricity'!T139</f>
        <v/>
      </c>
      <c r="AD634" s="193" t="str">
        <f>'Buildings - Grid Electricity'!U139</f>
        <v/>
      </c>
      <c r="AE634" s="193" t="str">
        <f>'Buildings - Grid Electricity'!V139</f>
        <v/>
      </c>
      <c r="AF634" s="193" t="str">
        <f>'Buildings - Grid Electricity'!W139</f>
        <v/>
      </c>
      <c r="AG634" s="193" t="str">
        <f>'Buildings - Grid Electricity'!X139</f>
        <v/>
      </c>
      <c r="AI634" s="193">
        <f t="shared" si="8"/>
        <v>0</v>
      </c>
      <c r="AJ634" s="193">
        <f t="shared" si="9"/>
        <v>0</v>
      </c>
    </row>
    <row r="635" spans="2:36" x14ac:dyDescent="0.35">
      <c r="B635" s="193" t="e">
        <f>"2024"&amp;MATCH(Totals!D635,OrgType,0)&amp;"_"&amp;MATCH(Totals!E635,Organisations,0)&amp;"_"&amp;LEFT(Totals!F635,1)&amp;"_"&amp;LEFT(G635,1)&amp;"_"&amp;COUNTIF($G$3:G635,G635)</f>
        <v>#N/A</v>
      </c>
      <c r="C635" s="193">
        <v>2025</v>
      </c>
      <c r="D635" s="193">
        <f>Introduction!$D$7</f>
        <v>0</v>
      </c>
      <c r="E635" s="193">
        <f>Introduction!$D$8</f>
        <v>0</v>
      </c>
      <c r="F635" s="193" t="s">
        <v>488</v>
      </c>
      <c r="G635" s="193" t="s">
        <v>171</v>
      </c>
      <c r="H635" s="193">
        <f>'Buildings - Grid Electricity'!B140</f>
        <v>0</v>
      </c>
      <c r="I635" s="193">
        <f>'Buildings - Grid Electricity'!C140</f>
        <v>0</v>
      </c>
      <c r="J635" s="193" t="str">
        <f>'Buildings - Grid Electricity'!D140</f>
        <v/>
      </c>
      <c r="K635" s="237"/>
      <c r="L635" s="237"/>
      <c r="M635" s="193" t="str">
        <f>'Buildings - Grid Electricity'!E140</f>
        <v/>
      </c>
      <c r="N635" s="193" t="str">
        <f>'Buildings - Grid Electricity'!F140</f>
        <v/>
      </c>
      <c r="O635" s="237"/>
      <c r="P635" s="193">
        <f>'Buildings - Grid Electricity'!G140</f>
        <v>0</v>
      </c>
      <c r="Q635" s="193" t="str">
        <f>'Buildings - Grid Electricity'!H140</f>
        <v/>
      </c>
      <c r="R635" s="193">
        <f>'Buildings - Grid Electricity'!I140</f>
        <v>0</v>
      </c>
      <c r="S635" s="193" t="str">
        <f>'Buildings - Grid Electricity'!J140</f>
        <v/>
      </c>
      <c r="T635" s="193" t="str">
        <f>'Buildings - Grid Electricity'!K140</f>
        <v/>
      </c>
      <c r="U635" s="193" t="str">
        <f>'Buildings - Grid Electricity'!L140</f>
        <v/>
      </c>
      <c r="V635" s="193" t="str">
        <f>'Buildings - Grid Electricity'!M140</f>
        <v/>
      </c>
      <c r="W635" s="193" t="str">
        <f>'Buildings - Grid Electricity'!N140</f>
        <v/>
      </c>
      <c r="X635" s="193">
        <f>'Buildings - Grid Electricity'!O140</f>
        <v>0</v>
      </c>
      <c r="Y635" s="193">
        <f>'Buildings - Grid Electricity'!P140</f>
        <v>0</v>
      </c>
      <c r="Z635" s="193" t="str">
        <f>'Buildings - Grid Electricity'!Q140</f>
        <v/>
      </c>
      <c r="AA635" s="193" t="str">
        <f>'Buildings - Grid Electricity'!R140</f>
        <v/>
      </c>
      <c r="AB635" s="193" t="str">
        <f>'Buildings - Grid Electricity'!S140</f>
        <v/>
      </c>
      <c r="AC635" s="193" t="str">
        <f>'Buildings - Grid Electricity'!T140</f>
        <v/>
      </c>
      <c r="AD635" s="193" t="str">
        <f>'Buildings - Grid Electricity'!U140</f>
        <v/>
      </c>
      <c r="AE635" s="193" t="str">
        <f>'Buildings - Grid Electricity'!V140</f>
        <v/>
      </c>
      <c r="AF635" s="193" t="str">
        <f>'Buildings - Grid Electricity'!W140</f>
        <v/>
      </c>
      <c r="AG635" s="193" t="str">
        <f>'Buildings - Grid Electricity'!X140</f>
        <v/>
      </c>
      <c r="AI635" s="193">
        <f t="shared" si="8"/>
        <v>0</v>
      </c>
      <c r="AJ635" s="193">
        <f t="shared" si="9"/>
        <v>0</v>
      </c>
    </row>
    <row r="636" spans="2:36" x14ac:dyDescent="0.35">
      <c r="B636" s="193" t="e">
        <f>"2024"&amp;MATCH(Totals!D636,OrgType,0)&amp;"_"&amp;MATCH(Totals!E636,Organisations,0)&amp;"_"&amp;LEFT(Totals!F636,1)&amp;"_"&amp;LEFT(G636,1)&amp;"_"&amp;COUNTIF($G$3:G636,G636)</f>
        <v>#N/A</v>
      </c>
      <c r="C636" s="193">
        <v>2025</v>
      </c>
      <c r="D636" s="193">
        <f>Introduction!$D$7</f>
        <v>0</v>
      </c>
      <c r="E636" s="193">
        <f>Introduction!$D$8</f>
        <v>0</v>
      </c>
      <c r="F636" s="193" t="s">
        <v>488</v>
      </c>
      <c r="G636" s="193" t="s">
        <v>171</v>
      </c>
      <c r="H636" s="193">
        <f>'Buildings - Grid Electricity'!B141</f>
        <v>0</v>
      </c>
      <c r="I636" s="193">
        <f>'Buildings - Grid Electricity'!C141</f>
        <v>0</v>
      </c>
      <c r="J636" s="193" t="str">
        <f>'Buildings - Grid Electricity'!D141</f>
        <v/>
      </c>
      <c r="K636" s="237"/>
      <c r="L636" s="237"/>
      <c r="M636" s="193" t="str">
        <f>'Buildings - Grid Electricity'!E141</f>
        <v/>
      </c>
      <c r="N636" s="193" t="str">
        <f>'Buildings - Grid Electricity'!F141</f>
        <v/>
      </c>
      <c r="O636" s="237"/>
      <c r="P636" s="193">
        <f>'Buildings - Grid Electricity'!G141</f>
        <v>0</v>
      </c>
      <c r="Q636" s="193" t="str">
        <f>'Buildings - Grid Electricity'!H141</f>
        <v/>
      </c>
      <c r="R636" s="193">
        <f>'Buildings - Grid Electricity'!I141</f>
        <v>0</v>
      </c>
      <c r="S636" s="193" t="str">
        <f>'Buildings - Grid Electricity'!J141</f>
        <v/>
      </c>
      <c r="T636" s="193" t="str">
        <f>'Buildings - Grid Electricity'!K141</f>
        <v/>
      </c>
      <c r="U636" s="193" t="str">
        <f>'Buildings - Grid Electricity'!L141</f>
        <v/>
      </c>
      <c r="V636" s="193" t="str">
        <f>'Buildings - Grid Electricity'!M141</f>
        <v/>
      </c>
      <c r="W636" s="193" t="str">
        <f>'Buildings - Grid Electricity'!N141</f>
        <v/>
      </c>
      <c r="X636" s="193">
        <f>'Buildings - Grid Electricity'!O141</f>
        <v>0</v>
      </c>
      <c r="Y636" s="193">
        <f>'Buildings - Grid Electricity'!P141</f>
        <v>0</v>
      </c>
      <c r="Z636" s="193" t="str">
        <f>'Buildings - Grid Electricity'!Q141</f>
        <v/>
      </c>
      <c r="AA636" s="193" t="str">
        <f>'Buildings - Grid Electricity'!R141</f>
        <v/>
      </c>
      <c r="AB636" s="193" t="str">
        <f>'Buildings - Grid Electricity'!S141</f>
        <v/>
      </c>
      <c r="AC636" s="193" t="str">
        <f>'Buildings - Grid Electricity'!T141</f>
        <v/>
      </c>
      <c r="AD636" s="193" t="str">
        <f>'Buildings - Grid Electricity'!U141</f>
        <v/>
      </c>
      <c r="AE636" s="193" t="str">
        <f>'Buildings - Grid Electricity'!V141</f>
        <v/>
      </c>
      <c r="AF636" s="193" t="str">
        <f>'Buildings - Grid Electricity'!W141</f>
        <v/>
      </c>
      <c r="AG636" s="193" t="str">
        <f>'Buildings - Grid Electricity'!X141</f>
        <v/>
      </c>
      <c r="AI636" s="193">
        <f t="shared" si="8"/>
        <v>0</v>
      </c>
      <c r="AJ636" s="193">
        <f t="shared" si="9"/>
        <v>0</v>
      </c>
    </row>
    <row r="637" spans="2:36" x14ac:dyDescent="0.35">
      <c r="B637" s="193" t="e">
        <f>"2024"&amp;MATCH(Totals!D637,OrgType,0)&amp;"_"&amp;MATCH(Totals!E637,Organisations,0)&amp;"_"&amp;LEFT(Totals!F637,1)&amp;"_"&amp;LEFT(G637,1)&amp;"_"&amp;COUNTIF($G$3:G637,G637)</f>
        <v>#N/A</v>
      </c>
      <c r="C637" s="193">
        <v>2025</v>
      </c>
      <c r="D637" s="193">
        <f>Introduction!$D$7</f>
        <v>0</v>
      </c>
      <c r="E637" s="193">
        <f>Introduction!$D$8</f>
        <v>0</v>
      </c>
      <c r="F637" s="193" t="s">
        <v>488</v>
      </c>
      <c r="G637" s="193" t="s">
        <v>171</v>
      </c>
      <c r="H637" s="193">
        <f>'Buildings - Grid Electricity'!B142</f>
        <v>0</v>
      </c>
      <c r="I637" s="193">
        <f>'Buildings - Grid Electricity'!C142</f>
        <v>0</v>
      </c>
      <c r="J637" s="193" t="str">
        <f>'Buildings - Grid Electricity'!D142</f>
        <v/>
      </c>
      <c r="K637" s="237"/>
      <c r="L637" s="237"/>
      <c r="M637" s="193" t="str">
        <f>'Buildings - Grid Electricity'!E142</f>
        <v/>
      </c>
      <c r="N637" s="193" t="str">
        <f>'Buildings - Grid Electricity'!F142</f>
        <v/>
      </c>
      <c r="O637" s="237"/>
      <c r="P637" s="193">
        <f>'Buildings - Grid Electricity'!G142</f>
        <v>0</v>
      </c>
      <c r="Q637" s="193" t="str">
        <f>'Buildings - Grid Electricity'!H142</f>
        <v/>
      </c>
      <c r="R637" s="193">
        <f>'Buildings - Grid Electricity'!I142</f>
        <v>0</v>
      </c>
      <c r="S637" s="193" t="str">
        <f>'Buildings - Grid Electricity'!J142</f>
        <v/>
      </c>
      <c r="T637" s="193" t="str">
        <f>'Buildings - Grid Electricity'!K142</f>
        <v/>
      </c>
      <c r="U637" s="193" t="str">
        <f>'Buildings - Grid Electricity'!L142</f>
        <v/>
      </c>
      <c r="V637" s="193" t="str">
        <f>'Buildings - Grid Electricity'!M142</f>
        <v/>
      </c>
      <c r="W637" s="193" t="str">
        <f>'Buildings - Grid Electricity'!N142</f>
        <v/>
      </c>
      <c r="X637" s="193">
        <f>'Buildings - Grid Electricity'!O142</f>
        <v>0</v>
      </c>
      <c r="Y637" s="193">
        <f>'Buildings - Grid Electricity'!P142</f>
        <v>0</v>
      </c>
      <c r="Z637" s="193" t="str">
        <f>'Buildings - Grid Electricity'!Q142</f>
        <v/>
      </c>
      <c r="AA637" s="193" t="str">
        <f>'Buildings - Grid Electricity'!R142</f>
        <v/>
      </c>
      <c r="AB637" s="193" t="str">
        <f>'Buildings - Grid Electricity'!S142</f>
        <v/>
      </c>
      <c r="AC637" s="193" t="str">
        <f>'Buildings - Grid Electricity'!T142</f>
        <v/>
      </c>
      <c r="AD637" s="193" t="str">
        <f>'Buildings - Grid Electricity'!U142</f>
        <v/>
      </c>
      <c r="AE637" s="193" t="str">
        <f>'Buildings - Grid Electricity'!V142</f>
        <v/>
      </c>
      <c r="AF637" s="193" t="str">
        <f>'Buildings - Grid Electricity'!W142</f>
        <v/>
      </c>
      <c r="AG637" s="193" t="str">
        <f>'Buildings - Grid Electricity'!X142</f>
        <v/>
      </c>
      <c r="AI637" s="193">
        <f t="shared" si="8"/>
        <v>0</v>
      </c>
      <c r="AJ637" s="193">
        <f t="shared" si="9"/>
        <v>0</v>
      </c>
    </row>
    <row r="638" spans="2:36" x14ac:dyDescent="0.35">
      <c r="B638" s="193" t="e">
        <f>"2024"&amp;MATCH(Totals!D638,OrgType,0)&amp;"_"&amp;MATCH(Totals!E638,Organisations,0)&amp;"_"&amp;LEFT(Totals!F638,1)&amp;"_"&amp;LEFT(G638,1)&amp;"_"&amp;COUNTIF($G$3:G638,G638)</f>
        <v>#N/A</v>
      </c>
      <c r="C638" s="193">
        <v>2025</v>
      </c>
      <c r="D638" s="193">
        <f>Introduction!$D$7</f>
        <v>0</v>
      </c>
      <c r="E638" s="193">
        <f>Introduction!$D$8</f>
        <v>0</v>
      </c>
      <c r="F638" s="193" t="s">
        <v>488</v>
      </c>
      <c r="G638" s="193" t="s">
        <v>171</v>
      </c>
      <c r="H638" s="193">
        <f>'Buildings - Grid Electricity'!B143</f>
        <v>0</v>
      </c>
      <c r="I638" s="193">
        <f>'Buildings - Grid Electricity'!C143</f>
        <v>0</v>
      </c>
      <c r="J638" s="193" t="str">
        <f>'Buildings - Grid Electricity'!D143</f>
        <v/>
      </c>
      <c r="K638" s="237"/>
      <c r="L638" s="237"/>
      <c r="M638" s="193" t="str">
        <f>'Buildings - Grid Electricity'!E143</f>
        <v/>
      </c>
      <c r="N638" s="193" t="str">
        <f>'Buildings - Grid Electricity'!F143</f>
        <v/>
      </c>
      <c r="O638" s="237"/>
      <c r="P638" s="193">
        <f>'Buildings - Grid Electricity'!G143</f>
        <v>0</v>
      </c>
      <c r="Q638" s="193" t="str">
        <f>'Buildings - Grid Electricity'!H143</f>
        <v/>
      </c>
      <c r="R638" s="193">
        <f>'Buildings - Grid Electricity'!I143</f>
        <v>0</v>
      </c>
      <c r="S638" s="193" t="str">
        <f>'Buildings - Grid Electricity'!J143</f>
        <v/>
      </c>
      <c r="T638" s="193" t="str">
        <f>'Buildings - Grid Electricity'!K143</f>
        <v/>
      </c>
      <c r="U638" s="193" t="str">
        <f>'Buildings - Grid Electricity'!L143</f>
        <v/>
      </c>
      <c r="V638" s="193" t="str">
        <f>'Buildings - Grid Electricity'!M143</f>
        <v/>
      </c>
      <c r="W638" s="193" t="str">
        <f>'Buildings - Grid Electricity'!N143</f>
        <v/>
      </c>
      <c r="X638" s="193">
        <f>'Buildings - Grid Electricity'!O143</f>
        <v>0</v>
      </c>
      <c r="Y638" s="193">
        <f>'Buildings - Grid Electricity'!P143</f>
        <v>0</v>
      </c>
      <c r="Z638" s="193" t="str">
        <f>'Buildings - Grid Electricity'!Q143</f>
        <v/>
      </c>
      <c r="AA638" s="193" t="str">
        <f>'Buildings - Grid Electricity'!R143</f>
        <v/>
      </c>
      <c r="AB638" s="193" t="str">
        <f>'Buildings - Grid Electricity'!S143</f>
        <v/>
      </c>
      <c r="AC638" s="193" t="str">
        <f>'Buildings - Grid Electricity'!T143</f>
        <v/>
      </c>
      <c r="AD638" s="193" t="str">
        <f>'Buildings - Grid Electricity'!U143</f>
        <v/>
      </c>
      <c r="AE638" s="193" t="str">
        <f>'Buildings - Grid Electricity'!V143</f>
        <v/>
      </c>
      <c r="AF638" s="193" t="str">
        <f>'Buildings - Grid Electricity'!W143</f>
        <v/>
      </c>
      <c r="AG638" s="193" t="str">
        <f>'Buildings - Grid Electricity'!X143</f>
        <v/>
      </c>
      <c r="AI638" s="193">
        <f t="shared" si="8"/>
        <v>0</v>
      </c>
      <c r="AJ638" s="193">
        <f t="shared" si="9"/>
        <v>0</v>
      </c>
    </row>
    <row r="639" spans="2:36" x14ac:dyDescent="0.35">
      <c r="B639" s="193" t="e">
        <f>"2024"&amp;MATCH(Totals!D639,OrgType,0)&amp;"_"&amp;MATCH(Totals!E639,Organisations,0)&amp;"_"&amp;LEFT(Totals!F639,1)&amp;"_"&amp;LEFT(G639,1)&amp;"_"&amp;COUNTIF($G$3:G639,G639)</f>
        <v>#N/A</v>
      </c>
      <c r="C639" s="193">
        <v>2025</v>
      </c>
      <c r="D639" s="193">
        <f>Introduction!$D$7</f>
        <v>0</v>
      </c>
      <c r="E639" s="193">
        <f>Introduction!$D$8</f>
        <v>0</v>
      </c>
      <c r="F639" s="193" t="s">
        <v>488</v>
      </c>
      <c r="G639" s="193" t="s">
        <v>171</v>
      </c>
      <c r="H639" s="193">
        <f>'Buildings - Grid Electricity'!B144</f>
        <v>0</v>
      </c>
      <c r="I639" s="193">
        <f>'Buildings - Grid Electricity'!C144</f>
        <v>0</v>
      </c>
      <c r="J639" s="193" t="str">
        <f>'Buildings - Grid Electricity'!D144</f>
        <v/>
      </c>
      <c r="K639" s="237"/>
      <c r="L639" s="237"/>
      <c r="M639" s="193" t="str">
        <f>'Buildings - Grid Electricity'!E144</f>
        <v/>
      </c>
      <c r="N639" s="193" t="str">
        <f>'Buildings - Grid Electricity'!F144</f>
        <v/>
      </c>
      <c r="O639" s="237"/>
      <c r="P639" s="193">
        <f>'Buildings - Grid Electricity'!G144</f>
        <v>0</v>
      </c>
      <c r="Q639" s="193" t="str">
        <f>'Buildings - Grid Electricity'!H144</f>
        <v/>
      </c>
      <c r="R639" s="193">
        <f>'Buildings - Grid Electricity'!I144</f>
        <v>0</v>
      </c>
      <c r="S639" s="193" t="str">
        <f>'Buildings - Grid Electricity'!J144</f>
        <v/>
      </c>
      <c r="T639" s="193" t="str">
        <f>'Buildings - Grid Electricity'!K144</f>
        <v/>
      </c>
      <c r="U639" s="193" t="str">
        <f>'Buildings - Grid Electricity'!L144</f>
        <v/>
      </c>
      <c r="V639" s="193" t="str">
        <f>'Buildings - Grid Electricity'!M144</f>
        <v/>
      </c>
      <c r="W639" s="193" t="str">
        <f>'Buildings - Grid Electricity'!N144</f>
        <v/>
      </c>
      <c r="X639" s="193">
        <f>'Buildings - Grid Electricity'!O144</f>
        <v>0</v>
      </c>
      <c r="Y639" s="193">
        <f>'Buildings - Grid Electricity'!P144</f>
        <v>0</v>
      </c>
      <c r="Z639" s="193" t="str">
        <f>'Buildings - Grid Electricity'!Q144</f>
        <v/>
      </c>
      <c r="AA639" s="193" t="str">
        <f>'Buildings - Grid Electricity'!R144</f>
        <v/>
      </c>
      <c r="AB639" s="193" t="str">
        <f>'Buildings - Grid Electricity'!S144</f>
        <v/>
      </c>
      <c r="AC639" s="193" t="str">
        <f>'Buildings - Grid Electricity'!T144</f>
        <v/>
      </c>
      <c r="AD639" s="193" t="str">
        <f>'Buildings - Grid Electricity'!U144</f>
        <v/>
      </c>
      <c r="AE639" s="193" t="str">
        <f>'Buildings - Grid Electricity'!V144</f>
        <v/>
      </c>
      <c r="AF639" s="193" t="str">
        <f>'Buildings - Grid Electricity'!W144</f>
        <v/>
      </c>
      <c r="AG639" s="193" t="str">
        <f>'Buildings - Grid Electricity'!X144</f>
        <v/>
      </c>
      <c r="AI639" s="193">
        <f t="shared" si="8"/>
        <v>0</v>
      </c>
      <c r="AJ639" s="193">
        <f t="shared" si="9"/>
        <v>0</v>
      </c>
    </row>
    <row r="640" spans="2:36" x14ac:dyDescent="0.35">
      <c r="B640" s="193" t="e">
        <f>"2024"&amp;MATCH(Totals!D640,OrgType,0)&amp;"_"&amp;MATCH(Totals!E640,Organisations,0)&amp;"_"&amp;LEFT(Totals!F640,1)&amp;"_"&amp;LEFT(G640,1)&amp;"_"&amp;COUNTIF($G$3:G640,G640)</f>
        <v>#N/A</v>
      </c>
      <c r="C640" s="193">
        <v>2025</v>
      </c>
      <c r="D640" s="193">
        <f>Introduction!$D$7</f>
        <v>0</v>
      </c>
      <c r="E640" s="193">
        <f>Introduction!$D$8</f>
        <v>0</v>
      </c>
      <c r="F640" s="193" t="s">
        <v>488</v>
      </c>
      <c r="G640" s="193" t="s">
        <v>171</v>
      </c>
      <c r="H640" s="193">
        <f>'Buildings - Grid Electricity'!B145</f>
        <v>0</v>
      </c>
      <c r="I640" s="193">
        <f>'Buildings - Grid Electricity'!C145</f>
        <v>0</v>
      </c>
      <c r="J640" s="193" t="str">
        <f>'Buildings - Grid Electricity'!D145</f>
        <v/>
      </c>
      <c r="K640" s="237"/>
      <c r="L640" s="237"/>
      <c r="M640" s="193" t="str">
        <f>'Buildings - Grid Electricity'!E145</f>
        <v/>
      </c>
      <c r="N640" s="193" t="str">
        <f>'Buildings - Grid Electricity'!F145</f>
        <v/>
      </c>
      <c r="O640" s="237"/>
      <c r="P640" s="193">
        <f>'Buildings - Grid Electricity'!G145</f>
        <v>0</v>
      </c>
      <c r="Q640" s="193" t="str">
        <f>'Buildings - Grid Electricity'!H145</f>
        <v/>
      </c>
      <c r="R640" s="193">
        <f>'Buildings - Grid Electricity'!I145</f>
        <v>0</v>
      </c>
      <c r="S640" s="193" t="str">
        <f>'Buildings - Grid Electricity'!J145</f>
        <v/>
      </c>
      <c r="T640" s="193" t="str">
        <f>'Buildings - Grid Electricity'!K145</f>
        <v/>
      </c>
      <c r="U640" s="193" t="str">
        <f>'Buildings - Grid Electricity'!L145</f>
        <v/>
      </c>
      <c r="V640" s="193" t="str">
        <f>'Buildings - Grid Electricity'!M145</f>
        <v/>
      </c>
      <c r="W640" s="193" t="str">
        <f>'Buildings - Grid Electricity'!N145</f>
        <v/>
      </c>
      <c r="X640" s="193">
        <f>'Buildings - Grid Electricity'!O145</f>
        <v>0</v>
      </c>
      <c r="Y640" s="193">
        <f>'Buildings - Grid Electricity'!P145</f>
        <v>0</v>
      </c>
      <c r="Z640" s="193" t="str">
        <f>'Buildings - Grid Electricity'!Q145</f>
        <v/>
      </c>
      <c r="AA640" s="193" t="str">
        <f>'Buildings - Grid Electricity'!R145</f>
        <v/>
      </c>
      <c r="AB640" s="193" t="str">
        <f>'Buildings - Grid Electricity'!S145</f>
        <v/>
      </c>
      <c r="AC640" s="193" t="str">
        <f>'Buildings - Grid Electricity'!T145</f>
        <v/>
      </c>
      <c r="AD640" s="193" t="str">
        <f>'Buildings - Grid Electricity'!U145</f>
        <v/>
      </c>
      <c r="AE640" s="193" t="str">
        <f>'Buildings - Grid Electricity'!V145</f>
        <v/>
      </c>
      <c r="AF640" s="193" t="str">
        <f>'Buildings - Grid Electricity'!W145</f>
        <v/>
      </c>
      <c r="AG640" s="193" t="str">
        <f>'Buildings - Grid Electricity'!X145</f>
        <v/>
      </c>
      <c r="AI640" s="193">
        <f t="shared" si="8"/>
        <v>0</v>
      </c>
      <c r="AJ640" s="193">
        <f t="shared" si="9"/>
        <v>0</v>
      </c>
    </row>
    <row r="641" spans="2:36" x14ac:dyDescent="0.35">
      <c r="B641" s="193" t="e">
        <f>"2024"&amp;MATCH(Totals!D641,OrgType,0)&amp;"_"&amp;MATCH(Totals!E641,Organisations,0)&amp;"_"&amp;LEFT(Totals!F641,1)&amp;"_"&amp;LEFT(G641,1)&amp;"_"&amp;COUNTIF($G$3:G641,G641)</f>
        <v>#N/A</v>
      </c>
      <c r="C641" s="193">
        <v>2025</v>
      </c>
      <c r="D641" s="193">
        <f>Introduction!$D$7</f>
        <v>0</v>
      </c>
      <c r="E641" s="193">
        <f>Introduction!$D$8</f>
        <v>0</v>
      </c>
      <c r="F641" s="193" t="s">
        <v>488</v>
      </c>
      <c r="G641" s="193" t="s">
        <v>171</v>
      </c>
      <c r="H641" s="193">
        <f>'Buildings - Grid Electricity'!B146</f>
        <v>0</v>
      </c>
      <c r="I641" s="193">
        <f>'Buildings - Grid Electricity'!C146</f>
        <v>0</v>
      </c>
      <c r="J641" s="193" t="str">
        <f>'Buildings - Grid Electricity'!D146</f>
        <v/>
      </c>
      <c r="K641" s="237"/>
      <c r="L641" s="237"/>
      <c r="M641" s="193" t="str">
        <f>'Buildings - Grid Electricity'!E146</f>
        <v/>
      </c>
      <c r="N641" s="193" t="str">
        <f>'Buildings - Grid Electricity'!F146</f>
        <v/>
      </c>
      <c r="O641" s="237"/>
      <c r="P641" s="193">
        <f>'Buildings - Grid Electricity'!G146</f>
        <v>0</v>
      </c>
      <c r="Q641" s="193" t="str">
        <f>'Buildings - Grid Electricity'!H146</f>
        <v/>
      </c>
      <c r="R641" s="193">
        <f>'Buildings - Grid Electricity'!I146</f>
        <v>0</v>
      </c>
      <c r="S641" s="193" t="str">
        <f>'Buildings - Grid Electricity'!J146</f>
        <v/>
      </c>
      <c r="T641" s="193" t="str">
        <f>'Buildings - Grid Electricity'!K146</f>
        <v/>
      </c>
      <c r="U641" s="193" t="str">
        <f>'Buildings - Grid Electricity'!L146</f>
        <v/>
      </c>
      <c r="V641" s="193" t="str">
        <f>'Buildings - Grid Electricity'!M146</f>
        <v/>
      </c>
      <c r="W641" s="193" t="str">
        <f>'Buildings - Grid Electricity'!N146</f>
        <v/>
      </c>
      <c r="X641" s="193">
        <f>'Buildings - Grid Electricity'!O146</f>
        <v>0</v>
      </c>
      <c r="Y641" s="193">
        <f>'Buildings - Grid Electricity'!P146</f>
        <v>0</v>
      </c>
      <c r="Z641" s="193" t="str">
        <f>'Buildings - Grid Electricity'!Q146</f>
        <v/>
      </c>
      <c r="AA641" s="193" t="str">
        <f>'Buildings - Grid Electricity'!R146</f>
        <v/>
      </c>
      <c r="AB641" s="193" t="str">
        <f>'Buildings - Grid Electricity'!S146</f>
        <v/>
      </c>
      <c r="AC641" s="193" t="str">
        <f>'Buildings - Grid Electricity'!T146</f>
        <v/>
      </c>
      <c r="AD641" s="193" t="str">
        <f>'Buildings - Grid Electricity'!U146</f>
        <v/>
      </c>
      <c r="AE641" s="193" t="str">
        <f>'Buildings - Grid Electricity'!V146</f>
        <v/>
      </c>
      <c r="AF641" s="193" t="str">
        <f>'Buildings - Grid Electricity'!W146</f>
        <v/>
      </c>
      <c r="AG641" s="193" t="str">
        <f>'Buildings - Grid Electricity'!X146</f>
        <v/>
      </c>
      <c r="AI641" s="193">
        <f t="shared" si="8"/>
        <v>0</v>
      </c>
      <c r="AJ641" s="193">
        <f t="shared" si="9"/>
        <v>0</v>
      </c>
    </row>
    <row r="642" spans="2:36" x14ac:dyDescent="0.35">
      <c r="B642" s="193" t="e">
        <f>"2024"&amp;MATCH(Totals!D642,OrgType,0)&amp;"_"&amp;MATCH(Totals!E642,Organisations,0)&amp;"_"&amp;LEFT(Totals!F642,1)&amp;"_"&amp;LEFT(G642,1)&amp;"_"&amp;COUNTIF($G$3:G642,G642)</f>
        <v>#N/A</v>
      </c>
      <c r="C642" s="193">
        <v>2025</v>
      </c>
      <c r="D642" s="193">
        <f>Introduction!$D$7</f>
        <v>0</v>
      </c>
      <c r="E642" s="193">
        <f>Introduction!$D$8</f>
        <v>0</v>
      </c>
      <c r="F642" s="193" t="s">
        <v>488</v>
      </c>
      <c r="G642" s="193" t="s">
        <v>171</v>
      </c>
      <c r="H642" s="193">
        <f>'Buildings - Grid Electricity'!B147</f>
        <v>0</v>
      </c>
      <c r="I642" s="193">
        <f>'Buildings - Grid Electricity'!C147</f>
        <v>0</v>
      </c>
      <c r="J642" s="193" t="str">
        <f>'Buildings - Grid Electricity'!D147</f>
        <v/>
      </c>
      <c r="K642" s="237"/>
      <c r="L642" s="237"/>
      <c r="M642" s="193" t="str">
        <f>'Buildings - Grid Electricity'!E147</f>
        <v/>
      </c>
      <c r="N642" s="193" t="str">
        <f>'Buildings - Grid Electricity'!F147</f>
        <v/>
      </c>
      <c r="O642" s="237"/>
      <c r="P642" s="193">
        <f>'Buildings - Grid Electricity'!G147</f>
        <v>0</v>
      </c>
      <c r="Q642" s="193" t="str">
        <f>'Buildings - Grid Electricity'!H147</f>
        <v/>
      </c>
      <c r="R642" s="193">
        <f>'Buildings - Grid Electricity'!I147</f>
        <v>0</v>
      </c>
      <c r="S642" s="193" t="str">
        <f>'Buildings - Grid Electricity'!J147</f>
        <v/>
      </c>
      <c r="T642" s="193" t="str">
        <f>'Buildings - Grid Electricity'!K147</f>
        <v/>
      </c>
      <c r="U642" s="193" t="str">
        <f>'Buildings - Grid Electricity'!L147</f>
        <v/>
      </c>
      <c r="V642" s="193" t="str">
        <f>'Buildings - Grid Electricity'!M147</f>
        <v/>
      </c>
      <c r="W642" s="193" t="str">
        <f>'Buildings - Grid Electricity'!N147</f>
        <v/>
      </c>
      <c r="X642" s="193">
        <f>'Buildings - Grid Electricity'!O147</f>
        <v>0</v>
      </c>
      <c r="Y642" s="193">
        <f>'Buildings - Grid Electricity'!P147</f>
        <v>0</v>
      </c>
      <c r="Z642" s="193" t="str">
        <f>'Buildings - Grid Electricity'!Q147</f>
        <v/>
      </c>
      <c r="AA642" s="193" t="str">
        <f>'Buildings - Grid Electricity'!R147</f>
        <v/>
      </c>
      <c r="AB642" s="193" t="str">
        <f>'Buildings - Grid Electricity'!S147</f>
        <v/>
      </c>
      <c r="AC642" s="193" t="str">
        <f>'Buildings - Grid Electricity'!T147</f>
        <v/>
      </c>
      <c r="AD642" s="193" t="str">
        <f>'Buildings - Grid Electricity'!U147</f>
        <v/>
      </c>
      <c r="AE642" s="193" t="str">
        <f>'Buildings - Grid Electricity'!V147</f>
        <v/>
      </c>
      <c r="AF642" s="193" t="str">
        <f>'Buildings - Grid Electricity'!W147</f>
        <v/>
      </c>
      <c r="AG642" s="193" t="str">
        <f>'Buildings - Grid Electricity'!X147</f>
        <v/>
      </c>
      <c r="AI642" s="193">
        <f t="shared" si="8"/>
        <v>0</v>
      </c>
      <c r="AJ642" s="193">
        <f t="shared" si="9"/>
        <v>0</v>
      </c>
    </row>
    <row r="643" spans="2:36" x14ac:dyDescent="0.35">
      <c r="B643" s="193" t="e">
        <f>"2024"&amp;MATCH(Totals!D643,OrgType,0)&amp;"_"&amp;MATCH(Totals!E643,Organisations,0)&amp;"_"&amp;LEFT(Totals!F643,1)&amp;"_"&amp;LEFT(G643,1)&amp;"_"&amp;COUNTIF($G$3:G643,G643)</f>
        <v>#N/A</v>
      </c>
      <c r="C643" s="193">
        <v>2025</v>
      </c>
      <c r="D643" s="193">
        <f>Introduction!$D$7</f>
        <v>0</v>
      </c>
      <c r="E643" s="193">
        <f>Introduction!$D$8</f>
        <v>0</v>
      </c>
      <c r="F643" s="193" t="s">
        <v>488</v>
      </c>
      <c r="G643" s="193" t="s">
        <v>171</v>
      </c>
      <c r="H643" s="193">
        <f>'Buildings - Grid Electricity'!B148</f>
        <v>0</v>
      </c>
      <c r="I643" s="193">
        <f>'Buildings - Grid Electricity'!C148</f>
        <v>0</v>
      </c>
      <c r="J643" s="193" t="str">
        <f>'Buildings - Grid Electricity'!D148</f>
        <v/>
      </c>
      <c r="K643" s="237"/>
      <c r="L643" s="237"/>
      <c r="M643" s="193" t="str">
        <f>'Buildings - Grid Electricity'!E148</f>
        <v/>
      </c>
      <c r="N643" s="193" t="str">
        <f>'Buildings - Grid Electricity'!F148</f>
        <v/>
      </c>
      <c r="O643" s="237"/>
      <c r="P643" s="193">
        <f>'Buildings - Grid Electricity'!G148</f>
        <v>0</v>
      </c>
      <c r="Q643" s="193" t="str">
        <f>'Buildings - Grid Electricity'!H148</f>
        <v/>
      </c>
      <c r="R643" s="193">
        <f>'Buildings - Grid Electricity'!I148</f>
        <v>0</v>
      </c>
      <c r="S643" s="193" t="str">
        <f>'Buildings - Grid Electricity'!J148</f>
        <v/>
      </c>
      <c r="T643" s="193" t="str">
        <f>'Buildings - Grid Electricity'!K148</f>
        <v/>
      </c>
      <c r="U643" s="193" t="str">
        <f>'Buildings - Grid Electricity'!L148</f>
        <v/>
      </c>
      <c r="V643" s="193" t="str">
        <f>'Buildings - Grid Electricity'!M148</f>
        <v/>
      </c>
      <c r="W643" s="193" t="str">
        <f>'Buildings - Grid Electricity'!N148</f>
        <v/>
      </c>
      <c r="X643" s="193">
        <f>'Buildings - Grid Electricity'!O148</f>
        <v>0</v>
      </c>
      <c r="Y643" s="193">
        <f>'Buildings - Grid Electricity'!P148</f>
        <v>0</v>
      </c>
      <c r="Z643" s="193" t="str">
        <f>'Buildings - Grid Electricity'!Q148</f>
        <v/>
      </c>
      <c r="AA643" s="193" t="str">
        <f>'Buildings - Grid Electricity'!R148</f>
        <v/>
      </c>
      <c r="AB643" s="193" t="str">
        <f>'Buildings - Grid Electricity'!S148</f>
        <v/>
      </c>
      <c r="AC643" s="193" t="str">
        <f>'Buildings - Grid Electricity'!T148</f>
        <v/>
      </c>
      <c r="AD643" s="193" t="str">
        <f>'Buildings - Grid Electricity'!U148</f>
        <v/>
      </c>
      <c r="AE643" s="193" t="str">
        <f>'Buildings - Grid Electricity'!V148</f>
        <v/>
      </c>
      <c r="AF643" s="193" t="str">
        <f>'Buildings - Grid Electricity'!W148</f>
        <v/>
      </c>
      <c r="AG643" s="193" t="str">
        <f>'Buildings - Grid Electricity'!X148</f>
        <v/>
      </c>
      <c r="AI643" s="193">
        <f t="shared" si="8"/>
        <v>0</v>
      </c>
      <c r="AJ643" s="193">
        <f t="shared" si="9"/>
        <v>0</v>
      </c>
    </row>
    <row r="644" spans="2:36" x14ac:dyDescent="0.35">
      <c r="B644" s="193" t="e">
        <f>"2024"&amp;MATCH(Totals!D644,OrgType,0)&amp;"_"&amp;MATCH(Totals!E644,Organisations,0)&amp;"_"&amp;LEFT(Totals!F644,1)&amp;"_"&amp;LEFT(G644,1)&amp;"_"&amp;COUNTIF($G$3:G644,G644)</f>
        <v>#N/A</v>
      </c>
      <c r="C644" s="193">
        <v>2025</v>
      </c>
      <c r="D644" s="193">
        <f>Introduction!$D$7</f>
        <v>0</v>
      </c>
      <c r="E644" s="193">
        <f>Introduction!$D$8</f>
        <v>0</v>
      </c>
      <c r="F644" s="193" t="s">
        <v>488</v>
      </c>
      <c r="G644" s="193" t="s">
        <v>171</v>
      </c>
      <c r="H644" s="193">
        <f>'Buildings - Grid Electricity'!B149</f>
        <v>0</v>
      </c>
      <c r="I644" s="193">
        <f>'Buildings - Grid Electricity'!C149</f>
        <v>0</v>
      </c>
      <c r="J644" s="193" t="str">
        <f>'Buildings - Grid Electricity'!D149</f>
        <v/>
      </c>
      <c r="K644" s="237"/>
      <c r="L644" s="237"/>
      <c r="M644" s="193" t="str">
        <f>'Buildings - Grid Electricity'!E149</f>
        <v/>
      </c>
      <c r="N644" s="193" t="str">
        <f>'Buildings - Grid Electricity'!F149</f>
        <v/>
      </c>
      <c r="O644" s="237"/>
      <c r="P644" s="193">
        <f>'Buildings - Grid Electricity'!G149</f>
        <v>0</v>
      </c>
      <c r="Q644" s="193" t="str">
        <f>'Buildings - Grid Electricity'!H149</f>
        <v/>
      </c>
      <c r="R644" s="193">
        <f>'Buildings - Grid Electricity'!I149</f>
        <v>0</v>
      </c>
      <c r="S644" s="193" t="str">
        <f>'Buildings - Grid Electricity'!J149</f>
        <v/>
      </c>
      <c r="T644" s="193" t="str">
        <f>'Buildings - Grid Electricity'!K149</f>
        <v/>
      </c>
      <c r="U644" s="193" t="str">
        <f>'Buildings - Grid Electricity'!L149</f>
        <v/>
      </c>
      <c r="V644" s="193" t="str">
        <f>'Buildings - Grid Electricity'!M149</f>
        <v/>
      </c>
      <c r="W644" s="193" t="str">
        <f>'Buildings - Grid Electricity'!N149</f>
        <v/>
      </c>
      <c r="X644" s="193">
        <f>'Buildings - Grid Electricity'!O149</f>
        <v>0</v>
      </c>
      <c r="Y644" s="193">
        <f>'Buildings - Grid Electricity'!P149</f>
        <v>0</v>
      </c>
      <c r="Z644" s="193" t="str">
        <f>'Buildings - Grid Electricity'!Q149</f>
        <v/>
      </c>
      <c r="AA644" s="193" t="str">
        <f>'Buildings - Grid Electricity'!R149</f>
        <v/>
      </c>
      <c r="AB644" s="193" t="str">
        <f>'Buildings - Grid Electricity'!S149</f>
        <v/>
      </c>
      <c r="AC644" s="193" t="str">
        <f>'Buildings - Grid Electricity'!T149</f>
        <v/>
      </c>
      <c r="AD644" s="193" t="str">
        <f>'Buildings - Grid Electricity'!U149</f>
        <v/>
      </c>
      <c r="AE644" s="193" t="str">
        <f>'Buildings - Grid Electricity'!V149</f>
        <v/>
      </c>
      <c r="AF644" s="193" t="str">
        <f>'Buildings - Grid Electricity'!W149</f>
        <v/>
      </c>
      <c r="AG644" s="193" t="str">
        <f>'Buildings - Grid Electricity'!X149</f>
        <v/>
      </c>
      <c r="AI644" s="193">
        <f t="shared" si="8"/>
        <v>0</v>
      </c>
      <c r="AJ644" s="193">
        <f t="shared" si="9"/>
        <v>0</v>
      </c>
    </row>
    <row r="645" spans="2:36" x14ac:dyDescent="0.35">
      <c r="B645" s="193" t="e">
        <f>"2024"&amp;MATCH(Totals!D645,OrgType,0)&amp;"_"&amp;MATCH(Totals!E645,Organisations,0)&amp;"_"&amp;LEFT(Totals!F645,1)&amp;"_"&amp;LEFT(G645,1)&amp;"_"&amp;COUNTIF($G$3:G645,G645)</f>
        <v>#N/A</v>
      </c>
      <c r="C645" s="193">
        <v>2025</v>
      </c>
      <c r="D645" s="193">
        <f>Introduction!$D$7</f>
        <v>0</v>
      </c>
      <c r="E645" s="193">
        <f>Introduction!$D$8</f>
        <v>0</v>
      </c>
      <c r="F645" s="193" t="s">
        <v>488</v>
      </c>
      <c r="G645" s="193" t="s">
        <v>171</v>
      </c>
      <c r="H645" s="193">
        <f>'Buildings - Grid Electricity'!B150</f>
        <v>0</v>
      </c>
      <c r="I645" s="193">
        <f>'Buildings - Grid Electricity'!C150</f>
        <v>0</v>
      </c>
      <c r="J645" s="193" t="str">
        <f>'Buildings - Grid Electricity'!D150</f>
        <v/>
      </c>
      <c r="K645" s="237"/>
      <c r="L645" s="237"/>
      <c r="M645" s="193" t="str">
        <f>'Buildings - Grid Electricity'!E150</f>
        <v/>
      </c>
      <c r="N645" s="193" t="str">
        <f>'Buildings - Grid Electricity'!F150</f>
        <v/>
      </c>
      <c r="O645" s="237"/>
      <c r="P645" s="193">
        <f>'Buildings - Grid Electricity'!G150</f>
        <v>0</v>
      </c>
      <c r="Q645" s="193" t="str">
        <f>'Buildings - Grid Electricity'!H150</f>
        <v/>
      </c>
      <c r="R645" s="193">
        <f>'Buildings - Grid Electricity'!I150</f>
        <v>0</v>
      </c>
      <c r="S645" s="193" t="str">
        <f>'Buildings - Grid Electricity'!J150</f>
        <v/>
      </c>
      <c r="T645" s="193" t="str">
        <f>'Buildings - Grid Electricity'!K150</f>
        <v/>
      </c>
      <c r="U645" s="193" t="str">
        <f>'Buildings - Grid Electricity'!L150</f>
        <v/>
      </c>
      <c r="V645" s="193" t="str">
        <f>'Buildings - Grid Electricity'!M150</f>
        <v/>
      </c>
      <c r="W645" s="193" t="str">
        <f>'Buildings - Grid Electricity'!N150</f>
        <v/>
      </c>
      <c r="X645" s="193">
        <f>'Buildings - Grid Electricity'!O150</f>
        <v>0</v>
      </c>
      <c r="Y645" s="193">
        <f>'Buildings - Grid Electricity'!P150</f>
        <v>0</v>
      </c>
      <c r="Z645" s="193" t="str">
        <f>'Buildings - Grid Electricity'!Q150</f>
        <v/>
      </c>
      <c r="AA645" s="193" t="str">
        <f>'Buildings - Grid Electricity'!R150</f>
        <v/>
      </c>
      <c r="AB645" s="193" t="str">
        <f>'Buildings - Grid Electricity'!S150</f>
        <v/>
      </c>
      <c r="AC645" s="193" t="str">
        <f>'Buildings - Grid Electricity'!T150</f>
        <v/>
      </c>
      <c r="AD645" s="193" t="str">
        <f>'Buildings - Grid Electricity'!U150</f>
        <v/>
      </c>
      <c r="AE645" s="193" t="str">
        <f>'Buildings - Grid Electricity'!V150</f>
        <v/>
      </c>
      <c r="AF645" s="193" t="str">
        <f>'Buildings - Grid Electricity'!W150</f>
        <v/>
      </c>
      <c r="AG645" s="193" t="str">
        <f>'Buildings - Grid Electricity'!X150</f>
        <v/>
      </c>
      <c r="AI645" s="193">
        <f t="shared" si="8"/>
        <v>0</v>
      </c>
      <c r="AJ645" s="193">
        <f t="shared" si="9"/>
        <v>0</v>
      </c>
    </row>
    <row r="646" spans="2:36" x14ac:dyDescent="0.35">
      <c r="B646" s="193" t="e">
        <f>"2024"&amp;MATCH(Totals!D646,OrgType,0)&amp;"_"&amp;MATCH(Totals!E646,Organisations,0)&amp;"_"&amp;LEFT(Totals!F646,1)&amp;"_"&amp;LEFT(G646,1)&amp;"_"&amp;COUNTIF($G$3:G646,G646)</f>
        <v>#N/A</v>
      </c>
      <c r="C646" s="193">
        <v>2025</v>
      </c>
      <c r="D646" s="193">
        <f>Introduction!$D$7</f>
        <v>0</v>
      </c>
      <c r="E646" s="193">
        <f>Introduction!$D$8</f>
        <v>0</v>
      </c>
      <c r="F646" s="193" t="s">
        <v>488</v>
      </c>
      <c r="G646" s="193" t="s">
        <v>171</v>
      </c>
      <c r="H646" s="193">
        <f>'Buildings - Grid Electricity'!B151</f>
        <v>0</v>
      </c>
      <c r="I646" s="193">
        <f>'Buildings - Grid Electricity'!C151</f>
        <v>0</v>
      </c>
      <c r="J646" s="193" t="str">
        <f>'Buildings - Grid Electricity'!D151</f>
        <v/>
      </c>
      <c r="K646" s="237"/>
      <c r="L646" s="237"/>
      <c r="M646" s="193" t="str">
        <f>'Buildings - Grid Electricity'!E151</f>
        <v/>
      </c>
      <c r="N646" s="193" t="str">
        <f>'Buildings - Grid Electricity'!F151</f>
        <v/>
      </c>
      <c r="O646" s="237"/>
      <c r="P646" s="193">
        <f>'Buildings - Grid Electricity'!G151</f>
        <v>0</v>
      </c>
      <c r="Q646" s="193" t="str">
        <f>'Buildings - Grid Electricity'!H151</f>
        <v/>
      </c>
      <c r="R646" s="193">
        <f>'Buildings - Grid Electricity'!I151</f>
        <v>0</v>
      </c>
      <c r="S646" s="193" t="str">
        <f>'Buildings - Grid Electricity'!J151</f>
        <v/>
      </c>
      <c r="T646" s="193" t="str">
        <f>'Buildings - Grid Electricity'!K151</f>
        <v/>
      </c>
      <c r="U646" s="193" t="str">
        <f>'Buildings - Grid Electricity'!L151</f>
        <v/>
      </c>
      <c r="V646" s="193" t="str">
        <f>'Buildings - Grid Electricity'!M151</f>
        <v/>
      </c>
      <c r="W646" s="193" t="str">
        <f>'Buildings - Grid Electricity'!N151</f>
        <v/>
      </c>
      <c r="X646" s="193">
        <f>'Buildings - Grid Electricity'!O151</f>
        <v>0</v>
      </c>
      <c r="Y646" s="193">
        <f>'Buildings - Grid Electricity'!P151</f>
        <v>0</v>
      </c>
      <c r="Z646" s="193" t="str">
        <f>'Buildings - Grid Electricity'!Q151</f>
        <v/>
      </c>
      <c r="AA646" s="193" t="str">
        <f>'Buildings - Grid Electricity'!R151</f>
        <v/>
      </c>
      <c r="AB646" s="193" t="str">
        <f>'Buildings - Grid Electricity'!S151</f>
        <v/>
      </c>
      <c r="AC646" s="193" t="str">
        <f>'Buildings - Grid Electricity'!T151</f>
        <v/>
      </c>
      <c r="AD646" s="193" t="str">
        <f>'Buildings - Grid Electricity'!U151</f>
        <v/>
      </c>
      <c r="AE646" s="193" t="str">
        <f>'Buildings - Grid Electricity'!V151</f>
        <v/>
      </c>
      <c r="AF646" s="193" t="str">
        <f>'Buildings - Grid Electricity'!W151</f>
        <v/>
      </c>
      <c r="AG646" s="193" t="str">
        <f>'Buildings - Grid Electricity'!X151</f>
        <v/>
      </c>
      <c r="AI646" s="193">
        <f t="shared" si="8"/>
        <v>0</v>
      </c>
      <c r="AJ646" s="193">
        <f t="shared" si="9"/>
        <v>0</v>
      </c>
    </row>
    <row r="647" spans="2:36" x14ac:dyDescent="0.35">
      <c r="B647" s="193" t="e">
        <f>"2024"&amp;MATCH(Totals!D647,OrgType,0)&amp;"_"&amp;MATCH(Totals!E647,Organisations,0)&amp;"_"&amp;LEFT(Totals!F647,1)&amp;"_"&amp;LEFT(G647,1)&amp;"_"&amp;COUNTIF($G$3:G647,G647)</f>
        <v>#N/A</v>
      </c>
      <c r="C647" s="193">
        <v>2025</v>
      </c>
      <c r="D647" s="193">
        <f>Introduction!$D$7</f>
        <v>0</v>
      </c>
      <c r="E647" s="193">
        <f>Introduction!$D$8</f>
        <v>0</v>
      </c>
      <c r="F647" s="193" t="s">
        <v>488</v>
      </c>
      <c r="G647" s="193" t="s">
        <v>171</v>
      </c>
      <c r="H647" s="193">
        <f>'Buildings - Grid Electricity'!B152</f>
        <v>0</v>
      </c>
      <c r="I647" s="193">
        <f>'Buildings - Grid Electricity'!C152</f>
        <v>0</v>
      </c>
      <c r="J647" s="193" t="str">
        <f>'Buildings - Grid Electricity'!D152</f>
        <v/>
      </c>
      <c r="K647" s="237"/>
      <c r="L647" s="237"/>
      <c r="M647" s="193" t="str">
        <f>'Buildings - Grid Electricity'!E152</f>
        <v/>
      </c>
      <c r="N647" s="193" t="str">
        <f>'Buildings - Grid Electricity'!F152</f>
        <v/>
      </c>
      <c r="O647" s="237"/>
      <c r="P647" s="193">
        <f>'Buildings - Grid Electricity'!G152</f>
        <v>0</v>
      </c>
      <c r="Q647" s="193" t="str">
        <f>'Buildings - Grid Electricity'!H152</f>
        <v/>
      </c>
      <c r="R647" s="193">
        <f>'Buildings - Grid Electricity'!I152</f>
        <v>0</v>
      </c>
      <c r="S647" s="193" t="str">
        <f>'Buildings - Grid Electricity'!J152</f>
        <v/>
      </c>
      <c r="T647" s="193" t="str">
        <f>'Buildings - Grid Electricity'!K152</f>
        <v/>
      </c>
      <c r="U647" s="193" t="str">
        <f>'Buildings - Grid Electricity'!L152</f>
        <v/>
      </c>
      <c r="V647" s="193" t="str">
        <f>'Buildings - Grid Electricity'!M152</f>
        <v/>
      </c>
      <c r="W647" s="193" t="str">
        <f>'Buildings - Grid Electricity'!N152</f>
        <v/>
      </c>
      <c r="X647" s="193">
        <f>'Buildings - Grid Electricity'!O152</f>
        <v>0</v>
      </c>
      <c r="Y647" s="193">
        <f>'Buildings - Grid Electricity'!P152</f>
        <v>0</v>
      </c>
      <c r="Z647" s="193" t="str">
        <f>'Buildings - Grid Electricity'!Q152</f>
        <v/>
      </c>
      <c r="AA647" s="193" t="str">
        <f>'Buildings - Grid Electricity'!R152</f>
        <v/>
      </c>
      <c r="AB647" s="193" t="str">
        <f>'Buildings - Grid Electricity'!S152</f>
        <v/>
      </c>
      <c r="AC647" s="193" t="str">
        <f>'Buildings - Grid Electricity'!T152</f>
        <v/>
      </c>
      <c r="AD647" s="193" t="str">
        <f>'Buildings - Grid Electricity'!U152</f>
        <v/>
      </c>
      <c r="AE647" s="193" t="str">
        <f>'Buildings - Grid Electricity'!V152</f>
        <v/>
      </c>
      <c r="AF647" s="193" t="str">
        <f>'Buildings - Grid Electricity'!W152</f>
        <v/>
      </c>
      <c r="AG647" s="193" t="str">
        <f>'Buildings - Grid Electricity'!X152</f>
        <v/>
      </c>
      <c r="AI647" s="193">
        <f t="shared" si="8"/>
        <v>0</v>
      </c>
      <c r="AJ647" s="193">
        <f t="shared" si="9"/>
        <v>0</v>
      </c>
    </row>
    <row r="648" spans="2:36" x14ac:dyDescent="0.35">
      <c r="B648" s="193" t="e">
        <f>"2024"&amp;MATCH(Totals!D648,OrgType,0)&amp;"_"&amp;MATCH(Totals!E648,Organisations,0)&amp;"_"&amp;LEFT(Totals!F648,1)&amp;"_"&amp;LEFT(G648,1)&amp;"_"&amp;COUNTIF($G$3:G648,G648)</f>
        <v>#N/A</v>
      </c>
      <c r="C648" s="193">
        <v>2025</v>
      </c>
      <c r="D648" s="193">
        <f>Introduction!$D$7</f>
        <v>0</v>
      </c>
      <c r="E648" s="193">
        <f>Introduction!$D$8</f>
        <v>0</v>
      </c>
      <c r="F648" s="193" t="s">
        <v>488</v>
      </c>
      <c r="G648" s="193" t="s">
        <v>171</v>
      </c>
      <c r="H648" s="193">
        <f>'Buildings - Grid Electricity'!B153</f>
        <v>0</v>
      </c>
      <c r="I648" s="193">
        <f>'Buildings - Grid Electricity'!C153</f>
        <v>0</v>
      </c>
      <c r="J648" s="193" t="str">
        <f>'Buildings - Grid Electricity'!D153</f>
        <v/>
      </c>
      <c r="K648" s="237"/>
      <c r="L648" s="237"/>
      <c r="M648" s="193" t="str">
        <f>'Buildings - Grid Electricity'!E153</f>
        <v/>
      </c>
      <c r="N648" s="193" t="str">
        <f>'Buildings - Grid Electricity'!F153</f>
        <v/>
      </c>
      <c r="O648" s="237"/>
      <c r="P648" s="193">
        <f>'Buildings - Grid Electricity'!G153</f>
        <v>0</v>
      </c>
      <c r="Q648" s="193" t="str">
        <f>'Buildings - Grid Electricity'!H153</f>
        <v/>
      </c>
      <c r="R648" s="193">
        <f>'Buildings - Grid Electricity'!I153</f>
        <v>0</v>
      </c>
      <c r="S648" s="193" t="str">
        <f>'Buildings - Grid Electricity'!J153</f>
        <v/>
      </c>
      <c r="T648" s="193" t="str">
        <f>'Buildings - Grid Electricity'!K153</f>
        <v/>
      </c>
      <c r="U648" s="193" t="str">
        <f>'Buildings - Grid Electricity'!L153</f>
        <v/>
      </c>
      <c r="V648" s="193" t="str">
        <f>'Buildings - Grid Electricity'!M153</f>
        <v/>
      </c>
      <c r="W648" s="193" t="str">
        <f>'Buildings - Grid Electricity'!N153</f>
        <v/>
      </c>
      <c r="X648" s="193">
        <f>'Buildings - Grid Electricity'!O153</f>
        <v>0</v>
      </c>
      <c r="Y648" s="193">
        <f>'Buildings - Grid Electricity'!P153</f>
        <v>0</v>
      </c>
      <c r="Z648" s="193" t="str">
        <f>'Buildings - Grid Electricity'!Q153</f>
        <v/>
      </c>
      <c r="AA648" s="193" t="str">
        <f>'Buildings - Grid Electricity'!R153</f>
        <v/>
      </c>
      <c r="AB648" s="193" t="str">
        <f>'Buildings - Grid Electricity'!S153</f>
        <v/>
      </c>
      <c r="AC648" s="193" t="str">
        <f>'Buildings - Grid Electricity'!T153</f>
        <v/>
      </c>
      <c r="AD648" s="193" t="str">
        <f>'Buildings - Grid Electricity'!U153</f>
        <v/>
      </c>
      <c r="AE648" s="193" t="str">
        <f>'Buildings - Grid Electricity'!V153</f>
        <v/>
      </c>
      <c r="AF648" s="193" t="str">
        <f>'Buildings - Grid Electricity'!W153</f>
        <v/>
      </c>
      <c r="AG648" s="193" t="str">
        <f>'Buildings - Grid Electricity'!X153</f>
        <v/>
      </c>
      <c r="AI648" s="193">
        <f t="shared" si="8"/>
        <v>0</v>
      </c>
      <c r="AJ648" s="193">
        <f t="shared" si="9"/>
        <v>0</v>
      </c>
    </row>
    <row r="649" spans="2:36" x14ac:dyDescent="0.35">
      <c r="B649" s="193" t="e">
        <f>"2024"&amp;MATCH(Totals!D649,OrgType,0)&amp;"_"&amp;MATCH(Totals!E649,Organisations,0)&amp;"_"&amp;LEFT(Totals!F649,1)&amp;"_"&amp;LEFT(G649,1)&amp;"_"&amp;COUNTIF($G$3:G649,G649)</f>
        <v>#N/A</v>
      </c>
      <c r="C649" s="193">
        <v>2025</v>
      </c>
      <c r="D649" s="193">
        <f>Introduction!$D$7</f>
        <v>0</v>
      </c>
      <c r="E649" s="193">
        <f>Introduction!$D$8</f>
        <v>0</v>
      </c>
      <c r="F649" s="193" t="s">
        <v>488</v>
      </c>
      <c r="G649" s="193" t="s">
        <v>171</v>
      </c>
      <c r="H649" s="193">
        <f>'Buildings - Grid Electricity'!B154</f>
        <v>0</v>
      </c>
      <c r="I649" s="193">
        <f>'Buildings - Grid Electricity'!C154</f>
        <v>0</v>
      </c>
      <c r="J649" s="193" t="str">
        <f>'Buildings - Grid Electricity'!D154</f>
        <v/>
      </c>
      <c r="K649" s="237"/>
      <c r="L649" s="237"/>
      <c r="M649" s="193" t="str">
        <f>'Buildings - Grid Electricity'!E154</f>
        <v/>
      </c>
      <c r="N649" s="193" t="str">
        <f>'Buildings - Grid Electricity'!F154</f>
        <v/>
      </c>
      <c r="O649" s="237"/>
      <c r="P649" s="193">
        <f>'Buildings - Grid Electricity'!G154</f>
        <v>0</v>
      </c>
      <c r="Q649" s="193" t="str">
        <f>'Buildings - Grid Electricity'!H154</f>
        <v/>
      </c>
      <c r="R649" s="193">
        <f>'Buildings - Grid Electricity'!I154</f>
        <v>0</v>
      </c>
      <c r="S649" s="193" t="str">
        <f>'Buildings - Grid Electricity'!J154</f>
        <v/>
      </c>
      <c r="T649" s="193" t="str">
        <f>'Buildings - Grid Electricity'!K154</f>
        <v/>
      </c>
      <c r="U649" s="193" t="str">
        <f>'Buildings - Grid Electricity'!L154</f>
        <v/>
      </c>
      <c r="V649" s="193" t="str">
        <f>'Buildings - Grid Electricity'!M154</f>
        <v/>
      </c>
      <c r="W649" s="193" t="str">
        <f>'Buildings - Grid Electricity'!N154</f>
        <v/>
      </c>
      <c r="X649" s="193">
        <f>'Buildings - Grid Electricity'!O154</f>
        <v>0</v>
      </c>
      <c r="Y649" s="193">
        <f>'Buildings - Grid Electricity'!P154</f>
        <v>0</v>
      </c>
      <c r="Z649" s="193" t="str">
        <f>'Buildings - Grid Electricity'!Q154</f>
        <v/>
      </c>
      <c r="AA649" s="193" t="str">
        <f>'Buildings - Grid Electricity'!R154</f>
        <v/>
      </c>
      <c r="AB649" s="193" t="str">
        <f>'Buildings - Grid Electricity'!S154</f>
        <v/>
      </c>
      <c r="AC649" s="193" t="str">
        <f>'Buildings - Grid Electricity'!T154</f>
        <v/>
      </c>
      <c r="AD649" s="193" t="str">
        <f>'Buildings - Grid Electricity'!U154</f>
        <v/>
      </c>
      <c r="AE649" s="193" t="str">
        <f>'Buildings - Grid Electricity'!V154</f>
        <v/>
      </c>
      <c r="AF649" s="193" t="str">
        <f>'Buildings - Grid Electricity'!W154</f>
        <v/>
      </c>
      <c r="AG649" s="193" t="str">
        <f>'Buildings - Grid Electricity'!X154</f>
        <v/>
      </c>
      <c r="AI649" s="193">
        <f t="shared" si="8"/>
        <v>0</v>
      </c>
      <c r="AJ649" s="193">
        <f t="shared" si="9"/>
        <v>0</v>
      </c>
    </row>
    <row r="650" spans="2:36" x14ac:dyDescent="0.35">
      <c r="B650" s="193" t="e">
        <f>"2024"&amp;MATCH(Totals!D650,OrgType,0)&amp;"_"&amp;MATCH(Totals!E650,Organisations,0)&amp;"_"&amp;LEFT(Totals!F650,1)&amp;"_"&amp;LEFT(G650,1)&amp;"_"&amp;COUNTIF($G$3:G650,G650)</f>
        <v>#N/A</v>
      </c>
      <c r="C650" s="193">
        <v>2025</v>
      </c>
      <c r="D650" s="193">
        <f>Introduction!$D$7</f>
        <v>0</v>
      </c>
      <c r="E650" s="193">
        <f>Introduction!$D$8</f>
        <v>0</v>
      </c>
      <c r="F650" s="193" t="s">
        <v>488</v>
      </c>
      <c r="G650" s="193" t="s">
        <v>171</v>
      </c>
      <c r="H650" s="193">
        <f>'Buildings - Grid Electricity'!B155</f>
        <v>0</v>
      </c>
      <c r="I650" s="193">
        <f>'Buildings - Grid Electricity'!C155</f>
        <v>0</v>
      </c>
      <c r="J650" s="193" t="str">
        <f>'Buildings - Grid Electricity'!D155</f>
        <v/>
      </c>
      <c r="K650" s="237"/>
      <c r="L650" s="237"/>
      <c r="M650" s="193" t="str">
        <f>'Buildings - Grid Electricity'!E155</f>
        <v/>
      </c>
      <c r="N650" s="193" t="str">
        <f>'Buildings - Grid Electricity'!F155</f>
        <v/>
      </c>
      <c r="O650" s="237"/>
      <c r="P650" s="193">
        <f>'Buildings - Grid Electricity'!G155</f>
        <v>0</v>
      </c>
      <c r="Q650" s="193" t="str">
        <f>'Buildings - Grid Electricity'!H155</f>
        <v/>
      </c>
      <c r="R650" s="193">
        <f>'Buildings - Grid Electricity'!I155</f>
        <v>0</v>
      </c>
      <c r="S650" s="193" t="str">
        <f>'Buildings - Grid Electricity'!J155</f>
        <v/>
      </c>
      <c r="T650" s="193" t="str">
        <f>'Buildings - Grid Electricity'!K155</f>
        <v/>
      </c>
      <c r="U650" s="193" t="str">
        <f>'Buildings - Grid Electricity'!L155</f>
        <v/>
      </c>
      <c r="V650" s="193" t="str">
        <f>'Buildings - Grid Electricity'!M155</f>
        <v/>
      </c>
      <c r="W650" s="193" t="str">
        <f>'Buildings - Grid Electricity'!N155</f>
        <v/>
      </c>
      <c r="X650" s="193">
        <f>'Buildings - Grid Electricity'!O155</f>
        <v>0</v>
      </c>
      <c r="Y650" s="193">
        <f>'Buildings - Grid Electricity'!P155</f>
        <v>0</v>
      </c>
      <c r="Z650" s="193" t="str">
        <f>'Buildings - Grid Electricity'!Q155</f>
        <v/>
      </c>
      <c r="AA650" s="193" t="str">
        <f>'Buildings - Grid Electricity'!R155</f>
        <v/>
      </c>
      <c r="AB650" s="193" t="str">
        <f>'Buildings - Grid Electricity'!S155</f>
        <v/>
      </c>
      <c r="AC650" s="193" t="str">
        <f>'Buildings - Grid Electricity'!T155</f>
        <v/>
      </c>
      <c r="AD650" s="193" t="str">
        <f>'Buildings - Grid Electricity'!U155</f>
        <v/>
      </c>
      <c r="AE650" s="193" t="str">
        <f>'Buildings - Grid Electricity'!V155</f>
        <v/>
      </c>
      <c r="AF650" s="193" t="str">
        <f>'Buildings - Grid Electricity'!W155</f>
        <v/>
      </c>
      <c r="AG650" s="193" t="str">
        <f>'Buildings - Grid Electricity'!X155</f>
        <v/>
      </c>
      <c r="AI650" s="193">
        <f t="shared" si="8"/>
        <v>0</v>
      </c>
      <c r="AJ650" s="193">
        <f t="shared" si="9"/>
        <v>0</v>
      </c>
    </row>
    <row r="651" spans="2:36" x14ac:dyDescent="0.35">
      <c r="B651" s="193" t="e">
        <f>"2024"&amp;MATCH(Totals!D651,OrgType,0)&amp;"_"&amp;MATCH(Totals!E651,Organisations,0)&amp;"_"&amp;LEFT(Totals!F651,1)&amp;"_"&amp;LEFT(G651,1)&amp;"_"&amp;COUNTIF($G$3:G651,G651)</f>
        <v>#N/A</v>
      </c>
      <c r="C651" s="193">
        <v>2025</v>
      </c>
      <c r="D651" s="193">
        <f>Introduction!$D$7</f>
        <v>0</v>
      </c>
      <c r="E651" s="193">
        <f>Introduction!$D$8</f>
        <v>0</v>
      </c>
      <c r="F651" s="193" t="s">
        <v>488</v>
      </c>
      <c r="G651" s="193" t="s">
        <v>171</v>
      </c>
      <c r="H651" s="193">
        <f>'Buildings - Grid Electricity'!B156</f>
        <v>0</v>
      </c>
      <c r="I651" s="193">
        <f>'Buildings - Grid Electricity'!C156</f>
        <v>0</v>
      </c>
      <c r="J651" s="193" t="str">
        <f>'Buildings - Grid Electricity'!D156</f>
        <v/>
      </c>
      <c r="K651" s="237"/>
      <c r="L651" s="237"/>
      <c r="M651" s="193" t="str">
        <f>'Buildings - Grid Electricity'!E156</f>
        <v/>
      </c>
      <c r="N651" s="193" t="str">
        <f>'Buildings - Grid Electricity'!F156</f>
        <v/>
      </c>
      <c r="O651" s="237"/>
      <c r="P651" s="193">
        <f>'Buildings - Grid Electricity'!G156</f>
        <v>0</v>
      </c>
      <c r="Q651" s="193" t="str">
        <f>'Buildings - Grid Electricity'!H156</f>
        <v/>
      </c>
      <c r="R651" s="193">
        <f>'Buildings - Grid Electricity'!I156</f>
        <v>0</v>
      </c>
      <c r="S651" s="193" t="str">
        <f>'Buildings - Grid Electricity'!J156</f>
        <v/>
      </c>
      <c r="T651" s="193" t="str">
        <f>'Buildings - Grid Electricity'!K156</f>
        <v/>
      </c>
      <c r="U651" s="193" t="str">
        <f>'Buildings - Grid Electricity'!L156</f>
        <v/>
      </c>
      <c r="V651" s="193" t="str">
        <f>'Buildings - Grid Electricity'!M156</f>
        <v/>
      </c>
      <c r="W651" s="193" t="str">
        <f>'Buildings - Grid Electricity'!N156</f>
        <v/>
      </c>
      <c r="X651" s="193">
        <f>'Buildings - Grid Electricity'!O156</f>
        <v>0</v>
      </c>
      <c r="Y651" s="193">
        <f>'Buildings - Grid Electricity'!P156</f>
        <v>0</v>
      </c>
      <c r="Z651" s="193" t="str">
        <f>'Buildings - Grid Electricity'!Q156</f>
        <v/>
      </c>
      <c r="AA651" s="193" t="str">
        <f>'Buildings - Grid Electricity'!R156</f>
        <v/>
      </c>
      <c r="AB651" s="193" t="str">
        <f>'Buildings - Grid Electricity'!S156</f>
        <v/>
      </c>
      <c r="AC651" s="193" t="str">
        <f>'Buildings - Grid Electricity'!T156</f>
        <v/>
      </c>
      <c r="AD651" s="193" t="str">
        <f>'Buildings - Grid Electricity'!U156</f>
        <v/>
      </c>
      <c r="AE651" s="193" t="str">
        <f>'Buildings - Grid Electricity'!V156</f>
        <v/>
      </c>
      <c r="AF651" s="193" t="str">
        <f>'Buildings - Grid Electricity'!W156</f>
        <v/>
      </c>
      <c r="AG651" s="193" t="str">
        <f>'Buildings - Grid Electricity'!X156</f>
        <v/>
      </c>
      <c r="AI651" s="193">
        <f t="shared" si="8"/>
        <v>0</v>
      </c>
      <c r="AJ651" s="193">
        <f t="shared" si="9"/>
        <v>0</v>
      </c>
    </row>
    <row r="652" spans="2:36" x14ac:dyDescent="0.35">
      <c r="B652" s="193" t="e">
        <f>"2024"&amp;MATCH(Totals!D652,OrgType,0)&amp;"_"&amp;MATCH(Totals!E652,Organisations,0)&amp;"_"&amp;LEFT(Totals!F652,1)&amp;"_"&amp;LEFT(G652,1)&amp;"_"&amp;COUNTIF($G$3:G652,G652)</f>
        <v>#N/A</v>
      </c>
      <c r="C652" s="193">
        <v>2025</v>
      </c>
      <c r="D652" s="193">
        <f>Introduction!$D$7</f>
        <v>0</v>
      </c>
      <c r="E652" s="193">
        <f>Introduction!$D$8</f>
        <v>0</v>
      </c>
      <c r="F652" s="193" t="s">
        <v>488</v>
      </c>
      <c r="G652" s="193" t="s">
        <v>171</v>
      </c>
      <c r="H652" s="193">
        <f>'Buildings - Grid Electricity'!B157</f>
        <v>0</v>
      </c>
      <c r="I652" s="193">
        <f>'Buildings - Grid Electricity'!C157</f>
        <v>0</v>
      </c>
      <c r="J652" s="193" t="str">
        <f>'Buildings - Grid Electricity'!D157</f>
        <v/>
      </c>
      <c r="K652" s="237"/>
      <c r="L652" s="237"/>
      <c r="M652" s="193" t="str">
        <f>'Buildings - Grid Electricity'!E157</f>
        <v/>
      </c>
      <c r="N652" s="193" t="str">
        <f>'Buildings - Grid Electricity'!F157</f>
        <v/>
      </c>
      <c r="O652" s="237"/>
      <c r="P652" s="193">
        <f>'Buildings - Grid Electricity'!G157</f>
        <v>0</v>
      </c>
      <c r="Q652" s="193" t="str">
        <f>'Buildings - Grid Electricity'!H157</f>
        <v/>
      </c>
      <c r="R652" s="193">
        <f>'Buildings - Grid Electricity'!I157</f>
        <v>0</v>
      </c>
      <c r="S652" s="193" t="str">
        <f>'Buildings - Grid Electricity'!J157</f>
        <v/>
      </c>
      <c r="T652" s="193" t="str">
        <f>'Buildings - Grid Electricity'!K157</f>
        <v/>
      </c>
      <c r="U652" s="193" t="str">
        <f>'Buildings - Grid Electricity'!L157</f>
        <v/>
      </c>
      <c r="V652" s="193" t="str">
        <f>'Buildings - Grid Electricity'!M157</f>
        <v/>
      </c>
      <c r="W652" s="193" t="str">
        <f>'Buildings - Grid Electricity'!N157</f>
        <v/>
      </c>
      <c r="X652" s="193">
        <f>'Buildings - Grid Electricity'!O157</f>
        <v>0</v>
      </c>
      <c r="Y652" s="193">
        <f>'Buildings - Grid Electricity'!P157</f>
        <v>0</v>
      </c>
      <c r="Z652" s="193" t="str">
        <f>'Buildings - Grid Electricity'!Q157</f>
        <v/>
      </c>
      <c r="AA652" s="193" t="str">
        <f>'Buildings - Grid Electricity'!R157</f>
        <v/>
      </c>
      <c r="AB652" s="193" t="str">
        <f>'Buildings - Grid Electricity'!S157</f>
        <v/>
      </c>
      <c r="AC652" s="193" t="str">
        <f>'Buildings - Grid Electricity'!T157</f>
        <v/>
      </c>
      <c r="AD652" s="193" t="str">
        <f>'Buildings - Grid Electricity'!U157</f>
        <v/>
      </c>
      <c r="AE652" s="193" t="str">
        <f>'Buildings - Grid Electricity'!V157</f>
        <v/>
      </c>
      <c r="AF652" s="193" t="str">
        <f>'Buildings - Grid Electricity'!W157</f>
        <v/>
      </c>
      <c r="AG652" s="193" t="str">
        <f>'Buildings - Grid Electricity'!X157</f>
        <v/>
      </c>
      <c r="AI652" s="193">
        <f t="shared" si="8"/>
        <v>0</v>
      </c>
      <c r="AJ652" s="193">
        <f t="shared" si="9"/>
        <v>0</v>
      </c>
    </row>
    <row r="653" spans="2:36" x14ac:dyDescent="0.35">
      <c r="B653" s="193" t="e">
        <f>"2024"&amp;MATCH(Totals!D653,OrgType,0)&amp;"_"&amp;MATCH(Totals!E653,Organisations,0)&amp;"_"&amp;LEFT(Totals!F653,1)&amp;"_"&amp;LEFT(G653,1)&amp;"_"&amp;COUNTIF($G$3:G653,G653)</f>
        <v>#N/A</v>
      </c>
      <c r="C653" s="193">
        <v>2025</v>
      </c>
      <c r="D653" s="193">
        <f>Introduction!$D$7</f>
        <v>0</v>
      </c>
      <c r="E653" s="193">
        <f>Introduction!$D$8</f>
        <v>0</v>
      </c>
      <c r="F653" s="193" t="s">
        <v>488</v>
      </c>
      <c r="G653" s="193" t="s">
        <v>171</v>
      </c>
      <c r="H653" s="193">
        <f>'Buildings - Grid Electricity'!B158</f>
        <v>0</v>
      </c>
      <c r="I653" s="193">
        <f>'Buildings - Grid Electricity'!C158</f>
        <v>0</v>
      </c>
      <c r="J653" s="193" t="str">
        <f>'Buildings - Grid Electricity'!D158</f>
        <v/>
      </c>
      <c r="K653" s="237"/>
      <c r="L653" s="237"/>
      <c r="M653" s="193" t="str">
        <f>'Buildings - Grid Electricity'!E158</f>
        <v/>
      </c>
      <c r="N653" s="193" t="str">
        <f>'Buildings - Grid Electricity'!F158</f>
        <v/>
      </c>
      <c r="O653" s="237"/>
      <c r="P653" s="193">
        <f>'Buildings - Grid Electricity'!G158</f>
        <v>0</v>
      </c>
      <c r="Q653" s="193" t="str">
        <f>'Buildings - Grid Electricity'!H158</f>
        <v/>
      </c>
      <c r="R653" s="193">
        <f>'Buildings - Grid Electricity'!I158</f>
        <v>0</v>
      </c>
      <c r="S653" s="193" t="str">
        <f>'Buildings - Grid Electricity'!J158</f>
        <v/>
      </c>
      <c r="T653" s="193" t="str">
        <f>'Buildings - Grid Electricity'!K158</f>
        <v/>
      </c>
      <c r="U653" s="193" t="str">
        <f>'Buildings - Grid Electricity'!L158</f>
        <v/>
      </c>
      <c r="V653" s="193" t="str">
        <f>'Buildings - Grid Electricity'!M158</f>
        <v/>
      </c>
      <c r="W653" s="193" t="str">
        <f>'Buildings - Grid Electricity'!N158</f>
        <v/>
      </c>
      <c r="X653" s="193">
        <f>'Buildings - Grid Electricity'!O158</f>
        <v>0</v>
      </c>
      <c r="Y653" s="193">
        <f>'Buildings - Grid Electricity'!P158</f>
        <v>0</v>
      </c>
      <c r="Z653" s="193" t="str">
        <f>'Buildings - Grid Electricity'!Q158</f>
        <v/>
      </c>
      <c r="AA653" s="193" t="str">
        <f>'Buildings - Grid Electricity'!R158</f>
        <v/>
      </c>
      <c r="AB653" s="193" t="str">
        <f>'Buildings - Grid Electricity'!S158</f>
        <v/>
      </c>
      <c r="AC653" s="193" t="str">
        <f>'Buildings - Grid Electricity'!T158</f>
        <v/>
      </c>
      <c r="AD653" s="193" t="str">
        <f>'Buildings - Grid Electricity'!U158</f>
        <v/>
      </c>
      <c r="AE653" s="193" t="str">
        <f>'Buildings - Grid Electricity'!V158</f>
        <v/>
      </c>
      <c r="AF653" s="193" t="str">
        <f>'Buildings - Grid Electricity'!W158</f>
        <v/>
      </c>
      <c r="AG653" s="193" t="str">
        <f>'Buildings - Grid Electricity'!X158</f>
        <v/>
      </c>
      <c r="AI653" s="193">
        <f t="shared" si="8"/>
        <v>0</v>
      </c>
      <c r="AJ653" s="193">
        <f t="shared" si="9"/>
        <v>0</v>
      </c>
    </row>
    <row r="654" spans="2:36" x14ac:dyDescent="0.35">
      <c r="B654" s="193" t="e">
        <f>"2024"&amp;MATCH(Totals!D654,OrgType,0)&amp;"_"&amp;MATCH(Totals!E654,Organisations,0)&amp;"_"&amp;LEFT(Totals!F654,1)&amp;"_"&amp;LEFT(G654,1)&amp;"_"&amp;COUNTIF($G$3:G654,G654)</f>
        <v>#N/A</v>
      </c>
      <c r="C654" s="193">
        <v>2025</v>
      </c>
      <c r="D654" s="193">
        <f>Introduction!$D$7</f>
        <v>0</v>
      </c>
      <c r="E654" s="193">
        <f>Introduction!$D$8</f>
        <v>0</v>
      </c>
      <c r="F654" s="193" t="s">
        <v>488</v>
      </c>
      <c r="G654" s="193" t="s">
        <v>171</v>
      </c>
      <c r="H654" s="193">
        <f>'Buildings - Grid Electricity'!B159</f>
        <v>0</v>
      </c>
      <c r="I654" s="193">
        <f>'Buildings - Grid Electricity'!C159</f>
        <v>0</v>
      </c>
      <c r="J654" s="193" t="str">
        <f>'Buildings - Grid Electricity'!D159</f>
        <v/>
      </c>
      <c r="K654" s="237"/>
      <c r="L654" s="237"/>
      <c r="M654" s="193" t="str">
        <f>'Buildings - Grid Electricity'!E159</f>
        <v/>
      </c>
      <c r="N654" s="193" t="str">
        <f>'Buildings - Grid Electricity'!F159</f>
        <v/>
      </c>
      <c r="O654" s="237"/>
      <c r="P654" s="193">
        <f>'Buildings - Grid Electricity'!G159</f>
        <v>0</v>
      </c>
      <c r="Q654" s="193" t="str">
        <f>'Buildings - Grid Electricity'!H159</f>
        <v/>
      </c>
      <c r="R654" s="193">
        <f>'Buildings - Grid Electricity'!I159</f>
        <v>0</v>
      </c>
      <c r="S654" s="193" t="str">
        <f>'Buildings - Grid Electricity'!J159</f>
        <v/>
      </c>
      <c r="T654" s="193" t="str">
        <f>'Buildings - Grid Electricity'!K159</f>
        <v/>
      </c>
      <c r="U654" s="193" t="str">
        <f>'Buildings - Grid Electricity'!L159</f>
        <v/>
      </c>
      <c r="V654" s="193" t="str">
        <f>'Buildings - Grid Electricity'!M159</f>
        <v/>
      </c>
      <c r="W654" s="193" t="str">
        <f>'Buildings - Grid Electricity'!N159</f>
        <v/>
      </c>
      <c r="X654" s="193">
        <f>'Buildings - Grid Electricity'!O159</f>
        <v>0</v>
      </c>
      <c r="Y654" s="193">
        <f>'Buildings - Grid Electricity'!P159</f>
        <v>0</v>
      </c>
      <c r="Z654" s="193" t="str">
        <f>'Buildings - Grid Electricity'!Q159</f>
        <v/>
      </c>
      <c r="AA654" s="193" t="str">
        <f>'Buildings - Grid Electricity'!R159</f>
        <v/>
      </c>
      <c r="AB654" s="193" t="str">
        <f>'Buildings - Grid Electricity'!S159</f>
        <v/>
      </c>
      <c r="AC654" s="193" t="str">
        <f>'Buildings - Grid Electricity'!T159</f>
        <v/>
      </c>
      <c r="AD654" s="193" t="str">
        <f>'Buildings - Grid Electricity'!U159</f>
        <v/>
      </c>
      <c r="AE654" s="193" t="str">
        <f>'Buildings - Grid Electricity'!V159</f>
        <v/>
      </c>
      <c r="AF654" s="193" t="str">
        <f>'Buildings - Grid Electricity'!W159</f>
        <v/>
      </c>
      <c r="AG654" s="193" t="str">
        <f>'Buildings - Grid Electricity'!X159</f>
        <v/>
      </c>
      <c r="AI654" s="193">
        <f t="shared" si="8"/>
        <v>0</v>
      </c>
      <c r="AJ654" s="193">
        <f t="shared" si="9"/>
        <v>0</v>
      </c>
    </row>
    <row r="655" spans="2:36" x14ac:dyDescent="0.35">
      <c r="B655" s="193" t="e">
        <f>"2024"&amp;MATCH(Totals!D655,OrgType,0)&amp;"_"&amp;MATCH(Totals!E655,Organisations,0)&amp;"_"&amp;LEFT(Totals!F655,1)&amp;"_"&amp;LEFT(G655,1)&amp;"_"&amp;COUNTIF($G$3:G655,G655)</f>
        <v>#N/A</v>
      </c>
      <c r="C655" s="193">
        <v>2025</v>
      </c>
      <c r="D655" s="193">
        <f>Introduction!$D$7</f>
        <v>0</v>
      </c>
      <c r="E655" s="193">
        <f>Introduction!$D$8</f>
        <v>0</v>
      </c>
      <c r="F655" s="193" t="s">
        <v>488</v>
      </c>
      <c r="G655" s="193" t="s">
        <v>171</v>
      </c>
      <c r="H655" s="193">
        <f>'Buildings - Grid Electricity'!B160</f>
        <v>0</v>
      </c>
      <c r="I655" s="193">
        <f>'Buildings - Grid Electricity'!C160</f>
        <v>0</v>
      </c>
      <c r="J655" s="193" t="str">
        <f>'Buildings - Grid Electricity'!D160</f>
        <v/>
      </c>
      <c r="K655" s="237"/>
      <c r="L655" s="237"/>
      <c r="M655" s="193" t="str">
        <f>'Buildings - Grid Electricity'!E160</f>
        <v/>
      </c>
      <c r="N655" s="193" t="str">
        <f>'Buildings - Grid Electricity'!F160</f>
        <v/>
      </c>
      <c r="O655" s="237"/>
      <c r="P655" s="193">
        <f>'Buildings - Grid Electricity'!G160</f>
        <v>0</v>
      </c>
      <c r="Q655" s="193" t="str">
        <f>'Buildings - Grid Electricity'!H160</f>
        <v/>
      </c>
      <c r="R655" s="193">
        <f>'Buildings - Grid Electricity'!I160</f>
        <v>0</v>
      </c>
      <c r="S655" s="193" t="str">
        <f>'Buildings - Grid Electricity'!J160</f>
        <v/>
      </c>
      <c r="T655" s="193" t="str">
        <f>'Buildings - Grid Electricity'!K160</f>
        <v/>
      </c>
      <c r="U655" s="193" t="str">
        <f>'Buildings - Grid Electricity'!L160</f>
        <v/>
      </c>
      <c r="V655" s="193" t="str">
        <f>'Buildings - Grid Electricity'!M160</f>
        <v/>
      </c>
      <c r="W655" s="193" t="str">
        <f>'Buildings - Grid Electricity'!N160</f>
        <v/>
      </c>
      <c r="X655" s="193">
        <f>'Buildings - Grid Electricity'!O160</f>
        <v>0</v>
      </c>
      <c r="Y655" s="193">
        <f>'Buildings - Grid Electricity'!P160</f>
        <v>0</v>
      </c>
      <c r="Z655" s="193" t="str">
        <f>'Buildings - Grid Electricity'!Q160</f>
        <v/>
      </c>
      <c r="AA655" s="193" t="str">
        <f>'Buildings - Grid Electricity'!R160</f>
        <v/>
      </c>
      <c r="AB655" s="193" t="str">
        <f>'Buildings - Grid Electricity'!S160</f>
        <v/>
      </c>
      <c r="AC655" s="193" t="str">
        <f>'Buildings - Grid Electricity'!T160</f>
        <v/>
      </c>
      <c r="AD655" s="193" t="str">
        <f>'Buildings - Grid Electricity'!U160</f>
        <v/>
      </c>
      <c r="AE655" s="193" t="str">
        <f>'Buildings - Grid Electricity'!V160</f>
        <v/>
      </c>
      <c r="AF655" s="193" t="str">
        <f>'Buildings - Grid Electricity'!W160</f>
        <v/>
      </c>
      <c r="AG655" s="193" t="str">
        <f>'Buildings - Grid Electricity'!X160</f>
        <v/>
      </c>
      <c r="AI655" s="193">
        <f t="shared" si="8"/>
        <v>0</v>
      </c>
      <c r="AJ655" s="193">
        <f t="shared" si="9"/>
        <v>0</v>
      </c>
    </row>
    <row r="656" spans="2:36" x14ac:dyDescent="0.35">
      <c r="B656" s="193" t="e">
        <f>"2024"&amp;MATCH(Totals!D656,OrgType,0)&amp;"_"&amp;MATCH(Totals!E656,Organisations,0)&amp;"_"&amp;LEFT(Totals!F656,1)&amp;"_"&amp;LEFT(G656,1)&amp;"_"&amp;COUNTIF($G$3:G656,G656)</f>
        <v>#N/A</v>
      </c>
      <c r="C656" s="193">
        <v>2025</v>
      </c>
      <c r="D656" s="193">
        <f>Introduction!$D$7</f>
        <v>0</v>
      </c>
      <c r="E656" s="193">
        <f>Introduction!$D$8</f>
        <v>0</v>
      </c>
      <c r="F656" s="193" t="s">
        <v>488</v>
      </c>
      <c r="G656" s="193" t="s">
        <v>171</v>
      </c>
      <c r="H656" s="193">
        <f>'Buildings - Grid Electricity'!B161</f>
        <v>0</v>
      </c>
      <c r="I656" s="193">
        <f>'Buildings - Grid Electricity'!C161</f>
        <v>0</v>
      </c>
      <c r="J656" s="193" t="str">
        <f>'Buildings - Grid Electricity'!D161</f>
        <v/>
      </c>
      <c r="K656" s="237"/>
      <c r="L656" s="237"/>
      <c r="M656" s="193" t="str">
        <f>'Buildings - Grid Electricity'!E161</f>
        <v/>
      </c>
      <c r="N656" s="193" t="str">
        <f>'Buildings - Grid Electricity'!F161</f>
        <v/>
      </c>
      <c r="O656" s="237"/>
      <c r="P656" s="193">
        <f>'Buildings - Grid Electricity'!G161</f>
        <v>0</v>
      </c>
      <c r="Q656" s="193" t="str">
        <f>'Buildings - Grid Electricity'!H161</f>
        <v/>
      </c>
      <c r="R656" s="193">
        <f>'Buildings - Grid Electricity'!I161</f>
        <v>0</v>
      </c>
      <c r="S656" s="193" t="str">
        <f>'Buildings - Grid Electricity'!J161</f>
        <v/>
      </c>
      <c r="T656" s="193" t="str">
        <f>'Buildings - Grid Electricity'!K161</f>
        <v/>
      </c>
      <c r="U656" s="193" t="str">
        <f>'Buildings - Grid Electricity'!L161</f>
        <v/>
      </c>
      <c r="V656" s="193" t="str">
        <f>'Buildings - Grid Electricity'!M161</f>
        <v/>
      </c>
      <c r="W656" s="193" t="str">
        <f>'Buildings - Grid Electricity'!N161</f>
        <v/>
      </c>
      <c r="X656" s="193">
        <f>'Buildings - Grid Electricity'!O161</f>
        <v>0</v>
      </c>
      <c r="Y656" s="193">
        <f>'Buildings - Grid Electricity'!P161</f>
        <v>0</v>
      </c>
      <c r="Z656" s="193" t="str">
        <f>'Buildings - Grid Electricity'!Q161</f>
        <v/>
      </c>
      <c r="AA656" s="193" t="str">
        <f>'Buildings - Grid Electricity'!R161</f>
        <v/>
      </c>
      <c r="AB656" s="193" t="str">
        <f>'Buildings - Grid Electricity'!S161</f>
        <v/>
      </c>
      <c r="AC656" s="193" t="str">
        <f>'Buildings - Grid Electricity'!T161</f>
        <v/>
      </c>
      <c r="AD656" s="193" t="str">
        <f>'Buildings - Grid Electricity'!U161</f>
        <v/>
      </c>
      <c r="AE656" s="193" t="str">
        <f>'Buildings - Grid Electricity'!V161</f>
        <v/>
      </c>
      <c r="AF656" s="193" t="str">
        <f>'Buildings - Grid Electricity'!W161</f>
        <v/>
      </c>
      <c r="AG656" s="193" t="str">
        <f>'Buildings - Grid Electricity'!X161</f>
        <v/>
      </c>
      <c r="AI656" s="193">
        <f t="shared" si="8"/>
        <v>0</v>
      </c>
      <c r="AJ656" s="193">
        <f t="shared" si="9"/>
        <v>0</v>
      </c>
    </row>
    <row r="657" spans="2:36" x14ac:dyDescent="0.35">
      <c r="B657" s="193" t="e">
        <f>"2024"&amp;MATCH(Totals!D657,OrgType,0)&amp;"_"&amp;MATCH(Totals!E657,Organisations,0)&amp;"_"&amp;LEFT(Totals!F657,1)&amp;"_"&amp;LEFT(G657,1)&amp;"_"&amp;COUNTIF($G$3:G657,G657)</f>
        <v>#N/A</v>
      </c>
      <c r="C657" s="193">
        <v>2025</v>
      </c>
      <c r="D657" s="193">
        <f>Introduction!$D$7</f>
        <v>0</v>
      </c>
      <c r="E657" s="193">
        <f>Introduction!$D$8</f>
        <v>0</v>
      </c>
      <c r="F657" s="193" t="s">
        <v>488</v>
      </c>
      <c r="G657" s="193" t="s">
        <v>171</v>
      </c>
      <c r="H657" s="193">
        <f>'Buildings - Grid Electricity'!B162</f>
        <v>0</v>
      </c>
      <c r="I657" s="193">
        <f>'Buildings - Grid Electricity'!C162</f>
        <v>0</v>
      </c>
      <c r="J657" s="193" t="str">
        <f>'Buildings - Grid Electricity'!D162</f>
        <v/>
      </c>
      <c r="K657" s="237"/>
      <c r="L657" s="237"/>
      <c r="M657" s="193" t="str">
        <f>'Buildings - Grid Electricity'!E162</f>
        <v/>
      </c>
      <c r="N657" s="193" t="str">
        <f>'Buildings - Grid Electricity'!F162</f>
        <v/>
      </c>
      <c r="O657" s="237"/>
      <c r="P657" s="193">
        <f>'Buildings - Grid Electricity'!G162</f>
        <v>0</v>
      </c>
      <c r="Q657" s="193" t="str">
        <f>'Buildings - Grid Electricity'!H162</f>
        <v/>
      </c>
      <c r="R657" s="193">
        <f>'Buildings - Grid Electricity'!I162</f>
        <v>0</v>
      </c>
      <c r="S657" s="193" t="str">
        <f>'Buildings - Grid Electricity'!J162</f>
        <v/>
      </c>
      <c r="T657" s="193" t="str">
        <f>'Buildings - Grid Electricity'!K162</f>
        <v/>
      </c>
      <c r="U657" s="193" t="str">
        <f>'Buildings - Grid Electricity'!L162</f>
        <v/>
      </c>
      <c r="V657" s="193" t="str">
        <f>'Buildings - Grid Electricity'!M162</f>
        <v/>
      </c>
      <c r="W657" s="193" t="str">
        <f>'Buildings - Grid Electricity'!N162</f>
        <v/>
      </c>
      <c r="X657" s="193">
        <f>'Buildings - Grid Electricity'!O162</f>
        <v>0</v>
      </c>
      <c r="Y657" s="193">
        <f>'Buildings - Grid Electricity'!P162</f>
        <v>0</v>
      </c>
      <c r="Z657" s="193" t="str">
        <f>'Buildings - Grid Electricity'!Q162</f>
        <v/>
      </c>
      <c r="AA657" s="193" t="str">
        <f>'Buildings - Grid Electricity'!R162</f>
        <v/>
      </c>
      <c r="AB657" s="193" t="str">
        <f>'Buildings - Grid Electricity'!S162</f>
        <v/>
      </c>
      <c r="AC657" s="193" t="str">
        <f>'Buildings - Grid Electricity'!T162</f>
        <v/>
      </c>
      <c r="AD657" s="193" t="str">
        <f>'Buildings - Grid Electricity'!U162</f>
        <v/>
      </c>
      <c r="AE657" s="193" t="str">
        <f>'Buildings - Grid Electricity'!V162</f>
        <v/>
      </c>
      <c r="AF657" s="193" t="str">
        <f>'Buildings - Grid Electricity'!W162</f>
        <v/>
      </c>
      <c r="AG657" s="193" t="str">
        <f>'Buildings - Grid Electricity'!X162</f>
        <v/>
      </c>
      <c r="AI657" s="193">
        <f t="shared" si="8"/>
        <v>0</v>
      </c>
      <c r="AJ657" s="193">
        <f t="shared" si="9"/>
        <v>0</v>
      </c>
    </row>
    <row r="658" spans="2:36" x14ac:dyDescent="0.35">
      <c r="B658" s="193" t="e">
        <f>"2024"&amp;MATCH(Totals!D658,OrgType,0)&amp;"_"&amp;MATCH(Totals!E658,Organisations,0)&amp;"_"&amp;LEFT(Totals!F658,1)&amp;"_"&amp;LEFT(G658,1)&amp;"_"&amp;COUNTIF($G$3:G658,G658)</f>
        <v>#N/A</v>
      </c>
      <c r="C658" s="193">
        <v>2025</v>
      </c>
      <c r="D658" s="193">
        <f>Introduction!$D$7</f>
        <v>0</v>
      </c>
      <c r="E658" s="193">
        <f>Introduction!$D$8</f>
        <v>0</v>
      </c>
      <c r="F658" s="193" t="s">
        <v>488</v>
      </c>
      <c r="G658" s="193" t="s">
        <v>171</v>
      </c>
      <c r="H658" s="193">
        <f>'Buildings - Grid Electricity'!B163</f>
        <v>0</v>
      </c>
      <c r="I658" s="193">
        <f>'Buildings - Grid Electricity'!C163</f>
        <v>0</v>
      </c>
      <c r="J658" s="193" t="str">
        <f>'Buildings - Grid Electricity'!D163</f>
        <v/>
      </c>
      <c r="K658" s="237"/>
      <c r="L658" s="237"/>
      <c r="M658" s="193" t="str">
        <f>'Buildings - Grid Electricity'!E163</f>
        <v/>
      </c>
      <c r="N658" s="193" t="str">
        <f>'Buildings - Grid Electricity'!F163</f>
        <v/>
      </c>
      <c r="O658" s="237"/>
      <c r="P658" s="193">
        <f>'Buildings - Grid Electricity'!G163</f>
        <v>0</v>
      </c>
      <c r="Q658" s="193" t="str">
        <f>'Buildings - Grid Electricity'!H163</f>
        <v/>
      </c>
      <c r="R658" s="193">
        <f>'Buildings - Grid Electricity'!I163</f>
        <v>0</v>
      </c>
      <c r="S658" s="193" t="str">
        <f>'Buildings - Grid Electricity'!J163</f>
        <v/>
      </c>
      <c r="T658" s="193" t="str">
        <f>'Buildings - Grid Electricity'!K163</f>
        <v/>
      </c>
      <c r="U658" s="193" t="str">
        <f>'Buildings - Grid Electricity'!L163</f>
        <v/>
      </c>
      <c r="V658" s="193" t="str">
        <f>'Buildings - Grid Electricity'!M163</f>
        <v/>
      </c>
      <c r="W658" s="193" t="str">
        <f>'Buildings - Grid Electricity'!N163</f>
        <v/>
      </c>
      <c r="X658" s="193">
        <f>'Buildings - Grid Electricity'!O163</f>
        <v>0</v>
      </c>
      <c r="Y658" s="193">
        <f>'Buildings - Grid Electricity'!P163</f>
        <v>0</v>
      </c>
      <c r="Z658" s="193" t="str">
        <f>'Buildings - Grid Electricity'!Q163</f>
        <v/>
      </c>
      <c r="AA658" s="193" t="str">
        <f>'Buildings - Grid Electricity'!R163</f>
        <v/>
      </c>
      <c r="AB658" s="193" t="str">
        <f>'Buildings - Grid Electricity'!S163</f>
        <v/>
      </c>
      <c r="AC658" s="193" t="str">
        <f>'Buildings - Grid Electricity'!T163</f>
        <v/>
      </c>
      <c r="AD658" s="193" t="str">
        <f>'Buildings - Grid Electricity'!U163</f>
        <v/>
      </c>
      <c r="AE658" s="193" t="str">
        <f>'Buildings - Grid Electricity'!V163</f>
        <v/>
      </c>
      <c r="AF658" s="193" t="str">
        <f>'Buildings - Grid Electricity'!W163</f>
        <v/>
      </c>
      <c r="AG658" s="193" t="str">
        <f>'Buildings - Grid Electricity'!X163</f>
        <v/>
      </c>
      <c r="AI658" s="193">
        <f t="shared" si="8"/>
        <v>0</v>
      </c>
      <c r="AJ658" s="193">
        <f t="shared" si="9"/>
        <v>0</v>
      </c>
    </row>
    <row r="659" spans="2:36" x14ac:dyDescent="0.35">
      <c r="B659" s="193" t="e">
        <f>"2024"&amp;MATCH(Totals!D659,OrgType,0)&amp;"_"&amp;MATCH(Totals!E659,Organisations,0)&amp;"_"&amp;LEFT(Totals!F659,1)&amp;"_"&amp;LEFT(G659,1)&amp;"_"&amp;COUNTIF($G$3:G659,G659)</f>
        <v>#N/A</v>
      </c>
      <c r="C659" s="193">
        <v>2025</v>
      </c>
      <c r="D659" s="193">
        <f>Introduction!$D$7</f>
        <v>0</v>
      </c>
      <c r="E659" s="193">
        <f>Introduction!$D$8</f>
        <v>0</v>
      </c>
      <c r="F659" s="193" t="s">
        <v>488</v>
      </c>
      <c r="G659" s="193" t="s">
        <v>171</v>
      </c>
      <c r="H659" s="193">
        <f>'Buildings - Grid Electricity'!B164</f>
        <v>0</v>
      </c>
      <c r="I659" s="193">
        <f>'Buildings - Grid Electricity'!C164</f>
        <v>0</v>
      </c>
      <c r="J659" s="193" t="str">
        <f>'Buildings - Grid Electricity'!D164</f>
        <v/>
      </c>
      <c r="K659" s="237"/>
      <c r="L659" s="237"/>
      <c r="M659" s="193" t="str">
        <f>'Buildings - Grid Electricity'!E164</f>
        <v/>
      </c>
      <c r="N659" s="193" t="str">
        <f>'Buildings - Grid Electricity'!F164</f>
        <v/>
      </c>
      <c r="O659" s="237"/>
      <c r="P659" s="193">
        <f>'Buildings - Grid Electricity'!G164</f>
        <v>0</v>
      </c>
      <c r="Q659" s="193" t="str">
        <f>'Buildings - Grid Electricity'!H164</f>
        <v/>
      </c>
      <c r="R659" s="193">
        <f>'Buildings - Grid Electricity'!I164</f>
        <v>0</v>
      </c>
      <c r="S659" s="193" t="str">
        <f>'Buildings - Grid Electricity'!J164</f>
        <v/>
      </c>
      <c r="T659" s="193" t="str">
        <f>'Buildings - Grid Electricity'!K164</f>
        <v/>
      </c>
      <c r="U659" s="193" t="str">
        <f>'Buildings - Grid Electricity'!L164</f>
        <v/>
      </c>
      <c r="V659" s="193" t="str">
        <f>'Buildings - Grid Electricity'!M164</f>
        <v/>
      </c>
      <c r="W659" s="193" t="str">
        <f>'Buildings - Grid Electricity'!N164</f>
        <v/>
      </c>
      <c r="X659" s="193">
        <f>'Buildings - Grid Electricity'!O164</f>
        <v>0</v>
      </c>
      <c r="Y659" s="193">
        <f>'Buildings - Grid Electricity'!P164</f>
        <v>0</v>
      </c>
      <c r="Z659" s="193" t="str">
        <f>'Buildings - Grid Electricity'!Q164</f>
        <v/>
      </c>
      <c r="AA659" s="193" t="str">
        <f>'Buildings - Grid Electricity'!R164</f>
        <v/>
      </c>
      <c r="AB659" s="193" t="str">
        <f>'Buildings - Grid Electricity'!S164</f>
        <v/>
      </c>
      <c r="AC659" s="193" t="str">
        <f>'Buildings - Grid Electricity'!T164</f>
        <v/>
      </c>
      <c r="AD659" s="193" t="str">
        <f>'Buildings - Grid Electricity'!U164</f>
        <v/>
      </c>
      <c r="AE659" s="193" t="str">
        <f>'Buildings - Grid Electricity'!V164</f>
        <v/>
      </c>
      <c r="AF659" s="193" t="str">
        <f>'Buildings - Grid Electricity'!W164</f>
        <v/>
      </c>
      <c r="AG659" s="193" t="str">
        <f>'Buildings - Grid Electricity'!X164</f>
        <v/>
      </c>
      <c r="AI659" s="193">
        <f t="shared" si="8"/>
        <v>0</v>
      </c>
      <c r="AJ659" s="193">
        <f t="shared" si="9"/>
        <v>0</v>
      </c>
    </row>
    <row r="660" spans="2:36" x14ac:dyDescent="0.35">
      <c r="B660" s="193" t="e">
        <f>"2024"&amp;MATCH(Totals!D660,OrgType,0)&amp;"_"&amp;MATCH(Totals!E660,Organisations,0)&amp;"_"&amp;LEFT(Totals!F660,1)&amp;"_"&amp;LEFT(G660,1)&amp;"_"&amp;COUNTIF($G$3:G660,G660)</f>
        <v>#N/A</v>
      </c>
      <c r="C660" s="193">
        <v>2025</v>
      </c>
      <c r="D660" s="193">
        <f>Introduction!$D$7</f>
        <v>0</v>
      </c>
      <c r="E660" s="193">
        <f>Introduction!$D$8</f>
        <v>0</v>
      </c>
      <c r="F660" s="193" t="s">
        <v>488</v>
      </c>
      <c r="G660" s="193" t="s">
        <v>171</v>
      </c>
      <c r="H660" s="193">
        <f>'Buildings - Grid Electricity'!B165</f>
        <v>0</v>
      </c>
      <c r="I660" s="193">
        <f>'Buildings - Grid Electricity'!C165</f>
        <v>0</v>
      </c>
      <c r="J660" s="193" t="str">
        <f>'Buildings - Grid Electricity'!D165</f>
        <v/>
      </c>
      <c r="K660" s="237"/>
      <c r="L660" s="237"/>
      <c r="M660" s="193" t="str">
        <f>'Buildings - Grid Electricity'!E165</f>
        <v/>
      </c>
      <c r="N660" s="193" t="str">
        <f>'Buildings - Grid Electricity'!F165</f>
        <v/>
      </c>
      <c r="O660" s="237"/>
      <c r="P660" s="193">
        <f>'Buildings - Grid Electricity'!G165</f>
        <v>0</v>
      </c>
      <c r="Q660" s="193" t="str">
        <f>'Buildings - Grid Electricity'!H165</f>
        <v/>
      </c>
      <c r="R660" s="193">
        <f>'Buildings - Grid Electricity'!I165</f>
        <v>0</v>
      </c>
      <c r="S660" s="193" t="str">
        <f>'Buildings - Grid Electricity'!J165</f>
        <v/>
      </c>
      <c r="T660" s="193" t="str">
        <f>'Buildings - Grid Electricity'!K165</f>
        <v/>
      </c>
      <c r="U660" s="193" t="str">
        <f>'Buildings - Grid Electricity'!L165</f>
        <v/>
      </c>
      <c r="V660" s="193" t="str">
        <f>'Buildings - Grid Electricity'!M165</f>
        <v/>
      </c>
      <c r="W660" s="193" t="str">
        <f>'Buildings - Grid Electricity'!N165</f>
        <v/>
      </c>
      <c r="X660" s="193">
        <f>'Buildings - Grid Electricity'!O165</f>
        <v>0</v>
      </c>
      <c r="Y660" s="193">
        <f>'Buildings - Grid Electricity'!P165</f>
        <v>0</v>
      </c>
      <c r="Z660" s="193" t="str">
        <f>'Buildings - Grid Electricity'!Q165</f>
        <v/>
      </c>
      <c r="AA660" s="193" t="str">
        <f>'Buildings - Grid Electricity'!R165</f>
        <v/>
      </c>
      <c r="AB660" s="193" t="str">
        <f>'Buildings - Grid Electricity'!S165</f>
        <v/>
      </c>
      <c r="AC660" s="193" t="str">
        <f>'Buildings - Grid Electricity'!T165</f>
        <v/>
      </c>
      <c r="AD660" s="193" t="str">
        <f>'Buildings - Grid Electricity'!U165</f>
        <v/>
      </c>
      <c r="AE660" s="193" t="str">
        <f>'Buildings - Grid Electricity'!V165</f>
        <v/>
      </c>
      <c r="AF660" s="193" t="str">
        <f>'Buildings - Grid Electricity'!W165</f>
        <v/>
      </c>
      <c r="AG660" s="193" t="str">
        <f>'Buildings - Grid Electricity'!X165</f>
        <v/>
      </c>
      <c r="AI660" s="193">
        <f t="shared" ref="AI660:AI723" si="10">IF(AND(V660="",R660&lt;&gt;0),1,0)</f>
        <v>0</v>
      </c>
      <c r="AJ660" s="193">
        <f t="shared" ref="AJ660:AJ723" si="11">IF(AND(W660="",R660&lt;&gt;0),1,0)</f>
        <v>0</v>
      </c>
    </row>
    <row r="661" spans="2:36" x14ac:dyDescent="0.35">
      <c r="B661" s="193" t="e">
        <f>"2024"&amp;MATCH(Totals!D661,OrgType,0)&amp;"_"&amp;MATCH(Totals!E661,Organisations,0)&amp;"_"&amp;LEFT(Totals!F661,1)&amp;"_"&amp;LEFT(G661,1)&amp;"_"&amp;COUNTIF($G$3:G661,G661)</f>
        <v>#N/A</v>
      </c>
      <c r="C661" s="193">
        <v>2025</v>
      </c>
      <c r="D661" s="193">
        <f>Introduction!$D$7</f>
        <v>0</v>
      </c>
      <c r="E661" s="193">
        <f>Introduction!$D$8</f>
        <v>0</v>
      </c>
      <c r="F661" s="193" t="s">
        <v>488</v>
      </c>
      <c r="G661" s="193" t="s">
        <v>171</v>
      </c>
      <c r="H661" s="193">
        <f>'Buildings - Grid Electricity'!B166</f>
        <v>0</v>
      </c>
      <c r="I661" s="193">
        <f>'Buildings - Grid Electricity'!C166</f>
        <v>0</v>
      </c>
      <c r="J661" s="193" t="str">
        <f>'Buildings - Grid Electricity'!D166</f>
        <v/>
      </c>
      <c r="K661" s="237"/>
      <c r="L661" s="237"/>
      <c r="M661" s="193" t="str">
        <f>'Buildings - Grid Electricity'!E166</f>
        <v/>
      </c>
      <c r="N661" s="193" t="str">
        <f>'Buildings - Grid Electricity'!F166</f>
        <v/>
      </c>
      <c r="O661" s="237"/>
      <c r="P661" s="193">
        <f>'Buildings - Grid Electricity'!G166</f>
        <v>0</v>
      </c>
      <c r="Q661" s="193" t="str">
        <f>'Buildings - Grid Electricity'!H166</f>
        <v/>
      </c>
      <c r="R661" s="193">
        <f>'Buildings - Grid Electricity'!I166</f>
        <v>0</v>
      </c>
      <c r="S661" s="193" t="str">
        <f>'Buildings - Grid Electricity'!J166</f>
        <v/>
      </c>
      <c r="T661" s="193" t="str">
        <f>'Buildings - Grid Electricity'!K166</f>
        <v/>
      </c>
      <c r="U661" s="193" t="str">
        <f>'Buildings - Grid Electricity'!L166</f>
        <v/>
      </c>
      <c r="V661" s="193" t="str">
        <f>'Buildings - Grid Electricity'!M166</f>
        <v/>
      </c>
      <c r="W661" s="193" t="str">
        <f>'Buildings - Grid Electricity'!N166</f>
        <v/>
      </c>
      <c r="X661" s="193">
        <f>'Buildings - Grid Electricity'!O166</f>
        <v>0</v>
      </c>
      <c r="Y661" s="193">
        <f>'Buildings - Grid Electricity'!P166</f>
        <v>0</v>
      </c>
      <c r="Z661" s="193" t="str">
        <f>'Buildings - Grid Electricity'!Q166</f>
        <v/>
      </c>
      <c r="AA661" s="193" t="str">
        <f>'Buildings - Grid Electricity'!R166</f>
        <v/>
      </c>
      <c r="AB661" s="193" t="str">
        <f>'Buildings - Grid Electricity'!S166</f>
        <v/>
      </c>
      <c r="AC661" s="193" t="str">
        <f>'Buildings - Grid Electricity'!T166</f>
        <v/>
      </c>
      <c r="AD661" s="193" t="str">
        <f>'Buildings - Grid Electricity'!U166</f>
        <v/>
      </c>
      <c r="AE661" s="193" t="str">
        <f>'Buildings - Grid Electricity'!V166</f>
        <v/>
      </c>
      <c r="AF661" s="193" t="str">
        <f>'Buildings - Grid Electricity'!W166</f>
        <v/>
      </c>
      <c r="AG661" s="193" t="str">
        <f>'Buildings - Grid Electricity'!X166</f>
        <v/>
      </c>
      <c r="AI661" s="193">
        <f t="shared" si="10"/>
        <v>0</v>
      </c>
      <c r="AJ661" s="193">
        <f t="shared" si="11"/>
        <v>0</v>
      </c>
    </row>
    <row r="662" spans="2:36" x14ac:dyDescent="0.35">
      <c r="B662" s="193" t="e">
        <f>"2024"&amp;MATCH(Totals!D662,OrgType,0)&amp;"_"&amp;MATCH(Totals!E662,Organisations,0)&amp;"_"&amp;LEFT(Totals!F662,1)&amp;"_"&amp;LEFT(G662,1)&amp;"_"&amp;COUNTIF($G$3:G662,G662)</f>
        <v>#N/A</v>
      </c>
      <c r="C662" s="193">
        <v>2025</v>
      </c>
      <c r="D662" s="193">
        <f>Introduction!$D$7</f>
        <v>0</v>
      </c>
      <c r="E662" s="193">
        <f>Introduction!$D$8</f>
        <v>0</v>
      </c>
      <c r="F662" s="193" t="s">
        <v>488</v>
      </c>
      <c r="G662" s="193" t="s">
        <v>171</v>
      </c>
      <c r="H662" s="193">
        <f>'Buildings - Grid Electricity'!B167</f>
        <v>0</v>
      </c>
      <c r="I662" s="193">
        <f>'Buildings - Grid Electricity'!C167</f>
        <v>0</v>
      </c>
      <c r="J662" s="193" t="str">
        <f>'Buildings - Grid Electricity'!D167</f>
        <v/>
      </c>
      <c r="K662" s="237"/>
      <c r="L662" s="237"/>
      <c r="M662" s="193" t="str">
        <f>'Buildings - Grid Electricity'!E167</f>
        <v/>
      </c>
      <c r="N662" s="193" t="str">
        <f>'Buildings - Grid Electricity'!F167</f>
        <v/>
      </c>
      <c r="O662" s="237"/>
      <c r="P662" s="193">
        <f>'Buildings - Grid Electricity'!G167</f>
        <v>0</v>
      </c>
      <c r="Q662" s="193" t="str">
        <f>'Buildings - Grid Electricity'!H167</f>
        <v/>
      </c>
      <c r="R662" s="193">
        <f>'Buildings - Grid Electricity'!I167</f>
        <v>0</v>
      </c>
      <c r="S662" s="193" t="str">
        <f>'Buildings - Grid Electricity'!J167</f>
        <v/>
      </c>
      <c r="T662" s="193" t="str">
        <f>'Buildings - Grid Electricity'!K167</f>
        <v/>
      </c>
      <c r="U662" s="193" t="str">
        <f>'Buildings - Grid Electricity'!L167</f>
        <v/>
      </c>
      <c r="V662" s="193" t="str">
        <f>'Buildings - Grid Electricity'!M167</f>
        <v/>
      </c>
      <c r="W662" s="193" t="str">
        <f>'Buildings - Grid Electricity'!N167</f>
        <v/>
      </c>
      <c r="X662" s="193">
        <f>'Buildings - Grid Electricity'!O167</f>
        <v>0</v>
      </c>
      <c r="Y662" s="193">
        <f>'Buildings - Grid Electricity'!P167</f>
        <v>0</v>
      </c>
      <c r="Z662" s="193" t="str">
        <f>'Buildings - Grid Electricity'!Q167</f>
        <v/>
      </c>
      <c r="AA662" s="193" t="str">
        <f>'Buildings - Grid Electricity'!R167</f>
        <v/>
      </c>
      <c r="AB662" s="193" t="str">
        <f>'Buildings - Grid Electricity'!S167</f>
        <v/>
      </c>
      <c r="AC662" s="193" t="str">
        <f>'Buildings - Grid Electricity'!T167</f>
        <v/>
      </c>
      <c r="AD662" s="193" t="str">
        <f>'Buildings - Grid Electricity'!U167</f>
        <v/>
      </c>
      <c r="AE662" s="193" t="str">
        <f>'Buildings - Grid Electricity'!V167</f>
        <v/>
      </c>
      <c r="AF662" s="193" t="str">
        <f>'Buildings - Grid Electricity'!W167</f>
        <v/>
      </c>
      <c r="AG662" s="193" t="str">
        <f>'Buildings - Grid Electricity'!X167</f>
        <v/>
      </c>
      <c r="AI662" s="193">
        <f t="shared" si="10"/>
        <v>0</v>
      </c>
      <c r="AJ662" s="193">
        <f t="shared" si="11"/>
        <v>0</v>
      </c>
    </row>
    <row r="663" spans="2:36" x14ac:dyDescent="0.35">
      <c r="B663" s="193" t="e">
        <f>"2024"&amp;MATCH(Totals!D663,OrgType,0)&amp;"_"&amp;MATCH(Totals!E663,Organisations,0)&amp;"_"&amp;LEFT(Totals!F663,1)&amp;"_"&amp;LEFT(G663,1)&amp;"_"&amp;COUNTIF($G$3:G663,G663)</f>
        <v>#N/A</v>
      </c>
      <c r="C663" s="193">
        <v>2025</v>
      </c>
      <c r="D663" s="193">
        <f>Introduction!$D$7</f>
        <v>0</v>
      </c>
      <c r="E663" s="193">
        <f>Introduction!$D$8</f>
        <v>0</v>
      </c>
      <c r="F663" s="193" t="s">
        <v>488</v>
      </c>
      <c r="G663" s="193" t="s">
        <v>171</v>
      </c>
      <c r="H663" s="193">
        <f>'Buildings - Grid Electricity'!B168</f>
        <v>0</v>
      </c>
      <c r="I663" s="193">
        <f>'Buildings - Grid Electricity'!C168</f>
        <v>0</v>
      </c>
      <c r="J663" s="193" t="str">
        <f>'Buildings - Grid Electricity'!D168</f>
        <v/>
      </c>
      <c r="K663" s="237"/>
      <c r="L663" s="237"/>
      <c r="M663" s="193" t="str">
        <f>'Buildings - Grid Electricity'!E168</f>
        <v/>
      </c>
      <c r="N663" s="193" t="str">
        <f>'Buildings - Grid Electricity'!F168</f>
        <v/>
      </c>
      <c r="O663" s="237"/>
      <c r="P663" s="193">
        <f>'Buildings - Grid Electricity'!G168</f>
        <v>0</v>
      </c>
      <c r="Q663" s="193" t="str">
        <f>'Buildings - Grid Electricity'!H168</f>
        <v/>
      </c>
      <c r="R663" s="193">
        <f>'Buildings - Grid Electricity'!I168</f>
        <v>0</v>
      </c>
      <c r="S663" s="193" t="str">
        <f>'Buildings - Grid Electricity'!J168</f>
        <v/>
      </c>
      <c r="T663" s="193" t="str">
        <f>'Buildings - Grid Electricity'!K168</f>
        <v/>
      </c>
      <c r="U663" s="193" t="str">
        <f>'Buildings - Grid Electricity'!L168</f>
        <v/>
      </c>
      <c r="V663" s="193" t="str">
        <f>'Buildings - Grid Electricity'!M168</f>
        <v/>
      </c>
      <c r="W663" s="193" t="str">
        <f>'Buildings - Grid Electricity'!N168</f>
        <v/>
      </c>
      <c r="X663" s="193">
        <f>'Buildings - Grid Electricity'!O168</f>
        <v>0</v>
      </c>
      <c r="Y663" s="193">
        <f>'Buildings - Grid Electricity'!P168</f>
        <v>0</v>
      </c>
      <c r="Z663" s="193" t="str">
        <f>'Buildings - Grid Electricity'!Q168</f>
        <v/>
      </c>
      <c r="AA663" s="193" t="str">
        <f>'Buildings - Grid Electricity'!R168</f>
        <v/>
      </c>
      <c r="AB663" s="193" t="str">
        <f>'Buildings - Grid Electricity'!S168</f>
        <v/>
      </c>
      <c r="AC663" s="193" t="str">
        <f>'Buildings - Grid Electricity'!T168</f>
        <v/>
      </c>
      <c r="AD663" s="193" t="str">
        <f>'Buildings - Grid Electricity'!U168</f>
        <v/>
      </c>
      <c r="AE663" s="193" t="str">
        <f>'Buildings - Grid Electricity'!V168</f>
        <v/>
      </c>
      <c r="AF663" s="193" t="str">
        <f>'Buildings - Grid Electricity'!W168</f>
        <v/>
      </c>
      <c r="AG663" s="193" t="str">
        <f>'Buildings - Grid Electricity'!X168</f>
        <v/>
      </c>
      <c r="AI663" s="193">
        <f t="shared" si="10"/>
        <v>0</v>
      </c>
      <c r="AJ663" s="193">
        <f t="shared" si="11"/>
        <v>0</v>
      </c>
    </row>
    <row r="664" spans="2:36" x14ac:dyDescent="0.35">
      <c r="B664" s="193" t="e">
        <f>"2024"&amp;MATCH(Totals!D664,OrgType,0)&amp;"_"&amp;MATCH(Totals!E664,Organisations,0)&amp;"_"&amp;LEFT(Totals!F664,1)&amp;"_"&amp;LEFT(G664,1)&amp;"_"&amp;COUNTIF($G$3:G664,G664)</f>
        <v>#N/A</v>
      </c>
      <c r="C664" s="193">
        <v>2025</v>
      </c>
      <c r="D664" s="193">
        <f>Introduction!$D$7</f>
        <v>0</v>
      </c>
      <c r="E664" s="193">
        <f>Introduction!$D$8</f>
        <v>0</v>
      </c>
      <c r="F664" s="193" t="s">
        <v>488</v>
      </c>
      <c r="G664" s="193" t="s">
        <v>171</v>
      </c>
      <c r="H664" s="193">
        <f>'Buildings - Grid Electricity'!B169</f>
        <v>0</v>
      </c>
      <c r="I664" s="193">
        <f>'Buildings - Grid Electricity'!C169</f>
        <v>0</v>
      </c>
      <c r="J664" s="193" t="str">
        <f>'Buildings - Grid Electricity'!D169</f>
        <v/>
      </c>
      <c r="K664" s="237"/>
      <c r="L664" s="237"/>
      <c r="M664" s="193" t="str">
        <f>'Buildings - Grid Electricity'!E169</f>
        <v/>
      </c>
      <c r="N664" s="193" t="str">
        <f>'Buildings - Grid Electricity'!F169</f>
        <v/>
      </c>
      <c r="O664" s="237"/>
      <c r="P664" s="193">
        <f>'Buildings - Grid Electricity'!G169</f>
        <v>0</v>
      </c>
      <c r="Q664" s="193" t="str">
        <f>'Buildings - Grid Electricity'!H169</f>
        <v/>
      </c>
      <c r="R664" s="193">
        <f>'Buildings - Grid Electricity'!I169</f>
        <v>0</v>
      </c>
      <c r="S664" s="193" t="str">
        <f>'Buildings - Grid Electricity'!J169</f>
        <v/>
      </c>
      <c r="T664" s="193" t="str">
        <f>'Buildings - Grid Electricity'!K169</f>
        <v/>
      </c>
      <c r="U664" s="193" t="str">
        <f>'Buildings - Grid Electricity'!L169</f>
        <v/>
      </c>
      <c r="V664" s="193" t="str">
        <f>'Buildings - Grid Electricity'!M169</f>
        <v/>
      </c>
      <c r="W664" s="193" t="str">
        <f>'Buildings - Grid Electricity'!N169</f>
        <v/>
      </c>
      <c r="X664" s="193">
        <f>'Buildings - Grid Electricity'!O169</f>
        <v>0</v>
      </c>
      <c r="Y664" s="193">
        <f>'Buildings - Grid Electricity'!P169</f>
        <v>0</v>
      </c>
      <c r="Z664" s="193" t="str">
        <f>'Buildings - Grid Electricity'!Q169</f>
        <v/>
      </c>
      <c r="AA664" s="193" t="str">
        <f>'Buildings - Grid Electricity'!R169</f>
        <v/>
      </c>
      <c r="AB664" s="193" t="str">
        <f>'Buildings - Grid Electricity'!S169</f>
        <v/>
      </c>
      <c r="AC664" s="193" t="str">
        <f>'Buildings - Grid Electricity'!T169</f>
        <v/>
      </c>
      <c r="AD664" s="193" t="str">
        <f>'Buildings - Grid Electricity'!U169</f>
        <v/>
      </c>
      <c r="AE664" s="193" t="str">
        <f>'Buildings - Grid Electricity'!V169</f>
        <v/>
      </c>
      <c r="AF664" s="193" t="str">
        <f>'Buildings - Grid Electricity'!W169</f>
        <v/>
      </c>
      <c r="AG664" s="193" t="str">
        <f>'Buildings - Grid Electricity'!X169</f>
        <v/>
      </c>
      <c r="AI664" s="193">
        <f t="shared" si="10"/>
        <v>0</v>
      </c>
      <c r="AJ664" s="193">
        <f t="shared" si="11"/>
        <v>0</v>
      </c>
    </row>
    <row r="665" spans="2:36" x14ac:dyDescent="0.35">
      <c r="B665" s="193" t="e">
        <f>"2024"&amp;MATCH(Totals!D665,OrgType,0)&amp;"_"&amp;MATCH(Totals!E665,Organisations,0)&amp;"_"&amp;LEFT(Totals!F665,1)&amp;"_"&amp;LEFT(G665,1)&amp;"_"&amp;COUNTIF($G$3:G665,G665)</f>
        <v>#N/A</v>
      </c>
      <c r="C665" s="193">
        <v>2025</v>
      </c>
      <c r="D665" s="193">
        <f>Introduction!$D$7</f>
        <v>0</v>
      </c>
      <c r="E665" s="193">
        <f>Introduction!$D$8</f>
        <v>0</v>
      </c>
      <c r="F665" s="193" t="s">
        <v>488</v>
      </c>
      <c r="G665" s="193" t="s">
        <v>171</v>
      </c>
      <c r="H665" s="193">
        <f>'Buildings - Grid Electricity'!B170</f>
        <v>0</v>
      </c>
      <c r="I665" s="193">
        <f>'Buildings - Grid Electricity'!C170</f>
        <v>0</v>
      </c>
      <c r="J665" s="193" t="str">
        <f>'Buildings - Grid Electricity'!D170</f>
        <v/>
      </c>
      <c r="K665" s="237"/>
      <c r="L665" s="237"/>
      <c r="M665" s="193" t="str">
        <f>'Buildings - Grid Electricity'!E170</f>
        <v/>
      </c>
      <c r="N665" s="193" t="str">
        <f>'Buildings - Grid Electricity'!F170</f>
        <v/>
      </c>
      <c r="O665" s="237"/>
      <c r="P665" s="193">
        <f>'Buildings - Grid Electricity'!G170</f>
        <v>0</v>
      </c>
      <c r="Q665" s="193" t="str">
        <f>'Buildings - Grid Electricity'!H170</f>
        <v/>
      </c>
      <c r="R665" s="193">
        <f>'Buildings - Grid Electricity'!I170</f>
        <v>0</v>
      </c>
      <c r="S665" s="193" t="str">
        <f>'Buildings - Grid Electricity'!J170</f>
        <v/>
      </c>
      <c r="T665" s="193" t="str">
        <f>'Buildings - Grid Electricity'!K170</f>
        <v/>
      </c>
      <c r="U665" s="193" t="str">
        <f>'Buildings - Grid Electricity'!L170</f>
        <v/>
      </c>
      <c r="V665" s="193" t="str">
        <f>'Buildings - Grid Electricity'!M170</f>
        <v/>
      </c>
      <c r="W665" s="193" t="str">
        <f>'Buildings - Grid Electricity'!N170</f>
        <v/>
      </c>
      <c r="X665" s="193">
        <f>'Buildings - Grid Electricity'!O170</f>
        <v>0</v>
      </c>
      <c r="Y665" s="193">
        <f>'Buildings - Grid Electricity'!P170</f>
        <v>0</v>
      </c>
      <c r="Z665" s="193" t="str">
        <f>'Buildings - Grid Electricity'!Q170</f>
        <v/>
      </c>
      <c r="AA665" s="193" t="str">
        <f>'Buildings - Grid Electricity'!R170</f>
        <v/>
      </c>
      <c r="AB665" s="193" t="str">
        <f>'Buildings - Grid Electricity'!S170</f>
        <v/>
      </c>
      <c r="AC665" s="193" t="str">
        <f>'Buildings - Grid Electricity'!T170</f>
        <v/>
      </c>
      <c r="AD665" s="193" t="str">
        <f>'Buildings - Grid Electricity'!U170</f>
        <v/>
      </c>
      <c r="AE665" s="193" t="str">
        <f>'Buildings - Grid Electricity'!V170</f>
        <v/>
      </c>
      <c r="AF665" s="193" t="str">
        <f>'Buildings - Grid Electricity'!W170</f>
        <v/>
      </c>
      <c r="AG665" s="193" t="str">
        <f>'Buildings - Grid Electricity'!X170</f>
        <v/>
      </c>
      <c r="AI665" s="193">
        <f t="shared" si="10"/>
        <v>0</v>
      </c>
      <c r="AJ665" s="193">
        <f t="shared" si="11"/>
        <v>0</v>
      </c>
    </row>
    <row r="666" spans="2:36" x14ac:dyDescent="0.35">
      <c r="B666" s="193" t="e">
        <f>"2024"&amp;MATCH(Totals!D666,OrgType,0)&amp;"_"&amp;MATCH(Totals!E666,Organisations,0)&amp;"_"&amp;LEFT(Totals!F666,1)&amp;"_"&amp;LEFT(G666,1)&amp;"_"&amp;COUNTIF($G$3:G666,G666)</f>
        <v>#N/A</v>
      </c>
      <c r="C666" s="193">
        <v>2025</v>
      </c>
      <c r="D666" s="193">
        <f>Introduction!$D$7</f>
        <v>0</v>
      </c>
      <c r="E666" s="193">
        <f>Introduction!$D$8</f>
        <v>0</v>
      </c>
      <c r="F666" s="193" t="s">
        <v>488</v>
      </c>
      <c r="G666" s="193" t="s">
        <v>171</v>
      </c>
      <c r="H666" s="193">
        <f>'Buildings - Grid Electricity'!B171</f>
        <v>0</v>
      </c>
      <c r="I666" s="193">
        <f>'Buildings - Grid Electricity'!C171</f>
        <v>0</v>
      </c>
      <c r="J666" s="193" t="str">
        <f>'Buildings - Grid Electricity'!D171</f>
        <v/>
      </c>
      <c r="K666" s="237"/>
      <c r="L666" s="237"/>
      <c r="M666" s="193" t="str">
        <f>'Buildings - Grid Electricity'!E171</f>
        <v/>
      </c>
      <c r="N666" s="193" t="str">
        <f>'Buildings - Grid Electricity'!F171</f>
        <v/>
      </c>
      <c r="O666" s="237"/>
      <c r="P666" s="193">
        <f>'Buildings - Grid Electricity'!G171</f>
        <v>0</v>
      </c>
      <c r="Q666" s="193" t="str">
        <f>'Buildings - Grid Electricity'!H171</f>
        <v/>
      </c>
      <c r="R666" s="193">
        <f>'Buildings - Grid Electricity'!I171</f>
        <v>0</v>
      </c>
      <c r="S666" s="193" t="str">
        <f>'Buildings - Grid Electricity'!J171</f>
        <v/>
      </c>
      <c r="T666" s="193" t="str">
        <f>'Buildings - Grid Electricity'!K171</f>
        <v/>
      </c>
      <c r="U666" s="193" t="str">
        <f>'Buildings - Grid Electricity'!L171</f>
        <v/>
      </c>
      <c r="V666" s="193" t="str">
        <f>'Buildings - Grid Electricity'!M171</f>
        <v/>
      </c>
      <c r="W666" s="193" t="str">
        <f>'Buildings - Grid Electricity'!N171</f>
        <v/>
      </c>
      <c r="X666" s="193">
        <f>'Buildings - Grid Electricity'!O171</f>
        <v>0</v>
      </c>
      <c r="Y666" s="193">
        <f>'Buildings - Grid Electricity'!P171</f>
        <v>0</v>
      </c>
      <c r="Z666" s="193" t="str">
        <f>'Buildings - Grid Electricity'!Q171</f>
        <v/>
      </c>
      <c r="AA666" s="193" t="str">
        <f>'Buildings - Grid Electricity'!R171</f>
        <v/>
      </c>
      <c r="AB666" s="193" t="str">
        <f>'Buildings - Grid Electricity'!S171</f>
        <v/>
      </c>
      <c r="AC666" s="193" t="str">
        <f>'Buildings - Grid Electricity'!T171</f>
        <v/>
      </c>
      <c r="AD666" s="193" t="str">
        <f>'Buildings - Grid Electricity'!U171</f>
        <v/>
      </c>
      <c r="AE666" s="193" t="str">
        <f>'Buildings - Grid Electricity'!V171</f>
        <v/>
      </c>
      <c r="AF666" s="193" t="str">
        <f>'Buildings - Grid Electricity'!W171</f>
        <v/>
      </c>
      <c r="AG666" s="193" t="str">
        <f>'Buildings - Grid Electricity'!X171</f>
        <v/>
      </c>
      <c r="AI666" s="193">
        <f t="shared" si="10"/>
        <v>0</v>
      </c>
      <c r="AJ666" s="193">
        <f t="shared" si="11"/>
        <v>0</v>
      </c>
    </row>
    <row r="667" spans="2:36" x14ac:dyDescent="0.35">
      <c r="B667" s="193" t="e">
        <f>"2024"&amp;MATCH(Totals!D667,OrgType,0)&amp;"_"&amp;MATCH(Totals!E667,Organisations,0)&amp;"_"&amp;LEFT(Totals!F667,1)&amp;"_"&amp;LEFT(G667,1)&amp;"_"&amp;COUNTIF($G$3:G667,G667)</f>
        <v>#N/A</v>
      </c>
      <c r="C667" s="193">
        <v>2025</v>
      </c>
      <c r="D667" s="193">
        <f>Introduction!$D$7</f>
        <v>0</v>
      </c>
      <c r="E667" s="193">
        <f>Introduction!$D$8</f>
        <v>0</v>
      </c>
      <c r="F667" s="193" t="s">
        <v>488</v>
      </c>
      <c r="G667" s="193" t="s">
        <v>171</v>
      </c>
      <c r="H667" s="193">
        <f>'Buildings - Grid Electricity'!B172</f>
        <v>0</v>
      </c>
      <c r="I667" s="193">
        <f>'Buildings - Grid Electricity'!C172</f>
        <v>0</v>
      </c>
      <c r="J667" s="193" t="str">
        <f>'Buildings - Grid Electricity'!D172</f>
        <v/>
      </c>
      <c r="K667" s="237"/>
      <c r="L667" s="237"/>
      <c r="M667" s="193" t="str">
        <f>'Buildings - Grid Electricity'!E172</f>
        <v/>
      </c>
      <c r="N667" s="193" t="str">
        <f>'Buildings - Grid Electricity'!F172</f>
        <v/>
      </c>
      <c r="O667" s="237"/>
      <c r="P667" s="193">
        <f>'Buildings - Grid Electricity'!G172</f>
        <v>0</v>
      </c>
      <c r="Q667" s="193" t="str">
        <f>'Buildings - Grid Electricity'!H172</f>
        <v/>
      </c>
      <c r="R667" s="193">
        <f>'Buildings - Grid Electricity'!I172</f>
        <v>0</v>
      </c>
      <c r="S667" s="193" t="str">
        <f>'Buildings - Grid Electricity'!J172</f>
        <v/>
      </c>
      <c r="T667" s="193" t="str">
        <f>'Buildings - Grid Electricity'!K172</f>
        <v/>
      </c>
      <c r="U667" s="193" t="str">
        <f>'Buildings - Grid Electricity'!L172</f>
        <v/>
      </c>
      <c r="V667" s="193" t="str">
        <f>'Buildings - Grid Electricity'!M172</f>
        <v/>
      </c>
      <c r="W667" s="193" t="str">
        <f>'Buildings - Grid Electricity'!N172</f>
        <v/>
      </c>
      <c r="X667" s="193">
        <f>'Buildings - Grid Electricity'!O172</f>
        <v>0</v>
      </c>
      <c r="Y667" s="193">
        <f>'Buildings - Grid Electricity'!P172</f>
        <v>0</v>
      </c>
      <c r="Z667" s="193" t="str">
        <f>'Buildings - Grid Electricity'!Q172</f>
        <v/>
      </c>
      <c r="AA667" s="193" t="str">
        <f>'Buildings - Grid Electricity'!R172</f>
        <v/>
      </c>
      <c r="AB667" s="193" t="str">
        <f>'Buildings - Grid Electricity'!S172</f>
        <v/>
      </c>
      <c r="AC667" s="193" t="str">
        <f>'Buildings - Grid Electricity'!T172</f>
        <v/>
      </c>
      <c r="AD667" s="193" t="str">
        <f>'Buildings - Grid Electricity'!U172</f>
        <v/>
      </c>
      <c r="AE667" s="193" t="str">
        <f>'Buildings - Grid Electricity'!V172</f>
        <v/>
      </c>
      <c r="AF667" s="193" t="str">
        <f>'Buildings - Grid Electricity'!W172</f>
        <v/>
      </c>
      <c r="AG667" s="193" t="str">
        <f>'Buildings - Grid Electricity'!X172</f>
        <v/>
      </c>
      <c r="AI667" s="193">
        <f t="shared" si="10"/>
        <v>0</v>
      </c>
      <c r="AJ667" s="193">
        <f t="shared" si="11"/>
        <v>0</v>
      </c>
    </row>
    <row r="668" spans="2:36" x14ac:dyDescent="0.35">
      <c r="B668" s="193" t="e">
        <f>"2024"&amp;MATCH(Totals!D668,OrgType,0)&amp;"_"&amp;MATCH(Totals!E668,Organisations,0)&amp;"_"&amp;LEFT(Totals!F668,1)&amp;"_"&amp;LEFT(G668,1)&amp;"_"&amp;COUNTIF($G$3:G668,G668)</f>
        <v>#N/A</v>
      </c>
      <c r="C668" s="193">
        <v>2025</v>
      </c>
      <c r="D668" s="193">
        <f>Introduction!$D$7</f>
        <v>0</v>
      </c>
      <c r="E668" s="193">
        <f>Introduction!$D$8</f>
        <v>0</v>
      </c>
      <c r="F668" s="193" t="s">
        <v>488</v>
      </c>
      <c r="G668" s="193" t="s">
        <v>171</v>
      </c>
      <c r="H668" s="193">
        <f>'Buildings - Grid Electricity'!B173</f>
        <v>0</v>
      </c>
      <c r="I668" s="193">
        <f>'Buildings - Grid Electricity'!C173</f>
        <v>0</v>
      </c>
      <c r="J668" s="193" t="str">
        <f>'Buildings - Grid Electricity'!D173</f>
        <v/>
      </c>
      <c r="K668" s="237"/>
      <c r="L668" s="237"/>
      <c r="M668" s="193" t="str">
        <f>'Buildings - Grid Electricity'!E173</f>
        <v/>
      </c>
      <c r="N668" s="193" t="str">
        <f>'Buildings - Grid Electricity'!F173</f>
        <v/>
      </c>
      <c r="O668" s="237"/>
      <c r="P668" s="193">
        <f>'Buildings - Grid Electricity'!G173</f>
        <v>0</v>
      </c>
      <c r="Q668" s="193" t="str">
        <f>'Buildings - Grid Electricity'!H173</f>
        <v/>
      </c>
      <c r="R668" s="193">
        <f>'Buildings - Grid Electricity'!I173</f>
        <v>0</v>
      </c>
      <c r="S668" s="193" t="str">
        <f>'Buildings - Grid Electricity'!J173</f>
        <v/>
      </c>
      <c r="T668" s="193" t="str">
        <f>'Buildings - Grid Electricity'!K173</f>
        <v/>
      </c>
      <c r="U668" s="193" t="str">
        <f>'Buildings - Grid Electricity'!L173</f>
        <v/>
      </c>
      <c r="V668" s="193" t="str">
        <f>'Buildings - Grid Electricity'!M173</f>
        <v/>
      </c>
      <c r="W668" s="193" t="str">
        <f>'Buildings - Grid Electricity'!N173</f>
        <v/>
      </c>
      <c r="X668" s="193">
        <f>'Buildings - Grid Electricity'!O173</f>
        <v>0</v>
      </c>
      <c r="Y668" s="193">
        <f>'Buildings - Grid Electricity'!P173</f>
        <v>0</v>
      </c>
      <c r="Z668" s="193" t="str">
        <f>'Buildings - Grid Electricity'!Q173</f>
        <v/>
      </c>
      <c r="AA668" s="193" t="str">
        <f>'Buildings - Grid Electricity'!R173</f>
        <v/>
      </c>
      <c r="AB668" s="193" t="str">
        <f>'Buildings - Grid Electricity'!S173</f>
        <v/>
      </c>
      <c r="AC668" s="193" t="str">
        <f>'Buildings - Grid Electricity'!T173</f>
        <v/>
      </c>
      <c r="AD668" s="193" t="str">
        <f>'Buildings - Grid Electricity'!U173</f>
        <v/>
      </c>
      <c r="AE668" s="193" t="str">
        <f>'Buildings - Grid Electricity'!V173</f>
        <v/>
      </c>
      <c r="AF668" s="193" t="str">
        <f>'Buildings - Grid Electricity'!W173</f>
        <v/>
      </c>
      <c r="AG668" s="193" t="str">
        <f>'Buildings - Grid Electricity'!X173</f>
        <v/>
      </c>
      <c r="AI668" s="193">
        <f t="shared" si="10"/>
        <v>0</v>
      </c>
      <c r="AJ668" s="193">
        <f t="shared" si="11"/>
        <v>0</v>
      </c>
    </row>
    <row r="669" spans="2:36" x14ac:dyDescent="0.35">
      <c r="B669" s="193" t="e">
        <f>"2024"&amp;MATCH(Totals!D669,OrgType,0)&amp;"_"&amp;MATCH(Totals!E669,Organisations,0)&amp;"_"&amp;LEFT(Totals!F669,1)&amp;"_"&amp;LEFT(G669,1)&amp;"_"&amp;COUNTIF($G$3:G669,G669)</f>
        <v>#N/A</v>
      </c>
      <c r="C669" s="193">
        <v>2025</v>
      </c>
      <c r="D669" s="193">
        <f>Introduction!$D$7</f>
        <v>0</v>
      </c>
      <c r="E669" s="193">
        <f>Introduction!$D$8</f>
        <v>0</v>
      </c>
      <c r="F669" s="193" t="s">
        <v>488</v>
      </c>
      <c r="G669" s="193" t="s">
        <v>171</v>
      </c>
      <c r="H669" s="193">
        <f>'Buildings - Grid Electricity'!B174</f>
        <v>0</v>
      </c>
      <c r="I669" s="193">
        <f>'Buildings - Grid Electricity'!C174</f>
        <v>0</v>
      </c>
      <c r="J669" s="193" t="str">
        <f>'Buildings - Grid Electricity'!D174</f>
        <v/>
      </c>
      <c r="K669" s="237"/>
      <c r="L669" s="237"/>
      <c r="M669" s="193" t="str">
        <f>'Buildings - Grid Electricity'!E174</f>
        <v/>
      </c>
      <c r="N669" s="193" t="str">
        <f>'Buildings - Grid Electricity'!F174</f>
        <v/>
      </c>
      <c r="O669" s="237"/>
      <c r="P669" s="193">
        <f>'Buildings - Grid Electricity'!G174</f>
        <v>0</v>
      </c>
      <c r="Q669" s="193" t="str">
        <f>'Buildings - Grid Electricity'!H174</f>
        <v/>
      </c>
      <c r="R669" s="193">
        <f>'Buildings - Grid Electricity'!I174</f>
        <v>0</v>
      </c>
      <c r="S669" s="193" t="str">
        <f>'Buildings - Grid Electricity'!J174</f>
        <v/>
      </c>
      <c r="T669" s="193" t="str">
        <f>'Buildings - Grid Electricity'!K174</f>
        <v/>
      </c>
      <c r="U669" s="193" t="str">
        <f>'Buildings - Grid Electricity'!L174</f>
        <v/>
      </c>
      <c r="V669" s="193" t="str">
        <f>'Buildings - Grid Electricity'!M174</f>
        <v/>
      </c>
      <c r="W669" s="193" t="str">
        <f>'Buildings - Grid Electricity'!N174</f>
        <v/>
      </c>
      <c r="X669" s="193">
        <f>'Buildings - Grid Electricity'!O174</f>
        <v>0</v>
      </c>
      <c r="Y669" s="193">
        <f>'Buildings - Grid Electricity'!P174</f>
        <v>0</v>
      </c>
      <c r="Z669" s="193" t="str">
        <f>'Buildings - Grid Electricity'!Q174</f>
        <v/>
      </c>
      <c r="AA669" s="193" t="str">
        <f>'Buildings - Grid Electricity'!R174</f>
        <v/>
      </c>
      <c r="AB669" s="193" t="str">
        <f>'Buildings - Grid Electricity'!S174</f>
        <v/>
      </c>
      <c r="AC669" s="193" t="str">
        <f>'Buildings - Grid Electricity'!T174</f>
        <v/>
      </c>
      <c r="AD669" s="193" t="str">
        <f>'Buildings - Grid Electricity'!U174</f>
        <v/>
      </c>
      <c r="AE669" s="193" t="str">
        <f>'Buildings - Grid Electricity'!V174</f>
        <v/>
      </c>
      <c r="AF669" s="193" t="str">
        <f>'Buildings - Grid Electricity'!W174</f>
        <v/>
      </c>
      <c r="AG669" s="193" t="str">
        <f>'Buildings - Grid Electricity'!X174</f>
        <v/>
      </c>
      <c r="AI669" s="193">
        <f t="shared" si="10"/>
        <v>0</v>
      </c>
      <c r="AJ669" s="193">
        <f t="shared" si="11"/>
        <v>0</v>
      </c>
    </row>
    <row r="670" spans="2:36" x14ac:dyDescent="0.35">
      <c r="B670" s="193" t="e">
        <f>"2024"&amp;MATCH(Totals!D670,OrgType,0)&amp;"_"&amp;MATCH(Totals!E670,Organisations,0)&amp;"_"&amp;LEFT(Totals!F670,1)&amp;"_"&amp;LEFT(G670,1)&amp;"_"&amp;COUNTIF($G$3:G670,G670)</f>
        <v>#N/A</v>
      </c>
      <c r="C670" s="193">
        <v>2025</v>
      </c>
      <c r="D670" s="193">
        <f>Introduction!$D$7</f>
        <v>0</v>
      </c>
      <c r="E670" s="193">
        <f>Introduction!$D$8</f>
        <v>0</v>
      </c>
      <c r="F670" s="193" t="s">
        <v>488</v>
      </c>
      <c r="G670" s="193" t="s">
        <v>171</v>
      </c>
      <c r="H670" s="193">
        <f>'Buildings - Grid Electricity'!B175</f>
        <v>0</v>
      </c>
      <c r="I670" s="193">
        <f>'Buildings - Grid Electricity'!C175</f>
        <v>0</v>
      </c>
      <c r="J670" s="193" t="str">
        <f>'Buildings - Grid Electricity'!D175</f>
        <v/>
      </c>
      <c r="K670" s="237"/>
      <c r="L670" s="237"/>
      <c r="M670" s="193" t="str">
        <f>'Buildings - Grid Electricity'!E175</f>
        <v/>
      </c>
      <c r="N670" s="193" t="str">
        <f>'Buildings - Grid Electricity'!F175</f>
        <v/>
      </c>
      <c r="O670" s="237"/>
      <c r="P670" s="193">
        <f>'Buildings - Grid Electricity'!G175</f>
        <v>0</v>
      </c>
      <c r="Q670" s="193" t="str">
        <f>'Buildings - Grid Electricity'!H175</f>
        <v/>
      </c>
      <c r="R670" s="193">
        <f>'Buildings - Grid Electricity'!I175</f>
        <v>0</v>
      </c>
      <c r="S670" s="193" t="str">
        <f>'Buildings - Grid Electricity'!J175</f>
        <v/>
      </c>
      <c r="T670" s="193" t="str">
        <f>'Buildings - Grid Electricity'!K175</f>
        <v/>
      </c>
      <c r="U670" s="193" t="str">
        <f>'Buildings - Grid Electricity'!L175</f>
        <v/>
      </c>
      <c r="V670" s="193" t="str">
        <f>'Buildings - Grid Electricity'!M175</f>
        <v/>
      </c>
      <c r="W670" s="193" t="str">
        <f>'Buildings - Grid Electricity'!N175</f>
        <v/>
      </c>
      <c r="X670" s="193">
        <f>'Buildings - Grid Electricity'!O175</f>
        <v>0</v>
      </c>
      <c r="Y670" s="193">
        <f>'Buildings - Grid Electricity'!P175</f>
        <v>0</v>
      </c>
      <c r="Z670" s="193" t="str">
        <f>'Buildings - Grid Electricity'!Q175</f>
        <v/>
      </c>
      <c r="AA670" s="193" t="str">
        <f>'Buildings - Grid Electricity'!R175</f>
        <v/>
      </c>
      <c r="AB670" s="193" t="str">
        <f>'Buildings - Grid Electricity'!S175</f>
        <v/>
      </c>
      <c r="AC670" s="193" t="str">
        <f>'Buildings - Grid Electricity'!T175</f>
        <v/>
      </c>
      <c r="AD670" s="193" t="str">
        <f>'Buildings - Grid Electricity'!U175</f>
        <v/>
      </c>
      <c r="AE670" s="193" t="str">
        <f>'Buildings - Grid Electricity'!V175</f>
        <v/>
      </c>
      <c r="AF670" s="193" t="str">
        <f>'Buildings - Grid Electricity'!W175</f>
        <v/>
      </c>
      <c r="AG670" s="193" t="str">
        <f>'Buildings - Grid Electricity'!X175</f>
        <v/>
      </c>
      <c r="AI670" s="193">
        <f t="shared" si="10"/>
        <v>0</v>
      </c>
      <c r="AJ670" s="193">
        <f t="shared" si="11"/>
        <v>0</v>
      </c>
    </row>
    <row r="671" spans="2:36" x14ac:dyDescent="0.35">
      <c r="B671" s="193" t="e">
        <f>"2024"&amp;MATCH(Totals!D671,OrgType,0)&amp;"_"&amp;MATCH(Totals!E671,Organisations,0)&amp;"_"&amp;LEFT(Totals!F671,1)&amp;"_"&amp;LEFT(G671,1)&amp;"_"&amp;COUNTIF($G$3:G671,G671)</f>
        <v>#N/A</v>
      </c>
      <c r="C671" s="193">
        <v>2025</v>
      </c>
      <c r="D671" s="193">
        <f>Introduction!$D$7</f>
        <v>0</v>
      </c>
      <c r="E671" s="193">
        <f>Introduction!$D$8</f>
        <v>0</v>
      </c>
      <c r="F671" s="193" t="s">
        <v>488</v>
      </c>
      <c r="G671" s="193" t="s">
        <v>171</v>
      </c>
      <c r="H671" s="193">
        <f>'Buildings - Grid Electricity'!B176</f>
        <v>0</v>
      </c>
      <c r="I671" s="193">
        <f>'Buildings - Grid Electricity'!C176</f>
        <v>0</v>
      </c>
      <c r="J671" s="193" t="str">
        <f>'Buildings - Grid Electricity'!D176</f>
        <v/>
      </c>
      <c r="K671" s="237"/>
      <c r="L671" s="237"/>
      <c r="M671" s="193" t="str">
        <f>'Buildings - Grid Electricity'!E176</f>
        <v/>
      </c>
      <c r="N671" s="193" t="str">
        <f>'Buildings - Grid Electricity'!F176</f>
        <v/>
      </c>
      <c r="O671" s="237"/>
      <c r="P671" s="193">
        <f>'Buildings - Grid Electricity'!G176</f>
        <v>0</v>
      </c>
      <c r="Q671" s="193" t="str">
        <f>'Buildings - Grid Electricity'!H176</f>
        <v/>
      </c>
      <c r="R671" s="193">
        <f>'Buildings - Grid Electricity'!I176</f>
        <v>0</v>
      </c>
      <c r="S671" s="193" t="str">
        <f>'Buildings - Grid Electricity'!J176</f>
        <v/>
      </c>
      <c r="T671" s="193" t="str">
        <f>'Buildings - Grid Electricity'!K176</f>
        <v/>
      </c>
      <c r="U671" s="193" t="str">
        <f>'Buildings - Grid Electricity'!L176</f>
        <v/>
      </c>
      <c r="V671" s="193" t="str">
        <f>'Buildings - Grid Electricity'!M176</f>
        <v/>
      </c>
      <c r="W671" s="193" t="str">
        <f>'Buildings - Grid Electricity'!N176</f>
        <v/>
      </c>
      <c r="X671" s="193">
        <f>'Buildings - Grid Electricity'!O176</f>
        <v>0</v>
      </c>
      <c r="Y671" s="193">
        <f>'Buildings - Grid Electricity'!P176</f>
        <v>0</v>
      </c>
      <c r="Z671" s="193" t="str">
        <f>'Buildings - Grid Electricity'!Q176</f>
        <v/>
      </c>
      <c r="AA671" s="193" t="str">
        <f>'Buildings - Grid Electricity'!R176</f>
        <v/>
      </c>
      <c r="AB671" s="193" t="str">
        <f>'Buildings - Grid Electricity'!S176</f>
        <v/>
      </c>
      <c r="AC671" s="193" t="str">
        <f>'Buildings - Grid Electricity'!T176</f>
        <v/>
      </c>
      <c r="AD671" s="193" t="str">
        <f>'Buildings - Grid Electricity'!U176</f>
        <v/>
      </c>
      <c r="AE671" s="193" t="str">
        <f>'Buildings - Grid Electricity'!V176</f>
        <v/>
      </c>
      <c r="AF671" s="193" t="str">
        <f>'Buildings - Grid Electricity'!W176</f>
        <v/>
      </c>
      <c r="AG671" s="193" t="str">
        <f>'Buildings - Grid Electricity'!X176</f>
        <v/>
      </c>
      <c r="AI671" s="193">
        <f t="shared" si="10"/>
        <v>0</v>
      </c>
      <c r="AJ671" s="193">
        <f t="shared" si="11"/>
        <v>0</v>
      </c>
    </row>
    <row r="672" spans="2:36" x14ac:dyDescent="0.35">
      <c r="B672" s="193" t="e">
        <f>"2024"&amp;MATCH(Totals!D672,OrgType,0)&amp;"_"&amp;MATCH(Totals!E672,Organisations,0)&amp;"_"&amp;LEFT(Totals!F672,1)&amp;"_"&amp;LEFT(G672,1)&amp;"_"&amp;COUNTIF($G$3:G672,G672)</f>
        <v>#N/A</v>
      </c>
      <c r="C672" s="193">
        <v>2025</v>
      </c>
      <c r="D672" s="193">
        <f>Introduction!$D$7</f>
        <v>0</v>
      </c>
      <c r="E672" s="193">
        <f>Introduction!$D$8</f>
        <v>0</v>
      </c>
      <c r="F672" s="193" t="s">
        <v>488</v>
      </c>
      <c r="G672" s="193" t="s">
        <v>171</v>
      </c>
      <c r="H672" s="193">
        <f>'Buildings - Grid Electricity'!B177</f>
        <v>0</v>
      </c>
      <c r="I672" s="193">
        <f>'Buildings - Grid Electricity'!C177</f>
        <v>0</v>
      </c>
      <c r="J672" s="193" t="str">
        <f>'Buildings - Grid Electricity'!D177</f>
        <v/>
      </c>
      <c r="K672" s="237"/>
      <c r="L672" s="237"/>
      <c r="M672" s="193" t="str">
        <f>'Buildings - Grid Electricity'!E177</f>
        <v/>
      </c>
      <c r="N672" s="193" t="str">
        <f>'Buildings - Grid Electricity'!F177</f>
        <v/>
      </c>
      <c r="O672" s="237"/>
      <c r="P672" s="193">
        <f>'Buildings - Grid Electricity'!G177</f>
        <v>0</v>
      </c>
      <c r="Q672" s="193" t="str">
        <f>'Buildings - Grid Electricity'!H177</f>
        <v/>
      </c>
      <c r="R672" s="193">
        <f>'Buildings - Grid Electricity'!I177</f>
        <v>0</v>
      </c>
      <c r="S672" s="193" t="str">
        <f>'Buildings - Grid Electricity'!J177</f>
        <v/>
      </c>
      <c r="T672" s="193" t="str">
        <f>'Buildings - Grid Electricity'!K177</f>
        <v/>
      </c>
      <c r="U672" s="193" t="str">
        <f>'Buildings - Grid Electricity'!L177</f>
        <v/>
      </c>
      <c r="V672" s="193" t="str">
        <f>'Buildings - Grid Electricity'!M177</f>
        <v/>
      </c>
      <c r="W672" s="193" t="str">
        <f>'Buildings - Grid Electricity'!N177</f>
        <v/>
      </c>
      <c r="X672" s="193">
        <f>'Buildings - Grid Electricity'!O177</f>
        <v>0</v>
      </c>
      <c r="Y672" s="193">
        <f>'Buildings - Grid Electricity'!P177</f>
        <v>0</v>
      </c>
      <c r="Z672" s="193" t="str">
        <f>'Buildings - Grid Electricity'!Q177</f>
        <v/>
      </c>
      <c r="AA672" s="193" t="str">
        <f>'Buildings - Grid Electricity'!R177</f>
        <v/>
      </c>
      <c r="AB672" s="193" t="str">
        <f>'Buildings - Grid Electricity'!S177</f>
        <v/>
      </c>
      <c r="AC672" s="193" t="str">
        <f>'Buildings - Grid Electricity'!T177</f>
        <v/>
      </c>
      <c r="AD672" s="193" t="str">
        <f>'Buildings - Grid Electricity'!U177</f>
        <v/>
      </c>
      <c r="AE672" s="193" t="str">
        <f>'Buildings - Grid Electricity'!V177</f>
        <v/>
      </c>
      <c r="AF672" s="193" t="str">
        <f>'Buildings - Grid Electricity'!W177</f>
        <v/>
      </c>
      <c r="AG672" s="193" t="str">
        <f>'Buildings - Grid Electricity'!X177</f>
        <v/>
      </c>
      <c r="AI672" s="193">
        <f t="shared" si="10"/>
        <v>0</v>
      </c>
      <c r="AJ672" s="193">
        <f t="shared" si="11"/>
        <v>0</v>
      </c>
    </row>
    <row r="673" spans="2:36" x14ac:dyDescent="0.35">
      <c r="B673" s="193" t="e">
        <f>"2024"&amp;MATCH(Totals!D673,OrgType,0)&amp;"_"&amp;MATCH(Totals!E673,Organisations,0)&amp;"_"&amp;LEFT(Totals!F673,1)&amp;"_"&amp;LEFT(G673,1)&amp;"_"&amp;COUNTIF($G$3:G673,G673)</f>
        <v>#N/A</v>
      </c>
      <c r="C673" s="193">
        <v>2025</v>
      </c>
      <c r="D673" s="193">
        <f>Introduction!$D$7</f>
        <v>0</v>
      </c>
      <c r="E673" s="193">
        <f>Introduction!$D$8</f>
        <v>0</v>
      </c>
      <c r="F673" s="193" t="s">
        <v>488</v>
      </c>
      <c r="G673" s="193" t="s">
        <v>171</v>
      </c>
      <c r="H673" s="193">
        <f>'Buildings - Grid Electricity'!B178</f>
        <v>0</v>
      </c>
      <c r="I673" s="193">
        <f>'Buildings - Grid Electricity'!C178</f>
        <v>0</v>
      </c>
      <c r="J673" s="193" t="str">
        <f>'Buildings - Grid Electricity'!D178</f>
        <v/>
      </c>
      <c r="K673" s="237"/>
      <c r="L673" s="237"/>
      <c r="M673" s="193" t="str">
        <f>'Buildings - Grid Electricity'!E178</f>
        <v/>
      </c>
      <c r="N673" s="193" t="str">
        <f>'Buildings - Grid Electricity'!F178</f>
        <v/>
      </c>
      <c r="O673" s="237"/>
      <c r="P673" s="193">
        <f>'Buildings - Grid Electricity'!G178</f>
        <v>0</v>
      </c>
      <c r="Q673" s="193" t="str">
        <f>'Buildings - Grid Electricity'!H178</f>
        <v/>
      </c>
      <c r="R673" s="193">
        <f>'Buildings - Grid Electricity'!I178</f>
        <v>0</v>
      </c>
      <c r="S673" s="193" t="str">
        <f>'Buildings - Grid Electricity'!J178</f>
        <v/>
      </c>
      <c r="T673" s="193" t="str">
        <f>'Buildings - Grid Electricity'!K178</f>
        <v/>
      </c>
      <c r="U673" s="193" t="str">
        <f>'Buildings - Grid Electricity'!L178</f>
        <v/>
      </c>
      <c r="V673" s="193" t="str">
        <f>'Buildings - Grid Electricity'!M178</f>
        <v/>
      </c>
      <c r="W673" s="193" t="str">
        <f>'Buildings - Grid Electricity'!N178</f>
        <v/>
      </c>
      <c r="X673" s="193">
        <f>'Buildings - Grid Electricity'!O178</f>
        <v>0</v>
      </c>
      <c r="Y673" s="193">
        <f>'Buildings - Grid Electricity'!P178</f>
        <v>0</v>
      </c>
      <c r="Z673" s="193" t="str">
        <f>'Buildings - Grid Electricity'!Q178</f>
        <v/>
      </c>
      <c r="AA673" s="193" t="str">
        <f>'Buildings - Grid Electricity'!R178</f>
        <v/>
      </c>
      <c r="AB673" s="193" t="str">
        <f>'Buildings - Grid Electricity'!S178</f>
        <v/>
      </c>
      <c r="AC673" s="193" t="str">
        <f>'Buildings - Grid Electricity'!T178</f>
        <v/>
      </c>
      <c r="AD673" s="193" t="str">
        <f>'Buildings - Grid Electricity'!U178</f>
        <v/>
      </c>
      <c r="AE673" s="193" t="str">
        <f>'Buildings - Grid Electricity'!V178</f>
        <v/>
      </c>
      <c r="AF673" s="193" t="str">
        <f>'Buildings - Grid Electricity'!W178</f>
        <v/>
      </c>
      <c r="AG673" s="193" t="str">
        <f>'Buildings - Grid Electricity'!X178</f>
        <v/>
      </c>
      <c r="AI673" s="193">
        <f t="shared" si="10"/>
        <v>0</v>
      </c>
      <c r="AJ673" s="193">
        <f t="shared" si="11"/>
        <v>0</v>
      </c>
    </row>
    <row r="674" spans="2:36" x14ac:dyDescent="0.35">
      <c r="B674" s="193" t="e">
        <f>"2024"&amp;MATCH(Totals!D674,OrgType,0)&amp;"_"&amp;MATCH(Totals!E674,Organisations,0)&amp;"_"&amp;LEFT(Totals!F674,1)&amp;"_"&amp;LEFT(G674,1)&amp;"_"&amp;COUNTIF($G$3:G674,G674)</f>
        <v>#N/A</v>
      </c>
      <c r="C674" s="193">
        <v>2025</v>
      </c>
      <c r="D674" s="193">
        <f>Introduction!$D$7</f>
        <v>0</v>
      </c>
      <c r="E674" s="193">
        <f>Introduction!$D$8</f>
        <v>0</v>
      </c>
      <c r="F674" s="193" t="s">
        <v>488</v>
      </c>
      <c r="G674" s="193" t="s">
        <v>171</v>
      </c>
      <c r="H674" s="193">
        <f>'Buildings - Grid Electricity'!B179</f>
        <v>0</v>
      </c>
      <c r="I674" s="193">
        <f>'Buildings - Grid Electricity'!C179</f>
        <v>0</v>
      </c>
      <c r="J674" s="193" t="str">
        <f>'Buildings - Grid Electricity'!D179</f>
        <v/>
      </c>
      <c r="K674" s="237"/>
      <c r="L674" s="237"/>
      <c r="M674" s="193" t="str">
        <f>'Buildings - Grid Electricity'!E179</f>
        <v/>
      </c>
      <c r="N674" s="193" t="str">
        <f>'Buildings - Grid Electricity'!F179</f>
        <v/>
      </c>
      <c r="O674" s="237"/>
      <c r="P674" s="193">
        <f>'Buildings - Grid Electricity'!G179</f>
        <v>0</v>
      </c>
      <c r="Q674" s="193" t="str">
        <f>'Buildings - Grid Electricity'!H179</f>
        <v/>
      </c>
      <c r="R674" s="193">
        <f>'Buildings - Grid Electricity'!I179</f>
        <v>0</v>
      </c>
      <c r="S674" s="193" t="str">
        <f>'Buildings - Grid Electricity'!J179</f>
        <v/>
      </c>
      <c r="T674" s="193" t="str">
        <f>'Buildings - Grid Electricity'!K179</f>
        <v/>
      </c>
      <c r="U674" s="193" t="str">
        <f>'Buildings - Grid Electricity'!L179</f>
        <v/>
      </c>
      <c r="V674" s="193" t="str">
        <f>'Buildings - Grid Electricity'!M179</f>
        <v/>
      </c>
      <c r="W674" s="193" t="str">
        <f>'Buildings - Grid Electricity'!N179</f>
        <v/>
      </c>
      <c r="X674" s="193">
        <f>'Buildings - Grid Electricity'!O179</f>
        <v>0</v>
      </c>
      <c r="Y674" s="193">
        <f>'Buildings - Grid Electricity'!P179</f>
        <v>0</v>
      </c>
      <c r="Z674" s="193" t="str">
        <f>'Buildings - Grid Electricity'!Q179</f>
        <v/>
      </c>
      <c r="AA674" s="193" t="str">
        <f>'Buildings - Grid Electricity'!R179</f>
        <v/>
      </c>
      <c r="AB674" s="193" t="str">
        <f>'Buildings - Grid Electricity'!S179</f>
        <v/>
      </c>
      <c r="AC674" s="193" t="str">
        <f>'Buildings - Grid Electricity'!T179</f>
        <v/>
      </c>
      <c r="AD674" s="193" t="str">
        <f>'Buildings - Grid Electricity'!U179</f>
        <v/>
      </c>
      <c r="AE674" s="193" t="str">
        <f>'Buildings - Grid Electricity'!V179</f>
        <v/>
      </c>
      <c r="AF674" s="193" t="str">
        <f>'Buildings - Grid Electricity'!W179</f>
        <v/>
      </c>
      <c r="AG674" s="193" t="str">
        <f>'Buildings - Grid Electricity'!X179</f>
        <v/>
      </c>
      <c r="AI674" s="193">
        <f t="shared" si="10"/>
        <v>0</v>
      </c>
      <c r="AJ674" s="193">
        <f t="shared" si="11"/>
        <v>0</v>
      </c>
    </row>
    <row r="675" spans="2:36" x14ac:dyDescent="0.35">
      <c r="B675" s="193" t="e">
        <f>"2024"&amp;MATCH(Totals!D675,OrgType,0)&amp;"_"&amp;MATCH(Totals!E675,Organisations,0)&amp;"_"&amp;LEFT(Totals!F675,1)&amp;"_"&amp;LEFT(G675,1)&amp;"_"&amp;COUNTIF($G$3:G675,G675)</f>
        <v>#N/A</v>
      </c>
      <c r="C675" s="193">
        <v>2025</v>
      </c>
      <c r="D675" s="193">
        <f>Introduction!$D$7</f>
        <v>0</v>
      </c>
      <c r="E675" s="193">
        <f>Introduction!$D$8</f>
        <v>0</v>
      </c>
      <c r="F675" s="193" t="s">
        <v>488</v>
      </c>
      <c r="G675" s="193" t="s">
        <v>171</v>
      </c>
      <c r="H675" s="193">
        <f>'Buildings - Grid Electricity'!B180</f>
        <v>0</v>
      </c>
      <c r="I675" s="193">
        <f>'Buildings - Grid Electricity'!C180</f>
        <v>0</v>
      </c>
      <c r="J675" s="193" t="str">
        <f>'Buildings - Grid Electricity'!D180</f>
        <v/>
      </c>
      <c r="K675" s="237"/>
      <c r="L675" s="237"/>
      <c r="M675" s="193" t="str">
        <f>'Buildings - Grid Electricity'!E180</f>
        <v/>
      </c>
      <c r="N675" s="193" t="str">
        <f>'Buildings - Grid Electricity'!F180</f>
        <v/>
      </c>
      <c r="O675" s="237"/>
      <c r="P675" s="193">
        <f>'Buildings - Grid Electricity'!G180</f>
        <v>0</v>
      </c>
      <c r="Q675" s="193" t="str">
        <f>'Buildings - Grid Electricity'!H180</f>
        <v/>
      </c>
      <c r="R675" s="193">
        <f>'Buildings - Grid Electricity'!I180</f>
        <v>0</v>
      </c>
      <c r="S675" s="193" t="str">
        <f>'Buildings - Grid Electricity'!J180</f>
        <v/>
      </c>
      <c r="T675" s="193" t="str">
        <f>'Buildings - Grid Electricity'!K180</f>
        <v/>
      </c>
      <c r="U675" s="193" t="str">
        <f>'Buildings - Grid Electricity'!L180</f>
        <v/>
      </c>
      <c r="V675" s="193" t="str">
        <f>'Buildings - Grid Electricity'!M180</f>
        <v/>
      </c>
      <c r="W675" s="193" t="str">
        <f>'Buildings - Grid Electricity'!N180</f>
        <v/>
      </c>
      <c r="X675" s="193">
        <f>'Buildings - Grid Electricity'!O180</f>
        <v>0</v>
      </c>
      <c r="Y675" s="193">
        <f>'Buildings - Grid Electricity'!P180</f>
        <v>0</v>
      </c>
      <c r="Z675" s="193" t="str">
        <f>'Buildings - Grid Electricity'!Q180</f>
        <v/>
      </c>
      <c r="AA675" s="193" t="str">
        <f>'Buildings - Grid Electricity'!R180</f>
        <v/>
      </c>
      <c r="AB675" s="193" t="str">
        <f>'Buildings - Grid Electricity'!S180</f>
        <v/>
      </c>
      <c r="AC675" s="193" t="str">
        <f>'Buildings - Grid Electricity'!T180</f>
        <v/>
      </c>
      <c r="AD675" s="193" t="str">
        <f>'Buildings - Grid Electricity'!U180</f>
        <v/>
      </c>
      <c r="AE675" s="193" t="str">
        <f>'Buildings - Grid Electricity'!V180</f>
        <v/>
      </c>
      <c r="AF675" s="193" t="str">
        <f>'Buildings - Grid Electricity'!W180</f>
        <v/>
      </c>
      <c r="AG675" s="193" t="str">
        <f>'Buildings - Grid Electricity'!X180</f>
        <v/>
      </c>
      <c r="AI675" s="193">
        <f t="shared" si="10"/>
        <v>0</v>
      </c>
      <c r="AJ675" s="193">
        <f t="shared" si="11"/>
        <v>0</v>
      </c>
    </row>
    <row r="676" spans="2:36" x14ac:dyDescent="0.35">
      <c r="B676" s="193" t="e">
        <f>"2024"&amp;MATCH(Totals!D676,OrgType,0)&amp;"_"&amp;MATCH(Totals!E676,Organisations,0)&amp;"_"&amp;LEFT(Totals!F676,1)&amp;"_"&amp;LEFT(G676,1)&amp;"_"&amp;COUNTIF($G$3:G676,G676)</f>
        <v>#N/A</v>
      </c>
      <c r="C676" s="193">
        <v>2025</v>
      </c>
      <c r="D676" s="193">
        <f>Introduction!$D$7</f>
        <v>0</v>
      </c>
      <c r="E676" s="193">
        <f>Introduction!$D$8</f>
        <v>0</v>
      </c>
      <c r="F676" s="193" t="s">
        <v>488</v>
      </c>
      <c r="G676" s="193" t="s">
        <v>171</v>
      </c>
      <c r="H676" s="193">
        <f>'Buildings - Grid Electricity'!B181</f>
        <v>0</v>
      </c>
      <c r="I676" s="193">
        <f>'Buildings - Grid Electricity'!C181</f>
        <v>0</v>
      </c>
      <c r="J676" s="193" t="str">
        <f>'Buildings - Grid Electricity'!D181</f>
        <v/>
      </c>
      <c r="K676" s="237"/>
      <c r="L676" s="237"/>
      <c r="M676" s="193" t="str">
        <f>'Buildings - Grid Electricity'!E181</f>
        <v/>
      </c>
      <c r="N676" s="193" t="str">
        <f>'Buildings - Grid Electricity'!F181</f>
        <v/>
      </c>
      <c r="O676" s="237"/>
      <c r="P676" s="193">
        <f>'Buildings - Grid Electricity'!G181</f>
        <v>0</v>
      </c>
      <c r="Q676" s="193" t="str">
        <f>'Buildings - Grid Electricity'!H181</f>
        <v/>
      </c>
      <c r="R676" s="193">
        <f>'Buildings - Grid Electricity'!I181</f>
        <v>0</v>
      </c>
      <c r="S676" s="193" t="str">
        <f>'Buildings - Grid Electricity'!J181</f>
        <v/>
      </c>
      <c r="T676" s="193" t="str">
        <f>'Buildings - Grid Electricity'!K181</f>
        <v/>
      </c>
      <c r="U676" s="193" t="str">
        <f>'Buildings - Grid Electricity'!L181</f>
        <v/>
      </c>
      <c r="V676" s="193" t="str">
        <f>'Buildings - Grid Electricity'!M181</f>
        <v/>
      </c>
      <c r="W676" s="193" t="str">
        <f>'Buildings - Grid Electricity'!N181</f>
        <v/>
      </c>
      <c r="X676" s="193">
        <f>'Buildings - Grid Electricity'!O181</f>
        <v>0</v>
      </c>
      <c r="Y676" s="193">
        <f>'Buildings - Grid Electricity'!P181</f>
        <v>0</v>
      </c>
      <c r="Z676" s="193" t="str">
        <f>'Buildings - Grid Electricity'!Q181</f>
        <v/>
      </c>
      <c r="AA676" s="193" t="str">
        <f>'Buildings - Grid Electricity'!R181</f>
        <v/>
      </c>
      <c r="AB676" s="193" t="str">
        <f>'Buildings - Grid Electricity'!S181</f>
        <v/>
      </c>
      <c r="AC676" s="193" t="str">
        <f>'Buildings - Grid Electricity'!T181</f>
        <v/>
      </c>
      <c r="AD676" s="193" t="str">
        <f>'Buildings - Grid Electricity'!U181</f>
        <v/>
      </c>
      <c r="AE676" s="193" t="str">
        <f>'Buildings - Grid Electricity'!V181</f>
        <v/>
      </c>
      <c r="AF676" s="193" t="str">
        <f>'Buildings - Grid Electricity'!W181</f>
        <v/>
      </c>
      <c r="AG676" s="193" t="str">
        <f>'Buildings - Grid Electricity'!X181</f>
        <v/>
      </c>
      <c r="AI676" s="193">
        <f t="shared" si="10"/>
        <v>0</v>
      </c>
      <c r="AJ676" s="193">
        <f t="shared" si="11"/>
        <v>0</v>
      </c>
    </row>
    <row r="677" spans="2:36" x14ac:dyDescent="0.35">
      <c r="B677" s="193" t="e">
        <f>"2024"&amp;MATCH(Totals!D677,OrgType,0)&amp;"_"&amp;MATCH(Totals!E677,Organisations,0)&amp;"_"&amp;LEFT(Totals!F677,1)&amp;"_"&amp;LEFT(G677,1)&amp;"_"&amp;COUNTIF($G$3:G677,G677)</f>
        <v>#N/A</v>
      </c>
      <c r="C677" s="193">
        <v>2025</v>
      </c>
      <c r="D677" s="193">
        <f>Introduction!$D$7</f>
        <v>0</v>
      </c>
      <c r="E677" s="193">
        <f>Introduction!$D$8</f>
        <v>0</v>
      </c>
      <c r="F677" s="193" t="s">
        <v>488</v>
      </c>
      <c r="G677" s="193" t="s">
        <v>171</v>
      </c>
      <c r="H677" s="193">
        <f>'Buildings - Grid Electricity'!B182</f>
        <v>0</v>
      </c>
      <c r="I677" s="193">
        <f>'Buildings - Grid Electricity'!C182</f>
        <v>0</v>
      </c>
      <c r="J677" s="193" t="str">
        <f>'Buildings - Grid Electricity'!D182</f>
        <v/>
      </c>
      <c r="K677" s="237"/>
      <c r="L677" s="237"/>
      <c r="M677" s="193" t="str">
        <f>'Buildings - Grid Electricity'!E182</f>
        <v/>
      </c>
      <c r="N677" s="193" t="str">
        <f>'Buildings - Grid Electricity'!F182</f>
        <v/>
      </c>
      <c r="O677" s="237"/>
      <c r="P677" s="193">
        <f>'Buildings - Grid Electricity'!G182</f>
        <v>0</v>
      </c>
      <c r="Q677" s="193" t="str">
        <f>'Buildings - Grid Electricity'!H182</f>
        <v/>
      </c>
      <c r="R677" s="193">
        <f>'Buildings - Grid Electricity'!I182</f>
        <v>0</v>
      </c>
      <c r="S677" s="193" t="str">
        <f>'Buildings - Grid Electricity'!J182</f>
        <v/>
      </c>
      <c r="T677" s="193" t="str">
        <f>'Buildings - Grid Electricity'!K182</f>
        <v/>
      </c>
      <c r="U677" s="193" t="str">
        <f>'Buildings - Grid Electricity'!L182</f>
        <v/>
      </c>
      <c r="V677" s="193" t="str">
        <f>'Buildings - Grid Electricity'!M182</f>
        <v/>
      </c>
      <c r="W677" s="193" t="str">
        <f>'Buildings - Grid Electricity'!N182</f>
        <v/>
      </c>
      <c r="X677" s="193">
        <f>'Buildings - Grid Electricity'!O182</f>
        <v>0</v>
      </c>
      <c r="Y677" s="193">
        <f>'Buildings - Grid Electricity'!P182</f>
        <v>0</v>
      </c>
      <c r="Z677" s="193" t="str">
        <f>'Buildings - Grid Electricity'!Q182</f>
        <v/>
      </c>
      <c r="AA677" s="193" t="str">
        <f>'Buildings - Grid Electricity'!R182</f>
        <v/>
      </c>
      <c r="AB677" s="193" t="str">
        <f>'Buildings - Grid Electricity'!S182</f>
        <v/>
      </c>
      <c r="AC677" s="193" t="str">
        <f>'Buildings - Grid Electricity'!T182</f>
        <v/>
      </c>
      <c r="AD677" s="193" t="str">
        <f>'Buildings - Grid Electricity'!U182</f>
        <v/>
      </c>
      <c r="AE677" s="193" t="str">
        <f>'Buildings - Grid Electricity'!V182</f>
        <v/>
      </c>
      <c r="AF677" s="193" t="str">
        <f>'Buildings - Grid Electricity'!W182</f>
        <v/>
      </c>
      <c r="AG677" s="193" t="str">
        <f>'Buildings - Grid Electricity'!X182</f>
        <v/>
      </c>
      <c r="AI677" s="193">
        <f t="shared" si="10"/>
        <v>0</v>
      </c>
      <c r="AJ677" s="193">
        <f t="shared" si="11"/>
        <v>0</v>
      </c>
    </row>
    <row r="678" spans="2:36" x14ac:dyDescent="0.35">
      <c r="B678" s="193" t="e">
        <f>"2024"&amp;MATCH(Totals!D678,OrgType,0)&amp;"_"&amp;MATCH(Totals!E678,Organisations,0)&amp;"_"&amp;LEFT(Totals!F678,1)&amp;"_"&amp;LEFT(G678,1)&amp;"_"&amp;COUNTIF($G$3:G678,G678)</f>
        <v>#N/A</v>
      </c>
      <c r="C678" s="193">
        <v>2025</v>
      </c>
      <c r="D678" s="193">
        <f>Introduction!$D$7</f>
        <v>0</v>
      </c>
      <c r="E678" s="193">
        <f>Introduction!$D$8</f>
        <v>0</v>
      </c>
      <c r="F678" s="193" t="s">
        <v>488</v>
      </c>
      <c r="G678" s="193" t="s">
        <v>171</v>
      </c>
      <c r="H678" s="193">
        <f>'Buildings - Grid Electricity'!B183</f>
        <v>0</v>
      </c>
      <c r="I678" s="193">
        <f>'Buildings - Grid Electricity'!C183</f>
        <v>0</v>
      </c>
      <c r="J678" s="193" t="str">
        <f>'Buildings - Grid Electricity'!D183</f>
        <v/>
      </c>
      <c r="K678" s="237"/>
      <c r="L678" s="237"/>
      <c r="M678" s="193" t="str">
        <f>'Buildings - Grid Electricity'!E183</f>
        <v/>
      </c>
      <c r="N678" s="193" t="str">
        <f>'Buildings - Grid Electricity'!F183</f>
        <v/>
      </c>
      <c r="O678" s="237"/>
      <c r="P678" s="193">
        <f>'Buildings - Grid Electricity'!G183</f>
        <v>0</v>
      </c>
      <c r="Q678" s="193" t="str">
        <f>'Buildings - Grid Electricity'!H183</f>
        <v/>
      </c>
      <c r="R678" s="193">
        <f>'Buildings - Grid Electricity'!I183</f>
        <v>0</v>
      </c>
      <c r="S678" s="193" t="str">
        <f>'Buildings - Grid Electricity'!J183</f>
        <v/>
      </c>
      <c r="T678" s="193" t="str">
        <f>'Buildings - Grid Electricity'!K183</f>
        <v/>
      </c>
      <c r="U678" s="193" t="str">
        <f>'Buildings - Grid Electricity'!L183</f>
        <v/>
      </c>
      <c r="V678" s="193" t="str">
        <f>'Buildings - Grid Electricity'!M183</f>
        <v/>
      </c>
      <c r="W678" s="193" t="str">
        <f>'Buildings - Grid Electricity'!N183</f>
        <v/>
      </c>
      <c r="X678" s="193">
        <f>'Buildings - Grid Electricity'!O183</f>
        <v>0</v>
      </c>
      <c r="Y678" s="193">
        <f>'Buildings - Grid Electricity'!P183</f>
        <v>0</v>
      </c>
      <c r="Z678" s="193" t="str">
        <f>'Buildings - Grid Electricity'!Q183</f>
        <v/>
      </c>
      <c r="AA678" s="193" t="str">
        <f>'Buildings - Grid Electricity'!R183</f>
        <v/>
      </c>
      <c r="AB678" s="193" t="str">
        <f>'Buildings - Grid Electricity'!S183</f>
        <v/>
      </c>
      <c r="AC678" s="193" t="str">
        <f>'Buildings - Grid Electricity'!T183</f>
        <v/>
      </c>
      <c r="AD678" s="193" t="str">
        <f>'Buildings - Grid Electricity'!U183</f>
        <v/>
      </c>
      <c r="AE678" s="193" t="str">
        <f>'Buildings - Grid Electricity'!V183</f>
        <v/>
      </c>
      <c r="AF678" s="193" t="str">
        <f>'Buildings - Grid Electricity'!W183</f>
        <v/>
      </c>
      <c r="AG678" s="193" t="str">
        <f>'Buildings - Grid Electricity'!X183</f>
        <v/>
      </c>
      <c r="AI678" s="193">
        <f t="shared" si="10"/>
        <v>0</v>
      </c>
      <c r="AJ678" s="193">
        <f t="shared" si="11"/>
        <v>0</v>
      </c>
    </row>
    <row r="679" spans="2:36" x14ac:dyDescent="0.35">
      <c r="B679" s="193" t="e">
        <f>"2024"&amp;MATCH(Totals!D679,OrgType,0)&amp;"_"&amp;MATCH(Totals!E679,Organisations,0)&amp;"_"&amp;LEFT(Totals!F679,1)&amp;"_"&amp;LEFT(G679,1)&amp;"_"&amp;COUNTIF($G$3:G679,G679)</f>
        <v>#N/A</v>
      </c>
      <c r="C679" s="193">
        <v>2025</v>
      </c>
      <c r="D679" s="193">
        <f>Introduction!$D$7</f>
        <v>0</v>
      </c>
      <c r="E679" s="193">
        <f>Introduction!$D$8</f>
        <v>0</v>
      </c>
      <c r="F679" s="193" t="s">
        <v>488</v>
      </c>
      <c r="G679" s="193" t="s">
        <v>171</v>
      </c>
      <c r="H679" s="193">
        <f>'Buildings - Grid Electricity'!B184</f>
        <v>0</v>
      </c>
      <c r="I679" s="193">
        <f>'Buildings - Grid Electricity'!C184</f>
        <v>0</v>
      </c>
      <c r="J679" s="193" t="str">
        <f>'Buildings - Grid Electricity'!D184</f>
        <v/>
      </c>
      <c r="K679" s="237"/>
      <c r="L679" s="237"/>
      <c r="M679" s="193" t="str">
        <f>'Buildings - Grid Electricity'!E184</f>
        <v/>
      </c>
      <c r="N679" s="193" t="str">
        <f>'Buildings - Grid Electricity'!F184</f>
        <v/>
      </c>
      <c r="O679" s="237"/>
      <c r="P679" s="193">
        <f>'Buildings - Grid Electricity'!G184</f>
        <v>0</v>
      </c>
      <c r="Q679" s="193" t="str">
        <f>'Buildings - Grid Electricity'!H184</f>
        <v/>
      </c>
      <c r="R679" s="193">
        <f>'Buildings - Grid Electricity'!I184</f>
        <v>0</v>
      </c>
      <c r="S679" s="193" t="str">
        <f>'Buildings - Grid Electricity'!J184</f>
        <v/>
      </c>
      <c r="T679" s="193" t="str">
        <f>'Buildings - Grid Electricity'!K184</f>
        <v/>
      </c>
      <c r="U679" s="193" t="str">
        <f>'Buildings - Grid Electricity'!L184</f>
        <v/>
      </c>
      <c r="V679" s="193" t="str">
        <f>'Buildings - Grid Electricity'!M184</f>
        <v/>
      </c>
      <c r="W679" s="193" t="str">
        <f>'Buildings - Grid Electricity'!N184</f>
        <v/>
      </c>
      <c r="X679" s="193">
        <f>'Buildings - Grid Electricity'!O184</f>
        <v>0</v>
      </c>
      <c r="Y679" s="193">
        <f>'Buildings - Grid Electricity'!P184</f>
        <v>0</v>
      </c>
      <c r="Z679" s="193" t="str">
        <f>'Buildings - Grid Electricity'!Q184</f>
        <v/>
      </c>
      <c r="AA679" s="193" t="str">
        <f>'Buildings - Grid Electricity'!R184</f>
        <v/>
      </c>
      <c r="AB679" s="193" t="str">
        <f>'Buildings - Grid Electricity'!S184</f>
        <v/>
      </c>
      <c r="AC679" s="193" t="str">
        <f>'Buildings - Grid Electricity'!T184</f>
        <v/>
      </c>
      <c r="AD679" s="193" t="str">
        <f>'Buildings - Grid Electricity'!U184</f>
        <v/>
      </c>
      <c r="AE679" s="193" t="str">
        <f>'Buildings - Grid Electricity'!V184</f>
        <v/>
      </c>
      <c r="AF679" s="193" t="str">
        <f>'Buildings - Grid Electricity'!W184</f>
        <v/>
      </c>
      <c r="AG679" s="193" t="str">
        <f>'Buildings - Grid Electricity'!X184</f>
        <v/>
      </c>
      <c r="AI679" s="193">
        <f t="shared" si="10"/>
        <v>0</v>
      </c>
      <c r="AJ679" s="193">
        <f t="shared" si="11"/>
        <v>0</v>
      </c>
    </row>
    <row r="680" spans="2:36" x14ac:dyDescent="0.35">
      <c r="B680" s="193" t="e">
        <f>"2024"&amp;MATCH(Totals!D680,OrgType,0)&amp;"_"&amp;MATCH(Totals!E680,Organisations,0)&amp;"_"&amp;LEFT(Totals!F680,1)&amp;"_"&amp;LEFT(G680,1)&amp;"_"&amp;COUNTIF($G$3:G680,G680)</f>
        <v>#N/A</v>
      </c>
      <c r="C680" s="193">
        <v>2025</v>
      </c>
      <c r="D680" s="193">
        <f>Introduction!$D$7</f>
        <v>0</v>
      </c>
      <c r="E680" s="193">
        <f>Introduction!$D$8</f>
        <v>0</v>
      </c>
      <c r="F680" s="193" t="s">
        <v>488</v>
      </c>
      <c r="G680" s="193" t="s">
        <v>171</v>
      </c>
      <c r="H680" s="193">
        <f>'Buildings - Grid Electricity'!B185</f>
        <v>0</v>
      </c>
      <c r="I680" s="193">
        <f>'Buildings - Grid Electricity'!C185</f>
        <v>0</v>
      </c>
      <c r="J680" s="193" t="str">
        <f>'Buildings - Grid Electricity'!D185</f>
        <v/>
      </c>
      <c r="K680" s="237"/>
      <c r="L680" s="237"/>
      <c r="M680" s="193" t="str">
        <f>'Buildings - Grid Electricity'!E185</f>
        <v/>
      </c>
      <c r="N680" s="193" t="str">
        <f>'Buildings - Grid Electricity'!F185</f>
        <v/>
      </c>
      <c r="O680" s="237"/>
      <c r="P680" s="193">
        <f>'Buildings - Grid Electricity'!G185</f>
        <v>0</v>
      </c>
      <c r="Q680" s="193" t="str">
        <f>'Buildings - Grid Electricity'!H185</f>
        <v/>
      </c>
      <c r="R680" s="193">
        <f>'Buildings - Grid Electricity'!I185</f>
        <v>0</v>
      </c>
      <c r="S680" s="193" t="str">
        <f>'Buildings - Grid Electricity'!J185</f>
        <v/>
      </c>
      <c r="T680" s="193" t="str">
        <f>'Buildings - Grid Electricity'!K185</f>
        <v/>
      </c>
      <c r="U680" s="193" t="str">
        <f>'Buildings - Grid Electricity'!L185</f>
        <v/>
      </c>
      <c r="V680" s="193" t="str">
        <f>'Buildings - Grid Electricity'!M185</f>
        <v/>
      </c>
      <c r="W680" s="193" t="str">
        <f>'Buildings - Grid Electricity'!N185</f>
        <v/>
      </c>
      <c r="X680" s="193">
        <f>'Buildings - Grid Electricity'!O185</f>
        <v>0</v>
      </c>
      <c r="Y680" s="193">
        <f>'Buildings - Grid Electricity'!P185</f>
        <v>0</v>
      </c>
      <c r="Z680" s="193" t="str">
        <f>'Buildings - Grid Electricity'!Q185</f>
        <v/>
      </c>
      <c r="AA680" s="193" t="str">
        <f>'Buildings - Grid Electricity'!R185</f>
        <v/>
      </c>
      <c r="AB680" s="193" t="str">
        <f>'Buildings - Grid Electricity'!S185</f>
        <v/>
      </c>
      <c r="AC680" s="193" t="str">
        <f>'Buildings - Grid Electricity'!T185</f>
        <v/>
      </c>
      <c r="AD680" s="193" t="str">
        <f>'Buildings - Grid Electricity'!U185</f>
        <v/>
      </c>
      <c r="AE680" s="193" t="str">
        <f>'Buildings - Grid Electricity'!V185</f>
        <v/>
      </c>
      <c r="AF680" s="193" t="str">
        <f>'Buildings - Grid Electricity'!W185</f>
        <v/>
      </c>
      <c r="AG680" s="193" t="str">
        <f>'Buildings - Grid Electricity'!X185</f>
        <v/>
      </c>
      <c r="AI680" s="193">
        <f t="shared" si="10"/>
        <v>0</v>
      </c>
      <c r="AJ680" s="193">
        <f t="shared" si="11"/>
        <v>0</v>
      </c>
    </row>
    <row r="681" spans="2:36" x14ac:dyDescent="0.35">
      <c r="B681" s="193" t="e">
        <f>"2024"&amp;MATCH(Totals!D681,OrgType,0)&amp;"_"&amp;MATCH(Totals!E681,Organisations,0)&amp;"_"&amp;LEFT(Totals!F681,1)&amp;"_"&amp;LEFT(G681,1)&amp;"_"&amp;COUNTIF($G$3:G681,G681)</f>
        <v>#N/A</v>
      </c>
      <c r="C681" s="193">
        <v>2025</v>
      </c>
      <c r="D681" s="193">
        <f>Introduction!$D$7</f>
        <v>0</v>
      </c>
      <c r="E681" s="193">
        <f>Introduction!$D$8</f>
        <v>0</v>
      </c>
      <c r="F681" s="193" t="s">
        <v>488</v>
      </c>
      <c r="G681" s="193" t="s">
        <v>171</v>
      </c>
      <c r="H681" s="193">
        <f>'Buildings - Grid Electricity'!B186</f>
        <v>0</v>
      </c>
      <c r="I681" s="193">
        <f>'Buildings - Grid Electricity'!C186</f>
        <v>0</v>
      </c>
      <c r="J681" s="193" t="str">
        <f>'Buildings - Grid Electricity'!D186</f>
        <v/>
      </c>
      <c r="K681" s="237"/>
      <c r="L681" s="237"/>
      <c r="M681" s="193" t="str">
        <f>'Buildings - Grid Electricity'!E186</f>
        <v/>
      </c>
      <c r="N681" s="193" t="str">
        <f>'Buildings - Grid Electricity'!F186</f>
        <v/>
      </c>
      <c r="O681" s="237"/>
      <c r="P681" s="193">
        <f>'Buildings - Grid Electricity'!G186</f>
        <v>0</v>
      </c>
      <c r="Q681" s="193" t="str">
        <f>'Buildings - Grid Electricity'!H186</f>
        <v/>
      </c>
      <c r="R681" s="193">
        <f>'Buildings - Grid Electricity'!I186</f>
        <v>0</v>
      </c>
      <c r="S681" s="193" t="str">
        <f>'Buildings - Grid Electricity'!J186</f>
        <v/>
      </c>
      <c r="T681" s="193" t="str">
        <f>'Buildings - Grid Electricity'!K186</f>
        <v/>
      </c>
      <c r="U681" s="193" t="str">
        <f>'Buildings - Grid Electricity'!L186</f>
        <v/>
      </c>
      <c r="V681" s="193" t="str">
        <f>'Buildings - Grid Electricity'!M186</f>
        <v/>
      </c>
      <c r="W681" s="193" t="str">
        <f>'Buildings - Grid Electricity'!N186</f>
        <v/>
      </c>
      <c r="X681" s="193">
        <f>'Buildings - Grid Electricity'!O186</f>
        <v>0</v>
      </c>
      <c r="Y681" s="193">
        <f>'Buildings - Grid Electricity'!P186</f>
        <v>0</v>
      </c>
      <c r="Z681" s="193" t="str">
        <f>'Buildings - Grid Electricity'!Q186</f>
        <v/>
      </c>
      <c r="AA681" s="193" t="str">
        <f>'Buildings - Grid Electricity'!R186</f>
        <v/>
      </c>
      <c r="AB681" s="193" t="str">
        <f>'Buildings - Grid Electricity'!S186</f>
        <v/>
      </c>
      <c r="AC681" s="193" t="str">
        <f>'Buildings - Grid Electricity'!T186</f>
        <v/>
      </c>
      <c r="AD681" s="193" t="str">
        <f>'Buildings - Grid Electricity'!U186</f>
        <v/>
      </c>
      <c r="AE681" s="193" t="str">
        <f>'Buildings - Grid Electricity'!V186</f>
        <v/>
      </c>
      <c r="AF681" s="193" t="str">
        <f>'Buildings - Grid Electricity'!W186</f>
        <v/>
      </c>
      <c r="AG681" s="193" t="str">
        <f>'Buildings - Grid Electricity'!X186</f>
        <v/>
      </c>
      <c r="AI681" s="193">
        <f t="shared" si="10"/>
        <v>0</v>
      </c>
      <c r="AJ681" s="193">
        <f t="shared" si="11"/>
        <v>0</v>
      </c>
    </row>
    <row r="682" spans="2:36" x14ac:dyDescent="0.35">
      <c r="B682" s="193" t="e">
        <f>"2024"&amp;MATCH(Totals!D682,OrgType,0)&amp;"_"&amp;MATCH(Totals!E682,Organisations,0)&amp;"_"&amp;LEFT(Totals!F682,1)&amp;"_"&amp;LEFT(G682,1)&amp;"_"&amp;COUNTIF($G$3:G682,G682)</f>
        <v>#N/A</v>
      </c>
      <c r="C682" s="193">
        <v>2025</v>
      </c>
      <c r="D682" s="193">
        <f>Introduction!$D$7</f>
        <v>0</v>
      </c>
      <c r="E682" s="193">
        <f>Introduction!$D$8</f>
        <v>0</v>
      </c>
      <c r="F682" s="193" t="s">
        <v>488</v>
      </c>
      <c r="G682" s="193" t="s">
        <v>171</v>
      </c>
      <c r="H682" s="193">
        <f>'Buildings - Grid Electricity'!B187</f>
        <v>0</v>
      </c>
      <c r="I682" s="193">
        <f>'Buildings - Grid Electricity'!C187</f>
        <v>0</v>
      </c>
      <c r="J682" s="193" t="str">
        <f>'Buildings - Grid Electricity'!D187</f>
        <v/>
      </c>
      <c r="K682" s="237"/>
      <c r="L682" s="237"/>
      <c r="M682" s="193" t="str">
        <f>'Buildings - Grid Electricity'!E187</f>
        <v/>
      </c>
      <c r="N682" s="193" t="str">
        <f>'Buildings - Grid Electricity'!F187</f>
        <v/>
      </c>
      <c r="O682" s="237"/>
      <c r="P682" s="193">
        <f>'Buildings - Grid Electricity'!G187</f>
        <v>0</v>
      </c>
      <c r="Q682" s="193" t="str">
        <f>'Buildings - Grid Electricity'!H187</f>
        <v/>
      </c>
      <c r="R682" s="193">
        <f>'Buildings - Grid Electricity'!I187</f>
        <v>0</v>
      </c>
      <c r="S682" s="193" t="str">
        <f>'Buildings - Grid Electricity'!J187</f>
        <v/>
      </c>
      <c r="T682" s="193" t="str">
        <f>'Buildings - Grid Electricity'!K187</f>
        <v/>
      </c>
      <c r="U682" s="193" t="str">
        <f>'Buildings - Grid Electricity'!L187</f>
        <v/>
      </c>
      <c r="V682" s="193" t="str">
        <f>'Buildings - Grid Electricity'!M187</f>
        <v/>
      </c>
      <c r="W682" s="193" t="str">
        <f>'Buildings - Grid Electricity'!N187</f>
        <v/>
      </c>
      <c r="X682" s="193">
        <f>'Buildings - Grid Electricity'!O187</f>
        <v>0</v>
      </c>
      <c r="Y682" s="193">
        <f>'Buildings - Grid Electricity'!P187</f>
        <v>0</v>
      </c>
      <c r="Z682" s="193" t="str">
        <f>'Buildings - Grid Electricity'!Q187</f>
        <v/>
      </c>
      <c r="AA682" s="193" t="str">
        <f>'Buildings - Grid Electricity'!R187</f>
        <v/>
      </c>
      <c r="AB682" s="193" t="str">
        <f>'Buildings - Grid Electricity'!S187</f>
        <v/>
      </c>
      <c r="AC682" s="193" t="str">
        <f>'Buildings - Grid Electricity'!T187</f>
        <v/>
      </c>
      <c r="AD682" s="193" t="str">
        <f>'Buildings - Grid Electricity'!U187</f>
        <v/>
      </c>
      <c r="AE682" s="193" t="str">
        <f>'Buildings - Grid Electricity'!V187</f>
        <v/>
      </c>
      <c r="AF682" s="193" t="str">
        <f>'Buildings - Grid Electricity'!W187</f>
        <v/>
      </c>
      <c r="AG682" s="193" t="str">
        <f>'Buildings - Grid Electricity'!X187</f>
        <v/>
      </c>
      <c r="AI682" s="193">
        <f t="shared" si="10"/>
        <v>0</v>
      </c>
      <c r="AJ682" s="193">
        <f t="shared" si="11"/>
        <v>0</v>
      </c>
    </row>
    <row r="683" spans="2:36" x14ac:dyDescent="0.35">
      <c r="B683" s="193" t="e">
        <f>"2024"&amp;MATCH(Totals!D683,OrgType,0)&amp;"_"&amp;MATCH(Totals!E683,Organisations,0)&amp;"_"&amp;LEFT(Totals!F683,1)&amp;"_"&amp;LEFT(G683,1)&amp;"_"&amp;COUNTIF($G$3:G683,G683)</f>
        <v>#N/A</v>
      </c>
      <c r="C683" s="193">
        <v>2025</v>
      </c>
      <c r="D683" s="193">
        <f>Introduction!$D$7</f>
        <v>0</v>
      </c>
      <c r="E683" s="193">
        <f>Introduction!$D$8</f>
        <v>0</v>
      </c>
      <c r="F683" s="193" t="s">
        <v>488</v>
      </c>
      <c r="G683" s="193" t="s">
        <v>171</v>
      </c>
      <c r="H683" s="193">
        <f>'Buildings - Grid Electricity'!B188</f>
        <v>0</v>
      </c>
      <c r="I683" s="193">
        <f>'Buildings - Grid Electricity'!C188</f>
        <v>0</v>
      </c>
      <c r="J683" s="193" t="str">
        <f>'Buildings - Grid Electricity'!D188</f>
        <v/>
      </c>
      <c r="K683" s="237"/>
      <c r="L683" s="237"/>
      <c r="M683" s="193" t="str">
        <f>'Buildings - Grid Electricity'!E188</f>
        <v/>
      </c>
      <c r="N683" s="193" t="str">
        <f>'Buildings - Grid Electricity'!F188</f>
        <v/>
      </c>
      <c r="O683" s="237"/>
      <c r="P683" s="193">
        <f>'Buildings - Grid Electricity'!G188</f>
        <v>0</v>
      </c>
      <c r="Q683" s="193" t="str">
        <f>'Buildings - Grid Electricity'!H188</f>
        <v/>
      </c>
      <c r="R683" s="193">
        <f>'Buildings - Grid Electricity'!I188</f>
        <v>0</v>
      </c>
      <c r="S683" s="193" t="str">
        <f>'Buildings - Grid Electricity'!J188</f>
        <v/>
      </c>
      <c r="T683" s="193" t="str">
        <f>'Buildings - Grid Electricity'!K188</f>
        <v/>
      </c>
      <c r="U683" s="193" t="str">
        <f>'Buildings - Grid Electricity'!L188</f>
        <v/>
      </c>
      <c r="V683" s="193" t="str">
        <f>'Buildings - Grid Electricity'!M188</f>
        <v/>
      </c>
      <c r="W683" s="193" t="str">
        <f>'Buildings - Grid Electricity'!N188</f>
        <v/>
      </c>
      <c r="X683" s="193">
        <f>'Buildings - Grid Electricity'!O188</f>
        <v>0</v>
      </c>
      <c r="Y683" s="193">
        <f>'Buildings - Grid Electricity'!P188</f>
        <v>0</v>
      </c>
      <c r="Z683" s="193" t="str">
        <f>'Buildings - Grid Electricity'!Q188</f>
        <v/>
      </c>
      <c r="AA683" s="193" t="str">
        <f>'Buildings - Grid Electricity'!R188</f>
        <v/>
      </c>
      <c r="AB683" s="193" t="str">
        <f>'Buildings - Grid Electricity'!S188</f>
        <v/>
      </c>
      <c r="AC683" s="193" t="str">
        <f>'Buildings - Grid Electricity'!T188</f>
        <v/>
      </c>
      <c r="AD683" s="193" t="str">
        <f>'Buildings - Grid Electricity'!U188</f>
        <v/>
      </c>
      <c r="AE683" s="193" t="str">
        <f>'Buildings - Grid Electricity'!V188</f>
        <v/>
      </c>
      <c r="AF683" s="193" t="str">
        <f>'Buildings - Grid Electricity'!W188</f>
        <v/>
      </c>
      <c r="AG683" s="193" t="str">
        <f>'Buildings - Grid Electricity'!X188</f>
        <v/>
      </c>
      <c r="AI683" s="193">
        <f t="shared" si="10"/>
        <v>0</v>
      </c>
      <c r="AJ683" s="193">
        <f t="shared" si="11"/>
        <v>0</v>
      </c>
    </row>
    <row r="684" spans="2:36" x14ac:dyDescent="0.35">
      <c r="B684" s="193" t="e">
        <f>"2024"&amp;MATCH(Totals!D684,OrgType,0)&amp;"_"&amp;MATCH(Totals!E684,Organisations,0)&amp;"_"&amp;LEFT(Totals!F684,1)&amp;"_"&amp;LEFT(G684,1)&amp;"_"&amp;COUNTIF($G$3:G684,G684)</f>
        <v>#N/A</v>
      </c>
      <c r="C684" s="193">
        <v>2025</v>
      </c>
      <c r="D684" s="193">
        <f>Introduction!$D$7</f>
        <v>0</v>
      </c>
      <c r="E684" s="193">
        <f>Introduction!$D$8</f>
        <v>0</v>
      </c>
      <c r="F684" s="193" t="s">
        <v>488</v>
      </c>
      <c r="G684" s="193" t="s">
        <v>171</v>
      </c>
      <c r="H684" s="193">
        <f>'Buildings - Grid Electricity'!B189</f>
        <v>0</v>
      </c>
      <c r="I684" s="193">
        <f>'Buildings - Grid Electricity'!C189</f>
        <v>0</v>
      </c>
      <c r="J684" s="193" t="str">
        <f>'Buildings - Grid Electricity'!D189</f>
        <v/>
      </c>
      <c r="K684" s="237"/>
      <c r="L684" s="237"/>
      <c r="M684" s="193" t="str">
        <f>'Buildings - Grid Electricity'!E189</f>
        <v/>
      </c>
      <c r="N684" s="193" t="str">
        <f>'Buildings - Grid Electricity'!F189</f>
        <v/>
      </c>
      <c r="O684" s="237"/>
      <c r="P684" s="193">
        <f>'Buildings - Grid Electricity'!G189</f>
        <v>0</v>
      </c>
      <c r="Q684" s="193" t="str">
        <f>'Buildings - Grid Electricity'!H189</f>
        <v/>
      </c>
      <c r="R684" s="193">
        <f>'Buildings - Grid Electricity'!I189</f>
        <v>0</v>
      </c>
      <c r="S684" s="193" t="str">
        <f>'Buildings - Grid Electricity'!J189</f>
        <v/>
      </c>
      <c r="T684" s="193" t="str">
        <f>'Buildings - Grid Electricity'!K189</f>
        <v/>
      </c>
      <c r="U684" s="193" t="str">
        <f>'Buildings - Grid Electricity'!L189</f>
        <v/>
      </c>
      <c r="V684" s="193" t="str">
        <f>'Buildings - Grid Electricity'!M189</f>
        <v/>
      </c>
      <c r="W684" s="193" t="str">
        <f>'Buildings - Grid Electricity'!N189</f>
        <v/>
      </c>
      <c r="X684" s="193">
        <f>'Buildings - Grid Electricity'!O189</f>
        <v>0</v>
      </c>
      <c r="Y684" s="193">
        <f>'Buildings - Grid Electricity'!P189</f>
        <v>0</v>
      </c>
      <c r="Z684" s="193" t="str">
        <f>'Buildings - Grid Electricity'!Q189</f>
        <v/>
      </c>
      <c r="AA684" s="193" t="str">
        <f>'Buildings - Grid Electricity'!R189</f>
        <v/>
      </c>
      <c r="AB684" s="193" t="str">
        <f>'Buildings - Grid Electricity'!S189</f>
        <v/>
      </c>
      <c r="AC684" s="193" t="str">
        <f>'Buildings - Grid Electricity'!T189</f>
        <v/>
      </c>
      <c r="AD684" s="193" t="str">
        <f>'Buildings - Grid Electricity'!U189</f>
        <v/>
      </c>
      <c r="AE684" s="193" t="str">
        <f>'Buildings - Grid Electricity'!V189</f>
        <v/>
      </c>
      <c r="AF684" s="193" t="str">
        <f>'Buildings - Grid Electricity'!W189</f>
        <v/>
      </c>
      <c r="AG684" s="193" t="str">
        <f>'Buildings - Grid Electricity'!X189</f>
        <v/>
      </c>
      <c r="AI684" s="193">
        <f t="shared" si="10"/>
        <v>0</v>
      </c>
      <c r="AJ684" s="193">
        <f t="shared" si="11"/>
        <v>0</v>
      </c>
    </row>
    <row r="685" spans="2:36" x14ac:dyDescent="0.35">
      <c r="B685" s="193" t="e">
        <f>"2024"&amp;MATCH(Totals!D685,OrgType,0)&amp;"_"&amp;MATCH(Totals!E685,Organisations,0)&amp;"_"&amp;LEFT(Totals!F685,1)&amp;"_"&amp;LEFT(G685,1)&amp;"_"&amp;COUNTIF($G$3:G685,G685)</f>
        <v>#N/A</v>
      </c>
      <c r="C685" s="193">
        <v>2025</v>
      </c>
      <c r="D685" s="193">
        <f>Introduction!$D$7</f>
        <v>0</v>
      </c>
      <c r="E685" s="193">
        <f>Introduction!$D$8</f>
        <v>0</v>
      </c>
      <c r="F685" s="193" t="s">
        <v>488</v>
      </c>
      <c r="G685" s="193" t="s">
        <v>171</v>
      </c>
      <c r="H685" s="193">
        <f>'Buildings - Grid Electricity'!B190</f>
        <v>0</v>
      </c>
      <c r="I685" s="193">
        <f>'Buildings - Grid Electricity'!C190</f>
        <v>0</v>
      </c>
      <c r="J685" s="193" t="str">
        <f>'Buildings - Grid Electricity'!D190</f>
        <v/>
      </c>
      <c r="K685" s="237"/>
      <c r="L685" s="237"/>
      <c r="M685" s="193" t="str">
        <f>'Buildings - Grid Electricity'!E190</f>
        <v/>
      </c>
      <c r="N685" s="193" t="str">
        <f>'Buildings - Grid Electricity'!F190</f>
        <v/>
      </c>
      <c r="O685" s="237"/>
      <c r="P685" s="193">
        <f>'Buildings - Grid Electricity'!G190</f>
        <v>0</v>
      </c>
      <c r="Q685" s="193" t="str">
        <f>'Buildings - Grid Electricity'!H190</f>
        <v/>
      </c>
      <c r="R685" s="193">
        <f>'Buildings - Grid Electricity'!I190</f>
        <v>0</v>
      </c>
      <c r="S685" s="193" t="str">
        <f>'Buildings - Grid Electricity'!J190</f>
        <v/>
      </c>
      <c r="T685" s="193" t="str">
        <f>'Buildings - Grid Electricity'!K190</f>
        <v/>
      </c>
      <c r="U685" s="193" t="str">
        <f>'Buildings - Grid Electricity'!L190</f>
        <v/>
      </c>
      <c r="V685" s="193" t="str">
        <f>'Buildings - Grid Electricity'!M190</f>
        <v/>
      </c>
      <c r="W685" s="193" t="str">
        <f>'Buildings - Grid Electricity'!N190</f>
        <v/>
      </c>
      <c r="X685" s="193">
        <f>'Buildings - Grid Electricity'!O190</f>
        <v>0</v>
      </c>
      <c r="Y685" s="193">
        <f>'Buildings - Grid Electricity'!P190</f>
        <v>0</v>
      </c>
      <c r="Z685" s="193" t="str">
        <f>'Buildings - Grid Electricity'!Q190</f>
        <v/>
      </c>
      <c r="AA685" s="193" t="str">
        <f>'Buildings - Grid Electricity'!R190</f>
        <v/>
      </c>
      <c r="AB685" s="193" t="str">
        <f>'Buildings - Grid Electricity'!S190</f>
        <v/>
      </c>
      <c r="AC685" s="193" t="str">
        <f>'Buildings - Grid Electricity'!T190</f>
        <v/>
      </c>
      <c r="AD685" s="193" t="str">
        <f>'Buildings - Grid Electricity'!U190</f>
        <v/>
      </c>
      <c r="AE685" s="193" t="str">
        <f>'Buildings - Grid Electricity'!V190</f>
        <v/>
      </c>
      <c r="AF685" s="193" t="str">
        <f>'Buildings - Grid Electricity'!W190</f>
        <v/>
      </c>
      <c r="AG685" s="193" t="str">
        <f>'Buildings - Grid Electricity'!X190</f>
        <v/>
      </c>
      <c r="AI685" s="193">
        <f t="shared" si="10"/>
        <v>0</v>
      </c>
      <c r="AJ685" s="193">
        <f t="shared" si="11"/>
        <v>0</v>
      </c>
    </row>
    <row r="686" spans="2:36" x14ac:dyDescent="0.35">
      <c r="B686" s="193" t="e">
        <f>"2024"&amp;MATCH(Totals!D686,OrgType,0)&amp;"_"&amp;MATCH(Totals!E686,Organisations,0)&amp;"_"&amp;LEFT(Totals!F686,1)&amp;"_"&amp;LEFT(G686,1)&amp;"_"&amp;COUNTIF($G$3:G686,G686)</f>
        <v>#N/A</v>
      </c>
      <c r="C686" s="193">
        <v>2025</v>
      </c>
      <c r="D686" s="193">
        <f>Introduction!$D$7</f>
        <v>0</v>
      </c>
      <c r="E686" s="193">
        <f>Introduction!$D$8</f>
        <v>0</v>
      </c>
      <c r="F686" s="193" t="s">
        <v>488</v>
      </c>
      <c r="G686" s="193" t="s">
        <v>171</v>
      </c>
      <c r="H686" s="193">
        <f>'Buildings - Grid Electricity'!B191</f>
        <v>0</v>
      </c>
      <c r="I686" s="193">
        <f>'Buildings - Grid Electricity'!C191</f>
        <v>0</v>
      </c>
      <c r="J686" s="193" t="str">
        <f>'Buildings - Grid Electricity'!D191</f>
        <v/>
      </c>
      <c r="K686" s="237"/>
      <c r="L686" s="237"/>
      <c r="M686" s="193" t="str">
        <f>'Buildings - Grid Electricity'!E191</f>
        <v/>
      </c>
      <c r="N686" s="193" t="str">
        <f>'Buildings - Grid Electricity'!F191</f>
        <v/>
      </c>
      <c r="O686" s="237"/>
      <c r="P686" s="193">
        <f>'Buildings - Grid Electricity'!G191</f>
        <v>0</v>
      </c>
      <c r="Q686" s="193" t="str">
        <f>'Buildings - Grid Electricity'!H191</f>
        <v/>
      </c>
      <c r="R686" s="193">
        <f>'Buildings - Grid Electricity'!I191</f>
        <v>0</v>
      </c>
      <c r="S686" s="193" t="str">
        <f>'Buildings - Grid Electricity'!J191</f>
        <v/>
      </c>
      <c r="T686" s="193" t="str">
        <f>'Buildings - Grid Electricity'!K191</f>
        <v/>
      </c>
      <c r="U686" s="193" t="str">
        <f>'Buildings - Grid Electricity'!L191</f>
        <v/>
      </c>
      <c r="V686" s="193" t="str">
        <f>'Buildings - Grid Electricity'!M191</f>
        <v/>
      </c>
      <c r="W686" s="193" t="str">
        <f>'Buildings - Grid Electricity'!N191</f>
        <v/>
      </c>
      <c r="X686" s="193">
        <f>'Buildings - Grid Electricity'!O191</f>
        <v>0</v>
      </c>
      <c r="Y686" s="193">
        <f>'Buildings - Grid Electricity'!P191</f>
        <v>0</v>
      </c>
      <c r="Z686" s="193" t="str">
        <f>'Buildings - Grid Electricity'!Q191</f>
        <v/>
      </c>
      <c r="AA686" s="193" t="str">
        <f>'Buildings - Grid Electricity'!R191</f>
        <v/>
      </c>
      <c r="AB686" s="193" t="str">
        <f>'Buildings - Grid Electricity'!S191</f>
        <v/>
      </c>
      <c r="AC686" s="193" t="str">
        <f>'Buildings - Grid Electricity'!T191</f>
        <v/>
      </c>
      <c r="AD686" s="193" t="str">
        <f>'Buildings - Grid Electricity'!U191</f>
        <v/>
      </c>
      <c r="AE686" s="193" t="str">
        <f>'Buildings - Grid Electricity'!V191</f>
        <v/>
      </c>
      <c r="AF686" s="193" t="str">
        <f>'Buildings - Grid Electricity'!W191</f>
        <v/>
      </c>
      <c r="AG686" s="193" t="str">
        <f>'Buildings - Grid Electricity'!X191</f>
        <v/>
      </c>
      <c r="AI686" s="193">
        <f t="shared" si="10"/>
        <v>0</v>
      </c>
      <c r="AJ686" s="193">
        <f t="shared" si="11"/>
        <v>0</v>
      </c>
    </row>
    <row r="687" spans="2:36" x14ac:dyDescent="0.35">
      <c r="B687" s="193" t="e">
        <f>"2024"&amp;MATCH(Totals!D687,OrgType,0)&amp;"_"&amp;MATCH(Totals!E687,Organisations,0)&amp;"_"&amp;LEFT(Totals!F687,1)&amp;"_"&amp;LEFT(G687,1)&amp;"_"&amp;COUNTIF($G$3:G687,G687)</f>
        <v>#N/A</v>
      </c>
      <c r="C687" s="193">
        <v>2025</v>
      </c>
      <c r="D687" s="193">
        <f>Introduction!$D$7</f>
        <v>0</v>
      </c>
      <c r="E687" s="193">
        <f>Introduction!$D$8</f>
        <v>0</v>
      </c>
      <c r="F687" s="193" t="s">
        <v>488</v>
      </c>
      <c r="G687" s="193" t="s">
        <v>171</v>
      </c>
      <c r="H687" s="193">
        <f>'Buildings - Grid Electricity'!B192</f>
        <v>0</v>
      </c>
      <c r="I687" s="193">
        <f>'Buildings - Grid Electricity'!C192</f>
        <v>0</v>
      </c>
      <c r="J687" s="193" t="str">
        <f>'Buildings - Grid Electricity'!D192</f>
        <v/>
      </c>
      <c r="K687" s="237"/>
      <c r="L687" s="237"/>
      <c r="M687" s="193" t="str">
        <f>'Buildings - Grid Electricity'!E192</f>
        <v/>
      </c>
      <c r="N687" s="193" t="str">
        <f>'Buildings - Grid Electricity'!F192</f>
        <v/>
      </c>
      <c r="O687" s="237"/>
      <c r="P687" s="193">
        <f>'Buildings - Grid Electricity'!G192</f>
        <v>0</v>
      </c>
      <c r="Q687" s="193" t="str">
        <f>'Buildings - Grid Electricity'!H192</f>
        <v/>
      </c>
      <c r="R687" s="193">
        <f>'Buildings - Grid Electricity'!I192</f>
        <v>0</v>
      </c>
      <c r="S687" s="193" t="str">
        <f>'Buildings - Grid Electricity'!J192</f>
        <v/>
      </c>
      <c r="T687" s="193" t="str">
        <f>'Buildings - Grid Electricity'!K192</f>
        <v/>
      </c>
      <c r="U687" s="193" t="str">
        <f>'Buildings - Grid Electricity'!L192</f>
        <v/>
      </c>
      <c r="V687" s="193" t="str">
        <f>'Buildings - Grid Electricity'!M192</f>
        <v/>
      </c>
      <c r="W687" s="193" t="str">
        <f>'Buildings - Grid Electricity'!N192</f>
        <v/>
      </c>
      <c r="X687" s="193">
        <f>'Buildings - Grid Electricity'!O192</f>
        <v>0</v>
      </c>
      <c r="Y687" s="193">
        <f>'Buildings - Grid Electricity'!P192</f>
        <v>0</v>
      </c>
      <c r="Z687" s="193" t="str">
        <f>'Buildings - Grid Electricity'!Q192</f>
        <v/>
      </c>
      <c r="AA687" s="193" t="str">
        <f>'Buildings - Grid Electricity'!R192</f>
        <v/>
      </c>
      <c r="AB687" s="193" t="str">
        <f>'Buildings - Grid Electricity'!S192</f>
        <v/>
      </c>
      <c r="AC687" s="193" t="str">
        <f>'Buildings - Grid Electricity'!T192</f>
        <v/>
      </c>
      <c r="AD687" s="193" t="str">
        <f>'Buildings - Grid Electricity'!U192</f>
        <v/>
      </c>
      <c r="AE687" s="193" t="str">
        <f>'Buildings - Grid Electricity'!V192</f>
        <v/>
      </c>
      <c r="AF687" s="193" t="str">
        <f>'Buildings - Grid Electricity'!W192</f>
        <v/>
      </c>
      <c r="AG687" s="193" t="str">
        <f>'Buildings - Grid Electricity'!X192</f>
        <v/>
      </c>
      <c r="AI687" s="193">
        <f t="shared" si="10"/>
        <v>0</v>
      </c>
      <c r="AJ687" s="193">
        <f t="shared" si="11"/>
        <v>0</v>
      </c>
    </row>
    <row r="688" spans="2:36" x14ac:dyDescent="0.35">
      <c r="B688" s="193" t="e">
        <f>"2024"&amp;MATCH(Totals!D688,OrgType,0)&amp;"_"&amp;MATCH(Totals!E688,Organisations,0)&amp;"_"&amp;LEFT(Totals!F688,1)&amp;"_"&amp;LEFT(G688,1)&amp;"_"&amp;COUNTIF($G$3:G688,G688)</f>
        <v>#N/A</v>
      </c>
      <c r="C688" s="193">
        <v>2025</v>
      </c>
      <c r="D688" s="193">
        <f>Introduction!$D$7</f>
        <v>0</v>
      </c>
      <c r="E688" s="193">
        <f>Introduction!$D$8</f>
        <v>0</v>
      </c>
      <c r="F688" s="193" t="s">
        <v>488</v>
      </c>
      <c r="G688" s="193" t="s">
        <v>171</v>
      </c>
      <c r="H688" s="193">
        <f>'Buildings - Grid Electricity'!B193</f>
        <v>0</v>
      </c>
      <c r="I688" s="193">
        <f>'Buildings - Grid Electricity'!C193</f>
        <v>0</v>
      </c>
      <c r="J688" s="193" t="str">
        <f>'Buildings - Grid Electricity'!D193</f>
        <v/>
      </c>
      <c r="K688" s="237"/>
      <c r="L688" s="237"/>
      <c r="M688" s="193" t="str">
        <f>'Buildings - Grid Electricity'!E193</f>
        <v/>
      </c>
      <c r="N688" s="193" t="str">
        <f>'Buildings - Grid Electricity'!F193</f>
        <v/>
      </c>
      <c r="O688" s="237"/>
      <c r="P688" s="193">
        <f>'Buildings - Grid Electricity'!G193</f>
        <v>0</v>
      </c>
      <c r="Q688" s="193" t="str">
        <f>'Buildings - Grid Electricity'!H193</f>
        <v/>
      </c>
      <c r="R688" s="193">
        <f>'Buildings - Grid Electricity'!I193</f>
        <v>0</v>
      </c>
      <c r="S688" s="193" t="str">
        <f>'Buildings - Grid Electricity'!J193</f>
        <v/>
      </c>
      <c r="T688" s="193" t="str">
        <f>'Buildings - Grid Electricity'!K193</f>
        <v/>
      </c>
      <c r="U688" s="193" t="str">
        <f>'Buildings - Grid Electricity'!L193</f>
        <v/>
      </c>
      <c r="V688" s="193" t="str">
        <f>'Buildings - Grid Electricity'!M193</f>
        <v/>
      </c>
      <c r="W688" s="193" t="str">
        <f>'Buildings - Grid Electricity'!N193</f>
        <v/>
      </c>
      <c r="X688" s="193">
        <f>'Buildings - Grid Electricity'!O193</f>
        <v>0</v>
      </c>
      <c r="Y688" s="193">
        <f>'Buildings - Grid Electricity'!P193</f>
        <v>0</v>
      </c>
      <c r="Z688" s="193" t="str">
        <f>'Buildings - Grid Electricity'!Q193</f>
        <v/>
      </c>
      <c r="AA688" s="193" t="str">
        <f>'Buildings - Grid Electricity'!R193</f>
        <v/>
      </c>
      <c r="AB688" s="193" t="str">
        <f>'Buildings - Grid Electricity'!S193</f>
        <v/>
      </c>
      <c r="AC688" s="193" t="str">
        <f>'Buildings - Grid Electricity'!T193</f>
        <v/>
      </c>
      <c r="AD688" s="193" t="str">
        <f>'Buildings - Grid Electricity'!U193</f>
        <v/>
      </c>
      <c r="AE688" s="193" t="str">
        <f>'Buildings - Grid Electricity'!V193</f>
        <v/>
      </c>
      <c r="AF688" s="193" t="str">
        <f>'Buildings - Grid Electricity'!W193</f>
        <v/>
      </c>
      <c r="AG688" s="193" t="str">
        <f>'Buildings - Grid Electricity'!X193</f>
        <v/>
      </c>
      <c r="AI688" s="193">
        <f t="shared" si="10"/>
        <v>0</v>
      </c>
      <c r="AJ688" s="193">
        <f t="shared" si="11"/>
        <v>0</v>
      </c>
    </row>
    <row r="689" spans="2:36" x14ac:dyDescent="0.35">
      <c r="B689" s="193" t="e">
        <f>"2024"&amp;MATCH(Totals!D689,OrgType,0)&amp;"_"&amp;MATCH(Totals!E689,Organisations,0)&amp;"_"&amp;LEFT(Totals!F689,1)&amp;"_"&amp;LEFT(G689,1)&amp;"_"&amp;COUNTIF($G$3:G689,G689)</f>
        <v>#N/A</v>
      </c>
      <c r="C689" s="193">
        <v>2025</v>
      </c>
      <c r="D689" s="193">
        <f>Introduction!$D$7</f>
        <v>0</v>
      </c>
      <c r="E689" s="193">
        <f>Introduction!$D$8</f>
        <v>0</v>
      </c>
      <c r="F689" s="193" t="s">
        <v>488</v>
      </c>
      <c r="G689" s="193" t="s">
        <v>171</v>
      </c>
      <c r="H689" s="193">
        <f>'Buildings - Grid Electricity'!B194</f>
        <v>0</v>
      </c>
      <c r="I689" s="193">
        <f>'Buildings - Grid Electricity'!C194</f>
        <v>0</v>
      </c>
      <c r="J689" s="193" t="str">
        <f>'Buildings - Grid Electricity'!D194</f>
        <v/>
      </c>
      <c r="K689" s="237"/>
      <c r="L689" s="237"/>
      <c r="M689" s="193" t="str">
        <f>'Buildings - Grid Electricity'!E194</f>
        <v/>
      </c>
      <c r="N689" s="193" t="str">
        <f>'Buildings - Grid Electricity'!F194</f>
        <v/>
      </c>
      <c r="O689" s="237"/>
      <c r="P689" s="193">
        <f>'Buildings - Grid Electricity'!G194</f>
        <v>0</v>
      </c>
      <c r="Q689" s="193" t="str">
        <f>'Buildings - Grid Electricity'!H194</f>
        <v/>
      </c>
      <c r="R689" s="193">
        <f>'Buildings - Grid Electricity'!I194</f>
        <v>0</v>
      </c>
      <c r="S689" s="193" t="str">
        <f>'Buildings - Grid Electricity'!J194</f>
        <v/>
      </c>
      <c r="T689" s="193" t="str">
        <f>'Buildings - Grid Electricity'!K194</f>
        <v/>
      </c>
      <c r="U689" s="193" t="str">
        <f>'Buildings - Grid Electricity'!L194</f>
        <v/>
      </c>
      <c r="V689" s="193" t="str">
        <f>'Buildings - Grid Electricity'!M194</f>
        <v/>
      </c>
      <c r="W689" s="193" t="str">
        <f>'Buildings - Grid Electricity'!N194</f>
        <v/>
      </c>
      <c r="X689" s="193">
        <f>'Buildings - Grid Electricity'!O194</f>
        <v>0</v>
      </c>
      <c r="Y689" s="193">
        <f>'Buildings - Grid Electricity'!P194</f>
        <v>0</v>
      </c>
      <c r="Z689" s="193" t="str">
        <f>'Buildings - Grid Electricity'!Q194</f>
        <v/>
      </c>
      <c r="AA689" s="193" t="str">
        <f>'Buildings - Grid Electricity'!R194</f>
        <v/>
      </c>
      <c r="AB689" s="193" t="str">
        <f>'Buildings - Grid Electricity'!S194</f>
        <v/>
      </c>
      <c r="AC689" s="193" t="str">
        <f>'Buildings - Grid Electricity'!T194</f>
        <v/>
      </c>
      <c r="AD689" s="193" t="str">
        <f>'Buildings - Grid Electricity'!U194</f>
        <v/>
      </c>
      <c r="AE689" s="193" t="str">
        <f>'Buildings - Grid Electricity'!V194</f>
        <v/>
      </c>
      <c r="AF689" s="193" t="str">
        <f>'Buildings - Grid Electricity'!W194</f>
        <v/>
      </c>
      <c r="AG689" s="193" t="str">
        <f>'Buildings - Grid Electricity'!X194</f>
        <v/>
      </c>
      <c r="AI689" s="193">
        <f t="shared" si="10"/>
        <v>0</v>
      </c>
      <c r="AJ689" s="193">
        <f t="shared" si="11"/>
        <v>0</v>
      </c>
    </row>
    <row r="690" spans="2:36" x14ac:dyDescent="0.35">
      <c r="B690" s="193" t="e">
        <f>"2024"&amp;MATCH(Totals!D690,OrgType,0)&amp;"_"&amp;MATCH(Totals!E690,Organisations,0)&amp;"_"&amp;LEFT(Totals!F690,1)&amp;"_"&amp;LEFT(G690,1)&amp;"_"&amp;COUNTIF($G$3:G690,G690)</f>
        <v>#N/A</v>
      </c>
      <c r="C690" s="193">
        <v>2025</v>
      </c>
      <c r="D690" s="193">
        <f>Introduction!$D$7</f>
        <v>0</v>
      </c>
      <c r="E690" s="193">
        <f>Introduction!$D$8</f>
        <v>0</v>
      </c>
      <c r="F690" s="193" t="s">
        <v>488</v>
      </c>
      <c r="G690" s="193" t="s">
        <v>171</v>
      </c>
      <c r="H690" s="193">
        <f>'Buildings - Grid Electricity'!B195</f>
        <v>0</v>
      </c>
      <c r="I690" s="193">
        <f>'Buildings - Grid Electricity'!C195</f>
        <v>0</v>
      </c>
      <c r="J690" s="193" t="str">
        <f>'Buildings - Grid Electricity'!D195</f>
        <v/>
      </c>
      <c r="K690" s="237"/>
      <c r="L690" s="237"/>
      <c r="M690" s="193" t="str">
        <f>'Buildings - Grid Electricity'!E195</f>
        <v/>
      </c>
      <c r="N690" s="193" t="str">
        <f>'Buildings - Grid Electricity'!F195</f>
        <v/>
      </c>
      <c r="O690" s="237"/>
      <c r="P690" s="193">
        <f>'Buildings - Grid Electricity'!G195</f>
        <v>0</v>
      </c>
      <c r="Q690" s="193" t="str">
        <f>'Buildings - Grid Electricity'!H195</f>
        <v/>
      </c>
      <c r="R690" s="193">
        <f>'Buildings - Grid Electricity'!I195</f>
        <v>0</v>
      </c>
      <c r="S690" s="193" t="str">
        <f>'Buildings - Grid Electricity'!J195</f>
        <v/>
      </c>
      <c r="T690" s="193" t="str">
        <f>'Buildings - Grid Electricity'!K195</f>
        <v/>
      </c>
      <c r="U690" s="193" t="str">
        <f>'Buildings - Grid Electricity'!L195</f>
        <v/>
      </c>
      <c r="V690" s="193" t="str">
        <f>'Buildings - Grid Electricity'!M195</f>
        <v/>
      </c>
      <c r="W690" s="193" t="str">
        <f>'Buildings - Grid Electricity'!N195</f>
        <v/>
      </c>
      <c r="X690" s="193">
        <f>'Buildings - Grid Electricity'!O195</f>
        <v>0</v>
      </c>
      <c r="Y690" s="193">
        <f>'Buildings - Grid Electricity'!P195</f>
        <v>0</v>
      </c>
      <c r="Z690" s="193" t="str">
        <f>'Buildings - Grid Electricity'!Q195</f>
        <v/>
      </c>
      <c r="AA690" s="193" t="str">
        <f>'Buildings - Grid Electricity'!R195</f>
        <v/>
      </c>
      <c r="AB690" s="193" t="str">
        <f>'Buildings - Grid Electricity'!S195</f>
        <v/>
      </c>
      <c r="AC690" s="193" t="str">
        <f>'Buildings - Grid Electricity'!T195</f>
        <v/>
      </c>
      <c r="AD690" s="193" t="str">
        <f>'Buildings - Grid Electricity'!U195</f>
        <v/>
      </c>
      <c r="AE690" s="193" t="str">
        <f>'Buildings - Grid Electricity'!V195</f>
        <v/>
      </c>
      <c r="AF690" s="193" t="str">
        <f>'Buildings - Grid Electricity'!W195</f>
        <v/>
      </c>
      <c r="AG690" s="193" t="str">
        <f>'Buildings - Grid Electricity'!X195</f>
        <v/>
      </c>
      <c r="AI690" s="193">
        <f t="shared" si="10"/>
        <v>0</v>
      </c>
      <c r="AJ690" s="193">
        <f t="shared" si="11"/>
        <v>0</v>
      </c>
    </row>
    <row r="691" spans="2:36" x14ac:dyDescent="0.35">
      <c r="B691" s="193" t="e">
        <f>"2024"&amp;MATCH(Totals!D691,OrgType,0)&amp;"_"&amp;MATCH(Totals!E691,Organisations,0)&amp;"_"&amp;LEFT(Totals!F691,1)&amp;"_"&amp;LEFT(G691,1)&amp;"_"&amp;COUNTIF($G$3:G691,G691)</f>
        <v>#N/A</v>
      </c>
      <c r="C691" s="193">
        <v>2025</v>
      </c>
      <c r="D691" s="193">
        <f>Introduction!$D$7</f>
        <v>0</v>
      </c>
      <c r="E691" s="193">
        <f>Introduction!$D$8</f>
        <v>0</v>
      </c>
      <c r="F691" s="193" t="s">
        <v>488</v>
      </c>
      <c r="G691" s="193" t="s">
        <v>171</v>
      </c>
      <c r="H691" s="193">
        <f>'Buildings - Grid Electricity'!B196</f>
        <v>0</v>
      </c>
      <c r="I691" s="193">
        <f>'Buildings - Grid Electricity'!C196</f>
        <v>0</v>
      </c>
      <c r="J691" s="193" t="str">
        <f>'Buildings - Grid Electricity'!D196</f>
        <v/>
      </c>
      <c r="K691" s="237"/>
      <c r="L691" s="237"/>
      <c r="M691" s="193" t="str">
        <f>'Buildings - Grid Electricity'!E196</f>
        <v/>
      </c>
      <c r="N691" s="193" t="str">
        <f>'Buildings - Grid Electricity'!F196</f>
        <v/>
      </c>
      <c r="O691" s="237"/>
      <c r="P691" s="193">
        <f>'Buildings - Grid Electricity'!G196</f>
        <v>0</v>
      </c>
      <c r="Q691" s="193" t="str">
        <f>'Buildings - Grid Electricity'!H196</f>
        <v/>
      </c>
      <c r="R691" s="193">
        <f>'Buildings - Grid Electricity'!I196</f>
        <v>0</v>
      </c>
      <c r="S691" s="193" t="str">
        <f>'Buildings - Grid Electricity'!J196</f>
        <v/>
      </c>
      <c r="T691" s="193" t="str">
        <f>'Buildings - Grid Electricity'!K196</f>
        <v/>
      </c>
      <c r="U691" s="193" t="str">
        <f>'Buildings - Grid Electricity'!L196</f>
        <v/>
      </c>
      <c r="V691" s="193" t="str">
        <f>'Buildings - Grid Electricity'!M196</f>
        <v/>
      </c>
      <c r="W691" s="193" t="str">
        <f>'Buildings - Grid Electricity'!N196</f>
        <v/>
      </c>
      <c r="X691" s="193">
        <f>'Buildings - Grid Electricity'!O196</f>
        <v>0</v>
      </c>
      <c r="Y691" s="193">
        <f>'Buildings - Grid Electricity'!P196</f>
        <v>0</v>
      </c>
      <c r="Z691" s="193" t="str">
        <f>'Buildings - Grid Electricity'!Q196</f>
        <v/>
      </c>
      <c r="AA691" s="193" t="str">
        <f>'Buildings - Grid Electricity'!R196</f>
        <v/>
      </c>
      <c r="AB691" s="193" t="str">
        <f>'Buildings - Grid Electricity'!S196</f>
        <v/>
      </c>
      <c r="AC691" s="193" t="str">
        <f>'Buildings - Grid Electricity'!T196</f>
        <v/>
      </c>
      <c r="AD691" s="193" t="str">
        <f>'Buildings - Grid Electricity'!U196</f>
        <v/>
      </c>
      <c r="AE691" s="193" t="str">
        <f>'Buildings - Grid Electricity'!V196</f>
        <v/>
      </c>
      <c r="AF691" s="193" t="str">
        <f>'Buildings - Grid Electricity'!W196</f>
        <v/>
      </c>
      <c r="AG691" s="193" t="str">
        <f>'Buildings - Grid Electricity'!X196</f>
        <v/>
      </c>
      <c r="AI691" s="193">
        <f t="shared" si="10"/>
        <v>0</v>
      </c>
      <c r="AJ691" s="193">
        <f t="shared" si="11"/>
        <v>0</v>
      </c>
    </row>
    <row r="692" spans="2:36" x14ac:dyDescent="0.35">
      <c r="B692" s="193" t="e">
        <f>"2024"&amp;MATCH(Totals!D692,OrgType,0)&amp;"_"&amp;MATCH(Totals!E692,Organisations,0)&amp;"_"&amp;LEFT(Totals!F692,1)&amp;"_"&amp;LEFT(G692,1)&amp;"_"&amp;COUNTIF($G$3:G692,G692)</f>
        <v>#N/A</v>
      </c>
      <c r="C692" s="193">
        <v>2025</v>
      </c>
      <c r="D692" s="193">
        <f>Introduction!$D$7</f>
        <v>0</v>
      </c>
      <c r="E692" s="193">
        <f>Introduction!$D$8</f>
        <v>0</v>
      </c>
      <c r="F692" s="193" t="s">
        <v>488</v>
      </c>
      <c r="G692" s="193" t="s">
        <v>171</v>
      </c>
      <c r="H692" s="193">
        <f>'Buildings - Grid Electricity'!B197</f>
        <v>0</v>
      </c>
      <c r="I692" s="193">
        <f>'Buildings - Grid Electricity'!C197</f>
        <v>0</v>
      </c>
      <c r="J692" s="193" t="str">
        <f>'Buildings - Grid Electricity'!D197</f>
        <v/>
      </c>
      <c r="K692" s="237"/>
      <c r="L692" s="237"/>
      <c r="M692" s="193" t="str">
        <f>'Buildings - Grid Electricity'!E197</f>
        <v/>
      </c>
      <c r="N692" s="193" t="str">
        <f>'Buildings - Grid Electricity'!F197</f>
        <v/>
      </c>
      <c r="O692" s="237"/>
      <c r="P692" s="193">
        <f>'Buildings - Grid Electricity'!G197</f>
        <v>0</v>
      </c>
      <c r="Q692" s="193" t="str">
        <f>'Buildings - Grid Electricity'!H197</f>
        <v/>
      </c>
      <c r="R692" s="193">
        <f>'Buildings - Grid Electricity'!I197</f>
        <v>0</v>
      </c>
      <c r="S692" s="193" t="str">
        <f>'Buildings - Grid Electricity'!J197</f>
        <v/>
      </c>
      <c r="T692" s="193" t="str">
        <f>'Buildings - Grid Electricity'!K197</f>
        <v/>
      </c>
      <c r="U692" s="193" t="str">
        <f>'Buildings - Grid Electricity'!L197</f>
        <v/>
      </c>
      <c r="V692" s="193" t="str">
        <f>'Buildings - Grid Electricity'!M197</f>
        <v/>
      </c>
      <c r="W692" s="193" t="str">
        <f>'Buildings - Grid Electricity'!N197</f>
        <v/>
      </c>
      <c r="X692" s="193">
        <f>'Buildings - Grid Electricity'!O197</f>
        <v>0</v>
      </c>
      <c r="Y692" s="193">
        <f>'Buildings - Grid Electricity'!P197</f>
        <v>0</v>
      </c>
      <c r="Z692" s="193" t="str">
        <f>'Buildings - Grid Electricity'!Q197</f>
        <v/>
      </c>
      <c r="AA692" s="193" t="str">
        <f>'Buildings - Grid Electricity'!R197</f>
        <v/>
      </c>
      <c r="AB692" s="193" t="str">
        <f>'Buildings - Grid Electricity'!S197</f>
        <v/>
      </c>
      <c r="AC692" s="193" t="str">
        <f>'Buildings - Grid Electricity'!T197</f>
        <v/>
      </c>
      <c r="AD692" s="193" t="str">
        <f>'Buildings - Grid Electricity'!U197</f>
        <v/>
      </c>
      <c r="AE692" s="193" t="str">
        <f>'Buildings - Grid Electricity'!V197</f>
        <v/>
      </c>
      <c r="AF692" s="193" t="str">
        <f>'Buildings - Grid Electricity'!W197</f>
        <v/>
      </c>
      <c r="AG692" s="193" t="str">
        <f>'Buildings - Grid Electricity'!X197</f>
        <v/>
      </c>
      <c r="AI692" s="193">
        <f t="shared" si="10"/>
        <v>0</v>
      </c>
      <c r="AJ692" s="193">
        <f t="shared" si="11"/>
        <v>0</v>
      </c>
    </row>
    <row r="693" spans="2:36" x14ac:dyDescent="0.35">
      <c r="B693" s="193" t="e">
        <f>"2024"&amp;MATCH(Totals!D693,OrgType,0)&amp;"_"&amp;MATCH(Totals!E693,Organisations,0)&amp;"_"&amp;LEFT(Totals!F693,1)&amp;"_"&amp;LEFT(G693,1)&amp;"_"&amp;COUNTIF($G$3:G693,G693)</f>
        <v>#N/A</v>
      </c>
      <c r="C693" s="193">
        <v>2025</v>
      </c>
      <c r="D693" s="193">
        <f>Introduction!$D$7</f>
        <v>0</v>
      </c>
      <c r="E693" s="193">
        <f>Introduction!$D$8</f>
        <v>0</v>
      </c>
      <c r="F693" s="193" t="s">
        <v>488</v>
      </c>
      <c r="G693" s="193" t="s">
        <v>171</v>
      </c>
      <c r="H693" s="193">
        <f>'Buildings - Grid Electricity'!B198</f>
        <v>0</v>
      </c>
      <c r="I693" s="193">
        <f>'Buildings - Grid Electricity'!C198</f>
        <v>0</v>
      </c>
      <c r="J693" s="193" t="str">
        <f>'Buildings - Grid Electricity'!D198</f>
        <v/>
      </c>
      <c r="K693" s="237"/>
      <c r="L693" s="237"/>
      <c r="M693" s="193" t="str">
        <f>'Buildings - Grid Electricity'!E198</f>
        <v/>
      </c>
      <c r="N693" s="193" t="str">
        <f>'Buildings - Grid Electricity'!F198</f>
        <v/>
      </c>
      <c r="O693" s="237"/>
      <c r="P693" s="193">
        <f>'Buildings - Grid Electricity'!G198</f>
        <v>0</v>
      </c>
      <c r="Q693" s="193" t="str">
        <f>'Buildings - Grid Electricity'!H198</f>
        <v/>
      </c>
      <c r="R693" s="193">
        <f>'Buildings - Grid Electricity'!I198</f>
        <v>0</v>
      </c>
      <c r="S693" s="193" t="str">
        <f>'Buildings - Grid Electricity'!J198</f>
        <v/>
      </c>
      <c r="T693" s="193" t="str">
        <f>'Buildings - Grid Electricity'!K198</f>
        <v/>
      </c>
      <c r="U693" s="193" t="str">
        <f>'Buildings - Grid Electricity'!L198</f>
        <v/>
      </c>
      <c r="V693" s="193" t="str">
        <f>'Buildings - Grid Electricity'!M198</f>
        <v/>
      </c>
      <c r="W693" s="193" t="str">
        <f>'Buildings - Grid Electricity'!N198</f>
        <v/>
      </c>
      <c r="X693" s="193">
        <f>'Buildings - Grid Electricity'!O198</f>
        <v>0</v>
      </c>
      <c r="Y693" s="193">
        <f>'Buildings - Grid Electricity'!P198</f>
        <v>0</v>
      </c>
      <c r="Z693" s="193" t="str">
        <f>'Buildings - Grid Electricity'!Q198</f>
        <v/>
      </c>
      <c r="AA693" s="193" t="str">
        <f>'Buildings - Grid Electricity'!R198</f>
        <v/>
      </c>
      <c r="AB693" s="193" t="str">
        <f>'Buildings - Grid Electricity'!S198</f>
        <v/>
      </c>
      <c r="AC693" s="193" t="str">
        <f>'Buildings - Grid Electricity'!T198</f>
        <v/>
      </c>
      <c r="AD693" s="193" t="str">
        <f>'Buildings - Grid Electricity'!U198</f>
        <v/>
      </c>
      <c r="AE693" s="193" t="str">
        <f>'Buildings - Grid Electricity'!V198</f>
        <v/>
      </c>
      <c r="AF693" s="193" t="str">
        <f>'Buildings - Grid Electricity'!W198</f>
        <v/>
      </c>
      <c r="AG693" s="193" t="str">
        <f>'Buildings - Grid Electricity'!X198</f>
        <v/>
      </c>
      <c r="AI693" s="193">
        <f t="shared" si="10"/>
        <v>0</v>
      </c>
      <c r="AJ693" s="193">
        <f t="shared" si="11"/>
        <v>0</v>
      </c>
    </row>
    <row r="694" spans="2:36" x14ac:dyDescent="0.35">
      <c r="B694" s="193" t="e">
        <f>"2024"&amp;MATCH(Totals!D694,OrgType,0)&amp;"_"&amp;MATCH(Totals!E694,Organisations,0)&amp;"_"&amp;LEFT(Totals!F694,1)&amp;"_"&amp;LEFT(G694,1)&amp;"_"&amp;COUNTIF($G$3:G694,G694)</f>
        <v>#N/A</v>
      </c>
      <c r="C694" s="193">
        <v>2025</v>
      </c>
      <c r="D694" s="193">
        <f>Introduction!$D$7</f>
        <v>0</v>
      </c>
      <c r="E694" s="193">
        <f>Introduction!$D$8</f>
        <v>0</v>
      </c>
      <c r="F694" s="193" t="s">
        <v>488</v>
      </c>
      <c r="G694" s="193" t="s">
        <v>171</v>
      </c>
      <c r="H694" s="193">
        <f>'Buildings - Grid Electricity'!B199</f>
        <v>0</v>
      </c>
      <c r="I694" s="193">
        <f>'Buildings - Grid Electricity'!C199</f>
        <v>0</v>
      </c>
      <c r="J694" s="193" t="str">
        <f>'Buildings - Grid Electricity'!D199</f>
        <v/>
      </c>
      <c r="K694" s="237"/>
      <c r="L694" s="237"/>
      <c r="M694" s="193" t="str">
        <f>'Buildings - Grid Electricity'!E199</f>
        <v/>
      </c>
      <c r="N694" s="193" t="str">
        <f>'Buildings - Grid Electricity'!F199</f>
        <v/>
      </c>
      <c r="O694" s="237"/>
      <c r="P694" s="193">
        <f>'Buildings - Grid Electricity'!G199</f>
        <v>0</v>
      </c>
      <c r="Q694" s="193" t="str">
        <f>'Buildings - Grid Electricity'!H199</f>
        <v/>
      </c>
      <c r="R694" s="193">
        <f>'Buildings - Grid Electricity'!I199</f>
        <v>0</v>
      </c>
      <c r="S694" s="193" t="str">
        <f>'Buildings - Grid Electricity'!J199</f>
        <v/>
      </c>
      <c r="T694" s="193" t="str">
        <f>'Buildings - Grid Electricity'!K199</f>
        <v/>
      </c>
      <c r="U694" s="193" t="str">
        <f>'Buildings - Grid Electricity'!L199</f>
        <v/>
      </c>
      <c r="V694" s="193" t="str">
        <f>'Buildings - Grid Electricity'!M199</f>
        <v/>
      </c>
      <c r="W694" s="193" t="str">
        <f>'Buildings - Grid Electricity'!N199</f>
        <v/>
      </c>
      <c r="X694" s="193">
        <f>'Buildings - Grid Electricity'!O199</f>
        <v>0</v>
      </c>
      <c r="Y694" s="193">
        <f>'Buildings - Grid Electricity'!P199</f>
        <v>0</v>
      </c>
      <c r="Z694" s="193" t="str">
        <f>'Buildings - Grid Electricity'!Q199</f>
        <v/>
      </c>
      <c r="AA694" s="193" t="str">
        <f>'Buildings - Grid Electricity'!R199</f>
        <v/>
      </c>
      <c r="AB694" s="193" t="str">
        <f>'Buildings - Grid Electricity'!S199</f>
        <v/>
      </c>
      <c r="AC694" s="193" t="str">
        <f>'Buildings - Grid Electricity'!T199</f>
        <v/>
      </c>
      <c r="AD694" s="193" t="str">
        <f>'Buildings - Grid Electricity'!U199</f>
        <v/>
      </c>
      <c r="AE694" s="193" t="str">
        <f>'Buildings - Grid Electricity'!V199</f>
        <v/>
      </c>
      <c r="AF694" s="193" t="str">
        <f>'Buildings - Grid Electricity'!W199</f>
        <v/>
      </c>
      <c r="AG694" s="193" t="str">
        <f>'Buildings - Grid Electricity'!X199</f>
        <v/>
      </c>
      <c r="AI694" s="193">
        <f t="shared" si="10"/>
        <v>0</v>
      </c>
      <c r="AJ694" s="193">
        <f t="shared" si="11"/>
        <v>0</v>
      </c>
    </row>
    <row r="695" spans="2:36" x14ac:dyDescent="0.35">
      <c r="B695" s="193" t="e">
        <f>"2024"&amp;MATCH(Totals!D695,OrgType,0)&amp;"_"&amp;MATCH(Totals!E695,Organisations,0)&amp;"_"&amp;LEFT(Totals!F695,1)&amp;"_"&amp;LEFT(G695,1)&amp;"_"&amp;COUNTIF($G$3:G695,G695)</f>
        <v>#N/A</v>
      </c>
      <c r="C695" s="193">
        <v>2025</v>
      </c>
      <c r="D695" s="193">
        <f>Introduction!$D$7</f>
        <v>0</v>
      </c>
      <c r="E695" s="193">
        <f>Introduction!$D$8</f>
        <v>0</v>
      </c>
      <c r="F695" s="193" t="s">
        <v>488</v>
      </c>
      <c r="G695" s="193" t="s">
        <v>171</v>
      </c>
      <c r="H695" s="193">
        <f>'Buildings - Grid Electricity'!B200</f>
        <v>0</v>
      </c>
      <c r="I695" s="193">
        <f>'Buildings - Grid Electricity'!C200</f>
        <v>0</v>
      </c>
      <c r="J695" s="193" t="str">
        <f>'Buildings - Grid Electricity'!D200</f>
        <v/>
      </c>
      <c r="K695" s="237"/>
      <c r="L695" s="237"/>
      <c r="M695" s="193" t="str">
        <f>'Buildings - Grid Electricity'!E200</f>
        <v/>
      </c>
      <c r="N695" s="193" t="str">
        <f>'Buildings - Grid Electricity'!F200</f>
        <v/>
      </c>
      <c r="O695" s="237"/>
      <c r="P695" s="193">
        <f>'Buildings - Grid Electricity'!G200</f>
        <v>0</v>
      </c>
      <c r="Q695" s="193" t="str">
        <f>'Buildings - Grid Electricity'!H200</f>
        <v/>
      </c>
      <c r="R695" s="193">
        <f>'Buildings - Grid Electricity'!I200</f>
        <v>0</v>
      </c>
      <c r="S695" s="193" t="str">
        <f>'Buildings - Grid Electricity'!J200</f>
        <v/>
      </c>
      <c r="T695" s="193" t="str">
        <f>'Buildings - Grid Electricity'!K200</f>
        <v/>
      </c>
      <c r="U695" s="193" t="str">
        <f>'Buildings - Grid Electricity'!L200</f>
        <v/>
      </c>
      <c r="V695" s="193" t="str">
        <f>'Buildings - Grid Electricity'!M200</f>
        <v/>
      </c>
      <c r="W695" s="193" t="str">
        <f>'Buildings - Grid Electricity'!N200</f>
        <v/>
      </c>
      <c r="X695" s="193">
        <f>'Buildings - Grid Electricity'!O200</f>
        <v>0</v>
      </c>
      <c r="Y695" s="193">
        <f>'Buildings - Grid Electricity'!P200</f>
        <v>0</v>
      </c>
      <c r="Z695" s="193" t="str">
        <f>'Buildings - Grid Electricity'!Q200</f>
        <v/>
      </c>
      <c r="AA695" s="193" t="str">
        <f>'Buildings - Grid Electricity'!R200</f>
        <v/>
      </c>
      <c r="AB695" s="193" t="str">
        <f>'Buildings - Grid Electricity'!S200</f>
        <v/>
      </c>
      <c r="AC695" s="193" t="str">
        <f>'Buildings - Grid Electricity'!T200</f>
        <v/>
      </c>
      <c r="AD695" s="193" t="str">
        <f>'Buildings - Grid Electricity'!U200</f>
        <v/>
      </c>
      <c r="AE695" s="193" t="str">
        <f>'Buildings - Grid Electricity'!V200</f>
        <v/>
      </c>
      <c r="AF695" s="193" t="str">
        <f>'Buildings - Grid Electricity'!W200</f>
        <v/>
      </c>
      <c r="AG695" s="193" t="str">
        <f>'Buildings - Grid Electricity'!X200</f>
        <v/>
      </c>
      <c r="AI695" s="193">
        <f t="shared" si="10"/>
        <v>0</v>
      </c>
      <c r="AJ695" s="193">
        <f t="shared" si="11"/>
        <v>0</v>
      </c>
    </row>
    <row r="696" spans="2:36" x14ac:dyDescent="0.35">
      <c r="B696" s="193" t="e">
        <f>"2024"&amp;MATCH(Totals!D696,OrgType,0)&amp;"_"&amp;MATCH(Totals!E696,Organisations,0)&amp;"_"&amp;LEFT(Totals!F696,1)&amp;"_"&amp;LEFT(G696,1)&amp;"_"&amp;COUNTIF($G$3:G696,G696)</f>
        <v>#N/A</v>
      </c>
      <c r="C696" s="193">
        <v>2025</v>
      </c>
      <c r="D696" s="193">
        <f>Introduction!$D$7</f>
        <v>0</v>
      </c>
      <c r="E696" s="193">
        <f>Introduction!$D$8</f>
        <v>0</v>
      </c>
      <c r="F696" s="193" t="s">
        <v>488</v>
      </c>
      <c r="G696" s="193" t="s">
        <v>171</v>
      </c>
      <c r="H696" s="193">
        <f>'Buildings - Grid Electricity'!B201</f>
        <v>0</v>
      </c>
      <c r="I696" s="193">
        <f>'Buildings - Grid Electricity'!C201</f>
        <v>0</v>
      </c>
      <c r="J696" s="193" t="str">
        <f>'Buildings - Grid Electricity'!D201</f>
        <v/>
      </c>
      <c r="K696" s="237"/>
      <c r="L696" s="237"/>
      <c r="M696" s="193" t="str">
        <f>'Buildings - Grid Electricity'!E201</f>
        <v/>
      </c>
      <c r="N696" s="193" t="str">
        <f>'Buildings - Grid Electricity'!F201</f>
        <v/>
      </c>
      <c r="O696" s="237"/>
      <c r="P696" s="193">
        <f>'Buildings - Grid Electricity'!G201</f>
        <v>0</v>
      </c>
      <c r="Q696" s="193" t="str">
        <f>'Buildings - Grid Electricity'!H201</f>
        <v/>
      </c>
      <c r="R696" s="193">
        <f>'Buildings - Grid Electricity'!I201</f>
        <v>0</v>
      </c>
      <c r="S696" s="193" t="str">
        <f>'Buildings - Grid Electricity'!J201</f>
        <v/>
      </c>
      <c r="T696" s="193" t="str">
        <f>'Buildings - Grid Electricity'!K201</f>
        <v/>
      </c>
      <c r="U696" s="193" t="str">
        <f>'Buildings - Grid Electricity'!L201</f>
        <v/>
      </c>
      <c r="V696" s="193" t="str">
        <f>'Buildings - Grid Electricity'!M201</f>
        <v/>
      </c>
      <c r="W696" s="193" t="str">
        <f>'Buildings - Grid Electricity'!N201</f>
        <v/>
      </c>
      <c r="X696" s="193">
        <f>'Buildings - Grid Electricity'!O201</f>
        <v>0</v>
      </c>
      <c r="Y696" s="193">
        <f>'Buildings - Grid Electricity'!P201</f>
        <v>0</v>
      </c>
      <c r="Z696" s="193" t="str">
        <f>'Buildings - Grid Electricity'!Q201</f>
        <v/>
      </c>
      <c r="AA696" s="193" t="str">
        <f>'Buildings - Grid Electricity'!R201</f>
        <v/>
      </c>
      <c r="AB696" s="193" t="str">
        <f>'Buildings - Grid Electricity'!S201</f>
        <v/>
      </c>
      <c r="AC696" s="193" t="str">
        <f>'Buildings - Grid Electricity'!T201</f>
        <v/>
      </c>
      <c r="AD696" s="193" t="str">
        <f>'Buildings - Grid Electricity'!U201</f>
        <v/>
      </c>
      <c r="AE696" s="193" t="str">
        <f>'Buildings - Grid Electricity'!V201</f>
        <v/>
      </c>
      <c r="AF696" s="193" t="str">
        <f>'Buildings - Grid Electricity'!W201</f>
        <v/>
      </c>
      <c r="AG696" s="193" t="str">
        <f>'Buildings - Grid Electricity'!X201</f>
        <v/>
      </c>
      <c r="AI696" s="193">
        <f t="shared" si="10"/>
        <v>0</v>
      </c>
      <c r="AJ696" s="193">
        <f t="shared" si="11"/>
        <v>0</v>
      </c>
    </row>
    <row r="697" spans="2:36" x14ac:dyDescent="0.35">
      <c r="B697" s="193" t="e">
        <f>"2024"&amp;MATCH(Totals!D697,OrgType,0)&amp;"_"&amp;MATCH(Totals!E697,Organisations,0)&amp;"_"&amp;LEFT(Totals!F697,1)&amp;"_"&amp;LEFT(G697,1)&amp;"_"&amp;COUNTIF($G$3:G697,G697)</f>
        <v>#N/A</v>
      </c>
      <c r="C697" s="193">
        <v>2025</v>
      </c>
      <c r="D697" s="193">
        <f>Introduction!$D$7</f>
        <v>0</v>
      </c>
      <c r="E697" s="193">
        <f>Introduction!$D$8</f>
        <v>0</v>
      </c>
      <c r="F697" s="193" t="s">
        <v>488</v>
      </c>
      <c r="G697" s="193" t="s">
        <v>171</v>
      </c>
      <c r="H697" s="193">
        <f>'Buildings - Grid Electricity'!B202</f>
        <v>0</v>
      </c>
      <c r="I697" s="193">
        <f>'Buildings - Grid Electricity'!C202</f>
        <v>0</v>
      </c>
      <c r="J697" s="193" t="str">
        <f>'Buildings - Grid Electricity'!D202</f>
        <v/>
      </c>
      <c r="K697" s="237"/>
      <c r="L697" s="237"/>
      <c r="M697" s="193" t="str">
        <f>'Buildings - Grid Electricity'!E202</f>
        <v/>
      </c>
      <c r="N697" s="193" t="str">
        <f>'Buildings - Grid Electricity'!F202</f>
        <v/>
      </c>
      <c r="O697" s="237"/>
      <c r="P697" s="193">
        <f>'Buildings - Grid Electricity'!G202</f>
        <v>0</v>
      </c>
      <c r="Q697" s="193" t="str">
        <f>'Buildings - Grid Electricity'!H202</f>
        <v/>
      </c>
      <c r="R697" s="193">
        <f>'Buildings - Grid Electricity'!I202</f>
        <v>0</v>
      </c>
      <c r="S697" s="193" t="str">
        <f>'Buildings - Grid Electricity'!J202</f>
        <v/>
      </c>
      <c r="T697" s="193" t="str">
        <f>'Buildings - Grid Electricity'!K202</f>
        <v/>
      </c>
      <c r="U697" s="193" t="str">
        <f>'Buildings - Grid Electricity'!L202</f>
        <v/>
      </c>
      <c r="V697" s="193" t="str">
        <f>'Buildings - Grid Electricity'!M202</f>
        <v/>
      </c>
      <c r="W697" s="193" t="str">
        <f>'Buildings - Grid Electricity'!N202</f>
        <v/>
      </c>
      <c r="X697" s="193">
        <f>'Buildings - Grid Electricity'!O202</f>
        <v>0</v>
      </c>
      <c r="Y697" s="193">
        <f>'Buildings - Grid Electricity'!P202</f>
        <v>0</v>
      </c>
      <c r="Z697" s="193" t="str">
        <f>'Buildings - Grid Electricity'!Q202</f>
        <v/>
      </c>
      <c r="AA697" s="193" t="str">
        <f>'Buildings - Grid Electricity'!R202</f>
        <v/>
      </c>
      <c r="AB697" s="193" t="str">
        <f>'Buildings - Grid Electricity'!S202</f>
        <v/>
      </c>
      <c r="AC697" s="193" t="str">
        <f>'Buildings - Grid Electricity'!T202</f>
        <v/>
      </c>
      <c r="AD697" s="193" t="str">
        <f>'Buildings - Grid Electricity'!U202</f>
        <v/>
      </c>
      <c r="AE697" s="193" t="str">
        <f>'Buildings - Grid Electricity'!V202</f>
        <v/>
      </c>
      <c r="AF697" s="193" t="str">
        <f>'Buildings - Grid Electricity'!W202</f>
        <v/>
      </c>
      <c r="AG697" s="193" t="str">
        <f>'Buildings - Grid Electricity'!X202</f>
        <v/>
      </c>
      <c r="AI697" s="193">
        <f t="shared" si="10"/>
        <v>0</v>
      </c>
      <c r="AJ697" s="193">
        <f t="shared" si="11"/>
        <v>0</v>
      </c>
    </row>
    <row r="698" spans="2:36" x14ac:dyDescent="0.35">
      <c r="B698" s="193" t="e">
        <f>"2024"&amp;MATCH(Totals!D698,OrgType,0)&amp;"_"&amp;MATCH(Totals!E698,Organisations,0)&amp;"_"&amp;LEFT(Totals!F698,1)&amp;"_"&amp;LEFT(G698,1)&amp;"_"&amp;COUNTIF($G$3:G698,G698)</f>
        <v>#N/A</v>
      </c>
      <c r="C698" s="193">
        <v>2025</v>
      </c>
      <c r="D698" s="193">
        <f>Introduction!$D$7</f>
        <v>0</v>
      </c>
      <c r="E698" s="193">
        <f>Introduction!$D$8</f>
        <v>0</v>
      </c>
      <c r="F698" s="193" t="s">
        <v>488</v>
      </c>
      <c r="G698" s="193" t="s">
        <v>171</v>
      </c>
      <c r="H698" s="193">
        <f>'Buildings - Grid Electricity'!B203</f>
        <v>0</v>
      </c>
      <c r="I698" s="193">
        <f>'Buildings - Grid Electricity'!C203</f>
        <v>0</v>
      </c>
      <c r="J698" s="193" t="str">
        <f>'Buildings - Grid Electricity'!D203</f>
        <v/>
      </c>
      <c r="K698" s="237"/>
      <c r="L698" s="237"/>
      <c r="M698" s="193" t="str">
        <f>'Buildings - Grid Electricity'!E203</f>
        <v/>
      </c>
      <c r="N698" s="193" t="str">
        <f>'Buildings - Grid Electricity'!F203</f>
        <v/>
      </c>
      <c r="O698" s="237"/>
      <c r="P698" s="193">
        <f>'Buildings - Grid Electricity'!G203</f>
        <v>0</v>
      </c>
      <c r="Q698" s="193" t="str">
        <f>'Buildings - Grid Electricity'!H203</f>
        <v/>
      </c>
      <c r="R698" s="193">
        <f>'Buildings - Grid Electricity'!I203</f>
        <v>0</v>
      </c>
      <c r="S698" s="193" t="str">
        <f>'Buildings - Grid Electricity'!J203</f>
        <v/>
      </c>
      <c r="T698" s="193" t="str">
        <f>'Buildings - Grid Electricity'!K203</f>
        <v/>
      </c>
      <c r="U698" s="193" t="str">
        <f>'Buildings - Grid Electricity'!L203</f>
        <v/>
      </c>
      <c r="V698" s="193" t="str">
        <f>'Buildings - Grid Electricity'!M203</f>
        <v/>
      </c>
      <c r="W698" s="193" t="str">
        <f>'Buildings - Grid Electricity'!N203</f>
        <v/>
      </c>
      <c r="X698" s="193">
        <f>'Buildings - Grid Electricity'!O203</f>
        <v>0</v>
      </c>
      <c r="Y698" s="193">
        <f>'Buildings - Grid Electricity'!P203</f>
        <v>0</v>
      </c>
      <c r="Z698" s="193" t="str">
        <f>'Buildings - Grid Electricity'!Q203</f>
        <v/>
      </c>
      <c r="AA698" s="193" t="str">
        <f>'Buildings - Grid Electricity'!R203</f>
        <v/>
      </c>
      <c r="AB698" s="193" t="str">
        <f>'Buildings - Grid Electricity'!S203</f>
        <v/>
      </c>
      <c r="AC698" s="193" t="str">
        <f>'Buildings - Grid Electricity'!T203</f>
        <v/>
      </c>
      <c r="AD698" s="193" t="str">
        <f>'Buildings - Grid Electricity'!U203</f>
        <v/>
      </c>
      <c r="AE698" s="193" t="str">
        <f>'Buildings - Grid Electricity'!V203</f>
        <v/>
      </c>
      <c r="AF698" s="193" t="str">
        <f>'Buildings - Grid Electricity'!W203</f>
        <v/>
      </c>
      <c r="AG698" s="193" t="str">
        <f>'Buildings - Grid Electricity'!X203</f>
        <v/>
      </c>
      <c r="AI698" s="193">
        <f t="shared" si="10"/>
        <v>0</v>
      </c>
      <c r="AJ698" s="193">
        <f t="shared" si="11"/>
        <v>0</v>
      </c>
    </row>
    <row r="699" spans="2:36" x14ac:dyDescent="0.35">
      <c r="B699" s="193" t="e">
        <f>"2024"&amp;MATCH(Totals!D699,OrgType,0)&amp;"_"&amp;MATCH(Totals!E699,Organisations,0)&amp;"_"&amp;LEFT(Totals!F699,1)&amp;"_"&amp;LEFT(G699,1)&amp;"_"&amp;COUNTIF($G$3:G699,G699)</f>
        <v>#N/A</v>
      </c>
      <c r="C699" s="193">
        <v>2025</v>
      </c>
      <c r="D699" s="193">
        <f>Introduction!$D$7</f>
        <v>0</v>
      </c>
      <c r="E699" s="193">
        <f>Introduction!$D$8</f>
        <v>0</v>
      </c>
      <c r="F699" s="193" t="s">
        <v>488</v>
      </c>
      <c r="G699" s="193" t="s">
        <v>171</v>
      </c>
      <c r="H699" s="193">
        <f>'Buildings - Grid Electricity'!B204</f>
        <v>0</v>
      </c>
      <c r="I699" s="193">
        <f>'Buildings - Grid Electricity'!C204</f>
        <v>0</v>
      </c>
      <c r="J699" s="193" t="str">
        <f>'Buildings - Grid Electricity'!D204</f>
        <v/>
      </c>
      <c r="K699" s="237"/>
      <c r="L699" s="237"/>
      <c r="M699" s="193" t="str">
        <f>'Buildings - Grid Electricity'!E204</f>
        <v/>
      </c>
      <c r="N699" s="193" t="str">
        <f>'Buildings - Grid Electricity'!F204</f>
        <v/>
      </c>
      <c r="O699" s="237"/>
      <c r="P699" s="193">
        <f>'Buildings - Grid Electricity'!G204</f>
        <v>0</v>
      </c>
      <c r="Q699" s="193" t="str">
        <f>'Buildings - Grid Electricity'!H204</f>
        <v/>
      </c>
      <c r="R699" s="193">
        <f>'Buildings - Grid Electricity'!I204</f>
        <v>0</v>
      </c>
      <c r="S699" s="193" t="str">
        <f>'Buildings - Grid Electricity'!J204</f>
        <v/>
      </c>
      <c r="T699" s="193" t="str">
        <f>'Buildings - Grid Electricity'!K204</f>
        <v/>
      </c>
      <c r="U699" s="193" t="str">
        <f>'Buildings - Grid Electricity'!L204</f>
        <v/>
      </c>
      <c r="V699" s="193" t="str">
        <f>'Buildings - Grid Electricity'!M204</f>
        <v/>
      </c>
      <c r="W699" s="193" t="str">
        <f>'Buildings - Grid Electricity'!N204</f>
        <v/>
      </c>
      <c r="X699" s="193">
        <f>'Buildings - Grid Electricity'!O204</f>
        <v>0</v>
      </c>
      <c r="Y699" s="193">
        <f>'Buildings - Grid Electricity'!P204</f>
        <v>0</v>
      </c>
      <c r="Z699" s="193" t="str">
        <f>'Buildings - Grid Electricity'!Q204</f>
        <v/>
      </c>
      <c r="AA699" s="193" t="str">
        <f>'Buildings - Grid Electricity'!R204</f>
        <v/>
      </c>
      <c r="AB699" s="193" t="str">
        <f>'Buildings - Grid Electricity'!S204</f>
        <v/>
      </c>
      <c r="AC699" s="193" t="str">
        <f>'Buildings - Grid Electricity'!T204</f>
        <v/>
      </c>
      <c r="AD699" s="193" t="str">
        <f>'Buildings - Grid Electricity'!U204</f>
        <v/>
      </c>
      <c r="AE699" s="193" t="str">
        <f>'Buildings - Grid Electricity'!V204</f>
        <v/>
      </c>
      <c r="AF699" s="193" t="str">
        <f>'Buildings - Grid Electricity'!W204</f>
        <v/>
      </c>
      <c r="AG699" s="193" t="str">
        <f>'Buildings - Grid Electricity'!X204</f>
        <v/>
      </c>
      <c r="AI699" s="193">
        <f t="shared" si="10"/>
        <v>0</v>
      </c>
      <c r="AJ699" s="193">
        <f t="shared" si="11"/>
        <v>0</v>
      </c>
    </row>
    <row r="700" spans="2:36" x14ac:dyDescent="0.35">
      <c r="B700" s="193" t="e">
        <f>"2024"&amp;MATCH(Totals!D700,OrgType,0)&amp;"_"&amp;MATCH(Totals!E700,Organisations,0)&amp;"_"&amp;LEFT(Totals!F700,1)&amp;"_"&amp;LEFT(G700,1)&amp;"_"&amp;COUNTIF($G$3:G700,G700)</f>
        <v>#N/A</v>
      </c>
      <c r="C700" s="193">
        <v>2025</v>
      </c>
      <c r="D700" s="193">
        <f>Introduction!$D$7</f>
        <v>0</v>
      </c>
      <c r="E700" s="193">
        <f>Introduction!$D$8</f>
        <v>0</v>
      </c>
      <c r="F700" s="193" t="s">
        <v>488</v>
      </c>
      <c r="G700" s="193" t="s">
        <v>171</v>
      </c>
      <c r="H700" s="193">
        <f>'Buildings - Grid Electricity'!B205</f>
        <v>0</v>
      </c>
      <c r="I700" s="193">
        <f>'Buildings - Grid Electricity'!C205</f>
        <v>0</v>
      </c>
      <c r="J700" s="193" t="str">
        <f>'Buildings - Grid Electricity'!D205</f>
        <v/>
      </c>
      <c r="K700" s="237"/>
      <c r="L700" s="237"/>
      <c r="M700" s="193" t="str">
        <f>'Buildings - Grid Electricity'!E205</f>
        <v/>
      </c>
      <c r="N700" s="193" t="str">
        <f>'Buildings - Grid Electricity'!F205</f>
        <v/>
      </c>
      <c r="O700" s="237"/>
      <c r="P700" s="193">
        <f>'Buildings - Grid Electricity'!G205</f>
        <v>0</v>
      </c>
      <c r="Q700" s="193" t="str">
        <f>'Buildings - Grid Electricity'!H205</f>
        <v/>
      </c>
      <c r="R700" s="193">
        <f>'Buildings - Grid Electricity'!I205</f>
        <v>0</v>
      </c>
      <c r="S700" s="193" t="str">
        <f>'Buildings - Grid Electricity'!J205</f>
        <v/>
      </c>
      <c r="T700" s="193" t="str">
        <f>'Buildings - Grid Electricity'!K205</f>
        <v/>
      </c>
      <c r="U700" s="193" t="str">
        <f>'Buildings - Grid Electricity'!L205</f>
        <v/>
      </c>
      <c r="V700" s="193" t="str">
        <f>'Buildings - Grid Electricity'!M205</f>
        <v/>
      </c>
      <c r="W700" s="193" t="str">
        <f>'Buildings - Grid Electricity'!N205</f>
        <v/>
      </c>
      <c r="X700" s="193">
        <f>'Buildings - Grid Electricity'!O205</f>
        <v>0</v>
      </c>
      <c r="Y700" s="193">
        <f>'Buildings - Grid Electricity'!P205</f>
        <v>0</v>
      </c>
      <c r="Z700" s="193" t="str">
        <f>'Buildings - Grid Electricity'!Q205</f>
        <v/>
      </c>
      <c r="AA700" s="193" t="str">
        <f>'Buildings - Grid Electricity'!R205</f>
        <v/>
      </c>
      <c r="AB700" s="193" t="str">
        <f>'Buildings - Grid Electricity'!S205</f>
        <v/>
      </c>
      <c r="AC700" s="193" t="str">
        <f>'Buildings - Grid Electricity'!T205</f>
        <v/>
      </c>
      <c r="AD700" s="193" t="str">
        <f>'Buildings - Grid Electricity'!U205</f>
        <v/>
      </c>
      <c r="AE700" s="193" t="str">
        <f>'Buildings - Grid Electricity'!V205</f>
        <v/>
      </c>
      <c r="AF700" s="193" t="str">
        <f>'Buildings - Grid Electricity'!W205</f>
        <v/>
      </c>
      <c r="AG700" s="193" t="str">
        <f>'Buildings - Grid Electricity'!X205</f>
        <v/>
      </c>
      <c r="AI700" s="193">
        <f t="shared" si="10"/>
        <v>0</v>
      </c>
      <c r="AJ700" s="193">
        <f t="shared" si="11"/>
        <v>0</v>
      </c>
    </row>
    <row r="701" spans="2:36" x14ac:dyDescent="0.35">
      <c r="B701" s="193" t="e">
        <f>"2024"&amp;MATCH(Totals!D701,OrgType,0)&amp;"_"&amp;MATCH(Totals!E701,Organisations,0)&amp;"_"&amp;LEFT(Totals!F701,1)&amp;"_"&amp;LEFT(G701,1)&amp;"_"&amp;COUNTIF($G$3:G701,G701)</f>
        <v>#N/A</v>
      </c>
      <c r="C701" s="193">
        <v>2025</v>
      </c>
      <c r="D701" s="193">
        <f>Introduction!$D$7</f>
        <v>0</v>
      </c>
      <c r="E701" s="193">
        <f>Introduction!$D$8</f>
        <v>0</v>
      </c>
      <c r="F701" s="193" t="s">
        <v>488</v>
      </c>
      <c r="G701" s="193" t="s">
        <v>171</v>
      </c>
      <c r="H701" s="193">
        <f>'Buildings - Grid Electricity'!B206</f>
        <v>0</v>
      </c>
      <c r="I701" s="193">
        <f>'Buildings - Grid Electricity'!C206</f>
        <v>0</v>
      </c>
      <c r="J701" s="193" t="str">
        <f>'Buildings - Grid Electricity'!D206</f>
        <v/>
      </c>
      <c r="K701" s="237"/>
      <c r="L701" s="237"/>
      <c r="M701" s="193" t="str">
        <f>'Buildings - Grid Electricity'!E206</f>
        <v/>
      </c>
      <c r="N701" s="193" t="str">
        <f>'Buildings - Grid Electricity'!F206</f>
        <v/>
      </c>
      <c r="O701" s="237"/>
      <c r="P701" s="193">
        <f>'Buildings - Grid Electricity'!G206</f>
        <v>0</v>
      </c>
      <c r="Q701" s="193" t="str">
        <f>'Buildings - Grid Electricity'!H206</f>
        <v/>
      </c>
      <c r="R701" s="193">
        <f>'Buildings - Grid Electricity'!I206</f>
        <v>0</v>
      </c>
      <c r="S701" s="193" t="str">
        <f>'Buildings - Grid Electricity'!J206</f>
        <v/>
      </c>
      <c r="T701" s="193" t="str">
        <f>'Buildings - Grid Electricity'!K206</f>
        <v/>
      </c>
      <c r="U701" s="193" t="str">
        <f>'Buildings - Grid Electricity'!L206</f>
        <v/>
      </c>
      <c r="V701" s="193" t="str">
        <f>'Buildings - Grid Electricity'!M206</f>
        <v/>
      </c>
      <c r="W701" s="193" t="str">
        <f>'Buildings - Grid Electricity'!N206</f>
        <v/>
      </c>
      <c r="X701" s="193">
        <f>'Buildings - Grid Electricity'!O206</f>
        <v>0</v>
      </c>
      <c r="Y701" s="193">
        <f>'Buildings - Grid Electricity'!P206</f>
        <v>0</v>
      </c>
      <c r="Z701" s="193" t="str">
        <f>'Buildings - Grid Electricity'!Q206</f>
        <v/>
      </c>
      <c r="AA701" s="193" t="str">
        <f>'Buildings - Grid Electricity'!R206</f>
        <v/>
      </c>
      <c r="AB701" s="193" t="str">
        <f>'Buildings - Grid Electricity'!S206</f>
        <v/>
      </c>
      <c r="AC701" s="193" t="str">
        <f>'Buildings - Grid Electricity'!T206</f>
        <v/>
      </c>
      <c r="AD701" s="193" t="str">
        <f>'Buildings - Grid Electricity'!U206</f>
        <v/>
      </c>
      <c r="AE701" s="193" t="str">
        <f>'Buildings - Grid Electricity'!V206</f>
        <v/>
      </c>
      <c r="AF701" s="193" t="str">
        <f>'Buildings - Grid Electricity'!W206</f>
        <v/>
      </c>
      <c r="AG701" s="193" t="str">
        <f>'Buildings - Grid Electricity'!X206</f>
        <v/>
      </c>
      <c r="AI701" s="193">
        <f t="shared" si="10"/>
        <v>0</v>
      </c>
      <c r="AJ701" s="193">
        <f t="shared" si="11"/>
        <v>0</v>
      </c>
    </row>
    <row r="702" spans="2:36" x14ac:dyDescent="0.35">
      <c r="B702" s="193" t="e">
        <f>"2024"&amp;MATCH(Totals!D702,OrgType,0)&amp;"_"&amp;MATCH(Totals!E702,Organisations,0)&amp;"_"&amp;LEFT(Totals!F702,1)&amp;"_"&amp;LEFT(G702,1)&amp;"_"&amp;COUNTIF($G$3:G702,G702)</f>
        <v>#N/A</v>
      </c>
      <c r="C702" s="193">
        <v>2025</v>
      </c>
      <c r="D702" s="193">
        <f>Introduction!$D$7</f>
        <v>0</v>
      </c>
      <c r="E702" s="193">
        <f>Introduction!$D$8</f>
        <v>0</v>
      </c>
      <c r="F702" s="193" t="s">
        <v>488</v>
      </c>
      <c r="G702" s="193" t="s">
        <v>171</v>
      </c>
      <c r="H702" s="193">
        <f>'Buildings - Grid Electricity'!B207</f>
        <v>0</v>
      </c>
      <c r="I702" s="193">
        <f>'Buildings - Grid Electricity'!C207</f>
        <v>0</v>
      </c>
      <c r="J702" s="193" t="str">
        <f>'Buildings - Grid Electricity'!D207</f>
        <v/>
      </c>
      <c r="K702" s="237"/>
      <c r="L702" s="237"/>
      <c r="M702" s="193" t="str">
        <f>'Buildings - Grid Electricity'!E207</f>
        <v/>
      </c>
      <c r="N702" s="193" t="str">
        <f>'Buildings - Grid Electricity'!F207</f>
        <v/>
      </c>
      <c r="O702" s="237"/>
      <c r="P702" s="193">
        <f>'Buildings - Grid Electricity'!G207</f>
        <v>0</v>
      </c>
      <c r="Q702" s="193" t="str">
        <f>'Buildings - Grid Electricity'!H207</f>
        <v/>
      </c>
      <c r="R702" s="193">
        <f>'Buildings - Grid Electricity'!I207</f>
        <v>0</v>
      </c>
      <c r="S702" s="193" t="str">
        <f>'Buildings - Grid Electricity'!J207</f>
        <v/>
      </c>
      <c r="T702" s="193" t="str">
        <f>'Buildings - Grid Electricity'!K207</f>
        <v/>
      </c>
      <c r="U702" s="193" t="str">
        <f>'Buildings - Grid Electricity'!L207</f>
        <v/>
      </c>
      <c r="V702" s="193" t="str">
        <f>'Buildings - Grid Electricity'!M207</f>
        <v/>
      </c>
      <c r="W702" s="193" t="str">
        <f>'Buildings - Grid Electricity'!N207</f>
        <v/>
      </c>
      <c r="X702" s="193">
        <f>'Buildings - Grid Electricity'!O207</f>
        <v>0</v>
      </c>
      <c r="Y702" s="193">
        <f>'Buildings - Grid Electricity'!P207</f>
        <v>0</v>
      </c>
      <c r="Z702" s="193" t="str">
        <f>'Buildings - Grid Electricity'!Q207</f>
        <v/>
      </c>
      <c r="AA702" s="193" t="str">
        <f>'Buildings - Grid Electricity'!R207</f>
        <v/>
      </c>
      <c r="AB702" s="193" t="str">
        <f>'Buildings - Grid Electricity'!S207</f>
        <v/>
      </c>
      <c r="AC702" s="193" t="str">
        <f>'Buildings - Grid Electricity'!T207</f>
        <v/>
      </c>
      <c r="AD702" s="193" t="str">
        <f>'Buildings - Grid Electricity'!U207</f>
        <v/>
      </c>
      <c r="AE702" s="193" t="str">
        <f>'Buildings - Grid Electricity'!V207</f>
        <v/>
      </c>
      <c r="AF702" s="193" t="str">
        <f>'Buildings - Grid Electricity'!W207</f>
        <v/>
      </c>
      <c r="AG702" s="193" t="str">
        <f>'Buildings - Grid Electricity'!X207</f>
        <v/>
      </c>
      <c r="AI702" s="193">
        <f t="shared" si="10"/>
        <v>0</v>
      </c>
      <c r="AJ702" s="193">
        <f t="shared" si="11"/>
        <v>0</v>
      </c>
    </row>
    <row r="703" spans="2:36" x14ac:dyDescent="0.35">
      <c r="B703" s="193" t="e">
        <f>"2024"&amp;MATCH(Totals!D703,OrgType,0)&amp;"_"&amp;MATCH(Totals!E703,Organisations,0)&amp;"_"&amp;LEFT(Totals!F703,1)&amp;"_"&amp;LEFT(G703,1)&amp;"_"&amp;COUNTIF($G$3:G703,G703)</f>
        <v>#N/A</v>
      </c>
      <c r="C703" s="193">
        <v>2025</v>
      </c>
      <c r="D703" s="193">
        <f>Introduction!$D$7</f>
        <v>0</v>
      </c>
      <c r="E703" s="193">
        <f>Introduction!$D$8</f>
        <v>0</v>
      </c>
      <c r="F703" s="193" t="s">
        <v>488</v>
      </c>
      <c r="G703" s="193" t="s">
        <v>171</v>
      </c>
      <c r="H703" s="193">
        <f>'Buildings - Grid Electricity'!B208</f>
        <v>0</v>
      </c>
      <c r="I703" s="193">
        <f>'Buildings - Grid Electricity'!C208</f>
        <v>0</v>
      </c>
      <c r="J703" s="193" t="str">
        <f>'Buildings - Grid Electricity'!D208</f>
        <v/>
      </c>
      <c r="K703" s="237"/>
      <c r="L703" s="237"/>
      <c r="M703" s="193" t="str">
        <f>'Buildings - Grid Electricity'!E208</f>
        <v/>
      </c>
      <c r="N703" s="193" t="str">
        <f>'Buildings - Grid Electricity'!F208</f>
        <v/>
      </c>
      <c r="O703" s="237"/>
      <c r="P703" s="193">
        <f>'Buildings - Grid Electricity'!G208</f>
        <v>0</v>
      </c>
      <c r="Q703" s="193" t="str">
        <f>'Buildings - Grid Electricity'!H208</f>
        <v/>
      </c>
      <c r="R703" s="193">
        <f>'Buildings - Grid Electricity'!I208</f>
        <v>0</v>
      </c>
      <c r="S703" s="193" t="str">
        <f>'Buildings - Grid Electricity'!J208</f>
        <v/>
      </c>
      <c r="T703" s="193" t="str">
        <f>'Buildings - Grid Electricity'!K208</f>
        <v/>
      </c>
      <c r="U703" s="193" t="str">
        <f>'Buildings - Grid Electricity'!L208</f>
        <v/>
      </c>
      <c r="V703" s="193" t="str">
        <f>'Buildings - Grid Electricity'!M208</f>
        <v/>
      </c>
      <c r="W703" s="193" t="str">
        <f>'Buildings - Grid Electricity'!N208</f>
        <v/>
      </c>
      <c r="X703" s="193">
        <f>'Buildings - Grid Electricity'!O208</f>
        <v>0</v>
      </c>
      <c r="Y703" s="193">
        <f>'Buildings - Grid Electricity'!P208</f>
        <v>0</v>
      </c>
      <c r="Z703" s="193" t="str">
        <f>'Buildings - Grid Electricity'!Q208</f>
        <v/>
      </c>
      <c r="AA703" s="193" t="str">
        <f>'Buildings - Grid Electricity'!R208</f>
        <v/>
      </c>
      <c r="AB703" s="193" t="str">
        <f>'Buildings - Grid Electricity'!S208</f>
        <v/>
      </c>
      <c r="AC703" s="193" t="str">
        <f>'Buildings - Grid Electricity'!T208</f>
        <v/>
      </c>
      <c r="AD703" s="193" t="str">
        <f>'Buildings - Grid Electricity'!U208</f>
        <v/>
      </c>
      <c r="AE703" s="193" t="str">
        <f>'Buildings - Grid Electricity'!V208</f>
        <v/>
      </c>
      <c r="AF703" s="193" t="str">
        <f>'Buildings - Grid Electricity'!W208</f>
        <v/>
      </c>
      <c r="AG703" s="193" t="str">
        <f>'Buildings - Grid Electricity'!X208</f>
        <v/>
      </c>
      <c r="AI703" s="193">
        <f t="shared" si="10"/>
        <v>0</v>
      </c>
      <c r="AJ703" s="193">
        <f t="shared" si="11"/>
        <v>0</v>
      </c>
    </row>
    <row r="704" spans="2:36" x14ac:dyDescent="0.35">
      <c r="B704" s="193" t="e">
        <f>"2024"&amp;MATCH(Totals!D704,OrgType,0)&amp;"_"&amp;MATCH(Totals!E704,Organisations,0)&amp;"_"&amp;LEFT(Totals!F704,1)&amp;"_"&amp;LEFT(G704,1)&amp;"_"&amp;COUNTIF($G$3:G704,G704)</f>
        <v>#N/A</v>
      </c>
      <c r="C704" s="193">
        <v>2025</v>
      </c>
      <c r="D704" s="193">
        <f>Introduction!$D$7</f>
        <v>0</v>
      </c>
      <c r="E704" s="193">
        <f>Introduction!$D$8</f>
        <v>0</v>
      </c>
      <c r="F704" s="193" t="s">
        <v>488</v>
      </c>
      <c r="G704" s="193" t="s">
        <v>171</v>
      </c>
      <c r="H704" s="193">
        <f>'Buildings - Grid Electricity'!B209</f>
        <v>0</v>
      </c>
      <c r="I704" s="193">
        <f>'Buildings - Grid Electricity'!C209</f>
        <v>0</v>
      </c>
      <c r="J704" s="193" t="str">
        <f>'Buildings - Grid Electricity'!D209</f>
        <v/>
      </c>
      <c r="K704" s="237"/>
      <c r="L704" s="237"/>
      <c r="M704" s="193" t="str">
        <f>'Buildings - Grid Electricity'!E209</f>
        <v/>
      </c>
      <c r="N704" s="193" t="str">
        <f>'Buildings - Grid Electricity'!F209</f>
        <v/>
      </c>
      <c r="O704" s="237"/>
      <c r="P704" s="193">
        <f>'Buildings - Grid Electricity'!G209</f>
        <v>0</v>
      </c>
      <c r="Q704" s="193" t="str">
        <f>'Buildings - Grid Electricity'!H209</f>
        <v/>
      </c>
      <c r="R704" s="193">
        <f>'Buildings - Grid Electricity'!I209</f>
        <v>0</v>
      </c>
      <c r="S704" s="193" t="str">
        <f>'Buildings - Grid Electricity'!J209</f>
        <v/>
      </c>
      <c r="T704" s="193" t="str">
        <f>'Buildings - Grid Electricity'!K209</f>
        <v/>
      </c>
      <c r="U704" s="193" t="str">
        <f>'Buildings - Grid Electricity'!L209</f>
        <v/>
      </c>
      <c r="V704" s="193" t="str">
        <f>'Buildings - Grid Electricity'!M209</f>
        <v/>
      </c>
      <c r="W704" s="193" t="str">
        <f>'Buildings - Grid Electricity'!N209</f>
        <v/>
      </c>
      <c r="X704" s="193">
        <f>'Buildings - Grid Electricity'!O209</f>
        <v>0</v>
      </c>
      <c r="Y704" s="193">
        <f>'Buildings - Grid Electricity'!P209</f>
        <v>0</v>
      </c>
      <c r="Z704" s="193" t="str">
        <f>'Buildings - Grid Electricity'!Q209</f>
        <v/>
      </c>
      <c r="AA704" s="193" t="str">
        <f>'Buildings - Grid Electricity'!R209</f>
        <v/>
      </c>
      <c r="AB704" s="193" t="str">
        <f>'Buildings - Grid Electricity'!S209</f>
        <v/>
      </c>
      <c r="AC704" s="193" t="str">
        <f>'Buildings - Grid Electricity'!T209</f>
        <v/>
      </c>
      <c r="AD704" s="193" t="str">
        <f>'Buildings - Grid Electricity'!U209</f>
        <v/>
      </c>
      <c r="AE704" s="193" t="str">
        <f>'Buildings - Grid Electricity'!V209</f>
        <v/>
      </c>
      <c r="AF704" s="193" t="str">
        <f>'Buildings - Grid Electricity'!W209</f>
        <v/>
      </c>
      <c r="AG704" s="193" t="str">
        <f>'Buildings - Grid Electricity'!X209</f>
        <v/>
      </c>
      <c r="AI704" s="193">
        <f t="shared" si="10"/>
        <v>0</v>
      </c>
      <c r="AJ704" s="193">
        <f t="shared" si="11"/>
        <v>0</v>
      </c>
    </row>
    <row r="705" spans="2:36" x14ac:dyDescent="0.35">
      <c r="B705" s="193" t="e">
        <f>"2024"&amp;MATCH(Totals!D705,OrgType,0)&amp;"_"&amp;MATCH(Totals!E705,Organisations,0)&amp;"_"&amp;LEFT(Totals!F705,1)&amp;"_"&amp;LEFT(G705,1)&amp;"_"&amp;COUNTIF($G$3:G705,G705)</f>
        <v>#N/A</v>
      </c>
      <c r="C705" s="193">
        <v>2025</v>
      </c>
      <c r="D705" s="193">
        <f>Introduction!$D$7</f>
        <v>0</v>
      </c>
      <c r="E705" s="193">
        <f>Introduction!$D$8</f>
        <v>0</v>
      </c>
      <c r="F705" s="193" t="s">
        <v>488</v>
      </c>
      <c r="G705" s="193" t="s">
        <v>171</v>
      </c>
      <c r="H705" s="193">
        <f>'Buildings - Grid Electricity'!B210</f>
        <v>0</v>
      </c>
      <c r="I705" s="193">
        <f>'Buildings - Grid Electricity'!C210</f>
        <v>0</v>
      </c>
      <c r="J705" s="193" t="str">
        <f>'Buildings - Grid Electricity'!D210</f>
        <v/>
      </c>
      <c r="K705" s="237"/>
      <c r="L705" s="237"/>
      <c r="M705" s="193" t="str">
        <f>'Buildings - Grid Electricity'!E210</f>
        <v/>
      </c>
      <c r="N705" s="193" t="str">
        <f>'Buildings - Grid Electricity'!F210</f>
        <v/>
      </c>
      <c r="O705" s="237"/>
      <c r="P705" s="193">
        <f>'Buildings - Grid Electricity'!G210</f>
        <v>0</v>
      </c>
      <c r="Q705" s="193" t="str">
        <f>'Buildings - Grid Electricity'!H210</f>
        <v/>
      </c>
      <c r="R705" s="193">
        <f>'Buildings - Grid Electricity'!I210</f>
        <v>0</v>
      </c>
      <c r="S705" s="193" t="str">
        <f>'Buildings - Grid Electricity'!J210</f>
        <v/>
      </c>
      <c r="T705" s="193" t="str">
        <f>'Buildings - Grid Electricity'!K210</f>
        <v/>
      </c>
      <c r="U705" s="193" t="str">
        <f>'Buildings - Grid Electricity'!L210</f>
        <v/>
      </c>
      <c r="V705" s="193" t="str">
        <f>'Buildings - Grid Electricity'!M210</f>
        <v/>
      </c>
      <c r="W705" s="193" t="str">
        <f>'Buildings - Grid Electricity'!N210</f>
        <v/>
      </c>
      <c r="X705" s="193">
        <f>'Buildings - Grid Electricity'!O210</f>
        <v>0</v>
      </c>
      <c r="Y705" s="193">
        <f>'Buildings - Grid Electricity'!P210</f>
        <v>0</v>
      </c>
      <c r="Z705" s="193" t="str">
        <f>'Buildings - Grid Electricity'!Q210</f>
        <v/>
      </c>
      <c r="AA705" s="193" t="str">
        <f>'Buildings - Grid Electricity'!R210</f>
        <v/>
      </c>
      <c r="AB705" s="193" t="str">
        <f>'Buildings - Grid Electricity'!S210</f>
        <v/>
      </c>
      <c r="AC705" s="193" t="str">
        <f>'Buildings - Grid Electricity'!T210</f>
        <v/>
      </c>
      <c r="AD705" s="193" t="str">
        <f>'Buildings - Grid Electricity'!U210</f>
        <v/>
      </c>
      <c r="AE705" s="193" t="str">
        <f>'Buildings - Grid Electricity'!V210</f>
        <v/>
      </c>
      <c r="AF705" s="193" t="str">
        <f>'Buildings - Grid Electricity'!W210</f>
        <v/>
      </c>
      <c r="AG705" s="193" t="str">
        <f>'Buildings - Grid Electricity'!X210</f>
        <v/>
      </c>
      <c r="AI705" s="193">
        <f t="shared" si="10"/>
        <v>0</v>
      </c>
      <c r="AJ705" s="193">
        <f t="shared" si="11"/>
        <v>0</v>
      </c>
    </row>
    <row r="706" spans="2:36" x14ac:dyDescent="0.35">
      <c r="B706" s="193" t="e">
        <f>"2024"&amp;MATCH(Totals!D706,OrgType,0)&amp;"_"&amp;MATCH(Totals!E706,Organisations,0)&amp;"_"&amp;LEFT(Totals!F706,1)&amp;"_"&amp;LEFT(G706,1)&amp;"_"&amp;COUNTIF($G$3:G706,G706)</f>
        <v>#N/A</v>
      </c>
      <c r="C706" s="193">
        <v>2025</v>
      </c>
      <c r="D706" s="193">
        <f>Introduction!$D$7</f>
        <v>0</v>
      </c>
      <c r="E706" s="193">
        <f>Introduction!$D$8</f>
        <v>0</v>
      </c>
      <c r="F706" s="193" t="s">
        <v>488</v>
      </c>
      <c r="G706" s="193" t="s">
        <v>171</v>
      </c>
      <c r="H706" s="193">
        <f>'Buildings - Grid Electricity'!B211</f>
        <v>0</v>
      </c>
      <c r="I706" s="193">
        <f>'Buildings - Grid Electricity'!C211</f>
        <v>0</v>
      </c>
      <c r="J706" s="193" t="str">
        <f>'Buildings - Grid Electricity'!D211</f>
        <v/>
      </c>
      <c r="K706" s="237"/>
      <c r="L706" s="237"/>
      <c r="M706" s="193" t="str">
        <f>'Buildings - Grid Electricity'!E211</f>
        <v/>
      </c>
      <c r="N706" s="193" t="str">
        <f>'Buildings - Grid Electricity'!F211</f>
        <v/>
      </c>
      <c r="O706" s="237"/>
      <c r="P706" s="193">
        <f>'Buildings - Grid Electricity'!G211</f>
        <v>0</v>
      </c>
      <c r="Q706" s="193" t="str">
        <f>'Buildings - Grid Electricity'!H211</f>
        <v/>
      </c>
      <c r="R706" s="193">
        <f>'Buildings - Grid Electricity'!I211</f>
        <v>0</v>
      </c>
      <c r="S706" s="193" t="str">
        <f>'Buildings - Grid Electricity'!J211</f>
        <v/>
      </c>
      <c r="T706" s="193" t="str">
        <f>'Buildings - Grid Electricity'!K211</f>
        <v/>
      </c>
      <c r="U706" s="193" t="str">
        <f>'Buildings - Grid Electricity'!L211</f>
        <v/>
      </c>
      <c r="V706" s="193" t="str">
        <f>'Buildings - Grid Electricity'!M211</f>
        <v/>
      </c>
      <c r="W706" s="193" t="str">
        <f>'Buildings - Grid Electricity'!N211</f>
        <v/>
      </c>
      <c r="X706" s="193">
        <f>'Buildings - Grid Electricity'!O211</f>
        <v>0</v>
      </c>
      <c r="Y706" s="193">
        <f>'Buildings - Grid Electricity'!P211</f>
        <v>0</v>
      </c>
      <c r="Z706" s="193" t="str">
        <f>'Buildings - Grid Electricity'!Q211</f>
        <v/>
      </c>
      <c r="AA706" s="193" t="str">
        <f>'Buildings - Grid Electricity'!R211</f>
        <v/>
      </c>
      <c r="AB706" s="193" t="str">
        <f>'Buildings - Grid Electricity'!S211</f>
        <v/>
      </c>
      <c r="AC706" s="193" t="str">
        <f>'Buildings - Grid Electricity'!T211</f>
        <v/>
      </c>
      <c r="AD706" s="193" t="str">
        <f>'Buildings - Grid Electricity'!U211</f>
        <v/>
      </c>
      <c r="AE706" s="193" t="str">
        <f>'Buildings - Grid Electricity'!V211</f>
        <v/>
      </c>
      <c r="AF706" s="193" t="str">
        <f>'Buildings - Grid Electricity'!W211</f>
        <v/>
      </c>
      <c r="AG706" s="193" t="str">
        <f>'Buildings - Grid Electricity'!X211</f>
        <v/>
      </c>
      <c r="AI706" s="193">
        <f t="shared" si="10"/>
        <v>0</v>
      </c>
      <c r="AJ706" s="193">
        <f t="shared" si="11"/>
        <v>0</v>
      </c>
    </row>
    <row r="707" spans="2:36" x14ac:dyDescent="0.35">
      <c r="B707" s="193" t="e">
        <f>"2024"&amp;MATCH(Totals!D707,OrgType,0)&amp;"_"&amp;MATCH(Totals!E707,Organisations,0)&amp;"_"&amp;LEFT(Totals!F707,1)&amp;"_"&amp;LEFT(G707,1)&amp;"_"&amp;COUNTIF($G$3:G707,G707)</f>
        <v>#N/A</v>
      </c>
      <c r="C707" s="193">
        <v>2025</v>
      </c>
      <c r="D707" s="193">
        <f>Introduction!$D$7</f>
        <v>0</v>
      </c>
      <c r="E707" s="193">
        <f>Introduction!$D$8</f>
        <v>0</v>
      </c>
      <c r="F707" s="193" t="s">
        <v>488</v>
      </c>
      <c r="G707" s="193" t="s">
        <v>171</v>
      </c>
      <c r="H707" s="193">
        <f>'Buildings - Grid Electricity'!B212</f>
        <v>0</v>
      </c>
      <c r="I707" s="193">
        <f>'Buildings - Grid Electricity'!C212</f>
        <v>0</v>
      </c>
      <c r="J707" s="193" t="str">
        <f>'Buildings - Grid Electricity'!D212</f>
        <v/>
      </c>
      <c r="K707" s="237"/>
      <c r="L707" s="237"/>
      <c r="M707" s="193" t="str">
        <f>'Buildings - Grid Electricity'!E212</f>
        <v/>
      </c>
      <c r="N707" s="193" t="str">
        <f>'Buildings - Grid Electricity'!F212</f>
        <v/>
      </c>
      <c r="O707" s="237"/>
      <c r="P707" s="193">
        <f>'Buildings - Grid Electricity'!G212</f>
        <v>0</v>
      </c>
      <c r="Q707" s="193" t="str">
        <f>'Buildings - Grid Electricity'!H212</f>
        <v/>
      </c>
      <c r="R707" s="193">
        <f>'Buildings - Grid Electricity'!I212</f>
        <v>0</v>
      </c>
      <c r="S707" s="193" t="str">
        <f>'Buildings - Grid Electricity'!J212</f>
        <v/>
      </c>
      <c r="T707" s="193" t="str">
        <f>'Buildings - Grid Electricity'!K212</f>
        <v/>
      </c>
      <c r="U707" s="193" t="str">
        <f>'Buildings - Grid Electricity'!L212</f>
        <v/>
      </c>
      <c r="V707" s="193" t="str">
        <f>'Buildings - Grid Electricity'!M212</f>
        <v/>
      </c>
      <c r="W707" s="193" t="str">
        <f>'Buildings - Grid Electricity'!N212</f>
        <v/>
      </c>
      <c r="X707" s="193">
        <f>'Buildings - Grid Electricity'!O212</f>
        <v>0</v>
      </c>
      <c r="Y707" s="193">
        <f>'Buildings - Grid Electricity'!P212</f>
        <v>0</v>
      </c>
      <c r="Z707" s="193" t="str">
        <f>'Buildings - Grid Electricity'!Q212</f>
        <v/>
      </c>
      <c r="AA707" s="193" t="str">
        <f>'Buildings - Grid Electricity'!R212</f>
        <v/>
      </c>
      <c r="AB707" s="193" t="str">
        <f>'Buildings - Grid Electricity'!S212</f>
        <v/>
      </c>
      <c r="AC707" s="193" t="str">
        <f>'Buildings - Grid Electricity'!T212</f>
        <v/>
      </c>
      <c r="AD707" s="193" t="str">
        <f>'Buildings - Grid Electricity'!U212</f>
        <v/>
      </c>
      <c r="AE707" s="193" t="str">
        <f>'Buildings - Grid Electricity'!V212</f>
        <v/>
      </c>
      <c r="AF707" s="193" t="str">
        <f>'Buildings - Grid Electricity'!W212</f>
        <v/>
      </c>
      <c r="AG707" s="193" t="str">
        <f>'Buildings - Grid Electricity'!X212</f>
        <v/>
      </c>
      <c r="AI707" s="193">
        <f t="shared" si="10"/>
        <v>0</v>
      </c>
      <c r="AJ707" s="193">
        <f t="shared" si="11"/>
        <v>0</v>
      </c>
    </row>
    <row r="708" spans="2:36" x14ac:dyDescent="0.35">
      <c r="B708" s="193" t="e">
        <f>"2024"&amp;MATCH(Totals!D708,OrgType,0)&amp;"_"&amp;MATCH(Totals!E708,Organisations,0)&amp;"_"&amp;LEFT(Totals!F708,1)&amp;"_"&amp;LEFT(G708,1)&amp;"_"&amp;COUNTIF($G$3:G708,G708)</f>
        <v>#N/A</v>
      </c>
      <c r="C708" s="193">
        <v>2025</v>
      </c>
      <c r="D708" s="193">
        <f>Introduction!$D$7</f>
        <v>0</v>
      </c>
      <c r="E708" s="193">
        <f>Introduction!$D$8</f>
        <v>0</v>
      </c>
      <c r="F708" s="193" t="s">
        <v>488</v>
      </c>
      <c r="G708" s="193" t="s">
        <v>171</v>
      </c>
      <c r="H708" s="193">
        <f>'Buildings - Grid Electricity'!B213</f>
        <v>0</v>
      </c>
      <c r="I708" s="193">
        <f>'Buildings - Grid Electricity'!C213</f>
        <v>0</v>
      </c>
      <c r="J708" s="193" t="str">
        <f>'Buildings - Grid Electricity'!D213</f>
        <v/>
      </c>
      <c r="K708" s="237"/>
      <c r="L708" s="237"/>
      <c r="M708" s="193" t="str">
        <f>'Buildings - Grid Electricity'!E213</f>
        <v/>
      </c>
      <c r="N708" s="193" t="str">
        <f>'Buildings - Grid Electricity'!F213</f>
        <v/>
      </c>
      <c r="O708" s="237"/>
      <c r="P708" s="193">
        <f>'Buildings - Grid Electricity'!G213</f>
        <v>0</v>
      </c>
      <c r="Q708" s="193" t="str">
        <f>'Buildings - Grid Electricity'!H213</f>
        <v/>
      </c>
      <c r="R708" s="193">
        <f>'Buildings - Grid Electricity'!I213</f>
        <v>0</v>
      </c>
      <c r="S708" s="193" t="str">
        <f>'Buildings - Grid Electricity'!J213</f>
        <v/>
      </c>
      <c r="T708" s="193" t="str">
        <f>'Buildings - Grid Electricity'!K213</f>
        <v/>
      </c>
      <c r="U708" s="193" t="str">
        <f>'Buildings - Grid Electricity'!L213</f>
        <v/>
      </c>
      <c r="V708" s="193" t="str">
        <f>'Buildings - Grid Electricity'!M213</f>
        <v/>
      </c>
      <c r="W708" s="193" t="str">
        <f>'Buildings - Grid Electricity'!N213</f>
        <v/>
      </c>
      <c r="X708" s="193">
        <f>'Buildings - Grid Electricity'!O213</f>
        <v>0</v>
      </c>
      <c r="Y708" s="193">
        <f>'Buildings - Grid Electricity'!P213</f>
        <v>0</v>
      </c>
      <c r="Z708" s="193" t="str">
        <f>'Buildings - Grid Electricity'!Q213</f>
        <v/>
      </c>
      <c r="AA708" s="193" t="str">
        <f>'Buildings - Grid Electricity'!R213</f>
        <v/>
      </c>
      <c r="AB708" s="193" t="str">
        <f>'Buildings - Grid Electricity'!S213</f>
        <v/>
      </c>
      <c r="AC708" s="193" t="str">
        <f>'Buildings - Grid Electricity'!T213</f>
        <v/>
      </c>
      <c r="AD708" s="193" t="str">
        <f>'Buildings - Grid Electricity'!U213</f>
        <v/>
      </c>
      <c r="AE708" s="193" t="str">
        <f>'Buildings - Grid Electricity'!V213</f>
        <v/>
      </c>
      <c r="AF708" s="193" t="str">
        <f>'Buildings - Grid Electricity'!W213</f>
        <v/>
      </c>
      <c r="AG708" s="193" t="str">
        <f>'Buildings - Grid Electricity'!X213</f>
        <v/>
      </c>
      <c r="AI708" s="193">
        <f t="shared" si="10"/>
        <v>0</v>
      </c>
      <c r="AJ708" s="193">
        <f t="shared" si="11"/>
        <v>0</v>
      </c>
    </row>
    <row r="709" spans="2:36" x14ac:dyDescent="0.35">
      <c r="B709" s="193" t="e">
        <f>"2024"&amp;MATCH(Totals!D709,OrgType,0)&amp;"_"&amp;MATCH(Totals!E709,Organisations,0)&amp;"_"&amp;LEFT(Totals!F709,1)&amp;"_"&amp;LEFT(G709,1)&amp;"_"&amp;COUNTIF($G$3:G709,G709)</f>
        <v>#N/A</v>
      </c>
      <c r="C709" s="193">
        <v>2025</v>
      </c>
      <c r="D709" s="193">
        <f>Introduction!$D$7</f>
        <v>0</v>
      </c>
      <c r="E709" s="193">
        <f>Introduction!$D$8</f>
        <v>0</v>
      </c>
      <c r="F709" s="193" t="s">
        <v>488</v>
      </c>
      <c r="G709" s="193" t="s">
        <v>171</v>
      </c>
      <c r="H709" s="193">
        <f>'Buildings - Grid Electricity'!B214</f>
        <v>0</v>
      </c>
      <c r="I709" s="193">
        <f>'Buildings - Grid Electricity'!C214</f>
        <v>0</v>
      </c>
      <c r="J709" s="193" t="str">
        <f>'Buildings - Grid Electricity'!D214</f>
        <v/>
      </c>
      <c r="K709" s="237"/>
      <c r="L709" s="237"/>
      <c r="M709" s="193" t="str">
        <f>'Buildings - Grid Electricity'!E214</f>
        <v/>
      </c>
      <c r="N709" s="193" t="str">
        <f>'Buildings - Grid Electricity'!F214</f>
        <v/>
      </c>
      <c r="O709" s="237"/>
      <c r="P709" s="193">
        <f>'Buildings - Grid Electricity'!G214</f>
        <v>0</v>
      </c>
      <c r="Q709" s="193" t="str">
        <f>'Buildings - Grid Electricity'!H214</f>
        <v/>
      </c>
      <c r="R709" s="193">
        <f>'Buildings - Grid Electricity'!I214</f>
        <v>0</v>
      </c>
      <c r="S709" s="193" t="str">
        <f>'Buildings - Grid Electricity'!J214</f>
        <v/>
      </c>
      <c r="T709" s="193" t="str">
        <f>'Buildings - Grid Electricity'!K214</f>
        <v/>
      </c>
      <c r="U709" s="193" t="str">
        <f>'Buildings - Grid Electricity'!L214</f>
        <v/>
      </c>
      <c r="V709" s="193" t="str">
        <f>'Buildings - Grid Electricity'!M214</f>
        <v/>
      </c>
      <c r="W709" s="193" t="str">
        <f>'Buildings - Grid Electricity'!N214</f>
        <v/>
      </c>
      <c r="X709" s="193">
        <f>'Buildings - Grid Electricity'!O214</f>
        <v>0</v>
      </c>
      <c r="Y709" s="193">
        <f>'Buildings - Grid Electricity'!P214</f>
        <v>0</v>
      </c>
      <c r="Z709" s="193" t="str">
        <f>'Buildings - Grid Electricity'!Q214</f>
        <v/>
      </c>
      <c r="AA709" s="193" t="str">
        <f>'Buildings - Grid Electricity'!R214</f>
        <v/>
      </c>
      <c r="AB709" s="193" t="str">
        <f>'Buildings - Grid Electricity'!S214</f>
        <v/>
      </c>
      <c r="AC709" s="193" t="str">
        <f>'Buildings - Grid Electricity'!T214</f>
        <v/>
      </c>
      <c r="AD709" s="193" t="str">
        <f>'Buildings - Grid Electricity'!U214</f>
        <v/>
      </c>
      <c r="AE709" s="193" t="str">
        <f>'Buildings - Grid Electricity'!V214</f>
        <v/>
      </c>
      <c r="AF709" s="193" t="str">
        <f>'Buildings - Grid Electricity'!W214</f>
        <v/>
      </c>
      <c r="AG709" s="193" t="str">
        <f>'Buildings - Grid Electricity'!X214</f>
        <v/>
      </c>
      <c r="AI709" s="193">
        <f t="shared" si="10"/>
        <v>0</v>
      </c>
      <c r="AJ709" s="193">
        <f t="shared" si="11"/>
        <v>0</v>
      </c>
    </row>
    <row r="710" spans="2:36" x14ac:dyDescent="0.35">
      <c r="B710" s="193" t="e">
        <f>"2024"&amp;MATCH(Totals!D710,OrgType,0)&amp;"_"&amp;MATCH(Totals!E710,Organisations,0)&amp;"_"&amp;LEFT(Totals!F710,1)&amp;"_"&amp;LEFT(G710,1)&amp;"_"&amp;COUNTIF($G$3:G710,G710)</f>
        <v>#N/A</v>
      </c>
      <c r="C710" s="193">
        <v>2025</v>
      </c>
      <c r="D710" s="193">
        <f>Introduction!$D$7</f>
        <v>0</v>
      </c>
      <c r="E710" s="193">
        <f>Introduction!$D$8</f>
        <v>0</v>
      </c>
      <c r="F710" s="193" t="s">
        <v>488</v>
      </c>
      <c r="G710" s="193" t="s">
        <v>171</v>
      </c>
      <c r="H710" s="193">
        <f>'Buildings - Grid Electricity'!B215</f>
        <v>0</v>
      </c>
      <c r="I710" s="193">
        <f>'Buildings - Grid Electricity'!C215</f>
        <v>0</v>
      </c>
      <c r="J710" s="193" t="str">
        <f>'Buildings - Grid Electricity'!D215</f>
        <v/>
      </c>
      <c r="K710" s="237"/>
      <c r="L710" s="237"/>
      <c r="M710" s="193" t="str">
        <f>'Buildings - Grid Electricity'!E215</f>
        <v/>
      </c>
      <c r="N710" s="193" t="str">
        <f>'Buildings - Grid Electricity'!F215</f>
        <v/>
      </c>
      <c r="O710" s="237"/>
      <c r="P710" s="193">
        <f>'Buildings - Grid Electricity'!G215</f>
        <v>0</v>
      </c>
      <c r="Q710" s="193" t="str">
        <f>'Buildings - Grid Electricity'!H215</f>
        <v/>
      </c>
      <c r="R710" s="193">
        <f>'Buildings - Grid Electricity'!I215</f>
        <v>0</v>
      </c>
      <c r="S710" s="193" t="str">
        <f>'Buildings - Grid Electricity'!J215</f>
        <v/>
      </c>
      <c r="T710" s="193" t="str">
        <f>'Buildings - Grid Electricity'!K215</f>
        <v/>
      </c>
      <c r="U710" s="193" t="str">
        <f>'Buildings - Grid Electricity'!L215</f>
        <v/>
      </c>
      <c r="V710" s="193" t="str">
        <f>'Buildings - Grid Electricity'!M215</f>
        <v/>
      </c>
      <c r="W710" s="193" t="str">
        <f>'Buildings - Grid Electricity'!N215</f>
        <v/>
      </c>
      <c r="X710" s="193">
        <f>'Buildings - Grid Electricity'!O215</f>
        <v>0</v>
      </c>
      <c r="Y710" s="193">
        <f>'Buildings - Grid Electricity'!P215</f>
        <v>0</v>
      </c>
      <c r="Z710" s="193" t="str">
        <f>'Buildings - Grid Electricity'!Q215</f>
        <v/>
      </c>
      <c r="AA710" s="193" t="str">
        <f>'Buildings - Grid Electricity'!R215</f>
        <v/>
      </c>
      <c r="AB710" s="193" t="str">
        <f>'Buildings - Grid Electricity'!S215</f>
        <v/>
      </c>
      <c r="AC710" s="193" t="str">
        <f>'Buildings - Grid Electricity'!T215</f>
        <v/>
      </c>
      <c r="AD710" s="193" t="str">
        <f>'Buildings - Grid Electricity'!U215</f>
        <v/>
      </c>
      <c r="AE710" s="193" t="str">
        <f>'Buildings - Grid Electricity'!V215</f>
        <v/>
      </c>
      <c r="AF710" s="193" t="str">
        <f>'Buildings - Grid Electricity'!W215</f>
        <v/>
      </c>
      <c r="AG710" s="193" t="str">
        <f>'Buildings - Grid Electricity'!X215</f>
        <v/>
      </c>
      <c r="AI710" s="193">
        <f t="shared" si="10"/>
        <v>0</v>
      </c>
      <c r="AJ710" s="193">
        <f t="shared" si="11"/>
        <v>0</v>
      </c>
    </row>
    <row r="711" spans="2:36" x14ac:dyDescent="0.35">
      <c r="B711" s="193" t="e">
        <f>"2024"&amp;MATCH(Totals!D711,OrgType,0)&amp;"_"&amp;MATCH(Totals!E711,Organisations,0)&amp;"_"&amp;LEFT(Totals!F711,1)&amp;"_"&amp;LEFT(G711,1)&amp;"_"&amp;COUNTIF($G$3:G711,G711)</f>
        <v>#N/A</v>
      </c>
      <c r="C711" s="193">
        <v>2025</v>
      </c>
      <c r="D711" s="193">
        <f>Introduction!$D$7</f>
        <v>0</v>
      </c>
      <c r="E711" s="193">
        <f>Introduction!$D$8</f>
        <v>0</v>
      </c>
      <c r="F711" s="193" t="s">
        <v>488</v>
      </c>
      <c r="G711" s="193" t="s">
        <v>171</v>
      </c>
      <c r="H711" s="193">
        <f>'Buildings - Grid Electricity'!B216</f>
        <v>0</v>
      </c>
      <c r="I711" s="193">
        <f>'Buildings - Grid Electricity'!C216</f>
        <v>0</v>
      </c>
      <c r="J711" s="193" t="str">
        <f>'Buildings - Grid Electricity'!D216</f>
        <v/>
      </c>
      <c r="K711" s="237"/>
      <c r="L711" s="237"/>
      <c r="M711" s="193" t="str">
        <f>'Buildings - Grid Electricity'!E216</f>
        <v/>
      </c>
      <c r="N711" s="193" t="str">
        <f>'Buildings - Grid Electricity'!F216</f>
        <v/>
      </c>
      <c r="O711" s="237"/>
      <c r="P711" s="193">
        <f>'Buildings - Grid Electricity'!G216</f>
        <v>0</v>
      </c>
      <c r="Q711" s="193" t="str">
        <f>'Buildings - Grid Electricity'!H216</f>
        <v/>
      </c>
      <c r="R711" s="193">
        <f>'Buildings - Grid Electricity'!I216</f>
        <v>0</v>
      </c>
      <c r="S711" s="193" t="str">
        <f>'Buildings - Grid Electricity'!J216</f>
        <v/>
      </c>
      <c r="T711" s="193" t="str">
        <f>'Buildings - Grid Electricity'!K216</f>
        <v/>
      </c>
      <c r="U711" s="193" t="str">
        <f>'Buildings - Grid Electricity'!L216</f>
        <v/>
      </c>
      <c r="V711" s="193" t="str">
        <f>'Buildings - Grid Electricity'!M216</f>
        <v/>
      </c>
      <c r="W711" s="193" t="str">
        <f>'Buildings - Grid Electricity'!N216</f>
        <v/>
      </c>
      <c r="X711" s="193">
        <f>'Buildings - Grid Electricity'!O216</f>
        <v>0</v>
      </c>
      <c r="Y711" s="193">
        <f>'Buildings - Grid Electricity'!P216</f>
        <v>0</v>
      </c>
      <c r="Z711" s="193" t="str">
        <f>'Buildings - Grid Electricity'!Q216</f>
        <v/>
      </c>
      <c r="AA711" s="193" t="str">
        <f>'Buildings - Grid Electricity'!R216</f>
        <v/>
      </c>
      <c r="AB711" s="193" t="str">
        <f>'Buildings - Grid Electricity'!S216</f>
        <v/>
      </c>
      <c r="AC711" s="193" t="str">
        <f>'Buildings - Grid Electricity'!T216</f>
        <v/>
      </c>
      <c r="AD711" s="193" t="str">
        <f>'Buildings - Grid Electricity'!U216</f>
        <v/>
      </c>
      <c r="AE711" s="193" t="str">
        <f>'Buildings - Grid Electricity'!V216</f>
        <v/>
      </c>
      <c r="AF711" s="193" t="str">
        <f>'Buildings - Grid Electricity'!W216</f>
        <v/>
      </c>
      <c r="AG711" s="193" t="str">
        <f>'Buildings - Grid Electricity'!X216</f>
        <v/>
      </c>
      <c r="AI711" s="193">
        <f t="shared" si="10"/>
        <v>0</v>
      </c>
      <c r="AJ711" s="193">
        <f t="shared" si="11"/>
        <v>0</v>
      </c>
    </row>
    <row r="712" spans="2:36" x14ac:dyDescent="0.35">
      <c r="B712" s="193" t="e">
        <f>"2024"&amp;MATCH(Totals!D712,OrgType,0)&amp;"_"&amp;MATCH(Totals!E712,Organisations,0)&amp;"_"&amp;LEFT(Totals!F712,1)&amp;"_"&amp;LEFT(G712,1)&amp;"_"&amp;COUNTIF($G$3:G712,G712)</f>
        <v>#N/A</v>
      </c>
      <c r="C712" s="193">
        <v>2025</v>
      </c>
      <c r="D712" s="193">
        <f>Introduction!$D$7</f>
        <v>0</v>
      </c>
      <c r="E712" s="193">
        <f>Introduction!$D$8</f>
        <v>0</v>
      </c>
      <c r="F712" s="193" t="s">
        <v>488</v>
      </c>
      <c r="G712" s="193" t="s">
        <v>171</v>
      </c>
      <c r="H712" s="193">
        <f>'Buildings - Grid Electricity'!B217</f>
        <v>0</v>
      </c>
      <c r="I712" s="193">
        <f>'Buildings - Grid Electricity'!C217</f>
        <v>0</v>
      </c>
      <c r="J712" s="193" t="str">
        <f>'Buildings - Grid Electricity'!D217</f>
        <v/>
      </c>
      <c r="K712" s="237"/>
      <c r="L712" s="237"/>
      <c r="M712" s="193" t="str">
        <f>'Buildings - Grid Electricity'!E217</f>
        <v/>
      </c>
      <c r="N712" s="193" t="str">
        <f>'Buildings - Grid Electricity'!F217</f>
        <v/>
      </c>
      <c r="O712" s="237"/>
      <c r="P712" s="193">
        <f>'Buildings - Grid Electricity'!G217</f>
        <v>0</v>
      </c>
      <c r="Q712" s="193" t="str">
        <f>'Buildings - Grid Electricity'!H217</f>
        <v/>
      </c>
      <c r="R712" s="193">
        <f>'Buildings - Grid Electricity'!I217</f>
        <v>0</v>
      </c>
      <c r="S712" s="193" t="str">
        <f>'Buildings - Grid Electricity'!J217</f>
        <v/>
      </c>
      <c r="T712" s="193" t="str">
        <f>'Buildings - Grid Electricity'!K217</f>
        <v/>
      </c>
      <c r="U712" s="193" t="str">
        <f>'Buildings - Grid Electricity'!L217</f>
        <v/>
      </c>
      <c r="V712" s="193" t="str">
        <f>'Buildings - Grid Electricity'!M217</f>
        <v/>
      </c>
      <c r="W712" s="193" t="str">
        <f>'Buildings - Grid Electricity'!N217</f>
        <v/>
      </c>
      <c r="X712" s="193">
        <f>'Buildings - Grid Electricity'!O217</f>
        <v>0</v>
      </c>
      <c r="Y712" s="193">
        <f>'Buildings - Grid Electricity'!P217</f>
        <v>0</v>
      </c>
      <c r="Z712" s="193" t="str">
        <f>'Buildings - Grid Electricity'!Q217</f>
        <v/>
      </c>
      <c r="AA712" s="193" t="str">
        <f>'Buildings - Grid Electricity'!R217</f>
        <v/>
      </c>
      <c r="AB712" s="193" t="str">
        <f>'Buildings - Grid Electricity'!S217</f>
        <v/>
      </c>
      <c r="AC712" s="193" t="str">
        <f>'Buildings - Grid Electricity'!T217</f>
        <v/>
      </c>
      <c r="AD712" s="193" t="str">
        <f>'Buildings - Grid Electricity'!U217</f>
        <v/>
      </c>
      <c r="AE712" s="193" t="str">
        <f>'Buildings - Grid Electricity'!V217</f>
        <v/>
      </c>
      <c r="AF712" s="193" t="str">
        <f>'Buildings - Grid Electricity'!W217</f>
        <v/>
      </c>
      <c r="AG712" s="193" t="str">
        <f>'Buildings - Grid Electricity'!X217</f>
        <v/>
      </c>
      <c r="AI712" s="193">
        <f t="shared" si="10"/>
        <v>0</v>
      </c>
      <c r="AJ712" s="193">
        <f t="shared" si="11"/>
        <v>0</v>
      </c>
    </row>
    <row r="713" spans="2:36" x14ac:dyDescent="0.35">
      <c r="B713" s="193" t="e">
        <f>"2024"&amp;MATCH(Totals!D713,OrgType,0)&amp;"_"&amp;MATCH(Totals!E713,Organisations,0)&amp;"_"&amp;LEFT(Totals!F713,1)&amp;"_"&amp;LEFT(G713,1)&amp;"_"&amp;COUNTIF($G$3:G713,G713)</f>
        <v>#N/A</v>
      </c>
      <c r="C713" s="193">
        <v>2025</v>
      </c>
      <c r="D713" s="193">
        <f>Introduction!$D$7</f>
        <v>0</v>
      </c>
      <c r="E713" s="193">
        <f>Introduction!$D$8</f>
        <v>0</v>
      </c>
      <c r="F713" s="193" t="s">
        <v>488</v>
      </c>
      <c r="G713" s="193" t="s">
        <v>171</v>
      </c>
      <c r="H713" s="193">
        <f>'Buildings - Grid Electricity'!B218</f>
        <v>0</v>
      </c>
      <c r="I713" s="193">
        <f>'Buildings - Grid Electricity'!C218</f>
        <v>0</v>
      </c>
      <c r="J713" s="193" t="str">
        <f>'Buildings - Grid Electricity'!D218</f>
        <v/>
      </c>
      <c r="K713" s="237"/>
      <c r="L713" s="237"/>
      <c r="M713" s="193" t="str">
        <f>'Buildings - Grid Electricity'!E218</f>
        <v/>
      </c>
      <c r="N713" s="193" t="str">
        <f>'Buildings - Grid Electricity'!F218</f>
        <v/>
      </c>
      <c r="O713" s="237"/>
      <c r="P713" s="193">
        <f>'Buildings - Grid Electricity'!G218</f>
        <v>0</v>
      </c>
      <c r="Q713" s="193" t="str">
        <f>'Buildings - Grid Electricity'!H218</f>
        <v/>
      </c>
      <c r="R713" s="193">
        <f>'Buildings - Grid Electricity'!I218</f>
        <v>0</v>
      </c>
      <c r="S713" s="193" t="str">
        <f>'Buildings - Grid Electricity'!J218</f>
        <v/>
      </c>
      <c r="T713" s="193" t="str">
        <f>'Buildings - Grid Electricity'!K218</f>
        <v/>
      </c>
      <c r="U713" s="193" t="str">
        <f>'Buildings - Grid Electricity'!L218</f>
        <v/>
      </c>
      <c r="V713" s="193" t="str">
        <f>'Buildings - Grid Electricity'!M218</f>
        <v/>
      </c>
      <c r="W713" s="193" t="str">
        <f>'Buildings - Grid Electricity'!N218</f>
        <v/>
      </c>
      <c r="X713" s="193">
        <f>'Buildings - Grid Electricity'!O218</f>
        <v>0</v>
      </c>
      <c r="Y713" s="193">
        <f>'Buildings - Grid Electricity'!P218</f>
        <v>0</v>
      </c>
      <c r="Z713" s="193" t="str">
        <f>'Buildings - Grid Electricity'!Q218</f>
        <v/>
      </c>
      <c r="AA713" s="193" t="str">
        <f>'Buildings - Grid Electricity'!R218</f>
        <v/>
      </c>
      <c r="AB713" s="193" t="str">
        <f>'Buildings - Grid Electricity'!S218</f>
        <v/>
      </c>
      <c r="AC713" s="193" t="str">
        <f>'Buildings - Grid Electricity'!T218</f>
        <v/>
      </c>
      <c r="AD713" s="193" t="str">
        <f>'Buildings - Grid Electricity'!U218</f>
        <v/>
      </c>
      <c r="AE713" s="193" t="str">
        <f>'Buildings - Grid Electricity'!V218</f>
        <v/>
      </c>
      <c r="AF713" s="193" t="str">
        <f>'Buildings - Grid Electricity'!W218</f>
        <v/>
      </c>
      <c r="AG713" s="193" t="str">
        <f>'Buildings - Grid Electricity'!X218</f>
        <v/>
      </c>
      <c r="AI713" s="193">
        <f t="shared" si="10"/>
        <v>0</v>
      </c>
      <c r="AJ713" s="193">
        <f t="shared" si="11"/>
        <v>0</v>
      </c>
    </row>
    <row r="714" spans="2:36" x14ac:dyDescent="0.35">
      <c r="B714" s="193" t="e">
        <f>"2024"&amp;MATCH(Totals!D714,OrgType,0)&amp;"_"&amp;MATCH(Totals!E714,Organisations,0)&amp;"_"&amp;LEFT(Totals!F714,1)&amp;"_"&amp;LEFT(G714,1)&amp;"_"&amp;COUNTIF($G$3:G714,G714)</f>
        <v>#N/A</v>
      </c>
      <c r="C714" s="193">
        <v>2025</v>
      </c>
      <c r="D714" s="193">
        <f>Introduction!$D$7</f>
        <v>0</v>
      </c>
      <c r="E714" s="193">
        <f>Introduction!$D$8</f>
        <v>0</v>
      </c>
      <c r="F714" s="193" t="s">
        <v>488</v>
      </c>
      <c r="G714" s="193" t="s">
        <v>171</v>
      </c>
      <c r="H714" s="193">
        <f>'Buildings - Grid Electricity'!B219</f>
        <v>0</v>
      </c>
      <c r="I714" s="193">
        <f>'Buildings - Grid Electricity'!C219</f>
        <v>0</v>
      </c>
      <c r="J714" s="193" t="str">
        <f>'Buildings - Grid Electricity'!D219</f>
        <v/>
      </c>
      <c r="K714" s="237"/>
      <c r="L714" s="237"/>
      <c r="M714" s="193" t="str">
        <f>'Buildings - Grid Electricity'!E219</f>
        <v/>
      </c>
      <c r="N714" s="193" t="str">
        <f>'Buildings - Grid Electricity'!F219</f>
        <v/>
      </c>
      <c r="O714" s="237"/>
      <c r="P714" s="193">
        <f>'Buildings - Grid Electricity'!G219</f>
        <v>0</v>
      </c>
      <c r="Q714" s="193" t="str">
        <f>'Buildings - Grid Electricity'!H219</f>
        <v/>
      </c>
      <c r="R714" s="193">
        <f>'Buildings - Grid Electricity'!I219</f>
        <v>0</v>
      </c>
      <c r="S714" s="193" t="str">
        <f>'Buildings - Grid Electricity'!J219</f>
        <v/>
      </c>
      <c r="T714" s="193" t="str">
        <f>'Buildings - Grid Electricity'!K219</f>
        <v/>
      </c>
      <c r="U714" s="193" t="str">
        <f>'Buildings - Grid Electricity'!L219</f>
        <v/>
      </c>
      <c r="V714" s="193" t="str">
        <f>'Buildings - Grid Electricity'!M219</f>
        <v/>
      </c>
      <c r="W714" s="193" t="str">
        <f>'Buildings - Grid Electricity'!N219</f>
        <v/>
      </c>
      <c r="X714" s="193">
        <f>'Buildings - Grid Electricity'!O219</f>
        <v>0</v>
      </c>
      <c r="Y714" s="193">
        <f>'Buildings - Grid Electricity'!P219</f>
        <v>0</v>
      </c>
      <c r="Z714" s="193" t="str">
        <f>'Buildings - Grid Electricity'!Q219</f>
        <v/>
      </c>
      <c r="AA714" s="193" t="str">
        <f>'Buildings - Grid Electricity'!R219</f>
        <v/>
      </c>
      <c r="AB714" s="193" t="str">
        <f>'Buildings - Grid Electricity'!S219</f>
        <v/>
      </c>
      <c r="AC714" s="193" t="str">
        <f>'Buildings - Grid Electricity'!T219</f>
        <v/>
      </c>
      <c r="AD714" s="193" t="str">
        <f>'Buildings - Grid Electricity'!U219</f>
        <v/>
      </c>
      <c r="AE714" s="193" t="str">
        <f>'Buildings - Grid Electricity'!V219</f>
        <v/>
      </c>
      <c r="AF714" s="193" t="str">
        <f>'Buildings - Grid Electricity'!W219</f>
        <v/>
      </c>
      <c r="AG714" s="193" t="str">
        <f>'Buildings - Grid Electricity'!X219</f>
        <v/>
      </c>
      <c r="AI714" s="193">
        <f t="shared" si="10"/>
        <v>0</v>
      </c>
      <c r="AJ714" s="193">
        <f t="shared" si="11"/>
        <v>0</v>
      </c>
    </row>
    <row r="715" spans="2:36" x14ac:dyDescent="0.35">
      <c r="B715" s="193" t="e">
        <f>"2024"&amp;MATCH(Totals!D715,OrgType,0)&amp;"_"&amp;MATCH(Totals!E715,Organisations,0)&amp;"_"&amp;LEFT(Totals!F715,1)&amp;"_"&amp;LEFT(G715,1)&amp;"_"&amp;COUNTIF($G$3:G715,G715)</f>
        <v>#N/A</v>
      </c>
      <c r="C715" s="193">
        <v>2025</v>
      </c>
      <c r="D715" s="193">
        <f>Introduction!$D$7</f>
        <v>0</v>
      </c>
      <c r="E715" s="193">
        <f>Introduction!$D$8</f>
        <v>0</v>
      </c>
      <c r="F715" s="193" t="s">
        <v>488</v>
      </c>
      <c r="G715" s="193" t="s">
        <v>171</v>
      </c>
      <c r="H715" s="193">
        <f>'Buildings - Grid Electricity'!B220</f>
        <v>0</v>
      </c>
      <c r="I715" s="193">
        <f>'Buildings - Grid Electricity'!C220</f>
        <v>0</v>
      </c>
      <c r="J715" s="193" t="str">
        <f>'Buildings - Grid Electricity'!D220</f>
        <v/>
      </c>
      <c r="K715" s="237"/>
      <c r="L715" s="237"/>
      <c r="M715" s="193" t="str">
        <f>'Buildings - Grid Electricity'!E220</f>
        <v/>
      </c>
      <c r="N715" s="193" t="str">
        <f>'Buildings - Grid Electricity'!F220</f>
        <v/>
      </c>
      <c r="O715" s="237"/>
      <c r="P715" s="193">
        <f>'Buildings - Grid Electricity'!G220</f>
        <v>0</v>
      </c>
      <c r="Q715" s="193" t="str">
        <f>'Buildings - Grid Electricity'!H220</f>
        <v/>
      </c>
      <c r="R715" s="193">
        <f>'Buildings - Grid Electricity'!I220</f>
        <v>0</v>
      </c>
      <c r="S715" s="193" t="str">
        <f>'Buildings - Grid Electricity'!J220</f>
        <v/>
      </c>
      <c r="T715" s="193" t="str">
        <f>'Buildings - Grid Electricity'!K220</f>
        <v/>
      </c>
      <c r="U715" s="193" t="str">
        <f>'Buildings - Grid Electricity'!L220</f>
        <v/>
      </c>
      <c r="V715" s="193" t="str">
        <f>'Buildings - Grid Electricity'!M220</f>
        <v/>
      </c>
      <c r="W715" s="193" t="str">
        <f>'Buildings - Grid Electricity'!N220</f>
        <v/>
      </c>
      <c r="X715" s="193">
        <f>'Buildings - Grid Electricity'!O220</f>
        <v>0</v>
      </c>
      <c r="Y715" s="193">
        <f>'Buildings - Grid Electricity'!P220</f>
        <v>0</v>
      </c>
      <c r="Z715" s="193" t="str">
        <f>'Buildings - Grid Electricity'!Q220</f>
        <v/>
      </c>
      <c r="AA715" s="193" t="str">
        <f>'Buildings - Grid Electricity'!R220</f>
        <v/>
      </c>
      <c r="AB715" s="193" t="str">
        <f>'Buildings - Grid Electricity'!S220</f>
        <v/>
      </c>
      <c r="AC715" s="193" t="str">
        <f>'Buildings - Grid Electricity'!T220</f>
        <v/>
      </c>
      <c r="AD715" s="193" t="str">
        <f>'Buildings - Grid Electricity'!U220</f>
        <v/>
      </c>
      <c r="AE715" s="193" t="str">
        <f>'Buildings - Grid Electricity'!V220</f>
        <v/>
      </c>
      <c r="AF715" s="193" t="str">
        <f>'Buildings - Grid Electricity'!W220</f>
        <v/>
      </c>
      <c r="AG715" s="193" t="str">
        <f>'Buildings - Grid Electricity'!X220</f>
        <v/>
      </c>
      <c r="AI715" s="193">
        <f t="shared" si="10"/>
        <v>0</v>
      </c>
      <c r="AJ715" s="193">
        <f t="shared" si="11"/>
        <v>0</v>
      </c>
    </row>
    <row r="716" spans="2:36" x14ac:dyDescent="0.35">
      <c r="B716" s="193" t="e">
        <f>"2024"&amp;MATCH(Totals!D716,OrgType,0)&amp;"_"&amp;MATCH(Totals!E716,Organisations,0)&amp;"_"&amp;LEFT(Totals!F716,1)&amp;"_"&amp;LEFT(G716,1)&amp;"_"&amp;COUNTIF($G$3:G716,G716)</f>
        <v>#N/A</v>
      </c>
      <c r="C716" s="193">
        <v>2025</v>
      </c>
      <c r="D716" s="193">
        <f>Introduction!$D$7</f>
        <v>0</v>
      </c>
      <c r="E716" s="193">
        <f>Introduction!$D$8</f>
        <v>0</v>
      </c>
      <c r="F716" s="193" t="s">
        <v>488</v>
      </c>
      <c r="G716" s="193" t="s">
        <v>171</v>
      </c>
      <c r="H716" s="193">
        <f>'Buildings - Grid Electricity'!B221</f>
        <v>0</v>
      </c>
      <c r="I716" s="193">
        <f>'Buildings - Grid Electricity'!C221</f>
        <v>0</v>
      </c>
      <c r="J716" s="193" t="str">
        <f>'Buildings - Grid Electricity'!D221</f>
        <v/>
      </c>
      <c r="K716" s="237"/>
      <c r="L716" s="237"/>
      <c r="M716" s="193" t="str">
        <f>'Buildings - Grid Electricity'!E221</f>
        <v/>
      </c>
      <c r="N716" s="193" t="str">
        <f>'Buildings - Grid Electricity'!F221</f>
        <v/>
      </c>
      <c r="O716" s="237"/>
      <c r="P716" s="193">
        <f>'Buildings - Grid Electricity'!G221</f>
        <v>0</v>
      </c>
      <c r="Q716" s="193" t="str">
        <f>'Buildings - Grid Electricity'!H221</f>
        <v/>
      </c>
      <c r="R716" s="193">
        <f>'Buildings - Grid Electricity'!I221</f>
        <v>0</v>
      </c>
      <c r="S716" s="193" t="str">
        <f>'Buildings - Grid Electricity'!J221</f>
        <v/>
      </c>
      <c r="T716" s="193" t="str">
        <f>'Buildings - Grid Electricity'!K221</f>
        <v/>
      </c>
      <c r="U716" s="193" t="str">
        <f>'Buildings - Grid Electricity'!L221</f>
        <v/>
      </c>
      <c r="V716" s="193" t="str">
        <f>'Buildings - Grid Electricity'!M221</f>
        <v/>
      </c>
      <c r="W716" s="193" t="str">
        <f>'Buildings - Grid Electricity'!N221</f>
        <v/>
      </c>
      <c r="X716" s="193">
        <f>'Buildings - Grid Electricity'!O221</f>
        <v>0</v>
      </c>
      <c r="Y716" s="193">
        <f>'Buildings - Grid Electricity'!P221</f>
        <v>0</v>
      </c>
      <c r="Z716" s="193" t="str">
        <f>'Buildings - Grid Electricity'!Q221</f>
        <v/>
      </c>
      <c r="AA716" s="193" t="str">
        <f>'Buildings - Grid Electricity'!R221</f>
        <v/>
      </c>
      <c r="AB716" s="193" t="str">
        <f>'Buildings - Grid Electricity'!S221</f>
        <v/>
      </c>
      <c r="AC716" s="193" t="str">
        <f>'Buildings - Grid Electricity'!T221</f>
        <v/>
      </c>
      <c r="AD716" s="193" t="str">
        <f>'Buildings - Grid Electricity'!U221</f>
        <v/>
      </c>
      <c r="AE716" s="193" t="str">
        <f>'Buildings - Grid Electricity'!V221</f>
        <v/>
      </c>
      <c r="AF716" s="193" t="str">
        <f>'Buildings - Grid Electricity'!W221</f>
        <v/>
      </c>
      <c r="AG716" s="193" t="str">
        <f>'Buildings - Grid Electricity'!X221</f>
        <v/>
      </c>
      <c r="AI716" s="193">
        <f t="shared" si="10"/>
        <v>0</v>
      </c>
      <c r="AJ716" s="193">
        <f t="shared" si="11"/>
        <v>0</v>
      </c>
    </row>
    <row r="717" spans="2:36" x14ac:dyDescent="0.35">
      <c r="B717" s="193" t="e">
        <f>"2024"&amp;MATCH(Totals!D717,OrgType,0)&amp;"_"&amp;MATCH(Totals!E717,Organisations,0)&amp;"_"&amp;LEFT(Totals!F717,1)&amp;"_"&amp;LEFT(G717,1)&amp;"_"&amp;COUNTIF($G$3:G717,G717)</f>
        <v>#N/A</v>
      </c>
      <c r="C717" s="193">
        <v>2025</v>
      </c>
      <c r="D717" s="193">
        <f>Introduction!$D$7</f>
        <v>0</v>
      </c>
      <c r="E717" s="193">
        <f>Introduction!$D$8</f>
        <v>0</v>
      </c>
      <c r="F717" s="193" t="s">
        <v>488</v>
      </c>
      <c r="G717" s="193" t="s">
        <v>171</v>
      </c>
      <c r="H717" s="193">
        <f>'Buildings - Grid Electricity'!B222</f>
        <v>0</v>
      </c>
      <c r="I717" s="193">
        <f>'Buildings - Grid Electricity'!C222</f>
        <v>0</v>
      </c>
      <c r="J717" s="193" t="str">
        <f>'Buildings - Grid Electricity'!D222</f>
        <v/>
      </c>
      <c r="K717" s="237"/>
      <c r="L717" s="237"/>
      <c r="M717" s="193" t="str">
        <f>'Buildings - Grid Electricity'!E222</f>
        <v/>
      </c>
      <c r="N717" s="193" t="str">
        <f>'Buildings - Grid Electricity'!F222</f>
        <v/>
      </c>
      <c r="O717" s="237"/>
      <c r="P717" s="193">
        <f>'Buildings - Grid Electricity'!G222</f>
        <v>0</v>
      </c>
      <c r="Q717" s="193" t="str">
        <f>'Buildings - Grid Electricity'!H222</f>
        <v/>
      </c>
      <c r="R717" s="193">
        <f>'Buildings - Grid Electricity'!I222</f>
        <v>0</v>
      </c>
      <c r="S717" s="193" t="str">
        <f>'Buildings - Grid Electricity'!J222</f>
        <v/>
      </c>
      <c r="T717" s="193" t="str">
        <f>'Buildings - Grid Electricity'!K222</f>
        <v/>
      </c>
      <c r="U717" s="193" t="str">
        <f>'Buildings - Grid Electricity'!L222</f>
        <v/>
      </c>
      <c r="V717" s="193" t="str">
        <f>'Buildings - Grid Electricity'!M222</f>
        <v/>
      </c>
      <c r="W717" s="193" t="str">
        <f>'Buildings - Grid Electricity'!N222</f>
        <v/>
      </c>
      <c r="X717" s="193">
        <f>'Buildings - Grid Electricity'!O222</f>
        <v>0</v>
      </c>
      <c r="Y717" s="193">
        <f>'Buildings - Grid Electricity'!P222</f>
        <v>0</v>
      </c>
      <c r="Z717" s="193" t="str">
        <f>'Buildings - Grid Electricity'!Q222</f>
        <v/>
      </c>
      <c r="AA717" s="193" t="str">
        <f>'Buildings - Grid Electricity'!R222</f>
        <v/>
      </c>
      <c r="AB717" s="193" t="str">
        <f>'Buildings - Grid Electricity'!S222</f>
        <v/>
      </c>
      <c r="AC717" s="193" t="str">
        <f>'Buildings - Grid Electricity'!T222</f>
        <v/>
      </c>
      <c r="AD717" s="193" t="str">
        <f>'Buildings - Grid Electricity'!U222</f>
        <v/>
      </c>
      <c r="AE717" s="193" t="str">
        <f>'Buildings - Grid Electricity'!V222</f>
        <v/>
      </c>
      <c r="AF717" s="193" t="str">
        <f>'Buildings - Grid Electricity'!W222</f>
        <v/>
      </c>
      <c r="AG717" s="193" t="str">
        <f>'Buildings - Grid Electricity'!X222</f>
        <v/>
      </c>
      <c r="AI717" s="193">
        <f t="shared" si="10"/>
        <v>0</v>
      </c>
      <c r="AJ717" s="193">
        <f t="shared" si="11"/>
        <v>0</v>
      </c>
    </row>
    <row r="718" spans="2:36" x14ac:dyDescent="0.35">
      <c r="B718" s="193" t="e">
        <f>"2024"&amp;MATCH(Totals!D718,OrgType,0)&amp;"_"&amp;MATCH(Totals!E718,Organisations,0)&amp;"_"&amp;LEFT(Totals!F718,1)&amp;"_"&amp;LEFT(G718,1)&amp;"_"&amp;COUNTIF($G$3:G718,G718)</f>
        <v>#N/A</v>
      </c>
      <c r="C718" s="193">
        <v>2025</v>
      </c>
      <c r="D718" s="193">
        <f>Introduction!$D$7</f>
        <v>0</v>
      </c>
      <c r="E718" s="193">
        <f>Introduction!$D$8</f>
        <v>0</v>
      </c>
      <c r="F718" s="193" t="s">
        <v>488</v>
      </c>
      <c r="G718" s="193" t="s">
        <v>171</v>
      </c>
      <c r="H718" s="193">
        <f>'Buildings - Grid Electricity'!B223</f>
        <v>0</v>
      </c>
      <c r="I718" s="193">
        <f>'Buildings - Grid Electricity'!C223</f>
        <v>0</v>
      </c>
      <c r="J718" s="193" t="str">
        <f>'Buildings - Grid Electricity'!D223</f>
        <v/>
      </c>
      <c r="K718" s="237"/>
      <c r="L718" s="237"/>
      <c r="M718" s="193" t="str">
        <f>'Buildings - Grid Electricity'!E223</f>
        <v/>
      </c>
      <c r="N718" s="193" t="str">
        <f>'Buildings - Grid Electricity'!F223</f>
        <v/>
      </c>
      <c r="O718" s="237"/>
      <c r="P718" s="193">
        <f>'Buildings - Grid Electricity'!G223</f>
        <v>0</v>
      </c>
      <c r="Q718" s="193" t="str">
        <f>'Buildings - Grid Electricity'!H223</f>
        <v/>
      </c>
      <c r="R718" s="193">
        <f>'Buildings - Grid Electricity'!I223</f>
        <v>0</v>
      </c>
      <c r="S718" s="193" t="str">
        <f>'Buildings - Grid Electricity'!J223</f>
        <v/>
      </c>
      <c r="T718" s="193" t="str">
        <f>'Buildings - Grid Electricity'!K223</f>
        <v/>
      </c>
      <c r="U718" s="193" t="str">
        <f>'Buildings - Grid Electricity'!L223</f>
        <v/>
      </c>
      <c r="V718" s="193" t="str">
        <f>'Buildings - Grid Electricity'!M223</f>
        <v/>
      </c>
      <c r="W718" s="193" t="str">
        <f>'Buildings - Grid Electricity'!N223</f>
        <v/>
      </c>
      <c r="X718" s="193">
        <f>'Buildings - Grid Electricity'!O223</f>
        <v>0</v>
      </c>
      <c r="Y718" s="193">
        <f>'Buildings - Grid Electricity'!P223</f>
        <v>0</v>
      </c>
      <c r="Z718" s="193" t="str">
        <f>'Buildings - Grid Electricity'!Q223</f>
        <v/>
      </c>
      <c r="AA718" s="193" t="str">
        <f>'Buildings - Grid Electricity'!R223</f>
        <v/>
      </c>
      <c r="AB718" s="193" t="str">
        <f>'Buildings - Grid Electricity'!S223</f>
        <v/>
      </c>
      <c r="AC718" s="193" t="str">
        <f>'Buildings - Grid Electricity'!T223</f>
        <v/>
      </c>
      <c r="AD718" s="193" t="str">
        <f>'Buildings - Grid Electricity'!U223</f>
        <v/>
      </c>
      <c r="AE718" s="193" t="str">
        <f>'Buildings - Grid Electricity'!V223</f>
        <v/>
      </c>
      <c r="AF718" s="193" t="str">
        <f>'Buildings - Grid Electricity'!W223</f>
        <v/>
      </c>
      <c r="AG718" s="193" t="str">
        <f>'Buildings - Grid Electricity'!X223</f>
        <v/>
      </c>
      <c r="AI718" s="193">
        <f t="shared" si="10"/>
        <v>0</v>
      </c>
      <c r="AJ718" s="193">
        <f t="shared" si="11"/>
        <v>0</v>
      </c>
    </row>
    <row r="719" spans="2:36" x14ac:dyDescent="0.35">
      <c r="B719" s="193" t="e">
        <f>"2024"&amp;MATCH(Totals!D719,OrgType,0)&amp;"_"&amp;MATCH(Totals!E719,Organisations,0)&amp;"_"&amp;LEFT(Totals!F719,1)&amp;"_"&amp;LEFT(G719,1)&amp;"_"&amp;COUNTIF($G$3:G719,G719)</f>
        <v>#N/A</v>
      </c>
      <c r="C719" s="193">
        <v>2025</v>
      </c>
      <c r="D719" s="193">
        <f>Introduction!$D$7</f>
        <v>0</v>
      </c>
      <c r="E719" s="193">
        <f>Introduction!$D$8</f>
        <v>0</v>
      </c>
      <c r="F719" s="193" t="s">
        <v>488</v>
      </c>
      <c r="G719" s="193" t="s">
        <v>171</v>
      </c>
      <c r="H719" s="193">
        <f>'Buildings - Grid Electricity'!B224</f>
        <v>0</v>
      </c>
      <c r="I719" s="193">
        <f>'Buildings - Grid Electricity'!C224</f>
        <v>0</v>
      </c>
      <c r="J719" s="193" t="str">
        <f>'Buildings - Grid Electricity'!D224</f>
        <v/>
      </c>
      <c r="K719" s="237"/>
      <c r="L719" s="237"/>
      <c r="M719" s="193" t="str">
        <f>'Buildings - Grid Electricity'!E224</f>
        <v/>
      </c>
      <c r="N719" s="193" t="str">
        <f>'Buildings - Grid Electricity'!F224</f>
        <v/>
      </c>
      <c r="O719" s="237"/>
      <c r="P719" s="193">
        <f>'Buildings - Grid Electricity'!G224</f>
        <v>0</v>
      </c>
      <c r="Q719" s="193" t="str">
        <f>'Buildings - Grid Electricity'!H224</f>
        <v/>
      </c>
      <c r="R719" s="193">
        <f>'Buildings - Grid Electricity'!I224</f>
        <v>0</v>
      </c>
      <c r="S719" s="193" t="str">
        <f>'Buildings - Grid Electricity'!J224</f>
        <v/>
      </c>
      <c r="T719" s="193" t="str">
        <f>'Buildings - Grid Electricity'!K224</f>
        <v/>
      </c>
      <c r="U719" s="193" t="str">
        <f>'Buildings - Grid Electricity'!L224</f>
        <v/>
      </c>
      <c r="V719" s="193" t="str">
        <f>'Buildings - Grid Electricity'!M224</f>
        <v/>
      </c>
      <c r="W719" s="193" t="str">
        <f>'Buildings - Grid Electricity'!N224</f>
        <v/>
      </c>
      <c r="X719" s="193">
        <f>'Buildings - Grid Electricity'!O224</f>
        <v>0</v>
      </c>
      <c r="Y719" s="193">
        <f>'Buildings - Grid Electricity'!P224</f>
        <v>0</v>
      </c>
      <c r="Z719" s="193" t="str">
        <f>'Buildings - Grid Electricity'!Q224</f>
        <v/>
      </c>
      <c r="AA719" s="193" t="str">
        <f>'Buildings - Grid Electricity'!R224</f>
        <v/>
      </c>
      <c r="AB719" s="193" t="str">
        <f>'Buildings - Grid Electricity'!S224</f>
        <v/>
      </c>
      <c r="AC719" s="193" t="str">
        <f>'Buildings - Grid Electricity'!T224</f>
        <v/>
      </c>
      <c r="AD719" s="193" t="str">
        <f>'Buildings - Grid Electricity'!U224</f>
        <v/>
      </c>
      <c r="AE719" s="193" t="str">
        <f>'Buildings - Grid Electricity'!V224</f>
        <v/>
      </c>
      <c r="AF719" s="193" t="str">
        <f>'Buildings - Grid Electricity'!W224</f>
        <v/>
      </c>
      <c r="AG719" s="193" t="str">
        <f>'Buildings - Grid Electricity'!X224</f>
        <v/>
      </c>
      <c r="AI719" s="193">
        <f t="shared" si="10"/>
        <v>0</v>
      </c>
      <c r="AJ719" s="193">
        <f t="shared" si="11"/>
        <v>0</v>
      </c>
    </row>
    <row r="720" spans="2:36" x14ac:dyDescent="0.35">
      <c r="B720" s="193" t="e">
        <f>"2024"&amp;MATCH(Totals!D720,OrgType,0)&amp;"_"&amp;MATCH(Totals!E720,Organisations,0)&amp;"_"&amp;LEFT(Totals!F720,1)&amp;"_"&amp;LEFT(G720,1)&amp;"_"&amp;COUNTIF($G$3:G720,G720)</f>
        <v>#N/A</v>
      </c>
      <c r="C720" s="193">
        <v>2025</v>
      </c>
      <c r="D720" s="193">
        <f>Introduction!$D$7</f>
        <v>0</v>
      </c>
      <c r="E720" s="193">
        <f>Introduction!$D$8</f>
        <v>0</v>
      </c>
      <c r="F720" s="193" t="s">
        <v>488</v>
      </c>
      <c r="G720" s="193" t="s">
        <v>171</v>
      </c>
      <c r="H720" s="193">
        <f>'Buildings - Grid Electricity'!B225</f>
        <v>0</v>
      </c>
      <c r="I720" s="193">
        <f>'Buildings - Grid Electricity'!C225</f>
        <v>0</v>
      </c>
      <c r="J720" s="193" t="str">
        <f>'Buildings - Grid Electricity'!D225</f>
        <v/>
      </c>
      <c r="K720" s="237"/>
      <c r="L720" s="237"/>
      <c r="M720" s="193" t="str">
        <f>'Buildings - Grid Electricity'!E225</f>
        <v/>
      </c>
      <c r="N720" s="193" t="str">
        <f>'Buildings - Grid Electricity'!F225</f>
        <v/>
      </c>
      <c r="O720" s="237"/>
      <c r="P720" s="193">
        <f>'Buildings - Grid Electricity'!G225</f>
        <v>0</v>
      </c>
      <c r="Q720" s="193" t="str">
        <f>'Buildings - Grid Electricity'!H225</f>
        <v/>
      </c>
      <c r="R720" s="193">
        <f>'Buildings - Grid Electricity'!I225</f>
        <v>0</v>
      </c>
      <c r="S720" s="193" t="str">
        <f>'Buildings - Grid Electricity'!J225</f>
        <v/>
      </c>
      <c r="T720" s="193" t="str">
        <f>'Buildings - Grid Electricity'!K225</f>
        <v/>
      </c>
      <c r="U720" s="193" t="str">
        <f>'Buildings - Grid Electricity'!L225</f>
        <v/>
      </c>
      <c r="V720" s="193" t="str">
        <f>'Buildings - Grid Electricity'!M225</f>
        <v/>
      </c>
      <c r="W720" s="193" t="str">
        <f>'Buildings - Grid Electricity'!N225</f>
        <v/>
      </c>
      <c r="X720" s="193">
        <f>'Buildings - Grid Electricity'!O225</f>
        <v>0</v>
      </c>
      <c r="Y720" s="193">
        <f>'Buildings - Grid Electricity'!P225</f>
        <v>0</v>
      </c>
      <c r="Z720" s="193" t="str">
        <f>'Buildings - Grid Electricity'!Q225</f>
        <v/>
      </c>
      <c r="AA720" s="193" t="str">
        <f>'Buildings - Grid Electricity'!R225</f>
        <v/>
      </c>
      <c r="AB720" s="193" t="str">
        <f>'Buildings - Grid Electricity'!S225</f>
        <v/>
      </c>
      <c r="AC720" s="193" t="str">
        <f>'Buildings - Grid Electricity'!T225</f>
        <v/>
      </c>
      <c r="AD720" s="193" t="str">
        <f>'Buildings - Grid Electricity'!U225</f>
        <v/>
      </c>
      <c r="AE720" s="193" t="str">
        <f>'Buildings - Grid Electricity'!V225</f>
        <v/>
      </c>
      <c r="AF720" s="193" t="str">
        <f>'Buildings - Grid Electricity'!W225</f>
        <v/>
      </c>
      <c r="AG720" s="193" t="str">
        <f>'Buildings - Grid Electricity'!X225</f>
        <v/>
      </c>
      <c r="AI720" s="193">
        <f t="shared" si="10"/>
        <v>0</v>
      </c>
      <c r="AJ720" s="193">
        <f t="shared" si="11"/>
        <v>0</v>
      </c>
    </row>
    <row r="721" spans="2:36" x14ac:dyDescent="0.35">
      <c r="B721" s="193" t="e">
        <f>"2024"&amp;MATCH(Totals!D721,OrgType,0)&amp;"_"&amp;MATCH(Totals!E721,Organisations,0)&amp;"_"&amp;LEFT(Totals!F721,1)&amp;"_"&amp;LEFT(G721,1)&amp;"_"&amp;COUNTIF($G$3:G721,G721)</f>
        <v>#N/A</v>
      </c>
      <c r="C721" s="193">
        <v>2025</v>
      </c>
      <c r="D721" s="193">
        <f>Introduction!$D$7</f>
        <v>0</v>
      </c>
      <c r="E721" s="193">
        <f>Introduction!$D$8</f>
        <v>0</v>
      </c>
      <c r="F721" s="193" t="s">
        <v>488</v>
      </c>
      <c r="G721" s="193" t="s">
        <v>171</v>
      </c>
      <c r="H721" s="193">
        <f>'Buildings - Grid Electricity'!B226</f>
        <v>0</v>
      </c>
      <c r="I721" s="193">
        <f>'Buildings - Grid Electricity'!C226</f>
        <v>0</v>
      </c>
      <c r="J721" s="193" t="str">
        <f>'Buildings - Grid Electricity'!D226</f>
        <v/>
      </c>
      <c r="K721" s="237"/>
      <c r="L721" s="237"/>
      <c r="M721" s="193" t="str">
        <f>'Buildings - Grid Electricity'!E226</f>
        <v/>
      </c>
      <c r="N721" s="193" t="str">
        <f>'Buildings - Grid Electricity'!F226</f>
        <v/>
      </c>
      <c r="O721" s="237"/>
      <c r="P721" s="193">
        <f>'Buildings - Grid Electricity'!G226</f>
        <v>0</v>
      </c>
      <c r="Q721" s="193" t="str">
        <f>'Buildings - Grid Electricity'!H226</f>
        <v/>
      </c>
      <c r="R721" s="193">
        <f>'Buildings - Grid Electricity'!I226</f>
        <v>0</v>
      </c>
      <c r="S721" s="193" t="str">
        <f>'Buildings - Grid Electricity'!J226</f>
        <v/>
      </c>
      <c r="T721" s="193" t="str">
        <f>'Buildings - Grid Electricity'!K226</f>
        <v/>
      </c>
      <c r="U721" s="193" t="str">
        <f>'Buildings - Grid Electricity'!L226</f>
        <v/>
      </c>
      <c r="V721" s="193" t="str">
        <f>'Buildings - Grid Electricity'!M226</f>
        <v/>
      </c>
      <c r="W721" s="193" t="str">
        <f>'Buildings - Grid Electricity'!N226</f>
        <v/>
      </c>
      <c r="X721" s="193">
        <f>'Buildings - Grid Electricity'!O226</f>
        <v>0</v>
      </c>
      <c r="Y721" s="193">
        <f>'Buildings - Grid Electricity'!P226</f>
        <v>0</v>
      </c>
      <c r="Z721" s="193" t="str">
        <f>'Buildings - Grid Electricity'!Q226</f>
        <v/>
      </c>
      <c r="AA721" s="193" t="str">
        <f>'Buildings - Grid Electricity'!R226</f>
        <v/>
      </c>
      <c r="AB721" s="193" t="str">
        <f>'Buildings - Grid Electricity'!S226</f>
        <v/>
      </c>
      <c r="AC721" s="193" t="str">
        <f>'Buildings - Grid Electricity'!T226</f>
        <v/>
      </c>
      <c r="AD721" s="193" t="str">
        <f>'Buildings - Grid Electricity'!U226</f>
        <v/>
      </c>
      <c r="AE721" s="193" t="str">
        <f>'Buildings - Grid Electricity'!V226</f>
        <v/>
      </c>
      <c r="AF721" s="193" t="str">
        <f>'Buildings - Grid Electricity'!W226</f>
        <v/>
      </c>
      <c r="AG721" s="193" t="str">
        <f>'Buildings - Grid Electricity'!X226</f>
        <v/>
      </c>
      <c r="AI721" s="193">
        <f t="shared" si="10"/>
        <v>0</v>
      </c>
      <c r="AJ721" s="193">
        <f t="shared" si="11"/>
        <v>0</v>
      </c>
    </row>
    <row r="722" spans="2:36" x14ac:dyDescent="0.35">
      <c r="B722" s="193" t="e">
        <f>"2024"&amp;MATCH(Totals!D722,OrgType,0)&amp;"_"&amp;MATCH(Totals!E722,Organisations,0)&amp;"_"&amp;LEFT(Totals!F722,1)&amp;"_"&amp;LEFT(G722,1)&amp;"_"&amp;COUNTIF($G$3:G722,G722)</f>
        <v>#N/A</v>
      </c>
      <c r="C722" s="193">
        <v>2025</v>
      </c>
      <c r="D722" s="193">
        <f>Introduction!$D$7</f>
        <v>0</v>
      </c>
      <c r="E722" s="193">
        <f>Introduction!$D$8</f>
        <v>0</v>
      </c>
      <c r="F722" s="193" t="s">
        <v>488</v>
      </c>
      <c r="G722" s="193" t="s">
        <v>171</v>
      </c>
      <c r="H722" s="193">
        <f>'Buildings - Grid Electricity'!B227</f>
        <v>0</v>
      </c>
      <c r="I722" s="193">
        <f>'Buildings - Grid Electricity'!C227</f>
        <v>0</v>
      </c>
      <c r="J722" s="193" t="str">
        <f>'Buildings - Grid Electricity'!D227</f>
        <v/>
      </c>
      <c r="K722" s="237"/>
      <c r="L722" s="237"/>
      <c r="M722" s="193" t="str">
        <f>'Buildings - Grid Electricity'!E227</f>
        <v/>
      </c>
      <c r="N722" s="193" t="str">
        <f>'Buildings - Grid Electricity'!F227</f>
        <v/>
      </c>
      <c r="O722" s="237"/>
      <c r="P722" s="193">
        <f>'Buildings - Grid Electricity'!G227</f>
        <v>0</v>
      </c>
      <c r="Q722" s="193" t="str">
        <f>'Buildings - Grid Electricity'!H227</f>
        <v/>
      </c>
      <c r="R722" s="193">
        <f>'Buildings - Grid Electricity'!I227</f>
        <v>0</v>
      </c>
      <c r="S722" s="193" t="str">
        <f>'Buildings - Grid Electricity'!J227</f>
        <v/>
      </c>
      <c r="T722" s="193" t="str">
        <f>'Buildings - Grid Electricity'!K227</f>
        <v/>
      </c>
      <c r="U722" s="193" t="str">
        <f>'Buildings - Grid Electricity'!L227</f>
        <v/>
      </c>
      <c r="V722" s="193" t="str">
        <f>'Buildings - Grid Electricity'!M227</f>
        <v/>
      </c>
      <c r="W722" s="193" t="str">
        <f>'Buildings - Grid Electricity'!N227</f>
        <v/>
      </c>
      <c r="X722" s="193">
        <f>'Buildings - Grid Electricity'!O227</f>
        <v>0</v>
      </c>
      <c r="Y722" s="193">
        <f>'Buildings - Grid Electricity'!P227</f>
        <v>0</v>
      </c>
      <c r="Z722" s="193" t="str">
        <f>'Buildings - Grid Electricity'!Q227</f>
        <v/>
      </c>
      <c r="AA722" s="193" t="str">
        <f>'Buildings - Grid Electricity'!R227</f>
        <v/>
      </c>
      <c r="AB722" s="193" t="str">
        <f>'Buildings - Grid Electricity'!S227</f>
        <v/>
      </c>
      <c r="AC722" s="193" t="str">
        <f>'Buildings - Grid Electricity'!T227</f>
        <v/>
      </c>
      <c r="AD722" s="193" t="str">
        <f>'Buildings - Grid Electricity'!U227</f>
        <v/>
      </c>
      <c r="AE722" s="193" t="str">
        <f>'Buildings - Grid Electricity'!V227</f>
        <v/>
      </c>
      <c r="AF722" s="193" t="str">
        <f>'Buildings - Grid Electricity'!W227</f>
        <v/>
      </c>
      <c r="AG722" s="193" t="str">
        <f>'Buildings - Grid Electricity'!X227</f>
        <v/>
      </c>
      <c r="AI722" s="193">
        <f t="shared" si="10"/>
        <v>0</v>
      </c>
      <c r="AJ722" s="193">
        <f t="shared" si="11"/>
        <v>0</v>
      </c>
    </row>
    <row r="723" spans="2:36" x14ac:dyDescent="0.35">
      <c r="B723" s="193" t="e">
        <f>"2024"&amp;MATCH(Totals!D723,OrgType,0)&amp;"_"&amp;MATCH(Totals!E723,Organisations,0)&amp;"_"&amp;LEFT(Totals!F723,1)&amp;"_"&amp;LEFT(G723,1)&amp;"_"&amp;COUNTIF($G$3:G723,G723)</f>
        <v>#N/A</v>
      </c>
      <c r="C723" s="193">
        <v>2025</v>
      </c>
      <c r="D723" s="193">
        <f>Introduction!$D$7</f>
        <v>0</v>
      </c>
      <c r="E723" s="193">
        <f>Introduction!$D$8</f>
        <v>0</v>
      </c>
      <c r="F723" s="193" t="s">
        <v>488</v>
      </c>
      <c r="G723" s="193" t="s">
        <v>171</v>
      </c>
      <c r="H723" s="193">
        <f>'Buildings - Grid Electricity'!B228</f>
        <v>0</v>
      </c>
      <c r="I723" s="193">
        <f>'Buildings - Grid Electricity'!C228</f>
        <v>0</v>
      </c>
      <c r="J723" s="193" t="str">
        <f>'Buildings - Grid Electricity'!D228</f>
        <v/>
      </c>
      <c r="K723" s="237"/>
      <c r="L723" s="237"/>
      <c r="M723" s="193" t="str">
        <f>'Buildings - Grid Electricity'!E228</f>
        <v/>
      </c>
      <c r="N723" s="193" t="str">
        <f>'Buildings - Grid Electricity'!F228</f>
        <v/>
      </c>
      <c r="O723" s="237"/>
      <c r="P723" s="193">
        <f>'Buildings - Grid Electricity'!G228</f>
        <v>0</v>
      </c>
      <c r="Q723" s="193" t="str">
        <f>'Buildings - Grid Electricity'!H228</f>
        <v/>
      </c>
      <c r="R723" s="193">
        <f>'Buildings - Grid Electricity'!I228</f>
        <v>0</v>
      </c>
      <c r="S723" s="193" t="str">
        <f>'Buildings - Grid Electricity'!J228</f>
        <v/>
      </c>
      <c r="T723" s="193" t="str">
        <f>'Buildings - Grid Electricity'!K228</f>
        <v/>
      </c>
      <c r="U723" s="193" t="str">
        <f>'Buildings - Grid Electricity'!L228</f>
        <v/>
      </c>
      <c r="V723" s="193" t="str">
        <f>'Buildings - Grid Electricity'!M228</f>
        <v/>
      </c>
      <c r="W723" s="193" t="str">
        <f>'Buildings - Grid Electricity'!N228</f>
        <v/>
      </c>
      <c r="X723" s="193">
        <f>'Buildings - Grid Electricity'!O228</f>
        <v>0</v>
      </c>
      <c r="Y723" s="193">
        <f>'Buildings - Grid Electricity'!P228</f>
        <v>0</v>
      </c>
      <c r="Z723" s="193" t="str">
        <f>'Buildings - Grid Electricity'!Q228</f>
        <v/>
      </c>
      <c r="AA723" s="193" t="str">
        <f>'Buildings - Grid Electricity'!R228</f>
        <v/>
      </c>
      <c r="AB723" s="193" t="str">
        <f>'Buildings - Grid Electricity'!S228</f>
        <v/>
      </c>
      <c r="AC723" s="193" t="str">
        <f>'Buildings - Grid Electricity'!T228</f>
        <v/>
      </c>
      <c r="AD723" s="193" t="str">
        <f>'Buildings - Grid Electricity'!U228</f>
        <v/>
      </c>
      <c r="AE723" s="193" t="str">
        <f>'Buildings - Grid Electricity'!V228</f>
        <v/>
      </c>
      <c r="AF723" s="193" t="str">
        <f>'Buildings - Grid Electricity'!W228</f>
        <v/>
      </c>
      <c r="AG723" s="193" t="str">
        <f>'Buildings - Grid Electricity'!X228</f>
        <v/>
      </c>
      <c r="AI723" s="193">
        <f t="shared" si="10"/>
        <v>0</v>
      </c>
      <c r="AJ723" s="193">
        <f t="shared" si="11"/>
        <v>0</v>
      </c>
    </row>
    <row r="724" spans="2:36" x14ac:dyDescent="0.35">
      <c r="B724" s="193" t="e">
        <f>"2024"&amp;MATCH(Totals!D724,OrgType,0)&amp;"_"&amp;MATCH(Totals!E724,Organisations,0)&amp;"_"&amp;LEFT(Totals!F724,1)&amp;"_"&amp;LEFT(G724,1)&amp;"_"&amp;COUNTIF($G$3:G724,G724)</f>
        <v>#N/A</v>
      </c>
      <c r="C724" s="193">
        <v>2025</v>
      </c>
      <c r="D724" s="193">
        <f>Introduction!$D$7</f>
        <v>0</v>
      </c>
      <c r="E724" s="193">
        <f>Introduction!$D$8</f>
        <v>0</v>
      </c>
      <c r="F724" s="193" t="s">
        <v>488</v>
      </c>
      <c r="G724" s="193" t="s">
        <v>171</v>
      </c>
      <c r="H724" s="193">
        <f>'Buildings - Grid Electricity'!B229</f>
        <v>0</v>
      </c>
      <c r="I724" s="193">
        <f>'Buildings - Grid Electricity'!C229</f>
        <v>0</v>
      </c>
      <c r="J724" s="193" t="str">
        <f>'Buildings - Grid Electricity'!D229</f>
        <v/>
      </c>
      <c r="K724" s="237"/>
      <c r="L724" s="237"/>
      <c r="M724" s="193" t="str">
        <f>'Buildings - Grid Electricity'!E229</f>
        <v/>
      </c>
      <c r="N724" s="193" t="str">
        <f>'Buildings - Grid Electricity'!F229</f>
        <v/>
      </c>
      <c r="O724" s="237"/>
      <c r="P724" s="193">
        <f>'Buildings - Grid Electricity'!G229</f>
        <v>0</v>
      </c>
      <c r="Q724" s="193" t="str">
        <f>'Buildings - Grid Electricity'!H229</f>
        <v/>
      </c>
      <c r="R724" s="193">
        <f>'Buildings - Grid Electricity'!I229</f>
        <v>0</v>
      </c>
      <c r="S724" s="193" t="str">
        <f>'Buildings - Grid Electricity'!J229</f>
        <v/>
      </c>
      <c r="T724" s="193" t="str">
        <f>'Buildings - Grid Electricity'!K229</f>
        <v/>
      </c>
      <c r="U724" s="193" t="str">
        <f>'Buildings - Grid Electricity'!L229</f>
        <v/>
      </c>
      <c r="V724" s="193" t="str">
        <f>'Buildings - Grid Electricity'!M229</f>
        <v/>
      </c>
      <c r="W724" s="193" t="str">
        <f>'Buildings - Grid Electricity'!N229</f>
        <v/>
      </c>
      <c r="X724" s="193">
        <f>'Buildings - Grid Electricity'!O229</f>
        <v>0</v>
      </c>
      <c r="Y724" s="193">
        <f>'Buildings - Grid Electricity'!P229</f>
        <v>0</v>
      </c>
      <c r="Z724" s="193" t="str">
        <f>'Buildings - Grid Electricity'!Q229</f>
        <v/>
      </c>
      <c r="AA724" s="193" t="str">
        <f>'Buildings - Grid Electricity'!R229</f>
        <v/>
      </c>
      <c r="AB724" s="193" t="str">
        <f>'Buildings - Grid Electricity'!S229</f>
        <v/>
      </c>
      <c r="AC724" s="193" t="str">
        <f>'Buildings - Grid Electricity'!T229</f>
        <v/>
      </c>
      <c r="AD724" s="193" t="str">
        <f>'Buildings - Grid Electricity'!U229</f>
        <v/>
      </c>
      <c r="AE724" s="193" t="str">
        <f>'Buildings - Grid Electricity'!V229</f>
        <v/>
      </c>
      <c r="AF724" s="193" t="str">
        <f>'Buildings - Grid Electricity'!W229</f>
        <v/>
      </c>
      <c r="AG724" s="193" t="str">
        <f>'Buildings - Grid Electricity'!X229</f>
        <v/>
      </c>
      <c r="AI724" s="193">
        <f t="shared" ref="AI724:AI787" si="12">IF(AND(V724="",R724&lt;&gt;0),1,0)</f>
        <v>0</v>
      </c>
      <c r="AJ724" s="193">
        <f t="shared" ref="AJ724:AJ787" si="13">IF(AND(W724="",R724&lt;&gt;0),1,0)</f>
        <v>0</v>
      </c>
    </row>
    <row r="725" spans="2:36" x14ac:dyDescent="0.35">
      <c r="B725" s="193" t="e">
        <f>"2024"&amp;MATCH(Totals!D725,OrgType,0)&amp;"_"&amp;MATCH(Totals!E725,Organisations,0)&amp;"_"&amp;LEFT(Totals!F725,1)&amp;"_"&amp;LEFT(G725,1)&amp;"_"&amp;COUNTIF($G$3:G725,G725)</f>
        <v>#N/A</v>
      </c>
      <c r="C725" s="193">
        <v>2025</v>
      </c>
      <c r="D725" s="193">
        <f>Introduction!$D$7</f>
        <v>0</v>
      </c>
      <c r="E725" s="193">
        <f>Introduction!$D$8</f>
        <v>0</v>
      </c>
      <c r="F725" s="193" t="s">
        <v>488</v>
      </c>
      <c r="G725" s="193" t="s">
        <v>171</v>
      </c>
      <c r="H725" s="193">
        <f>'Buildings - Grid Electricity'!B230</f>
        <v>0</v>
      </c>
      <c r="I725" s="193">
        <f>'Buildings - Grid Electricity'!C230</f>
        <v>0</v>
      </c>
      <c r="J725" s="193" t="str">
        <f>'Buildings - Grid Electricity'!D230</f>
        <v/>
      </c>
      <c r="K725" s="237"/>
      <c r="L725" s="237"/>
      <c r="M725" s="193" t="str">
        <f>'Buildings - Grid Electricity'!E230</f>
        <v/>
      </c>
      <c r="N725" s="193" t="str">
        <f>'Buildings - Grid Electricity'!F230</f>
        <v/>
      </c>
      <c r="O725" s="237"/>
      <c r="P725" s="193">
        <f>'Buildings - Grid Electricity'!G230</f>
        <v>0</v>
      </c>
      <c r="Q725" s="193" t="str">
        <f>'Buildings - Grid Electricity'!H230</f>
        <v/>
      </c>
      <c r="R725" s="193">
        <f>'Buildings - Grid Electricity'!I230</f>
        <v>0</v>
      </c>
      <c r="S725" s="193" t="str">
        <f>'Buildings - Grid Electricity'!J230</f>
        <v/>
      </c>
      <c r="T725" s="193" t="str">
        <f>'Buildings - Grid Electricity'!K230</f>
        <v/>
      </c>
      <c r="U725" s="193" t="str">
        <f>'Buildings - Grid Electricity'!L230</f>
        <v/>
      </c>
      <c r="V725" s="193" t="str">
        <f>'Buildings - Grid Electricity'!M230</f>
        <v/>
      </c>
      <c r="W725" s="193" t="str">
        <f>'Buildings - Grid Electricity'!N230</f>
        <v/>
      </c>
      <c r="X725" s="193">
        <f>'Buildings - Grid Electricity'!O230</f>
        <v>0</v>
      </c>
      <c r="Y725" s="193">
        <f>'Buildings - Grid Electricity'!P230</f>
        <v>0</v>
      </c>
      <c r="Z725" s="193" t="str">
        <f>'Buildings - Grid Electricity'!Q230</f>
        <v/>
      </c>
      <c r="AA725" s="193" t="str">
        <f>'Buildings - Grid Electricity'!R230</f>
        <v/>
      </c>
      <c r="AB725" s="193" t="str">
        <f>'Buildings - Grid Electricity'!S230</f>
        <v/>
      </c>
      <c r="AC725" s="193" t="str">
        <f>'Buildings - Grid Electricity'!T230</f>
        <v/>
      </c>
      <c r="AD725" s="193" t="str">
        <f>'Buildings - Grid Electricity'!U230</f>
        <v/>
      </c>
      <c r="AE725" s="193" t="str">
        <f>'Buildings - Grid Electricity'!V230</f>
        <v/>
      </c>
      <c r="AF725" s="193" t="str">
        <f>'Buildings - Grid Electricity'!W230</f>
        <v/>
      </c>
      <c r="AG725" s="193" t="str">
        <f>'Buildings - Grid Electricity'!X230</f>
        <v/>
      </c>
      <c r="AI725" s="193">
        <f t="shared" si="12"/>
        <v>0</v>
      </c>
      <c r="AJ725" s="193">
        <f t="shared" si="13"/>
        <v>0</v>
      </c>
    </row>
    <row r="726" spans="2:36" x14ac:dyDescent="0.35">
      <c r="B726" s="193" t="e">
        <f>"2024"&amp;MATCH(Totals!D726,OrgType,0)&amp;"_"&amp;MATCH(Totals!E726,Organisations,0)&amp;"_"&amp;LEFT(Totals!F726,1)&amp;"_"&amp;LEFT(G726,1)&amp;"_"&amp;COUNTIF($G$3:G726,G726)</f>
        <v>#N/A</v>
      </c>
      <c r="C726" s="193">
        <v>2025</v>
      </c>
      <c r="D726" s="193">
        <f>Introduction!$D$7</f>
        <v>0</v>
      </c>
      <c r="E726" s="193">
        <f>Introduction!$D$8</f>
        <v>0</v>
      </c>
      <c r="F726" s="193" t="s">
        <v>488</v>
      </c>
      <c r="G726" s="193" t="s">
        <v>171</v>
      </c>
      <c r="H726" s="193">
        <f>'Buildings - Grid Electricity'!B231</f>
        <v>0</v>
      </c>
      <c r="I726" s="193">
        <f>'Buildings - Grid Electricity'!C231</f>
        <v>0</v>
      </c>
      <c r="J726" s="193" t="str">
        <f>'Buildings - Grid Electricity'!D231</f>
        <v/>
      </c>
      <c r="K726" s="237"/>
      <c r="L726" s="237"/>
      <c r="M726" s="193" t="str">
        <f>'Buildings - Grid Electricity'!E231</f>
        <v/>
      </c>
      <c r="N726" s="193" t="str">
        <f>'Buildings - Grid Electricity'!F231</f>
        <v/>
      </c>
      <c r="O726" s="237"/>
      <c r="P726" s="193">
        <f>'Buildings - Grid Electricity'!G231</f>
        <v>0</v>
      </c>
      <c r="Q726" s="193" t="str">
        <f>'Buildings - Grid Electricity'!H231</f>
        <v/>
      </c>
      <c r="R726" s="193">
        <f>'Buildings - Grid Electricity'!I231</f>
        <v>0</v>
      </c>
      <c r="S726" s="193" t="str">
        <f>'Buildings - Grid Electricity'!J231</f>
        <v/>
      </c>
      <c r="T726" s="193" t="str">
        <f>'Buildings - Grid Electricity'!K231</f>
        <v/>
      </c>
      <c r="U726" s="193" t="str">
        <f>'Buildings - Grid Electricity'!L231</f>
        <v/>
      </c>
      <c r="V726" s="193" t="str">
        <f>'Buildings - Grid Electricity'!M231</f>
        <v/>
      </c>
      <c r="W726" s="193" t="str">
        <f>'Buildings - Grid Electricity'!N231</f>
        <v/>
      </c>
      <c r="X726" s="193">
        <f>'Buildings - Grid Electricity'!O231</f>
        <v>0</v>
      </c>
      <c r="Y726" s="193">
        <f>'Buildings - Grid Electricity'!P231</f>
        <v>0</v>
      </c>
      <c r="Z726" s="193" t="str">
        <f>'Buildings - Grid Electricity'!Q231</f>
        <v/>
      </c>
      <c r="AA726" s="193" t="str">
        <f>'Buildings - Grid Electricity'!R231</f>
        <v/>
      </c>
      <c r="AB726" s="193" t="str">
        <f>'Buildings - Grid Electricity'!S231</f>
        <v/>
      </c>
      <c r="AC726" s="193" t="str">
        <f>'Buildings - Grid Electricity'!T231</f>
        <v/>
      </c>
      <c r="AD726" s="193" t="str">
        <f>'Buildings - Grid Electricity'!U231</f>
        <v/>
      </c>
      <c r="AE726" s="193" t="str">
        <f>'Buildings - Grid Electricity'!V231</f>
        <v/>
      </c>
      <c r="AF726" s="193" t="str">
        <f>'Buildings - Grid Electricity'!W231</f>
        <v/>
      </c>
      <c r="AG726" s="193" t="str">
        <f>'Buildings - Grid Electricity'!X231</f>
        <v/>
      </c>
      <c r="AI726" s="193">
        <f t="shared" si="12"/>
        <v>0</v>
      </c>
      <c r="AJ726" s="193">
        <f t="shared" si="13"/>
        <v>0</v>
      </c>
    </row>
    <row r="727" spans="2:36" x14ac:dyDescent="0.35">
      <c r="B727" s="193" t="e">
        <f>"2024"&amp;MATCH(Totals!D727,OrgType,0)&amp;"_"&amp;MATCH(Totals!E727,Organisations,0)&amp;"_"&amp;LEFT(Totals!F727,1)&amp;"_"&amp;LEFT(G727,1)&amp;"_"&amp;COUNTIF($G$3:G727,G727)</f>
        <v>#N/A</v>
      </c>
      <c r="C727" s="193">
        <v>2025</v>
      </c>
      <c r="D727" s="193">
        <f>Introduction!$D$7</f>
        <v>0</v>
      </c>
      <c r="E727" s="193">
        <f>Introduction!$D$8</f>
        <v>0</v>
      </c>
      <c r="F727" s="193" t="s">
        <v>488</v>
      </c>
      <c r="G727" s="193" t="s">
        <v>171</v>
      </c>
      <c r="H727" s="193">
        <f>'Buildings - Grid Electricity'!B232</f>
        <v>0</v>
      </c>
      <c r="I727" s="193">
        <f>'Buildings - Grid Electricity'!C232</f>
        <v>0</v>
      </c>
      <c r="J727" s="193" t="str">
        <f>'Buildings - Grid Electricity'!D232</f>
        <v/>
      </c>
      <c r="K727" s="237"/>
      <c r="L727" s="237"/>
      <c r="M727" s="193" t="str">
        <f>'Buildings - Grid Electricity'!E232</f>
        <v/>
      </c>
      <c r="N727" s="193" t="str">
        <f>'Buildings - Grid Electricity'!F232</f>
        <v/>
      </c>
      <c r="O727" s="237"/>
      <c r="P727" s="193">
        <f>'Buildings - Grid Electricity'!G232</f>
        <v>0</v>
      </c>
      <c r="Q727" s="193" t="str">
        <f>'Buildings - Grid Electricity'!H232</f>
        <v/>
      </c>
      <c r="R727" s="193">
        <f>'Buildings - Grid Electricity'!I232</f>
        <v>0</v>
      </c>
      <c r="S727" s="193" t="str">
        <f>'Buildings - Grid Electricity'!J232</f>
        <v/>
      </c>
      <c r="T727" s="193" t="str">
        <f>'Buildings - Grid Electricity'!K232</f>
        <v/>
      </c>
      <c r="U727" s="193" t="str">
        <f>'Buildings - Grid Electricity'!L232</f>
        <v/>
      </c>
      <c r="V727" s="193" t="str">
        <f>'Buildings - Grid Electricity'!M232</f>
        <v/>
      </c>
      <c r="W727" s="193" t="str">
        <f>'Buildings - Grid Electricity'!N232</f>
        <v/>
      </c>
      <c r="X727" s="193">
        <f>'Buildings - Grid Electricity'!O232</f>
        <v>0</v>
      </c>
      <c r="Y727" s="193">
        <f>'Buildings - Grid Electricity'!P232</f>
        <v>0</v>
      </c>
      <c r="Z727" s="193" t="str">
        <f>'Buildings - Grid Electricity'!Q232</f>
        <v/>
      </c>
      <c r="AA727" s="193" t="str">
        <f>'Buildings - Grid Electricity'!R232</f>
        <v/>
      </c>
      <c r="AB727" s="193" t="str">
        <f>'Buildings - Grid Electricity'!S232</f>
        <v/>
      </c>
      <c r="AC727" s="193" t="str">
        <f>'Buildings - Grid Electricity'!T232</f>
        <v/>
      </c>
      <c r="AD727" s="193" t="str">
        <f>'Buildings - Grid Electricity'!U232</f>
        <v/>
      </c>
      <c r="AE727" s="193" t="str">
        <f>'Buildings - Grid Electricity'!V232</f>
        <v/>
      </c>
      <c r="AF727" s="193" t="str">
        <f>'Buildings - Grid Electricity'!W232</f>
        <v/>
      </c>
      <c r="AG727" s="193" t="str">
        <f>'Buildings - Grid Electricity'!X232</f>
        <v/>
      </c>
      <c r="AI727" s="193">
        <f t="shared" si="12"/>
        <v>0</v>
      </c>
      <c r="AJ727" s="193">
        <f t="shared" si="13"/>
        <v>0</v>
      </c>
    </row>
    <row r="728" spans="2:36" x14ac:dyDescent="0.35">
      <c r="B728" s="193" t="e">
        <f>"2024"&amp;MATCH(Totals!D728,OrgType,0)&amp;"_"&amp;MATCH(Totals!E728,Organisations,0)&amp;"_"&amp;LEFT(Totals!F728,1)&amp;"_"&amp;LEFT(G728,1)&amp;"_"&amp;COUNTIF($G$3:G728,G728)</f>
        <v>#N/A</v>
      </c>
      <c r="C728" s="193">
        <v>2025</v>
      </c>
      <c r="D728" s="193">
        <f>Introduction!$D$7</f>
        <v>0</v>
      </c>
      <c r="E728" s="193">
        <f>Introduction!$D$8</f>
        <v>0</v>
      </c>
      <c r="F728" s="193" t="s">
        <v>488</v>
      </c>
      <c r="G728" s="193" t="s">
        <v>171</v>
      </c>
      <c r="H728" s="193">
        <f>'Buildings - Grid Electricity'!B233</f>
        <v>0</v>
      </c>
      <c r="I728" s="193">
        <f>'Buildings - Grid Electricity'!C233</f>
        <v>0</v>
      </c>
      <c r="J728" s="193" t="str">
        <f>'Buildings - Grid Electricity'!D233</f>
        <v/>
      </c>
      <c r="K728" s="237"/>
      <c r="L728" s="237"/>
      <c r="M728" s="193" t="str">
        <f>'Buildings - Grid Electricity'!E233</f>
        <v/>
      </c>
      <c r="N728" s="193" t="str">
        <f>'Buildings - Grid Electricity'!F233</f>
        <v/>
      </c>
      <c r="O728" s="237"/>
      <c r="P728" s="193">
        <f>'Buildings - Grid Electricity'!G233</f>
        <v>0</v>
      </c>
      <c r="Q728" s="193" t="str">
        <f>'Buildings - Grid Electricity'!H233</f>
        <v/>
      </c>
      <c r="R728" s="193">
        <f>'Buildings - Grid Electricity'!I233</f>
        <v>0</v>
      </c>
      <c r="S728" s="193" t="str">
        <f>'Buildings - Grid Electricity'!J233</f>
        <v/>
      </c>
      <c r="T728" s="193" t="str">
        <f>'Buildings - Grid Electricity'!K233</f>
        <v/>
      </c>
      <c r="U728" s="193" t="str">
        <f>'Buildings - Grid Electricity'!L233</f>
        <v/>
      </c>
      <c r="V728" s="193" t="str">
        <f>'Buildings - Grid Electricity'!M233</f>
        <v/>
      </c>
      <c r="W728" s="193" t="str">
        <f>'Buildings - Grid Electricity'!N233</f>
        <v/>
      </c>
      <c r="X728" s="193">
        <f>'Buildings - Grid Electricity'!O233</f>
        <v>0</v>
      </c>
      <c r="Y728" s="193">
        <f>'Buildings - Grid Electricity'!P233</f>
        <v>0</v>
      </c>
      <c r="Z728" s="193" t="str">
        <f>'Buildings - Grid Electricity'!Q233</f>
        <v/>
      </c>
      <c r="AA728" s="193" t="str">
        <f>'Buildings - Grid Electricity'!R233</f>
        <v/>
      </c>
      <c r="AB728" s="193" t="str">
        <f>'Buildings - Grid Electricity'!S233</f>
        <v/>
      </c>
      <c r="AC728" s="193" t="str">
        <f>'Buildings - Grid Electricity'!T233</f>
        <v/>
      </c>
      <c r="AD728" s="193" t="str">
        <f>'Buildings - Grid Electricity'!U233</f>
        <v/>
      </c>
      <c r="AE728" s="193" t="str">
        <f>'Buildings - Grid Electricity'!V233</f>
        <v/>
      </c>
      <c r="AF728" s="193" t="str">
        <f>'Buildings - Grid Electricity'!W233</f>
        <v/>
      </c>
      <c r="AG728" s="193" t="str">
        <f>'Buildings - Grid Electricity'!X233</f>
        <v/>
      </c>
      <c r="AI728" s="193">
        <f t="shared" si="12"/>
        <v>0</v>
      </c>
      <c r="AJ728" s="193">
        <f t="shared" si="13"/>
        <v>0</v>
      </c>
    </row>
    <row r="729" spans="2:36" x14ac:dyDescent="0.35">
      <c r="B729" s="193" t="e">
        <f>"2024"&amp;MATCH(Totals!D729,OrgType,0)&amp;"_"&amp;MATCH(Totals!E729,Organisations,0)&amp;"_"&amp;LEFT(Totals!F729,1)&amp;"_"&amp;LEFT(G729,1)&amp;"_"&amp;COUNTIF($G$3:G729,G729)</f>
        <v>#N/A</v>
      </c>
      <c r="C729" s="193">
        <v>2025</v>
      </c>
      <c r="D729" s="193">
        <f>Introduction!$D$7</f>
        <v>0</v>
      </c>
      <c r="E729" s="193">
        <f>Introduction!$D$8</f>
        <v>0</v>
      </c>
      <c r="F729" s="193" t="s">
        <v>488</v>
      </c>
      <c r="G729" s="193" t="s">
        <v>171</v>
      </c>
      <c r="H729" s="193">
        <f>'Buildings - Grid Electricity'!B234</f>
        <v>0</v>
      </c>
      <c r="I729" s="193">
        <f>'Buildings - Grid Electricity'!C234</f>
        <v>0</v>
      </c>
      <c r="J729" s="193" t="str">
        <f>'Buildings - Grid Electricity'!D234</f>
        <v/>
      </c>
      <c r="K729" s="237"/>
      <c r="L729" s="237"/>
      <c r="M729" s="193" t="str">
        <f>'Buildings - Grid Electricity'!E234</f>
        <v/>
      </c>
      <c r="N729" s="193" t="str">
        <f>'Buildings - Grid Electricity'!F234</f>
        <v/>
      </c>
      <c r="O729" s="237"/>
      <c r="P729" s="193">
        <f>'Buildings - Grid Electricity'!G234</f>
        <v>0</v>
      </c>
      <c r="Q729" s="193" t="str">
        <f>'Buildings - Grid Electricity'!H234</f>
        <v/>
      </c>
      <c r="R729" s="193">
        <f>'Buildings - Grid Electricity'!I234</f>
        <v>0</v>
      </c>
      <c r="S729" s="193" t="str">
        <f>'Buildings - Grid Electricity'!J234</f>
        <v/>
      </c>
      <c r="T729" s="193" t="str">
        <f>'Buildings - Grid Electricity'!K234</f>
        <v/>
      </c>
      <c r="U729" s="193" t="str">
        <f>'Buildings - Grid Electricity'!L234</f>
        <v/>
      </c>
      <c r="V729" s="193" t="str">
        <f>'Buildings - Grid Electricity'!M234</f>
        <v/>
      </c>
      <c r="W729" s="193" t="str">
        <f>'Buildings - Grid Electricity'!N234</f>
        <v/>
      </c>
      <c r="X729" s="193">
        <f>'Buildings - Grid Electricity'!O234</f>
        <v>0</v>
      </c>
      <c r="Y729" s="193">
        <f>'Buildings - Grid Electricity'!P234</f>
        <v>0</v>
      </c>
      <c r="Z729" s="193" t="str">
        <f>'Buildings - Grid Electricity'!Q234</f>
        <v/>
      </c>
      <c r="AA729" s="193" t="str">
        <f>'Buildings - Grid Electricity'!R234</f>
        <v/>
      </c>
      <c r="AB729" s="193" t="str">
        <f>'Buildings - Grid Electricity'!S234</f>
        <v/>
      </c>
      <c r="AC729" s="193" t="str">
        <f>'Buildings - Grid Electricity'!T234</f>
        <v/>
      </c>
      <c r="AD729" s="193" t="str">
        <f>'Buildings - Grid Electricity'!U234</f>
        <v/>
      </c>
      <c r="AE729" s="193" t="str">
        <f>'Buildings - Grid Electricity'!V234</f>
        <v/>
      </c>
      <c r="AF729" s="193" t="str">
        <f>'Buildings - Grid Electricity'!W234</f>
        <v/>
      </c>
      <c r="AG729" s="193" t="str">
        <f>'Buildings - Grid Electricity'!X234</f>
        <v/>
      </c>
      <c r="AI729" s="193">
        <f t="shared" si="12"/>
        <v>0</v>
      </c>
      <c r="AJ729" s="193">
        <f t="shared" si="13"/>
        <v>0</v>
      </c>
    </row>
    <row r="730" spans="2:36" x14ac:dyDescent="0.35">
      <c r="B730" s="193" t="e">
        <f>"2024"&amp;MATCH(Totals!D730,OrgType,0)&amp;"_"&amp;MATCH(Totals!E730,Organisations,0)&amp;"_"&amp;LEFT(Totals!F730,1)&amp;"_"&amp;LEFT(G730,1)&amp;"_"&amp;COUNTIF($G$3:G730,G730)</f>
        <v>#N/A</v>
      </c>
      <c r="C730" s="193">
        <v>2025</v>
      </c>
      <c r="D730" s="193">
        <f>Introduction!$D$7</f>
        <v>0</v>
      </c>
      <c r="E730" s="193">
        <f>Introduction!$D$8</f>
        <v>0</v>
      </c>
      <c r="F730" s="193" t="s">
        <v>488</v>
      </c>
      <c r="G730" s="193" t="s">
        <v>171</v>
      </c>
      <c r="H730" s="193">
        <f>'Buildings - Grid Electricity'!B235</f>
        <v>0</v>
      </c>
      <c r="I730" s="193">
        <f>'Buildings - Grid Electricity'!C235</f>
        <v>0</v>
      </c>
      <c r="J730" s="193" t="str">
        <f>'Buildings - Grid Electricity'!D235</f>
        <v/>
      </c>
      <c r="K730" s="237"/>
      <c r="L730" s="237"/>
      <c r="M730" s="193" t="str">
        <f>'Buildings - Grid Electricity'!E235</f>
        <v/>
      </c>
      <c r="N730" s="193" t="str">
        <f>'Buildings - Grid Electricity'!F235</f>
        <v/>
      </c>
      <c r="O730" s="237"/>
      <c r="P730" s="193">
        <f>'Buildings - Grid Electricity'!G235</f>
        <v>0</v>
      </c>
      <c r="Q730" s="193" t="str">
        <f>'Buildings - Grid Electricity'!H235</f>
        <v/>
      </c>
      <c r="R730" s="193">
        <f>'Buildings - Grid Electricity'!I235</f>
        <v>0</v>
      </c>
      <c r="S730" s="193" t="str">
        <f>'Buildings - Grid Electricity'!J235</f>
        <v/>
      </c>
      <c r="T730" s="193" t="str">
        <f>'Buildings - Grid Electricity'!K235</f>
        <v/>
      </c>
      <c r="U730" s="193" t="str">
        <f>'Buildings - Grid Electricity'!L235</f>
        <v/>
      </c>
      <c r="V730" s="193" t="str">
        <f>'Buildings - Grid Electricity'!M235</f>
        <v/>
      </c>
      <c r="W730" s="193" t="str">
        <f>'Buildings - Grid Electricity'!N235</f>
        <v/>
      </c>
      <c r="X730" s="193">
        <f>'Buildings - Grid Electricity'!O235</f>
        <v>0</v>
      </c>
      <c r="Y730" s="193">
        <f>'Buildings - Grid Electricity'!P235</f>
        <v>0</v>
      </c>
      <c r="Z730" s="193" t="str">
        <f>'Buildings - Grid Electricity'!Q235</f>
        <v/>
      </c>
      <c r="AA730" s="193" t="str">
        <f>'Buildings - Grid Electricity'!R235</f>
        <v/>
      </c>
      <c r="AB730" s="193" t="str">
        <f>'Buildings - Grid Electricity'!S235</f>
        <v/>
      </c>
      <c r="AC730" s="193" t="str">
        <f>'Buildings - Grid Electricity'!T235</f>
        <v/>
      </c>
      <c r="AD730" s="193" t="str">
        <f>'Buildings - Grid Electricity'!U235</f>
        <v/>
      </c>
      <c r="AE730" s="193" t="str">
        <f>'Buildings - Grid Electricity'!V235</f>
        <v/>
      </c>
      <c r="AF730" s="193" t="str">
        <f>'Buildings - Grid Electricity'!W235</f>
        <v/>
      </c>
      <c r="AG730" s="193" t="str">
        <f>'Buildings - Grid Electricity'!X235</f>
        <v/>
      </c>
      <c r="AI730" s="193">
        <f t="shared" si="12"/>
        <v>0</v>
      </c>
      <c r="AJ730" s="193">
        <f t="shared" si="13"/>
        <v>0</v>
      </c>
    </row>
    <row r="731" spans="2:36" x14ac:dyDescent="0.35">
      <c r="B731" s="193" t="e">
        <f>"2024"&amp;MATCH(Totals!D731,OrgType,0)&amp;"_"&amp;MATCH(Totals!E731,Organisations,0)&amp;"_"&amp;LEFT(Totals!F731,1)&amp;"_"&amp;LEFT(G731,1)&amp;"_"&amp;COUNTIF($G$3:G731,G731)</f>
        <v>#N/A</v>
      </c>
      <c r="C731" s="193">
        <v>2025</v>
      </c>
      <c r="D731" s="193">
        <f>Introduction!$D$7</f>
        <v>0</v>
      </c>
      <c r="E731" s="193">
        <f>Introduction!$D$8</f>
        <v>0</v>
      </c>
      <c r="F731" s="193" t="s">
        <v>488</v>
      </c>
      <c r="G731" s="193" t="s">
        <v>171</v>
      </c>
      <c r="H731" s="193">
        <f>'Buildings - Grid Electricity'!B236</f>
        <v>0</v>
      </c>
      <c r="I731" s="193">
        <f>'Buildings - Grid Electricity'!C236</f>
        <v>0</v>
      </c>
      <c r="J731" s="193" t="str">
        <f>'Buildings - Grid Electricity'!D236</f>
        <v/>
      </c>
      <c r="K731" s="237"/>
      <c r="L731" s="237"/>
      <c r="M731" s="193" t="str">
        <f>'Buildings - Grid Electricity'!E236</f>
        <v/>
      </c>
      <c r="N731" s="193" t="str">
        <f>'Buildings - Grid Electricity'!F236</f>
        <v/>
      </c>
      <c r="O731" s="237"/>
      <c r="P731" s="193">
        <f>'Buildings - Grid Electricity'!G236</f>
        <v>0</v>
      </c>
      <c r="Q731" s="193" t="str">
        <f>'Buildings - Grid Electricity'!H236</f>
        <v/>
      </c>
      <c r="R731" s="193">
        <f>'Buildings - Grid Electricity'!I236</f>
        <v>0</v>
      </c>
      <c r="S731" s="193" t="str">
        <f>'Buildings - Grid Electricity'!J236</f>
        <v/>
      </c>
      <c r="T731" s="193" t="str">
        <f>'Buildings - Grid Electricity'!K236</f>
        <v/>
      </c>
      <c r="U731" s="193" t="str">
        <f>'Buildings - Grid Electricity'!L236</f>
        <v/>
      </c>
      <c r="V731" s="193" t="str">
        <f>'Buildings - Grid Electricity'!M236</f>
        <v/>
      </c>
      <c r="W731" s="193" t="str">
        <f>'Buildings - Grid Electricity'!N236</f>
        <v/>
      </c>
      <c r="X731" s="193">
        <f>'Buildings - Grid Electricity'!O236</f>
        <v>0</v>
      </c>
      <c r="Y731" s="193">
        <f>'Buildings - Grid Electricity'!P236</f>
        <v>0</v>
      </c>
      <c r="Z731" s="193" t="str">
        <f>'Buildings - Grid Electricity'!Q236</f>
        <v/>
      </c>
      <c r="AA731" s="193" t="str">
        <f>'Buildings - Grid Electricity'!R236</f>
        <v/>
      </c>
      <c r="AB731" s="193" t="str">
        <f>'Buildings - Grid Electricity'!S236</f>
        <v/>
      </c>
      <c r="AC731" s="193" t="str">
        <f>'Buildings - Grid Electricity'!T236</f>
        <v/>
      </c>
      <c r="AD731" s="193" t="str">
        <f>'Buildings - Grid Electricity'!U236</f>
        <v/>
      </c>
      <c r="AE731" s="193" t="str">
        <f>'Buildings - Grid Electricity'!V236</f>
        <v/>
      </c>
      <c r="AF731" s="193" t="str">
        <f>'Buildings - Grid Electricity'!W236</f>
        <v/>
      </c>
      <c r="AG731" s="193" t="str">
        <f>'Buildings - Grid Electricity'!X236</f>
        <v/>
      </c>
      <c r="AI731" s="193">
        <f t="shared" si="12"/>
        <v>0</v>
      </c>
      <c r="AJ731" s="193">
        <f t="shared" si="13"/>
        <v>0</v>
      </c>
    </row>
    <row r="732" spans="2:36" x14ac:dyDescent="0.35">
      <c r="B732" s="193" t="e">
        <f>"2024"&amp;MATCH(Totals!D732,OrgType,0)&amp;"_"&amp;MATCH(Totals!E732,Organisations,0)&amp;"_"&amp;LEFT(Totals!F732,1)&amp;"_"&amp;LEFT(G732,1)&amp;"_"&amp;COUNTIF($G$3:G732,G732)</f>
        <v>#N/A</v>
      </c>
      <c r="C732" s="193">
        <v>2025</v>
      </c>
      <c r="D732" s="193">
        <f>Introduction!$D$7</f>
        <v>0</v>
      </c>
      <c r="E732" s="193">
        <f>Introduction!$D$8</f>
        <v>0</v>
      </c>
      <c r="F732" s="193" t="s">
        <v>488</v>
      </c>
      <c r="G732" s="193" t="s">
        <v>171</v>
      </c>
      <c r="H732" s="193">
        <f>'Buildings - Grid Electricity'!B237</f>
        <v>0</v>
      </c>
      <c r="I732" s="193">
        <f>'Buildings - Grid Electricity'!C237</f>
        <v>0</v>
      </c>
      <c r="J732" s="193" t="str">
        <f>'Buildings - Grid Electricity'!D237</f>
        <v/>
      </c>
      <c r="K732" s="237"/>
      <c r="L732" s="237"/>
      <c r="M732" s="193" t="str">
        <f>'Buildings - Grid Electricity'!E237</f>
        <v/>
      </c>
      <c r="N732" s="193" t="str">
        <f>'Buildings - Grid Electricity'!F237</f>
        <v/>
      </c>
      <c r="O732" s="237"/>
      <c r="P732" s="193">
        <f>'Buildings - Grid Electricity'!G237</f>
        <v>0</v>
      </c>
      <c r="Q732" s="193" t="str">
        <f>'Buildings - Grid Electricity'!H237</f>
        <v/>
      </c>
      <c r="R732" s="193">
        <f>'Buildings - Grid Electricity'!I237</f>
        <v>0</v>
      </c>
      <c r="S732" s="193" t="str">
        <f>'Buildings - Grid Electricity'!J237</f>
        <v/>
      </c>
      <c r="T732" s="193" t="str">
        <f>'Buildings - Grid Electricity'!K237</f>
        <v/>
      </c>
      <c r="U732" s="193" t="str">
        <f>'Buildings - Grid Electricity'!L237</f>
        <v/>
      </c>
      <c r="V732" s="193" t="str">
        <f>'Buildings - Grid Electricity'!M237</f>
        <v/>
      </c>
      <c r="W732" s="193" t="str">
        <f>'Buildings - Grid Electricity'!N237</f>
        <v/>
      </c>
      <c r="X732" s="193">
        <f>'Buildings - Grid Electricity'!O237</f>
        <v>0</v>
      </c>
      <c r="Y732" s="193">
        <f>'Buildings - Grid Electricity'!P237</f>
        <v>0</v>
      </c>
      <c r="Z732" s="193" t="str">
        <f>'Buildings - Grid Electricity'!Q237</f>
        <v/>
      </c>
      <c r="AA732" s="193" t="str">
        <f>'Buildings - Grid Electricity'!R237</f>
        <v/>
      </c>
      <c r="AB732" s="193" t="str">
        <f>'Buildings - Grid Electricity'!S237</f>
        <v/>
      </c>
      <c r="AC732" s="193" t="str">
        <f>'Buildings - Grid Electricity'!T237</f>
        <v/>
      </c>
      <c r="AD732" s="193" t="str">
        <f>'Buildings - Grid Electricity'!U237</f>
        <v/>
      </c>
      <c r="AE732" s="193" t="str">
        <f>'Buildings - Grid Electricity'!V237</f>
        <v/>
      </c>
      <c r="AF732" s="193" t="str">
        <f>'Buildings - Grid Electricity'!W237</f>
        <v/>
      </c>
      <c r="AG732" s="193" t="str">
        <f>'Buildings - Grid Electricity'!X237</f>
        <v/>
      </c>
      <c r="AI732" s="193">
        <f t="shared" si="12"/>
        <v>0</v>
      </c>
      <c r="AJ732" s="193">
        <f t="shared" si="13"/>
        <v>0</v>
      </c>
    </row>
    <row r="733" spans="2:36" x14ac:dyDescent="0.35">
      <c r="B733" s="193" t="e">
        <f>"2024"&amp;MATCH(Totals!D733,OrgType,0)&amp;"_"&amp;MATCH(Totals!E733,Organisations,0)&amp;"_"&amp;LEFT(Totals!F733,1)&amp;"_"&amp;LEFT(G733,1)&amp;"_"&amp;COUNTIF($G$3:G733,G733)</f>
        <v>#N/A</v>
      </c>
      <c r="C733" s="193">
        <v>2025</v>
      </c>
      <c r="D733" s="193">
        <f>Introduction!$D$7</f>
        <v>0</v>
      </c>
      <c r="E733" s="193">
        <f>Introduction!$D$8</f>
        <v>0</v>
      </c>
      <c r="F733" s="193" t="s">
        <v>488</v>
      </c>
      <c r="G733" s="193" t="s">
        <v>171</v>
      </c>
      <c r="H733" s="193">
        <f>'Buildings - Grid Electricity'!B238</f>
        <v>0</v>
      </c>
      <c r="I733" s="193">
        <f>'Buildings - Grid Electricity'!C238</f>
        <v>0</v>
      </c>
      <c r="J733" s="193" t="str">
        <f>'Buildings - Grid Electricity'!D238</f>
        <v/>
      </c>
      <c r="K733" s="237"/>
      <c r="L733" s="237"/>
      <c r="M733" s="193" t="str">
        <f>'Buildings - Grid Electricity'!E238</f>
        <v/>
      </c>
      <c r="N733" s="193" t="str">
        <f>'Buildings - Grid Electricity'!F238</f>
        <v/>
      </c>
      <c r="O733" s="237"/>
      <c r="P733" s="193">
        <f>'Buildings - Grid Electricity'!G238</f>
        <v>0</v>
      </c>
      <c r="Q733" s="193" t="str">
        <f>'Buildings - Grid Electricity'!H238</f>
        <v/>
      </c>
      <c r="R733" s="193">
        <f>'Buildings - Grid Electricity'!I238</f>
        <v>0</v>
      </c>
      <c r="S733" s="193" t="str">
        <f>'Buildings - Grid Electricity'!J238</f>
        <v/>
      </c>
      <c r="T733" s="193" t="str">
        <f>'Buildings - Grid Electricity'!K238</f>
        <v/>
      </c>
      <c r="U733" s="193" t="str">
        <f>'Buildings - Grid Electricity'!L238</f>
        <v/>
      </c>
      <c r="V733" s="193" t="str">
        <f>'Buildings - Grid Electricity'!M238</f>
        <v/>
      </c>
      <c r="W733" s="193" t="str">
        <f>'Buildings - Grid Electricity'!N238</f>
        <v/>
      </c>
      <c r="X733" s="193">
        <f>'Buildings - Grid Electricity'!O238</f>
        <v>0</v>
      </c>
      <c r="Y733" s="193">
        <f>'Buildings - Grid Electricity'!P238</f>
        <v>0</v>
      </c>
      <c r="Z733" s="193" t="str">
        <f>'Buildings - Grid Electricity'!Q238</f>
        <v/>
      </c>
      <c r="AA733" s="193" t="str">
        <f>'Buildings - Grid Electricity'!R238</f>
        <v/>
      </c>
      <c r="AB733" s="193" t="str">
        <f>'Buildings - Grid Electricity'!S238</f>
        <v/>
      </c>
      <c r="AC733" s="193" t="str">
        <f>'Buildings - Grid Electricity'!T238</f>
        <v/>
      </c>
      <c r="AD733" s="193" t="str">
        <f>'Buildings - Grid Electricity'!U238</f>
        <v/>
      </c>
      <c r="AE733" s="193" t="str">
        <f>'Buildings - Grid Electricity'!V238</f>
        <v/>
      </c>
      <c r="AF733" s="193" t="str">
        <f>'Buildings - Grid Electricity'!W238</f>
        <v/>
      </c>
      <c r="AG733" s="193" t="str">
        <f>'Buildings - Grid Electricity'!X238</f>
        <v/>
      </c>
      <c r="AI733" s="193">
        <f t="shared" si="12"/>
        <v>0</v>
      </c>
      <c r="AJ733" s="193">
        <f t="shared" si="13"/>
        <v>0</v>
      </c>
    </row>
    <row r="734" spans="2:36" x14ac:dyDescent="0.35">
      <c r="B734" s="193" t="e">
        <f>"2024"&amp;MATCH(Totals!D734,OrgType,0)&amp;"_"&amp;MATCH(Totals!E734,Organisations,0)&amp;"_"&amp;LEFT(Totals!F734,1)&amp;"_"&amp;LEFT(G734,1)&amp;"_"&amp;COUNTIF($G$3:G734,G734)</f>
        <v>#N/A</v>
      </c>
      <c r="C734" s="193">
        <v>2025</v>
      </c>
      <c r="D734" s="193">
        <f>Introduction!$D$7</f>
        <v>0</v>
      </c>
      <c r="E734" s="193">
        <f>Introduction!$D$8</f>
        <v>0</v>
      </c>
      <c r="F734" s="193" t="s">
        <v>488</v>
      </c>
      <c r="G734" s="193" t="s">
        <v>171</v>
      </c>
      <c r="H734" s="193">
        <f>'Buildings - Grid Electricity'!B239</f>
        <v>0</v>
      </c>
      <c r="I734" s="193">
        <f>'Buildings - Grid Electricity'!C239</f>
        <v>0</v>
      </c>
      <c r="J734" s="193" t="str">
        <f>'Buildings - Grid Electricity'!D239</f>
        <v/>
      </c>
      <c r="K734" s="237"/>
      <c r="L734" s="237"/>
      <c r="M734" s="193" t="str">
        <f>'Buildings - Grid Electricity'!E239</f>
        <v/>
      </c>
      <c r="N734" s="193" t="str">
        <f>'Buildings - Grid Electricity'!F239</f>
        <v/>
      </c>
      <c r="O734" s="237"/>
      <c r="P734" s="193">
        <f>'Buildings - Grid Electricity'!G239</f>
        <v>0</v>
      </c>
      <c r="Q734" s="193" t="str">
        <f>'Buildings - Grid Electricity'!H239</f>
        <v/>
      </c>
      <c r="R734" s="193">
        <f>'Buildings - Grid Electricity'!I239</f>
        <v>0</v>
      </c>
      <c r="S734" s="193" t="str">
        <f>'Buildings - Grid Electricity'!J239</f>
        <v/>
      </c>
      <c r="T734" s="193" t="str">
        <f>'Buildings - Grid Electricity'!K239</f>
        <v/>
      </c>
      <c r="U734" s="193" t="str">
        <f>'Buildings - Grid Electricity'!L239</f>
        <v/>
      </c>
      <c r="V734" s="193" t="str">
        <f>'Buildings - Grid Electricity'!M239</f>
        <v/>
      </c>
      <c r="W734" s="193" t="str">
        <f>'Buildings - Grid Electricity'!N239</f>
        <v/>
      </c>
      <c r="X734" s="193">
        <f>'Buildings - Grid Electricity'!O239</f>
        <v>0</v>
      </c>
      <c r="Y734" s="193">
        <f>'Buildings - Grid Electricity'!P239</f>
        <v>0</v>
      </c>
      <c r="Z734" s="193" t="str">
        <f>'Buildings - Grid Electricity'!Q239</f>
        <v/>
      </c>
      <c r="AA734" s="193" t="str">
        <f>'Buildings - Grid Electricity'!R239</f>
        <v/>
      </c>
      <c r="AB734" s="193" t="str">
        <f>'Buildings - Grid Electricity'!S239</f>
        <v/>
      </c>
      <c r="AC734" s="193" t="str">
        <f>'Buildings - Grid Electricity'!T239</f>
        <v/>
      </c>
      <c r="AD734" s="193" t="str">
        <f>'Buildings - Grid Electricity'!U239</f>
        <v/>
      </c>
      <c r="AE734" s="193" t="str">
        <f>'Buildings - Grid Electricity'!V239</f>
        <v/>
      </c>
      <c r="AF734" s="193" t="str">
        <f>'Buildings - Grid Electricity'!W239</f>
        <v/>
      </c>
      <c r="AG734" s="193" t="str">
        <f>'Buildings - Grid Electricity'!X239</f>
        <v/>
      </c>
      <c r="AI734" s="193">
        <f t="shared" si="12"/>
        <v>0</v>
      </c>
      <c r="AJ734" s="193">
        <f t="shared" si="13"/>
        <v>0</v>
      </c>
    </row>
    <row r="735" spans="2:36" x14ac:dyDescent="0.35">
      <c r="B735" s="193" t="e">
        <f>"2024"&amp;MATCH(Totals!D735,OrgType,0)&amp;"_"&amp;MATCH(Totals!E735,Organisations,0)&amp;"_"&amp;LEFT(Totals!F735,1)&amp;"_"&amp;LEFT(G735,1)&amp;"_"&amp;COUNTIF($G$3:G735,G735)</f>
        <v>#N/A</v>
      </c>
      <c r="C735" s="193">
        <v>2025</v>
      </c>
      <c r="D735" s="193">
        <f>Introduction!$D$7</f>
        <v>0</v>
      </c>
      <c r="E735" s="193">
        <f>Introduction!$D$8</f>
        <v>0</v>
      </c>
      <c r="F735" s="193" t="s">
        <v>488</v>
      </c>
      <c r="G735" s="193" t="s">
        <v>171</v>
      </c>
      <c r="H735" s="193">
        <f>'Buildings - Grid Electricity'!B240</f>
        <v>0</v>
      </c>
      <c r="I735" s="193">
        <f>'Buildings - Grid Electricity'!C240</f>
        <v>0</v>
      </c>
      <c r="J735" s="193" t="str">
        <f>'Buildings - Grid Electricity'!D240</f>
        <v/>
      </c>
      <c r="K735" s="237"/>
      <c r="L735" s="237"/>
      <c r="M735" s="193" t="str">
        <f>'Buildings - Grid Electricity'!E240</f>
        <v/>
      </c>
      <c r="N735" s="193" t="str">
        <f>'Buildings - Grid Electricity'!F240</f>
        <v/>
      </c>
      <c r="O735" s="237"/>
      <c r="P735" s="193">
        <f>'Buildings - Grid Electricity'!G240</f>
        <v>0</v>
      </c>
      <c r="Q735" s="193" t="str">
        <f>'Buildings - Grid Electricity'!H240</f>
        <v/>
      </c>
      <c r="R735" s="193">
        <f>'Buildings - Grid Electricity'!I240</f>
        <v>0</v>
      </c>
      <c r="S735" s="193" t="str">
        <f>'Buildings - Grid Electricity'!J240</f>
        <v/>
      </c>
      <c r="T735" s="193" t="str">
        <f>'Buildings - Grid Electricity'!K240</f>
        <v/>
      </c>
      <c r="U735" s="193" t="str">
        <f>'Buildings - Grid Electricity'!L240</f>
        <v/>
      </c>
      <c r="V735" s="193" t="str">
        <f>'Buildings - Grid Electricity'!M240</f>
        <v/>
      </c>
      <c r="W735" s="193" t="str">
        <f>'Buildings - Grid Electricity'!N240</f>
        <v/>
      </c>
      <c r="X735" s="193">
        <f>'Buildings - Grid Electricity'!O240</f>
        <v>0</v>
      </c>
      <c r="Y735" s="193">
        <f>'Buildings - Grid Electricity'!P240</f>
        <v>0</v>
      </c>
      <c r="Z735" s="193" t="str">
        <f>'Buildings - Grid Electricity'!Q240</f>
        <v/>
      </c>
      <c r="AA735" s="193" t="str">
        <f>'Buildings - Grid Electricity'!R240</f>
        <v/>
      </c>
      <c r="AB735" s="193" t="str">
        <f>'Buildings - Grid Electricity'!S240</f>
        <v/>
      </c>
      <c r="AC735" s="193" t="str">
        <f>'Buildings - Grid Electricity'!T240</f>
        <v/>
      </c>
      <c r="AD735" s="193" t="str">
        <f>'Buildings - Grid Electricity'!U240</f>
        <v/>
      </c>
      <c r="AE735" s="193" t="str">
        <f>'Buildings - Grid Electricity'!V240</f>
        <v/>
      </c>
      <c r="AF735" s="193" t="str">
        <f>'Buildings - Grid Electricity'!W240</f>
        <v/>
      </c>
      <c r="AG735" s="193" t="str">
        <f>'Buildings - Grid Electricity'!X240</f>
        <v/>
      </c>
      <c r="AI735" s="193">
        <f t="shared" si="12"/>
        <v>0</v>
      </c>
      <c r="AJ735" s="193">
        <f t="shared" si="13"/>
        <v>0</v>
      </c>
    </row>
    <row r="736" spans="2:36" x14ac:dyDescent="0.35">
      <c r="B736" s="193" t="e">
        <f>"2024"&amp;MATCH(Totals!D736,OrgType,0)&amp;"_"&amp;MATCH(Totals!E736,Organisations,0)&amp;"_"&amp;LEFT(Totals!F736,1)&amp;"_"&amp;LEFT(G736,1)&amp;"_"&amp;COUNTIF($G$3:G736,G736)</f>
        <v>#N/A</v>
      </c>
      <c r="C736" s="193">
        <v>2025</v>
      </c>
      <c r="D736" s="193">
        <f>Introduction!$D$7</f>
        <v>0</v>
      </c>
      <c r="E736" s="193">
        <f>Introduction!$D$8</f>
        <v>0</v>
      </c>
      <c r="F736" s="193" t="s">
        <v>488</v>
      </c>
      <c r="G736" s="193" t="s">
        <v>171</v>
      </c>
      <c r="H736" s="193">
        <f>'Buildings - Grid Electricity'!B241</f>
        <v>0</v>
      </c>
      <c r="I736" s="193">
        <f>'Buildings - Grid Electricity'!C241</f>
        <v>0</v>
      </c>
      <c r="J736" s="193" t="str">
        <f>'Buildings - Grid Electricity'!D241</f>
        <v/>
      </c>
      <c r="K736" s="237"/>
      <c r="L736" s="237"/>
      <c r="M736" s="193" t="str">
        <f>'Buildings - Grid Electricity'!E241</f>
        <v/>
      </c>
      <c r="N736" s="193" t="str">
        <f>'Buildings - Grid Electricity'!F241</f>
        <v/>
      </c>
      <c r="O736" s="237"/>
      <c r="P736" s="193">
        <f>'Buildings - Grid Electricity'!G241</f>
        <v>0</v>
      </c>
      <c r="Q736" s="193" t="str">
        <f>'Buildings - Grid Electricity'!H241</f>
        <v/>
      </c>
      <c r="R736" s="193">
        <f>'Buildings - Grid Electricity'!I241</f>
        <v>0</v>
      </c>
      <c r="S736" s="193" t="str">
        <f>'Buildings - Grid Electricity'!J241</f>
        <v/>
      </c>
      <c r="T736" s="193" t="str">
        <f>'Buildings - Grid Electricity'!K241</f>
        <v/>
      </c>
      <c r="U736" s="193" t="str">
        <f>'Buildings - Grid Electricity'!L241</f>
        <v/>
      </c>
      <c r="V736" s="193" t="str">
        <f>'Buildings - Grid Electricity'!M241</f>
        <v/>
      </c>
      <c r="W736" s="193" t="str">
        <f>'Buildings - Grid Electricity'!N241</f>
        <v/>
      </c>
      <c r="X736" s="193">
        <f>'Buildings - Grid Electricity'!O241</f>
        <v>0</v>
      </c>
      <c r="Y736" s="193">
        <f>'Buildings - Grid Electricity'!P241</f>
        <v>0</v>
      </c>
      <c r="Z736" s="193" t="str">
        <f>'Buildings - Grid Electricity'!Q241</f>
        <v/>
      </c>
      <c r="AA736" s="193" t="str">
        <f>'Buildings - Grid Electricity'!R241</f>
        <v/>
      </c>
      <c r="AB736" s="193" t="str">
        <f>'Buildings - Grid Electricity'!S241</f>
        <v/>
      </c>
      <c r="AC736" s="193" t="str">
        <f>'Buildings - Grid Electricity'!T241</f>
        <v/>
      </c>
      <c r="AD736" s="193" t="str">
        <f>'Buildings - Grid Electricity'!U241</f>
        <v/>
      </c>
      <c r="AE736" s="193" t="str">
        <f>'Buildings - Grid Electricity'!V241</f>
        <v/>
      </c>
      <c r="AF736" s="193" t="str">
        <f>'Buildings - Grid Electricity'!W241</f>
        <v/>
      </c>
      <c r="AG736" s="193" t="str">
        <f>'Buildings - Grid Electricity'!X241</f>
        <v/>
      </c>
      <c r="AI736" s="193">
        <f t="shared" si="12"/>
        <v>0</v>
      </c>
      <c r="AJ736" s="193">
        <f t="shared" si="13"/>
        <v>0</v>
      </c>
    </row>
    <row r="737" spans="2:36" x14ac:dyDescent="0.35">
      <c r="B737" s="193" t="e">
        <f>"2024"&amp;MATCH(Totals!D737,OrgType,0)&amp;"_"&amp;MATCH(Totals!E737,Organisations,0)&amp;"_"&amp;LEFT(Totals!F737,1)&amp;"_"&amp;LEFT(G737,1)&amp;"_"&amp;COUNTIF($G$3:G737,G737)</f>
        <v>#N/A</v>
      </c>
      <c r="C737" s="193">
        <v>2025</v>
      </c>
      <c r="D737" s="193">
        <f>Introduction!$D$7</f>
        <v>0</v>
      </c>
      <c r="E737" s="193">
        <f>Introduction!$D$8</f>
        <v>0</v>
      </c>
      <c r="F737" s="193" t="s">
        <v>488</v>
      </c>
      <c r="G737" s="193" t="s">
        <v>171</v>
      </c>
      <c r="H737" s="193">
        <f>'Buildings - Grid Electricity'!B242</f>
        <v>0</v>
      </c>
      <c r="I737" s="193">
        <f>'Buildings - Grid Electricity'!C242</f>
        <v>0</v>
      </c>
      <c r="J737" s="193" t="str">
        <f>'Buildings - Grid Electricity'!D242</f>
        <v/>
      </c>
      <c r="K737" s="237"/>
      <c r="L737" s="237"/>
      <c r="M737" s="193" t="str">
        <f>'Buildings - Grid Electricity'!E242</f>
        <v/>
      </c>
      <c r="N737" s="193" t="str">
        <f>'Buildings - Grid Electricity'!F242</f>
        <v/>
      </c>
      <c r="O737" s="237"/>
      <c r="P737" s="193">
        <f>'Buildings - Grid Electricity'!G242</f>
        <v>0</v>
      </c>
      <c r="Q737" s="193" t="str">
        <f>'Buildings - Grid Electricity'!H242</f>
        <v/>
      </c>
      <c r="R737" s="193">
        <f>'Buildings - Grid Electricity'!I242</f>
        <v>0</v>
      </c>
      <c r="S737" s="193" t="str">
        <f>'Buildings - Grid Electricity'!J242</f>
        <v/>
      </c>
      <c r="T737" s="193" t="str">
        <f>'Buildings - Grid Electricity'!K242</f>
        <v/>
      </c>
      <c r="U737" s="193" t="str">
        <f>'Buildings - Grid Electricity'!L242</f>
        <v/>
      </c>
      <c r="V737" s="193" t="str">
        <f>'Buildings - Grid Electricity'!M242</f>
        <v/>
      </c>
      <c r="W737" s="193" t="str">
        <f>'Buildings - Grid Electricity'!N242</f>
        <v/>
      </c>
      <c r="X737" s="193">
        <f>'Buildings - Grid Electricity'!O242</f>
        <v>0</v>
      </c>
      <c r="Y737" s="193">
        <f>'Buildings - Grid Electricity'!P242</f>
        <v>0</v>
      </c>
      <c r="Z737" s="193" t="str">
        <f>'Buildings - Grid Electricity'!Q242</f>
        <v/>
      </c>
      <c r="AA737" s="193" t="str">
        <f>'Buildings - Grid Electricity'!R242</f>
        <v/>
      </c>
      <c r="AB737" s="193" t="str">
        <f>'Buildings - Grid Electricity'!S242</f>
        <v/>
      </c>
      <c r="AC737" s="193" t="str">
        <f>'Buildings - Grid Electricity'!T242</f>
        <v/>
      </c>
      <c r="AD737" s="193" t="str">
        <f>'Buildings - Grid Electricity'!U242</f>
        <v/>
      </c>
      <c r="AE737" s="193" t="str">
        <f>'Buildings - Grid Electricity'!V242</f>
        <v/>
      </c>
      <c r="AF737" s="193" t="str">
        <f>'Buildings - Grid Electricity'!W242</f>
        <v/>
      </c>
      <c r="AG737" s="193" t="str">
        <f>'Buildings - Grid Electricity'!X242</f>
        <v/>
      </c>
      <c r="AI737" s="193">
        <f t="shared" si="12"/>
        <v>0</v>
      </c>
      <c r="AJ737" s="193">
        <f t="shared" si="13"/>
        <v>0</v>
      </c>
    </row>
    <row r="738" spans="2:36" x14ac:dyDescent="0.35">
      <c r="B738" s="193" t="e">
        <f>"2024"&amp;MATCH(Totals!D738,OrgType,0)&amp;"_"&amp;MATCH(Totals!E738,Organisations,0)&amp;"_"&amp;LEFT(Totals!F738,1)&amp;"_"&amp;LEFT(G738,1)&amp;"_"&amp;COUNTIF($G$3:G738,G738)</f>
        <v>#N/A</v>
      </c>
      <c r="C738" s="193">
        <v>2025</v>
      </c>
      <c r="D738" s="193">
        <f>Introduction!$D$7</f>
        <v>0</v>
      </c>
      <c r="E738" s="193">
        <f>Introduction!$D$8</f>
        <v>0</v>
      </c>
      <c r="F738" s="193" t="s">
        <v>488</v>
      </c>
      <c r="G738" s="193" t="s">
        <v>171</v>
      </c>
      <c r="H738" s="193">
        <f>'Buildings - Grid Electricity'!B243</f>
        <v>0</v>
      </c>
      <c r="I738" s="193">
        <f>'Buildings - Grid Electricity'!C243</f>
        <v>0</v>
      </c>
      <c r="J738" s="193" t="str">
        <f>'Buildings - Grid Electricity'!D243</f>
        <v/>
      </c>
      <c r="K738" s="237"/>
      <c r="L738" s="237"/>
      <c r="M738" s="193" t="str">
        <f>'Buildings - Grid Electricity'!E243</f>
        <v/>
      </c>
      <c r="N738" s="193" t="str">
        <f>'Buildings - Grid Electricity'!F243</f>
        <v/>
      </c>
      <c r="O738" s="237"/>
      <c r="P738" s="193">
        <f>'Buildings - Grid Electricity'!G243</f>
        <v>0</v>
      </c>
      <c r="Q738" s="193" t="str">
        <f>'Buildings - Grid Electricity'!H243</f>
        <v/>
      </c>
      <c r="R738" s="193">
        <f>'Buildings - Grid Electricity'!I243</f>
        <v>0</v>
      </c>
      <c r="S738" s="193" t="str">
        <f>'Buildings - Grid Electricity'!J243</f>
        <v/>
      </c>
      <c r="T738" s="193" t="str">
        <f>'Buildings - Grid Electricity'!K243</f>
        <v/>
      </c>
      <c r="U738" s="193" t="str">
        <f>'Buildings - Grid Electricity'!L243</f>
        <v/>
      </c>
      <c r="V738" s="193" t="str">
        <f>'Buildings - Grid Electricity'!M243</f>
        <v/>
      </c>
      <c r="W738" s="193" t="str">
        <f>'Buildings - Grid Electricity'!N243</f>
        <v/>
      </c>
      <c r="X738" s="193">
        <f>'Buildings - Grid Electricity'!O243</f>
        <v>0</v>
      </c>
      <c r="Y738" s="193">
        <f>'Buildings - Grid Electricity'!P243</f>
        <v>0</v>
      </c>
      <c r="Z738" s="193" t="str">
        <f>'Buildings - Grid Electricity'!Q243</f>
        <v/>
      </c>
      <c r="AA738" s="193" t="str">
        <f>'Buildings - Grid Electricity'!R243</f>
        <v/>
      </c>
      <c r="AB738" s="193" t="str">
        <f>'Buildings - Grid Electricity'!S243</f>
        <v/>
      </c>
      <c r="AC738" s="193" t="str">
        <f>'Buildings - Grid Electricity'!T243</f>
        <v/>
      </c>
      <c r="AD738" s="193" t="str">
        <f>'Buildings - Grid Electricity'!U243</f>
        <v/>
      </c>
      <c r="AE738" s="193" t="str">
        <f>'Buildings - Grid Electricity'!V243</f>
        <v/>
      </c>
      <c r="AF738" s="193" t="str">
        <f>'Buildings - Grid Electricity'!W243</f>
        <v/>
      </c>
      <c r="AG738" s="193" t="str">
        <f>'Buildings - Grid Electricity'!X243</f>
        <v/>
      </c>
      <c r="AI738" s="193">
        <f t="shared" si="12"/>
        <v>0</v>
      </c>
      <c r="AJ738" s="193">
        <f t="shared" si="13"/>
        <v>0</v>
      </c>
    </row>
    <row r="739" spans="2:36" x14ac:dyDescent="0.35">
      <c r="B739" s="193" t="e">
        <f>"2024"&amp;MATCH(Totals!D739,OrgType,0)&amp;"_"&amp;MATCH(Totals!E739,Organisations,0)&amp;"_"&amp;LEFT(Totals!F739,1)&amp;"_"&amp;LEFT(G739,1)&amp;"_"&amp;COUNTIF($G$3:G739,G739)</f>
        <v>#N/A</v>
      </c>
      <c r="C739" s="193">
        <v>2025</v>
      </c>
      <c r="D739" s="193">
        <f>Introduction!$D$7</f>
        <v>0</v>
      </c>
      <c r="E739" s="193">
        <f>Introduction!$D$8</f>
        <v>0</v>
      </c>
      <c r="F739" s="193" t="s">
        <v>488</v>
      </c>
      <c r="G739" s="193" t="s">
        <v>171</v>
      </c>
      <c r="H739" s="193">
        <f>'Buildings - Grid Electricity'!B244</f>
        <v>0</v>
      </c>
      <c r="I739" s="193">
        <f>'Buildings - Grid Electricity'!C244</f>
        <v>0</v>
      </c>
      <c r="J739" s="193" t="str">
        <f>'Buildings - Grid Electricity'!D244</f>
        <v/>
      </c>
      <c r="K739" s="237"/>
      <c r="L739" s="237"/>
      <c r="M739" s="193" t="str">
        <f>'Buildings - Grid Electricity'!E244</f>
        <v/>
      </c>
      <c r="N739" s="193" t="str">
        <f>'Buildings - Grid Electricity'!F244</f>
        <v/>
      </c>
      <c r="O739" s="237"/>
      <c r="P739" s="193">
        <f>'Buildings - Grid Electricity'!G244</f>
        <v>0</v>
      </c>
      <c r="Q739" s="193" t="str">
        <f>'Buildings - Grid Electricity'!H244</f>
        <v/>
      </c>
      <c r="R739" s="193">
        <f>'Buildings - Grid Electricity'!I244</f>
        <v>0</v>
      </c>
      <c r="S739" s="193" t="str">
        <f>'Buildings - Grid Electricity'!J244</f>
        <v/>
      </c>
      <c r="T739" s="193" t="str">
        <f>'Buildings - Grid Electricity'!K244</f>
        <v/>
      </c>
      <c r="U739" s="193" t="str">
        <f>'Buildings - Grid Electricity'!L244</f>
        <v/>
      </c>
      <c r="V739" s="193" t="str">
        <f>'Buildings - Grid Electricity'!M244</f>
        <v/>
      </c>
      <c r="W739" s="193" t="str">
        <f>'Buildings - Grid Electricity'!N244</f>
        <v/>
      </c>
      <c r="X739" s="193">
        <f>'Buildings - Grid Electricity'!O244</f>
        <v>0</v>
      </c>
      <c r="Y739" s="193">
        <f>'Buildings - Grid Electricity'!P244</f>
        <v>0</v>
      </c>
      <c r="Z739" s="193" t="str">
        <f>'Buildings - Grid Electricity'!Q244</f>
        <v/>
      </c>
      <c r="AA739" s="193" t="str">
        <f>'Buildings - Grid Electricity'!R244</f>
        <v/>
      </c>
      <c r="AB739" s="193" t="str">
        <f>'Buildings - Grid Electricity'!S244</f>
        <v/>
      </c>
      <c r="AC739" s="193" t="str">
        <f>'Buildings - Grid Electricity'!T244</f>
        <v/>
      </c>
      <c r="AD739" s="193" t="str">
        <f>'Buildings - Grid Electricity'!U244</f>
        <v/>
      </c>
      <c r="AE739" s="193" t="str">
        <f>'Buildings - Grid Electricity'!V244</f>
        <v/>
      </c>
      <c r="AF739" s="193" t="str">
        <f>'Buildings - Grid Electricity'!W244</f>
        <v/>
      </c>
      <c r="AG739" s="193" t="str">
        <f>'Buildings - Grid Electricity'!X244</f>
        <v/>
      </c>
      <c r="AI739" s="193">
        <f t="shared" si="12"/>
        <v>0</v>
      </c>
      <c r="AJ739" s="193">
        <f t="shared" si="13"/>
        <v>0</v>
      </c>
    </row>
    <row r="740" spans="2:36" x14ac:dyDescent="0.35">
      <c r="B740" s="193" t="e">
        <f>"2024"&amp;MATCH(Totals!D740,OrgType,0)&amp;"_"&amp;MATCH(Totals!E740,Organisations,0)&amp;"_"&amp;LEFT(Totals!F740,1)&amp;"_"&amp;LEFT(G740,1)&amp;"_"&amp;COUNTIF($G$3:G740,G740)</f>
        <v>#N/A</v>
      </c>
      <c r="C740" s="193">
        <v>2025</v>
      </c>
      <c r="D740" s="193">
        <f>Introduction!$D$7</f>
        <v>0</v>
      </c>
      <c r="E740" s="193">
        <f>Introduction!$D$8</f>
        <v>0</v>
      </c>
      <c r="F740" s="193" t="s">
        <v>488</v>
      </c>
      <c r="G740" s="193" t="s">
        <v>171</v>
      </c>
      <c r="H740" s="193">
        <f>'Buildings - Grid Electricity'!B245</f>
        <v>0</v>
      </c>
      <c r="I740" s="193">
        <f>'Buildings - Grid Electricity'!C245</f>
        <v>0</v>
      </c>
      <c r="J740" s="193" t="str">
        <f>'Buildings - Grid Electricity'!D245</f>
        <v/>
      </c>
      <c r="K740" s="237"/>
      <c r="L740" s="237"/>
      <c r="M740" s="193" t="str">
        <f>'Buildings - Grid Electricity'!E245</f>
        <v/>
      </c>
      <c r="N740" s="193" t="str">
        <f>'Buildings - Grid Electricity'!F245</f>
        <v/>
      </c>
      <c r="O740" s="237"/>
      <c r="P740" s="193">
        <f>'Buildings - Grid Electricity'!G245</f>
        <v>0</v>
      </c>
      <c r="Q740" s="193" t="str">
        <f>'Buildings - Grid Electricity'!H245</f>
        <v/>
      </c>
      <c r="R740" s="193">
        <f>'Buildings - Grid Electricity'!I245</f>
        <v>0</v>
      </c>
      <c r="S740" s="193" t="str">
        <f>'Buildings - Grid Electricity'!J245</f>
        <v/>
      </c>
      <c r="T740" s="193" t="str">
        <f>'Buildings - Grid Electricity'!K245</f>
        <v/>
      </c>
      <c r="U740" s="193" t="str">
        <f>'Buildings - Grid Electricity'!L245</f>
        <v/>
      </c>
      <c r="V740" s="193" t="str">
        <f>'Buildings - Grid Electricity'!M245</f>
        <v/>
      </c>
      <c r="W740" s="193" t="str">
        <f>'Buildings - Grid Electricity'!N245</f>
        <v/>
      </c>
      <c r="X740" s="193">
        <f>'Buildings - Grid Electricity'!O245</f>
        <v>0</v>
      </c>
      <c r="Y740" s="193">
        <f>'Buildings - Grid Electricity'!P245</f>
        <v>0</v>
      </c>
      <c r="Z740" s="193" t="str">
        <f>'Buildings - Grid Electricity'!Q245</f>
        <v/>
      </c>
      <c r="AA740" s="193" t="str">
        <f>'Buildings - Grid Electricity'!R245</f>
        <v/>
      </c>
      <c r="AB740" s="193" t="str">
        <f>'Buildings - Grid Electricity'!S245</f>
        <v/>
      </c>
      <c r="AC740" s="193" t="str">
        <f>'Buildings - Grid Electricity'!T245</f>
        <v/>
      </c>
      <c r="AD740" s="193" t="str">
        <f>'Buildings - Grid Electricity'!U245</f>
        <v/>
      </c>
      <c r="AE740" s="193" t="str">
        <f>'Buildings - Grid Electricity'!V245</f>
        <v/>
      </c>
      <c r="AF740" s="193" t="str">
        <f>'Buildings - Grid Electricity'!W245</f>
        <v/>
      </c>
      <c r="AG740" s="193" t="str">
        <f>'Buildings - Grid Electricity'!X245</f>
        <v/>
      </c>
      <c r="AI740" s="193">
        <f t="shared" si="12"/>
        <v>0</v>
      </c>
      <c r="AJ740" s="193">
        <f t="shared" si="13"/>
        <v>0</v>
      </c>
    </row>
    <row r="741" spans="2:36" x14ac:dyDescent="0.35">
      <c r="B741" s="193" t="e">
        <f>"2024"&amp;MATCH(Totals!D741,OrgType,0)&amp;"_"&amp;MATCH(Totals!E741,Organisations,0)&amp;"_"&amp;LEFT(Totals!F741,1)&amp;"_"&amp;LEFT(G741,1)&amp;"_"&amp;COUNTIF($G$3:G741,G741)</f>
        <v>#N/A</v>
      </c>
      <c r="C741" s="193">
        <v>2025</v>
      </c>
      <c r="D741" s="193">
        <f>Introduction!$D$7</f>
        <v>0</v>
      </c>
      <c r="E741" s="193">
        <f>Introduction!$D$8</f>
        <v>0</v>
      </c>
      <c r="F741" s="193" t="s">
        <v>488</v>
      </c>
      <c r="G741" s="193" t="s">
        <v>171</v>
      </c>
      <c r="H741" s="193">
        <f>'Buildings - Grid Electricity'!B246</f>
        <v>0</v>
      </c>
      <c r="I741" s="193">
        <f>'Buildings - Grid Electricity'!C246</f>
        <v>0</v>
      </c>
      <c r="J741" s="193" t="str">
        <f>'Buildings - Grid Electricity'!D246</f>
        <v/>
      </c>
      <c r="K741" s="237"/>
      <c r="L741" s="237"/>
      <c r="M741" s="193" t="str">
        <f>'Buildings - Grid Electricity'!E246</f>
        <v/>
      </c>
      <c r="N741" s="193" t="str">
        <f>'Buildings - Grid Electricity'!F246</f>
        <v/>
      </c>
      <c r="O741" s="237"/>
      <c r="P741" s="193">
        <f>'Buildings - Grid Electricity'!G246</f>
        <v>0</v>
      </c>
      <c r="Q741" s="193" t="str">
        <f>'Buildings - Grid Electricity'!H246</f>
        <v/>
      </c>
      <c r="R741" s="193">
        <f>'Buildings - Grid Electricity'!I246</f>
        <v>0</v>
      </c>
      <c r="S741" s="193" t="str">
        <f>'Buildings - Grid Electricity'!J246</f>
        <v/>
      </c>
      <c r="T741" s="193" t="str">
        <f>'Buildings - Grid Electricity'!K246</f>
        <v/>
      </c>
      <c r="U741" s="193" t="str">
        <f>'Buildings - Grid Electricity'!L246</f>
        <v/>
      </c>
      <c r="V741" s="193" t="str">
        <f>'Buildings - Grid Electricity'!M246</f>
        <v/>
      </c>
      <c r="W741" s="193" t="str">
        <f>'Buildings - Grid Electricity'!N246</f>
        <v/>
      </c>
      <c r="X741" s="193">
        <f>'Buildings - Grid Electricity'!O246</f>
        <v>0</v>
      </c>
      <c r="Y741" s="193">
        <f>'Buildings - Grid Electricity'!P246</f>
        <v>0</v>
      </c>
      <c r="Z741" s="193" t="str">
        <f>'Buildings - Grid Electricity'!Q246</f>
        <v/>
      </c>
      <c r="AA741" s="193" t="str">
        <f>'Buildings - Grid Electricity'!R246</f>
        <v/>
      </c>
      <c r="AB741" s="193" t="str">
        <f>'Buildings - Grid Electricity'!S246</f>
        <v/>
      </c>
      <c r="AC741" s="193" t="str">
        <f>'Buildings - Grid Electricity'!T246</f>
        <v/>
      </c>
      <c r="AD741" s="193" t="str">
        <f>'Buildings - Grid Electricity'!U246</f>
        <v/>
      </c>
      <c r="AE741" s="193" t="str">
        <f>'Buildings - Grid Electricity'!V246</f>
        <v/>
      </c>
      <c r="AF741" s="193" t="str">
        <f>'Buildings - Grid Electricity'!W246</f>
        <v/>
      </c>
      <c r="AG741" s="193" t="str">
        <f>'Buildings - Grid Electricity'!X246</f>
        <v/>
      </c>
      <c r="AI741" s="193">
        <f t="shared" si="12"/>
        <v>0</v>
      </c>
      <c r="AJ741" s="193">
        <f t="shared" si="13"/>
        <v>0</v>
      </c>
    </row>
    <row r="742" spans="2:36" x14ac:dyDescent="0.35">
      <c r="B742" s="193" t="e">
        <f>"2024"&amp;MATCH(Totals!D742,OrgType,0)&amp;"_"&amp;MATCH(Totals!E742,Organisations,0)&amp;"_"&amp;LEFT(Totals!F742,1)&amp;"_"&amp;LEFT(G742,1)&amp;"_"&amp;COUNTIF($G$3:G742,G742)</f>
        <v>#N/A</v>
      </c>
      <c r="C742" s="193">
        <v>2025</v>
      </c>
      <c r="D742" s="193">
        <f>Introduction!$D$7</f>
        <v>0</v>
      </c>
      <c r="E742" s="193">
        <f>Introduction!$D$8</f>
        <v>0</v>
      </c>
      <c r="F742" s="193" t="s">
        <v>488</v>
      </c>
      <c r="G742" s="193" t="s">
        <v>171</v>
      </c>
      <c r="H742" s="193">
        <f>'Buildings - Grid Electricity'!B247</f>
        <v>0</v>
      </c>
      <c r="I742" s="193">
        <f>'Buildings - Grid Electricity'!C247</f>
        <v>0</v>
      </c>
      <c r="J742" s="193" t="str">
        <f>'Buildings - Grid Electricity'!D247</f>
        <v/>
      </c>
      <c r="K742" s="237"/>
      <c r="L742" s="237"/>
      <c r="M742" s="193" t="str">
        <f>'Buildings - Grid Electricity'!E247</f>
        <v/>
      </c>
      <c r="N742" s="193" t="str">
        <f>'Buildings - Grid Electricity'!F247</f>
        <v/>
      </c>
      <c r="O742" s="237"/>
      <c r="P742" s="193">
        <f>'Buildings - Grid Electricity'!G247</f>
        <v>0</v>
      </c>
      <c r="Q742" s="193" t="str">
        <f>'Buildings - Grid Electricity'!H247</f>
        <v/>
      </c>
      <c r="R742" s="193">
        <f>'Buildings - Grid Electricity'!I247</f>
        <v>0</v>
      </c>
      <c r="S742" s="193" t="str">
        <f>'Buildings - Grid Electricity'!J247</f>
        <v/>
      </c>
      <c r="T742" s="193" t="str">
        <f>'Buildings - Grid Electricity'!K247</f>
        <v/>
      </c>
      <c r="U742" s="193" t="str">
        <f>'Buildings - Grid Electricity'!L247</f>
        <v/>
      </c>
      <c r="V742" s="193" t="str">
        <f>'Buildings - Grid Electricity'!M247</f>
        <v/>
      </c>
      <c r="W742" s="193" t="str">
        <f>'Buildings - Grid Electricity'!N247</f>
        <v/>
      </c>
      <c r="X742" s="193">
        <f>'Buildings - Grid Electricity'!O247</f>
        <v>0</v>
      </c>
      <c r="Y742" s="193">
        <f>'Buildings - Grid Electricity'!P247</f>
        <v>0</v>
      </c>
      <c r="Z742" s="193" t="str">
        <f>'Buildings - Grid Electricity'!Q247</f>
        <v/>
      </c>
      <c r="AA742" s="193" t="str">
        <f>'Buildings - Grid Electricity'!R247</f>
        <v/>
      </c>
      <c r="AB742" s="193" t="str">
        <f>'Buildings - Grid Electricity'!S247</f>
        <v/>
      </c>
      <c r="AC742" s="193" t="str">
        <f>'Buildings - Grid Electricity'!T247</f>
        <v/>
      </c>
      <c r="AD742" s="193" t="str">
        <f>'Buildings - Grid Electricity'!U247</f>
        <v/>
      </c>
      <c r="AE742" s="193" t="str">
        <f>'Buildings - Grid Electricity'!V247</f>
        <v/>
      </c>
      <c r="AF742" s="193" t="str">
        <f>'Buildings - Grid Electricity'!W247</f>
        <v/>
      </c>
      <c r="AG742" s="193" t="str">
        <f>'Buildings - Grid Electricity'!X247</f>
        <v/>
      </c>
      <c r="AI742" s="193">
        <f t="shared" si="12"/>
        <v>0</v>
      </c>
      <c r="AJ742" s="193">
        <f t="shared" si="13"/>
        <v>0</v>
      </c>
    </row>
    <row r="743" spans="2:36" x14ac:dyDescent="0.35">
      <c r="B743" s="193" t="e">
        <f>"2024"&amp;MATCH(Totals!D743,OrgType,0)&amp;"_"&amp;MATCH(Totals!E743,Organisations,0)&amp;"_"&amp;LEFT(Totals!F743,1)&amp;"_"&amp;LEFT(G743,1)&amp;"_"&amp;COUNTIF($G$3:G743,G743)</f>
        <v>#N/A</v>
      </c>
      <c r="C743" s="193">
        <v>2025</v>
      </c>
      <c r="D743" s="193">
        <f>Introduction!$D$7</f>
        <v>0</v>
      </c>
      <c r="E743" s="193">
        <f>Introduction!$D$8</f>
        <v>0</v>
      </c>
      <c r="F743" s="193" t="s">
        <v>488</v>
      </c>
      <c r="G743" s="193" t="s">
        <v>171</v>
      </c>
      <c r="H743" s="193">
        <f>'Buildings - Grid Electricity'!B248</f>
        <v>0</v>
      </c>
      <c r="I743" s="193">
        <f>'Buildings - Grid Electricity'!C248</f>
        <v>0</v>
      </c>
      <c r="J743" s="193" t="str">
        <f>'Buildings - Grid Electricity'!D248</f>
        <v/>
      </c>
      <c r="K743" s="237"/>
      <c r="L743" s="237"/>
      <c r="M743" s="193" t="str">
        <f>'Buildings - Grid Electricity'!E248</f>
        <v/>
      </c>
      <c r="N743" s="193" t="str">
        <f>'Buildings - Grid Electricity'!F248</f>
        <v/>
      </c>
      <c r="O743" s="237"/>
      <c r="P743" s="193">
        <f>'Buildings - Grid Electricity'!G248</f>
        <v>0</v>
      </c>
      <c r="Q743" s="193" t="str">
        <f>'Buildings - Grid Electricity'!H248</f>
        <v/>
      </c>
      <c r="R743" s="193">
        <f>'Buildings - Grid Electricity'!I248</f>
        <v>0</v>
      </c>
      <c r="S743" s="193" t="str">
        <f>'Buildings - Grid Electricity'!J248</f>
        <v/>
      </c>
      <c r="T743" s="193" t="str">
        <f>'Buildings - Grid Electricity'!K248</f>
        <v/>
      </c>
      <c r="U743" s="193" t="str">
        <f>'Buildings - Grid Electricity'!L248</f>
        <v/>
      </c>
      <c r="V743" s="193" t="str">
        <f>'Buildings - Grid Electricity'!M248</f>
        <v/>
      </c>
      <c r="W743" s="193" t="str">
        <f>'Buildings - Grid Electricity'!N248</f>
        <v/>
      </c>
      <c r="X743" s="193">
        <f>'Buildings - Grid Electricity'!O248</f>
        <v>0</v>
      </c>
      <c r="Y743" s="193">
        <f>'Buildings - Grid Electricity'!P248</f>
        <v>0</v>
      </c>
      <c r="Z743" s="193" t="str">
        <f>'Buildings - Grid Electricity'!Q248</f>
        <v/>
      </c>
      <c r="AA743" s="193" t="str">
        <f>'Buildings - Grid Electricity'!R248</f>
        <v/>
      </c>
      <c r="AB743" s="193" t="str">
        <f>'Buildings - Grid Electricity'!S248</f>
        <v/>
      </c>
      <c r="AC743" s="193" t="str">
        <f>'Buildings - Grid Electricity'!T248</f>
        <v/>
      </c>
      <c r="AD743" s="193" t="str">
        <f>'Buildings - Grid Electricity'!U248</f>
        <v/>
      </c>
      <c r="AE743" s="193" t="str">
        <f>'Buildings - Grid Electricity'!V248</f>
        <v/>
      </c>
      <c r="AF743" s="193" t="str">
        <f>'Buildings - Grid Electricity'!W248</f>
        <v/>
      </c>
      <c r="AG743" s="193" t="str">
        <f>'Buildings - Grid Electricity'!X248</f>
        <v/>
      </c>
      <c r="AI743" s="193">
        <f t="shared" si="12"/>
        <v>0</v>
      </c>
      <c r="AJ743" s="193">
        <f t="shared" si="13"/>
        <v>0</v>
      </c>
    </row>
    <row r="744" spans="2:36" x14ac:dyDescent="0.35">
      <c r="B744" s="193" t="e">
        <f>"2024"&amp;MATCH(Totals!D744,OrgType,0)&amp;"_"&amp;MATCH(Totals!E744,Organisations,0)&amp;"_"&amp;LEFT(Totals!F744,1)&amp;"_"&amp;LEFT(G744,1)&amp;"_"&amp;COUNTIF($G$3:G744,G744)</f>
        <v>#N/A</v>
      </c>
      <c r="C744" s="193">
        <v>2025</v>
      </c>
      <c r="D744" s="193">
        <f>Introduction!$D$7</f>
        <v>0</v>
      </c>
      <c r="E744" s="193">
        <f>Introduction!$D$8</f>
        <v>0</v>
      </c>
      <c r="F744" s="193" t="s">
        <v>488</v>
      </c>
      <c r="G744" s="193" t="s">
        <v>171</v>
      </c>
      <c r="H744" s="193">
        <f>'Buildings - Grid Electricity'!B249</f>
        <v>0</v>
      </c>
      <c r="I744" s="193">
        <f>'Buildings - Grid Electricity'!C249</f>
        <v>0</v>
      </c>
      <c r="J744" s="193" t="str">
        <f>'Buildings - Grid Electricity'!D249</f>
        <v/>
      </c>
      <c r="K744" s="237"/>
      <c r="L744" s="237"/>
      <c r="M744" s="193" t="str">
        <f>'Buildings - Grid Electricity'!E249</f>
        <v/>
      </c>
      <c r="N744" s="193" t="str">
        <f>'Buildings - Grid Electricity'!F249</f>
        <v/>
      </c>
      <c r="O744" s="237"/>
      <c r="P744" s="193">
        <f>'Buildings - Grid Electricity'!G249</f>
        <v>0</v>
      </c>
      <c r="Q744" s="193" t="str">
        <f>'Buildings - Grid Electricity'!H249</f>
        <v/>
      </c>
      <c r="R744" s="193">
        <f>'Buildings - Grid Electricity'!I249</f>
        <v>0</v>
      </c>
      <c r="S744" s="193" t="str">
        <f>'Buildings - Grid Electricity'!J249</f>
        <v/>
      </c>
      <c r="T744" s="193" t="str">
        <f>'Buildings - Grid Electricity'!K249</f>
        <v/>
      </c>
      <c r="U744" s="193" t="str">
        <f>'Buildings - Grid Electricity'!L249</f>
        <v/>
      </c>
      <c r="V744" s="193" t="str">
        <f>'Buildings - Grid Electricity'!M249</f>
        <v/>
      </c>
      <c r="W744" s="193" t="str">
        <f>'Buildings - Grid Electricity'!N249</f>
        <v/>
      </c>
      <c r="X744" s="193">
        <f>'Buildings - Grid Electricity'!O249</f>
        <v>0</v>
      </c>
      <c r="Y744" s="193">
        <f>'Buildings - Grid Electricity'!P249</f>
        <v>0</v>
      </c>
      <c r="Z744" s="193" t="str">
        <f>'Buildings - Grid Electricity'!Q249</f>
        <v/>
      </c>
      <c r="AA744" s="193" t="str">
        <f>'Buildings - Grid Electricity'!R249</f>
        <v/>
      </c>
      <c r="AB744" s="193" t="str">
        <f>'Buildings - Grid Electricity'!S249</f>
        <v/>
      </c>
      <c r="AC744" s="193" t="str">
        <f>'Buildings - Grid Electricity'!T249</f>
        <v/>
      </c>
      <c r="AD744" s="193" t="str">
        <f>'Buildings - Grid Electricity'!U249</f>
        <v/>
      </c>
      <c r="AE744" s="193" t="str">
        <f>'Buildings - Grid Electricity'!V249</f>
        <v/>
      </c>
      <c r="AF744" s="193" t="str">
        <f>'Buildings - Grid Electricity'!W249</f>
        <v/>
      </c>
      <c r="AG744" s="193" t="str">
        <f>'Buildings - Grid Electricity'!X249</f>
        <v/>
      </c>
      <c r="AI744" s="193">
        <f t="shared" si="12"/>
        <v>0</v>
      </c>
      <c r="AJ744" s="193">
        <f t="shared" si="13"/>
        <v>0</v>
      </c>
    </row>
    <row r="745" spans="2:36" x14ac:dyDescent="0.35">
      <c r="B745" s="193" t="e">
        <f>"2024"&amp;MATCH(Totals!D745,OrgType,0)&amp;"_"&amp;MATCH(Totals!E745,Organisations,0)&amp;"_"&amp;LEFT(Totals!F745,1)&amp;"_"&amp;LEFT(G745,1)&amp;"_"&amp;COUNTIF($G$3:G745,G745)</f>
        <v>#N/A</v>
      </c>
      <c r="C745" s="193">
        <v>2025</v>
      </c>
      <c r="D745" s="193">
        <f>Introduction!$D$7</f>
        <v>0</v>
      </c>
      <c r="E745" s="193">
        <f>Introduction!$D$8</f>
        <v>0</v>
      </c>
      <c r="F745" s="193" t="s">
        <v>488</v>
      </c>
      <c r="G745" s="193" t="s">
        <v>171</v>
      </c>
      <c r="H745" s="193">
        <f>'Buildings - Grid Electricity'!B250</f>
        <v>0</v>
      </c>
      <c r="I745" s="193">
        <f>'Buildings - Grid Electricity'!C250</f>
        <v>0</v>
      </c>
      <c r="J745" s="193" t="str">
        <f>'Buildings - Grid Electricity'!D250</f>
        <v/>
      </c>
      <c r="K745" s="237"/>
      <c r="L745" s="237"/>
      <c r="M745" s="193" t="str">
        <f>'Buildings - Grid Electricity'!E250</f>
        <v/>
      </c>
      <c r="N745" s="193" t="str">
        <f>'Buildings - Grid Electricity'!F250</f>
        <v/>
      </c>
      <c r="O745" s="237"/>
      <c r="P745" s="193">
        <f>'Buildings - Grid Electricity'!G250</f>
        <v>0</v>
      </c>
      <c r="Q745" s="193" t="str">
        <f>'Buildings - Grid Electricity'!H250</f>
        <v/>
      </c>
      <c r="R745" s="193">
        <f>'Buildings - Grid Electricity'!I250</f>
        <v>0</v>
      </c>
      <c r="S745" s="193" t="str">
        <f>'Buildings - Grid Electricity'!J250</f>
        <v/>
      </c>
      <c r="T745" s="193" t="str">
        <f>'Buildings - Grid Electricity'!K250</f>
        <v/>
      </c>
      <c r="U745" s="193" t="str">
        <f>'Buildings - Grid Electricity'!L250</f>
        <v/>
      </c>
      <c r="V745" s="193" t="str">
        <f>'Buildings - Grid Electricity'!M250</f>
        <v/>
      </c>
      <c r="W745" s="193" t="str">
        <f>'Buildings - Grid Electricity'!N250</f>
        <v/>
      </c>
      <c r="X745" s="193">
        <f>'Buildings - Grid Electricity'!O250</f>
        <v>0</v>
      </c>
      <c r="Y745" s="193">
        <f>'Buildings - Grid Electricity'!P250</f>
        <v>0</v>
      </c>
      <c r="Z745" s="193" t="str">
        <f>'Buildings - Grid Electricity'!Q250</f>
        <v/>
      </c>
      <c r="AA745" s="193" t="str">
        <f>'Buildings - Grid Electricity'!R250</f>
        <v/>
      </c>
      <c r="AB745" s="193" t="str">
        <f>'Buildings - Grid Electricity'!S250</f>
        <v/>
      </c>
      <c r="AC745" s="193" t="str">
        <f>'Buildings - Grid Electricity'!T250</f>
        <v/>
      </c>
      <c r="AD745" s="193" t="str">
        <f>'Buildings - Grid Electricity'!U250</f>
        <v/>
      </c>
      <c r="AE745" s="193" t="str">
        <f>'Buildings - Grid Electricity'!V250</f>
        <v/>
      </c>
      <c r="AF745" s="193" t="str">
        <f>'Buildings - Grid Electricity'!W250</f>
        <v/>
      </c>
      <c r="AG745" s="193" t="str">
        <f>'Buildings - Grid Electricity'!X250</f>
        <v/>
      </c>
      <c r="AI745" s="193">
        <f t="shared" si="12"/>
        <v>0</v>
      </c>
      <c r="AJ745" s="193">
        <f t="shared" si="13"/>
        <v>0</v>
      </c>
    </row>
    <row r="746" spans="2:36" x14ac:dyDescent="0.35">
      <c r="B746" s="193" t="e">
        <f>"2024"&amp;MATCH(Totals!D746,OrgType,0)&amp;"_"&amp;MATCH(Totals!E746,Organisations,0)&amp;"_"&amp;LEFT(Totals!F746,1)&amp;"_"&amp;LEFT(G746,1)&amp;"_"&amp;COUNTIF($G$3:G746,G746)</f>
        <v>#N/A</v>
      </c>
      <c r="C746" s="193">
        <v>2025</v>
      </c>
      <c r="D746" s="193">
        <f>Introduction!$D$7</f>
        <v>0</v>
      </c>
      <c r="E746" s="193">
        <f>Introduction!$D$8</f>
        <v>0</v>
      </c>
      <c r="F746" s="193" t="s">
        <v>488</v>
      </c>
      <c r="G746" s="193" t="s">
        <v>171</v>
      </c>
      <c r="H746" s="193">
        <f>'Buildings - Grid Electricity'!B251</f>
        <v>0</v>
      </c>
      <c r="I746" s="193">
        <f>'Buildings - Grid Electricity'!C251</f>
        <v>0</v>
      </c>
      <c r="J746" s="193" t="str">
        <f>'Buildings - Grid Electricity'!D251</f>
        <v/>
      </c>
      <c r="K746" s="237"/>
      <c r="L746" s="237"/>
      <c r="M746" s="193" t="str">
        <f>'Buildings - Grid Electricity'!E251</f>
        <v/>
      </c>
      <c r="N746" s="193" t="str">
        <f>'Buildings - Grid Electricity'!F251</f>
        <v/>
      </c>
      <c r="O746" s="237"/>
      <c r="P746" s="193">
        <f>'Buildings - Grid Electricity'!G251</f>
        <v>0</v>
      </c>
      <c r="Q746" s="193" t="str">
        <f>'Buildings - Grid Electricity'!H251</f>
        <v/>
      </c>
      <c r="R746" s="193">
        <f>'Buildings - Grid Electricity'!I251</f>
        <v>0</v>
      </c>
      <c r="S746" s="193" t="str">
        <f>'Buildings - Grid Electricity'!J251</f>
        <v/>
      </c>
      <c r="T746" s="193" t="str">
        <f>'Buildings - Grid Electricity'!K251</f>
        <v/>
      </c>
      <c r="U746" s="193" t="str">
        <f>'Buildings - Grid Electricity'!L251</f>
        <v/>
      </c>
      <c r="V746" s="193" t="str">
        <f>'Buildings - Grid Electricity'!M251</f>
        <v/>
      </c>
      <c r="W746" s="193" t="str">
        <f>'Buildings - Grid Electricity'!N251</f>
        <v/>
      </c>
      <c r="X746" s="193">
        <f>'Buildings - Grid Electricity'!O251</f>
        <v>0</v>
      </c>
      <c r="Y746" s="193">
        <f>'Buildings - Grid Electricity'!P251</f>
        <v>0</v>
      </c>
      <c r="Z746" s="193" t="str">
        <f>'Buildings - Grid Electricity'!Q251</f>
        <v/>
      </c>
      <c r="AA746" s="193" t="str">
        <f>'Buildings - Grid Electricity'!R251</f>
        <v/>
      </c>
      <c r="AB746" s="193" t="str">
        <f>'Buildings - Grid Electricity'!S251</f>
        <v/>
      </c>
      <c r="AC746" s="193" t="str">
        <f>'Buildings - Grid Electricity'!T251</f>
        <v/>
      </c>
      <c r="AD746" s="193" t="str">
        <f>'Buildings - Grid Electricity'!U251</f>
        <v/>
      </c>
      <c r="AE746" s="193" t="str">
        <f>'Buildings - Grid Electricity'!V251</f>
        <v/>
      </c>
      <c r="AF746" s="193" t="str">
        <f>'Buildings - Grid Electricity'!W251</f>
        <v/>
      </c>
      <c r="AG746" s="193" t="str">
        <f>'Buildings - Grid Electricity'!X251</f>
        <v/>
      </c>
      <c r="AI746" s="193">
        <f t="shared" si="12"/>
        <v>0</v>
      </c>
      <c r="AJ746" s="193">
        <f t="shared" si="13"/>
        <v>0</v>
      </c>
    </row>
    <row r="747" spans="2:36" x14ac:dyDescent="0.35">
      <c r="B747" s="193" t="e">
        <f>"2024"&amp;MATCH(Totals!D747,OrgType,0)&amp;"_"&amp;MATCH(Totals!E747,Organisations,0)&amp;"_"&amp;LEFT(Totals!F747,1)&amp;"_"&amp;LEFT(G747,1)&amp;"_"&amp;COUNTIF($G$3:G747,G747)</f>
        <v>#N/A</v>
      </c>
      <c r="C747" s="193">
        <v>2025</v>
      </c>
      <c r="D747" s="193">
        <f>Introduction!$D$7</f>
        <v>0</v>
      </c>
      <c r="E747" s="193">
        <f>Introduction!$D$8</f>
        <v>0</v>
      </c>
      <c r="F747" s="193" t="s">
        <v>488</v>
      </c>
      <c r="G747" s="193" t="s">
        <v>171</v>
      </c>
      <c r="H747" s="193">
        <f>'Buildings - Grid Electricity'!B252</f>
        <v>0</v>
      </c>
      <c r="I747" s="193">
        <f>'Buildings - Grid Electricity'!C252</f>
        <v>0</v>
      </c>
      <c r="J747" s="193" t="str">
        <f>'Buildings - Grid Electricity'!D252</f>
        <v/>
      </c>
      <c r="K747" s="237"/>
      <c r="L747" s="237"/>
      <c r="M747" s="193" t="str">
        <f>'Buildings - Grid Electricity'!E252</f>
        <v/>
      </c>
      <c r="N747" s="193" t="str">
        <f>'Buildings - Grid Electricity'!F252</f>
        <v/>
      </c>
      <c r="O747" s="237"/>
      <c r="P747" s="193">
        <f>'Buildings - Grid Electricity'!G252</f>
        <v>0</v>
      </c>
      <c r="Q747" s="193" t="str">
        <f>'Buildings - Grid Electricity'!H252</f>
        <v/>
      </c>
      <c r="R747" s="193">
        <f>'Buildings - Grid Electricity'!I252</f>
        <v>0</v>
      </c>
      <c r="S747" s="193" t="str">
        <f>'Buildings - Grid Electricity'!J252</f>
        <v/>
      </c>
      <c r="T747" s="193" t="str">
        <f>'Buildings - Grid Electricity'!K252</f>
        <v/>
      </c>
      <c r="U747" s="193" t="str">
        <f>'Buildings - Grid Electricity'!L252</f>
        <v/>
      </c>
      <c r="V747" s="193" t="str">
        <f>'Buildings - Grid Electricity'!M252</f>
        <v/>
      </c>
      <c r="W747" s="193" t="str">
        <f>'Buildings - Grid Electricity'!N252</f>
        <v/>
      </c>
      <c r="X747" s="193">
        <f>'Buildings - Grid Electricity'!O252</f>
        <v>0</v>
      </c>
      <c r="Y747" s="193">
        <f>'Buildings - Grid Electricity'!P252</f>
        <v>0</v>
      </c>
      <c r="Z747" s="193" t="str">
        <f>'Buildings - Grid Electricity'!Q252</f>
        <v/>
      </c>
      <c r="AA747" s="193" t="str">
        <f>'Buildings - Grid Electricity'!R252</f>
        <v/>
      </c>
      <c r="AB747" s="193" t="str">
        <f>'Buildings - Grid Electricity'!S252</f>
        <v/>
      </c>
      <c r="AC747" s="193" t="str">
        <f>'Buildings - Grid Electricity'!T252</f>
        <v/>
      </c>
      <c r="AD747" s="193" t="str">
        <f>'Buildings - Grid Electricity'!U252</f>
        <v/>
      </c>
      <c r="AE747" s="193" t="str">
        <f>'Buildings - Grid Electricity'!V252</f>
        <v/>
      </c>
      <c r="AF747" s="193" t="str">
        <f>'Buildings - Grid Electricity'!W252</f>
        <v/>
      </c>
      <c r="AG747" s="193" t="str">
        <f>'Buildings - Grid Electricity'!X252</f>
        <v/>
      </c>
      <c r="AI747" s="193">
        <f t="shared" si="12"/>
        <v>0</v>
      </c>
      <c r="AJ747" s="193">
        <f t="shared" si="13"/>
        <v>0</v>
      </c>
    </row>
    <row r="748" spans="2:36" x14ac:dyDescent="0.35">
      <c r="B748" s="193" t="e">
        <f>"2024"&amp;MATCH(Totals!D748,OrgType,0)&amp;"_"&amp;MATCH(Totals!E748,Organisations,0)&amp;"_"&amp;LEFT(Totals!F748,1)&amp;"_"&amp;LEFT(G748,1)&amp;"_"&amp;COUNTIF($G$3:G748,G748)</f>
        <v>#N/A</v>
      </c>
      <c r="C748" s="193">
        <v>2025</v>
      </c>
      <c r="D748" s="193">
        <f>Introduction!$D$7</f>
        <v>0</v>
      </c>
      <c r="E748" s="193">
        <f>Introduction!$D$8</f>
        <v>0</v>
      </c>
      <c r="F748" s="193" t="s">
        <v>488</v>
      </c>
      <c r="G748" s="193" t="s">
        <v>171</v>
      </c>
      <c r="H748" s="193">
        <f>'Buildings - Grid Electricity'!B253</f>
        <v>0</v>
      </c>
      <c r="I748" s="193">
        <f>'Buildings - Grid Electricity'!C253</f>
        <v>0</v>
      </c>
      <c r="J748" s="193" t="str">
        <f>'Buildings - Grid Electricity'!D253</f>
        <v/>
      </c>
      <c r="K748" s="237"/>
      <c r="L748" s="237"/>
      <c r="M748" s="193" t="str">
        <f>'Buildings - Grid Electricity'!E253</f>
        <v/>
      </c>
      <c r="N748" s="193" t="str">
        <f>'Buildings - Grid Electricity'!F253</f>
        <v/>
      </c>
      <c r="O748" s="237"/>
      <c r="P748" s="193">
        <f>'Buildings - Grid Electricity'!G253</f>
        <v>0</v>
      </c>
      <c r="Q748" s="193" t="str">
        <f>'Buildings - Grid Electricity'!H253</f>
        <v/>
      </c>
      <c r="R748" s="193">
        <f>'Buildings - Grid Electricity'!I253</f>
        <v>0</v>
      </c>
      <c r="S748" s="193" t="str">
        <f>'Buildings - Grid Electricity'!J253</f>
        <v/>
      </c>
      <c r="T748" s="193" t="str">
        <f>'Buildings - Grid Electricity'!K253</f>
        <v/>
      </c>
      <c r="U748" s="193" t="str">
        <f>'Buildings - Grid Electricity'!L253</f>
        <v/>
      </c>
      <c r="V748" s="193" t="str">
        <f>'Buildings - Grid Electricity'!M253</f>
        <v/>
      </c>
      <c r="W748" s="193" t="str">
        <f>'Buildings - Grid Electricity'!N253</f>
        <v/>
      </c>
      <c r="X748" s="193">
        <f>'Buildings - Grid Electricity'!O253</f>
        <v>0</v>
      </c>
      <c r="Y748" s="193">
        <f>'Buildings - Grid Electricity'!P253</f>
        <v>0</v>
      </c>
      <c r="Z748" s="193" t="str">
        <f>'Buildings - Grid Electricity'!Q253</f>
        <v/>
      </c>
      <c r="AA748" s="193" t="str">
        <f>'Buildings - Grid Electricity'!R253</f>
        <v/>
      </c>
      <c r="AB748" s="193" t="str">
        <f>'Buildings - Grid Electricity'!S253</f>
        <v/>
      </c>
      <c r="AC748" s="193" t="str">
        <f>'Buildings - Grid Electricity'!T253</f>
        <v/>
      </c>
      <c r="AD748" s="193" t="str">
        <f>'Buildings - Grid Electricity'!U253</f>
        <v/>
      </c>
      <c r="AE748" s="193" t="str">
        <f>'Buildings - Grid Electricity'!V253</f>
        <v/>
      </c>
      <c r="AF748" s="193" t="str">
        <f>'Buildings - Grid Electricity'!W253</f>
        <v/>
      </c>
      <c r="AG748" s="193" t="str">
        <f>'Buildings - Grid Electricity'!X253</f>
        <v/>
      </c>
      <c r="AI748" s="193">
        <f t="shared" si="12"/>
        <v>0</v>
      </c>
      <c r="AJ748" s="193">
        <f t="shared" si="13"/>
        <v>0</v>
      </c>
    </row>
    <row r="749" spans="2:36" x14ac:dyDescent="0.35">
      <c r="B749" s="193" t="e">
        <f>"2024"&amp;MATCH(Totals!D749,OrgType,0)&amp;"_"&amp;MATCH(Totals!E749,Organisations,0)&amp;"_"&amp;LEFT(Totals!F749,1)&amp;"_"&amp;LEFT(G749,1)&amp;"_"&amp;COUNTIF($G$3:G749,G749)</f>
        <v>#N/A</v>
      </c>
      <c r="C749" s="193">
        <v>2025</v>
      </c>
      <c r="D749" s="193">
        <f>Introduction!$D$7</f>
        <v>0</v>
      </c>
      <c r="E749" s="193">
        <f>Introduction!$D$8</f>
        <v>0</v>
      </c>
      <c r="F749" s="193" t="s">
        <v>488</v>
      </c>
      <c r="G749" s="193" t="s">
        <v>171</v>
      </c>
      <c r="H749" s="193">
        <f>'Buildings - Grid Electricity'!B254</f>
        <v>0</v>
      </c>
      <c r="I749" s="193">
        <f>'Buildings - Grid Electricity'!C254</f>
        <v>0</v>
      </c>
      <c r="J749" s="193" t="str">
        <f>'Buildings - Grid Electricity'!D254</f>
        <v/>
      </c>
      <c r="K749" s="237"/>
      <c r="L749" s="237"/>
      <c r="M749" s="193" t="str">
        <f>'Buildings - Grid Electricity'!E254</f>
        <v/>
      </c>
      <c r="N749" s="193" t="str">
        <f>'Buildings - Grid Electricity'!F254</f>
        <v/>
      </c>
      <c r="O749" s="237"/>
      <c r="P749" s="193">
        <f>'Buildings - Grid Electricity'!G254</f>
        <v>0</v>
      </c>
      <c r="Q749" s="193" t="str">
        <f>'Buildings - Grid Electricity'!H254</f>
        <v/>
      </c>
      <c r="R749" s="193">
        <f>'Buildings - Grid Electricity'!I254</f>
        <v>0</v>
      </c>
      <c r="S749" s="193" t="str">
        <f>'Buildings - Grid Electricity'!J254</f>
        <v/>
      </c>
      <c r="T749" s="193" t="str">
        <f>'Buildings - Grid Electricity'!K254</f>
        <v/>
      </c>
      <c r="U749" s="193" t="str">
        <f>'Buildings - Grid Electricity'!L254</f>
        <v/>
      </c>
      <c r="V749" s="193" t="str">
        <f>'Buildings - Grid Electricity'!M254</f>
        <v/>
      </c>
      <c r="W749" s="193" t="str">
        <f>'Buildings - Grid Electricity'!N254</f>
        <v/>
      </c>
      <c r="X749" s="193">
        <f>'Buildings - Grid Electricity'!O254</f>
        <v>0</v>
      </c>
      <c r="Y749" s="193">
        <f>'Buildings - Grid Electricity'!P254</f>
        <v>0</v>
      </c>
      <c r="Z749" s="193" t="str">
        <f>'Buildings - Grid Electricity'!Q254</f>
        <v/>
      </c>
      <c r="AA749" s="193" t="str">
        <f>'Buildings - Grid Electricity'!R254</f>
        <v/>
      </c>
      <c r="AB749" s="193" t="str">
        <f>'Buildings - Grid Electricity'!S254</f>
        <v/>
      </c>
      <c r="AC749" s="193" t="str">
        <f>'Buildings - Grid Electricity'!T254</f>
        <v/>
      </c>
      <c r="AD749" s="193" t="str">
        <f>'Buildings - Grid Electricity'!U254</f>
        <v/>
      </c>
      <c r="AE749" s="193" t="str">
        <f>'Buildings - Grid Electricity'!V254</f>
        <v/>
      </c>
      <c r="AF749" s="193" t="str">
        <f>'Buildings - Grid Electricity'!W254</f>
        <v/>
      </c>
      <c r="AG749" s="193" t="str">
        <f>'Buildings - Grid Electricity'!X254</f>
        <v/>
      </c>
      <c r="AI749" s="193">
        <f t="shared" si="12"/>
        <v>0</v>
      </c>
      <c r="AJ749" s="193">
        <f t="shared" si="13"/>
        <v>0</v>
      </c>
    </row>
    <row r="750" spans="2:36" x14ac:dyDescent="0.35">
      <c r="B750" s="193" t="e">
        <f>"2024"&amp;MATCH(Totals!D750,OrgType,0)&amp;"_"&amp;MATCH(Totals!E750,Organisations,0)&amp;"_"&amp;LEFT(Totals!F750,1)&amp;"_"&amp;LEFT(G750,1)&amp;"_"&amp;COUNTIF($G$3:G750,G750)</f>
        <v>#N/A</v>
      </c>
      <c r="C750" s="193">
        <v>2025</v>
      </c>
      <c r="D750" s="193">
        <f>Introduction!$D$7</f>
        <v>0</v>
      </c>
      <c r="E750" s="193">
        <f>Introduction!$D$8</f>
        <v>0</v>
      </c>
      <c r="F750" s="193" t="s">
        <v>488</v>
      </c>
      <c r="G750" s="193" t="s">
        <v>171</v>
      </c>
      <c r="H750" s="193">
        <f>'Buildings - Grid Electricity'!B255</f>
        <v>0</v>
      </c>
      <c r="I750" s="193">
        <f>'Buildings - Grid Electricity'!C255</f>
        <v>0</v>
      </c>
      <c r="J750" s="193" t="str">
        <f>'Buildings - Grid Electricity'!D255</f>
        <v/>
      </c>
      <c r="K750" s="237"/>
      <c r="L750" s="237"/>
      <c r="M750" s="193" t="str">
        <f>'Buildings - Grid Electricity'!E255</f>
        <v/>
      </c>
      <c r="N750" s="193" t="str">
        <f>'Buildings - Grid Electricity'!F255</f>
        <v/>
      </c>
      <c r="O750" s="237"/>
      <c r="P750" s="193">
        <f>'Buildings - Grid Electricity'!G255</f>
        <v>0</v>
      </c>
      <c r="Q750" s="193" t="str">
        <f>'Buildings - Grid Electricity'!H255</f>
        <v/>
      </c>
      <c r="R750" s="193">
        <f>'Buildings - Grid Electricity'!I255</f>
        <v>0</v>
      </c>
      <c r="S750" s="193" t="str">
        <f>'Buildings - Grid Electricity'!J255</f>
        <v/>
      </c>
      <c r="T750" s="193" t="str">
        <f>'Buildings - Grid Electricity'!K255</f>
        <v/>
      </c>
      <c r="U750" s="193" t="str">
        <f>'Buildings - Grid Electricity'!L255</f>
        <v/>
      </c>
      <c r="V750" s="193" t="str">
        <f>'Buildings - Grid Electricity'!M255</f>
        <v/>
      </c>
      <c r="W750" s="193" t="str">
        <f>'Buildings - Grid Electricity'!N255</f>
        <v/>
      </c>
      <c r="X750" s="193">
        <f>'Buildings - Grid Electricity'!O255</f>
        <v>0</v>
      </c>
      <c r="Y750" s="193">
        <f>'Buildings - Grid Electricity'!P255</f>
        <v>0</v>
      </c>
      <c r="Z750" s="193" t="str">
        <f>'Buildings - Grid Electricity'!Q255</f>
        <v/>
      </c>
      <c r="AA750" s="193" t="str">
        <f>'Buildings - Grid Electricity'!R255</f>
        <v/>
      </c>
      <c r="AB750" s="193" t="str">
        <f>'Buildings - Grid Electricity'!S255</f>
        <v/>
      </c>
      <c r="AC750" s="193" t="str">
        <f>'Buildings - Grid Electricity'!T255</f>
        <v/>
      </c>
      <c r="AD750" s="193" t="str">
        <f>'Buildings - Grid Electricity'!U255</f>
        <v/>
      </c>
      <c r="AE750" s="193" t="str">
        <f>'Buildings - Grid Electricity'!V255</f>
        <v/>
      </c>
      <c r="AF750" s="193" t="str">
        <f>'Buildings - Grid Electricity'!W255</f>
        <v/>
      </c>
      <c r="AG750" s="193" t="str">
        <f>'Buildings - Grid Electricity'!X255</f>
        <v/>
      </c>
      <c r="AI750" s="193">
        <f t="shared" si="12"/>
        <v>0</v>
      </c>
      <c r="AJ750" s="193">
        <f t="shared" si="13"/>
        <v>0</v>
      </c>
    </row>
    <row r="751" spans="2:36" x14ac:dyDescent="0.35">
      <c r="B751" s="193" t="e">
        <f>"2024"&amp;MATCH(Totals!D751,OrgType,0)&amp;"_"&amp;MATCH(Totals!E751,Organisations,0)&amp;"_"&amp;LEFT(Totals!F751,1)&amp;"_"&amp;LEFT(G751,1)&amp;"_"&amp;COUNTIF($G$3:G751,G751)</f>
        <v>#N/A</v>
      </c>
      <c r="C751" s="193">
        <v>2025</v>
      </c>
      <c r="D751" s="193">
        <f>Introduction!$D$7</f>
        <v>0</v>
      </c>
      <c r="E751" s="193">
        <f>Introduction!$D$8</f>
        <v>0</v>
      </c>
      <c r="F751" s="193" t="s">
        <v>488</v>
      </c>
      <c r="G751" s="193" t="s">
        <v>171</v>
      </c>
      <c r="H751" s="193">
        <f>'Buildings - Grid Electricity'!B256</f>
        <v>0</v>
      </c>
      <c r="I751" s="193">
        <f>'Buildings - Grid Electricity'!C256</f>
        <v>0</v>
      </c>
      <c r="J751" s="193" t="str">
        <f>'Buildings - Grid Electricity'!D256</f>
        <v/>
      </c>
      <c r="K751" s="237"/>
      <c r="L751" s="237"/>
      <c r="M751" s="193" t="str">
        <f>'Buildings - Grid Electricity'!E256</f>
        <v/>
      </c>
      <c r="N751" s="193" t="str">
        <f>'Buildings - Grid Electricity'!F256</f>
        <v/>
      </c>
      <c r="O751" s="237"/>
      <c r="P751" s="193">
        <f>'Buildings - Grid Electricity'!G256</f>
        <v>0</v>
      </c>
      <c r="Q751" s="193" t="str">
        <f>'Buildings - Grid Electricity'!H256</f>
        <v/>
      </c>
      <c r="R751" s="193">
        <f>'Buildings - Grid Electricity'!I256</f>
        <v>0</v>
      </c>
      <c r="S751" s="193" t="str">
        <f>'Buildings - Grid Electricity'!J256</f>
        <v/>
      </c>
      <c r="T751" s="193" t="str">
        <f>'Buildings - Grid Electricity'!K256</f>
        <v/>
      </c>
      <c r="U751" s="193" t="str">
        <f>'Buildings - Grid Electricity'!L256</f>
        <v/>
      </c>
      <c r="V751" s="193" t="str">
        <f>'Buildings - Grid Electricity'!M256</f>
        <v/>
      </c>
      <c r="W751" s="193" t="str">
        <f>'Buildings - Grid Electricity'!N256</f>
        <v/>
      </c>
      <c r="X751" s="193">
        <f>'Buildings - Grid Electricity'!O256</f>
        <v>0</v>
      </c>
      <c r="Y751" s="193">
        <f>'Buildings - Grid Electricity'!P256</f>
        <v>0</v>
      </c>
      <c r="Z751" s="193" t="str">
        <f>'Buildings - Grid Electricity'!Q256</f>
        <v/>
      </c>
      <c r="AA751" s="193" t="str">
        <f>'Buildings - Grid Electricity'!R256</f>
        <v/>
      </c>
      <c r="AB751" s="193" t="str">
        <f>'Buildings - Grid Electricity'!S256</f>
        <v/>
      </c>
      <c r="AC751" s="193" t="str">
        <f>'Buildings - Grid Electricity'!T256</f>
        <v/>
      </c>
      <c r="AD751" s="193" t="str">
        <f>'Buildings - Grid Electricity'!U256</f>
        <v/>
      </c>
      <c r="AE751" s="193" t="str">
        <f>'Buildings - Grid Electricity'!V256</f>
        <v/>
      </c>
      <c r="AF751" s="193" t="str">
        <f>'Buildings - Grid Electricity'!W256</f>
        <v/>
      </c>
      <c r="AG751" s="193" t="str">
        <f>'Buildings - Grid Electricity'!X256</f>
        <v/>
      </c>
      <c r="AI751" s="193">
        <f t="shared" si="12"/>
        <v>0</v>
      </c>
      <c r="AJ751" s="193">
        <f t="shared" si="13"/>
        <v>0</v>
      </c>
    </row>
    <row r="752" spans="2:36" x14ac:dyDescent="0.35">
      <c r="B752" s="193" t="e">
        <f>"2024"&amp;MATCH(Totals!D752,OrgType,0)&amp;"_"&amp;MATCH(Totals!E752,Organisations,0)&amp;"_"&amp;LEFT(Totals!F752,1)&amp;"_"&amp;LEFT(G752,1)&amp;"_"&amp;COUNTIF($G$3:G752,G752)</f>
        <v>#N/A</v>
      </c>
      <c r="C752" s="193">
        <v>2025</v>
      </c>
      <c r="D752" s="193">
        <f>Introduction!$D$7</f>
        <v>0</v>
      </c>
      <c r="E752" s="193">
        <f>Introduction!$D$8</f>
        <v>0</v>
      </c>
      <c r="F752" s="193" t="s">
        <v>488</v>
      </c>
      <c r="G752" s="193" t="s">
        <v>171</v>
      </c>
      <c r="H752" s="193">
        <f>'Buildings - Grid Electricity'!B257</f>
        <v>0</v>
      </c>
      <c r="I752" s="193">
        <f>'Buildings - Grid Electricity'!C257</f>
        <v>0</v>
      </c>
      <c r="J752" s="193" t="str">
        <f>'Buildings - Grid Electricity'!D257</f>
        <v/>
      </c>
      <c r="K752" s="237"/>
      <c r="L752" s="237"/>
      <c r="M752" s="193" t="str">
        <f>'Buildings - Grid Electricity'!E257</f>
        <v/>
      </c>
      <c r="N752" s="193" t="str">
        <f>'Buildings - Grid Electricity'!F257</f>
        <v/>
      </c>
      <c r="O752" s="237"/>
      <c r="P752" s="193">
        <f>'Buildings - Grid Electricity'!G257</f>
        <v>0</v>
      </c>
      <c r="Q752" s="193" t="str">
        <f>'Buildings - Grid Electricity'!H257</f>
        <v/>
      </c>
      <c r="R752" s="193">
        <f>'Buildings - Grid Electricity'!I257</f>
        <v>0</v>
      </c>
      <c r="S752" s="193" t="str">
        <f>'Buildings - Grid Electricity'!J257</f>
        <v/>
      </c>
      <c r="T752" s="193" t="str">
        <f>'Buildings - Grid Electricity'!K257</f>
        <v/>
      </c>
      <c r="U752" s="193" t="str">
        <f>'Buildings - Grid Electricity'!L257</f>
        <v/>
      </c>
      <c r="V752" s="193" t="str">
        <f>'Buildings - Grid Electricity'!M257</f>
        <v/>
      </c>
      <c r="W752" s="193" t="str">
        <f>'Buildings - Grid Electricity'!N257</f>
        <v/>
      </c>
      <c r="X752" s="193">
        <f>'Buildings - Grid Electricity'!O257</f>
        <v>0</v>
      </c>
      <c r="Y752" s="193">
        <f>'Buildings - Grid Electricity'!P257</f>
        <v>0</v>
      </c>
      <c r="Z752" s="193" t="str">
        <f>'Buildings - Grid Electricity'!Q257</f>
        <v/>
      </c>
      <c r="AA752" s="193" t="str">
        <f>'Buildings - Grid Electricity'!R257</f>
        <v/>
      </c>
      <c r="AB752" s="193" t="str">
        <f>'Buildings - Grid Electricity'!S257</f>
        <v/>
      </c>
      <c r="AC752" s="193" t="str">
        <f>'Buildings - Grid Electricity'!T257</f>
        <v/>
      </c>
      <c r="AD752" s="193" t="str">
        <f>'Buildings - Grid Electricity'!U257</f>
        <v/>
      </c>
      <c r="AE752" s="193" t="str">
        <f>'Buildings - Grid Electricity'!V257</f>
        <v/>
      </c>
      <c r="AF752" s="193" t="str">
        <f>'Buildings - Grid Electricity'!W257</f>
        <v/>
      </c>
      <c r="AG752" s="193" t="str">
        <f>'Buildings - Grid Electricity'!X257</f>
        <v/>
      </c>
      <c r="AI752" s="193">
        <f t="shared" si="12"/>
        <v>0</v>
      </c>
      <c r="AJ752" s="193">
        <f t="shared" si="13"/>
        <v>0</v>
      </c>
    </row>
    <row r="753" spans="2:36" x14ac:dyDescent="0.35">
      <c r="B753" s="193" t="e">
        <f>"2024"&amp;MATCH(Totals!D753,OrgType,0)&amp;"_"&amp;MATCH(Totals!E753,Organisations,0)&amp;"_"&amp;LEFT(Totals!F753,1)&amp;"_"&amp;LEFT(G753,1)&amp;"_"&amp;COUNTIF($G$3:G753,G753)</f>
        <v>#N/A</v>
      </c>
      <c r="C753" s="193">
        <v>2025</v>
      </c>
      <c r="D753" s="193">
        <f>Introduction!$D$7</f>
        <v>0</v>
      </c>
      <c r="E753" s="193">
        <f>Introduction!$D$8</f>
        <v>0</v>
      </c>
      <c r="F753" s="193" t="s">
        <v>488</v>
      </c>
      <c r="G753" s="193" t="s">
        <v>171</v>
      </c>
      <c r="H753" s="193">
        <f>'Buildings - Grid Electricity'!B258</f>
        <v>0</v>
      </c>
      <c r="I753" s="193">
        <f>'Buildings - Grid Electricity'!C258</f>
        <v>0</v>
      </c>
      <c r="J753" s="193" t="str">
        <f>'Buildings - Grid Electricity'!D258</f>
        <v/>
      </c>
      <c r="K753" s="237"/>
      <c r="L753" s="237"/>
      <c r="M753" s="193" t="str">
        <f>'Buildings - Grid Electricity'!E258</f>
        <v/>
      </c>
      <c r="N753" s="193" t="str">
        <f>'Buildings - Grid Electricity'!F258</f>
        <v/>
      </c>
      <c r="O753" s="237"/>
      <c r="P753" s="193">
        <f>'Buildings - Grid Electricity'!G258</f>
        <v>0</v>
      </c>
      <c r="Q753" s="193" t="str">
        <f>'Buildings - Grid Electricity'!H258</f>
        <v/>
      </c>
      <c r="R753" s="193">
        <f>'Buildings - Grid Electricity'!I258</f>
        <v>0</v>
      </c>
      <c r="S753" s="193" t="str">
        <f>'Buildings - Grid Electricity'!J258</f>
        <v/>
      </c>
      <c r="T753" s="193" t="str">
        <f>'Buildings - Grid Electricity'!K258</f>
        <v/>
      </c>
      <c r="U753" s="193" t="str">
        <f>'Buildings - Grid Electricity'!L258</f>
        <v/>
      </c>
      <c r="V753" s="193" t="str">
        <f>'Buildings - Grid Electricity'!M258</f>
        <v/>
      </c>
      <c r="W753" s="193" t="str">
        <f>'Buildings - Grid Electricity'!N258</f>
        <v/>
      </c>
      <c r="X753" s="193">
        <f>'Buildings - Grid Electricity'!O258</f>
        <v>0</v>
      </c>
      <c r="Y753" s="193">
        <f>'Buildings - Grid Electricity'!P258</f>
        <v>0</v>
      </c>
      <c r="Z753" s="193" t="str">
        <f>'Buildings - Grid Electricity'!Q258</f>
        <v/>
      </c>
      <c r="AA753" s="193" t="str">
        <f>'Buildings - Grid Electricity'!R258</f>
        <v/>
      </c>
      <c r="AB753" s="193" t="str">
        <f>'Buildings - Grid Electricity'!S258</f>
        <v/>
      </c>
      <c r="AC753" s="193" t="str">
        <f>'Buildings - Grid Electricity'!T258</f>
        <v/>
      </c>
      <c r="AD753" s="193" t="str">
        <f>'Buildings - Grid Electricity'!U258</f>
        <v/>
      </c>
      <c r="AE753" s="193" t="str">
        <f>'Buildings - Grid Electricity'!V258</f>
        <v/>
      </c>
      <c r="AF753" s="193" t="str">
        <f>'Buildings - Grid Electricity'!W258</f>
        <v/>
      </c>
      <c r="AG753" s="193" t="str">
        <f>'Buildings - Grid Electricity'!X258</f>
        <v/>
      </c>
      <c r="AI753" s="193">
        <f t="shared" si="12"/>
        <v>0</v>
      </c>
      <c r="AJ753" s="193">
        <f t="shared" si="13"/>
        <v>0</v>
      </c>
    </row>
    <row r="754" spans="2:36" x14ac:dyDescent="0.35">
      <c r="B754" s="193" t="e">
        <f>"2024"&amp;MATCH(Totals!D754,OrgType,0)&amp;"_"&amp;MATCH(Totals!E754,Organisations,0)&amp;"_"&amp;LEFT(Totals!F754,1)&amp;"_"&amp;LEFT(G754,1)&amp;"_"&amp;COUNTIF($G$3:G754,G754)</f>
        <v>#N/A</v>
      </c>
      <c r="C754" s="193">
        <v>2025</v>
      </c>
      <c r="D754" s="193">
        <f>Introduction!$D$7</f>
        <v>0</v>
      </c>
      <c r="E754" s="193">
        <f>Introduction!$D$8</f>
        <v>0</v>
      </c>
      <c r="F754" s="193" t="s">
        <v>488</v>
      </c>
      <c r="G754" s="193" t="s">
        <v>171</v>
      </c>
      <c r="H754" s="193">
        <f>'Buildings - Grid Electricity'!B259</f>
        <v>0</v>
      </c>
      <c r="I754" s="193">
        <f>'Buildings - Grid Electricity'!C259</f>
        <v>0</v>
      </c>
      <c r="J754" s="193" t="str">
        <f>'Buildings - Grid Electricity'!D259</f>
        <v/>
      </c>
      <c r="K754" s="237"/>
      <c r="L754" s="237"/>
      <c r="M754" s="193" t="str">
        <f>'Buildings - Grid Electricity'!E259</f>
        <v/>
      </c>
      <c r="N754" s="193" t="str">
        <f>'Buildings - Grid Electricity'!F259</f>
        <v/>
      </c>
      <c r="O754" s="237"/>
      <c r="P754" s="193">
        <f>'Buildings - Grid Electricity'!G259</f>
        <v>0</v>
      </c>
      <c r="Q754" s="193" t="str">
        <f>'Buildings - Grid Electricity'!H259</f>
        <v/>
      </c>
      <c r="R754" s="193">
        <f>'Buildings - Grid Electricity'!I259</f>
        <v>0</v>
      </c>
      <c r="S754" s="193" t="str">
        <f>'Buildings - Grid Electricity'!J259</f>
        <v/>
      </c>
      <c r="T754" s="193" t="str">
        <f>'Buildings - Grid Electricity'!K259</f>
        <v/>
      </c>
      <c r="U754" s="193" t="str">
        <f>'Buildings - Grid Electricity'!L259</f>
        <v/>
      </c>
      <c r="V754" s="193" t="str">
        <f>'Buildings - Grid Electricity'!M259</f>
        <v/>
      </c>
      <c r="W754" s="193" t="str">
        <f>'Buildings - Grid Electricity'!N259</f>
        <v/>
      </c>
      <c r="X754" s="193">
        <f>'Buildings - Grid Electricity'!O259</f>
        <v>0</v>
      </c>
      <c r="Y754" s="193">
        <f>'Buildings - Grid Electricity'!P259</f>
        <v>0</v>
      </c>
      <c r="Z754" s="193" t="str">
        <f>'Buildings - Grid Electricity'!Q259</f>
        <v/>
      </c>
      <c r="AA754" s="193" t="str">
        <f>'Buildings - Grid Electricity'!R259</f>
        <v/>
      </c>
      <c r="AB754" s="193" t="str">
        <f>'Buildings - Grid Electricity'!S259</f>
        <v/>
      </c>
      <c r="AC754" s="193" t="str">
        <f>'Buildings - Grid Electricity'!T259</f>
        <v/>
      </c>
      <c r="AD754" s="193" t="str">
        <f>'Buildings - Grid Electricity'!U259</f>
        <v/>
      </c>
      <c r="AE754" s="193" t="str">
        <f>'Buildings - Grid Electricity'!V259</f>
        <v/>
      </c>
      <c r="AF754" s="193" t="str">
        <f>'Buildings - Grid Electricity'!W259</f>
        <v/>
      </c>
      <c r="AG754" s="193" t="str">
        <f>'Buildings - Grid Electricity'!X259</f>
        <v/>
      </c>
      <c r="AI754" s="193">
        <f t="shared" si="12"/>
        <v>0</v>
      </c>
      <c r="AJ754" s="193">
        <f t="shared" si="13"/>
        <v>0</v>
      </c>
    </row>
    <row r="755" spans="2:36" x14ac:dyDescent="0.35">
      <c r="B755" s="193" t="e">
        <f>"2024"&amp;MATCH(Totals!D755,OrgType,0)&amp;"_"&amp;MATCH(Totals!E755,Organisations,0)&amp;"_"&amp;LEFT(Totals!F755,1)&amp;"_"&amp;LEFT(G755,1)&amp;"_"&amp;COUNTIF($G$3:G755,G755)</f>
        <v>#N/A</v>
      </c>
      <c r="C755" s="193">
        <v>2025</v>
      </c>
      <c r="D755" s="193">
        <f>Introduction!$D$7</f>
        <v>0</v>
      </c>
      <c r="E755" s="193">
        <f>Introduction!$D$8</f>
        <v>0</v>
      </c>
      <c r="F755" s="193" t="s">
        <v>488</v>
      </c>
      <c r="G755" s="193" t="s">
        <v>171</v>
      </c>
      <c r="H755" s="193">
        <f>'Buildings - Grid Electricity'!B260</f>
        <v>0</v>
      </c>
      <c r="I755" s="193">
        <f>'Buildings - Grid Electricity'!C260</f>
        <v>0</v>
      </c>
      <c r="J755" s="193" t="str">
        <f>'Buildings - Grid Electricity'!D260</f>
        <v/>
      </c>
      <c r="K755" s="237"/>
      <c r="L755" s="237"/>
      <c r="M755" s="193" t="str">
        <f>'Buildings - Grid Electricity'!E260</f>
        <v/>
      </c>
      <c r="N755" s="193" t="str">
        <f>'Buildings - Grid Electricity'!F260</f>
        <v/>
      </c>
      <c r="O755" s="237"/>
      <c r="P755" s="193">
        <f>'Buildings - Grid Electricity'!G260</f>
        <v>0</v>
      </c>
      <c r="Q755" s="193" t="str">
        <f>'Buildings - Grid Electricity'!H260</f>
        <v/>
      </c>
      <c r="R755" s="193">
        <f>'Buildings - Grid Electricity'!I260</f>
        <v>0</v>
      </c>
      <c r="S755" s="193" t="str">
        <f>'Buildings - Grid Electricity'!J260</f>
        <v/>
      </c>
      <c r="T755" s="193" t="str">
        <f>'Buildings - Grid Electricity'!K260</f>
        <v/>
      </c>
      <c r="U755" s="193" t="str">
        <f>'Buildings - Grid Electricity'!L260</f>
        <v/>
      </c>
      <c r="V755" s="193" t="str">
        <f>'Buildings - Grid Electricity'!M260</f>
        <v/>
      </c>
      <c r="W755" s="193" t="str">
        <f>'Buildings - Grid Electricity'!N260</f>
        <v/>
      </c>
      <c r="X755" s="193">
        <f>'Buildings - Grid Electricity'!O260</f>
        <v>0</v>
      </c>
      <c r="Y755" s="193">
        <f>'Buildings - Grid Electricity'!P260</f>
        <v>0</v>
      </c>
      <c r="Z755" s="193" t="str">
        <f>'Buildings - Grid Electricity'!Q260</f>
        <v/>
      </c>
      <c r="AA755" s="193" t="str">
        <f>'Buildings - Grid Electricity'!R260</f>
        <v/>
      </c>
      <c r="AB755" s="193" t="str">
        <f>'Buildings - Grid Electricity'!S260</f>
        <v/>
      </c>
      <c r="AC755" s="193" t="str">
        <f>'Buildings - Grid Electricity'!T260</f>
        <v/>
      </c>
      <c r="AD755" s="193" t="str">
        <f>'Buildings - Grid Electricity'!U260</f>
        <v/>
      </c>
      <c r="AE755" s="193" t="str">
        <f>'Buildings - Grid Electricity'!V260</f>
        <v/>
      </c>
      <c r="AF755" s="193" t="str">
        <f>'Buildings - Grid Electricity'!W260</f>
        <v/>
      </c>
      <c r="AG755" s="193" t="str">
        <f>'Buildings - Grid Electricity'!X260</f>
        <v/>
      </c>
      <c r="AI755" s="193">
        <f t="shared" si="12"/>
        <v>0</v>
      </c>
      <c r="AJ755" s="193">
        <f t="shared" si="13"/>
        <v>0</v>
      </c>
    </row>
    <row r="756" spans="2:36" x14ac:dyDescent="0.35">
      <c r="B756" s="193" t="e">
        <f>"2024"&amp;MATCH(Totals!D756,OrgType,0)&amp;"_"&amp;MATCH(Totals!E756,Organisations,0)&amp;"_"&amp;LEFT(Totals!F756,1)&amp;"_"&amp;LEFT(G756,1)&amp;"_"&amp;COUNTIF($G$3:G756,G756)</f>
        <v>#N/A</v>
      </c>
      <c r="C756" s="193">
        <v>2025</v>
      </c>
      <c r="D756" s="193">
        <f>Introduction!$D$7</f>
        <v>0</v>
      </c>
      <c r="E756" s="193">
        <f>Introduction!$D$8</f>
        <v>0</v>
      </c>
      <c r="F756" s="193" t="s">
        <v>488</v>
      </c>
      <c r="G756" s="193" t="s">
        <v>171</v>
      </c>
      <c r="H756" s="193">
        <f>'Buildings - Grid Electricity'!B261</f>
        <v>0</v>
      </c>
      <c r="I756" s="193">
        <f>'Buildings - Grid Electricity'!C261</f>
        <v>0</v>
      </c>
      <c r="J756" s="193" t="str">
        <f>'Buildings - Grid Electricity'!D261</f>
        <v/>
      </c>
      <c r="K756" s="237"/>
      <c r="L756" s="237"/>
      <c r="M756" s="193" t="str">
        <f>'Buildings - Grid Electricity'!E261</f>
        <v/>
      </c>
      <c r="N756" s="193" t="str">
        <f>'Buildings - Grid Electricity'!F261</f>
        <v/>
      </c>
      <c r="O756" s="237"/>
      <c r="P756" s="193">
        <f>'Buildings - Grid Electricity'!G261</f>
        <v>0</v>
      </c>
      <c r="Q756" s="193" t="str">
        <f>'Buildings - Grid Electricity'!H261</f>
        <v/>
      </c>
      <c r="R756" s="193">
        <f>'Buildings - Grid Electricity'!I261</f>
        <v>0</v>
      </c>
      <c r="S756" s="193" t="str">
        <f>'Buildings - Grid Electricity'!J261</f>
        <v/>
      </c>
      <c r="T756" s="193" t="str">
        <f>'Buildings - Grid Electricity'!K261</f>
        <v/>
      </c>
      <c r="U756" s="193" t="str">
        <f>'Buildings - Grid Electricity'!L261</f>
        <v/>
      </c>
      <c r="V756" s="193" t="str">
        <f>'Buildings - Grid Electricity'!M261</f>
        <v/>
      </c>
      <c r="W756" s="193" t="str">
        <f>'Buildings - Grid Electricity'!N261</f>
        <v/>
      </c>
      <c r="X756" s="193">
        <f>'Buildings - Grid Electricity'!O261</f>
        <v>0</v>
      </c>
      <c r="Y756" s="193">
        <f>'Buildings - Grid Electricity'!P261</f>
        <v>0</v>
      </c>
      <c r="Z756" s="193" t="str">
        <f>'Buildings - Grid Electricity'!Q261</f>
        <v/>
      </c>
      <c r="AA756" s="193" t="str">
        <f>'Buildings - Grid Electricity'!R261</f>
        <v/>
      </c>
      <c r="AB756" s="193" t="str">
        <f>'Buildings - Grid Electricity'!S261</f>
        <v/>
      </c>
      <c r="AC756" s="193" t="str">
        <f>'Buildings - Grid Electricity'!T261</f>
        <v/>
      </c>
      <c r="AD756" s="193" t="str">
        <f>'Buildings - Grid Electricity'!U261</f>
        <v/>
      </c>
      <c r="AE756" s="193" t="str">
        <f>'Buildings - Grid Electricity'!V261</f>
        <v/>
      </c>
      <c r="AF756" s="193" t="str">
        <f>'Buildings - Grid Electricity'!W261</f>
        <v/>
      </c>
      <c r="AG756" s="193" t="str">
        <f>'Buildings - Grid Electricity'!X261</f>
        <v/>
      </c>
      <c r="AI756" s="193">
        <f t="shared" si="12"/>
        <v>0</v>
      </c>
      <c r="AJ756" s="193">
        <f t="shared" si="13"/>
        <v>0</v>
      </c>
    </row>
    <row r="757" spans="2:36" x14ac:dyDescent="0.35">
      <c r="B757" s="193" t="e">
        <f>"2024"&amp;MATCH(Totals!D757,OrgType,0)&amp;"_"&amp;MATCH(Totals!E757,Organisations,0)&amp;"_"&amp;LEFT(Totals!F757,1)&amp;"_"&amp;LEFT(G757,1)&amp;"_"&amp;COUNTIF($G$3:G757,G757)</f>
        <v>#N/A</v>
      </c>
      <c r="C757" s="193">
        <v>2025</v>
      </c>
      <c r="D757" s="193">
        <f>Introduction!$D$7</f>
        <v>0</v>
      </c>
      <c r="E757" s="193">
        <f>Introduction!$D$8</f>
        <v>0</v>
      </c>
      <c r="F757" s="193" t="s">
        <v>488</v>
      </c>
      <c r="G757" s="193" t="s">
        <v>171</v>
      </c>
      <c r="H757" s="193">
        <f>'Buildings - Grid Electricity'!B262</f>
        <v>0</v>
      </c>
      <c r="I757" s="193">
        <f>'Buildings - Grid Electricity'!C262</f>
        <v>0</v>
      </c>
      <c r="J757" s="193" t="str">
        <f>'Buildings - Grid Electricity'!D262</f>
        <v/>
      </c>
      <c r="K757" s="237"/>
      <c r="L757" s="237"/>
      <c r="M757" s="193" t="str">
        <f>'Buildings - Grid Electricity'!E262</f>
        <v/>
      </c>
      <c r="N757" s="193" t="str">
        <f>'Buildings - Grid Electricity'!F262</f>
        <v/>
      </c>
      <c r="O757" s="237"/>
      <c r="P757" s="193">
        <f>'Buildings - Grid Electricity'!G262</f>
        <v>0</v>
      </c>
      <c r="Q757" s="193" t="str">
        <f>'Buildings - Grid Electricity'!H262</f>
        <v/>
      </c>
      <c r="R757" s="193">
        <f>'Buildings - Grid Electricity'!I262</f>
        <v>0</v>
      </c>
      <c r="S757" s="193" t="str">
        <f>'Buildings - Grid Electricity'!J262</f>
        <v/>
      </c>
      <c r="T757" s="193" t="str">
        <f>'Buildings - Grid Electricity'!K262</f>
        <v/>
      </c>
      <c r="U757" s="193" t="str">
        <f>'Buildings - Grid Electricity'!L262</f>
        <v/>
      </c>
      <c r="V757" s="193" t="str">
        <f>'Buildings - Grid Electricity'!M262</f>
        <v/>
      </c>
      <c r="W757" s="193" t="str">
        <f>'Buildings - Grid Electricity'!N262</f>
        <v/>
      </c>
      <c r="X757" s="193">
        <f>'Buildings - Grid Electricity'!O262</f>
        <v>0</v>
      </c>
      <c r="Y757" s="193">
        <f>'Buildings - Grid Electricity'!P262</f>
        <v>0</v>
      </c>
      <c r="Z757" s="193" t="str">
        <f>'Buildings - Grid Electricity'!Q262</f>
        <v/>
      </c>
      <c r="AA757" s="193" t="str">
        <f>'Buildings - Grid Electricity'!R262</f>
        <v/>
      </c>
      <c r="AB757" s="193" t="str">
        <f>'Buildings - Grid Electricity'!S262</f>
        <v/>
      </c>
      <c r="AC757" s="193" t="str">
        <f>'Buildings - Grid Electricity'!T262</f>
        <v/>
      </c>
      <c r="AD757" s="193" t="str">
        <f>'Buildings - Grid Electricity'!U262</f>
        <v/>
      </c>
      <c r="AE757" s="193" t="str">
        <f>'Buildings - Grid Electricity'!V262</f>
        <v/>
      </c>
      <c r="AF757" s="193" t="str">
        <f>'Buildings - Grid Electricity'!W262</f>
        <v/>
      </c>
      <c r="AG757" s="193" t="str">
        <f>'Buildings - Grid Electricity'!X262</f>
        <v/>
      </c>
      <c r="AI757" s="193">
        <f t="shared" si="12"/>
        <v>0</v>
      </c>
      <c r="AJ757" s="193">
        <f t="shared" si="13"/>
        <v>0</v>
      </c>
    </row>
    <row r="758" spans="2:36" x14ac:dyDescent="0.35">
      <c r="B758" s="193" t="e">
        <f>"2024"&amp;MATCH(Totals!D758,OrgType,0)&amp;"_"&amp;MATCH(Totals!E758,Organisations,0)&amp;"_"&amp;LEFT(Totals!F758,1)&amp;"_"&amp;LEFT(G758,1)&amp;"_"&amp;COUNTIF($G$3:G758,G758)</f>
        <v>#N/A</v>
      </c>
      <c r="C758" s="193">
        <v>2025</v>
      </c>
      <c r="D758" s="193">
        <f>Introduction!$D$7</f>
        <v>0</v>
      </c>
      <c r="E758" s="193">
        <f>Introduction!$D$8</f>
        <v>0</v>
      </c>
      <c r="F758" s="193" t="s">
        <v>488</v>
      </c>
      <c r="G758" s="193" t="s">
        <v>171</v>
      </c>
      <c r="H758" s="193">
        <f>'Buildings - Grid Electricity'!B263</f>
        <v>0</v>
      </c>
      <c r="I758" s="193">
        <f>'Buildings - Grid Electricity'!C263</f>
        <v>0</v>
      </c>
      <c r="J758" s="193" t="str">
        <f>'Buildings - Grid Electricity'!D263</f>
        <v/>
      </c>
      <c r="K758" s="237"/>
      <c r="L758" s="237"/>
      <c r="M758" s="193" t="str">
        <f>'Buildings - Grid Electricity'!E263</f>
        <v/>
      </c>
      <c r="N758" s="193" t="str">
        <f>'Buildings - Grid Electricity'!F263</f>
        <v/>
      </c>
      <c r="O758" s="237"/>
      <c r="P758" s="193">
        <f>'Buildings - Grid Electricity'!G263</f>
        <v>0</v>
      </c>
      <c r="Q758" s="193" t="str">
        <f>'Buildings - Grid Electricity'!H263</f>
        <v/>
      </c>
      <c r="R758" s="193">
        <f>'Buildings - Grid Electricity'!I263</f>
        <v>0</v>
      </c>
      <c r="S758" s="193" t="str">
        <f>'Buildings - Grid Electricity'!J263</f>
        <v/>
      </c>
      <c r="T758" s="193" t="str">
        <f>'Buildings - Grid Electricity'!K263</f>
        <v/>
      </c>
      <c r="U758" s="193" t="str">
        <f>'Buildings - Grid Electricity'!L263</f>
        <v/>
      </c>
      <c r="V758" s="193" t="str">
        <f>'Buildings - Grid Electricity'!M263</f>
        <v/>
      </c>
      <c r="W758" s="193" t="str">
        <f>'Buildings - Grid Electricity'!N263</f>
        <v/>
      </c>
      <c r="X758" s="193">
        <f>'Buildings - Grid Electricity'!O263</f>
        <v>0</v>
      </c>
      <c r="Y758" s="193">
        <f>'Buildings - Grid Electricity'!P263</f>
        <v>0</v>
      </c>
      <c r="Z758" s="193" t="str">
        <f>'Buildings - Grid Electricity'!Q263</f>
        <v/>
      </c>
      <c r="AA758" s="193" t="str">
        <f>'Buildings - Grid Electricity'!R263</f>
        <v/>
      </c>
      <c r="AB758" s="193" t="str">
        <f>'Buildings - Grid Electricity'!S263</f>
        <v/>
      </c>
      <c r="AC758" s="193" t="str">
        <f>'Buildings - Grid Electricity'!T263</f>
        <v/>
      </c>
      <c r="AD758" s="193" t="str">
        <f>'Buildings - Grid Electricity'!U263</f>
        <v/>
      </c>
      <c r="AE758" s="193" t="str">
        <f>'Buildings - Grid Electricity'!V263</f>
        <v/>
      </c>
      <c r="AF758" s="193" t="str">
        <f>'Buildings - Grid Electricity'!W263</f>
        <v/>
      </c>
      <c r="AG758" s="193" t="str">
        <f>'Buildings - Grid Electricity'!X263</f>
        <v/>
      </c>
      <c r="AI758" s="193">
        <f t="shared" si="12"/>
        <v>0</v>
      </c>
      <c r="AJ758" s="193">
        <f t="shared" si="13"/>
        <v>0</v>
      </c>
    </row>
    <row r="759" spans="2:36" x14ac:dyDescent="0.35">
      <c r="B759" s="193" t="e">
        <f>"2024"&amp;MATCH(Totals!D759,OrgType,0)&amp;"_"&amp;MATCH(Totals!E759,Organisations,0)&amp;"_"&amp;LEFT(Totals!F759,1)&amp;"_"&amp;LEFT(G759,1)&amp;"_"&amp;COUNTIF($G$3:G759,G759)</f>
        <v>#N/A</v>
      </c>
      <c r="C759" s="193">
        <v>2025</v>
      </c>
      <c r="D759" s="193">
        <f>Introduction!$D$7</f>
        <v>0</v>
      </c>
      <c r="E759" s="193">
        <f>Introduction!$D$8</f>
        <v>0</v>
      </c>
      <c r="F759" s="193" t="s">
        <v>488</v>
      </c>
      <c r="G759" s="193" t="s">
        <v>171</v>
      </c>
      <c r="H759" s="193">
        <f>'Buildings - Grid Electricity'!B264</f>
        <v>0</v>
      </c>
      <c r="I759" s="193">
        <f>'Buildings - Grid Electricity'!C264</f>
        <v>0</v>
      </c>
      <c r="J759" s="193" t="str">
        <f>'Buildings - Grid Electricity'!D264</f>
        <v/>
      </c>
      <c r="K759" s="237"/>
      <c r="L759" s="237"/>
      <c r="M759" s="193" t="str">
        <f>'Buildings - Grid Electricity'!E264</f>
        <v/>
      </c>
      <c r="N759" s="193" t="str">
        <f>'Buildings - Grid Electricity'!F264</f>
        <v/>
      </c>
      <c r="O759" s="237"/>
      <c r="P759" s="193">
        <f>'Buildings - Grid Electricity'!G264</f>
        <v>0</v>
      </c>
      <c r="Q759" s="193" t="str">
        <f>'Buildings - Grid Electricity'!H264</f>
        <v/>
      </c>
      <c r="R759" s="193">
        <f>'Buildings - Grid Electricity'!I264</f>
        <v>0</v>
      </c>
      <c r="S759" s="193" t="str">
        <f>'Buildings - Grid Electricity'!J264</f>
        <v/>
      </c>
      <c r="T759" s="193" t="str">
        <f>'Buildings - Grid Electricity'!K264</f>
        <v/>
      </c>
      <c r="U759" s="193" t="str">
        <f>'Buildings - Grid Electricity'!L264</f>
        <v/>
      </c>
      <c r="V759" s="193" t="str">
        <f>'Buildings - Grid Electricity'!M264</f>
        <v/>
      </c>
      <c r="W759" s="193" t="str">
        <f>'Buildings - Grid Electricity'!N264</f>
        <v/>
      </c>
      <c r="X759" s="193">
        <f>'Buildings - Grid Electricity'!O264</f>
        <v>0</v>
      </c>
      <c r="Y759" s="193">
        <f>'Buildings - Grid Electricity'!P264</f>
        <v>0</v>
      </c>
      <c r="Z759" s="193" t="str">
        <f>'Buildings - Grid Electricity'!Q264</f>
        <v/>
      </c>
      <c r="AA759" s="193" t="str">
        <f>'Buildings - Grid Electricity'!R264</f>
        <v/>
      </c>
      <c r="AB759" s="193" t="str">
        <f>'Buildings - Grid Electricity'!S264</f>
        <v/>
      </c>
      <c r="AC759" s="193" t="str">
        <f>'Buildings - Grid Electricity'!T264</f>
        <v/>
      </c>
      <c r="AD759" s="193" t="str">
        <f>'Buildings - Grid Electricity'!U264</f>
        <v/>
      </c>
      <c r="AE759" s="193" t="str">
        <f>'Buildings - Grid Electricity'!V264</f>
        <v/>
      </c>
      <c r="AF759" s="193" t="str">
        <f>'Buildings - Grid Electricity'!W264</f>
        <v/>
      </c>
      <c r="AG759" s="193" t="str">
        <f>'Buildings - Grid Electricity'!X264</f>
        <v/>
      </c>
      <c r="AI759" s="193">
        <f t="shared" si="12"/>
        <v>0</v>
      </c>
      <c r="AJ759" s="193">
        <f t="shared" si="13"/>
        <v>0</v>
      </c>
    </row>
    <row r="760" spans="2:36" x14ac:dyDescent="0.35">
      <c r="B760" s="193" t="e">
        <f>"2024"&amp;MATCH(Totals!D760,OrgType,0)&amp;"_"&amp;MATCH(Totals!E760,Organisations,0)&amp;"_"&amp;LEFT(Totals!F760,1)&amp;"_"&amp;LEFT(G760,1)&amp;"_"&amp;COUNTIF($G$3:G760,G760)</f>
        <v>#N/A</v>
      </c>
      <c r="C760" s="193">
        <v>2025</v>
      </c>
      <c r="D760" s="193">
        <f>Introduction!$D$7</f>
        <v>0</v>
      </c>
      <c r="E760" s="193">
        <f>Introduction!$D$8</f>
        <v>0</v>
      </c>
      <c r="F760" s="193" t="s">
        <v>488</v>
      </c>
      <c r="G760" s="193" t="s">
        <v>171</v>
      </c>
      <c r="H760" s="193">
        <f>'Buildings - Grid Electricity'!B265</f>
        <v>0</v>
      </c>
      <c r="I760" s="193">
        <f>'Buildings - Grid Electricity'!C265</f>
        <v>0</v>
      </c>
      <c r="J760" s="193" t="str">
        <f>'Buildings - Grid Electricity'!D265</f>
        <v/>
      </c>
      <c r="K760" s="237"/>
      <c r="L760" s="237"/>
      <c r="M760" s="193" t="str">
        <f>'Buildings - Grid Electricity'!E265</f>
        <v/>
      </c>
      <c r="N760" s="193" t="str">
        <f>'Buildings - Grid Electricity'!F265</f>
        <v/>
      </c>
      <c r="O760" s="237"/>
      <c r="P760" s="193">
        <f>'Buildings - Grid Electricity'!G265</f>
        <v>0</v>
      </c>
      <c r="Q760" s="193" t="str">
        <f>'Buildings - Grid Electricity'!H265</f>
        <v/>
      </c>
      <c r="R760" s="193">
        <f>'Buildings - Grid Electricity'!I265</f>
        <v>0</v>
      </c>
      <c r="S760" s="193" t="str">
        <f>'Buildings - Grid Electricity'!J265</f>
        <v/>
      </c>
      <c r="T760" s="193" t="str">
        <f>'Buildings - Grid Electricity'!K265</f>
        <v/>
      </c>
      <c r="U760" s="193" t="str">
        <f>'Buildings - Grid Electricity'!L265</f>
        <v/>
      </c>
      <c r="V760" s="193" t="str">
        <f>'Buildings - Grid Electricity'!M265</f>
        <v/>
      </c>
      <c r="W760" s="193" t="str">
        <f>'Buildings - Grid Electricity'!N265</f>
        <v/>
      </c>
      <c r="X760" s="193">
        <f>'Buildings - Grid Electricity'!O265</f>
        <v>0</v>
      </c>
      <c r="Y760" s="193">
        <f>'Buildings - Grid Electricity'!P265</f>
        <v>0</v>
      </c>
      <c r="Z760" s="193" t="str">
        <f>'Buildings - Grid Electricity'!Q265</f>
        <v/>
      </c>
      <c r="AA760" s="193" t="str">
        <f>'Buildings - Grid Electricity'!R265</f>
        <v/>
      </c>
      <c r="AB760" s="193" t="str">
        <f>'Buildings - Grid Electricity'!S265</f>
        <v/>
      </c>
      <c r="AC760" s="193" t="str">
        <f>'Buildings - Grid Electricity'!T265</f>
        <v/>
      </c>
      <c r="AD760" s="193" t="str">
        <f>'Buildings - Grid Electricity'!U265</f>
        <v/>
      </c>
      <c r="AE760" s="193" t="str">
        <f>'Buildings - Grid Electricity'!V265</f>
        <v/>
      </c>
      <c r="AF760" s="193" t="str">
        <f>'Buildings - Grid Electricity'!W265</f>
        <v/>
      </c>
      <c r="AG760" s="193" t="str">
        <f>'Buildings - Grid Electricity'!X265</f>
        <v/>
      </c>
      <c r="AI760" s="193">
        <f t="shared" si="12"/>
        <v>0</v>
      </c>
      <c r="AJ760" s="193">
        <f t="shared" si="13"/>
        <v>0</v>
      </c>
    </row>
    <row r="761" spans="2:36" x14ac:dyDescent="0.35">
      <c r="B761" s="193" t="e">
        <f>"2024"&amp;MATCH(Totals!D761,OrgType,0)&amp;"_"&amp;MATCH(Totals!E761,Organisations,0)&amp;"_"&amp;LEFT(Totals!F761,1)&amp;"_"&amp;LEFT(G761,1)&amp;"_"&amp;COUNTIF($G$3:G761,G761)</f>
        <v>#N/A</v>
      </c>
      <c r="C761" s="193">
        <v>2025</v>
      </c>
      <c r="D761" s="193">
        <f>Introduction!$D$7</f>
        <v>0</v>
      </c>
      <c r="E761" s="193">
        <f>Introduction!$D$8</f>
        <v>0</v>
      </c>
      <c r="F761" s="193" t="s">
        <v>488</v>
      </c>
      <c r="G761" s="193" t="s">
        <v>171</v>
      </c>
      <c r="H761" s="193">
        <f>'Buildings - Grid Electricity'!B266</f>
        <v>0</v>
      </c>
      <c r="I761" s="193">
        <f>'Buildings - Grid Electricity'!C266</f>
        <v>0</v>
      </c>
      <c r="J761" s="193" t="str">
        <f>'Buildings - Grid Electricity'!D266</f>
        <v/>
      </c>
      <c r="K761" s="237"/>
      <c r="L761" s="237"/>
      <c r="M761" s="193" t="str">
        <f>'Buildings - Grid Electricity'!E266</f>
        <v/>
      </c>
      <c r="N761" s="193" t="str">
        <f>'Buildings - Grid Electricity'!F266</f>
        <v/>
      </c>
      <c r="O761" s="237"/>
      <c r="P761" s="193">
        <f>'Buildings - Grid Electricity'!G266</f>
        <v>0</v>
      </c>
      <c r="Q761" s="193" t="str">
        <f>'Buildings - Grid Electricity'!H266</f>
        <v/>
      </c>
      <c r="R761" s="193">
        <f>'Buildings - Grid Electricity'!I266</f>
        <v>0</v>
      </c>
      <c r="S761" s="193" t="str">
        <f>'Buildings - Grid Electricity'!J266</f>
        <v/>
      </c>
      <c r="T761" s="193" t="str">
        <f>'Buildings - Grid Electricity'!K266</f>
        <v/>
      </c>
      <c r="U761" s="193" t="str">
        <f>'Buildings - Grid Electricity'!L266</f>
        <v/>
      </c>
      <c r="V761" s="193" t="str">
        <f>'Buildings - Grid Electricity'!M266</f>
        <v/>
      </c>
      <c r="W761" s="193" t="str">
        <f>'Buildings - Grid Electricity'!N266</f>
        <v/>
      </c>
      <c r="X761" s="193">
        <f>'Buildings - Grid Electricity'!O266</f>
        <v>0</v>
      </c>
      <c r="Y761" s="193">
        <f>'Buildings - Grid Electricity'!P266</f>
        <v>0</v>
      </c>
      <c r="Z761" s="193" t="str">
        <f>'Buildings - Grid Electricity'!Q266</f>
        <v/>
      </c>
      <c r="AA761" s="193" t="str">
        <f>'Buildings - Grid Electricity'!R266</f>
        <v/>
      </c>
      <c r="AB761" s="193" t="str">
        <f>'Buildings - Grid Electricity'!S266</f>
        <v/>
      </c>
      <c r="AC761" s="193" t="str">
        <f>'Buildings - Grid Electricity'!T266</f>
        <v/>
      </c>
      <c r="AD761" s="193" t="str">
        <f>'Buildings - Grid Electricity'!U266</f>
        <v/>
      </c>
      <c r="AE761" s="193" t="str">
        <f>'Buildings - Grid Electricity'!V266</f>
        <v/>
      </c>
      <c r="AF761" s="193" t="str">
        <f>'Buildings - Grid Electricity'!W266</f>
        <v/>
      </c>
      <c r="AG761" s="193" t="str">
        <f>'Buildings - Grid Electricity'!X266</f>
        <v/>
      </c>
      <c r="AI761" s="193">
        <f t="shared" si="12"/>
        <v>0</v>
      </c>
      <c r="AJ761" s="193">
        <f t="shared" si="13"/>
        <v>0</v>
      </c>
    </row>
    <row r="762" spans="2:36" x14ac:dyDescent="0.35">
      <c r="B762" s="193" t="e">
        <f>"2024"&amp;MATCH(Totals!D762,OrgType,0)&amp;"_"&amp;MATCH(Totals!E762,Organisations,0)&amp;"_"&amp;LEFT(Totals!F762,1)&amp;"_"&amp;LEFT(G762,1)&amp;"_"&amp;COUNTIF($G$3:G762,G762)</f>
        <v>#N/A</v>
      </c>
      <c r="C762" s="193">
        <v>2025</v>
      </c>
      <c r="D762" s="193">
        <f>Introduction!$D$7</f>
        <v>0</v>
      </c>
      <c r="E762" s="193">
        <f>Introduction!$D$8</f>
        <v>0</v>
      </c>
      <c r="F762" s="193" t="s">
        <v>488</v>
      </c>
      <c r="G762" s="193" t="s">
        <v>171</v>
      </c>
      <c r="H762" s="193">
        <f>'Buildings - Grid Electricity'!B267</f>
        <v>0</v>
      </c>
      <c r="I762" s="193">
        <f>'Buildings - Grid Electricity'!C267</f>
        <v>0</v>
      </c>
      <c r="J762" s="193" t="str">
        <f>'Buildings - Grid Electricity'!D267</f>
        <v/>
      </c>
      <c r="K762" s="237"/>
      <c r="L762" s="237"/>
      <c r="M762" s="193" t="str">
        <f>'Buildings - Grid Electricity'!E267</f>
        <v/>
      </c>
      <c r="N762" s="193" t="str">
        <f>'Buildings - Grid Electricity'!F267</f>
        <v/>
      </c>
      <c r="O762" s="237"/>
      <c r="P762" s="193">
        <f>'Buildings - Grid Electricity'!G267</f>
        <v>0</v>
      </c>
      <c r="Q762" s="193" t="str">
        <f>'Buildings - Grid Electricity'!H267</f>
        <v/>
      </c>
      <c r="R762" s="193">
        <f>'Buildings - Grid Electricity'!I267</f>
        <v>0</v>
      </c>
      <c r="S762" s="193" t="str">
        <f>'Buildings - Grid Electricity'!J267</f>
        <v/>
      </c>
      <c r="T762" s="193" t="str">
        <f>'Buildings - Grid Electricity'!K267</f>
        <v/>
      </c>
      <c r="U762" s="193" t="str">
        <f>'Buildings - Grid Electricity'!L267</f>
        <v/>
      </c>
      <c r="V762" s="193" t="str">
        <f>'Buildings - Grid Electricity'!M267</f>
        <v/>
      </c>
      <c r="W762" s="193" t="str">
        <f>'Buildings - Grid Electricity'!N267</f>
        <v/>
      </c>
      <c r="X762" s="193">
        <f>'Buildings - Grid Electricity'!O267</f>
        <v>0</v>
      </c>
      <c r="Y762" s="193">
        <f>'Buildings - Grid Electricity'!P267</f>
        <v>0</v>
      </c>
      <c r="Z762" s="193" t="str">
        <f>'Buildings - Grid Electricity'!Q267</f>
        <v/>
      </c>
      <c r="AA762" s="193" t="str">
        <f>'Buildings - Grid Electricity'!R267</f>
        <v/>
      </c>
      <c r="AB762" s="193" t="str">
        <f>'Buildings - Grid Electricity'!S267</f>
        <v/>
      </c>
      <c r="AC762" s="193" t="str">
        <f>'Buildings - Grid Electricity'!T267</f>
        <v/>
      </c>
      <c r="AD762" s="193" t="str">
        <f>'Buildings - Grid Electricity'!U267</f>
        <v/>
      </c>
      <c r="AE762" s="193" t="str">
        <f>'Buildings - Grid Electricity'!V267</f>
        <v/>
      </c>
      <c r="AF762" s="193" t="str">
        <f>'Buildings - Grid Electricity'!W267</f>
        <v/>
      </c>
      <c r="AG762" s="193" t="str">
        <f>'Buildings - Grid Electricity'!X267</f>
        <v/>
      </c>
      <c r="AI762" s="193">
        <f t="shared" si="12"/>
        <v>0</v>
      </c>
      <c r="AJ762" s="193">
        <f t="shared" si="13"/>
        <v>0</v>
      </c>
    </row>
    <row r="763" spans="2:36" x14ac:dyDescent="0.35">
      <c r="B763" s="193" t="e">
        <f>"2024"&amp;MATCH(Totals!D763,OrgType,0)&amp;"_"&amp;MATCH(Totals!E763,Organisations,0)&amp;"_"&amp;LEFT(Totals!F763,1)&amp;"_"&amp;LEFT(G763,1)&amp;"_"&amp;COUNTIF($G$3:G763,G763)</f>
        <v>#N/A</v>
      </c>
      <c r="C763" s="193">
        <v>2025</v>
      </c>
      <c r="D763" s="193">
        <f>Introduction!$D$7</f>
        <v>0</v>
      </c>
      <c r="E763" s="193">
        <f>Introduction!$D$8</f>
        <v>0</v>
      </c>
      <c r="F763" s="193" t="s">
        <v>488</v>
      </c>
      <c r="G763" s="193" t="s">
        <v>171</v>
      </c>
      <c r="H763" s="193">
        <f>'Buildings - Grid Electricity'!B268</f>
        <v>0</v>
      </c>
      <c r="I763" s="193">
        <f>'Buildings - Grid Electricity'!C268</f>
        <v>0</v>
      </c>
      <c r="J763" s="193" t="str">
        <f>'Buildings - Grid Electricity'!D268</f>
        <v/>
      </c>
      <c r="K763" s="237"/>
      <c r="L763" s="237"/>
      <c r="M763" s="193" t="str">
        <f>'Buildings - Grid Electricity'!E268</f>
        <v/>
      </c>
      <c r="N763" s="193" t="str">
        <f>'Buildings - Grid Electricity'!F268</f>
        <v/>
      </c>
      <c r="O763" s="237"/>
      <c r="P763" s="193">
        <f>'Buildings - Grid Electricity'!G268</f>
        <v>0</v>
      </c>
      <c r="Q763" s="193" t="str">
        <f>'Buildings - Grid Electricity'!H268</f>
        <v/>
      </c>
      <c r="R763" s="193">
        <f>'Buildings - Grid Electricity'!I268</f>
        <v>0</v>
      </c>
      <c r="S763" s="193" t="str">
        <f>'Buildings - Grid Electricity'!J268</f>
        <v/>
      </c>
      <c r="T763" s="193" t="str">
        <f>'Buildings - Grid Electricity'!K268</f>
        <v/>
      </c>
      <c r="U763" s="193" t="str">
        <f>'Buildings - Grid Electricity'!L268</f>
        <v/>
      </c>
      <c r="V763" s="193" t="str">
        <f>'Buildings - Grid Electricity'!M268</f>
        <v/>
      </c>
      <c r="W763" s="193" t="str">
        <f>'Buildings - Grid Electricity'!N268</f>
        <v/>
      </c>
      <c r="X763" s="193">
        <f>'Buildings - Grid Electricity'!O268</f>
        <v>0</v>
      </c>
      <c r="Y763" s="193">
        <f>'Buildings - Grid Electricity'!P268</f>
        <v>0</v>
      </c>
      <c r="Z763" s="193" t="str">
        <f>'Buildings - Grid Electricity'!Q268</f>
        <v/>
      </c>
      <c r="AA763" s="193" t="str">
        <f>'Buildings - Grid Electricity'!R268</f>
        <v/>
      </c>
      <c r="AB763" s="193" t="str">
        <f>'Buildings - Grid Electricity'!S268</f>
        <v/>
      </c>
      <c r="AC763" s="193" t="str">
        <f>'Buildings - Grid Electricity'!T268</f>
        <v/>
      </c>
      <c r="AD763" s="193" t="str">
        <f>'Buildings - Grid Electricity'!U268</f>
        <v/>
      </c>
      <c r="AE763" s="193" t="str">
        <f>'Buildings - Grid Electricity'!V268</f>
        <v/>
      </c>
      <c r="AF763" s="193" t="str">
        <f>'Buildings - Grid Electricity'!W268</f>
        <v/>
      </c>
      <c r="AG763" s="193" t="str">
        <f>'Buildings - Grid Electricity'!X268</f>
        <v/>
      </c>
      <c r="AI763" s="193">
        <f t="shared" si="12"/>
        <v>0</v>
      </c>
      <c r="AJ763" s="193">
        <f t="shared" si="13"/>
        <v>0</v>
      </c>
    </row>
    <row r="764" spans="2:36" x14ac:dyDescent="0.35">
      <c r="B764" s="193" t="e">
        <f>"2024"&amp;MATCH(Totals!D764,OrgType,0)&amp;"_"&amp;MATCH(Totals!E764,Organisations,0)&amp;"_"&amp;LEFT(Totals!F764,1)&amp;"_"&amp;LEFT(G764,1)&amp;"_"&amp;COUNTIF($G$3:G764,G764)</f>
        <v>#N/A</v>
      </c>
      <c r="C764" s="193">
        <v>2025</v>
      </c>
      <c r="D764" s="193">
        <f>Introduction!$D$7</f>
        <v>0</v>
      </c>
      <c r="E764" s="193">
        <f>Introduction!$D$8</f>
        <v>0</v>
      </c>
      <c r="F764" s="193" t="s">
        <v>488</v>
      </c>
      <c r="G764" s="193" t="s">
        <v>171</v>
      </c>
      <c r="H764" s="193">
        <f>'Buildings - Grid Electricity'!B269</f>
        <v>0</v>
      </c>
      <c r="I764" s="193">
        <f>'Buildings - Grid Electricity'!C269</f>
        <v>0</v>
      </c>
      <c r="J764" s="193" t="str">
        <f>'Buildings - Grid Electricity'!D269</f>
        <v/>
      </c>
      <c r="K764" s="237"/>
      <c r="L764" s="237"/>
      <c r="M764" s="193" t="str">
        <f>'Buildings - Grid Electricity'!E269</f>
        <v/>
      </c>
      <c r="N764" s="193" t="str">
        <f>'Buildings - Grid Electricity'!F269</f>
        <v/>
      </c>
      <c r="O764" s="237"/>
      <c r="P764" s="193">
        <f>'Buildings - Grid Electricity'!G269</f>
        <v>0</v>
      </c>
      <c r="Q764" s="193" t="str">
        <f>'Buildings - Grid Electricity'!H269</f>
        <v/>
      </c>
      <c r="R764" s="193">
        <f>'Buildings - Grid Electricity'!I269</f>
        <v>0</v>
      </c>
      <c r="S764" s="193" t="str">
        <f>'Buildings - Grid Electricity'!J269</f>
        <v/>
      </c>
      <c r="T764" s="193" t="str">
        <f>'Buildings - Grid Electricity'!K269</f>
        <v/>
      </c>
      <c r="U764" s="193" t="str">
        <f>'Buildings - Grid Electricity'!L269</f>
        <v/>
      </c>
      <c r="V764" s="193" t="str">
        <f>'Buildings - Grid Electricity'!M269</f>
        <v/>
      </c>
      <c r="W764" s="193" t="str">
        <f>'Buildings - Grid Electricity'!N269</f>
        <v/>
      </c>
      <c r="X764" s="193">
        <f>'Buildings - Grid Electricity'!O269</f>
        <v>0</v>
      </c>
      <c r="Y764" s="193">
        <f>'Buildings - Grid Electricity'!P269</f>
        <v>0</v>
      </c>
      <c r="Z764" s="193" t="str">
        <f>'Buildings - Grid Electricity'!Q269</f>
        <v/>
      </c>
      <c r="AA764" s="193" t="str">
        <f>'Buildings - Grid Electricity'!R269</f>
        <v/>
      </c>
      <c r="AB764" s="193" t="str">
        <f>'Buildings - Grid Electricity'!S269</f>
        <v/>
      </c>
      <c r="AC764" s="193" t="str">
        <f>'Buildings - Grid Electricity'!T269</f>
        <v/>
      </c>
      <c r="AD764" s="193" t="str">
        <f>'Buildings - Grid Electricity'!U269</f>
        <v/>
      </c>
      <c r="AE764" s="193" t="str">
        <f>'Buildings - Grid Electricity'!V269</f>
        <v/>
      </c>
      <c r="AF764" s="193" t="str">
        <f>'Buildings - Grid Electricity'!W269</f>
        <v/>
      </c>
      <c r="AG764" s="193" t="str">
        <f>'Buildings - Grid Electricity'!X269</f>
        <v/>
      </c>
      <c r="AI764" s="193">
        <f t="shared" si="12"/>
        <v>0</v>
      </c>
      <c r="AJ764" s="193">
        <f t="shared" si="13"/>
        <v>0</v>
      </c>
    </row>
    <row r="765" spans="2:36" x14ac:dyDescent="0.35">
      <c r="B765" s="193" t="e">
        <f>"2024"&amp;MATCH(Totals!D765,OrgType,0)&amp;"_"&amp;MATCH(Totals!E765,Organisations,0)&amp;"_"&amp;LEFT(Totals!F765,1)&amp;"_"&amp;LEFT(G765,1)&amp;"_"&amp;COUNTIF($G$3:G765,G765)</f>
        <v>#N/A</v>
      </c>
      <c r="C765" s="193">
        <v>2025</v>
      </c>
      <c r="D765" s="193">
        <f>Introduction!$D$7</f>
        <v>0</v>
      </c>
      <c r="E765" s="193">
        <f>Introduction!$D$8</f>
        <v>0</v>
      </c>
      <c r="F765" s="193" t="s">
        <v>488</v>
      </c>
      <c r="G765" s="193" t="s">
        <v>171</v>
      </c>
      <c r="H765" s="193">
        <f>'Buildings - Grid Electricity'!B270</f>
        <v>0</v>
      </c>
      <c r="I765" s="193">
        <f>'Buildings - Grid Electricity'!C270</f>
        <v>0</v>
      </c>
      <c r="J765" s="193" t="str">
        <f>'Buildings - Grid Electricity'!D270</f>
        <v/>
      </c>
      <c r="K765" s="237"/>
      <c r="L765" s="237"/>
      <c r="M765" s="193" t="str">
        <f>'Buildings - Grid Electricity'!E270</f>
        <v/>
      </c>
      <c r="N765" s="193" t="str">
        <f>'Buildings - Grid Electricity'!F270</f>
        <v/>
      </c>
      <c r="O765" s="237"/>
      <c r="P765" s="193">
        <f>'Buildings - Grid Electricity'!G270</f>
        <v>0</v>
      </c>
      <c r="Q765" s="193" t="str">
        <f>'Buildings - Grid Electricity'!H270</f>
        <v/>
      </c>
      <c r="R765" s="193">
        <f>'Buildings - Grid Electricity'!I270</f>
        <v>0</v>
      </c>
      <c r="S765" s="193" t="str">
        <f>'Buildings - Grid Electricity'!J270</f>
        <v/>
      </c>
      <c r="T765" s="193" t="str">
        <f>'Buildings - Grid Electricity'!K270</f>
        <v/>
      </c>
      <c r="U765" s="193" t="str">
        <f>'Buildings - Grid Electricity'!L270</f>
        <v/>
      </c>
      <c r="V765" s="193" t="str">
        <f>'Buildings - Grid Electricity'!M270</f>
        <v/>
      </c>
      <c r="W765" s="193" t="str">
        <f>'Buildings - Grid Electricity'!N270</f>
        <v/>
      </c>
      <c r="X765" s="193">
        <f>'Buildings - Grid Electricity'!O270</f>
        <v>0</v>
      </c>
      <c r="Y765" s="193">
        <f>'Buildings - Grid Electricity'!P270</f>
        <v>0</v>
      </c>
      <c r="Z765" s="193" t="str">
        <f>'Buildings - Grid Electricity'!Q270</f>
        <v/>
      </c>
      <c r="AA765" s="193" t="str">
        <f>'Buildings - Grid Electricity'!R270</f>
        <v/>
      </c>
      <c r="AB765" s="193" t="str">
        <f>'Buildings - Grid Electricity'!S270</f>
        <v/>
      </c>
      <c r="AC765" s="193" t="str">
        <f>'Buildings - Grid Electricity'!T270</f>
        <v/>
      </c>
      <c r="AD765" s="193" t="str">
        <f>'Buildings - Grid Electricity'!U270</f>
        <v/>
      </c>
      <c r="AE765" s="193" t="str">
        <f>'Buildings - Grid Electricity'!V270</f>
        <v/>
      </c>
      <c r="AF765" s="193" t="str">
        <f>'Buildings - Grid Electricity'!W270</f>
        <v/>
      </c>
      <c r="AG765" s="193" t="str">
        <f>'Buildings - Grid Electricity'!X270</f>
        <v/>
      </c>
      <c r="AI765" s="193">
        <f t="shared" si="12"/>
        <v>0</v>
      </c>
      <c r="AJ765" s="193">
        <f t="shared" si="13"/>
        <v>0</v>
      </c>
    </row>
    <row r="766" spans="2:36" x14ac:dyDescent="0.35">
      <c r="B766" s="193" t="e">
        <f>"2024"&amp;MATCH(Totals!D766,OrgType,0)&amp;"_"&amp;MATCH(Totals!E766,Organisations,0)&amp;"_"&amp;LEFT(Totals!F766,1)&amp;"_"&amp;LEFT(G766,1)&amp;"_"&amp;COUNTIF($G$3:G766,G766)</f>
        <v>#N/A</v>
      </c>
      <c r="C766" s="193">
        <v>2025</v>
      </c>
      <c r="D766" s="193">
        <f>Introduction!$D$7</f>
        <v>0</v>
      </c>
      <c r="E766" s="193">
        <f>Introduction!$D$8</f>
        <v>0</v>
      </c>
      <c r="F766" s="193" t="s">
        <v>488</v>
      </c>
      <c r="G766" s="193" t="s">
        <v>171</v>
      </c>
      <c r="H766" s="193">
        <f>'Buildings - Grid Electricity'!B271</f>
        <v>0</v>
      </c>
      <c r="I766" s="193">
        <f>'Buildings - Grid Electricity'!C271</f>
        <v>0</v>
      </c>
      <c r="J766" s="193" t="str">
        <f>'Buildings - Grid Electricity'!D271</f>
        <v/>
      </c>
      <c r="K766" s="237"/>
      <c r="L766" s="237"/>
      <c r="M766" s="193" t="str">
        <f>'Buildings - Grid Electricity'!E271</f>
        <v/>
      </c>
      <c r="N766" s="193" t="str">
        <f>'Buildings - Grid Electricity'!F271</f>
        <v/>
      </c>
      <c r="O766" s="237"/>
      <c r="P766" s="193">
        <f>'Buildings - Grid Electricity'!G271</f>
        <v>0</v>
      </c>
      <c r="Q766" s="193" t="str">
        <f>'Buildings - Grid Electricity'!H271</f>
        <v/>
      </c>
      <c r="R766" s="193">
        <f>'Buildings - Grid Electricity'!I271</f>
        <v>0</v>
      </c>
      <c r="S766" s="193" t="str">
        <f>'Buildings - Grid Electricity'!J271</f>
        <v/>
      </c>
      <c r="T766" s="193" t="str">
        <f>'Buildings - Grid Electricity'!K271</f>
        <v/>
      </c>
      <c r="U766" s="193" t="str">
        <f>'Buildings - Grid Electricity'!L271</f>
        <v/>
      </c>
      <c r="V766" s="193" t="str">
        <f>'Buildings - Grid Electricity'!M271</f>
        <v/>
      </c>
      <c r="W766" s="193" t="str">
        <f>'Buildings - Grid Electricity'!N271</f>
        <v/>
      </c>
      <c r="X766" s="193">
        <f>'Buildings - Grid Electricity'!O271</f>
        <v>0</v>
      </c>
      <c r="Y766" s="193">
        <f>'Buildings - Grid Electricity'!P271</f>
        <v>0</v>
      </c>
      <c r="Z766" s="193" t="str">
        <f>'Buildings - Grid Electricity'!Q271</f>
        <v/>
      </c>
      <c r="AA766" s="193" t="str">
        <f>'Buildings - Grid Electricity'!R271</f>
        <v/>
      </c>
      <c r="AB766" s="193" t="str">
        <f>'Buildings - Grid Electricity'!S271</f>
        <v/>
      </c>
      <c r="AC766" s="193" t="str">
        <f>'Buildings - Grid Electricity'!T271</f>
        <v/>
      </c>
      <c r="AD766" s="193" t="str">
        <f>'Buildings - Grid Electricity'!U271</f>
        <v/>
      </c>
      <c r="AE766" s="193" t="str">
        <f>'Buildings - Grid Electricity'!V271</f>
        <v/>
      </c>
      <c r="AF766" s="193" t="str">
        <f>'Buildings - Grid Electricity'!W271</f>
        <v/>
      </c>
      <c r="AG766" s="193" t="str">
        <f>'Buildings - Grid Electricity'!X271</f>
        <v/>
      </c>
      <c r="AI766" s="193">
        <f t="shared" si="12"/>
        <v>0</v>
      </c>
      <c r="AJ766" s="193">
        <f t="shared" si="13"/>
        <v>0</v>
      </c>
    </row>
    <row r="767" spans="2:36" x14ac:dyDescent="0.35">
      <c r="B767" s="193" t="e">
        <f>"2024"&amp;MATCH(Totals!D767,OrgType,0)&amp;"_"&amp;MATCH(Totals!E767,Organisations,0)&amp;"_"&amp;LEFT(Totals!F767,1)&amp;"_"&amp;LEFT(G767,1)&amp;"_"&amp;COUNTIF($G$3:G767,G767)</f>
        <v>#N/A</v>
      </c>
      <c r="C767" s="193">
        <v>2025</v>
      </c>
      <c r="D767" s="193">
        <f>Introduction!$D$7</f>
        <v>0</v>
      </c>
      <c r="E767" s="193">
        <f>Introduction!$D$8</f>
        <v>0</v>
      </c>
      <c r="F767" s="193" t="s">
        <v>488</v>
      </c>
      <c r="G767" s="193" t="s">
        <v>171</v>
      </c>
      <c r="H767" s="193">
        <f>'Buildings - Grid Electricity'!B272</f>
        <v>0</v>
      </c>
      <c r="I767" s="193">
        <f>'Buildings - Grid Electricity'!C272</f>
        <v>0</v>
      </c>
      <c r="J767" s="193" t="str">
        <f>'Buildings - Grid Electricity'!D272</f>
        <v/>
      </c>
      <c r="K767" s="237"/>
      <c r="L767" s="237"/>
      <c r="M767" s="193" t="str">
        <f>'Buildings - Grid Electricity'!E272</f>
        <v/>
      </c>
      <c r="N767" s="193" t="str">
        <f>'Buildings - Grid Electricity'!F272</f>
        <v/>
      </c>
      <c r="O767" s="237"/>
      <c r="P767" s="193">
        <f>'Buildings - Grid Electricity'!G272</f>
        <v>0</v>
      </c>
      <c r="Q767" s="193" t="str">
        <f>'Buildings - Grid Electricity'!H272</f>
        <v/>
      </c>
      <c r="R767" s="193">
        <f>'Buildings - Grid Electricity'!I272</f>
        <v>0</v>
      </c>
      <c r="S767" s="193" t="str">
        <f>'Buildings - Grid Electricity'!J272</f>
        <v/>
      </c>
      <c r="T767" s="193" t="str">
        <f>'Buildings - Grid Electricity'!K272</f>
        <v/>
      </c>
      <c r="U767" s="193" t="str">
        <f>'Buildings - Grid Electricity'!L272</f>
        <v/>
      </c>
      <c r="V767" s="193" t="str">
        <f>'Buildings - Grid Electricity'!M272</f>
        <v/>
      </c>
      <c r="W767" s="193" t="str">
        <f>'Buildings - Grid Electricity'!N272</f>
        <v/>
      </c>
      <c r="X767" s="193">
        <f>'Buildings - Grid Electricity'!O272</f>
        <v>0</v>
      </c>
      <c r="Y767" s="193">
        <f>'Buildings - Grid Electricity'!P272</f>
        <v>0</v>
      </c>
      <c r="Z767" s="193" t="str">
        <f>'Buildings - Grid Electricity'!Q272</f>
        <v/>
      </c>
      <c r="AA767" s="193" t="str">
        <f>'Buildings - Grid Electricity'!R272</f>
        <v/>
      </c>
      <c r="AB767" s="193" t="str">
        <f>'Buildings - Grid Electricity'!S272</f>
        <v/>
      </c>
      <c r="AC767" s="193" t="str">
        <f>'Buildings - Grid Electricity'!T272</f>
        <v/>
      </c>
      <c r="AD767" s="193" t="str">
        <f>'Buildings - Grid Electricity'!U272</f>
        <v/>
      </c>
      <c r="AE767" s="193" t="str">
        <f>'Buildings - Grid Electricity'!V272</f>
        <v/>
      </c>
      <c r="AF767" s="193" t="str">
        <f>'Buildings - Grid Electricity'!W272</f>
        <v/>
      </c>
      <c r="AG767" s="193" t="str">
        <f>'Buildings - Grid Electricity'!X272</f>
        <v/>
      </c>
      <c r="AI767" s="193">
        <f t="shared" si="12"/>
        <v>0</v>
      </c>
      <c r="AJ767" s="193">
        <f t="shared" si="13"/>
        <v>0</v>
      </c>
    </row>
    <row r="768" spans="2:36" x14ac:dyDescent="0.35">
      <c r="B768" s="193" t="e">
        <f>"2024"&amp;MATCH(Totals!D768,OrgType,0)&amp;"_"&amp;MATCH(Totals!E768,Organisations,0)&amp;"_"&amp;LEFT(Totals!F768,1)&amp;"_"&amp;LEFT(G768,1)&amp;"_"&amp;COUNTIF($G$3:G768,G768)</f>
        <v>#N/A</v>
      </c>
      <c r="C768" s="193">
        <v>2025</v>
      </c>
      <c r="D768" s="193">
        <f>Introduction!$D$7</f>
        <v>0</v>
      </c>
      <c r="E768" s="193">
        <f>Introduction!$D$8</f>
        <v>0</v>
      </c>
      <c r="F768" s="193" t="s">
        <v>488</v>
      </c>
      <c r="G768" s="193" t="s">
        <v>171</v>
      </c>
      <c r="H768" s="193">
        <f>'Buildings - Grid Electricity'!B273</f>
        <v>0</v>
      </c>
      <c r="I768" s="193">
        <f>'Buildings - Grid Electricity'!C273</f>
        <v>0</v>
      </c>
      <c r="J768" s="193" t="str">
        <f>'Buildings - Grid Electricity'!D273</f>
        <v/>
      </c>
      <c r="K768" s="237"/>
      <c r="L768" s="237"/>
      <c r="M768" s="193" t="str">
        <f>'Buildings - Grid Electricity'!E273</f>
        <v/>
      </c>
      <c r="N768" s="193" t="str">
        <f>'Buildings - Grid Electricity'!F273</f>
        <v/>
      </c>
      <c r="O768" s="237"/>
      <c r="P768" s="193">
        <f>'Buildings - Grid Electricity'!G273</f>
        <v>0</v>
      </c>
      <c r="Q768" s="193" t="str">
        <f>'Buildings - Grid Electricity'!H273</f>
        <v/>
      </c>
      <c r="R768" s="193">
        <f>'Buildings - Grid Electricity'!I273</f>
        <v>0</v>
      </c>
      <c r="S768" s="193" t="str">
        <f>'Buildings - Grid Electricity'!J273</f>
        <v/>
      </c>
      <c r="T768" s="193" t="str">
        <f>'Buildings - Grid Electricity'!K273</f>
        <v/>
      </c>
      <c r="U768" s="193" t="str">
        <f>'Buildings - Grid Electricity'!L273</f>
        <v/>
      </c>
      <c r="V768" s="193" t="str">
        <f>'Buildings - Grid Electricity'!M273</f>
        <v/>
      </c>
      <c r="W768" s="193" t="str">
        <f>'Buildings - Grid Electricity'!N273</f>
        <v/>
      </c>
      <c r="X768" s="193">
        <f>'Buildings - Grid Electricity'!O273</f>
        <v>0</v>
      </c>
      <c r="Y768" s="193">
        <f>'Buildings - Grid Electricity'!P273</f>
        <v>0</v>
      </c>
      <c r="Z768" s="193" t="str">
        <f>'Buildings - Grid Electricity'!Q273</f>
        <v/>
      </c>
      <c r="AA768" s="193" t="str">
        <f>'Buildings - Grid Electricity'!R273</f>
        <v/>
      </c>
      <c r="AB768" s="193" t="str">
        <f>'Buildings - Grid Electricity'!S273</f>
        <v/>
      </c>
      <c r="AC768" s="193" t="str">
        <f>'Buildings - Grid Electricity'!T273</f>
        <v/>
      </c>
      <c r="AD768" s="193" t="str">
        <f>'Buildings - Grid Electricity'!U273</f>
        <v/>
      </c>
      <c r="AE768" s="193" t="str">
        <f>'Buildings - Grid Electricity'!V273</f>
        <v/>
      </c>
      <c r="AF768" s="193" t="str">
        <f>'Buildings - Grid Electricity'!W273</f>
        <v/>
      </c>
      <c r="AG768" s="193" t="str">
        <f>'Buildings - Grid Electricity'!X273</f>
        <v/>
      </c>
      <c r="AI768" s="193">
        <f t="shared" si="12"/>
        <v>0</v>
      </c>
      <c r="AJ768" s="193">
        <f t="shared" si="13"/>
        <v>0</v>
      </c>
    </row>
    <row r="769" spans="2:36" x14ac:dyDescent="0.35">
      <c r="B769" s="193" t="e">
        <f>"2024"&amp;MATCH(Totals!D769,OrgType,0)&amp;"_"&amp;MATCH(Totals!E769,Organisations,0)&amp;"_"&amp;LEFT(Totals!F769,1)&amp;"_"&amp;LEFT(G769,1)&amp;"_"&amp;COUNTIF($G$3:G769,G769)</f>
        <v>#N/A</v>
      </c>
      <c r="C769" s="193">
        <v>2025</v>
      </c>
      <c r="D769" s="193">
        <f>Introduction!$D$7</f>
        <v>0</v>
      </c>
      <c r="E769" s="193">
        <f>Introduction!$D$8</f>
        <v>0</v>
      </c>
      <c r="F769" s="193" t="s">
        <v>488</v>
      </c>
      <c r="G769" s="193" t="s">
        <v>171</v>
      </c>
      <c r="H769" s="193">
        <f>'Buildings - Grid Electricity'!B274</f>
        <v>0</v>
      </c>
      <c r="I769" s="193">
        <f>'Buildings - Grid Electricity'!C274</f>
        <v>0</v>
      </c>
      <c r="J769" s="193" t="str">
        <f>'Buildings - Grid Electricity'!D274</f>
        <v/>
      </c>
      <c r="K769" s="237"/>
      <c r="L769" s="237"/>
      <c r="M769" s="193" t="str">
        <f>'Buildings - Grid Electricity'!E274</f>
        <v/>
      </c>
      <c r="N769" s="193" t="str">
        <f>'Buildings - Grid Electricity'!F274</f>
        <v/>
      </c>
      <c r="O769" s="237"/>
      <c r="P769" s="193">
        <f>'Buildings - Grid Electricity'!G274</f>
        <v>0</v>
      </c>
      <c r="Q769" s="193" t="str">
        <f>'Buildings - Grid Electricity'!H274</f>
        <v/>
      </c>
      <c r="R769" s="193">
        <f>'Buildings - Grid Electricity'!I274</f>
        <v>0</v>
      </c>
      <c r="S769" s="193" t="str">
        <f>'Buildings - Grid Electricity'!J274</f>
        <v/>
      </c>
      <c r="T769" s="193" t="str">
        <f>'Buildings - Grid Electricity'!K274</f>
        <v/>
      </c>
      <c r="U769" s="193" t="str">
        <f>'Buildings - Grid Electricity'!L274</f>
        <v/>
      </c>
      <c r="V769" s="193" t="str">
        <f>'Buildings - Grid Electricity'!M274</f>
        <v/>
      </c>
      <c r="W769" s="193" t="str">
        <f>'Buildings - Grid Electricity'!N274</f>
        <v/>
      </c>
      <c r="X769" s="193">
        <f>'Buildings - Grid Electricity'!O274</f>
        <v>0</v>
      </c>
      <c r="Y769" s="193">
        <f>'Buildings - Grid Electricity'!P274</f>
        <v>0</v>
      </c>
      <c r="Z769" s="193" t="str">
        <f>'Buildings - Grid Electricity'!Q274</f>
        <v/>
      </c>
      <c r="AA769" s="193" t="str">
        <f>'Buildings - Grid Electricity'!R274</f>
        <v/>
      </c>
      <c r="AB769" s="193" t="str">
        <f>'Buildings - Grid Electricity'!S274</f>
        <v/>
      </c>
      <c r="AC769" s="193" t="str">
        <f>'Buildings - Grid Electricity'!T274</f>
        <v/>
      </c>
      <c r="AD769" s="193" t="str">
        <f>'Buildings - Grid Electricity'!U274</f>
        <v/>
      </c>
      <c r="AE769" s="193" t="str">
        <f>'Buildings - Grid Electricity'!V274</f>
        <v/>
      </c>
      <c r="AF769" s="193" t="str">
        <f>'Buildings - Grid Electricity'!W274</f>
        <v/>
      </c>
      <c r="AG769" s="193" t="str">
        <f>'Buildings - Grid Electricity'!X274</f>
        <v/>
      </c>
      <c r="AI769" s="193">
        <f t="shared" si="12"/>
        <v>0</v>
      </c>
      <c r="AJ769" s="193">
        <f t="shared" si="13"/>
        <v>0</v>
      </c>
    </row>
    <row r="770" spans="2:36" x14ac:dyDescent="0.35">
      <c r="B770" s="193" t="e">
        <f>"2024"&amp;MATCH(Totals!D770,OrgType,0)&amp;"_"&amp;MATCH(Totals!E770,Organisations,0)&amp;"_"&amp;LEFT(Totals!F770,1)&amp;"_"&amp;LEFT(G770,1)&amp;"_"&amp;COUNTIF($G$3:G770,G770)</f>
        <v>#N/A</v>
      </c>
      <c r="C770" s="193">
        <v>2025</v>
      </c>
      <c r="D770" s="193">
        <f>Introduction!$D$7</f>
        <v>0</v>
      </c>
      <c r="E770" s="193">
        <f>Introduction!$D$8</f>
        <v>0</v>
      </c>
      <c r="F770" s="193" t="s">
        <v>488</v>
      </c>
      <c r="G770" s="193" t="s">
        <v>171</v>
      </c>
      <c r="H770" s="193">
        <f>'Buildings - Grid Electricity'!B275</f>
        <v>0</v>
      </c>
      <c r="I770" s="193">
        <f>'Buildings - Grid Electricity'!C275</f>
        <v>0</v>
      </c>
      <c r="J770" s="193" t="str">
        <f>'Buildings - Grid Electricity'!D275</f>
        <v/>
      </c>
      <c r="K770" s="237"/>
      <c r="L770" s="237"/>
      <c r="M770" s="193" t="str">
        <f>'Buildings - Grid Electricity'!E275</f>
        <v/>
      </c>
      <c r="N770" s="193" t="str">
        <f>'Buildings - Grid Electricity'!F275</f>
        <v/>
      </c>
      <c r="O770" s="237"/>
      <c r="P770" s="193">
        <f>'Buildings - Grid Electricity'!G275</f>
        <v>0</v>
      </c>
      <c r="Q770" s="193" t="str">
        <f>'Buildings - Grid Electricity'!H275</f>
        <v/>
      </c>
      <c r="R770" s="193">
        <f>'Buildings - Grid Electricity'!I275</f>
        <v>0</v>
      </c>
      <c r="S770" s="193" t="str">
        <f>'Buildings - Grid Electricity'!J275</f>
        <v/>
      </c>
      <c r="T770" s="193" t="str">
        <f>'Buildings - Grid Electricity'!K275</f>
        <v/>
      </c>
      <c r="U770" s="193" t="str">
        <f>'Buildings - Grid Electricity'!L275</f>
        <v/>
      </c>
      <c r="V770" s="193" t="str">
        <f>'Buildings - Grid Electricity'!M275</f>
        <v/>
      </c>
      <c r="W770" s="193" t="str">
        <f>'Buildings - Grid Electricity'!N275</f>
        <v/>
      </c>
      <c r="X770" s="193">
        <f>'Buildings - Grid Electricity'!O275</f>
        <v>0</v>
      </c>
      <c r="Y770" s="193">
        <f>'Buildings - Grid Electricity'!P275</f>
        <v>0</v>
      </c>
      <c r="Z770" s="193" t="str">
        <f>'Buildings - Grid Electricity'!Q275</f>
        <v/>
      </c>
      <c r="AA770" s="193" t="str">
        <f>'Buildings - Grid Electricity'!R275</f>
        <v/>
      </c>
      <c r="AB770" s="193" t="str">
        <f>'Buildings - Grid Electricity'!S275</f>
        <v/>
      </c>
      <c r="AC770" s="193" t="str">
        <f>'Buildings - Grid Electricity'!T275</f>
        <v/>
      </c>
      <c r="AD770" s="193" t="str">
        <f>'Buildings - Grid Electricity'!U275</f>
        <v/>
      </c>
      <c r="AE770" s="193" t="str">
        <f>'Buildings - Grid Electricity'!V275</f>
        <v/>
      </c>
      <c r="AF770" s="193" t="str">
        <f>'Buildings - Grid Electricity'!W275</f>
        <v/>
      </c>
      <c r="AG770" s="193" t="str">
        <f>'Buildings - Grid Electricity'!X275</f>
        <v/>
      </c>
      <c r="AI770" s="193">
        <f t="shared" si="12"/>
        <v>0</v>
      </c>
      <c r="AJ770" s="193">
        <f t="shared" si="13"/>
        <v>0</v>
      </c>
    </row>
    <row r="771" spans="2:36" x14ac:dyDescent="0.35">
      <c r="B771" s="193" t="e">
        <f>"2024"&amp;MATCH(Totals!D771,OrgType,0)&amp;"_"&amp;MATCH(Totals!E771,Organisations,0)&amp;"_"&amp;LEFT(Totals!F771,1)&amp;"_"&amp;LEFT(G771,1)&amp;"_"&amp;COUNTIF($G$3:G771,G771)</f>
        <v>#N/A</v>
      </c>
      <c r="C771" s="193">
        <v>2025</v>
      </c>
      <c r="D771" s="193">
        <f>Introduction!$D$7</f>
        <v>0</v>
      </c>
      <c r="E771" s="193">
        <f>Introduction!$D$8</f>
        <v>0</v>
      </c>
      <c r="F771" s="193" t="s">
        <v>488</v>
      </c>
      <c r="G771" s="193" t="s">
        <v>171</v>
      </c>
      <c r="H771" s="193">
        <f>'Buildings - Grid Electricity'!B276</f>
        <v>0</v>
      </c>
      <c r="I771" s="193">
        <f>'Buildings - Grid Electricity'!C276</f>
        <v>0</v>
      </c>
      <c r="J771" s="193" t="str">
        <f>'Buildings - Grid Electricity'!D276</f>
        <v/>
      </c>
      <c r="K771" s="237"/>
      <c r="L771" s="237"/>
      <c r="M771" s="193" t="str">
        <f>'Buildings - Grid Electricity'!E276</f>
        <v/>
      </c>
      <c r="N771" s="193" t="str">
        <f>'Buildings - Grid Electricity'!F276</f>
        <v/>
      </c>
      <c r="O771" s="237"/>
      <c r="P771" s="193">
        <f>'Buildings - Grid Electricity'!G276</f>
        <v>0</v>
      </c>
      <c r="Q771" s="193" t="str">
        <f>'Buildings - Grid Electricity'!H276</f>
        <v/>
      </c>
      <c r="R771" s="193">
        <f>'Buildings - Grid Electricity'!I276</f>
        <v>0</v>
      </c>
      <c r="S771" s="193" t="str">
        <f>'Buildings - Grid Electricity'!J276</f>
        <v/>
      </c>
      <c r="T771" s="193" t="str">
        <f>'Buildings - Grid Electricity'!K276</f>
        <v/>
      </c>
      <c r="U771" s="193" t="str">
        <f>'Buildings - Grid Electricity'!L276</f>
        <v/>
      </c>
      <c r="V771" s="193" t="str">
        <f>'Buildings - Grid Electricity'!M276</f>
        <v/>
      </c>
      <c r="W771" s="193" t="str">
        <f>'Buildings - Grid Electricity'!N276</f>
        <v/>
      </c>
      <c r="X771" s="193">
        <f>'Buildings - Grid Electricity'!O276</f>
        <v>0</v>
      </c>
      <c r="Y771" s="193">
        <f>'Buildings - Grid Electricity'!P276</f>
        <v>0</v>
      </c>
      <c r="Z771" s="193" t="str">
        <f>'Buildings - Grid Electricity'!Q276</f>
        <v/>
      </c>
      <c r="AA771" s="193" t="str">
        <f>'Buildings - Grid Electricity'!R276</f>
        <v/>
      </c>
      <c r="AB771" s="193" t="str">
        <f>'Buildings - Grid Electricity'!S276</f>
        <v/>
      </c>
      <c r="AC771" s="193" t="str">
        <f>'Buildings - Grid Electricity'!T276</f>
        <v/>
      </c>
      <c r="AD771" s="193" t="str">
        <f>'Buildings - Grid Electricity'!U276</f>
        <v/>
      </c>
      <c r="AE771" s="193" t="str">
        <f>'Buildings - Grid Electricity'!V276</f>
        <v/>
      </c>
      <c r="AF771" s="193" t="str">
        <f>'Buildings - Grid Electricity'!W276</f>
        <v/>
      </c>
      <c r="AG771" s="193" t="str">
        <f>'Buildings - Grid Electricity'!X276</f>
        <v/>
      </c>
      <c r="AI771" s="193">
        <f t="shared" si="12"/>
        <v>0</v>
      </c>
      <c r="AJ771" s="193">
        <f t="shared" si="13"/>
        <v>0</v>
      </c>
    </row>
    <row r="772" spans="2:36" x14ac:dyDescent="0.35">
      <c r="B772" s="193" t="e">
        <f>"2024"&amp;MATCH(Totals!D772,OrgType,0)&amp;"_"&amp;MATCH(Totals!E772,Organisations,0)&amp;"_"&amp;LEFT(Totals!F772,1)&amp;"_"&amp;LEFT(G772,1)&amp;"_"&amp;COUNTIF($G$3:G772,G772)</f>
        <v>#N/A</v>
      </c>
      <c r="C772" s="193">
        <v>2025</v>
      </c>
      <c r="D772" s="193">
        <f>Introduction!$D$7</f>
        <v>0</v>
      </c>
      <c r="E772" s="193">
        <f>Introduction!$D$8</f>
        <v>0</v>
      </c>
      <c r="F772" s="193" t="s">
        <v>488</v>
      </c>
      <c r="G772" s="193" t="s">
        <v>171</v>
      </c>
      <c r="H772" s="193">
        <f>'Buildings - Grid Electricity'!B277</f>
        <v>0</v>
      </c>
      <c r="I772" s="193">
        <f>'Buildings - Grid Electricity'!C277</f>
        <v>0</v>
      </c>
      <c r="J772" s="193" t="str">
        <f>'Buildings - Grid Electricity'!D277</f>
        <v/>
      </c>
      <c r="K772" s="237"/>
      <c r="L772" s="237"/>
      <c r="M772" s="193" t="str">
        <f>'Buildings - Grid Electricity'!E277</f>
        <v/>
      </c>
      <c r="N772" s="193" t="str">
        <f>'Buildings - Grid Electricity'!F277</f>
        <v/>
      </c>
      <c r="O772" s="237"/>
      <c r="P772" s="193">
        <f>'Buildings - Grid Electricity'!G277</f>
        <v>0</v>
      </c>
      <c r="Q772" s="193" t="str">
        <f>'Buildings - Grid Electricity'!H277</f>
        <v/>
      </c>
      <c r="R772" s="193">
        <f>'Buildings - Grid Electricity'!I277</f>
        <v>0</v>
      </c>
      <c r="S772" s="193" t="str">
        <f>'Buildings - Grid Electricity'!J277</f>
        <v/>
      </c>
      <c r="T772" s="193" t="str">
        <f>'Buildings - Grid Electricity'!K277</f>
        <v/>
      </c>
      <c r="U772" s="193" t="str">
        <f>'Buildings - Grid Electricity'!L277</f>
        <v/>
      </c>
      <c r="V772" s="193" t="str">
        <f>'Buildings - Grid Electricity'!M277</f>
        <v/>
      </c>
      <c r="W772" s="193" t="str">
        <f>'Buildings - Grid Electricity'!N277</f>
        <v/>
      </c>
      <c r="X772" s="193">
        <f>'Buildings - Grid Electricity'!O277</f>
        <v>0</v>
      </c>
      <c r="Y772" s="193">
        <f>'Buildings - Grid Electricity'!P277</f>
        <v>0</v>
      </c>
      <c r="Z772" s="193" t="str">
        <f>'Buildings - Grid Electricity'!Q277</f>
        <v/>
      </c>
      <c r="AA772" s="193" t="str">
        <f>'Buildings - Grid Electricity'!R277</f>
        <v/>
      </c>
      <c r="AB772" s="193" t="str">
        <f>'Buildings - Grid Electricity'!S277</f>
        <v/>
      </c>
      <c r="AC772" s="193" t="str">
        <f>'Buildings - Grid Electricity'!T277</f>
        <v/>
      </c>
      <c r="AD772" s="193" t="str">
        <f>'Buildings - Grid Electricity'!U277</f>
        <v/>
      </c>
      <c r="AE772" s="193" t="str">
        <f>'Buildings - Grid Electricity'!V277</f>
        <v/>
      </c>
      <c r="AF772" s="193" t="str">
        <f>'Buildings - Grid Electricity'!W277</f>
        <v/>
      </c>
      <c r="AG772" s="193" t="str">
        <f>'Buildings - Grid Electricity'!X277</f>
        <v/>
      </c>
      <c r="AI772" s="193">
        <f t="shared" si="12"/>
        <v>0</v>
      </c>
      <c r="AJ772" s="193">
        <f t="shared" si="13"/>
        <v>0</v>
      </c>
    </row>
    <row r="773" spans="2:36" x14ac:dyDescent="0.35">
      <c r="B773" s="193" t="e">
        <f>"2024"&amp;MATCH(Totals!D773,OrgType,0)&amp;"_"&amp;MATCH(Totals!E773,Organisations,0)&amp;"_"&amp;LEFT(Totals!F773,1)&amp;"_"&amp;LEFT(G773,1)&amp;"_"&amp;COUNTIF($G$3:G773,G773)</f>
        <v>#N/A</v>
      </c>
      <c r="C773" s="193">
        <v>2025</v>
      </c>
      <c r="D773" s="193">
        <f>Introduction!$D$7</f>
        <v>0</v>
      </c>
      <c r="E773" s="193">
        <f>Introduction!$D$8</f>
        <v>0</v>
      </c>
      <c r="F773" s="193" t="s">
        <v>488</v>
      </c>
      <c r="G773" s="193" t="s">
        <v>171</v>
      </c>
      <c r="H773" s="193">
        <f>'Buildings - Grid Electricity'!B278</f>
        <v>0</v>
      </c>
      <c r="I773" s="193">
        <f>'Buildings - Grid Electricity'!C278</f>
        <v>0</v>
      </c>
      <c r="J773" s="193" t="str">
        <f>'Buildings - Grid Electricity'!D278</f>
        <v/>
      </c>
      <c r="K773" s="237"/>
      <c r="L773" s="237"/>
      <c r="M773" s="193" t="str">
        <f>'Buildings - Grid Electricity'!E278</f>
        <v/>
      </c>
      <c r="N773" s="193" t="str">
        <f>'Buildings - Grid Electricity'!F278</f>
        <v/>
      </c>
      <c r="O773" s="237"/>
      <c r="P773" s="193">
        <f>'Buildings - Grid Electricity'!G278</f>
        <v>0</v>
      </c>
      <c r="Q773" s="193" t="str">
        <f>'Buildings - Grid Electricity'!H278</f>
        <v/>
      </c>
      <c r="R773" s="193">
        <f>'Buildings - Grid Electricity'!I278</f>
        <v>0</v>
      </c>
      <c r="S773" s="193" t="str">
        <f>'Buildings - Grid Electricity'!J278</f>
        <v/>
      </c>
      <c r="T773" s="193" t="str">
        <f>'Buildings - Grid Electricity'!K278</f>
        <v/>
      </c>
      <c r="U773" s="193" t="str">
        <f>'Buildings - Grid Electricity'!L278</f>
        <v/>
      </c>
      <c r="V773" s="193" t="str">
        <f>'Buildings - Grid Electricity'!M278</f>
        <v/>
      </c>
      <c r="W773" s="193" t="str">
        <f>'Buildings - Grid Electricity'!N278</f>
        <v/>
      </c>
      <c r="X773" s="193">
        <f>'Buildings - Grid Electricity'!O278</f>
        <v>0</v>
      </c>
      <c r="Y773" s="193">
        <f>'Buildings - Grid Electricity'!P278</f>
        <v>0</v>
      </c>
      <c r="Z773" s="193" t="str">
        <f>'Buildings - Grid Electricity'!Q278</f>
        <v/>
      </c>
      <c r="AA773" s="193" t="str">
        <f>'Buildings - Grid Electricity'!R278</f>
        <v/>
      </c>
      <c r="AB773" s="193" t="str">
        <f>'Buildings - Grid Electricity'!S278</f>
        <v/>
      </c>
      <c r="AC773" s="193" t="str">
        <f>'Buildings - Grid Electricity'!T278</f>
        <v/>
      </c>
      <c r="AD773" s="193" t="str">
        <f>'Buildings - Grid Electricity'!U278</f>
        <v/>
      </c>
      <c r="AE773" s="193" t="str">
        <f>'Buildings - Grid Electricity'!V278</f>
        <v/>
      </c>
      <c r="AF773" s="193" t="str">
        <f>'Buildings - Grid Electricity'!W278</f>
        <v/>
      </c>
      <c r="AG773" s="193" t="str">
        <f>'Buildings - Grid Electricity'!X278</f>
        <v/>
      </c>
      <c r="AI773" s="193">
        <f t="shared" si="12"/>
        <v>0</v>
      </c>
      <c r="AJ773" s="193">
        <f t="shared" si="13"/>
        <v>0</v>
      </c>
    </row>
    <row r="774" spans="2:36" x14ac:dyDescent="0.35">
      <c r="B774" s="193" t="e">
        <f>"2024"&amp;MATCH(Totals!D774,OrgType,0)&amp;"_"&amp;MATCH(Totals!E774,Organisations,0)&amp;"_"&amp;LEFT(Totals!F774,1)&amp;"_"&amp;LEFT(G774,1)&amp;"_"&amp;COUNTIF($G$3:G774,G774)</f>
        <v>#N/A</v>
      </c>
      <c r="C774" s="193">
        <v>2025</v>
      </c>
      <c r="D774" s="193">
        <f>Introduction!$D$7</f>
        <v>0</v>
      </c>
      <c r="E774" s="193">
        <f>Introduction!$D$8</f>
        <v>0</v>
      </c>
      <c r="F774" s="193" t="s">
        <v>488</v>
      </c>
      <c r="G774" s="193" t="s">
        <v>171</v>
      </c>
      <c r="H774" s="193">
        <f>'Buildings - Grid Electricity'!B279</f>
        <v>0</v>
      </c>
      <c r="I774" s="193">
        <f>'Buildings - Grid Electricity'!C279</f>
        <v>0</v>
      </c>
      <c r="J774" s="193" t="str">
        <f>'Buildings - Grid Electricity'!D279</f>
        <v/>
      </c>
      <c r="K774" s="237"/>
      <c r="L774" s="237"/>
      <c r="M774" s="193" t="str">
        <f>'Buildings - Grid Electricity'!E279</f>
        <v/>
      </c>
      <c r="N774" s="193" t="str">
        <f>'Buildings - Grid Electricity'!F279</f>
        <v/>
      </c>
      <c r="O774" s="237"/>
      <c r="P774" s="193">
        <f>'Buildings - Grid Electricity'!G279</f>
        <v>0</v>
      </c>
      <c r="Q774" s="193" t="str">
        <f>'Buildings - Grid Electricity'!H279</f>
        <v/>
      </c>
      <c r="R774" s="193">
        <f>'Buildings - Grid Electricity'!I279</f>
        <v>0</v>
      </c>
      <c r="S774" s="193" t="str">
        <f>'Buildings - Grid Electricity'!J279</f>
        <v/>
      </c>
      <c r="T774" s="193" t="str">
        <f>'Buildings - Grid Electricity'!K279</f>
        <v/>
      </c>
      <c r="U774" s="193" t="str">
        <f>'Buildings - Grid Electricity'!L279</f>
        <v/>
      </c>
      <c r="V774" s="193" t="str">
        <f>'Buildings - Grid Electricity'!M279</f>
        <v/>
      </c>
      <c r="W774" s="193" t="str">
        <f>'Buildings - Grid Electricity'!N279</f>
        <v/>
      </c>
      <c r="X774" s="193">
        <f>'Buildings - Grid Electricity'!O279</f>
        <v>0</v>
      </c>
      <c r="Y774" s="193">
        <f>'Buildings - Grid Electricity'!P279</f>
        <v>0</v>
      </c>
      <c r="Z774" s="193" t="str">
        <f>'Buildings - Grid Electricity'!Q279</f>
        <v/>
      </c>
      <c r="AA774" s="193" t="str">
        <f>'Buildings - Grid Electricity'!R279</f>
        <v/>
      </c>
      <c r="AB774" s="193" t="str">
        <f>'Buildings - Grid Electricity'!S279</f>
        <v/>
      </c>
      <c r="AC774" s="193" t="str">
        <f>'Buildings - Grid Electricity'!T279</f>
        <v/>
      </c>
      <c r="AD774" s="193" t="str">
        <f>'Buildings - Grid Electricity'!U279</f>
        <v/>
      </c>
      <c r="AE774" s="193" t="str">
        <f>'Buildings - Grid Electricity'!V279</f>
        <v/>
      </c>
      <c r="AF774" s="193" t="str">
        <f>'Buildings - Grid Electricity'!W279</f>
        <v/>
      </c>
      <c r="AG774" s="193" t="str">
        <f>'Buildings - Grid Electricity'!X279</f>
        <v/>
      </c>
      <c r="AI774" s="193">
        <f t="shared" si="12"/>
        <v>0</v>
      </c>
      <c r="AJ774" s="193">
        <f t="shared" si="13"/>
        <v>0</v>
      </c>
    </row>
    <row r="775" spans="2:36" x14ac:dyDescent="0.35">
      <c r="B775" s="193" t="e">
        <f>"2024"&amp;MATCH(Totals!D775,OrgType,0)&amp;"_"&amp;MATCH(Totals!E775,Organisations,0)&amp;"_"&amp;LEFT(Totals!F775,1)&amp;"_"&amp;LEFT(G775,1)&amp;"_"&amp;COUNTIF($G$3:G775,G775)</f>
        <v>#N/A</v>
      </c>
      <c r="C775" s="193">
        <v>2025</v>
      </c>
      <c r="D775" s="193">
        <f>Introduction!$D$7</f>
        <v>0</v>
      </c>
      <c r="E775" s="193">
        <f>Introduction!$D$8</f>
        <v>0</v>
      </c>
      <c r="F775" s="193" t="s">
        <v>488</v>
      </c>
      <c r="G775" s="193" t="s">
        <v>171</v>
      </c>
      <c r="H775" s="193">
        <f>'Buildings - Grid Electricity'!B280</f>
        <v>0</v>
      </c>
      <c r="I775" s="193">
        <f>'Buildings - Grid Electricity'!C280</f>
        <v>0</v>
      </c>
      <c r="J775" s="193" t="str">
        <f>'Buildings - Grid Electricity'!D280</f>
        <v/>
      </c>
      <c r="K775" s="237"/>
      <c r="L775" s="237"/>
      <c r="M775" s="193" t="str">
        <f>'Buildings - Grid Electricity'!E280</f>
        <v/>
      </c>
      <c r="N775" s="193" t="str">
        <f>'Buildings - Grid Electricity'!F280</f>
        <v/>
      </c>
      <c r="O775" s="237"/>
      <c r="P775" s="193">
        <f>'Buildings - Grid Electricity'!G280</f>
        <v>0</v>
      </c>
      <c r="Q775" s="193" t="str">
        <f>'Buildings - Grid Electricity'!H280</f>
        <v/>
      </c>
      <c r="R775" s="193">
        <f>'Buildings - Grid Electricity'!I280</f>
        <v>0</v>
      </c>
      <c r="S775" s="193" t="str">
        <f>'Buildings - Grid Electricity'!J280</f>
        <v/>
      </c>
      <c r="T775" s="193" t="str">
        <f>'Buildings - Grid Electricity'!K280</f>
        <v/>
      </c>
      <c r="U775" s="193" t="str">
        <f>'Buildings - Grid Electricity'!L280</f>
        <v/>
      </c>
      <c r="V775" s="193" t="str">
        <f>'Buildings - Grid Electricity'!M280</f>
        <v/>
      </c>
      <c r="W775" s="193" t="str">
        <f>'Buildings - Grid Electricity'!N280</f>
        <v/>
      </c>
      <c r="X775" s="193">
        <f>'Buildings - Grid Electricity'!O280</f>
        <v>0</v>
      </c>
      <c r="Y775" s="193">
        <f>'Buildings - Grid Electricity'!P280</f>
        <v>0</v>
      </c>
      <c r="Z775" s="193" t="str">
        <f>'Buildings - Grid Electricity'!Q280</f>
        <v/>
      </c>
      <c r="AA775" s="193" t="str">
        <f>'Buildings - Grid Electricity'!R280</f>
        <v/>
      </c>
      <c r="AB775" s="193" t="str">
        <f>'Buildings - Grid Electricity'!S280</f>
        <v/>
      </c>
      <c r="AC775" s="193" t="str">
        <f>'Buildings - Grid Electricity'!T280</f>
        <v/>
      </c>
      <c r="AD775" s="193" t="str">
        <f>'Buildings - Grid Electricity'!U280</f>
        <v/>
      </c>
      <c r="AE775" s="193" t="str">
        <f>'Buildings - Grid Electricity'!V280</f>
        <v/>
      </c>
      <c r="AF775" s="193" t="str">
        <f>'Buildings - Grid Electricity'!W280</f>
        <v/>
      </c>
      <c r="AG775" s="193" t="str">
        <f>'Buildings - Grid Electricity'!X280</f>
        <v/>
      </c>
      <c r="AI775" s="193">
        <f t="shared" si="12"/>
        <v>0</v>
      </c>
      <c r="AJ775" s="193">
        <f t="shared" si="13"/>
        <v>0</v>
      </c>
    </row>
    <row r="776" spans="2:36" x14ac:dyDescent="0.35">
      <c r="B776" s="193" t="e">
        <f>"2024"&amp;MATCH(Totals!D776,OrgType,0)&amp;"_"&amp;MATCH(Totals!E776,Organisations,0)&amp;"_"&amp;LEFT(Totals!F776,1)&amp;"_"&amp;LEFT(G776,1)&amp;"_"&amp;COUNTIF($G$3:G776,G776)</f>
        <v>#N/A</v>
      </c>
      <c r="C776" s="193">
        <v>2025</v>
      </c>
      <c r="D776" s="193">
        <f>Introduction!$D$7</f>
        <v>0</v>
      </c>
      <c r="E776" s="193">
        <f>Introduction!$D$8</f>
        <v>0</v>
      </c>
      <c r="F776" s="193" t="s">
        <v>488</v>
      </c>
      <c r="G776" s="193" t="s">
        <v>171</v>
      </c>
      <c r="H776" s="193">
        <f>'Buildings - Grid Electricity'!B281</f>
        <v>0</v>
      </c>
      <c r="I776" s="193">
        <f>'Buildings - Grid Electricity'!C281</f>
        <v>0</v>
      </c>
      <c r="J776" s="193" t="str">
        <f>'Buildings - Grid Electricity'!D281</f>
        <v/>
      </c>
      <c r="K776" s="237"/>
      <c r="L776" s="237"/>
      <c r="M776" s="193" t="str">
        <f>'Buildings - Grid Electricity'!E281</f>
        <v/>
      </c>
      <c r="N776" s="193" t="str">
        <f>'Buildings - Grid Electricity'!F281</f>
        <v/>
      </c>
      <c r="O776" s="237"/>
      <c r="P776" s="193">
        <f>'Buildings - Grid Electricity'!G281</f>
        <v>0</v>
      </c>
      <c r="Q776" s="193" t="str">
        <f>'Buildings - Grid Electricity'!H281</f>
        <v/>
      </c>
      <c r="R776" s="193">
        <f>'Buildings - Grid Electricity'!I281</f>
        <v>0</v>
      </c>
      <c r="S776" s="193" t="str">
        <f>'Buildings - Grid Electricity'!J281</f>
        <v/>
      </c>
      <c r="T776" s="193" t="str">
        <f>'Buildings - Grid Electricity'!K281</f>
        <v/>
      </c>
      <c r="U776" s="193" t="str">
        <f>'Buildings - Grid Electricity'!L281</f>
        <v/>
      </c>
      <c r="V776" s="193" t="str">
        <f>'Buildings - Grid Electricity'!M281</f>
        <v/>
      </c>
      <c r="W776" s="193" t="str">
        <f>'Buildings - Grid Electricity'!N281</f>
        <v/>
      </c>
      <c r="X776" s="193">
        <f>'Buildings - Grid Electricity'!O281</f>
        <v>0</v>
      </c>
      <c r="Y776" s="193">
        <f>'Buildings - Grid Electricity'!P281</f>
        <v>0</v>
      </c>
      <c r="Z776" s="193" t="str">
        <f>'Buildings - Grid Electricity'!Q281</f>
        <v/>
      </c>
      <c r="AA776" s="193" t="str">
        <f>'Buildings - Grid Electricity'!R281</f>
        <v/>
      </c>
      <c r="AB776" s="193" t="str">
        <f>'Buildings - Grid Electricity'!S281</f>
        <v/>
      </c>
      <c r="AC776" s="193" t="str">
        <f>'Buildings - Grid Electricity'!T281</f>
        <v/>
      </c>
      <c r="AD776" s="193" t="str">
        <f>'Buildings - Grid Electricity'!U281</f>
        <v/>
      </c>
      <c r="AE776" s="193" t="str">
        <f>'Buildings - Grid Electricity'!V281</f>
        <v/>
      </c>
      <c r="AF776" s="193" t="str">
        <f>'Buildings - Grid Electricity'!W281</f>
        <v/>
      </c>
      <c r="AG776" s="193" t="str">
        <f>'Buildings - Grid Electricity'!X281</f>
        <v/>
      </c>
      <c r="AI776" s="193">
        <f t="shared" si="12"/>
        <v>0</v>
      </c>
      <c r="AJ776" s="193">
        <f t="shared" si="13"/>
        <v>0</v>
      </c>
    </row>
    <row r="777" spans="2:36" x14ac:dyDescent="0.35">
      <c r="B777" s="193" t="e">
        <f>"2024"&amp;MATCH(Totals!D777,OrgType,0)&amp;"_"&amp;MATCH(Totals!E777,Organisations,0)&amp;"_"&amp;LEFT(Totals!F777,1)&amp;"_"&amp;LEFT(G777,1)&amp;"_"&amp;COUNTIF($G$3:G777,G777)</f>
        <v>#N/A</v>
      </c>
      <c r="C777" s="193">
        <v>2025</v>
      </c>
      <c r="D777" s="193">
        <f>Introduction!$D$7</f>
        <v>0</v>
      </c>
      <c r="E777" s="193">
        <f>Introduction!$D$8</f>
        <v>0</v>
      </c>
      <c r="F777" s="193" t="s">
        <v>488</v>
      </c>
      <c r="G777" s="193" t="s">
        <v>171</v>
      </c>
      <c r="H777" s="193">
        <f>'Buildings - Grid Electricity'!B282</f>
        <v>0</v>
      </c>
      <c r="I777" s="193">
        <f>'Buildings - Grid Electricity'!C282</f>
        <v>0</v>
      </c>
      <c r="J777" s="193" t="str">
        <f>'Buildings - Grid Electricity'!D282</f>
        <v/>
      </c>
      <c r="K777" s="237"/>
      <c r="L777" s="237"/>
      <c r="M777" s="193" t="str">
        <f>'Buildings - Grid Electricity'!E282</f>
        <v/>
      </c>
      <c r="N777" s="193" t="str">
        <f>'Buildings - Grid Electricity'!F282</f>
        <v/>
      </c>
      <c r="O777" s="237"/>
      <c r="P777" s="193">
        <f>'Buildings - Grid Electricity'!G282</f>
        <v>0</v>
      </c>
      <c r="Q777" s="193" t="str">
        <f>'Buildings - Grid Electricity'!H282</f>
        <v/>
      </c>
      <c r="R777" s="193">
        <f>'Buildings - Grid Electricity'!I282</f>
        <v>0</v>
      </c>
      <c r="S777" s="193" t="str">
        <f>'Buildings - Grid Electricity'!J282</f>
        <v/>
      </c>
      <c r="T777" s="193" t="str">
        <f>'Buildings - Grid Electricity'!K282</f>
        <v/>
      </c>
      <c r="U777" s="193" t="str">
        <f>'Buildings - Grid Electricity'!L282</f>
        <v/>
      </c>
      <c r="V777" s="193" t="str">
        <f>'Buildings - Grid Electricity'!M282</f>
        <v/>
      </c>
      <c r="W777" s="193" t="str">
        <f>'Buildings - Grid Electricity'!N282</f>
        <v/>
      </c>
      <c r="X777" s="193">
        <f>'Buildings - Grid Electricity'!O282</f>
        <v>0</v>
      </c>
      <c r="Y777" s="193">
        <f>'Buildings - Grid Electricity'!P282</f>
        <v>0</v>
      </c>
      <c r="Z777" s="193" t="str">
        <f>'Buildings - Grid Electricity'!Q282</f>
        <v/>
      </c>
      <c r="AA777" s="193" t="str">
        <f>'Buildings - Grid Electricity'!R282</f>
        <v/>
      </c>
      <c r="AB777" s="193" t="str">
        <f>'Buildings - Grid Electricity'!S282</f>
        <v/>
      </c>
      <c r="AC777" s="193" t="str">
        <f>'Buildings - Grid Electricity'!T282</f>
        <v/>
      </c>
      <c r="AD777" s="193" t="str">
        <f>'Buildings - Grid Electricity'!U282</f>
        <v/>
      </c>
      <c r="AE777" s="193" t="str">
        <f>'Buildings - Grid Electricity'!V282</f>
        <v/>
      </c>
      <c r="AF777" s="193" t="str">
        <f>'Buildings - Grid Electricity'!W282</f>
        <v/>
      </c>
      <c r="AG777" s="193" t="str">
        <f>'Buildings - Grid Electricity'!X282</f>
        <v/>
      </c>
      <c r="AI777" s="193">
        <f t="shared" si="12"/>
        <v>0</v>
      </c>
      <c r="AJ777" s="193">
        <f t="shared" si="13"/>
        <v>0</v>
      </c>
    </row>
    <row r="778" spans="2:36" x14ac:dyDescent="0.35">
      <c r="B778" s="193" t="e">
        <f>"2024"&amp;MATCH(Totals!D778,OrgType,0)&amp;"_"&amp;MATCH(Totals!E778,Organisations,0)&amp;"_"&amp;LEFT(Totals!F778,1)&amp;"_"&amp;LEFT(G778,1)&amp;"_"&amp;COUNTIF($G$3:G778,G778)</f>
        <v>#N/A</v>
      </c>
      <c r="C778" s="193">
        <v>2025</v>
      </c>
      <c r="D778" s="193">
        <f>Introduction!$D$7</f>
        <v>0</v>
      </c>
      <c r="E778" s="193">
        <f>Introduction!$D$8</f>
        <v>0</v>
      </c>
      <c r="F778" s="193" t="s">
        <v>488</v>
      </c>
      <c r="G778" s="193" t="s">
        <v>171</v>
      </c>
      <c r="H778" s="193">
        <f>'Buildings - Grid Electricity'!B283</f>
        <v>0</v>
      </c>
      <c r="I778" s="193">
        <f>'Buildings - Grid Electricity'!C283</f>
        <v>0</v>
      </c>
      <c r="J778" s="193" t="str">
        <f>'Buildings - Grid Electricity'!D283</f>
        <v/>
      </c>
      <c r="K778" s="237"/>
      <c r="L778" s="237"/>
      <c r="M778" s="193" t="str">
        <f>'Buildings - Grid Electricity'!E283</f>
        <v/>
      </c>
      <c r="N778" s="193" t="str">
        <f>'Buildings - Grid Electricity'!F283</f>
        <v/>
      </c>
      <c r="O778" s="237"/>
      <c r="P778" s="193">
        <f>'Buildings - Grid Electricity'!G283</f>
        <v>0</v>
      </c>
      <c r="Q778" s="193" t="str">
        <f>'Buildings - Grid Electricity'!H283</f>
        <v/>
      </c>
      <c r="R778" s="193">
        <f>'Buildings - Grid Electricity'!I283</f>
        <v>0</v>
      </c>
      <c r="S778" s="193" t="str">
        <f>'Buildings - Grid Electricity'!J283</f>
        <v/>
      </c>
      <c r="T778" s="193" t="str">
        <f>'Buildings - Grid Electricity'!K283</f>
        <v/>
      </c>
      <c r="U778" s="193" t="str">
        <f>'Buildings - Grid Electricity'!L283</f>
        <v/>
      </c>
      <c r="V778" s="193" t="str">
        <f>'Buildings - Grid Electricity'!M283</f>
        <v/>
      </c>
      <c r="W778" s="193" t="str">
        <f>'Buildings - Grid Electricity'!N283</f>
        <v/>
      </c>
      <c r="X778" s="193">
        <f>'Buildings - Grid Electricity'!O283</f>
        <v>0</v>
      </c>
      <c r="Y778" s="193">
        <f>'Buildings - Grid Electricity'!P283</f>
        <v>0</v>
      </c>
      <c r="Z778" s="193" t="str">
        <f>'Buildings - Grid Electricity'!Q283</f>
        <v/>
      </c>
      <c r="AA778" s="193" t="str">
        <f>'Buildings - Grid Electricity'!R283</f>
        <v/>
      </c>
      <c r="AB778" s="193" t="str">
        <f>'Buildings - Grid Electricity'!S283</f>
        <v/>
      </c>
      <c r="AC778" s="193" t="str">
        <f>'Buildings - Grid Electricity'!T283</f>
        <v/>
      </c>
      <c r="AD778" s="193" t="str">
        <f>'Buildings - Grid Electricity'!U283</f>
        <v/>
      </c>
      <c r="AE778" s="193" t="str">
        <f>'Buildings - Grid Electricity'!V283</f>
        <v/>
      </c>
      <c r="AF778" s="193" t="str">
        <f>'Buildings - Grid Electricity'!W283</f>
        <v/>
      </c>
      <c r="AG778" s="193" t="str">
        <f>'Buildings - Grid Electricity'!X283</f>
        <v/>
      </c>
      <c r="AI778" s="193">
        <f t="shared" si="12"/>
        <v>0</v>
      </c>
      <c r="AJ778" s="193">
        <f t="shared" si="13"/>
        <v>0</v>
      </c>
    </row>
    <row r="779" spans="2:36" x14ac:dyDescent="0.35">
      <c r="B779" s="193" t="e">
        <f>"2024"&amp;MATCH(Totals!D779,OrgType,0)&amp;"_"&amp;MATCH(Totals!E779,Organisations,0)&amp;"_"&amp;LEFT(Totals!F779,1)&amp;"_"&amp;LEFT(G779,1)&amp;"_"&amp;COUNTIF($G$3:G779,G779)</f>
        <v>#N/A</v>
      </c>
      <c r="C779" s="193">
        <v>2025</v>
      </c>
      <c r="D779" s="193">
        <f>Introduction!$D$7</f>
        <v>0</v>
      </c>
      <c r="E779" s="193">
        <f>Introduction!$D$8</f>
        <v>0</v>
      </c>
      <c r="F779" s="193" t="s">
        <v>488</v>
      </c>
      <c r="G779" s="193" t="s">
        <v>171</v>
      </c>
      <c r="H779" s="193">
        <f>'Buildings - Grid Electricity'!B284</f>
        <v>0</v>
      </c>
      <c r="I779" s="193">
        <f>'Buildings - Grid Electricity'!C284</f>
        <v>0</v>
      </c>
      <c r="J779" s="193" t="str">
        <f>'Buildings - Grid Electricity'!D284</f>
        <v/>
      </c>
      <c r="K779" s="237"/>
      <c r="L779" s="237"/>
      <c r="M779" s="193" t="str">
        <f>'Buildings - Grid Electricity'!E284</f>
        <v/>
      </c>
      <c r="N779" s="193" t="str">
        <f>'Buildings - Grid Electricity'!F284</f>
        <v/>
      </c>
      <c r="O779" s="237"/>
      <c r="P779" s="193">
        <f>'Buildings - Grid Electricity'!G284</f>
        <v>0</v>
      </c>
      <c r="Q779" s="193" t="str">
        <f>'Buildings - Grid Electricity'!H284</f>
        <v/>
      </c>
      <c r="R779" s="193">
        <f>'Buildings - Grid Electricity'!I284</f>
        <v>0</v>
      </c>
      <c r="S779" s="193" t="str">
        <f>'Buildings - Grid Electricity'!J284</f>
        <v/>
      </c>
      <c r="T779" s="193" t="str">
        <f>'Buildings - Grid Electricity'!K284</f>
        <v/>
      </c>
      <c r="U779" s="193" t="str">
        <f>'Buildings - Grid Electricity'!L284</f>
        <v/>
      </c>
      <c r="V779" s="193" t="str">
        <f>'Buildings - Grid Electricity'!M284</f>
        <v/>
      </c>
      <c r="W779" s="193" t="str">
        <f>'Buildings - Grid Electricity'!N284</f>
        <v/>
      </c>
      <c r="X779" s="193">
        <f>'Buildings - Grid Electricity'!O284</f>
        <v>0</v>
      </c>
      <c r="Y779" s="193">
        <f>'Buildings - Grid Electricity'!P284</f>
        <v>0</v>
      </c>
      <c r="Z779" s="193" t="str">
        <f>'Buildings - Grid Electricity'!Q284</f>
        <v/>
      </c>
      <c r="AA779" s="193" t="str">
        <f>'Buildings - Grid Electricity'!R284</f>
        <v/>
      </c>
      <c r="AB779" s="193" t="str">
        <f>'Buildings - Grid Electricity'!S284</f>
        <v/>
      </c>
      <c r="AC779" s="193" t="str">
        <f>'Buildings - Grid Electricity'!T284</f>
        <v/>
      </c>
      <c r="AD779" s="193" t="str">
        <f>'Buildings - Grid Electricity'!U284</f>
        <v/>
      </c>
      <c r="AE779" s="193" t="str">
        <f>'Buildings - Grid Electricity'!V284</f>
        <v/>
      </c>
      <c r="AF779" s="193" t="str">
        <f>'Buildings - Grid Electricity'!W284</f>
        <v/>
      </c>
      <c r="AG779" s="193" t="str">
        <f>'Buildings - Grid Electricity'!X284</f>
        <v/>
      </c>
      <c r="AI779" s="193">
        <f t="shared" si="12"/>
        <v>0</v>
      </c>
      <c r="AJ779" s="193">
        <f t="shared" si="13"/>
        <v>0</v>
      </c>
    </row>
    <row r="780" spans="2:36" x14ac:dyDescent="0.35">
      <c r="B780" s="193" t="e">
        <f>"2024"&amp;MATCH(Totals!D780,OrgType,0)&amp;"_"&amp;MATCH(Totals!E780,Organisations,0)&amp;"_"&amp;LEFT(Totals!F780,1)&amp;"_"&amp;LEFT(G780,1)&amp;"_"&amp;COUNTIF($G$3:G780,G780)</f>
        <v>#N/A</v>
      </c>
      <c r="C780" s="193">
        <v>2025</v>
      </c>
      <c r="D780" s="193">
        <f>Introduction!$D$7</f>
        <v>0</v>
      </c>
      <c r="E780" s="193">
        <f>Introduction!$D$8</f>
        <v>0</v>
      </c>
      <c r="F780" s="193" t="s">
        <v>488</v>
      </c>
      <c r="G780" s="193" t="s">
        <v>171</v>
      </c>
      <c r="H780" s="193">
        <f>'Buildings - Grid Electricity'!B285</f>
        <v>0</v>
      </c>
      <c r="I780" s="193">
        <f>'Buildings - Grid Electricity'!C285</f>
        <v>0</v>
      </c>
      <c r="J780" s="193" t="str">
        <f>'Buildings - Grid Electricity'!D285</f>
        <v/>
      </c>
      <c r="K780" s="237"/>
      <c r="L780" s="237"/>
      <c r="M780" s="193" t="str">
        <f>'Buildings - Grid Electricity'!E285</f>
        <v/>
      </c>
      <c r="N780" s="193" t="str">
        <f>'Buildings - Grid Electricity'!F285</f>
        <v/>
      </c>
      <c r="O780" s="237"/>
      <c r="P780" s="193">
        <f>'Buildings - Grid Electricity'!G285</f>
        <v>0</v>
      </c>
      <c r="Q780" s="193" t="str">
        <f>'Buildings - Grid Electricity'!H285</f>
        <v/>
      </c>
      <c r="R780" s="193">
        <f>'Buildings - Grid Electricity'!I285</f>
        <v>0</v>
      </c>
      <c r="S780" s="193" t="str">
        <f>'Buildings - Grid Electricity'!J285</f>
        <v/>
      </c>
      <c r="T780" s="193" t="str">
        <f>'Buildings - Grid Electricity'!K285</f>
        <v/>
      </c>
      <c r="U780" s="193" t="str">
        <f>'Buildings - Grid Electricity'!L285</f>
        <v/>
      </c>
      <c r="V780" s="193" t="str">
        <f>'Buildings - Grid Electricity'!M285</f>
        <v/>
      </c>
      <c r="W780" s="193" t="str">
        <f>'Buildings - Grid Electricity'!N285</f>
        <v/>
      </c>
      <c r="X780" s="193">
        <f>'Buildings - Grid Electricity'!O285</f>
        <v>0</v>
      </c>
      <c r="Y780" s="193">
        <f>'Buildings - Grid Electricity'!P285</f>
        <v>0</v>
      </c>
      <c r="Z780" s="193" t="str">
        <f>'Buildings - Grid Electricity'!Q285</f>
        <v/>
      </c>
      <c r="AA780" s="193" t="str">
        <f>'Buildings - Grid Electricity'!R285</f>
        <v/>
      </c>
      <c r="AB780" s="193" t="str">
        <f>'Buildings - Grid Electricity'!S285</f>
        <v/>
      </c>
      <c r="AC780" s="193" t="str">
        <f>'Buildings - Grid Electricity'!T285</f>
        <v/>
      </c>
      <c r="AD780" s="193" t="str">
        <f>'Buildings - Grid Electricity'!U285</f>
        <v/>
      </c>
      <c r="AE780" s="193" t="str">
        <f>'Buildings - Grid Electricity'!V285</f>
        <v/>
      </c>
      <c r="AF780" s="193" t="str">
        <f>'Buildings - Grid Electricity'!W285</f>
        <v/>
      </c>
      <c r="AG780" s="193" t="str">
        <f>'Buildings - Grid Electricity'!X285</f>
        <v/>
      </c>
      <c r="AI780" s="193">
        <f t="shared" si="12"/>
        <v>0</v>
      </c>
      <c r="AJ780" s="193">
        <f t="shared" si="13"/>
        <v>0</v>
      </c>
    </row>
    <row r="781" spans="2:36" x14ac:dyDescent="0.35">
      <c r="B781" s="193" t="e">
        <f>"2024"&amp;MATCH(Totals!D781,OrgType,0)&amp;"_"&amp;MATCH(Totals!E781,Organisations,0)&amp;"_"&amp;LEFT(Totals!F781,1)&amp;"_"&amp;LEFT(G781,1)&amp;"_"&amp;COUNTIF($G$3:G781,G781)</f>
        <v>#N/A</v>
      </c>
      <c r="C781" s="193">
        <v>2025</v>
      </c>
      <c r="D781" s="193">
        <f>Introduction!$D$7</f>
        <v>0</v>
      </c>
      <c r="E781" s="193">
        <f>Introduction!$D$8</f>
        <v>0</v>
      </c>
      <c r="F781" s="193" t="s">
        <v>488</v>
      </c>
      <c r="G781" s="193" t="s">
        <v>171</v>
      </c>
      <c r="H781" s="193">
        <f>'Buildings - Grid Electricity'!B286</f>
        <v>0</v>
      </c>
      <c r="I781" s="193">
        <f>'Buildings - Grid Electricity'!C286</f>
        <v>0</v>
      </c>
      <c r="J781" s="193" t="str">
        <f>'Buildings - Grid Electricity'!D286</f>
        <v/>
      </c>
      <c r="K781" s="237"/>
      <c r="L781" s="237"/>
      <c r="M781" s="193" t="str">
        <f>'Buildings - Grid Electricity'!E286</f>
        <v/>
      </c>
      <c r="N781" s="193" t="str">
        <f>'Buildings - Grid Electricity'!F286</f>
        <v/>
      </c>
      <c r="O781" s="237"/>
      <c r="P781" s="193">
        <f>'Buildings - Grid Electricity'!G286</f>
        <v>0</v>
      </c>
      <c r="Q781" s="193" t="str">
        <f>'Buildings - Grid Electricity'!H286</f>
        <v/>
      </c>
      <c r="R781" s="193">
        <f>'Buildings - Grid Electricity'!I286</f>
        <v>0</v>
      </c>
      <c r="S781" s="193" t="str">
        <f>'Buildings - Grid Electricity'!J286</f>
        <v/>
      </c>
      <c r="T781" s="193" t="str">
        <f>'Buildings - Grid Electricity'!K286</f>
        <v/>
      </c>
      <c r="U781" s="193" t="str">
        <f>'Buildings - Grid Electricity'!L286</f>
        <v/>
      </c>
      <c r="V781" s="193" t="str">
        <f>'Buildings - Grid Electricity'!M286</f>
        <v/>
      </c>
      <c r="W781" s="193" t="str">
        <f>'Buildings - Grid Electricity'!N286</f>
        <v/>
      </c>
      <c r="X781" s="193">
        <f>'Buildings - Grid Electricity'!O286</f>
        <v>0</v>
      </c>
      <c r="Y781" s="193">
        <f>'Buildings - Grid Electricity'!P286</f>
        <v>0</v>
      </c>
      <c r="Z781" s="193" t="str">
        <f>'Buildings - Grid Electricity'!Q286</f>
        <v/>
      </c>
      <c r="AA781" s="193" t="str">
        <f>'Buildings - Grid Electricity'!R286</f>
        <v/>
      </c>
      <c r="AB781" s="193" t="str">
        <f>'Buildings - Grid Electricity'!S286</f>
        <v/>
      </c>
      <c r="AC781" s="193" t="str">
        <f>'Buildings - Grid Electricity'!T286</f>
        <v/>
      </c>
      <c r="AD781" s="193" t="str">
        <f>'Buildings - Grid Electricity'!U286</f>
        <v/>
      </c>
      <c r="AE781" s="193" t="str">
        <f>'Buildings - Grid Electricity'!V286</f>
        <v/>
      </c>
      <c r="AF781" s="193" t="str">
        <f>'Buildings - Grid Electricity'!W286</f>
        <v/>
      </c>
      <c r="AG781" s="193" t="str">
        <f>'Buildings - Grid Electricity'!X286</f>
        <v/>
      </c>
      <c r="AI781" s="193">
        <f t="shared" si="12"/>
        <v>0</v>
      </c>
      <c r="AJ781" s="193">
        <f t="shared" si="13"/>
        <v>0</v>
      </c>
    </row>
    <row r="782" spans="2:36" x14ac:dyDescent="0.35">
      <c r="B782" s="193" t="e">
        <f>"2024"&amp;MATCH(Totals!D782,OrgType,0)&amp;"_"&amp;MATCH(Totals!E782,Organisations,0)&amp;"_"&amp;LEFT(Totals!F782,1)&amp;"_"&amp;LEFT(G782,1)&amp;"_"&amp;COUNTIF($G$3:G782,G782)</f>
        <v>#N/A</v>
      </c>
      <c r="C782" s="193">
        <v>2025</v>
      </c>
      <c r="D782" s="193">
        <f>Introduction!$D$7</f>
        <v>0</v>
      </c>
      <c r="E782" s="193">
        <f>Introduction!$D$8</f>
        <v>0</v>
      </c>
      <c r="F782" s="193" t="s">
        <v>488</v>
      </c>
      <c r="G782" s="193" t="s">
        <v>171</v>
      </c>
      <c r="H782" s="193">
        <f>'Buildings - Grid Electricity'!B287</f>
        <v>0</v>
      </c>
      <c r="I782" s="193">
        <f>'Buildings - Grid Electricity'!C287</f>
        <v>0</v>
      </c>
      <c r="J782" s="193" t="str">
        <f>'Buildings - Grid Electricity'!D287</f>
        <v/>
      </c>
      <c r="K782" s="237"/>
      <c r="L782" s="237"/>
      <c r="M782" s="193" t="str">
        <f>'Buildings - Grid Electricity'!E287</f>
        <v/>
      </c>
      <c r="N782" s="193" t="str">
        <f>'Buildings - Grid Electricity'!F287</f>
        <v/>
      </c>
      <c r="O782" s="237"/>
      <c r="P782" s="193">
        <f>'Buildings - Grid Electricity'!G287</f>
        <v>0</v>
      </c>
      <c r="Q782" s="193" t="str">
        <f>'Buildings - Grid Electricity'!H287</f>
        <v/>
      </c>
      <c r="R782" s="193">
        <f>'Buildings - Grid Electricity'!I287</f>
        <v>0</v>
      </c>
      <c r="S782" s="193" t="str">
        <f>'Buildings - Grid Electricity'!J287</f>
        <v/>
      </c>
      <c r="T782" s="193" t="str">
        <f>'Buildings - Grid Electricity'!K287</f>
        <v/>
      </c>
      <c r="U782" s="193" t="str">
        <f>'Buildings - Grid Electricity'!L287</f>
        <v/>
      </c>
      <c r="V782" s="193" t="str">
        <f>'Buildings - Grid Electricity'!M287</f>
        <v/>
      </c>
      <c r="W782" s="193" t="str">
        <f>'Buildings - Grid Electricity'!N287</f>
        <v/>
      </c>
      <c r="X782" s="193">
        <f>'Buildings - Grid Electricity'!O287</f>
        <v>0</v>
      </c>
      <c r="Y782" s="193">
        <f>'Buildings - Grid Electricity'!P287</f>
        <v>0</v>
      </c>
      <c r="Z782" s="193" t="str">
        <f>'Buildings - Grid Electricity'!Q287</f>
        <v/>
      </c>
      <c r="AA782" s="193" t="str">
        <f>'Buildings - Grid Electricity'!R287</f>
        <v/>
      </c>
      <c r="AB782" s="193" t="str">
        <f>'Buildings - Grid Electricity'!S287</f>
        <v/>
      </c>
      <c r="AC782" s="193" t="str">
        <f>'Buildings - Grid Electricity'!T287</f>
        <v/>
      </c>
      <c r="AD782" s="193" t="str">
        <f>'Buildings - Grid Electricity'!U287</f>
        <v/>
      </c>
      <c r="AE782" s="193" t="str">
        <f>'Buildings - Grid Electricity'!V287</f>
        <v/>
      </c>
      <c r="AF782" s="193" t="str">
        <f>'Buildings - Grid Electricity'!W287</f>
        <v/>
      </c>
      <c r="AG782" s="193" t="str">
        <f>'Buildings - Grid Electricity'!X287</f>
        <v/>
      </c>
      <c r="AI782" s="193">
        <f t="shared" si="12"/>
        <v>0</v>
      </c>
      <c r="AJ782" s="193">
        <f t="shared" si="13"/>
        <v>0</v>
      </c>
    </row>
    <row r="783" spans="2:36" x14ac:dyDescent="0.35">
      <c r="B783" s="193" t="e">
        <f>"2024"&amp;MATCH(Totals!D783,OrgType,0)&amp;"_"&amp;MATCH(Totals!E783,Organisations,0)&amp;"_"&amp;LEFT(Totals!F783,1)&amp;"_"&amp;LEFT(G783,1)&amp;"_"&amp;COUNTIF($G$3:G783,G783)</f>
        <v>#N/A</v>
      </c>
      <c r="C783" s="193">
        <v>2025</v>
      </c>
      <c r="D783" s="193">
        <f>Introduction!$D$7</f>
        <v>0</v>
      </c>
      <c r="E783" s="193">
        <f>Introduction!$D$8</f>
        <v>0</v>
      </c>
      <c r="F783" s="193" t="s">
        <v>488</v>
      </c>
      <c r="G783" s="193" t="s">
        <v>171</v>
      </c>
      <c r="H783" s="193">
        <f>'Buildings - Grid Electricity'!B288</f>
        <v>0</v>
      </c>
      <c r="I783" s="193">
        <f>'Buildings - Grid Electricity'!C288</f>
        <v>0</v>
      </c>
      <c r="J783" s="193" t="str">
        <f>'Buildings - Grid Electricity'!D288</f>
        <v/>
      </c>
      <c r="K783" s="237"/>
      <c r="L783" s="237"/>
      <c r="M783" s="193" t="str">
        <f>'Buildings - Grid Electricity'!E288</f>
        <v/>
      </c>
      <c r="N783" s="193" t="str">
        <f>'Buildings - Grid Electricity'!F288</f>
        <v/>
      </c>
      <c r="O783" s="237"/>
      <c r="P783" s="193">
        <f>'Buildings - Grid Electricity'!G288</f>
        <v>0</v>
      </c>
      <c r="Q783" s="193" t="str">
        <f>'Buildings - Grid Electricity'!H288</f>
        <v/>
      </c>
      <c r="R783" s="193">
        <f>'Buildings - Grid Electricity'!I288</f>
        <v>0</v>
      </c>
      <c r="S783" s="193" t="str">
        <f>'Buildings - Grid Electricity'!J288</f>
        <v/>
      </c>
      <c r="T783" s="193" t="str">
        <f>'Buildings - Grid Electricity'!K288</f>
        <v/>
      </c>
      <c r="U783" s="193" t="str">
        <f>'Buildings - Grid Electricity'!L288</f>
        <v/>
      </c>
      <c r="V783" s="193" t="str">
        <f>'Buildings - Grid Electricity'!M288</f>
        <v/>
      </c>
      <c r="W783" s="193" t="str">
        <f>'Buildings - Grid Electricity'!N288</f>
        <v/>
      </c>
      <c r="X783" s="193">
        <f>'Buildings - Grid Electricity'!O288</f>
        <v>0</v>
      </c>
      <c r="Y783" s="193">
        <f>'Buildings - Grid Electricity'!P288</f>
        <v>0</v>
      </c>
      <c r="Z783" s="193" t="str">
        <f>'Buildings - Grid Electricity'!Q288</f>
        <v/>
      </c>
      <c r="AA783" s="193" t="str">
        <f>'Buildings - Grid Electricity'!R288</f>
        <v/>
      </c>
      <c r="AB783" s="193" t="str">
        <f>'Buildings - Grid Electricity'!S288</f>
        <v/>
      </c>
      <c r="AC783" s="193" t="str">
        <f>'Buildings - Grid Electricity'!T288</f>
        <v/>
      </c>
      <c r="AD783" s="193" t="str">
        <f>'Buildings - Grid Electricity'!U288</f>
        <v/>
      </c>
      <c r="AE783" s="193" t="str">
        <f>'Buildings - Grid Electricity'!V288</f>
        <v/>
      </c>
      <c r="AF783" s="193" t="str">
        <f>'Buildings - Grid Electricity'!W288</f>
        <v/>
      </c>
      <c r="AG783" s="193" t="str">
        <f>'Buildings - Grid Electricity'!X288</f>
        <v/>
      </c>
      <c r="AI783" s="193">
        <f t="shared" si="12"/>
        <v>0</v>
      </c>
      <c r="AJ783" s="193">
        <f t="shared" si="13"/>
        <v>0</v>
      </c>
    </row>
    <row r="784" spans="2:36" x14ac:dyDescent="0.35">
      <c r="B784" s="193" t="e">
        <f>"2024"&amp;MATCH(Totals!D784,OrgType,0)&amp;"_"&amp;MATCH(Totals!E784,Organisations,0)&amp;"_"&amp;LEFT(Totals!F784,1)&amp;"_"&amp;LEFT(G784,1)&amp;"_"&amp;COUNTIF($G$3:G784,G784)</f>
        <v>#N/A</v>
      </c>
      <c r="C784" s="193">
        <v>2025</v>
      </c>
      <c r="D784" s="193">
        <f>Introduction!$D$7</f>
        <v>0</v>
      </c>
      <c r="E784" s="193">
        <f>Introduction!$D$8</f>
        <v>0</v>
      </c>
      <c r="F784" s="193" t="s">
        <v>488</v>
      </c>
      <c r="G784" s="193" t="s">
        <v>171</v>
      </c>
      <c r="H784" s="193">
        <f>'Buildings - Grid Electricity'!B289</f>
        <v>0</v>
      </c>
      <c r="I784" s="193">
        <f>'Buildings - Grid Electricity'!C289</f>
        <v>0</v>
      </c>
      <c r="J784" s="193" t="str">
        <f>'Buildings - Grid Electricity'!D289</f>
        <v/>
      </c>
      <c r="K784" s="237"/>
      <c r="L784" s="237"/>
      <c r="M784" s="193" t="str">
        <f>'Buildings - Grid Electricity'!E289</f>
        <v/>
      </c>
      <c r="N784" s="193" t="str">
        <f>'Buildings - Grid Electricity'!F289</f>
        <v/>
      </c>
      <c r="O784" s="237"/>
      <c r="P784" s="193">
        <f>'Buildings - Grid Electricity'!G289</f>
        <v>0</v>
      </c>
      <c r="Q784" s="193" t="str">
        <f>'Buildings - Grid Electricity'!H289</f>
        <v/>
      </c>
      <c r="R784" s="193">
        <f>'Buildings - Grid Electricity'!I289</f>
        <v>0</v>
      </c>
      <c r="S784" s="193" t="str">
        <f>'Buildings - Grid Electricity'!J289</f>
        <v/>
      </c>
      <c r="T784" s="193" t="str">
        <f>'Buildings - Grid Electricity'!K289</f>
        <v/>
      </c>
      <c r="U784" s="193" t="str">
        <f>'Buildings - Grid Electricity'!L289</f>
        <v/>
      </c>
      <c r="V784" s="193" t="str">
        <f>'Buildings - Grid Electricity'!M289</f>
        <v/>
      </c>
      <c r="W784" s="193" t="str">
        <f>'Buildings - Grid Electricity'!N289</f>
        <v/>
      </c>
      <c r="X784" s="193">
        <f>'Buildings - Grid Electricity'!O289</f>
        <v>0</v>
      </c>
      <c r="Y784" s="193">
        <f>'Buildings - Grid Electricity'!P289</f>
        <v>0</v>
      </c>
      <c r="Z784" s="193" t="str">
        <f>'Buildings - Grid Electricity'!Q289</f>
        <v/>
      </c>
      <c r="AA784" s="193" t="str">
        <f>'Buildings - Grid Electricity'!R289</f>
        <v/>
      </c>
      <c r="AB784" s="193" t="str">
        <f>'Buildings - Grid Electricity'!S289</f>
        <v/>
      </c>
      <c r="AC784" s="193" t="str">
        <f>'Buildings - Grid Electricity'!T289</f>
        <v/>
      </c>
      <c r="AD784" s="193" t="str">
        <f>'Buildings - Grid Electricity'!U289</f>
        <v/>
      </c>
      <c r="AE784" s="193" t="str">
        <f>'Buildings - Grid Electricity'!V289</f>
        <v/>
      </c>
      <c r="AF784" s="193" t="str">
        <f>'Buildings - Grid Electricity'!W289</f>
        <v/>
      </c>
      <c r="AG784" s="193" t="str">
        <f>'Buildings - Grid Electricity'!X289</f>
        <v/>
      </c>
      <c r="AI784" s="193">
        <f t="shared" si="12"/>
        <v>0</v>
      </c>
      <c r="AJ784" s="193">
        <f t="shared" si="13"/>
        <v>0</v>
      </c>
    </row>
    <row r="785" spans="2:36" x14ac:dyDescent="0.35">
      <c r="B785" s="193" t="e">
        <f>"2024"&amp;MATCH(Totals!D785,OrgType,0)&amp;"_"&amp;MATCH(Totals!E785,Organisations,0)&amp;"_"&amp;LEFT(Totals!F785,1)&amp;"_"&amp;LEFT(G785,1)&amp;"_"&amp;COUNTIF($G$3:G785,G785)</f>
        <v>#N/A</v>
      </c>
      <c r="C785" s="193">
        <v>2025</v>
      </c>
      <c r="D785" s="193">
        <f>Introduction!$D$7</f>
        <v>0</v>
      </c>
      <c r="E785" s="193">
        <f>Introduction!$D$8</f>
        <v>0</v>
      </c>
      <c r="F785" s="193" t="s">
        <v>488</v>
      </c>
      <c r="G785" s="193" t="s">
        <v>171</v>
      </c>
      <c r="H785" s="193">
        <f>'Buildings - Grid Electricity'!B290</f>
        <v>0</v>
      </c>
      <c r="I785" s="193">
        <f>'Buildings - Grid Electricity'!C290</f>
        <v>0</v>
      </c>
      <c r="J785" s="193" t="str">
        <f>'Buildings - Grid Electricity'!D290</f>
        <v/>
      </c>
      <c r="K785" s="237"/>
      <c r="L785" s="237"/>
      <c r="M785" s="193" t="str">
        <f>'Buildings - Grid Electricity'!E290</f>
        <v/>
      </c>
      <c r="N785" s="193" t="str">
        <f>'Buildings - Grid Electricity'!F290</f>
        <v/>
      </c>
      <c r="O785" s="237"/>
      <c r="P785" s="193">
        <f>'Buildings - Grid Electricity'!G290</f>
        <v>0</v>
      </c>
      <c r="Q785" s="193" t="str">
        <f>'Buildings - Grid Electricity'!H290</f>
        <v/>
      </c>
      <c r="R785" s="193">
        <f>'Buildings - Grid Electricity'!I290</f>
        <v>0</v>
      </c>
      <c r="S785" s="193" t="str">
        <f>'Buildings - Grid Electricity'!J290</f>
        <v/>
      </c>
      <c r="T785" s="193" t="str">
        <f>'Buildings - Grid Electricity'!K290</f>
        <v/>
      </c>
      <c r="U785" s="193" t="str">
        <f>'Buildings - Grid Electricity'!L290</f>
        <v/>
      </c>
      <c r="V785" s="193" t="str">
        <f>'Buildings - Grid Electricity'!M290</f>
        <v/>
      </c>
      <c r="W785" s="193" t="str">
        <f>'Buildings - Grid Electricity'!N290</f>
        <v/>
      </c>
      <c r="X785" s="193">
        <f>'Buildings - Grid Electricity'!O290</f>
        <v>0</v>
      </c>
      <c r="Y785" s="193">
        <f>'Buildings - Grid Electricity'!P290</f>
        <v>0</v>
      </c>
      <c r="Z785" s="193" t="str">
        <f>'Buildings - Grid Electricity'!Q290</f>
        <v/>
      </c>
      <c r="AA785" s="193" t="str">
        <f>'Buildings - Grid Electricity'!R290</f>
        <v/>
      </c>
      <c r="AB785" s="193" t="str">
        <f>'Buildings - Grid Electricity'!S290</f>
        <v/>
      </c>
      <c r="AC785" s="193" t="str">
        <f>'Buildings - Grid Electricity'!T290</f>
        <v/>
      </c>
      <c r="AD785" s="193" t="str">
        <f>'Buildings - Grid Electricity'!U290</f>
        <v/>
      </c>
      <c r="AE785" s="193" t="str">
        <f>'Buildings - Grid Electricity'!V290</f>
        <v/>
      </c>
      <c r="AF785" s="193" t="str">
        <f>'Buildings - Grid Electricity'!W290</f>
        <v/>
      </c>
      <c r="AG785" s="193" t="str">
        <f>'Buildings - Grid Electricity'!X290</f>
        <v/>
      </c>
      <c r="AI785" s="193">
        <f t="shared" si="12"/>
        <v>0</v>
      </c>
      <c r="AJ785" s="193">
        <f t="shared" si="13"/>
        <v>0</v>
      </c>
    </row>
    <row r="786" spans="2:36" x14ac:dyDescent="0.35">
      <c r="B786" s="193" t="e">
        <f>"2024"&amp;MATCH(Totals!D786,OrgType,0)&amp;"_"&amp;MATCH(Totals!E786,Organisations,0)&amp;"_"&amp;LEFT(Totals!F786,1)&amp;"_"&amp;LEFT(G786,1)&amp;"_"&amp;COUNTIF($G$3:G786,G786)</f>
        <v>#N/A</v>
      </c>
      <c r="C786" s="193">
        <v>2025</v>
      </c>
      <c r="D786" s="193">
        <f>Introduction!$D$7</f>
        <v>0</v>
      </c>
      <c r="E786" s="193">
        <f>Introduction!$D$8</f>
        <v>0</v>
      </c>
      <c r="F786" s="193" t="s">
        <v>488</v>
      </c>
      <c r="G786" s="193" t="s">
        <v>171</v>
      </c>
      <c r="H786" s="193">
        <f>'Buildings - Grid Electricity'!B291</f>
        <v>0</v>
      </c>
      <c r="I786" s="193">
        <f>'Buildings - Grid Electricity'!C291</f>
        <v>0</v>
      </c>
      <c r="J786" s="193" t="str">
        <f>'Buildings - Grid Electricity'!D291</f>
        <v/>
      </c>
      <c r="K786" s="237"/>
      <c r="L786" s="237"/>
      <c r="M786" s="193" t="str">
        <f>'Buildings - Grid Electricity'!E291</f>
        <v/>
      </c>
      <c r="N786" s="193" t="str">
        <f>'Buildings - Grid Electricity'!F291</f>
        <v/>
      </c>
      <c r="O786" s="237"/>
      <c r="P786" s="193">
        <f>'Buildings - Grid Electricity'!G291</f>
        <v>0</v>
      </c>
      <c r="Q786" s="193" t="str">
        <f>'Buildings - Grid Electricity'!H291</f>
        <v/>
      </c>
      <c r="R786" s="193">
        <f>'Buildings - Grid Electricity'!I291</f>
        <v>0</v>
      </c>
      <c r="S786" s="193" t="str">
        <f>'Buildings - Grid Electricity'!J291</f>
        <v/>
      </c>
      <c r="T786" s="193" t="str">
        <f>'Buildings - Grid Electricity'!K291</f>
        <v/>
      </c>
      <c r="U786" s="193" t="str">
        <f>'Buildings - Grid Electricity'!L291</f>
        <v/>
      </c>
      <c r="V786" s="193" t="str">
        <f>'Buildings - Grid Electricity'!M291</f>
        <v/>
      </c>
      <c r="W786" s="193" t="str">
        <f>'Buildings - Grid Electricity'!N291</f>
        <v/>
      </c>
      <c r="X786" s="193">
        <f>'Buildings - Grid Electricity'!O291</f>
        <v>0</v>
      </c>
      <c r="Y786" s="193">
        <f>'Buildings - Grid Electricity'!P291</f>
        <v>0</v>
      </c>
      <c r="Z786" s="193" t="str">
        <f>'Buildings - Grid Electricity'!Q291</f>
        <v/>
      </c>
      <c r="AA786" s="193" t="str">
        <f>'Buildings - Grid Electricity'!R291</f>
        <v/>
      </c>
      <c r="AB786" s="193" t="str">
        <f>'Buildings - Grid Electricity'!S291</f>
        <v/>
      </c>
      <c r="AC786" s="193" t="str">
        <f>'Buildings - Grid Electricity'!T291</f>
        <v/>
      </c>
      <c r="AD786" s="193" t="str">
        <f>'Buildings - Grid Electricity'!U291</f>
        <v/>
      </c>
      <c r="AE786" s="193" t="str">
        <f>'Buildings - Grid Electricity'!V291</f>
        <v/>
      </c>
      <c r="AF786" s="193" t="str">
        <f>'Buildings - Grid Electricity'!W291</f>
        <v/>
      </c>
      <c r="AG786" s="193" t="str">
        <f>'Buildings - Grid Electricity'!X291</f>
        <v/>
      </c>
      <c r="AI786" s="193">
        <f t="shared" si="12"/>
        <v>0</v>
      </c>
      <c r="AJ786" s="193">
        <f t="shared" si="13"/>
        <v>0</v>
      </c>
    </row>
    <row r="787" spans="2:36" x14ac:dyDescent="0.35">
      <c r="B787" s="193" t="e">
        <f>"2024"&amp;MATCH(Totals!D787,OrgType,0)&amp;"_"&amp;MATCH(Totals!E787,Organisations,0)&amp;"_"&amp;LEFT(Totals!F787,1)&amp;"_"&amp;LEFT(G787,1)&amp;"_"&amp;COUNTIF($G$3:G787,G787)</f>
        <v>#N/A</v>
      </c>
      <c r="C787" s="193">
        <v>2025</v>
      </c>
      <c r="D787" s="193">
        <f>Introduction!$D$7</f>
        <v>0</v>
      </c>
      <c r="E787" s="193">
        <f>Introduction!$D$8</f>
        <v>0</v>
      </c>
      <c r="F787" s="193" t="s">
        <v>488</v>
      </c>
      <c r="G787" s="193" t="s">
        <v>171</v>
      </c>
      <c r="H787" s="193">
        <f>'Buildings - Grid Electricity'!B292</f>
        <v>0</v>
      </c>
      <c r="I787" s="193">
        <f>'Buildings - Grid Electricity'!C292</f>
        <v>0</v>
      </c>
      <c r="J787" s="193" t="str">
        <f>'Buildings - Grid Electricity'!D292</f>
        <v/>
      </c>
      <c r="K787" s="237"/>
      <c r="L787" s="237"/>
      <c r="M787" s="193" t="str">
        <f>'Buildings - Grid Electricity'!E292</f>
        <v/>
      </c>
      <c r="N787" s="193" t="str">
        <f>'Buildings - Grid Electricity'!F292</f>
        <v/>
      </c>
      <c r="O787" s="237"/>
      <c r="P787" s="193">
        <f>'Buildings - Grid Electricity'!G292</f>
        <v>0</v>
      </c>
      <c r="Q787" s="193" t="str">
        <f>'Buildings - Grid Electricity'!H292</f>
        <v/>
      </c>
      <c r="R787" s="193">
        <f>'Buildings - Grid Electricity'!I292</f>
        <v>0</v>
      </c>
      <c r="S787" s="193" t="str">
        <f>'Buildings - Grid Electricity'!J292</f>
        <v/>
      </c>
      <c r="T787" s="193" t="str">
        <f>'Buildings - Grid Electricity'!K292</f>
        <v/>
      </c>
      <c r="U787" s="193" t="str">
        <f>'Buildings - Grid Electricity'!L292</f>
        <v/>
      </c>
      <c r="V787" s="193" t="str">
        <f>'Buildings - Grid Electricity'!M292</f>
        <v/>
      </c>
      <c r="W787" s="193" t="str">
        <f>'Buildings - Grid Electricity'!N292</f>
        <v/>
      </c>
      <c r="X787" s="193">
        <f>'Buildings - Grid Electricity'!O292</f>
        <v>0</v>
      </c>
      <c r="Y787" s="193">
        <f>'Buildings - Grid Electricity'!P292</f>
        <v>0</v>
      </c>
      <c r="Z787" s="193" t="str">
        <f>'Buildings - Grid Electricity'!Q292</f>
        <v/>
      </c>
      <c r="AA787" s="193" t="str">
        <f>'Buildings - Grid Electricity'!R292</f>
        <v/>
      </c>
      <c r="AB787" s="193" t="str">
        <f>'Buildings - Grid Electricity'!S292</f>
        <v/>
      </c>
      <c r="AC787" s="193" t="str">
        <f>'Buildings - Grid Electricity'!T292</f>
        <v/>
      </c>
      <c r="AD787" s="193" t="str">
        <f>'Buildings - Grid Electricity'!U292</f>
        <v/>
      </c>
      <c r="AE787" s="193" t="str">
        <f>'Buildings - Grid Electricity'!V292</f>
        <v/>
      </c>
      <c r="AF787" s="193" t="str">
        <f>'Buildings - Grid Electricity'!W292</f>
        <v/>
      </c>
      <c r="AG787" s="193" t="str">
        <f>'Buildings - Grid Electricity'!X292</f>
        <v/>
      </c>
      <c r="AI787" s="193">
        <f t="shared" si="12"/>
        <v>0</v>
      </c>
      <c r="AJ787" s="193">
        <f t="shared" si="13"/>
        <v>0</v>
      </c>
    </row>
    <row r="788" spans="2:36" x14ac:dyDescent="0.35">
      <c r="B788" s="193" t="e">
        <f>"2024"&amp;MATCH(Totals!D788,OrgType,0)&amp;"_"&amp;MATCH(Totals!E788,Organisations,0)&amp;"_"&amp;LEFT(Totals!F788,1)&amp;"_"&amp;LEFT(G788,1)&amp;"_"&amp;COUNTIF($G$3:G788,G788)</f>
        <v>#N/A</v>
      </c>
      <c r="C788" s="193">
        <v>2025</v>
      </c>
      <c r="D788" s="193">
        <f>Introduction!$D$7</f>
        <v>0</v>
      </c>
      <c r="E788" s="193">
        <f>Introduction!$D$8</f>
        <v>0</v>
      </c>
      <c r="F788" s="193" t="s">
        <v>488</v>
      </c>
      <c r="G788" s="193" t="s">
        <v>171</v>
      </c>
      <c r="H788" s="193">
        <f>'Buildings - Grid Electricity'!B293</f>
        <v>0</v>
      </c>
      <c r="I788" s="193">
        <f>'Buildings - Grid Electricity'!C293</f>
        <v>0</v>
      </c>
      <c r="J788" s="193" t="str">
        <f>'Buildings - Grid Electricity'!D293</f>
        <v/>
      </c>
      <c r="K788" s="237"/>
      <c r="L788" s="237"/>
      <c r="M788" s="193" t="str">
        <f>'Buildings - Grid Electricity'!E293</f>
        <v/>
      </c>
      <c r="N788" s="193" t="str">
        <f>'Buildings - Grid Electricity'!F293</f>
        <v/>
      </c>
      <c r="O788" s="237"/>
      <c r="P788" s="193">
        <f>'Buildings - Grid Electricity'!G293</f>
        <v>0</v>
      </c>
      <c r="Q788" s="193" t="str">
        <f>'Buildings - Grid Electricity'!H293</f>
        <v/>
      </c>
      <c r="R788" s="193">
        <f>'Buildings - Grid Electricity'!I293</f>
        <v>0</v>
      </c>
      <c r="S788" s="193" t="str">
        <f>'Buildings - Grid Electricity'!J293</f>
        <v/>
      </c>
      <c r="T788" s="193" t="str">
        <f>'Buildings - Grid Electricity'!K293</f>
        <v/>
      </c>
      <c r="U788" s="193" t="str">
        <f>'Buildings - Grid Electricity'!L293</f>
        <v/>
      </c>
      <c r="V788" s="193" t="str">
        <f>'Buildings - Grid Electricity'!M293</f>
        <v/>
      </c>
      <c r="W788" s="193" t="str">
        <f>'Buildings - Grid Electricity'!N293</f>
        <v/>
      </c>
      <c r="X788" s="193">
        <f>'Buildings - Grid Electricity'!O293</f>
        <v>0</v>
      </c>
      <c r="Y788" s="193">
        <f>'Buildings - Grid Electricity'!P293</f>
        <v>0</v>
      </c>
      <c r="Z788" s="193" t="str">
        <f>'Buildings - Grid Electricity'!Q293</f>
        <v/>
      </c>
      <c r="AA788" s="193" t="str">
        <f>'Buildings - Grid Electricity'!R293</f>
        <v/>
      </c>
      <c r="AB788" s="193" t="str">
        <f>'Buildings - Grid Electricity'!S293</f>
        <v/>
      </c>
      <c r="AC788" s="193" t="str">
        <f>'Buildings - Grid Electricity'!T293</f>
        <v/>
      </c>
      <c r="AD788" s="193" t="str">
        <f>'Buildings - Grid Electricity'!U293</f>
        <v/>
      </c>
      <c r="AE788" s="193" t="str">
        <f>'Buildings - Grid Electricity'!V293</f>
        <v/>
      </c>
      <c r="AF788" s="193" t="str">
        <f>'Buildings - Grid Electricity'!W293</f>
        <v/>
      </c>
      <c r="AG788" s="193" t="str">
        <f>'Buildings - Grid Electricity'!X293</f>
        <v/>
      </c>
      <c r="AI788" s="193">
        <f t="shared" ref="AI788:AI838" si="14">IF(AND(V788="",R788&lt;&gt;0),1,0)</f>
        <v>0</v>
      </c>
      <c r="AJ788" s="193">
        <f t="shared" ref="AJ788:AJ838" si="15">IF(AND(W788="",R788&lt;&gt;0),1,0)</f>
        <v>0</v>
      </c>
    </row>
    <row r="789" spans="2:36" x14ac:dyDescent="0.35">
      <c r="B789" s="193" t="e">
        <f>"2024"&amp;MATCH(Totals!D789,OrgType,0)&amp;"_"&amp;MATCH(Totals!E789,Organisations,0)&amp;"_"&amp;LEFT(Totals!F789,1)&amp;"_"&amp;LEFT(G789,1)&amp;"_"&amp;COUNTIF($G$3:G789,G789)</f>
        <v>#N/A</v>
      </c>
      <c r="C789" s="193">
        <v>2025</v>
      </c>
      <c r="D789" s="193">
        <f>Introduction!$D$7</f>
        <v>0</v>
      </c>
      <c r="E789" s="193">
        <f>Introduction!$D$8</f>
        <v>0</v>
      </c>
      <c r="F789" s="193" t="s">
        <v>488</v>
      </c>
      <c r="G789" s="193" t="s">
        <v>171</v>
      </c>
      <c r="H789" s="193">
        <f>'Buildings - Grid Electricity'!B294</f>
        <v>0</v>
      </c>
      <c r="I789" s="193">
        <f>'Buildings - Grid Electricity'!C294</f>
        <v>0</v>
      </c>
      <c r="J789" s="193" t="str">
        <f>'Buildings - Grid Electricity'!D294</f>
        <v/>
      </c>
      <c r="K789" s="237"/>
      <c r="L789" s="237"/>
      <c r="M789" s="193" t="str">
        <f>'Buildings - Grid Electricity'!E294</f>
        <v/>
      </c>
      <c r="N789" s="193" t="str">
        <f>'Buildings - Grid Electricity'!F294</f>
        <v/>
      </c>
      <c r="O789" s="237"/>
      <c r="P789" s="193">
        <f>'Buildings - Grid Electricity'!G294</f>
        <v>0</v>
      </c>
      <c r="Q789" s="193" t="str">
        <f>'Buildings - Grid Electricity'!H294</f>
        <v/>
      </c>
      <c r="R789" s="193">
        <f>'Buildings - Grid Electricity'!I294</f>
        <v>0</v>
      </c>
      <c r="S789" s="193" t="str">
        <f>'Buildings - Grid Electricity'!J294</f>
        <v/>
      </c>
      <c r="T789" s="193" t="str">
        <f>'Buildings - Grid Electricity'!K294</f>
        <v/>
      </c>
      <c r="U789" s="193" t="str">
        <f>'Buildings - Grid Electricity'!L294</f>
        <v/>
      </c>
      <c r="V789" s="193" t="str">
        <f>'Buildings - Grid Electricity'!M294</f>
        <v/>
      </c>
      <c r="W789" s="193" t="str">
        <f>'Buildings - Grid Electricity'!N294</f>
        <v/>
      </c>
      <c r="X789" s="193">
        <f>'Buildings - Grid Electricity'!O294</f>
        <v>0</v>
      </c>
      <c r="Y789" s="193">
        <f>'Buildings - Grid Electricity'!P294</f>
        <v>0</v>
      </c>
      <c r="Z789" s="193" t="str">
        <f>'Buildings - Grid Electricity'!Q294</f>
        <v/>
      </c>
      <c r="AA789" s="193" t="str">
        <f>'Buildings - Grid Electricity'!R294</f>
        <v/>
      </c>
      <c r="AB789" s="193" t="str">
        <f>'Buildings - Grid Electricity'!S294</f>
        <v/>
      </c>
      <c r="AC789" s="193" t="str">
        <f>'Buildings - Grid Electricity'!T294</f>
        <v/>
      </c>
      <c r="AD789" s="193" t="str">
        <f>'Buildings - Grid Electricity'!U294</f>
        <v/>
      </c>
      <c r="AE789" s="193" t="str">
        <f>'Buildings - Grid Electricity'!V294</f>
        <v/>
      </c>
      <c r="AF789" s="193" t="str">
        <f>'Buildings - Grid Electricity'!W294</f>
        <v/>
      </c>
      <c r="AG789" s="193" t="str">
        <f>'Buildings - Grid Electricity'!X294</f>
        <v/>
      </c>
      <c r="AI789" s="193">
        <f t="shared" si="14"/>
        <v>0</v>
      </c>
      <c r="AJ789" s="193">
        <f t="shared" si="15"/>
        <v>0</v>
      </c>
    </row>
    <row r="790" spans="2:36" x14ac:dyDescent="0.35">
      <c r="B790" s="193" t="e">
        <f>"2024"&amp;MATCH(Totals!D790,OrgType,0)&amp;"_"&amp;MATCH(Totals!E790,Organisations,0)&amp;"_"&amp;LEFT(Totals!F790,1)&amp;"_"&amp;LEFT(G790,1)&amp;"_"&amp;COUNTIF($G$3:G790,G790)</f>
        <v>#N/A</v>
      </c>
      <c r="C790" s="193">
        <v>2025</v>
      </c>
      <c r="D790" s="193">
        <f>Introduction!$D$7</f>
        <v>0</v>
      </c>
      <c r="E790" s="193">
        <f>Introduction!$D$8</f>
        <v>0</v>
      </c>
      <c r="F790" s="193" t="s">
        <v>488</v>
      </c>
      <c r="G790" s="193" t="s">
        <v>171</v>
      </c>
      <c r="H790" s="193">
        <f>'Buildings - Grid Electricity'!B295</f>
        <v>0</v>
      </c>
      <c r="I790" s="193">
        <f>'Buildings - Grid Electricity'!C295</f>
        <v>0</v>
      </c>
      <c r="J790" s="193" t="str">
        <f>'Buildings - Grid Electricity'!D295</f>
        <v/>
      </c>
      <c r="K790" s="237"/>
      <c r="L790" s="237"/>
      <c r="M790" s="193" t="str">
        <f>'Buildings - Grid Electricity'!E295</f>
        <v/>
      </c>
      <c r="N790" s="193" t="str">
        <f>'Buildings - Grid Electricity'!F295</f>
        <v/>
      </c>
      <c r="O790" s="237"/>
      <c r="P790" s="193">
        <f>'Buildings - Grid Electricity'!G295</f>
        <v>0</v>
      </c>
      <c r="Q790" s="193" t="str">
        <f>'Buildings - Grid Electricity'!H295</f>
        <v/>
      </c>
      <c r="R790" s="193">
        <f>'Buildings - Grid Electricity'!I295</f>
        <v>0</v>
      </c>
      <c r="S790" s="193" t="str">
        <f>'Buildings - Grid Electricity'!J295</f>
        <v/>
      </c>
      <c r="T790" s="193" t="str">
        <f>'Buildings - Grid Electricity'!K295</f>
        <v/>
      </c>
      <c r="U790" s="193" t="str">
        <f>'Buildings - Grid Electricity'!L295</f>
        <v/>
      </c>
      <c r="V790" s="193" t="str">
        <f>'Buildings - Grid Electricity'!M295</f>
        <v/>
      </c>
      <c r="W790" s="193" t="str">
        <f>'Buildings - Grid Electricity'!N295</f>
        <v/>
      </c>
      <c r="X790" s="193">
        <f>'Buildings - Grid Electricity'!O295</f>
        <v>0</v>
      </c>
      <c r="Y790" s="193">
        <f>'Buildings - Grid Electricity'!P295</f>
        <v>0</v>
      </c>
      <c r="Z790" s="193" t="str">
        <f>'Buildings - Grid Electricity'!Q295</f>
        <v/>
      </c>
      <c r="AA790" s="193" t="str">
        <f>'Buildings - Grid Electricity'!R295</f>
        <v/>
      </c>
      <c r="AB790" s="193" t="str">
        <f>'Buildings - Grid Electricity'!S295</f>
        <v/>
      </c>
      <c r="AC790" s="193" t="str">
        <f>'Buildings - Grid Electricity'!T295</f>
        <v/>
      </c>
      <c r="AD790" s="193" t="str">
        <f>'Buildings - Grid Electricity'!U295</f>
        <v/>
      </c>
      <c r="AE790" s="193" t="str">
        <f>'Buildings - Grid Electricity'!V295</f>
        <v/>
      </c>
      <c r="AF790" s="193" t="str">
        <f>'Buildings - Grid Electricity'!W295</f>
        <v/>
      </c>
      <c r="AG790" s="193" t="str">
        <f>'Buildings - Grid Electricity'!X295</f>
        <v/>
      </c>
      <c r="AI790" s="193">
        <f t="shared" si="14"/>
        <v>0</v>
      </c>
      <c r="AJ790" s="193">
        <f t="shared" si="15"/>
        <v>0</v>
      </c>
    </row>
    <row r="791" spans="2:36" x14ac:dyDescent="0.35">
      <c r="B791" s="193" t="e">
        <f>"2024"&amp;MATCH(Totals!D791,OrgType,0)&amp;"_"&amp;MATCH(Totals!E791,Organisations,0)&amp;"_"&amp;LEFT(Totals!F791,1)&amp;"_"&amp;LEFT(G791,1)&amp;"_"&amp;COUNTIF($G$3:G791,G791)</f>
        <v>#N/A</v>
      </c>
      <c r="C791" s="193">
        <v>2025</v>
      </c>
      <c r="D791" s="193">
        <f>Introduction!$D$7</f>
        <v>0</v>
      </c>
      <c r="E791" s="193">
        <f>Introduction!$D$8</f>
        <v>0</v>
      </c>
      <c r="F791" s="193" t="s">
        <v>488</v>
      </c>
      <c r="G791" s="193" t="s">
        <v>171</v>
      </c>
      <c r="H791" s="193">
        <f>'Buildings - Grid Electricity'!B296</f>
        <v>0</v>
      </c>
      <c r="I791" s="193">
        <f>'Buildings - Grid Electricity'!C296</f>
        <v>0</v>
      </c>
      <c r="J791" s="193" t="str">
        <f>'Buildings - Grid Electricity'!D296</f>
        <v/>
      </c>
      <c r="K791" s="237"/>
      <c r="L791" s="237"/>
      <c r="M791" s="193" t="str">
        <f>'Buildings - Grid Electricity'!E296</f>
        <v/>
      </c>
      <c r="N791" s="193" t="str">
        <f>'Buildings - Grid Electricity'!F296</f>
        <v/>
      </c>
      <c r="O791" s="237"/>
      <c r="P791" s="193">
        <f>'Buildings - Grid Electricity'!G296</f>
        <v>0</v>
      </c>
      <c r="Q791" s="193" t="str">
        <f>'Buildings - Grid Electricity'!H296</f>
        <v/>
      </c>
      <c r="R791" s="193">
        <f>'Buildings - Grid Electricity'!I296</f>
        <v>0</v>
      </c>
      <c r="S791" s="193" t="str">
        <f>'Buildings - Grid Electricity'!J296</f>
        <v/>
      </c>
      <c r="T791" s="193" t="str">
        <f>'Buildings - Grid Electricity'!K296</f>
        <v/>
      </c>
      <c r="U791" s="193" t="str">
        <f>'Buildings - Grid Electricity'!L296</f>
        <v/>
      </c>
      <c r="V791" s="193" t="str">
        <f>'Buildings - Grid Electricity'!M296</f>
        <v/>
      </c>
      <c r="W791" s="193" t="str">
        <f>'Buildings - Grid Electricity'!N296</f>
        <v/>
      </c>
      <c r="X791" s="193">
        <f>'Buildings - Grid Electricity'!O296</f>
        <v>0</v>
      </c>
      <c r="Y791" s="193">
        <f>'Buildings - Grid Electricity'!P296</f>
        <v>0</v>
      </c>
      <c r="Z791" s="193" t="str">
        <f>'Buildings - Grid Electricity'!Q296</f>
        <v/>
      </c>
      <c r="AA791" s="193" t="str">
        <f>'Buildings - Grid Electricity'!R296</f>
        <v/>
      </c>
      <c r="AB791" s="193" t="str">
        <f>'Buildings - Grid Electricity'!S296</f>
        <v/>
      </c>
      <c r="AC791" s="193" t="str">
        <f>'Buildings - Grid Electricity'!T296</f>
        <v/>
      </c>
      <c r="AD791" s="193" t="str">
        <f>'Buildings - Grid Electricity'!U296</f>
        <v/>
      </c>
      <c r="AE791" s="193" t="str">
        <f>'Buildings - Grid Electricity'!V296</f>
        <v/>
      </c>
      <c r="AF791" s="193" t="str">
        <f>'Buildings - Grid Electricity'!W296</f>
        <v/>
      </c>
      <c r="AG791" s="193" t="str">
        <f>'Buildings - Grid Electricity'!X296</f>
        <v/>
      </c>
      <c r="AI791" s="193">
        <f t="shared" si="14"/>
        <v>0</v>
      </c>
      <c r="AJ791" s="193">
        <f t="shared" si="15"/>
        <v>0</v>
      </c>
    </row>
    <row r="792" spans="2:36" x14ac:dyDescent="0.35">
      <c r="B792" s="193" t="e">
        <f>"2024"&amp;MATCH(Totals!D792,OrgType,0)&amp;"_"&amp;MATCH(Totals!E792,Organisations,0)&amp;"_"&amp;LEFT(Totals!F792,1)&amp;"_"&amp;LEFT(G792,1)&amp;"_"&amp;COUNTIF($G$3:G792,G792)</f>
        <v>#N/A</v>
      </c>
      <c r="C792" s="193">
        <v>2025</v>
      </c>
      <c r="D792" s="193">
        <f>Introduction!$D$7</f>
        <v>0</v>
      </c>
      <c r="E792" s="193">
        <f>Introduction!$D$8</f>
        <v>0</v>
      </c>
      <c r="F792" s="193" t="s">
        <v>488</v>
      </c>
      <c r="G792" s="193" t="s">
        <v>171</v>
      </c>
      <c r="H792" s="193">
        <f>'Buildings - Grid Electricity'!B297</f>
        <v>0</v>
      </c>
      <c r="I792" s="193">
        <f>'Buildings - Grid Electricity'!C297</f>
        <v>0</v>
      </c>
      <c r="J792" s="193" t="str">
        <f>'Buildings - Grid Electricity'!D297</f>
        <v/>
      </c>
      <c r="K792" s="237"/>
      <c r="L792" s="237"/>
      <c r="M792" s="193" t="str">
        <f>'Buildings - Grid Electricity'!E297</f>
        <v/>
      </c>
      <c r="N792" s="193" t="str">
        <f>'Buildings - Grid Electricity'!F297</f>
        <v/>
      </c>
      <c r="O792" s="237"/>
      <c r="P792" s="193">
        <f>'Buildings - Grid Electricity'!G297</f>
        <v>0</v>
      </c>
      <c r="Q792" s="193" t="str">
        <f>'Buildings - Grid Electricity'!H297</f>
        <v/>
      </c>
      <c r="R792" s="193">
        <f>'Buildings - Grid Electricity'!I297</f>
        <v>0</v>
      </c>
      <c r="S792" s="193" t="str">
        <f>'Buildings - Grid Electricity'!J297</f>
        <v/>
      </c>
      <c r="T792" s="193" t="str">
        <f>'Buildings - Grid Electricity'!K297</f>
        <v/>
      </c>
      <c r="U792" s="193" t="str">
        <f>'Buildings - Grid Electricity'!L297</f>
        <v/>
      </c>
      <c r="V792" s="193" t="str">
        <f>'Buildings - Grid Electricity'!M297</f>
        <v/>
      </c>
      <c r="W792" s="193" t="str">
        <f>'Buildings - Grid Electricity'!N297</f>
        <v/>
      </c>
      <c r="X792" s="193">
        <f>'Buildings - Grid Electricity'!O297</f>
        <v>0</v>
      </c>
      <c r="Y792" s="193">
        <f>'Buildings - Grid Electricity'!P297</f>
        <v>0</v>
      </c>
      <c r="Z792" s="193" t="str">
        <f>'Buildings - Grid Electricity'!Q297</f>
        <v/>
      </c>
      <c r="AA792" s="193" t="str">
        <f>'Buildings - Grid Electricity'!R297</f>
        <v/>
      </c>
      <c r="AB792" s="193" t="str">
        <f>'Buildings - Grid Electricity'!S297</f>
        <v/>
      </c>
      <c r="AC792" s="193" t="str">
        <f>'Buildings - Grid Electricity'!T297</f>
        <v/>
      </c>
      <c r="AD792" s="193" t="str">
        <f>'Buildings - Grid Electricity'!U297</f>
        <v/>
      </c>
      <c r="AE792" s="193" t="str">
        <f>'Buildings - Grid Electricity'!V297</f>
        <v/>
      </c>
      <c r="AF792" s="193" t="str">
        <f>'Buildings - Grid Electricity'!W297</f>
        <v/>
      </c>
      <c r="AG792" s="193" t="str">
        <f>'Buildings - Grid Electricity'!X297</f>
        <v/>
      </c>
      <c r="AI792" s="193">
        <f t="shared" si="14"/>
        <v>0</v>
      </c>
      <c r="AJ792" s="193">
        <f t="shared" si="15"/>
        <v>0</v>
      </c>
    </row>
    <row r="793" spans="2:36" x14ac:dyDescent="0.35">
      <c r="B793" s="193" t="e">
        <f>"2024"&amp;MATCH(Totals!D793,OrgType,0)&amp;"_"&amp;MATCH(Totals!E793,Organisations,0)&amp;"_"&amp;LEFT(Totals!F793,1)&amp;"_"&amp;LEFT(G793,1)&amp;"_"&amp;COUNTIF($G$3:G793,G793)</f>
        <v>#N/A</v>
      </c>
      <c r="C793" s="193">
        <v>2025</v>
      </c>
      <c r="D793" s="193">
        <f>Introduction!$D$7</f>
        <v>0</v>
      </c>
      <c r="E793" s="193">
        <f>Introduction!$D$8</f>
        <v>0</v>
      </c>
      <c r="F793" s="193" t="s">
        <v>488</v>
      </c>
      <c r="G793" s="193" t="s">
        <v>171</v>
      </c>
      <c r="H793" s="193">
        <f>'Buildings - Grid Electricity'!B298</f>
        <v>0</v>
      </c>
      <c r="I793" s="193">
        <f>'Buildings - Grid Electricity'!C298</f>
        <v>0</v>
      </c>
      <c r="J793" s="193" t="str">
        <f>'Buildings - Grid Electricity'!D298</f>
        <v/>
      </c>
      <c r="K793" s="237"/>
      <c r="L793" s="237"/>
      <c r="M793" s="193" t="str">
        <f>'Buildings - Grid Electricity'!E298</f>
        <v/>
      </c>
      <c r="N793" s="193" t="str">
        <f>'Buildings - Grid Electricity'!F298</f>
        <v/>
      </c>
      <c r="O793" s="237"/>
      <c r="P793" s="193">
        <f>'Buildings - Grid Electricity'!G298</f>
        <v>0</v>
      </c>
      <c r="Q793" s="193" t="str">
        <f>'Buildings - Grid Electricity'!H298</f>
        <v/>
      </c>
      <c r="R793" s="193">
        <f>'Buildings - Grid Electricity'!I298</f>
        <v>0</v>
      </c>
      <c r="S793" s="193" t="str">
        <f>'Buildings - Grid Electricity'!J298</f>
        <v/>
      </c>
      <c r="T793" s="193" t="str">
        <f>'Buildings - Grid Electricity'!K298</f>
        <v/>
      </c>
      <c r="U793" s="193" t="str">
        <f>'Buildings - Grid Electricity'!L298</f>
        <v/>
      </c>
      <c r="V793" s="193" t="str">
        <f>'Buildings - Grid Electricity'!M298</f>
        <v/>
      </c>
      <c r="W793" s="193" t="str">
        <f>'Buildings - Grid Electricity'!N298</f>
        <v/>
      </c>
      <c r="X793" s="193">
        <f>'Buildings - Grid Electricity'!O298</f>
        <v>0</v>
      </c>
      <c r="Y793" s="193">
        <f>'Buildings - Grid Electricity'!P298</f>
        <v>0</v>
      </c>
      <c r="Z793" s="193" t="str">
        <f>'Buildings - Grid Electricity'!Q298</f>
        <v/>
      </c>
      <c r="AA793" s="193" t="str">
        <f>'Buildings - Grid Electricity'!R298</f>
        <v/>
      </c>
      <c r="AB793" s="193" t="str">
        <f>'Buildings - Grid Electricity'!S298</f>
        <v/>
      </c>
      <c r="AC793" s="193" t="str">
        <f>'Buildings - Grid Electricity'!T298</f>
        <v/>
      </c>
      <c r="AD793" s="193" t="str">
        <f>'Buildings - Grid Electricity'!U298</f>
        <v/>
      </c>
      <c r="AE793" s="193" t="str">
        <f>'Buildings - Grid Electricity'!V298</f>
        <v/>
      </c>
      <c r="AF793" s="193" t="str">
        <f>'Buildings - Grid Electricity'!W298</f>
        <v/>
      </c>
      <c r="AG793" s="193" t="str">
        <f>'Buildings - Grid Electricity'!X298</f>
        <v/>
      </c>
      <c r="AI793" s="193">
        <f t="shared" si="14"/>
        <v>0</v>
      </c>
      <c r="AJ793" s="193">
        <f t="shared" si="15"/>
        <v>0</v>
      </c>
    </row>
    <row r="794" spans="2:36" x14ac:dyDescent="0.35">
      <c r="B794" s="193" t="e">
        <f>"2024"&amp;MATCH(Totals!D794,OrgType,0)&amp;"_"&amp;MATCH(Totals!E794,Organisations,0)&amp;"_"&amp;LEFT(Totals!F794,1)&amp;"_"&amp;LEFT(G794,1)&amp;"_"&amp;COUNTIF($G$3:G794,G794)</f>
        <v>#N/A</v>
      </c>
      <c r="C794" s="193">
        <v>2025</v>
      </c>
      <c r="D794" s="193">
        <f>Introduction!$D$7</f>
        <v>0</v>
      </c>
      <c r="E794" s="193">
        <f>Introduction!$D$8</f>
        <v>0</v>
      </c>
      <c r="F794" s="193" t="s">
        <v>488</v>
      </c>
      <c r="G794" s="193" t="s">
        <v>171</v>
      </c>
      <c r="H794" s="193">
        <f>'Buildings - Grid Electricity'!B299</f>
        <v>0</v>
      </c>
      <c r="I794" s="193">
        <f>'Buildings - Grid Electricity'!C299</f>
        <v>0</v>
      </c>
      <c r="J794" s="193" t="str">
        <f>'Buildings - Grid Electricity'!D299</f>
        <v/>
      </c>
      <c r="K794" s="237"/>
      <c r="L794" s="237"/>
      <c r="M794" s="193" t="str">
        <f>'Buildings - Grid Electricity'!E299</f>
        <v/>
      </c>
      <c r="N794" s="193" t="str">
        <f>'Buildings - Grid Electricity'!F299</f>
        <v/>
      </c>
      <c r="O794" s="237"/>
      <c r="P794" s="193">
        <f>'Buildings - Grid Electricity'!G299</f>
        <v>0</v>
      </c>
      <c r="Q794" s="193" t="str">
        <f>'Buildings - Grid Electricity'!H299</f>
        <v/>
      </c>
      <c r="R794" s="193">
        <f>'Buildings - Grid Electricity'!I299</f>
        <v>0</v>
      </c>
      <c r="S794" s="193" t="str">
        <f>'Buildings - Grid Electricity'!J299</f>
        <v/>
      </c>
      <c r="T794" s="193" t="str">
        <f>'Buildings - Grid Electricity'!K299</f>
        <v/>
      </c>
      <c r="U794" s="193" t="str">
        <f>'Buildings - Grid Electricity'!L299</f>
        <v/>
      </c>
      <c r="V794" s="193" t="str">
        <f>'Buildings - Grid Electricity'!M299</f>
        <v/>
      </c>
      <c r="W794" s="193" t="str">
        <f>'Buildings - Grid Electricity'!N299</f>
        <v/>
      </c>
      <c r="X794" s="193">
        <f>'Buildings - Grid Electricity'!O299</f>
        <v>0</v>
      </c>
      <c r="Y794" s="193">
        <f>'Buildings - Grid Electricity'!P299</f>
        <v>0</v>
      </c>
      <c r="Z794" s="193" t="str">
        <f>'Buildings - Grid Electricity'!Q299</f>
        <v/>
      </c>
      <c r="AA794" s="193" t="str">
        <f>'Buildings - Grid Electricity'!R299</f>
        <v/>
      </c>
      <c r="AB794" s="193" t="str">
        <f>'Buildings - Grid Electricity'!S299</f>
        <v/>
      </c>
      <c r="AC794" s="193" t="str">
        <f>'Buildings - Grid Electricity'!T299</f>
        <v/>
      </c>
      <c r="AD794" s="193" t="str">
        <f>'Buildings - Grid Electricity'!U299</f>
        <v/>
      </c>
      <c r="AE794" s="193" t="str">
        <f>'Buildings - Grid Electricity'!V299</f>
        <v/>
      </c>
      <c r="AF794" s="193" t="str">
        <f>'Buildings - Grid Electricity'!W299</f>
        <v/>
      </c>
      <c r="AG794" s="193" t="str">
        <f>'Buildings - Grid Electricity'!X299</f>
        <v/>
      </c>
      <c r="AI794" s="193">
        <f t="shared" si="14"/>
        <v>0</v>
      </c>
      <c r="AJ794" s="193">
        <f t="shared" si="15"/>
        <v>0</v>
      </c>
    </row>
    <row r="795" spans="2:36" x14ac:dyDescent="0.35">
      <c r="B795" s="193" t="e">
        <f>"2024"&amp;MATCH(Totals!D795,OrgType,0)&amp;"_"&amp;MATCH(Totals!E795,Organisations,0)&amp;"_"&amp;LEFT(Totals!F795,1)&amp;"_"&amp;LEFT(G795,1)&amp;"_"&amp;COUNTIF($G$3:G795,G795)</f>
        <v>#N/A</v>
      </c>
      <c r="C795" s="193">
        <v>2025</v>
      </c>
      <c r="D795" s="193">
        <f>Introduction!$D$7</f>
        <v>0</v>
      </c>
      <c r="E795" s="193">
        <f>Introduction!$D$8</f>
        <v>0</v>
      </c>
      <c r="F795" s="193" t="s">
        <v>488</v>
      </c>
      <c r="G795" s="193" t="s">
        <v>171</v>
      </c>
      <c r="H795" s="193">
        <f>'Buildings - Grid Electricity'!B300</f>
        <v>0</v>
      </c>
      <c r="I795" s="193">
        <f>'Buildings - Grid Electricity'!C300</f>
        <v>0</v>
      </c>
      <c r="J795" s="193" t="str">
        <f>'Buildings - Grid Electricity'!D300</f>
        <v/>
      </c>
      <c r="K795" s="237"/>
      <c r="L795" s="237"/>
      <c r="M795" s="193" t="str">
        <f>'Buildings - Grid Electricity'!E300</f>
        <v/>
      </c>
      <c r="N795" s="193" t="str">
        <f>'Buildings - Grid Electricity'!F300</f>
        <v/>
      </c>
      <c r="O795" s="237"/>
      <c r="P795" s="193">
        <f>'Buildings - Grid Electricity'!G300</f>
        <v>0</v>
      </c>
      <c r="Q795" s="193" t="str">
        <f>'Buildings - Grid Electricity'!H300</f>
        <v/>
      </c>
      <c r="R795" s="193">
        <f>'Buildings - Grid Electricity'!I300</f>
        <v>0</v>
      </c>
      <c r="S795" s="193" t="str">
        <f>'Buildings - Grid Electricity'!J300</f>
        <v/>
      </c>
      <c r="T795" s="193" t="str">
        <f>'Buildings - Grid Electricity'!K300</f>
        <v/>
      </c>
      <c r="U795" s="193" t="str">
        <f>'Buildings - Grid Electricity'!L300</f>
        <v/>
      </c>
      <c r="V795" s="193" t="str">
        <f>'Buildings - Grid Electricity'!M300</f>
        <v/>
      </c>
      <c r="W795" s="193" t="str">
        <f>'Buildings - Grid Electricity'!N300</f>
        <v/>
      </c>
      <c r="X795" s="193">
        <f>'Buildings - Grid Electricity'!O300</f>
        <v>0</v>
      </c>
      <c r="Y795" s="193">
        <f>'Buildings - Grid Electricity'!P300</f>
        <v>0</v>
      </c>
      <c r="Z795" s="193" t="str">
        <f>'Buildings - Grid Electricity'!Q300</f>
        <v/>
      </c>
      <c r="AA795" s="193" t="str">
        <f>'Buildings - Grid Electricity'!R300</f>
        <v/>
      </c>
      <c r="AB795" s="193" t="str">
        <f>'Buildings - Grid Electricity'!S300</f>
        <v/>
      </c>
      <c r="AC795" s="193" t="str">
        <f>'Buildings - Grid Electricity'!T300</f>
        <v/>
      </c>
      <c r="AD795" s="193" t="str">
        <f>'Buildings - Grid Electricity'!U300</f>
        <v/>
      </c>
      <c r="AE795" s="193" t="str">
        <f>'Buildings - Grid Electricity'!V300</f>
        <v/>
      </c>
      <c r="AF795" s="193" t="str">
        <f>'Buildings - Grid Electricity'!W300</f>
        <v/>
      </c>
      <c r="AG795" s="193" t="str">
        <f>'Buildings - Grid Electricity'!X300</f>
        <v/>
      </c>
      <c r="AI795" s="193">
        <f t="shared" si="14"/>
        <v>0</v>
      </c>
      <c r="AJ795" s="193">
        <f t="shared" si="15"/>
        <v>0</v>
      </c>
    </row>
    <row r="796" spans="2:36" x14ac:dyDescent="0.35">
      <c r="B796" s="193" t="e">
        <f>"2024"&amp;MATCH(Totals!D796,OrgType,0)&amp;"_"&amp;MATCH(Totals!E796,Organisations,0)&amp;"_"&amp;LEFT(Totals!F796,1)&amp;"_"&amp;LEFT(G796,1)&amp;"_"&amp;COUNTIF($G$3:G796,G796)</f>
        <v>#N/A</v>
      </c>
      <c r="C796" s="193">
        <v>2025</v>
      </c>
      <c r="D796" s="193">
        <f>Introduction!$D$7</f>
        <v>0</v>
      </c>
      <c r="E796" s="193">
        <f>Introduction!$D$8</f>
        <v>0</v>
      </c>
      <c r="F796" s="193" t="s">
        <v>488</v>
      </c>
      <c r="G796" s="193" t="s">
        <v>171</v>
      </c>
      <c r="H796" s="193">
        <f>'Buildings - Grid Electricity'!B301</f>
        <v>0</v>
      </c>
      <c r="I796" s="193">
        <f>'Buildings - Grid Electricity'!C301</f>
        <v>0</v>
      </c>
      <c r="J796" s="193" t="str">
        <f>'Buildings - Grid Electricity'!D301</f>
        <v/>
      </c>
      <c r="K796" s="237"/>
      <c r="L796" s="237"/>
      <c r="M796" s="193" t="str">
        <f>'Buildings - Grid Electricity'!E301</f>
        <v/>
      </c>
      <c r="N796" s="193" t="str">
        <f>'Buildings - Grid Electricity'!F301</f>
        <v/>
      </c>
      <c r="O796" s="237"/>
      <c r="P796" s="193">
        <f>'Buildings - Grid Electricity'!G301</f>
        <v>0</v>
      </c>
      <c r="Q796" s="193" t="str">
        <f>'Buildings - Grid Electricity'!H301</f>
        <v/>
      </c>
      <c r="R796" s="193">
        <f>'Buildings - Grid Electricity'!I301</f>
        <v>0</v>
      </c>
      <c r="S796" s="193" t="str">
        <f>'Buildings - Grid Electricity'!J301</f>
        <v/>
      </c>
      <c r="T796" s="193" t="str">
        <f>'Buildings - Grid Electricity'!K301</f>
        <v/>
      </c>
      <c r="U796" s="193" t="str">
        <f>'Buildings - Grid Electricity'!L301</f>
        <v/>
      </c>
      <c r="V796" s="193" t="str">
        <f>'Buildings - Grid Electricity'!M301</f>
        <v/>
      </c>
      <c r="W796" s="193" t="str">
        <f>'Buildings - Grid Electricity'!N301</f>
        <v/>
      </c>
      <c r="X796" s="193">
        <f>'Buildings - Grid Electricity'!O301</f>
        <v>0</v>
      </c>
      <c r="Y796" s="193">
        <f>'Buildings - Grid Electricity'!P301</f>
        <v>0</v>
      </c>
      <c r="Z796" s="193" t="str">
        <f>'Buildings - Grid Electricity'!Q301</f>
        <v/>
      </c>
      <c r="AA796" s="193" t="str">
        <f>'Buildings - Grid Electricity'!R301</f>
        <v/>
      </c>
      <c r="AB796" s="193" t="str">
        <f>'Buildings - Grid Electricity'!S301</f>
        <v/>
      </c>
      <c r="AC796" s="193" t="str">
        <f>'Buildings - Grid Electricity'!T301</f>
        <v/>
      </c>
      <c r="AD796" s="193" t="str">
        <f>'Buildings - Grid Electricity'!U301</f>
        <v/>
      </c>
      <c r="AE796" s="193" t="str">
        <f>'Buildings - Grid Electricity'!V301</f>
        <v/>
      </c>
      <c r="AF796" s="193" t="str">
        <f>'Buildings - Grid Electricity'!W301</f>
        <v/>
      </c>
      <c r="AG796" s="193" t="str">
        <f>'Buildings - Grid Electricity'!X301</f>
        <v/>
      </c>
      <c r="AI796" s="193">
        <f t="shared" si="14"/>
        <v>0</v>
      </c>
      <c r="AJ796" s="193">
        <f t="shared" si="15"/>
        <v>0</v>
      </c>
    </row>
    <row r="797" spans="2:36" x14ac:dyDescent="0.35">
      <c r="B797" s="193" t="e">
        <f>"2024"&amp;MATCH(Totals!D797,OrgType,0)&amp;"_"&amp;MATCH(Totals!E797,Organisations,0)&amp;"_"&amp;LEFT(Totals!F797,1)&amp;"_"&amp;LEFT(G797,1)&amp;"_"&amp;COUNTIF($G$3:G797,G797)</f>
        <v>#N/A</v>
      </c>
      <c r="C797" s="193">
        <v>2025</v>
      </c>
      <c r="D797" s="193">
        <f>Introduction!$D$7</f>
        <v>0</v>
      </c>
      <c r="E797" s="193">
        <f>Introduction!$D$8</f>
        <v>0</v>
      </c>
      <c r="F797" s="193" t="s">
        <v>488</v>
      </c>
      <c r="G797" s="193" t="s">
        <v>171</v>
      </c>
      <c r="H797" s="193">
        <f>'Buildings - Grid Electricity'!B302</f>
        <v>0</v>
      </c>
      <c r="I797" s="193">
        <f>'Buildings - Grid Electricity'!C302</f>
        <v>0</v>
      </c>
      <c r="J797" s="193" t="str">
        <f>'Buildings - Grid Electricity'!D302</f>
        <v/>
      </c>
      <c r="K797" s="237"/>
      <c r="L797" s="237"/>
      <c r="M797" s="193" t="str">
        <f>'Buildings - Grid Electricity'!E302</f>
        <v/>
      </c>
      <c r="N797" s="193" t="str">
        <f>'Buildings - Grid Electricity'!F302</f>
        <v/>
      </c>
      <c r="O797" s="237"/>
      <c r="P797" s="193">
        <f>'Buildings - Grid Electricity'!G302</f>
        <v>0</v>
      </c>
      <c r="Q797" s="193" t="str">
        <f>'Buildings - Grid Electricity'!H302</f>
        <v/>
      </c>
      <c r="R797" s="193">
        <f>'Buildings - Grid Electricity'!I302</f>
        <v>0</v>
      </c>
      <c r="S797" s="193" t="str">
        <f>'Buildings - Grid Electricity'!J302</f>
        <v/>
      </c>
      <c r="T797" s="193" t="str">
        <f>'Buildings - Grid Electricity'!K302</f>
        <v/>
      </c>
      <c r="U797" s="193" t="str">
        <f>'Buildings - Grid Electricity'!L302</f>
        <v/>
      </c>
      <c r="V797" s="193" t="str">
        <f>'Buildings - Grid Electricity'!M302</f>
        <v/>
      </c>
      <c r="W797" s="193" t="str">
        <f>'Buildings - Grid Electricity'!N302</f>
        <v/>
      </c>
      <c r="X797" s="193">
        <f>'Buildings - Grid Electricity'!O302</f>
        <v>0</v>
      </c>
      <c r="Y797" s="193">
        <f>'Buildings - Grid Electricity'!P302</f>
        <v>0</v>
      </c>
      <c r="Z797" s="193" t="str">
        <f>'Buildings - Grid Electricity'!Q302</f>
        <v/>
      </c>
      <c r="AA797" s="193" t="str">
        <f>'Buildings - Grid Electricity'!R302</f>
        <v/>
      </c>
      <c r="AB797" s="193" t="str">
        <f>'Buildings - Grid Electricity'!S302</f>
        <v/>
      </c>
      <c r="AC797" s="193" t="str">
        <f>'Buildings - Grid Electricity'!T302</f>
        <v/>
      </c>
      <c r="AD797" s="193" t="str">
        <f>'Buildings - Grid Electricity'!U302</f>
        <v/>
      </c>
      <c r="AE797" s="193" t="str">
        <f>'Buildings - Grid Electricity'!V302</f>
        <v/>
      </c>
      <c r="AF797" s="193" t="str">
        <f>'Buildings - Grid Electricity'!W302</f>
        <v/>
      </c>
      <c r="AG797" s="193" t="str">
        <f>'Buildings - Grid Electricity'!X302</f>
        <v/>
      </c>
      <c r="AI797" s="193">
        <f t="shared" si="14"/>
        <v>0</v>
      </c>
      <c r="AJ797" s="193">
        <f t="shared" si="15"/>
        <v>0</v>
      </c>
    </row>
    <row r="798" spans="2:36" x14ac:dyDescent="0.35">
      <c r="B798" s="193" t="e">
        <f>"2024"&amp;MATCH(Totals!D798,OrgType,0)&amp;"_"&amp;MATCH(Totals!E798,Organisations,0)&amp;"_"&amp;LEFT(Totals!F798,1)&amp;"_"&amp;LEFT(G798,1)&amp;"_"&amp;COUNTIF($G$3:G798,G798)</f>
        <v>#N/A</v>
      </c>
      <c r="C798" s="193">
        <v>2025</v>
      </c>
      <c r="D798" s="193">
        <f>Introduction!$D$7</f>
        <v>0</v>
      </c>
      <c r="E798" s="193">
        <f>Introduction!$D$8</f>
        <v>0</v>
      </c>
      <c r="F798" s="193" t="s">
        <v>488</v>
      </c>
      <c r="G798" s="193" t="s">
        <v>171</v>
      </c>
      <c r="H798" s="193">
        <f>'Buildings - Grid Electricity'!B303</f>
        <v>0</v>
      </c>
      <c r="I798" s="193">
        <f>'Buildings - Grid Electricity'!C303</f>
        <v>0</v>
      </c>
      <c r="J798" s="193" t="str">
        <f>'Buildings - Grid Electricity'!D303</f>
        <v/>
      </c>
      <c r="K798" s="237"/>
      <c r="L798" s="237"/>
      <c r="M798" s="193" t="str">
        <f>'Buildings - Grid Electricity'!E303</f>
        <v/>
      </c>
      <c r="N798" s="193" t="str">
        <f>'Buildings - Grid Electricity'!F303</f>
        <v/>
      </c>
      <c r="O798" s="237"/>
      <c r="P798" s="193">
        <f>'Buildings - Grid Electricity'!G303</f>
        <v>0</v>
      </c>
      <c r="Q798" s="193" t="str">
        <f>'Buildings - Grid Electricity'!H303</f>
        <v/>
      </c>
      <c r="R798" s="193">
        <f>'Buildings - Grid Electricity'!I303</f>
        <v>0</v>
      </c>
      <c r="S798" s="193" t="str">
        <f>'Buildings - Grid Electricity'!J303</f>
        <v/>
      </c>
      <c r="T798" s="193" t="str">
        <f>'Buildings - Grid Electricity'!K303</f>
        <v/>
      </c>
      <c r="U798" s="193" t="str">
        <f>'Buildings - Grid Electricity'!L303</f>
        <v/>
      </c>
      <c r="V798" s="193" t="str">
        <f>'Buildings - Grid Electricity'!M303</f>
        <v/>
      </c>
      <c r="W798" s="193" t="str">
        <f>'Buildings - Grid Electricity'!N303</f>
        <v/>
      </c>
      <c r="X798" s="193">
        <f>'Buildings - Grid Electricity'!O303</f>
        <v>0</v>
      </c>
      <c r="Y798" s="193">
        <f>'Buildings - Grid Electricity'!P303</f>
        <v>0</v>
      </c>
      <c r="Z798" s="193" t="str">
        <f>'Buildings - Grid Electricity'!Q303</f>
        <v/>
      </c>
      <c r="AA798" s="193" t="str">
        <f>'Buildings - Grid Electricity'!R303</f>
        <v/>
      </c>
      <c r="AB798" s="193" t="str">
        <f>'Buildings - Grid Electricity'!S303</f>
        <v/>
      </c>
      <c r="AC798" s="193" t="str">
        <f>'Buildings - Grid Electricity'!T303</f>
        <v/>
      </c>
      <c r="AD798" s="193" t="str">
        <f>'Buildings - Grid Electricity'!U303</f>
        <v/>
      </c>
      <c r="AE798" s="193" t="str">
        <f>'Buildings - Grid Electricity'!V303</f>
        <v/>
      </c>
      <c r="AF798" s="193" t="str">
        <f>'Buildings - Grid Electricity'!W303</f>
        <v/>
      </c>
      <c r="AG798" s="193" t="str">
        <f>'Buildings - Grid Electricity'!X303</f>
        <v/>
      </c>
      <c r="AI798" s="193">
        <f t="shared" si="14"/>
        <v>0</v>
      </c>
      <c r="AJ798" s="193">
        <f t="shared" si="15"/>
        <v>0</v>
      </c>
    </row>
    <row r="799" spans="2:36" x14ac:dyDescent="0.35">
      <c r="B799" s="193" t="e">
        <f>"2024"&amp;MATCH(Totals!D799,OrgType,0)&amp;"_"&amp;MATCH(Totals!E799,Organisations,0)&amp;"_"&amp;LEFT(Totals!F799,1)&amp;"_"&amp;LEFT(G799,1)&amp;"_"&amp;COUNTIF($G$3:G799,G799)</f>
        <v>#N/A</v>
      </c>
      <c r="C799" s="193">
        <v>2025</v>
      </c>
      <c r="D799" s="193">
        <f>Introduction!$D$7</f>
        <v>0</v>
      </c>
      <c r="E799" s="193">
        <f>Introduction!$D$8</f>
        <v>0</v>
      </c>
      <c r="F799" s="193" t="s">
        <v>488</v>
      </c>
      <c r="G799" s="193" t="s">
        <v>171</v>
      </c>
      <c r="H799" s="193">
        <f>'Buildings - Grid Electricity'!B304</f>
        <v>0</v>
      </c>
      <c r="I799" s="193">
        <f>'Buildings - Grid Electricity'!C304</f>
        <v>0</v>
      </c>
      <c r="J799" s="193" t="str">
        <f>'Buildings - Grid Electricity'!D304</f>
        <v/>
      </c>
      <c r="K799" s="237"/>
      <c r="L799" s="237"/>
      <c r="M799" s="193" t="str">
        <f>'Buildings - Grid Electricity'!E304</f>
        <v/>
      </c>
      <c r="N799" s="193" t="str">
        <f>'Buildings - Grid Electricity'!F304</f>
        <v/>
      </c>
      <c r="O799" s="237"/>
      <c r="P799" s="193">
        <f>'Buildings - Grid Electricity'!G304</f>
        <v>0</v>
      </c>
      <c r="Q799" s="193" t="str">
        <f>'Buildings - Grid Electricity'!H304</f>
        <v/>
      </c>
      <c r="R799" s="193">
        <f>'Buildings - Grid Electricity'!I304</f>
        <v>0</v>
      </c>
      <c r="S799" s="193" t="str">
        <f>'Buildings - Grid Electricity'!J304</f>
        <v/>
      </c>
      <c r="T799" s="193" t="str">
        <f>'Buildings - Grid Electricity'!K304</f>
        <v/>
      </c>
      <c r="U799" s="193" t="str">
        <f>'Buildings - Grid Electricity'!L304</f>
        <v/>
      </c>
      <c r="V799" s="193" t="str">
        <f>'Buildings - Grid Electricity'!M304</f>
        <v/>
      </c>
      <c r="W799" s="193" t="str">
        <f>'Buildings - Grid Electricity'!N304</f>
        <v/>
      </c>
      <c r="X799" s="193">
        <f>'Buildings - Grid Electricity'!O304</f>
        <v>0</v>
      </c>
      <c r="Y799" s="193">
        <f>'Buildings - Grid Electricity'!P304</f>
        <v>0</v>
      </c>
      <c r="Z799" s="193" t="str">
        <f>'Buildings - Grid Electricity'!Q304</f>
        <v/>
      </c>
      <c r="AA799" s="193" t="str">
        <f>'Buildings - Grid Electricity'!R304</f>
        <v/>
      </c>
      <c r="AB799" s="193" t="str">
        <f>'Buildings - Grid Electricity'!S304</f>
        <v/>
      </c>
      <c r="AC799" s="193" t="str">
        <f>'Buildings - Grid Electricity'!T304</f>
        <v/>
      </c>
      <c r="AD799" s="193" t="str">
        <f>'Buildings - Grid Electricity'!U304</f>
        <v/>
      </c>
      <c r="AE799" s="193" t="str">
        <f>'Buildings - Grid Electricity'!V304</f>
        <v/>
      </c>
      <c r="AF799" s="193" t="str">
        <f>'Buildings - Grid Electricity'!W304</f>
        <v/>
      </c>
      <c r="AG799" s="193" t="str">
        <f>'Buildings - Grid Electricity'!X304</f>
        <v/>
      </c>
      <c r="AI799" s="193">
        <f t="shared" si="14"/>
        <v>0</v>
      </c>
      <c r="AJ799" s="193">
        <f t="shared" si="15"/>
        <v>0</v>
      </c>
    </row>
    <row r="800" spans="2:36" x14ac:dyDescent="0.35">
      <c r="B800" s="193" t="e">
        <f>"2024"&amp;MATCH(Totals!D800,OrgType,0)&amp;"_"&amp;MATCH(Totals!E800,Organisations,0)&amp;"_"&amp;LEFT(Totals!F800,1)&amp;"_"&amp;LEFT(G800,1)&amp;"_"&amp;COUNTIF($G$3:G800,G800)</f>
        <v>#N/A</v>
      </c>
      <c r="C800" s="193">
        <v>2025</v>
      </c>
      <c r="D800" s="193">
        <f>Introduction!$D$7</f>
        <v>0</v>
      </c>
      <c r="E800" s="193">
        <f>Introduction!$D$8</f>
        <v>0</v>
      </c>
      <c r="F800" s="193" t="s">
        <v>488</v>
      </c>
      <c r="G800" s="193" t="s">
        <v>171</v>
      </c>
      <c r="H800" s="193">
        <f>'Buildings - Grid Electricity'!B305</f>
        <v>0</v>
      </c>
      <c r="I800" s="193">
        <f>'Buildings - Grid Electricity'!C305</f>
        <v>0</v>
      </c>
      <c r="J800" s="193" t="str">
        <f>'Buildings - Grid Electricity'!D305</f>
        <v/>
      </c>
      <c r="K800" s="237"/>
      <c r="L800" s="237"/>
      <c r="M800" s="193" t="str">
        <f>'Buildings - Grid Electricity'!E305</f>
        <v/>
      </c>
      <c r="N800" s="193" t="str">
        <f>'Buildings - Grid Electricity'!F305</f>
        <v/>
      </c>
      <c r="O800" s="237"/>
      <c r="P800" s="193">
        <f>'Buildings - Grid Electricity'!G305</f>
        <v>0</v>
      </c>
      <c r="Q800" s="193" t="str">
        <f>'Buildings - Grid Electricity'!H305</f>
        <v/>
      </c>
      <c r="R800" s="193">
        <f>'Buildings - Grid Electricity'!I305</f>
        <v>0</v>
      </c>
      <c r="S800" s="193" t="str">
        <f>'Buildings - Grid Electricity'!J305</f>
        <v/>
      </c>
      <c r="T800" s="193" t="str">
        <f>'Buildings - Grid Electricity'!K305</f>
        <v/>
      </c>
      <c r="U800" s="193" t="str">
        <f>'Buildings - Grid Electricity'!L305</f>
        <v/>
      </c>
      <c r="V800" s="193" t="str">
        <f>'Buildings - Grid Electricity'!M305</f>
        <v/>
      </c>
      <c r="W800" s="193" t="str">
        <f>'Buildings - Grid Electricity'!N305</f>
        <v/>
      </c>
      <c r="X800" s="193">
        <f>'Buildings - Grid Electricity'!O305</f>
        <v>0</v>
      </c>
      <c r="Y800" s="193">
        <f>'Buildings - Grid Electricity'!P305</f>
        <v>0</v>
      </c>
      <c r="Z800" s="193" t="str">
        <f>'Buildings - Grid Electricity'!Q305</f>
        <v/>
      </c>
      <c r="AA800" s="193" t="str">
        <f>'Buildings - Grid Electricity'!R305</f>
        <v/>
      </c>
      <c r="AB800" s="193" t="str">
        <f>'Buildings - Grid Electricity'!S305</f>
        <v/>
      </c>
      <c r="AC800" s="193" t="str">
        <f>'Buildings - Grid Electricity'!T305</f>
        <v/>
      </c>
      <c r="AD800" s="193" t="str">
        <f>'Buildings - Grid Electricity'!U305</f>
        <v/>
      </c>
      <c r="AE800" s="193" t="str">
        <f>'Buildings - Grid Electricity'!V305</f>
        <v/>
      </c>
      <c r="AF800" s="193" t="str">
        <f>'Buildings - Grid Electricity'!W305</f>
        <v/>
      </c>
      <c r="AG800" s="193" t="str">
        <f>'Buildings - Grid Electricity'!X305</f>
        <v/>
      </c>
      <c r="AI800" s="193">
        <f t="shared" si="14"/>
        <v>0</v>
      </c>
      <c r="AJ800" s="193">
        <f t="shared" si="15"/>
        <v>0</v>
      </c>
    </row>
    <row r="801" spans="2:36" x14ac:dyDescent="0.35">
      <c r="B801" s="193" t="e">
        <f>"2024"&amp;MATCH(Totals!D801,OrgType,0)&amp;"_"&amp;MATCH(Totals!E801,Organisations,0)&amp;"_"&amp;LEFT(Totals!F801,1)&amp;"_"&amp;LEFT(G801,1)&amp;"_"&amp;COUNTIF($G$3:G801,G801)</f>
        <v>#N/A</v>
      </c>
      <c r="C801" s="193">
        <v>2025</v>
      </c>
      <c r="D801" s="193">
        <f>Introduction!$D$7</f>
        <v>0</v>
      </c>
      <c r="E801" s="193">
        <f>Introduction!$D$8</f>
        <v>0</v>
      </c>
      <c r="F801" s="193" t="s">
        <v>488</v>
      </c>
      <c r="G801" s="193" t="s">
        <v>171</v>
      </c>
      <c r="H801" s="193">
        <f>'Buildings - Grid Electricity'!B306</f>
        <v>0</v>
      </c>
      <c r="I801" s="193">
        <f>'Buildings - Grid Electricity'!C306</f>
        <v>0</v>
      </c>
      <c r="J801" s="193" t="str">
        <f>'Buildings - Grid Electricity'!D306</f>
        <v/>
      </c>
      <c r="K801" s="237"/>
      <c r="L801" s="237"/>
      <c r="M801" s="193" t="str">
        <f>'Buildings - Grid Electricity'!E306</f>
        <v/>
      </c>
      <c r="N801" s="193" t="str">
        <f>'Buildings - Grid Electricity'!F306</f>
        <v/>
      </c>
      <c r="O801" s="237"/>
      <c r="P801" s="193">
        <f>'Buildings - Grid Electricity'!G306</f>
        <v>0</v>
      </c>
      <c r="Q801" s="193" t="str">
        <f>'Buildings - Grid Electricity'!H306</f>
        <v/>
      </c>
      <c r="R801" s="193">
        <f>'Buildings - Grid Electricity'!I306</f>
        <v>0</v>
      </c>
      <c r="S801" s="193" t="str">
        <f>'Buildings - Grid Electricity'!J306</f>
        <v/>
      </c>
      <c r="T801" s="193" t="str">
        <f>'Buildings - Grid Electricity'!K306</f>
        <v/>
      </c>
      <c r="U801" s="193" t="str">
        <f>'Buildings - Grid Electricity'!L306</f>
        <v/>
      </c>
      <c r="V801" s="193" t="str">
        <f>'Buildings - Grid Electricity'!M306</f>
        <v/>
      </c>
      <c r="W801" s="193" t="str">
        <f>'Buildings - Grid Electricity'!N306</f>
        <v/>
      </c>
      <c r="X801" s="193">
        <f>'Buildings - Grid Electricity'!O306</f>
        <v>0</v>
      </c>
      <c r="Y801" s="193">
        <f>'Buildings - Grid Electricity'!P306</f>
        <v>0</v>
      </c>
      <c r="Z801" s="193" t="str">
        <f>'Buildings - Grid Electricity'!Q306</f>
        <v/>
      </c>
      <c r="AA801" s="193" t="str">
        <f>'Buildings - Grid Electricity'!R306</f>
        <v/>
      </c>
      <c r="AB801" s="193" t="str">
        <f>'Buildings - Grid Electricity'!S306</f>
        <v/>
      </c>
      <c r="AC801" s="193" t="str">
        <f>'Buildings - Grid Electricity'!T306</f>
        <v/>
      </c>
      <c r="AD801" s="193" t="str">
        <f>'Buildings - Grid Electricity'!U306</f>
        <v/>
      </c>
      <c r="AE801" s="193" t="str">
        <f>'Buildings - Grid Electricity'!V306</f>
        <v/>
      </c>
      <c r="AF801" s="193" t="str">
        <f>'Buildings - Grid Electricity'!W306</f>
        <v/>
      </c>
      <c r="AG801" s="193" t="str">
        <f>'Buildings - Grid Electricity'!X306</f>
        <v/>
      </c>
      <c r="AI801" s="193">
        <f t="shared" si="14"/>
        <v>0</v>
      </c>
      <c r="AJ801" s="193">
        <f t="shared" si="15"/>
        <v>0</v>
      </c>
    </row>
    <row r="802" spans="2:36" x14ac:dyDescent="0.35">
      <c r="B802" s="193" t="e">
        <f>"2024"&amp;MATCH(Totals!D802,OrgType,0)&amp;"_"&amp;MATCH(Totals!E802,Organisations,0)&amp;"_"&amp;LEFT(Totals!F802,1)&amp;"_"&amp;LEFT(G802,1)&amp;"_"&amp;COUNTIF($G$3:G802,G802)</f>
        <v>#N/A</v>
      </c>
      <c r="C802" s="193">
        <v>2025</v>
      </c>
      <c r="D802" s="193">
        <f>Introduction!$D$7</f>
        <v>0</v>
      </c>
      <c r="E802" s="193">
        <f>Introduction!$D$8</f>
        <v>0</v>
      </c>
      <c r="F802" s="193" t="s">
        <v>488</v>
      </c>
      <c r="G802" s="193" t="s">
        <v>171</v>
      </c>
      <c r="H802" s="193">
        <f>'Buildings - Grid Electricity'!B307</f>
        <v>0</v>
      </c>
      <c r="I802" s="193">
        <f>'Buildings - Grid Electricity'!C307</f>
        <v>0</v>
      </c>
      <c r="J802" s="193" t="str">
        <f>'Buildings - Grid Electricity'!D307</f>
        <v/>
      </c>
      <c r="K802" s="237"/>
      <c r="L802" s="237"/>
      <c r="M802" s="193" t="str">
        <f>'Buildings - Grid Electricity'!E307</f>
        <v/>
      </c>
      <c r="N802" s="193" t="str">
        <f>'Buildings - Grid Electricity'!F307</f>
        <v/>
      </c>
      <c r="O802" s="237"/>
      <c r="P802" s="193">
        <f>'Buildings - Grid Electricity'!G307</f>
        <v>0</v>
      </c>
      <c r="Q802" s="193" t="str">
        <f>'Buildings - Grid Electricity'!H307</f>
        <v/>
      </c>
      <c r="R802" s="193">
        <f>'Buildings - Grid Electricity'!I307</f>
        <v>0</v>
      </c>
      <c r="S802" s="193" t="str">
        <f>'Buildings - Grid Electricity'!J307</f>
        <v/>
      </c>
      <c r="T802" s="193" t="str">
        <f>'Buildings - Grid Electricity'!K307</f>
        <v/>
      </c>
      <c r="U802" s="193" t="str">
        <f>'Buildings - Grid Electricity'!L307</f>
        <v/>
      </c>
      <c r="V802" s="193" t="str">
        <f>'Buildings - Grid Electricity'!M307</f>
        <v/>
      </c>
      <c r="W802" s="193" t="str">
        <f>'Buildings - Grid Electricity'!N307</f>
        <v/>
      </c>
      <c r="X802" s="193">
        <f>'Buildings - Grid Electricity'!O307</f>
        <v>0</v>
      </c>
      <c r="Y802" s="193">
        <f>'Buildings - Grid Electricity'!P307</f>
        <v>0</v>
      </c>
      <c r="Z802" s="193" t="str">
        <f>'Buildings - Grid Electricity'!Q307</f>
        <v/>
      </c>
      <c r="AA802" s="193" t="str">
        <f>'Buildings - Grid Electricity'!R307</f>
        <v/>
      </c>
      <c r="AB802" s="193" t="str">
        <f>'Buildings - Grid Electricity'!S307</f>
        <v/>
      </c>
      <c r="AC802" s="193" t="str">
        <f>'Buildings - Grid Electricity'!T307</f>
        <v/>
      </c>
      <c r="AD802" s="193" t="str">
        <f>'Buildings - Grid Electricity'!U307</f>
        <v/>
      </c>
      <c r="AE802" s="193" t="str">
        <f>'Buildings - Grid Electricity'!V307</f>
        <v/>
      </c>
      <c r="AF802" s="193" t="str">
        <f>'Buildings - Grid Electricity'!W307</f>
        <v/>
      </c>
      <c r="AG802" s="193" t="str">
        <f>'Buildings - Grid Electricity'!X307</f>
        <v/>
      </c>
      <c r="AI802" s="193">
        <f t="shared" si="14"/>
        <v>0</v>
      </c>
      <c r="AJ802" s="193">
        <f t="shared" si="15"/>
        <v>0</v>
      </c>
    </row>
    <row r="803" spans="2:36" x14ac:dyDescent="0.35">
      <c r="B803" s="193" t="e">
        <f>"2024"&amp;MATCH(Totals!D803,OrgType,0)&amp;"_"&amp;MATCH(Totals!E803,Organisations,0)&amp;"_"&amp;LEFT(Totals!F803,1)&amp;"_"&amp;LEFT(G803,1)&amp;"_"&amp;COUNTIF($G$3:G803,G803)</f>
        <v>#N/A</v>
      </c>
      <c r="C803" s="193">
        <v>2025</v>
      </c>
      <c r="D803" s="193">
        <f>Introduction!$D$7</f>
        <v>0</v>
      </c>
      <c r="E803" s="193">
        <f>Introduction!$D$8</f>
        <v>0</v>
      </c>
      <c r="F803" s="193" t="s">
        <v>488</v>
      </c>
      <c r="G803" s="193" t="s">
        <v>171</v>
      </c>
      <c r="H803" s="193">
        <f>'Buildings - Grid Electricity'!B308</f>
        <v>0</v>
      </c>
      <c r="I803" s="193">
        <f>'Buildings - Grid Electricity'!C308</f>
        <v>0</v>
      </c>
      <c r="J803" s="193" t="str">
        <f>'Buildings - Grid Electricity'!D308</f>
        <v/>
      </c>
      <c r="K803" s="237"/>
      <c r="L803" s="237"/>
      <c r="M803" s="193" t="str">
        <f>'Buildings - Grid Electricity'!E308</f>
        <v/>
      </c>
      <c r="N803" s="193" t="str">
        <f>'Buildings - Grid Electricity'!F308</f>
        <v/>
      </c>
      <c r="O803" s="237"/>
      <c r="P803" s="193">
        <f>'Buildings - Grid Electricity'!G308</f>
        <v>0</v>
      </c>
      <c r="Q803" s="193" t="str">
        <f>'Buildings - Grid Electricity'!H308</f>
        <v/>
      </c>
      <c r="R803" s="193">
        <f>'Buildings - Grid Electricity'!I308</f>
        <v>0</v>
      </c>
      <c r="S803" s="193" t="str">
        <f>'Buildings - Grid Electricity'!J308</f>
        <v/>
      </c>
      <c r="T803" s="193" t="str">
        <f>'Buildings - Grid Electricity'!K308</f>
        <v/>
      </c>
      <c r="U803" s="193" t="str">
        <f>'Buildings - Grid Electricity'!L308</f>
        <v/>
      </c>
      <c r="V803" s="193" t="str">
        <f>'Buildings - Grid Electricity'!M308</f>
        <v/>
      </c>
      <c r="W803" s="193" t="str">
        <f>'Buildings - Grid Electricity'!N308</f>
        <v/>
      </c>
      <c r="X803" s="193">
        <f>'Buildings - Grid Electricity'!O308</f>
        <v>0</v>
      </c>
      <c r="Y803" s="193">
        <f>'Buildings - Grid Electricity'!P308</f>
        <v>0</v>
      </c>
      <c r="Z803" s="193" t="str">
        <f>'Buildings - Grid Electricity'!Q308</f>
        <v/>
      </c>
      <c r="AA803" s="193" t="str">
        <f>'Buildings - Grid Electricity'!R308</f>
        <v/>
      </c>
      <c r="AB803" s="193" t="str">
        <f>'Buildings - Grid Electricity'!S308</f>
        <v/>
      </c>
      <c r="AC803" s="193" t="str">
        <f>'Buildings - Grid Electricity'!T308</f>
        <v/>
      </c>
      <c r="AD803" s="193" t="str">
        <f>'Buildings - Grid Electricity'!U308</f>
        <v/>
      </c>
      <c r="AE803" s="193" t="str">
        <f>'Buildings - Grid Electricity'!V308</f>
        <v/>
      </c>
      <c r="AF803" s="193" t="str">
        <f>'Buildings - Grid Electricity'!W308</f>
        <v/>
      </c>
      <c r="AG803" s="193" t="str">
        <f>'Buildings - Grid Electricity'!X308</f>
        <v/>
      </c>
      <c r="AI803" s="193">
        <f t="shared" si="14"/>
        <v>0</v>
      </c>
      <c r="AJ803" s="193">
        <f t="shared" si="15"/>
        <v>0</v>
      </c>
    </row>
    <row r="804" spans="2:36" x14ac:dyDescent="0.35">
      <c r="B804" s="193" t="e">
        <f>"2024"&amp;MATCH(Totals!D804,OrgType,0)&amp;"_"&amp;MATCH(Totals!E804,Organisations,0)&amp;"_"&amp;LEFT(Totals!F804,1)&amp;"_"&amp;LEFT(G804,1)&amp;"_"&amp;COUNTIF($G$3:G804,G804)</f>
        <v>#N/A</v>
      </c>
      <c r="C804" s="193">
        <v>2025</v>
      </c>
      <c r="D804" s="193">
        <f>Introduction!$D$7</f>
        <v>0</v>
      </c>
      <c r="E804" s="193">
        <f>Introduction!$D$8</f>
        <v>0</v>
      </c>
      <c r="F804" s="193" t="s">
        <v>488</v>
      </c>
      <c r="G804" s="193" t="s">
        <v>171</v>
      </c>
      <c r="H804" s="193">
        <f>'Buildings - Grid Electricity'!B309</f>
        <v>0</v>
      </c>
      <c r="I804" s="193">
        <f>'Buildings - Grid Electricity'!C309</f>
        <v>0</v>
      </c>
      <c r="J804" s="193" t="str">
        <f>'Buildings - Grid Electricity'!D309</f>
        <v/>
      </c>
      <c r="K804" s="237"/>
      <c r="L804" s="237"/>
      <c r="M804" s="193" t="str">
        <f>'Buildings - Grid Electricity'!E309</f>
        <v/>
      </c>
      <c r="N804" s="193" t="str">
        <f>'Buildings - Grid Electricity'!F309</f>
        <v/>
      </c>
      <c r="O804" s="237"/>
      <c r="P804" s="193">
        <f>'Buildings - Grid Electricity'!G309</f>
        <v>0</v>
      </c>
      <c r="Q804" s="193" t="str">
        <f>'Buildings - Grid Electricity'!H309</f>
        <v/>
      </c>
      <c r="R804" s="193">
        <f>'Buildings - Grid Electricity'!I309</f>
        <v>0</v>
      </c>
      <c r="S804" s="193" t="str">
        <f>'Buildings - Grid Electricity'!J309</f>
        <v/>
      </c>
      <c r="T804" s="193" t="str">
        <f>'Buildings - Grid Electricity'!K309</f>
        <v/>
      </c>
      <c r="U804" s="193" t="str">
        <f>'Buildings - Grid Electricity'!L309</f>
        <v/>
      </c>
      <c r="V804" s="193" t="str">
        <f>'Buildings - Grid Electricity'!M309</f>
        <v/>
      </c>
      <c r="W804" s="193" t="str">
        <f>'Buildings - Grid Electricity'!N309</f>
        <v/>
      </c>
      <c r="X804" s="193">
        <f>'Buildings - Grid Electricity'!O309</f>
        <v>0</v>
      </c>
      <c r="Y804" s="193">
        <f>'Buildings - Grid Electricity'!P309</f>
        <v>0</v>
      </c>
      <c r="Z804" s="193" t="str">
        <f>'Buildings - Grid Electricity'!Q309</f>
        <v/>
      </c>
      <c r="AA804" s="193" t="str">
        <f>'Buildings - Grid Electricity'!R309</f>
        <v/>
      </c>
      <c r="AB804" s="193" t="str">
        <f>'Buildings - Grid Electricity'!S309</f>
        <v/>
      </c>
      <c r="AC804" s="193" t="str">
        <f>'Buildings - Grid Electricity'!T309</f>
        <v/>
      </c>
      <c r="AD804" s="193" t="str">
        <f>'Buildings - Grid Electricity'!U309</f>
        <v/>
      </c>
      <c r="AE804" s="193" t="str">
        <f>'Buildings - Grid Electricity'!V309</f>
        <v/>
      </c>
      <c r="AF804" s="193" t="str">
        <f>'Buildings - Grid Electricity'!W309</f>
        <v/>
      </c>
      <c r="AG804" s="193" t="str">
        <f>'Buildings - Grid Electricity'!X309</f>
        <v/>
      </c>
      <c r="AI804" s="193">
        <f t="shared" si="14"/>
        <v>0</v>
      </c>
      <c r="AJ804" s="193">
        <f t="shared" si="15"/>
        <v>0</v>
      </c>
    </row>
    <row r="805" spans="2:36" x14ac:dyDescent="0.35">
      <c r="B805" s="193" t="e">
        <f>"2024"&amp;MATCH(Totals!D805,OrgType,0)&amp;"_"&amp;MATCH(Totals!E805,Organisations,0)&amp;"_"&amp;LEFT(Totals!F805,1)&amp;"_"&amp;LEFT(G805,1)&amp;"_"&amp;COUNTIF($G$3:G805,G805)</f>
        <v>#N/A</v>
      </c>
      <c r="C805" s="193">
        <v>2025</v>
      </c>
      <c r="D805" s="193">
        <f>Introduction!$D$7</f>
        <v>0</v>
      </c>
      <c r="E805" s="193">
        <f>Introduction!$D$8</f>
        <v>0</v>
      </c>
      <c r="F805" s="193" t="s">
        <v>488</v>
      </c>
      <c r="G805" s="193" t="s">
        <v>171</v>
      </c>
      <c r="H805" s="193">
        <f>'Buildings - Grid Electricity'!B310</f>
        <v>0</v>
      </c>
      <c r="I805" s="193">
        <f>'Buildings - Grid Electricity'!C310</f>
        <v>0</v>
      </c>
      <c r="J805" s="193" t="str">
        <f>'Buildings - Grid Electricity'!D310</f>
        <v/>
      </c>
      <c r="K805" s="237"/>
      <c r="L805" s="237"/>
      <c r="M805" s="193" t="str">
        <f>'Buildings - Grid Electricity'!E310</f>
        <v/>
      </c>
      <c r="N805" s="193" t="str">
        <f>'Buildings - Grid Electricity'!F310</f>
        <v/>
      </c>
      <c r="O805" s="237"/>
      <c r="P805" s="193">
        <f>'Buildings - Grid Electricity'!G310</f>
        <v>0</v>
      </c>
      <c r="Q805" s="193" t="str">
        <f>'Buildings - Grid Electricity'!H310</f>
        <v/>
      </c>
      <c r="R805" s="193">
        <f>'Buildings - Grid Electricity'!I310</f>
        <v>0</v>
      </c>
      <c r="S805" s="193" t="str">
        <f>'Buildings - Grid Electricity'!J310</f>
        <v/>
      </c>
      <c r="T805" s="193" t="str">
        <f>'Buildings - Grid Electricity'!K310</f>
        <v/>
      </c>
      <c r="U805" s="193" t="str">
        <f>'Buildings - Grid Electricity'!L310</f>
        <v/>
      </c>
      <c r="V805" s="193" t="str">
        <f>'Buildings - Grid Electricity'!M310</f>
        <v/>
      </c>
      <c r="W805" s="193" t="str">
        <f>'Buildings - Grid Electricity'!N310</f>
        <v/>
      </c>
      <c r="X805" s="193">
        <f>'Buildings - Grid Electricity'!O310</f>
        <v>0</v>
      </c>
      <c r="Y805" s="193">
        <f>'Buildings - Grid Electricity'!P310</f>
        <v>0</v>
      </c>
      <c r="Z805" s="193" t="str">
        <f>'Buildings - Grid Electricity'!Q310</f>
        <v/>
      </c>
      <c r="AA805" s="193" t="str">
        <f>'Buildings - Grid Electricity'!R310</f>
        <v/>
      </c>
      <c r="AB805" s="193" t="str">
        <f>'Buildings - Grid Electricity'!S310</f>
        <v/>
      </c>
      <c r="AC805" s="193" t="str">
        <f>'Buildings - Grid Electricity'!T310</f>
        <v/>
      </c>
      <c r="AD805" s="193" t="str">
        <f>'Buildings - Grid Electricity'!U310</f>
        <v/>
      </c>
      <c r="AE805" s="193" t="str">
        <f>'Buildings - Grid Electricity'!V310</f>
        <v/>
      </c>
      <c r="AF805" s="193" t="str">
        <f>'Buildings - Grid Electricity'!W310</f>
        <v/>
      </c>
      <c r="AG805" s="193" t="str">
        <f>'Buildings - Grid Electricity'!X310</f>
        <v/>
      </c>
      <c r="AI805" s="193">
        <f t="shared" si="14"/>
        <v>0</v>
      </c>
      <c r="AJ805" s="193">
        <f t="shared" si="15"/>
        <v>0</v>
      </c>
    </row>
    <row r="806" spans="2:36" x14ac:dyDescent="0.35">
      <c r="B806" s="193" t="e">
        <f>"2024"&amp;MATCH(Totals!D806,OrgType,0)&amp;"_"&amp;MATCH(Totals!E806,Organisations,0)&amp;"_"&amp;LEFT(Totals!F806,1)&amp;"_"&amp;LEFT(G806,1)&amp;"_"&amp;COUNTIF($G$3:G806,G806)</f>
        <v>#N/A</v>
      </c>
      <c r="C806" s="193">
        <v>2025</v>
      </c>
      <c r="D806" s="193">
        <f>Introduction!$D$7</f>
        <v>0</v>
      </c>
      <c r="E806" s="193">
        <f>Introduction!$D$8</f>
        <v>0</v>
      </c>
      <c r="F806" s="193" t="s">
        <v>488</v>
      </c>
      <c r="G806" s="193" t="s">
        <v>171</v>
      </c>
      <c r="H806" s="193">
        <f>'Buildings - Grid Electricity'!B311</f>
        <v>0</v>
      </c>
      <c r="I806" s="193">
        <f>'Buildings - Grid Electricity'!C311</f>
        <v>0</v>
      </c>
      <c r="J806" s="193" t="str">
        <f>'Buildings - Grid Electricity'!D311</f>
        <v/>
      </c>
      <c r="K806" s="237"/>
      <c r="L806" s="237"/>
      <c r="M806" s="193" t="str">
        <f>'Buildings - Grid Electricity'!E311</f>
        <v/>
      </c>
      <c r="N806" s="193" t="str">
        <f>'Buildings - Grid Electricity'!F311</f>
        <v/>
      </c>
      <c r="O806" s="237"/>
      <c r="P806" s="193">
        <f>'Buildings - Grid Electricity'!G311</f>
        <v>0</v>
      </c>
      <c r="Q806" s="193" t="str">
        <f>'Buildings - Grid Electricity'!H311</f>
        <v/>
      </c>
      <c r="R806" s="193">
        <f>'Buildings - Grid Electricity'!I311</f>
        <v>0</v>
      </c>
      <c r="S806" s="193" t="str">
        <f>'Buildings - Grid Electricity'!J311</f>
        <v/>
      </c>
      <c r="T806" s="193" t="str">
        <f>'Buildings - Grid Electricity'!K311</f>
        <v/>
      </c>
      <c r="U806" s="193" t="str">
        <f>'Buildings - Grid Electricity'!L311</f>
        <v/>
      </c>
      <c r="V806" s="193" t="str">
        <f>'Buildings - Grid Electricity'!M311</f>
        <v/>
      </c>
      <c r="W806" s="193" t="str">
        <f>'Buildings - Grid Electricity'!N311</f>
        <v/>
      </c>
      <c r="X806" s="193">
        <f>'Buildings - Grid Electricity'!O311</f>
        <v>0</v>
      </c>
      <c r="Y806" s="193">
        <f>'Buildings - Grid Electricity'!P311</f>
        <v>0</v>
      </c>
      <c r="Z806" s="193" t="str">
        <f>'Buildings - Grid Electricity'!Q311</f>
        <v/>
      </c>
      <c r="AA806" s="193" t="str">
        <f>'Buildings - Grid Electricity'!R311</f>
        <v/>
      </c>
      <c r="AB806" s="193" t="str">
        <f>'Buildings - Grid Electricity'!S311</f>
        <v/>
      </c>
      <c r="AC806" s="193" t="str">
        <f>'Buildings - Grid Electricity'!T311</f>
        <v/>
      </c>
      <c r="AD806" s="193" t="str">
        <f>'Buildings - Grid Electricity'!U311</f>
        <v/>
      </c>
      <c r="AE806" s="193" t="str">
        <f>'Buildings - Grid Electricity'!V311</f>
        <v/>
      </c>
      <c r="AF806" s="193" t="str">
        <f>'Buildings - Grid Electricity'!W311</f>
        <v/>
      </c>
      <c r="AG806" s="193" t="str">
        <f>'Buildings - Grid Electricity'!X311</f>
        <v/>
      </c>
      <c r="AI806" s="193">
        <f t="shared" si="14"/>
        <v>0</v>
      </c>
      <c r="AJ806" s="193">
        <f t="shared" si="15"/>
        <v>0</v>
      </c>
    </row>
    <row r="807" spans="2:36" x14ac:dyDescent="0.35">
      <c r="B807" s="193" t="e">
        <f>"2024"&amp;MATCH(Totals!D807,OrgType,0)&amp;"_"&amp;MATCH(Totals!E807,Organisations,0)&amp;"_"&amp;LEFT(Totals!F807,1)&amp;"_"&amp;LEFT(G807,1)&amp;"_"&amp;COUNTIF($G$3:G807,G807)</f>
        <v>#N/A</v>
      </c>
      <c r="C807" s="193">
        <v>2025</v>
      </c>
      <c r="D807" s="193">
        <f>Introduction!$D$7</f>
        <v>0</v>
      </c>
      <c r="E807" s="193">
        <f>Introduction!$D$8</f>
        <v>0</v>
      </c>
      <c r="F807" s="193" t="s">
        <v>488</v>
      </c>
      <c r="G807" s="193" t="s">
        <v>171</v>
      </c>
      <c r="H807" s="193">
        <f>'Buildings - Grid Electricity'!B312</f>
        <v>0</v>
      </c>
      <c r="I807" s="193">
        <f>'Buildings - Grid Electricity'!C312</f>
        <v>0</v>
      </c>
      <c r="J807" s="193" t="str">
        <f>'Buildings - Grid Electricity'!D312</f>
        <v/>
      </c>
      <c r="K807" s="237"/>
      <c r="L807" s="237"/>
      <c r="M807" s="193" t="str">
        <f>'Buildings - Grid Electricity'!E312</f>
        <v/>
      </c>
      <c r="N807" s="193" t="str">
        <f>'Buildings - Grid Electricity'!F312</f>
        <v/>
      </c>
      <c r="O807" s="237"/>
      <c r="P807" s="193">
        <f>'Buildings - Grid Electricity'!G312</f>
        <v>0</v>
      </c>
      <c r="Q807" s="193" t="str">
        <f>'Buildings - Grid Electricity'!H312</f>
        <v/>
      </c>
      <c r="R807" s="193">
        <f>'Buildings - Grid Electricity'!I312</f>
        <v>0</v>
      </c>
      <c r="S807" s="193" t="str">
        <f>'Buildings - Grid Electricity'!J312</f>
        <v/>
      </c>
      <c r="T807" s="193" t="str">
        <f>'Buildings - Grid Electricity'!K312</f>
        <v/>
      </c>
      <c r="U807" s="193" t="str">
        <f>'Buildings - Grid Electricity'!L312</f>
        <v/>
      </c>
      <c r="V807" s="193" t="str">
        <f>'Buildings - Grid Electricity'!M312</f>
        <v/>
      </c>
      <c r="W807" s="193" t="str">
        <f>'Buildings - Grid Electricity'!N312</f>
        <v/>
      </c>
      <c r="X807" s="193">
        <f>'Buildings - Grid Electricity'!O312</f>
        <v>0</v>
      </c>
      <c r="Y807" s="193">
        <f>'Buildings - Grid Electricity'!P312</f>
        <v>0</v>
      </c>
      <c r="Z807" s="193" t="str">
        <f>'Buildings - Grid Electricity'!Q312</f>
        <v/>
      </c>
      <c r="AA807" s="193" t="str">
        <f>'Buildings - Grid Electricity'!R312</f>
        <v/>
      </c>
      <c r="AB807" s="193" t="str">
        <f>'Buildings - Grid Electricity'!S312</f>
        <v/>
      </c>
      <c r="AC807" s="193" t="str">
        <f>'Buildings - Grid Electricity'!T312</f>
        <v/>
      </c>
      <c r="AD807" s="193" t="str">
        <f>'Buildings - Grid Electricity'!U312</f>
        <v/>
      </c>
      <c r="AE807" s="193" t="str">
        <f>'Buildings - Grid Electricity'!V312</f>
        <v/>
      </c>
      <c r="AF807" s="193" t="str">
        <f>'Buildings - Grid Electricity'!W312</f>
        <v/>
      </c>
      <c r="AG807" s="193" t="str">
        <f>'Buildings - Grid Electricity'!X312</f>
        <v/>
      </c>
      <c r="AI807" s="193">
        <f t="shared" si="14"/>
        <v>0</v>
      </c>
      <c r="AJ807" s="193">
        <f t="shared" si="15"/>
        <v>0</v>
      </c>
    </row>
    <row r="808" spans="2:36" x14ac:dyDescent="0.35">
      <c r="B808" s="193" t="e">
        <f>"2024"&amp;MATCH(Totals!D808,OrgType,0)&amp;"_"&amp;MATCH(Totals!E808,Organisations,0)&amp;"_"&amp;LEFT(Totals!F808,1)&amp;"_"&amp;LEFT(G808,1)&amp;"_"&amp;COUNTIF($G$3:G808,G808)</f>
        <v>#N/A</v>
      </c>
      <c r="C808" s="193">
        <v>2025</v>
      </c>
      <c r="D808" s="193">
        <f>Introduction!$D$7</f>
        <v>0</v>
      </c>
      <c r="E808" s="193">
        <f>Introduction!$D$8</f>
        <v>0</v>
      </c>
      <c r="F808" s="193" t="s">
        <v>488</v>
      </c>
      <c r="G808" s="193" t="s">
        <v>171</v>
      </c>
      <c r="H808" s="193">
        <f>'Buildings - Grid Electricity'!B313</f>
        <v>0</v>
      </c>
      <c r="I808" s="193">
        <f>'Buildings - Grid Electricity'!C313</f>
        <v>0</v>
      </c>
      <c r="J808" s="193" t="str">
        <f>'Buildings - Grid Electricity'!D313</f>
        <v/>
      </c>
      <c r="K808" s="237"/>
      <c r="L808" s="237"/>
      <c r="M808" s="193" t="str">
        <f>'Buildings - Grid Electricity'!E313</f>
        <v/>
      </c>
      <c r="N808" s="193" t="str">
        <f>'Buildings - Grid Electricity'!F313</f>
        <v/>
      </c>
      <c r="O808" s="237"/>
      <c r="P808" s="193">
        <f>'Buildings - Grid Electricity'!G313</f>
        <v>0</v>
      </c>
      <c r="Q808" s="193" t="str">
        <f>'Buildings - Grid Electricity'!H313</f>
        <v/>
      </c>
      <c r="R808" s="193">
        <f>'Buildings - Grid Electricity'!I313</f>
        <v>0</v>
      </c>
      <c r="S808" s="193" t="str">
        <f>'Buildings - Grid Electricity'!J313</f>
        <v/>
      </c>
      <c r="T808" s="193" t="str">
        <f>'Buildings - Grid Electricity'!K313</f>
        <v/>
      </c>
      <c r="U808" s="193" t="str">
        <f>'Buildings - Grid Electricity'!L313</f>
        <v/>
      </c>
      <c r="V808" s="193" t="str">
        <f>'Buildings - Grid Electricity'!M313</f>
        <v/>
      </c>
      <c r="W808" s="193" t="str">
        <f>'Buildings - Grid Electricity'!N313</f>
        <v/>
      </c>
      <c r="X808" s="193">
        <f>'Buildings - Grid Electricity'!O313</f>
        <v>0</v>
      </c>
      <c r="Y808" s="193">
        <f>'Buildings - Grid Electricity'!P313</f>
        <v>0</v>
      </c>
      <c r="Z808" s="193" t="str">
        <f>'Buildings - Grid Electricity'!Q313</f>
        <v/>
      </c>
      <c r="AA808" s="193" t="str">
        <f>'Buildings - Grid Electricity'!R313</f>
        <v/>
      </c>
      <c r="AB808" s="193" t="str">
        <f>'Buildings - Grid Electricity'!S313</f>
        <v/>
      </c>
      <c r="AC808" s="193" t="str">
        <f>'Buildings - Grid Electricity'!T313</f>
        <v/>
      </c>
      <c r="AD808" s="193" t="str">
        <f>'Buildings - Grid Electricity'!U313</f>
        <v/>
      </c>
      <c r="AE808" s="193" t="str">
        <f>'Buildings - Grid Electricity'!V313</f>
        <v/>
      </c>
      <c r="AF808" s="193" t="str">
        <f>'Buildings - Grid Electricity'!W313</f>
        <v/>
      </c>
      <c r="AG808" s="193" t="str">
        <f>'Buildings - Grid Electricity'!X313</f>
        <v/>
      </c>
      <c r="AI808" s="193">
        <f t="shared" si="14"/>
        <v>0</v>
      </c>
      <c r="AJ808" s="193">
        <f t="shared" si="15"/>
        <v>0</v>
      </c>
    </row>
    <row r="809" spans="2:36" x14ac:dyDescent="0.35">
      <c r="B809" s="193" t="e">
        <f>"2024"&amp;MATCH(Totals!D809,OrgType,0)&amp;"_"&amp;MATCH(Totals!E809,Organisations,0)&amp;"_"&amp;LEFT(Totals!F809,1)&amp;"_"&amp;LEFT(G809,1)&amp;"_"&amp;COUNTIF($G$3:G809,G809)</f>
        <v>#N/A</v>
      </c>
      <c r="C809" s="193">
        <v>2025</v>
      </c>
      <c r="D809" s="193">
        <f>Introduction!$D$7</f>
        <v>0</v>
      </c>
      <c r="E809" s="193">
        <f>Introduction!$D$8</f>
        <v>0</v>
      </c>
      <c r="F809" s="193" t="s">
        <v>488</v>
      </c>
      <c r="G809" s="193" t="s">
        <v>171</v>
      </c>
      <c r="H809" s="193">
        <f>'Buildings - Grid Electricity'!B314</f>
        <v>0</v>
      </c>
      <c r="I809" s="193">
        <f>'Buildings - Grid Electricity'!C314</f>
        <v>0</v>
      </c>
      <c r="J809" s="193" t="str">
        <f>'Buildings - Grid Electricity'!D314</f>
        <v/>
      </c>
      <c r="K809" s="237"/>
      <c r="L809" s="237"/>
      <c r="M809" s="193" t="str">
        <f>'Buildings - Grid Electricity'!E314</f>
        <v/>
      </c>
      <c r="N809" s="193" t="str">
        <f>'Buildings - Grid Electricity'!F314</f>
        <v/>
      </c>
      <c r="O809" s="237"/>
      <c r="P809" s="193">
        <f>'Buildings - Grid Electricity'!G314</f>
        <v>0</v>
      </c>
      <c r="Q809" s="193" t="str">
        <f>'Buildings - Grid Electricity'!H314</f>
        <v/>
      </c>
      <c r="R809" s="193">
        <f>'Buildings - Grid Electricity'!I314</f>
        <v>0</v>
      </c>
      <c r="S809" s="193" t="str">
        <f>'Buildings - Grid Electricity'!J314</f>
        <v/>
      </c>
      <c r="T809" s="193" t="str">
        <f>'Buildings - Grid Electricity'!K314</f>
        <v/>
      </c>
      <c r="U809" s="193" t="str">
        <f>'Buildings - Grid Electricity'!L314</f>
        <v/>
      </c>
      <c r="V809" s="193" t="str">
        <f>'Buildings - Grid Electricity'!M314</f>
        <v/>
      </c>
      <c r="W809" s="193" t="str">
        <f>'Buildings - Grid Electricity'!N314</f>
        <v/>
      </c>
      <c r="X809" s="193">
        <f>'Buildings - Grid Electricity'!O314</f>
        <v>0</v>
      </c>
      <c r="Y809" s="193">
        <f>'Buildings - Grid Electricity'!P314</f>
        <v>0</v>
      </c>
      <c r="Z809" s="193" t="str">
        <f>'Buildings - Grid Electricity'!Q314</f>
        <v/>
      </c>
      <c r="AA809" s="193" t="str">
        <f>'Buildings - Grid Electricity'!R314</f>
        <v/>
      </c>
      <c r="AB809" s="193" t="str">
        <f>'Buildings - Grid Electricity'!S314</f>
        <v/>
      </c>
      <c r="AC809" s="193" t="str">
        <f>'Buildings - Grid Electricity'!T314</f>
        <v/>
      </c>
      <c r="AD809" s="193" t="str">
        <f>'Buildings - Grid Electricity'!U314</f>
        <v/>
      </c>
      <c r="AE809" s="193" t="str">
        <f>'Buildings - Grid Electricity'!V314</f>
        <v/>
      </c>
      <c r="AF809" s="193" t="str">
        <f>'Buildings - Grid Electricity'!W314</f>
        <v/>
      </c>
      <c r="AG809" s="193" t="str">
        <f>'Buildings - Grid Electricity'!X314</f>
        <v/>
      </c>
      <c r="AI809" s="193">
        <f t="shared" si="14"/>
        <v>0</v>
      </c>
      <c r="AJ809" s="193">
        <f t="shared" si="15"/>
        <v>0</v>
      </c>
    </row>
    <row r="810" spans="2:36" x14ac:dyDescent="0.35">
      <c r="B810" s="193" t="e">
        <f>"2024"&amp;MATCH(Totals!D810,OrgType,0)&amp;"_"&amp;MATCH(Totals!E810,Organisations,0)&amp;"_"&amp;LEFT(Totals!F810,1)&amp;"_"&amp;LEFT(G810,1)&amp;"_"&amp;COUNTIF($G$3:G810,G810)</f>
        <v>#N/A</v>
      </c>
      <c r="C810" s="193">
        <v>2025</v>
      </c>
      <c r="D810" s="193">
        <f>Introduction!$D$7</f>
        <v>0</v>
      </c>
      <c r="E810" s="193">
        <f>Introduction!$D$8</f>
        <v>0</v>
      </c>
      <c r="F810" s="193" t="s">
        <v>488</v>
      </c>
      <c r="G810" s="193" t="s">
        <v>171</v>
      </c>
      <c r="H810" s="193">
        <f>'Buildings - Grid Electricity'!B315</f>
        <v>0</v>
      </c>
      <c r="I810" s="193">
        <f>'Buildings - Grid Electricity'!C315</f>
        <v>0</v>
      </c>
      <c r="J810" s="193" t="str">
        <f>'Buildings - Grid Electricity'!D315</f>
        <v/>
      </c>
      <c r="K810" s="237"/>
      <c r="L810" s="237"/>
      <c r="M810" s="193" t="str">
        <f>'Buildings - Grid Electricity'!E315</f>
        <v/>
      </c>
      <c r="N810" s="193" t="str">
        <f>'Buildings - Grid Electricity'!F315</f>
        <v/>
      </c>
      <c r="O810" s="237"/>
      <c r="P810" s="193">
        <f>'Buildings - Grid Electricity'!G315</f>
        <v>0</v>
      </c>
      <c r="Q810" s="193" t="str">
        <f>'Buildings - Grid Electricity'!H315</f>
        <v/>
      </c>
      <c r="R810" s="193">
        <f>'Buildings - Grid Electricity'!I315</f>
        <v>0</v>
      </c>
      <c r="S810" s="193" t="str">
        <f>'Buildings - Grid Electricity'!J315</f>
        <v/>
      </c>
      <c r="T810" s="193" t="str">
        <f>'Buildings - Grid Electricity'!K315</f>
        <v/>
      </c>
      <c r="U810" s="193" t="str">
        <f>'Buildings - Grid Electricity'!L315</f>
        <v/>
      </c>
      <c r="V810" s="193" t="str">
        <f>'Buildings - Grid Electricity'!M315</f>
        <v/>
      </c>
      <c r="W810" s="193" t="str">
        <f>'Buildings - Grid Electricity'!N315</f>
        <v/>
      </c>
      <c r="X810" s="193">
        <f>'Buildings - Grid Electricity'!O315</f>
        <v>0</v>
      </c>
      <c r="Y810" s="193">
        <f>'Buildings - Grid Electricity'!P315</f>
        <v>0</v>
      </c>
      <c r="Z810" s="193" t="str">
        <f>'Buildings - Grid Electricity'!Q315</f>
        <v/>
      </c>
      <c r="AA810" s="193" t="str">
        <f>'Buildings - Grid Electricity'!R315</f>
        <v/>
      </c>
      <c r="AB810" s="193" t="str">
        <f>'Buildings - Grid Electricity'!S315</f>
        <v/>
      </c>
      <c r="AC810" s="193" t="str">
        <f>'Buildings - Grid Electricity'!T315</f>
        <v/>
      </c>
      <c r="AD810" s="193" t="str">
        <f>'Buildings - Grid Electricity'!U315</f>
        <v/>
      </c>
      <c r="AE810" s="193" t="str">
        <f>'Buildings - Grid Electricity'!V315</f>
        <v/>
      </c>
      <c r="AF810" s="193" t="str">
        <f>'Buildings - Grid Electricity'!W315</f>
        <v/>
      </c>
      <c r="AG810" s="193" t="str">
        <f>'Buildings - Grid Electricity'!X315</f>
        <v/>
      </c>
      <c r="AI810" s="193">
        <f t="shared" si="14"/>
        <v>0</v>
      </c>
      <c r="AJ810" s="193">
        <f t="shared" si="15"/>
        <v>0</v>
      </c>
    </row>
    <row r="811" spans="2:36" x14ac:dyDescent="0.35">
      <c r="B811" s="193" t="e">
        <f>"2024"&amp;MATCH(Totals!D811,OrgType,0)&amp;"_"&amp;MATCH(Totals!E811,Organisations,0)&amp;"_"&amp;LEFT(Totals!F811,1)&amp;"_"&amp;LEFT(G811,1)&amp;"_"&amp;COUNTIF($G$3:G811,G811)</f>
        <v>#N/A</v>
      </c>
      <c r="C811" s="193">
        <v>2025</v>
      </c>
      <c r="D811" s="193">
        <f>Introduction!$D$7</f>
        <v>0</v>
      </c>
      <c r="E811" s="193">
        <f>Introduction!$D$8</f>
        <v>0</v>
      </c>
      <c r="F811" s="193" t="s">
        <v>488</v>
      </c>
      <c r="G811" s="193" t="s">
        <v>171</v>
      </c>
      <c r="H811" s="193">
        <f>'Buildings - Grid Electricity'!B316</f>
        <v>0</v>
      </c>
      <c r="I811" s="193">
        <f>'Buildings - Grid Electricity'!C316</f>
        <v>0</v>
      </c>
      <c r="J811" s="193" t="str">
        <f>'Buildings - Grid Electricity'!D316</f>
        <v/>
      </c>
      <c r="K811" s="237"/>
      <c r="L811" s="237"/>
      <c r="M811" s="193" t="str">
        <f>'Buildings - Grid Electricity'!E316</f>
        <v/>
      </c>
      <c r="N811" s="193" t="str">
        <f>'Buildings - Grid Electricity'!F316</f>
        <v/>
      </c>
      <c r="O811" s="237"/>
      <c r="P811" s="193">
        <f>'Buildings - Grid Electricity'!G316</f>
        <v>0</v>
      </c>
      <c r="Q811" s="193" t="str">
        <f>'Buildings - Grid Electricity'!H316</f>
        <v/>
      </c>
      <c r="R811" s="193">
        <f>'Buildings - Grid Electricity'!I316</f>
        <v>0</v>
      </c>
      <c r="S811" s="193" t="str">
        <f>'Buildings - Grid Electricity'!J316</f>
        <v/>
      </c>
      <c r="T811" s="193" t="str">
        <f>'Buildings - Grid Electricity'!K316</f>
        <v/>
      </c>
      <c r="U811" s="193" t="str">
        <f>'Buildings - Grid Electricity'!L316</f>
        <v/>
      </c>
      <c r="V811" s="193" t="str">
        <f>'Buildings - Grid Electricity'!M316</f>
        <v/>
      </c>
      <c r="W811" s="193" t="str">
        <f>'Buildings - Grid Electricity'!N316</f>
        <v/>
      </c>
      <c r="X811" s="193">
        <f>'Buildings - Grid Electricity'!O316</f>
        <v>0</v>
      </c>
      <c r="Y811" s="193">
        <f>'Buildings - Grid Electricity'!P316</f>
        <v>0</v>
      </c>
      <c r="Z811" s="193" t="str">
        <f>'Buildings - Grid Electricity'!Q316</f>
        <v/>
      </c>
      <c r="AA811" s="193" t="str">
        <f>'Buildings - Grid Electricity'!R316</f>
        <v/>
      </c>
      <c r="AB811" s="193" t="str">
        <f>'Buildings - Grid Electricity'!S316</f>
        <v/>
      </c>
      <c r="AC811" s="193" t="str">
        <f>'Buildings - Grid Electricity'!T316</f>
        <v/>
      </c>
      <c r="AD811" s="193" t="str">
        <f>'Buildings - Grid Electricity'!U316</f>
        <v/>
      </c>
      <c r="AE811" s="193" t="str">
        <f>'Buildings - Grid Electricity'!V316</f>
        <v/>
      </c>
      <c r="AF811" s="193" t="str">
        <f>'Buildings - Grid Electricity'!W316</f>
        <v/>
      </c>
      <c r="AG811" s="193" t="str">
        <f>'Buildings - Grid Electricity'!X316</f>
        <v/>
      </c>
      <c r="AI811" s="193">
        <f t="shared" si="14"/>
        <v>0</v>
      </c>
      <c r="AJ811" s="193">
        <f t="shared" si="15"/>
        <v>0</v>
      </c>
    </row>
    <row r="812" spans="2:36" x14ac:dyDescent="0.35">
      <c r="B812" s="193" t="e">
        <f>"2024"&amp;MATCH(Totals!D812,OrgType,0)&amp;"_"&amp;MATCH(Totals!E812,Organisations,0)&amp;"_"&amp;LEFT(Totals!F812,1)&amp;"_"&amp;LEFT(G812,1)&amp;"_"&amp;COUNTIF($G$3:G812,G812)</f>
        <v>#N/A</v>
      </c>
      <c r="C812" s="193">
        <v>2025</v>
      </c>
      <c r="D812" s="193">
        <f>Introduction!$D$7</f>
        <v>0</v>
      </c>
      <c r="E812" s="193">
        <f>Introduction!$D$8</f>
        <v>0</v>
      </c>
      <c r="F812" s="193" t="s">
        <v>488</v>
      </c>
      <c r="G812" s="193" t="s">
        <v>171</v>
      </c>
      <c r="H812" s="193">
        <f>'Buildings - Grid Electricity'!B317</f>
        <v>0</v>
      </c>
      <c r="I812" s="193">
        <f>'Buildings - Grid Electricity'!C317</f>
        <v>0</v>
      </c>
      <c r="J812" s="193" t="str">
        <f>'Buildings - Grid Electricity'!D317</f>
        <v/>
      </c>
      <c r="K812" s="237"/>
      <c r="L812" s="237"/>
      <c r="M812" s="193" t="str">
        <f>'Buildings - Grid Electricity'!E317</f>
        <v/>
      </c>
      <c r="N812" s="193" t="str">
        <f>'Buildings - Grid Electricity'!F317</f>
        <v/>
      </c>
      <c r="O812" s="237"/>
      <c r="P812" s="193">
        <f>'Buildings - Grid Electricity'!G317</f>
        <v>0</v>
      </c>
      <c r="Q812" s="193" t="str">
        <f>'Buildings - Grid Electricity'!H317</f>
        <v/>
      </c>
      <c r="R812" s="193">
        <f>'Buildings - Grid Electricity'!I317</f>
        <v>0</v>
      </c>
      <c r="S812" s="193" t="str">
        <f>'Buildings - Grid Electricity'!J317</f>
        <v/>
      </c>
      <c r="T812" s="193" t="str">
        <f>'Buildings - Grid Electricity'!K317</f>
        <v/>
      </c>
      <c r="U812" s="193" t="str">
        <f>'Buildings - Grid Electricity'!L317</f>
        <v/>
      </c>
      <c r="V812" s="193" t="str">
        <f>'Buildings - Grid Electricity'!M317</f>
        <v/>
      </c>
      <c r="W812" s="193" t="str">
        <f>'Buildings - Grid Electricity'!N317</f>
        <v/>
      </c>
      <c r="X812" s="193">
        <f>'Buildings - Grid Electricity'!O317</f>
        <v>0</v>
      </c>
      <c r="Y812" s="193">
        <f>'Buildings - Grid Electricity'!P317</f>
        <v>0</v>
      </c>
      <c r="Z812" s="193" t="str">
        <f>'Buildings - Grid Electricity'!Q317</f>
        <v/>
      </c>
      <c r="AA812" s="193" t="str">
        <f>'Buildings - Grid Electricity'!R317</f>
        <v/>
      </c>
      <c r="AB812" s="193" t="str">
        <f>'Buildings - Grid Electricity'!S317</f>
        <v/>
      </c>
      <c r="AC812" s="193" t="str">
        <f>'Buildings - Grid Electricity'!T317</f>
        <v/>
      </c>
      <c r="AD812" s="193" t="str">
        <f>'Buildings - Grid Electricity'!U317</f>
        <v/>
      </c>
      <c r="AE812" s="193" t="str">
        <f>'Buildings - Grid Electricity'!V317</f>
        <v/>
      </c>
      <c r="AF812" s="193" t="str">
        <f>'Buildings - Grid Electricity'!W317</f>
        <v/>
      </c>
      <c r="AG812" s="193" t="str">
        <f>'Buildings - Grid Electricity'!X317</f>
        <v/>
      </c>
      <c r="AI812" s="193">
        <f t="shared" si="14"/>
        <v>0</v>
      </c>
      <c r="AJ812" s="193">
        <f t="shared" si="15"/>
        <v>0</v>
      </c>
    </row>
    <row r="813" spans="2:36" x14ac:dyDescent="0.35">
      <c r="B813" s="193" t="e">
        <f>"2024"&amp;MATCH(Totals!D813,OrgType,0)&amp;"_"&amp;MATCH(Totals!E813,Organisations,0)&amp;"_"&amp;LEFT(Totals!F813,1)&amp;"_"&amp;LEFT(G813,1)&amp;"_"&amp;COUNTIF($G$3:G813,G813)</f>
        <v>#N/A</v>
      </c>
      <c r="C813" s="193">
        <v>2025</v>
      </c>
      <c r="D813" s="193">
        <f>Introduction!$D$7</f>
        <v>0</v>
      </c>
      <c r="E813" s="193">
        <f>Introduction!$D$8</f>
        <v>0</v>
      </c>
      <c r="F813" s="193" t="s">
        <v>488</v>
      </c>
      <c r="G813" s="193" t="s">
        <v>171</v>
      </c>
      <c r="H813" s="193">
        <f>'Buildings - Grid Electricity'!B318</f>
        <v>0</v>
      </c>
      <c r="I813" s="193">
        <f>'Buildings - Grid Electricity'!C318</f>
        <v>0</v>
      </c>
      <c r="J813" s="193" t="str">
        <f>'Buildings - Grid Electricity'!D318</f>
        <v/>
      </c>
      <c r="K813" s="237"/>
      <c r="L813" s="237"/>
      <c r="M813" s="193" t="str">
        <f>'Buildings - Grid Electricity'!E318</f>
        <v/>
      </c>
      <c r="N813" s="193" t="str">
        <f>'Buildings - Grid Electricity'!F318</f>
        <v/>
      </c>
      <c r="O813" s="237"/>
      <c r="P813" s="193">
        <f>'Buildings - Grid Electricity'!G318</f>
        <v>0</v>
      </c>
      <c r="Q813" s="193" t="str">
        <f>'Buildings - Grid Electricity'!H318</f>
        <v/>
      </c>
      <c r="R813" s="193">
        <f>'Buildings - Grid Electricity'!I318</f>
        <v>0</v>
      </c>
      <c r="S813" s="193" t="str">
        <f>'Buildings - Grid Electricity'!J318</f>
        <v/>
      </c>
      <c r="T813" s="193" t="str">
        <f>'Buildings - Grid Electricity'!K318</f>
        <v/>
      </c>
      <c r="U813" s="193" t="str">
        <f>'Buildings - Grid Electricity'!L318</f>
        <v/>
      </c>
      <c r="V813" s="193" t="str">
        <f>'Buildings - Grid Electricity'!M318</f>
        <v/>
      </c>
      <c r="W813" s="193" t="str">
        <f>'Buildings - Grid Electricity'!N318</f>
        <v/>
      </c>
      <c r="X813" s="193">
        <f>'Buildings - Grid Electricity'!O318</f>
        <v>0</v>
      </c>
      <c r="Y813" s="193">
        <f>'Buildings - Grid Electricity'!P318</f>
        <v>0</v>
      </c>
      <c r="Z813" s="193" t="str">
        <f>'Buildings - Grid Electricity'!Q318</f>
        <v/>
      </c>
      <c r="AA813" s="193" t="str">
        <f>'Buildings - Grid Electricity'!R318</f>
        <v/>
      </c>
      <c r="AB813" s="193" t="str">
        <f>'Buildings - Grid Electricity'!S318</f>
        <v/>
      </c>
      <c r="AC813" s="193" t="str">
        <f>'Buildings - Grid Electricity'!T318</f>
        <v/>
      </c>
      <c r="AD813" s="193" t="str">
        <f>'Buildings - Grid Electricity'!U318</f>
        <v/>
      </c>
      <c r="AE813" s="193" t="str">
        <f>'Buildings - Grid Electricity'!V318</f>
        <v/>
      </c>
      <c r="AF813" s="193" t="str">
        <f>'Buildings - Grid Electricity'!W318</f>
        <v/>
      </c>
      <c r="AG813" s="193" t="str">
        <f>'Buildings - Grid Electricity'!X318</f>
        <v/>
      </c>
      <c r="AI813" s="193">
        <f t="shared" si="14"/>
        <v>0</v>
      </c>
      <c r="AJ813" s="193">
        <f t="shared" si="15"/>
        <v>0</v>
      </c>
    </row>
    <row r="814" spans="2:36" x14ac:dyDescent="0.35">
      <c r="B814" s="193" t="e">
        <f>"2024"&amp;MATCH(Totals!D814,OrgType,0)&amp;"_"&amp;MATCH(Totals!E814,Organisations,0)&amp;"_"&amp;LEFT(Totals!F814,1)&amp;"_"&amp;LEFT(G814,1)&amp;"_"&amp;COUNTIF($G$3:G814,G814)</f>
        <v>#N/A</v>
      </c>
      <c r="C814" s="193">
        <v>2025</v>
      </c>
      <c r="D814" s="193">
        <f>Introduction!$D$7</f>
        <v>0</v>
      </c>
      <c r="E814" s="193">
        <f>Introduction!$D$8</f>
        <v>0</v>
      </c>
      <c r="F814" s="193" t="s">
        <v>488</v>
      </c>
      <c r="G814" s="193" t="s">
        <v>171</v>
      </c>
      <c r="H814" s="193">
        <f>'Buildings - Grid Electricity'!B319</f>
        <v>0</v>
      </c>
      <c r="I814" s="193">
        <f>'Buildings - Grid Electricity'!C319</f>
        <v>0</v>
      </c>
      <c r="J814" s="193" t="str">
        <f>'Buildings - Grid Electricity'!D319</f>
        <v/>
      </c>
      <c r="K814" s="237"/>
      <c r="L814" s="237"/>
      <c r="M814" s="193" t="str">
        <f>'Buildings - Grid Electricity'!E319</f>
        <v/>
      </c>
      <c r="N814" s="193" t="str">
        <f>'Buildings - Grid Electricity'!F319</f>
        <v/>
      </c>
      <c r="O814" s="237"/>
      <c r="P814" s="193">
        <f>'Buildings - Grid Electricity'!G319</f>
        <v>0</v>
      </c>
      <c r="Q814" s="193" t="str">
        <f>'Buildings - Grid Electricity'!H319</f>
        <v/>
      </c>
      <c r="R814" s="193">
        <f>'Buildings - Grid Electricity'!I319</f>
        <v>0</v>
      </c>
      <c r="S814" s="193" t="str">
        <f>'Buildings - Grid Electricity'!J319</f>
        <v/>
      </c>
      <c r="T814" s="193" t="str">
        <f>'Buildings - Grid Electricity'!K319</f>
        <v/>
      </c>
      <c r="U814" s="193" t="str">
        <f>'Buildings - Grid Electricity'!L319</f>
        <v/>
      </c>
      <c r="V814" s="193" t="str">
        <f>'Buildings - Grid Electricity'!M319</f>
        <v/>
      </c>
      <c r="W814" s="193" t="str">
        <f>'Buildings - Grid Electricity'!N319</f>
        <v/>
      </c>
      <c r="X814" s="193">
        <f>'Buildings - Grid Electricity'!O319</f>
        <v>0</v>
      </c>
      <c r="Y814" s="193">
        <f>'Buildings - Grid Electricity'!P319</f>
        <v>0</v>
      </c>
      <c r="Z814" s="193" t="str">
        <f>'Buildings - Grid Electricity'!Q319</f>
        <v/>
      </c>
      <c r="AA814" s="193" t="str">
        <f>'Buildings - Grid Electricity'!R319</f>
        <v/>
      </c>
      <c r="AB814" s="193" t="str">
        <f>'Buildings - Grid Electricity'!S319</f>
        <v/>
      </c>
      <c r="AC814" s="193" t="str">
        <f>'Buildings - Grid Electricity'!T319</f>
        <v/>
      </c>
      <c r="AD814" s="193" t="str">
        <f>'Buildings - Grid Electricity'!U319</f>
        <v/>
      </c>
      <c r="AE814" s="193" t="str">
        <f>'Buildings - Grid Electricity'!V319</f>
        <v/>
      </c>
      <c r="AF814" s="193" t="str">
        <f>'Buildings - Grid Electricity'!W319</f>
        <v/>
      </c>
      <c r="AG814" s="193" t="str">
        <f>'Buildings - Grid Electricity'!X319</f>
        <v/>
      </c>
      <c r="AI814" s="193">
        <f t="shared" si="14"/>
        <v>0</v>
      </c>
      <c r="AJ814" s="193">
        <f t="shared" si="15"/>
        <v>0</v>
      </c>
    </row>
    <row r="815" spans="2:36" x14ac:dyDescent="0.35">
      <c r="B815" s="193" t="e">
        <f>"2024"&amp;MATCH(Totals!D815,OrgType,0)&amp;"_"&amp;MATCH(Totals!E815,Organisations,0)&amp;"_"&amp;LEFT(Totals!F815,1)&amp;"_"&amp;LEFT(G815,1)&amp;"_"&amp;COUNTIF($G$3:G815,G815)</f>
        <v>#N/A</v>
      </c>
      <c r="C815" s="193">
        <v>2025</v>
      </c>
      <c r="D815" s="193">
        <f>Introduction!$D$7</f>
        <v>0</v>
      </c>
      <c r="E815" s="193">
        <f>Introduction!$D$8</f>
        <v>0</v>
      </c>
      <c r="F815" s="193" t="s">
        <v>488</v>
      </c>
      <c r="G815" s="193" t="s">
        <v>171</v>
      </c>
      <c r="H815" s="193">
        <f>'Buildings - Grid Electricity'!B320</f>
        <v>0</v>
      </c>
      <c r="I815" s="193">
        <f>'Buildings - Grid Electricity'!C320</f>
        <v>0</v>
      </c>
      <c r="J815" s="193" t="str">
        <f>'Buildings - Grid Electricity'!D320</f>
        <v/>
      </c>
      <c r="K815" s="237"/>
      <c r="L815" s="237"/>
      <c r="M815" s="193" t="str">
        <f>'Buildings - Grid Electricity'!E320</f>
        <v/>
      </c>
      <c r="N815" s="193" t="str">
        <f>'Buildings - Grid Electricity'!F320</f>
        <v/>
      </c>
      <c r="O815" s="237"/>
      <c r="P815" s="193">
        <f>'Buildings - Grid Electricity'!G320</f>
        <v>0</v>
      </c>
      <c r="Q815" s="193" t="str">
        <f>'Buildings - Grid Electricity'!H320</f>
        <v/>
      </c>
      <c r="R815" s="193">
        <f>'Buildings - Grid Electricity'!I320</f>
        <v>0</v>
      </c>
      <c r="S815" s="193" t="str">
        <f>'Buildings - Grid Electricity'!J320</f>
        <v/>
      </c>
      <c r="T815" s="193" t="str">
        <f>'Buildings - Grid Electricity'!K320</f>
        <v/>
      </c>
      <c r="U815" s="193" t="str">
        <f>'Buildings - Grid Electricity'!L320</f>
        <v/>
      </c>
      <c r="V815" s="193" t="str">
        <f>'Buildings - Grid Electricity'!M320</f>
        <v/>
      </c>
      <c r="W815" s="193" t="str">
        <f>'Buildings - Grid Electricity'!N320</f>
        <v/>
      </c>
      <c r="X815" s="193">
        <f>'Buildings - Grid Electricity'!O320</f>
        <v>0</v>
      </c>
      <c r="Y815" s="193">
        <f>'Buildings - Grid Electricity'!P320</f>
        <v>0</v>
      </c>
      <c r="Z815" s="193" t="str">
        <f>'Buildings - Grid Electricity'!Q320</f>
        <v/>
      </c>
      <c r="AA815" s="193" t="str">
        <f>'Buildings - Grid Electricity'!R320</f>
        <v/>
      </c>
      <c r="AB815" s="193" t="str">
        <f>'Buildings - Grid Electricity'!S320</f>
        <v/>
      </c>
      <c r="AC815" s="193" t="str">
        <f>'Buildings - Grid Electricity'!T320</f>
        <v/>
      </c>
      <c r="AD815" s="193" t="str">
        <f>'Buildings - Grid Electricity'!U320</f>
        <v/>
      </c>
      <c r="AE815" s="193" t="str">
        <f>'Buildings - Grid Electricity'!V320</f>
        <v/>
      </c>
      <c r="AF815" s="193" t="str">
        <f>'Buildings - Grid Electricity'!W320</f>
        <v/>
      </c>
      <c r="AG815" s="193" t="str">
        <f>'Buildings - Grid Electricity'!X320</f>
        <v/>
      </c>
      <c r="AI815" s="193">
        <f t="shared" si="14"/>
        <v>0</v>
      </c>
      <c r="AJ815" s="193">
        <f t="shared" si="15"/>
        <v>0</v>
      </c>
    </row>
    <row r="816" spans="2:36" x14ac:dyDescent="0.35">
      <c r="B816" s="193" t="e">
        <f>"2024"&amp;MATCH(Totals!D816,OrgType,0)&amp;"_"&amp;MATCH(Totals!E816,Organisations,0)&amp;"_"&amp;LEFT(Totals!F816,1)&amp;"_"&amp;LEFT(G816,1)&amp;"_"&amp;COUNTIF($G$3:G816,G816)</f>
        <v>#N/A</v>
      </c>
      <c r="C816" s="193">
        <v>2025</v>
      </c>
      <c r="D816" s="193">
        <f>Introduction!$D$7</f>
        <v>0</v>
      </c>
      <c r="E816" s="193">
        <f>Introduction!$D$8</f>
        <v>0</v>
      </c>
      <c r="F816" s="193" t="s">
        <v>488</v>
      </c>
      <c r="G816" s="193" t="s">
        <v>171</v>
      </c>
      <c r="H816" s="193">
        <f>'Buildings - Grid Electricity'!B321</f>
        <v>0</v>
      </c>
      <c r="I816" s="193">
        <f>'Buildings - Grid Electricity'!C321</f>
        <v>0</v>
      </c>
      <c r="J816" s="193" t="str">
        <f>'Buildings - Grid Electricity'!D321</f>
        <v/>
      </c>
      <c r="K816" s="237"/>
      <c r="L816" s="237"/>
      <c r="M816" s="193" t="str">
        <f>'Buildings - Grid Electricity'!E321</f>
        <v/>
      </c>
      <c r="N816" s="193" t="str">
        <f>'Buildings - Grid Electricity'!F321</f>
        <v/>
      </c>
      <c r="O816" s="237"/>
      <c r="P816" s="193">
        <f>'Buildings - Grid Electricity'!G321</f>
        <v>0</v>
      </c>
      <c r="Q816" s="193" t="str">
        <f>'Buildings - Grid Electricity'!H321</f>
        <v/>
      </c>
      <c r="R816" s="193">
        <f>'Buildings - Grid Electricity'!I321</f>
        <v>0</v>
      </c>
      <c r="S816" s="193" t="str">
        <f>'Buildings - Grid Electricity'!J321</f>
        <v/>
      </c>
      <c r="T816" s="193" t="str">
        <f>'Buildings - Grid Electricity'!K321</f>
        <v/>
      </c>
      <c r="U816" s="193" t="str">
        <f>'Buildings - Grid Electricity'!L321</f>
        <v/>
      </c>
      <c r="V816" s="193" t="str">
        <f>'Buildings - Grid Electricity'!M321</f>
        <v/>
      </c>
      <c r="W816" s="193" t="str">
        <f>'Buildings - Grid Electricity'!N321</f>
        <v/>
      </c>
      <c r="X816" s="193">
        <f>'Buildings - Grid Electricity'!O321</f>
        <v>0</v>
      </c>
      <c r="Y816" s="193">
        <f>'Buildings - Grid Electricity'!P321</f>
        <v>0</v>
      </c>
      <c r="Z816" s="193" t="str">
        <f>'Buildings - Grid Electricity'!Q321</f>
        <v/>
      </c>
      <c r="AA816" s="193" t="str">
        <f>'Buildings - Grid Electricity'!R321</f>
        <v/>
      </c>
      <c r="AB816" s="193" t="str">
        <f>'Buildings - Grid Electricity'!S321</f>
        <v/>
      </c>
      <c r="AC816" s="193" t="str">
        <f>'Buildings - Grid Electricity'!T321</f>
        <v/>
      </c>
      <c r="AD816" s="193" t="str">
        <f>'Buildings - Grid Electricity'!U321</f>
        <v/>
      </c>
      <c r="AE816" s="193" t="str">
        <f>'Buildings - Grid Electricity'!V321</f>
        <v/>
      </c>
      <c r="AF816" s="193" t="str">
        <f>'Buildings - Grid Electricity'!W321</f>
        <v/>
      </c>
      <c r="AG816" s="193" t="str">
        <f>'Buildings - Grid Electricity'!X321</f>
        <v/>
      </c>
      <c r="AI816" s="193">
        <f t="shared" si="14"/>
        <v>0</v>
      </c>
      <c r="AJ816" s="193">
        <f t="shared" si="15"/>
        <v>0</v>
      </c>
    </row>
    <row r="817" spans="2:36" x14ac:dyDescent="0.35">
      <c r="B817" s="193" t="e">
        <f>"2024"&amp;MATCH(Totals!D817,OrgType,0)&amp;"_"&amp;MATCH(Totals!E817,Organisations,0)&amp;"_"&amp;LEFT(Totals!F817,1)&amp;"_"&amp;LEFT(G817,1)&amp;"_"&amp;COUNTIF($G$3:G817,G817)</f>
        <v>#N/A</v>
      </c>
      <c r="C817" s="193">
        <v>2025</v>
      </c>
      <c r="D817" s="193">
        <f>Introduction!$D$7</f>
        <v>0</v>
      </c>
      <c r="E817" s="193">
        <f>Introduction!$D$8</f>
        <v>0</v>
      </c>
      <c r="F817" s="193" t="s">
        <v>488</v>
      </c>
      <c r="G817" s="193" t="s">
        <v>171</v>
      </c>
      <c r="H817" s="193">
        <f>'Buildings - Grid Electricity'!B322</f>
        <v>0</v>
      </c>
      <c r="I817" s="193">
        <f>'Buildings - Grid Electricity'!C322</f>
        <v>0</v>
      </c>
      <c r="J817" s="193" t="str">
        <f>'Buildings - Grid Electricity'!D322</f>
        <v/>
      </c>
      <c r="K817" s="237"/>
      <c r="L817" s="237"/>
      <c r="M817" s="193" t="str">
        <f>'Buildings - Grid Electricity'!E322</f>
        <v/>
      </c>
      <c r="N817" s="193" t="str">
        <f>'Buildings - Grid Electricity'!F322</f>
        <v/>
      </c>
      <c r="O817" s="237"/>
      <c r="P817" s="193">
        <f>'Buildings - Grid Electricity'!G322</f>
        <v>0</v>
      </c>
      <c r="Q817" s="193" t="str">
        <f>'Buildings - Grid Electricity'!H322</f>
        <v/>
      </c>
      <c r="R817" s="193">
        <f>'Buildings - Grid Electricity'!I322</f>
        <v>0</v>
      </c>
      <c r="S817" s="193" t="str">
        <f>'Buildings - Grid Electricity'!J322</f>
        <v/>
      </c>
      <c r="T817" s="193" t="str">
        <f>'Buildings - Grid Electricity'!K322</f>
        <v/>
      </c>
      <c r="U817" s="193" t="str">
        <f>'Buildings - Grid Electricity'!L322</f>
        <v/>
      </c>
      <c r="V817" s="193" t="str">
        <f>'Buildings - Grid Electricity'!M322</f>
        <v/>
      </c>
      <c r="W817" s="193" t="str">
        <f>'Buildings - Grid Electricity'!N322</f>
        <v/>
      </c>
      <c r="X817" s="193">
        <f>'Buildings - Grid Electricity'!O322</f>
        <v>0</v>
      </c>
      <c r="Y817" s="193">
        <f>'Buildings - Grid Electricity'!P322</f>
        <v>0</v>
      </c>
      <c r="Z817" s="193" t="str">
        <f>'Buildings - Grid Electricity'!Q322</f>
        <v/>
      </c>
      <c r="AA817" s="193" t="str">
        <f>'Buildings - Grid Electricity'!R322</f>
        <v/>
      </c>
      <c r="AB817" s="193" t="str">
        <f>'Buildings - Grid Electricity'!S322</f>
        <v/>
      </c>
      <c r="AC817" s="193" t="str">
        <f>'Buildings - Grid Electricity'!T322</f>
        <v/>
      </c>
      <c r="AD817" s="193" t="str">
        <f>'Buildings - Grid Electricity'!U322</f>
        <v/>
      </c>
      <c r="AE817" s="193" t="str">
        <f>'Buildings - Grid Electricity'!V322</f>
        <v/>
      </c>
      <c r="AF817" s="193" t="str">
        <f>'Buildings - Grid Electricity'!W322</f>
        <v/>
      </c>
      <c r="AG817" s="193" t="str">
        <f>'Buildings - Grid Electricity'!X322</f>
        <v/>
      </c>
      <c r="AI817" s="193">
        <f t="shared" si="14"/>
        <v>0</v>
      </c>
      <c r="AJ817" s="193">
        <f t="shared" si="15"/>
        <v>0</v>
      </c>
    </row>
    <row r="818" spans="2:36" x14ac:dyDescent="0.35">
      <c r="B818" s="193" t="e">
        <f>"2024"&amp;MATCH(Totals!D818,OrgType,0)&amp;"_"&amp;MATCH(Totals!E818,Organisations,0)&amp;"_"&amp;LEFT(Totals!F818,1)&amp;"_"&amp;LEFT(G818,1)&amp;"_"&amp;COUNTIF($G$3:G818,G818)</f>
        <v>#N/A</v>
      </c>
      <c r="C818" s="193">
        <v>2025</v>
      </c>
      <c r="D818" s="193">
        <f>Introduction!$D$7</f>
        <v>0</v>
      </c>
      <c r="E818" s="193">
        <f>Introduction!$D$8</f>
        <v>0</v>
      </c>
      <c r="F818" s="193" t="s">
        <v>488</v>
      </c>
      <c r="G818" s="193" t="s">
        <v>171</v>
      </c>
      <c r="H818" s="193">
        <f>'Buildings - Grid Electricity'!B323</f>
        <v>0</v>
      </c>
      <c r="I818" s="193">
        <f>'Buildings - Grid Electricity'!C323</f>
        <v>0</v>
      </c>
      <c r="J818" s="193" t="str">
        <f>'Buildings - Grid Electricity'!D323</f>
        <v/>
      </c>
      <c r="K818" s="237"/>
      <c r="L818" s="237"/>
      <c r="M818" s="193" t="str">
        <f>'Buildings - Grid Electricity'!E323</f>
        <v/>
      </c>
      <c r="N818" s="193" t="str">
        <f>'Buildings - Grid Electricity'!F323</f>
        <v/>
      </c>
      <c r="O818" s="237"/>
      <c r="P818" s="193">
        <f>'Buildings - Grid Electricity'!G323</f>
        <v>0</v>
      </c>
      <c r="Q818" s="193" t="str">
        <f>'Buildings - Grid Electricity'!H323</f>
        <v/>
      </c>
      <c r="R818" s="193">
        <f>'Buildings - Grid Electricity'!I323</f>
        <v>0</v>
      </c>
      <c r="S818" s="193" t="str">
        <f>'Buildings - Grid Electricity'!J323</f>
        <v/>
      </c>
      <c r="T818" s="193" t="str">
        <f>'Buildings - Grid Electricity'!K323</f>
        <v/>
      </c>
      <c r="U818" s="193" t="str">
        <f>'Buildings - Grid Electricity'!L323</f>
        <v/>
      </c>
      <c r="V818" s="193" t="str">
        <f>'Buildings - Grid Electricity'!M323</f>
        <v/>
      </c>
      <c r="W818" s="193" t="str">
        <f>'Buildings - Grid Electricity'!N323</f>
        <v/>
      </c>
      <c r="X818" s="193">
        <f>'Buildings - Grid Electricity'!O323</f>
        <v>0</v>
      </c>
      <c r="Y818" s="193">
        <f>'Buildings - Grid Electricity'!P323</f>
        <v>0</v>
      </c>
      <c r="Z818" s="193" t="str">
        <f>'Buildings - Grid Electricity'!Q323</f>
        <v/>
      </c>
      <c r="AA818" s="193" t="str">
        <f>'Buildings - Grid Electricity'!R323</f>
        <v/>
      </c>
      <c r="AB818" s="193" t="str">
        <f>'Buildings - Grid Electricity'!S323</f>
        <v/>
      </c>
      <c r="AC818" s="193" t="str">
        <f>'Buildings - Grid Electricity'!T323</f>
        <v/>
      </c>
      <c r="AD818" s="193" t="str">
        <f>'Buildings - Grid Electricity'!U323</f>
        <v/>
      </c>
      <c r="AE818" s="193" t="str">
        <f>'Buildings - Grid Electricity'!V323</f>
        <v/>
      </c>
      <c r="AF818" s="193" t="str">
        <f>'Buildings - Grid Electricity'!W323</f>
        <v/>
      </c>
      <c r="AG818" s="193" t="str">
        <f>'Buildings - Grid Electricity'!X323</f>
        <v/>
      </c>
      <c r="AI818" s="193">
        <f t="shared" si="14"/>
        <v>0</v>
      </c>
      <c r="AJ818" s="193">
        <f t="shared" si="15"/>
        <v>0</v>
      </c>
    </row>
    <row r="819" spans="2:36" x14ac:dyDescent="0.35">
      <c r="B819" s="193" t="e">
        <f>"2024"&amp;MATCH(Totals!D819,OrgType,0)&amp;"_"&amp;MATCH(Totals!E819,Organisations,0)&amp;"_"&amp;LEFT(Totals!F819,1)&amp;"_"&amp;LEFT(G819,1)&amp;"_"&amp;COUNTIF($G$3:G819,G819)</f>
        <v>#N/A</v>
      </c>
      <c r="C819" s="193">
        <v>2025</v>
      </c>
      <c r="D819" s="193">
        <f>Introduction!$D$7</f>
        <v>0</v>
      </c>
      <c r="E819" s="193">
        <f>Introduction!$D$8</f>
        <v>0</v>
      </c>
      <c r="F819" s="193" t="s">
        <v>488</v>
      </c>
      <c r="G819" s="193" t="s">
        <v>171</v>
      </c>
      <c r="H819" s="193">
        <f>'Buildings - Grid Electricity'!B324</f>
        <v>0</v>
      </c>
      <c r="I819" s="193">
        <f>'Buildings - Grid Electricity'!C324</f>
        <v>0</v>
      </c>
      <c r="J819" s="193" t="str">
        <f>'Buildings - Grid Electricity'!D324</f>
        <v/>
      </c>
      <c r="K819" s="237"/>
      <c r="L819" s="237"/>
      <c r="M819" s="193" t="str">
        <f>'Buildings - Grid Electricity'!E324</f>
        <v/>
      </c>
      <c r="N819" s="193" t="str">
        <f>'Buildings - Grid Electricity'!F324</f>
        <v/>
      </c>
      <c r="O819" s="237"/>
      <c r="P819" s="193">
        <f>'Buildings - Grid Electricity'!G324</f>
        <v>0</v>
      </c>
      <c r="Q819" s="193" t="str">
        <f>'Buildings - Grid Electricity'!H324</f>
        <v/>
      </c>
      <c r="R819" s="193">
        <f>'Buildings - Grid Electricity'!I324</f>
        <v>0</v>
      </c>
      <c r="S819" s="193" t="str">
        <f>'Buildings - Grid Electricity'!J324</f>
        <v/>
      </c>
      <c r="T819" s="193" t="str">
        <f>'Buildings - Grid Electricity'!K324</f>
        <v/>
      </c>
      <c r="U819" s="193" t="str">
        <f>'Buildings - Grid Electricity'!L324</f>
        <v/>
      </c>
      <c r="V819" s="193" t="str">
        <f>'Buildings - Grid Electricity'!M324</f>
        <v/>
      </c>
      <c r="W819" s="193" t="str">
        <f>'Buildings - Grid Electricity'!N324</f>
        <v/>
      </c>
      <c r="X819" s="193">
        <f>'Buildings - Grid Electricity'!O324</f>
        <v>0</v>
      </c>
      <c r="Y819" s="193">
        <f>'Buildings - Grid Electricity'!P324</f>
        <v>0</v>
      </c>
      <c r="Z819" s="193" t="str">
        <f>'Buildings - Grid Electricity'!Q324</f>
        <v/>
      </c>
      <c r="AA819" s="193" t="str">
        <f>'Buildings - Grid Electricity'!R324</f>
        <v/>
      </c>
      <c r="AB819" s="193" t="str">
        <f>'Buildings - Grid Electricity'!S324</f>
        <v/>
      </c>
      <c r="AC819" s="193" t="str">
        <f>'Buildings - Grid Electricity'!T324</f>
        <v/>
      </c>
      <c r="AD819" s="193" t="str">
        <f>'Buildings - Grid Electricity'!U324</f>
        <v/>
      </c>
      <c r="AE819" s="193" t="str">
        <f>'Buildings - Grid Electricity'!V324</f>
        <v/>
      </c>
      <c r="AF819" s="193" t="str">
        <f>'Buildings - Grid Electricity'!W324</f>
        <v/>
      </c>
      <c r="AG819" s="193" t="str">
        <f>'Buildings - Grid Electricity'!X324</f>
        <v/>
      </c>
      <c r="AI819" s="193">
        <f t="shared" si="14"/>
        <v>0</v>
      </c>
      <c r="AJ819" s="193">
        <f t="shared" si="15"/>
        <v>0</v>
      </c>
    </row>
    <row r="820" spans="2:36" x14ac:dyDescent="0.35">
      <c r="B820" s="193" t="e">
        <f>"2024"&amp;MATCH(Totals!D820,OrgType,0)&amp;"_"&amp;MATCH(Totals!E820,Organisations,0)&amp;"_"&amp;LEFT(Totals!F820,1)&amp;"_"&amp;LEFT(G820,1)&amp;"_"&amp;COUNTIF($G$3:G820,G820)</f>
        <v>#N/A</v>
      </c>
      <c r="C820" s="193">
        <v>2025</v>
      </c>
      <c r="D820" s="193">
        <f>Introduction!$D$7</f>
        <v>0</v>
      </c>
      <c r="E820" s="193">
        <f>Introduction!$D$8</f>
        <v>0</v>
      </c>
      <c r="F820" s="193" t="s">
        <v>488</v>
      </c>
      <c r="G820" s="193" t="s">
        <v>171</v>
      </c>
      <c r="H820" s="193">
        <f>'Buildings - Grid Electricity'!B325</f>
        <v>0</v>
      </c>
      <c r="I820" s="193">
        <f>'Buildings - Grid Electricity'!C325</f>
        <v>0</v>
      </c>
      <c r="J820" s="193" t="str">
        <f>'Buildings - Grid Electricity'!D325</f>
        <v/>
      </c>
      <c r="K820" s="237"/>
      <c r="L820" s="237"/>
      <c r="M820" s="193" t="str">
        <f>'Buildings - Grid Electricity'!E325</f>
        <v/>
      </c>
      <c r="N820" s="193" t="str">
        <f>'Buildings - Grid Electricity'!F325</f>
        <v/>
      </c>
      <c r="O820" s="237"/>
      <c r="P820" s="193">
        <f>'Buildings - Grid Electricity'!G325</f>
        <v>0</v>
      </c>
      <c r="Q820" s="193" t="str">
        <f>'Buildings - Grid Electricity'!H325</f>
        <v/>
      </c>
      <c r="R820" s="193">
        <f>'Buildings - Grid Electricity'!I325</f>
        <v>0</v>
      </c>
      <c r="S820" s="193" t="str">
        <f>'Buildings - Grid Electricity'!J325</f>
        <v/>
      </c>
      <c r="T820" s="193" t="str">
        <f>'Buildings - Grid Electricity'!K325</f>
        <v/>
      </c>
      <c r="U820" s="193" t="str">
        <f>'Buildings - Grid Electricity'!L325</f>
        <v/>
      </c>
      <c r="V820" s="193" t="str">
        <f>'Buildings - Grid Electricity'!M325</f>
        <v/>
      </c>
      <c r="W820" s="193" t="str">
        <f>'Buildings - Grid Electricity'!N325</f>
        <v/>
      </c>
      <c r="X820" s="193">
        <f>'Buildings - Grid Electricity'!O325</f>
        <v>0</v>
      </c>
      <c r="Y820" s="193">
        <f>'Buildings - Grid Electricity'!P325</f>
        <v>0</v>
      </c>
      <c r="Z820" s="193" t="str">
        <f>'Buildings - Grid Electricity'!Q325</f>
        <v/>
      </c>
      <c r="AA820" s="193" t="str">
        <f>'Buildings - Grid Electricity'!R325</f>
        <v/>
      </c>
      <c r="AB820" s="193" t="str">
        <f>'Buildings - Grid Electricity'!S325</f>
        <v/>
      </c>
      <c r="AC820" s="193" t="str">
        <f>'Buildings - Grid Electricity'!T325</f>
        <v/>
      </c>
      <c r="AD820" s="193" t="str">
        <f>'Buildings - Grid Electricity'!U325</f>
        <v/>
      </c>
      <c r="AE820" s="193" t="str">
        <f>'Buildings - Grid Electricity'!V325</f>
        <v/>
      </c>
      <c r="AF820" s="193" t="str">
        <f>'Buildings - Grid Electricity'!W325</f>
        <v/>
      </c>
      <c r="AG820" s="193" t="str">
        <f>'Buildings - Grid Electricity'!X325</f>
        <v/>
      </c>
      <c r="AI820" s="193">
        <f t="shared" si="14"/>
        <v>0</v>
      </c>
      <c r="AJ820" s="193">
        <f t="shared" si="15"/>
        <v>0</v>
      </c>
    </row>
    <row r="821" spans="2:36" x14ac:dyDescent="0.35">
      <c r="B821" s="193" t="e">
        <f>"2024"&amp;MATCH(Totals!D821,OrgType,0)&amp;"_"&amp;MATCH(Totals!E821,Organisations,0)&amp;"_"&amp;LEFT(Totals!F821,1)&amp;"_"&amp;LEFT(G821,1)&amp;"_"&amp;COUNTIF($G$3:G821,G821)</f>
        <v>#N/A</v>
      </c>
      <c r="C821" s="193">
        <v>2025</v>
      </c>
      <c r="D821" s="193">
        <f>Introduction!$D$7</f>
        <v>0</v>
      </c>
      <c r="E821" s="193">
        <f>Introduction!$D$8</f>
        <v>0</v>
      </c>
      <c r="F821" s="193" t="s">
        <v>488</v>
      </c>
      <c r="G821" s="193" t="s">
        <v>171</v>
      </c>
      <c r="H821" s="193">
        <f>'Buildings - Grid Electricity'!B326</f>
        <v>0</v>
      </c>
      <c r="I821" s="193">
        <f>'Buildings - Grid Electricity'!C326</f>
        <v>0</v>
      </c>
      <c r="J821" s="193" t="str">
        <f>'Buildings - Grid Electricity'!D326</f>
        <v/>
      </c>
      <c r="K821" s="237"/>
      <c r="L821" s="237"/>
      <c r="M821" s="193" t="str">
        <f>'Buildings - Grid Electricity'!E326</f>
        <v/>
      </c>
      <c r="N821" s="193" t="str">
        <f>'Buildings - Grid Electricity'!F326</f>
        <v/>
      </c>
      <c r="O821" s="237"/>
      <c r="P821" s="193">
        <f>'Buildings - Grid Electricity'!G326</f>
        <v>0</v>
      </c>
      <c r="Q821" s="193" t="str">
        <f>'Buildings - Grid Electricity'!H326</f>
        <v/>
      </c>
      <c r="R821" s="193">
        <f>'Buildings - Grid Electricity'!I326</f>
        <v>0</v>
      </c>
      <c r="S821" s="193" t="str">
        <f>'Buildings - Grid Electricity'!J326</f>
        <v/>
      </c>
      <c r="T821" s="193" t="str">
        <f>'Buildings - Grid Electricity'!K326</f>
        <v/>
      </c>
      <c r="U821" s="193" t="str">
        <f>'Buildings - Grid Electricity'!L326</f>
        <v/>
      </c>
      <c r="V821" s="193" t="str">
        <f>'Buildings - Grid Electricity'!M326</f>
        <v/>
      </c>
      <c r="W821" s="193" t="str">
        <f>'Buildings - Grid Electricity'!N326</f>
        <v/>
      </c>
      <c r="X821" s="193">
        <f>'Buildings - Grid Electricity'!O326</f>
        <v>0</v>
      </c>
      <c r="Y821" s="193">
        <f>'Buildings - Grid Electricity'!P326</f>
        <v>0</v>
      </c>
      <c r="Z821" s="193" t="str">
        <f>'Buildings - Grid Electricity'!Q326</f>
        <v/>
      </c>
      <c r="AA821" s="193" t="str">
        <f>'Buildings - Grid Electricity'!R326</f>
        <v/>
      </c>
      <c r="AB821" s="193" t="str">
        <f>'Buildings - Grid Electricity'!S326</f>
        <v/>
      </c>
      <c r="AC821" s="193" t="str">
        <f>'Buildings - Grid Electricity'!T326</f>
        <v/>
      </c>
      <c r="AD821" s="193" t="str">
        <f>'Buildings - Grid Electricity'!U326</f>
        <v/>
      </c>
      <c r="AE821" s="193" t="str">
        <f>'Buildings - Grid Electricity'!V326</f>
        <v/>
      </c>
      <c r="AF821" s="193" t="str">
        <f>'Buildings - Grid Electricity'!W326</f>
        <v/>
      </c>
      <c r="AG821" s="193" t="str">
        <f>'Buildings - Grid Electricity'!X326</f>
        <v/>
      </c>
      <c r="AI821" s="193">
        <f t="shared" si="14"/>
        <v>0</v>
      </c>
      <c r="AJ821" s="193">
        <f t="shared" si="15"/>
        <v>0</v>
      </c>
    </row>
    <row r="822" spans="2:36" x14ac:dyDescent="0.35">
      <c r="B822" s="193" t="e">
        <f>"2024"&amp;MATCH(Totals!D822,OrgType,0)&amp;"_"&amp;MATCH(Totals!E822,Organisations,0)&amp;"_"&amp;LEFT(Totals!F822,1)&amp;"_"&amp;LEFT(G822,1)&amp;"_"&amp;COUNTIF($G$3:G822,G822)</f>
        <v>#N/A</v>
      </c>
      <c r="C822" s="193">
        <v>2025</v>
      </c>
      <c r="D822" s="193">
        <f>Introduction!$D$7</f>
        <v>0</v>
      </c>
      <c r="E822" s="193">
        <f>Introduction!$D$8</f>
        <v>0</v>
      </c>
      <c r="F822" s="193" t="s">
        <v>488</v>
      </c>
      <c r="G822" s="193" t="s">
        <v>171</v>
      </c>
      <c r="H822" s="193">
        <f>'Buildings - Grid Electricity'!B327</f>
        <v>0</v>
      </c>
      <c r="I822" s="193">
        <f>'Buildings - Grid Electricity'!C327</f>
        <v>0</v>
      </c>
      <c r="J822" s="193" t="str">
        <f>'Buildings - Grid Electricity'!D327</f>
        <v/>
      </c>
      <c r="K822" s="237"/>
      <c r="L822" s="237"/>
      <c r="M822" s="193" t="str">
        <f>'Buildings - Grid Electricity'!E327</f>
        <v/>
      </c>
      <c r="N822" s="193" t="str">
        <f>'Buildings - Grid Electricity'!F327</f>
        <v/>
      </c>
      <c r="O822" s="237"/>
      <c r="P822" s="193">
        <f>'Buildings - Grid Electricity'!G327</f>
        <v>0</v>
      </c>
      <c r="Q822" s="193" t="str">
        <f>'Buildings - Grid Electricity'!H327</f>
        <v/>
      </c>
      <c r="R822" s="193">
        <f>'Buildings - Grid Electricity'!I327</f>
        <v>0</v>
      </c>
      <c r="S822" s="193" t="str">
        <f>'Buildings - Grid Electricity'!J327</f>
        <v/>
      </c>
      <c r="T822" s="193" t="str">
        <f>'Buildings - Grid Electricity'!K327</f>
        <v/>
      </c>
      <c r="U822" s="193" t="str">
        <f>'Buildings - Grid Electricity'!L327</f>
        <v/>
      </c>
      <c r="V822" s="193" t="str">
        <f>'Buildings - Grid Electricity'!M327</f>
        <v/>
      </c>
      <c r="W822" s="193" t="str">
        <f>'Buildings - Grid Electricity'!N327</f>
        <v/>
      </c>
      <c r="X822" s="193">
        <f>'Buildings - Grid Electricity'!O327</f>
        <v>0</v>
      </c>
      <c r="Y822" s="193">
        <f>'Buildings - Grid Electricity'!P327</f>
        <v>0</v>
      </c>
      <c r="Z822" s="193" t="str">
        <f>'Buildings - Grid Electricity'!Q327</f>
        <v/>
      </c>
      <c r="AA822" s="193" t="str">
        <f>'Buildings - Grid Electricity'!R327</f>
        <v/>
      </c>
      <c r="AB822" s="193" t="str">
        <f>'Buildings - Grid Electricity'!S327</f>
        <v/>
      </c>
      <c r="AC822" s="193" t="str">
        <f>'Buildings - Grid Electricity'!T327</f>
        <v/>
      </c>
      <c r="AD822" s="193" t="str">
        <f>'Buildings - Grid Electricity'!U327</f>
        <v/>
      </c>
      <c r="AE822" s="193" t="str">
        <f>'Buildings - Grid Electricity'!V327</f>
        <v/>
      </c>
      <c r="AF822" s="193" t="str">
        <f>'Buildings - Grid Electricity'!W327</f>
        <v/>
      </c>
      <c r="AG822" s="193" t="str">
        <f>'Buildings - Grid Electricity'!X327</f>
        <v/>
      </c>
      <c r="AI822" s="193">
        <f t="shared" si="14"/>
        <v>0</v>
      </c>
      <c r="AJ822" s="193">
        <f t="shared" si="15"/>
        <v>0</v>
      </c>
    </row>
    <row r="823" spans="2:36" x14ac:dyDescent="0.35">
      <c r="B823" s="193" t="e">
        <f>"2024"&amp;MATCH(Totals!D823,OrgType,0)&amp;"_"&amp;MATCH(Totals!E823,Organisations,0)&amp;"_"&amp;LEFT(Totals!F823,1)&amp;"_"&amp;LEFT(G823,1)&amp;"_"&amp;COUNTIF($G$3:G823,G823)</f>
        <v>#N/A</v>
      </c>
      <c r="C823" s="193">
        <v>2025</v>
      </c>
      <c r="D823" s="193">
        <f>Introduction!$D$7</f>
        <v>0</v>
      </c>
      <c r="E823" s="193">
        <f>Introduction!$D$8</f>
        <v>0</v>
      </c>
      <c r="F823" s="193" t="s">
        <v>488</v>
      </c>
      <c r="G823" s="193" t="s">
        <v>171</v>
      </c>
      <c r="H823" s="193">
        <f>'Buildings - Grid Electricity'!B328</f>
        <v>0</v>
      </c>
      <c r="I823" s="193">
        <f>'Buildings - Grid Electricity'!C328</f>
        <v>0</v>
      </c>
      <c r="J823" s="193" t="str">
        <f>'Buildings - Grid Electricity'!D328</f>
        <v/>
      </c>
      <c r="K823" s="237"/>
      <c r="L823" s="237"/>
      <c r="M823" s="193" t="str">
        <f>'Buildings - Grid Electricity'!E328</f>
        <v/>
      </c>
      <c r="N823" s="193" t="str">
        <f>'Buildings - Grid Electricity'!F328</f>
        <v/>
      </c>
      <c r="O823" s="237"/>
      <c r="P823" s="193">
        <f>'Buildings - Grid Electricity'!G328</f>
        <v>0</v>
      </c>
      <c r="Q823" s="193" t="str">
        <f>'Buildings - Grid Electricity'!H328</f>
        <v/>
      </c>
      <c r="R823" s="193">
        <f>'Buildings - Grid Electricity'!I328</f>
        <v>0</v>
      </c>
      <c r="S823" s="193" t="str">
        <f>'Buildings - Grid Electricity'!J328</f>
        <v/>
      </c>
      <c r="T823" s="193" t="str">
        <f>'Buildings - Grid Electricity'!K328</f>
        <v/>
      </c>
      <c r="U823" s="193" t="str">
        <f>'Buildings - Grid Electricity'!L328</f>
        <v/>
      </c>
      <c r="V823" s="193" t="str">
        <f>'Buildings - Grid Electricity'!M328</f>
        <v/>
      </c>
      <c r="W823" s="193" t="str">
        <f>'Buildings - Grid Electricity'!N328</f>
        <v/>
      </c>
      <c r="X823" s="193">
        <f>'Buildings - Grid Electricity'!O328</f>
        <v>0</v>
      </c>
      <c r="Y823" s="193">
        <f>'Buildings - Grid Electricity'!P328</f>
        <v>0</v>
      </c>
      <c r="Z823" s="193" t="str">
        <f>'Buildings - Grid Electricity'!Q328</f>
        <v/>
      </c>
      <c r="AA823" s="193" t="str">
        <f>'Buildings - Grid Electricity'!R328</f>
        <v/>
      </c>
      <c r="AB823" s="193" t="str">
        <f>'Buildings - Grid Electricity'!S328</f>
        <v/>
      </c>
      <c r="AC823" s="193" t="str">
        <f>'Buildings - Grid Electricity'!T328</f>
        <v/>
      </c>
      <c r="AD823" s="193" t="str">
        <f>'Buildings - Grid Electricity'!U328</f>
        <v/>
      </c>
      <c r="AE823" s="193" t="str">
        <f>'Buildings - Grid Electricity'!V328</f>
        <v/>
      </c>
      <c r="AF823" s="193" t="str">
        <f>'Buildings - Grid Electricity'!W328</f>
        <v/>
      </c>
      <c r="AG823" s="193" t="str">
        <f>'Buildings - Grid Electricity'!X328</f>
        <v/>
      </c>
      <c r="AI823" s="193">
        <f t="shared" si="14"/>
        <v>0</v>
      </c>
      <c r="AJ823" s="193">
        <f t="shared" si="15"/>
        <v>0</v>
      </c>
    </row>
    <row r="824" spans="2:36" x14ac:dyDescent="0.35">
      <c r="B824" s="193" t="e">
        <f>"2024"&amp;MATCH(Totals!D824,OrgType,0)&amp;"_"&amp;MATCH(Totals!E824,Organisations,0)&amp;"_"&amp;LEFT(Totals!F824,1)&amp;"_"&amp;LEFT(G824,1)&amp;"_"&amp;COUNTIF($G$3:G824,G824)</f>
        <v>#N/A</v>
      </c>
      <c r="C824" s="193">
        <v>2025</v>
      </c>
      <c r="D824" s="193">
        <f>Introduction!$D$7</f>
        <v>0</v>
      </c>
      <c r="E824" s="193">
        <f>Introduction!$D$8</f>
        <v>0</v>
      </c>
      <c r="F824" s="193" t="s">
        <v>488</v>
      </c>
      <c r="G824" s="193" t="s">
        <v>171</v>
      </c>
      <c r="H824" s="193">
        <f>'Buildings - Grid Electricity'!B329</f>
        <v>0</v>
      </c>
      <c r="I824" s="193">
        <f>'Buildings - Grid Electricity'!C329</f>
        <v>0</v>
      </c>
      <c r="J824" s="193" t="str">
        <f>'Buildings - Grid Electricity'!D329</f>
        <v/>
      </c>
      <c r="K824" s="237"/>
      <c r="L824" s="237"/>
      <c r="M824" s="193" t="str">
        <f>'Buildings - Grid Electricity'!E329</f>
        <v/>
      </c>
      <c r="N824" s="193" t="str">
        <f>'Buildings - Grid Electricity'!F329</f>
        <v/>
      </c>
      <c r="O824" s="237"/>
      <c r="P824" s="193">
        <f>'Buildings - Grid Electricity'!G329</f>
        <v>0</v>
      </c>
      <c r="Q824" s="193" t="str">
        <f>'Buildings - Grid Electricity'!H329</f>
        <v/>
      </c>
      <c r="R824" s="193">
        <f>'Buildings - Grid Electricity'!I329</f>
        <v>0</v>
      </c>
      <c r="S824" s="193" t="str">
        <f>'Buildings - Grid Electricity'!J329</f>
        <v/>
      </c>
      <c r="T824" s="193" t="str">
        <f>'Buildings - Grid Electricity'!K329</f>
        <v/>
      </c>
      <c r="U824" s="193" t="str">
        <f>'Buildings - Grid Electricity'!L329</f>
        <v/>
      </c>
      <c r="V824" s="193" t="str">
        <f>'Buildings - Grid Electricity'!M329</f>
        <v/>
      </c>
      <c r="W824" s="193" t="str">
        <f>'Buildings - Grid Electricity'!N329</f>
        <v/>
      </c>
      <c r="X824" s="193">
        <f>'Buildings - Grid Electricity'!O329</f>
        <v>0</v>
      </c>
      <c r="Y824" s="193">
        <f>'Buildings - Grid Electricity'!P329</f>
        <v>0</v>
      </c>
      <c r="Z824" s="193" t="str">
        <f>'Buildings - Grid Electricity'!Q329</f>
        <v/>
      </c>
      <c r="AA824" s="193" t="str">
        <f>'Buildings - Grid Electricity'!R329</f>
        <v/>
      </c>
      <c r="AB824" s="193" t="str">
        <f>'Buildings - Grid Electricity'!S329</f>
        <v/>
      </c>
      <c r="AC824" s="193" t="str">
        <f>'Buildings - Grid Electricity'!T329</f>
        <v/>
      </c>
      <c r="AD824" s="193" t="str">
        <f>'Buildings - Grid Electricity'!U329</f>
        <v/>
      </c>
      <c r="AE824" s="193" t="str">
        <f>'Buildings - Grid Electricity'!V329</f>
        <v/>
      </c>
      <c r="AF824" s="193" t="str">
        <f>'Buildings - Grid Electricity'!W329</f>
        <v/>
      </c>
      <c r="AG824" s="193" t="str">
        <f>'Buildings - Grid Electricity'!X329</f>
        <v/>
      </c>
      <c r="AI824" s="193">
        <f t="shared" si="14"/>
        <v>0</v>
      </c>
      <c r="AJ824" s="193">
        <f t="shared" si="15"/>
        <v>0</v>
      </c>
    </row>
    <row r="825" spans="2:36" x14ac:dyDescent="0.35">
      <c r="B825" s="193" t="e">
        <f>"2024"&amp;MATCH(Totals!D825,OrgType,0)&amp;"_"&amp;MATCH(Totals!E825,Organisations,0)&amp;"_"&amp;LEFT(Totals!F825,1)&amp;"_"&amp;LEFT(G825,1)&amp;"_"&amp;COUNTIF($G$3:G825,G825)</f>
        <v>#N/A</v>
      </c>
      <c r="C825" s="193">
        <v>2025</v>
      </c>
      <c r="D825" s="193">
        <f>Introduction!$D$7</f>
        <v>0</v>
      </c>
      <c r="E825" s="193">
        <f>Introduction!$D$8</f>
        <v>0</v>
      </c>
      <c r="F825" s="193" t="s">
        <v>488</v>
      </c>
      <c r="G825" s="193" t="s">
        <v>171</v>
      </c>
      <c r="H825" s="193">
        <f>'Buildings - Grid Electricity'!B330</f>
        <v>0</v>
      </c>
      <c r="I825" s="193">
        <f>'Buildings - Grid Electricity'!C330</f>
        <v>0</v>
      </c>
      <c r="J825" s="193" t="str">
        <f>'Buildings - Grid Electricity'!D330</f>
        <v/>
      </c>
      <c r="K825" s="237"/>
      <c r="L825" s="237"/>
      <c r="M825" s="193" t="str">
        <f>'Buildings - Grid Electricity'!E330</f>
        <v/>
      </c>
      <c r="N825" s="193" t="str">
        <f>'Buildings - Grid Electricity'!F330</f>
        <v/>
      </c>
      <c r="O825" s="237"/>
      <c r="P825" s="193">
        <f>'Buildings - Grid Electricity'!G330</f>
        <v>0</v>
      </c>
      <c r="Q825" s="193" t="str">
        <f>'Buildings - Grid Electricity'!H330</f>
        <v/>
      </c>
      <c r="R825" s="193">
        <f>'Buildings - Grid Electricity'!I330</f>
        <v>0</v>
      </c>
      <c r="S825" s="193" t="str">
        <f>'Buildings - Grid Electricity'!J330</f>
        <v/>
      </c>
      <c r="T825" s="193" t="str">
        <f>'Buildings - Grid Electricity'!K330</f>
        <v/>
      </c>
      <c r="U825" s="193" t="str">
        <f>'Buildings - Grid Electricity'!L330</f>
        <v/>
      </c>
      <c r="V825" s="193" t="str">
        <f>'Buildings - Grid Electricity'!M330</f>
        <v/>
      </c>
      <c r="W825" s="193" t="str">
        <f>'Buildings - Grid Electricity'!N330</f>
        <v/>
      </c>
      <c r="X825" s="193">
        <f>'Buildings - Grid Electricity'!O330</f>
        <v>0</v>
      </c>
      <c r="Y825" s="193">
        <f>'Buildings - Grid Electricity'!P330</f>
        <v>0</v>
      </c>
      <c r="Z825" s="193" t="str">
        <f>'Buildings - Grid Electricity'!Q330</f>
        <v/>
      </c>
      <c r="AA825" s="193" t="str">
        <f>'Buildings - Grid Electricity'!R330</f>
        <v/>
      </c>
      <c r="AB825" s="193" t="str">
        <f>'Buildings - Grid Electricity'!S330</f>
        <v/>
      </c>
      <c r="AC825" s="193" t="str">
        <f>'Buildings - Grid Electricity'!T330</f>
        <v/>
      </c>
      <c r="AD825" s="193" t="str">
        <f>'Buildings - Grid Electricity'!U330</f>
        <v/>
      </c>
      <c r="AE825" s="193" t="str">
        <f>'Buildings - Grid Electricity'!V330</f>
        <v/>
      </c>
      <c r="AF825" s="193" t="str">
        <f>'Buildings - Grid Electricity'!W330</f>
        <v/>
      </c>
      <c r="AG825" s="193" t="str">
        <f>'Buildings - Grid Electricity'!X330</f>
        <v/>
      </c>
      <c r="AI825" s="193">
        <f t="shared" si="14"/>
        <v>0</v>
      </c>
      <c r="AJ825" s="193">
        <f t="shared" si="15"/>
        <v>0</v>
      </c>
    </row>
    <row r="826" spans="2:36" x14ac:dyDescent="0.35">
      <c r="B826" s="193" t="e">
        <f>"2024"&amp;MATCH(Totals!D826,OrgType,0)&amp;"_"&amp;MATCH(Totals!E826,Organisations,0)&amp;"_"&amp;LEFT(Totals!F826,1)&amp;"_"&amp;LEFT(G826,1)&amp;"_"&amp;COUNTIF($G$3:G826,G826)</f>
        <v>#N/A</v>
      </c>
      <c r="C826" s="193">
        <v>2025</v>
      </c>
      <c r="D826" s="193">
        <f>Introduction!$D$7</f>
        <v>0</v>
      </c>
      <c r="E826" s="193">
        <f>Introduction!$D$8</f>
        <v>0</v>
      </c>
      <c r="F826" s="193" t="s">
        <v>488</v>
      </c>
      <c r="G826" s="193" t="s">
        <v>171</v>
      </c>
      <c r="H826" s="193">
        <f>'Buildings - Grid Electricity'!B331</f>
        <v>0</v>
      </c>
      <c r="I826" s="193">
        <f>'Buildings - Grid Electricity'!C331</f>
        <v>0</v>
      </c>
      <c r="J826" s="193" t="str">
        <f>'Buildings - Grid Electricity'!D331</f>
        <v/>
      </c>
      <c r="K826" s="237"/>
      <c r="L826" s="237"/>
      <c r="M826" s="193" t="str">
        <f>'Buildings - Grid Electricity'!E331</f>
        <v/>
      </c>
      <c r="N826" s="193" t="str">
        <f>'Buildings - Grid Electricity'!F331</f>
        <v/>
      </c>
      <c r="O826" s="237"/>
      <c r="P826" s="193">
        <f>'Buildings - Grid Electricity'!G331</f>
        <v>0</v>
      </c>
      <c r="Q826" s="193" t="str">
        <f>'Buildings - Grid Electricity'!H331</f>
        <v/>
      </c>
      <c r="R826" s="193">
        <f>'Buildings - Grid Electricity'!I331</f>
        <v>0</v>
      </c>
      <c r="S826" s="193" t="str">
        <f>'Buildings - Grid Electricity'!J331</f>
        <v/>
      </c>
      <c r="T826" s="193" t="str">
        <f>'Buildings - Grid Electricity'!K331</f>
        <v/>
      </c>
      <c r="U826" s="193" t="str">
        <f>'Buildings - Grid Electricity'!L331</f>
        <v/>
      </c>
      <c r="V826" s="193" t="str">
        <f>'Buildings - Grid Electricity'!M331</f>
        <v/>
      </c>
      <c r="W826" s="193" t="str">
        <f>'Buildings - Grid Electricity'!N331</f>
        <v/>
      </c>
      <c r="X826" s="193">
        <f>'Buildings - Grid Electricity'!O331</f>
        <v>0</v>
      </c>
      <c r="Y826" s="193">
        <f>'Buildings - Grid Electricity'!P331</f>
        <v>0</v>
      </c>
      <c r="Z826" s="193" t="str">
        <f>'Buildings - Grid Electricity'!Q331</f>
        <v/>
      </c>
      <c r="AA826" s="193" t="str">
        <f>'Buildings - Grid Electricity'!R331</f>
        <v/>
      </c>
      <c r="AB826" s="193" t="str">
        <f>'Buildings - Grid Electricity'!S331</f>
        <v/>
      </c>
      <c r="AC826" s="193" t="str">
        <f>'Buildings - Grid Electricity'!T331</f>
        <v/>
      </c>
      <c r="AD826" s="193" t="str">
        <f>'Buildings - Grid Electricity'!U331</f>
        <v/>
      </c>
      <c r="AE826" s="193" t="str">
        <f>'Buildings - Grid Electricity'!V331</f>
        <v/>
      </c>
      <c r="AF826" s="193" t="str">
        <f>'Buildings - Grid Electricity'!W331</f>
        <v/>
      </c>
      <c r="AG826" s="193" t="str">
        <f>'Buildings - Grid Electricity'!X331</f>
        <v/>
      </c>
      <c r="AI826" s="193">
        <f t="shared" si="14"/>
        <v>0</v>
      </c>
      <c r="AJ826" s="193">
        <f t="shared" si="15"/>
        <v>0</v>
      </c>
    </row>
    <row r="827" spans="2:36" x14ac:dyDescent="0.35">
      <c r="B827" s="193" t="e">
        <f>"2024"&amp;MATCH(Totals!D827,OrgType,0)&amp;"_"&amp;MATCH(Totals!E827,Organisations,0)&amp;"_"&amp;LEFT(Totals!F827,1)&amp;"_"&amp;LEFT(G827,1)&amp;"_"&amp;COUNTIF($G$3:G827,G827)</f>
        <v>#N/A</v>
      </c>
      <c r="C827" s="193">
        <v>2025</v>
      </c>
      <c r="D827" s="193">
        <f>Introduction!$D$7</f>
        <v>0</v>
      </c>
      <c r="E827" s="193">
        <f>Introduction!$D$8</f>
        <v>0</v>
      </c>
      <c r="F827" s="193" t="s">
        <v>488</v>
      </c>
      <c r="G827" s="193" t="s">
        <v>171</v>
      </c>
      <c r="H827" s="193">
        <f>'Buildings - Grid Electricity'!B332</f>
        <v>0</v>
      </c>
      <c r="I827" s="193">
        <f>'Buildings - Grid Electricity'!C332</f>
        <v>0</v>
      </c>
      <c r="J827" s="193" t="str">
        <f>'Buildings - Grid Electricity'!D332</f>
        <v/>
      </c>
      <c r="K827" s="237"/>
      <c r="L827" s="237"/>
      <c r="M827" s="193" t="str">
        <f>'Buildings - Grid Electricity'!E332</f>
        <v/>
      </c>
      <c r="N827" s="193" t="str">
        <f>'Buildings - Grid Electricity'!F332</f>
        <v/>
      </c>
      <c r="O827" s="237"/>
      <c r="P827" s="193">
        <f>'Buildings - Grid Electricity'!G332</f>
        <v>0</v>
      </c>
      <c r="Q827" s="193" t="str">
        <f>'Buildings - Grid Electricity'!H332</f>
        <v/>
      </c>
      <c r="R827" s="193">
        <f>'Buildings - Grid Electricity'!I332</f>
        <v>0</v>
      </c>
      <c r="S827" s="193" t="str">
        <f>'Buildings - Grid Electricity'!J332</f>
        <v/>
      </c>
      <c r="T827" s="193" t="str">
        <f>'Buildings - Grid Electricity'!K332</f>
        <v/>
      </c>
      <c r="U827" s="193" t="str">
        <f>'Buildings - Grid Electricity'!L332</f>
        <v/>
      </c>
      <c r="V827" s="193" t="str">
        <f>'Buildings - Grid Electricity'!M332</f>
        <v/>
      </c>
      <c r="W827" s="193" t="str">
        <f>'Buildings - Grid Electricity'!N332</f>
        <v/>
      </c>
      <c r="X827" s="193">
        <f>'Buildings - Grid Electricity'!O332</f>
        <v>0</v>
      </c>
      <c r="Y827" s="193">
        <f>'Buildings - Grid Electricity'!P332</f>
        <v>0</v>
      </c>
      <c r="Z827" s="193" t="str">
        <f>'Buildings - Grid Electricity'!Q332</f>
        <v/>
      </c>
      <c r="AA827" s="193" t="str">
        <f>'Buildings - Grid Electricity'!R332</f>
        <v/>
      </c>
      <c r="AB827" s="193" t="str">
        <f>'Buildings - Grid Electricity'!S332</f>
        <v/>
      </c>
      <c r="AC827" s="193" t="str">
        <f>'Buildings - Grid Electricity'!T332</f>
        <v/>
      </c>
      <c r="AD827" s="193" t="str">
        <f>'Buildings - Grid Electricity'!U332</f>
        <v/>
      </c>
      <c r="AE827" s="193" t="str">
        <f>'Buildings - Grid Electricity'!V332</f>
        <v/>
      </c>
      <c r="AF827" s="193" t="str">
        <f>'Buildings - Grid Electricity'!W332</f>
        <v/>
      </c>
      <c r="AG827" s="193" t="str">
        <f>'Buildings - Grid Electricity'!X332</f>
        <v/>
      </c>
      <c r="AI827" s="193">
        <f t="shared" si="14"/>
        <v>0</v>
      </c>
      <c r="AJ827" s="193">
        <f t="shared" si="15"/>
        <v>0</v>
      </c>
    </row>
    <row r="828" spans="2:36" x14ac:dyDescent="0.35">
      <c r="B828" s="193" t="e">
        <f>"2024"&amp;MATCH(Totals!D828,OrgType,0)&amp;"_"&amp;MATCH(Totals!E828,Organisations,0)&amp;"_"&amp;LEFT(Totals!F828,1)&amp;"_"&amp;LEFT(G828,1)&amp;"_"&amp;COUNTIF($G$3:G828,G828)</f>
        <v>#N/A</v>
      </c>
      <c r="C828" s="193">
        <v>2025</v>
      </c>
      <c r="D828" s="193">
        <f>Introduction!$D$7</f>
        <v>0</v>
      </c>
      <c r="E828" s="193">
        <f>Introduction!$D$8</f>
        <v>0</v>
      </c>
      <c r="F828" s="193" t="s">
        <v>488</v>
      </c>
      <c r="G828" s="193" t="s">
        <v>171</v>
      </c>
      <c r="H828" s="193">
        <f>'Buildings - Grid Electricity'!B333</f>
        <v>0</v>
      </c>
      <c r="I828" s="193">
        <f>'Buildings - Grid Electricity'!C333</f>
        <v>0</v>
      </c>
      <c r="J828" s="193" t="str">
        <f>'Buildings - Grid Electricity'!D333</f>
        <v/>
      </c>
      <c r="K828" s="237"/>
      <c r="L828" s="237"/>
      <c r="M828" s="193" t="str">
        <f>'Buildings - Grid Electricity'!E333</f>
        <v/>
      </c>
      <c r="N828" s="193" t="str">
        <f>'Buildings - Grid Electricity'!F333</f>
        <v/>
      </c>
      <c r="O828" s="237"/>
      <c r="P828" s="193">
        <f>'Buildings - Grid Electricity'!G333</f>
        <v>0</v>
      </c>
      <c r="Q828" s="193" t="str">
        <f>'Buildings - Grid Electricity'!H333</f>
        <v/>
      </c>
      <c r="R828" s="193">
        <f>'Buildings - Grid Electricity'!I333</f>
        <v>0</v>
      </c>
      <c r="S828" s="193" t="str">
        <f>'Buildings - Grid Electricity'!J333</f>
        <v/>
      </c>
      <c r="T828" s="193" t="str">
        <f>'Buildings - Grid Electricity'!K333</f>
        <v/>
      </c>
      <c r="U828" s="193" t="str">
        <f>'Buildings - Grid Electricity'!L333</f>
        <v/>
      </c>
      <c r="V828" s="193" t="str">
        <f>'Buildings - Grid Electricity'!M333</f>
        <v/>
      </c>
      <c r="W828" s="193" t="str">
        <f>'Buildings - Grid Electricity'!N333</f>
        <v/>
      </c>
      <c r="X828" s="193">
        <f>'Buildings - Grid Electricity'!O333</f>
        <v>0</v>
      </c>
      <c r="Y828" s="193">
        <f>'Buildings - Grid Electricity'!P333</f>
        <v>0</v>
      </c>
      <c r="Z828" s="193" t="str">
        <f>'Buildings - Grid Electricity'!Q333</f>
        <v/>
      </c>
      <c r="AA828" s="193" t="str">
        <f>'Buildings - Grid Electricity'!R333</f>
        <v/>
      </c>
      <c r="AB828" s="193" t="str">
        <f>'Buildings - Grid Electricity'!S333</f>
        <v/>
      </c>
      <c r="AC828" s="193" t="str">
        <f>'Buildings - Grid Electricity'!T333</f>
        <v/>
      </c>
      <c r="AD828" s="193" t="str">
        <f>'Buildings - Grid Electricity'!U333</f>
        <v/>
      </c>
      <c r="AE828" s="193" t="str">
        <f>'Buildings - Grid Electricity'!V333</f>
        <v/>
      </c>
      <c r="AF828" s="193" t="str">
        <f>'Buildings - Grid Electricity'!W333</f>
        <v/>
      </c>
      <c r="AG828" s="193" t="str">
        <f>'Buildings - Grid Electricity'!X333</f>
        <v/>
      </c>
      <c r="AI828" s="193">
        <f t="shared" si="14"/>
        <v>0</v>
      </c>
      <c r="AJ828" s="193">
        <f t="shared" si="15"/>
        <v>0</v>
      </c>
    </row>
    <row r="829" spans="2:36" x14ac:dyDescent="0.35">
      <c r="B829" s="193" t="e">
        <f>"2024"&amp;MATCH(Totals!D829,OrgType,0)&amp;"_"&amp;MATCH(Totals!E829,Organisations,0)&amp;"_"&amp;LEFT(Totals!F829,1)&amp;"_"&amp;LEFT(G829,1)&amp;"_"&amp;COUNTIF($G$3:G829,G829)</f>
        <v>#N/A</v>
      </c>
      <c r="C829" s="193">
        <v>2025</v>
      </c>
      <c r="D829" s="193">
        <f>Introduction!$D$7</f>
        <v>0</v>
      </c>
      <c r="E829" s="193">
        <f>Introduction!$D$8</f>
        <v>0</v>
      </c>
      <c r="F829" s="193" t="s">
        <v>488</v>
      </c>
      <c r="G829" s="193" t="s">
        <v>171</v>
      </c>
      <c r="H829" s="193">
        <f>'Buildings - Grid Electricity'!B334</f>
        <v>0</v>
      </c>
      <c r="I829" s="193">
        <f>'Buildings - Grid Electricity'!C334</f>
        <v>0</v>
      </c>
      <c r="J829" s="193" t="str">
        <f>'Buildings - Grid Electricity'!D334</f>
        <v/>
      </c>
      <c r="K829" s="237"/>
      <c r="L829" s="237"/>
      <c r="M829" s="193" t="str">
        <f>'Buildings - Grid Electricity'!E334</f>
        <v/>
      </c>
      <c r="N829" s="193" t="str">
        <f>'Buildings - Grid Electricity'!F334</f>
        <v/>
      </c>
      <c r="O829" s="237"/>
      <c r="P829" s="193">
        <f>'Buildings - Grid Electricity'!G334</f>
        <v>0</v>
      </c>
      <c r="Q829" s="193" t="str">
        <f>'Buildings - Grid Electricity'!H334</f>
        <v/>
      </c>
      <c r="R829" s="193">
        <f>'Buildings - Grid Electricity'!I334</f>
        <v>0</v>
      </c>
      <c r="S829" s="193" t="str">
        <f>'Buildings - Grid Electricity'!J334</f>
        <v/>
      </c>
      <c r="T829" s="193" t="str">
        <f>'Buildings - Grid Electricity'!K334</f>
        <v/>
      </c>
      <c r="U829" s="193" t="str">
        <f>'Buildings - Grid Electricity'!L334</f>
        <v/>
      </c>
      <c r="V829" s="193" t="str">
        <f>'Buildings - Grid Electricity'!M334</f>
        <v/>
      </c>
      <c r="W829" s="193" t="str">
        <f>'Buildings - Grid Electricity'!N334</f>
        <v/>
      </c>
      <c r="X829" s="193">
        <f>'Buildings - Grid Electricity'!O334</f>
        <v>0</v>
      </c>
      <c r="Y829" s="193">
        <f>'Buildings - Grid Electricity'!P334</f>
        <v>0</v>
      </c>
      <c r="Z829" s="193" t="str">
        <f>'Buildings - Grid Electricity'!Q334</f>
        <v/>
      </c>
      <c r="AA829" s="193" t="str">
        <f>'Buildings - Grid Electricity'!R334</f>
        <v/>
      </c>
      <c r="AB829" s="193" t="str">
        <f>'Buildings - Grid Electricity'!S334</f>
        <v/>
      </c>
      <c r="AC829" s="193" t="str">
        <f>'Buildings - Grid Electricity'!T334</f>
        <v/>
      </c>
      <c r="AD829" s="193" t="str">
        <f>'Buildings - Grid Electricity'!U334</f>
        <v/>
      </c>
      <c r="AE829" s="193" t="str">
        <f>'Buildings - Grid Electricity'!V334</f>
        <v/>
      </c>
      <c r="AF829" s="193" t="str">
        <f>'Buildings - Grid Electricity'!W334</f>
        <v/>
      </c>
      <c r="AG829" s="193" t="str">
        <f>'Buildings - Grid Electricity'!X334</f>
        <v/>
      </c>
      <c r="AI829" s="193">
        <f t="shared" si="14"/>
        <v>0</v>
      </c>
      <c r="AJ829" s="193">
        <f t="shared" si="15"/>
        <v>0</v>
      </c>
    </row>
    <row r="830" spans="2:36" x14ac:dyDescent="0.35">
      <c r="B830" s="193" t="e">
        <f>"2024"&amp;MATCH(Totals!D830,OrgType,0)&amp;"_"&amp;MATCH(Totals!E830,Organisations,0)&amp;"_"&amp;LEFT(Totals!F830,1)&amp;"_"&amp;LEFT(G830,1)&amp;"_"&amp;COUNTIF($G$3:G830,G830)</f>
        <v>#N/A</v>
      </c>
      <c r="C830" s="193">
        <v>2025</v>
      </c>
      <c r="D830" s="193">
        <f>Introduction!$D$7</f>
        <v>0</v>
      </c>
      <c r="E830" s="193">
        <f>Introduction!$D$8</f>
        <v>0</v>
      </c>
      <c r="F830" s="193" t="s">
        <v>488</v>
      </c>
      <c r="G830" s="193" t="s">
        <v>171</v>
      </c>
      <c r="H830" s="193">
        <f>'Buildings - Grid Electricity'!B335</f>
        <v>0</v>
      </c>
      <c r="I830" s="193">
        <f>'Buildings - Grid Electricity'!C335</f>
        <v>0</v>
      </c>
      <c r="J830" s="193" t="str">
        <f>'Buildings - Grid Electricity'!D335</f>
        <v/>
      </c>
      <c r="K830" s="237"/>
      <c r="L830" s="237"/>
      <c r="M830" s="193" t="str">
        <f>'Buildings - Grid Electricity'!E335</f>
        <v/>
      </c>
      <c r="N830" s="193" t="str">
        <f>'Buildings - Grid Electricity'!F335</f>
        <v/>
      </c>
      <c r="O830" s="237"/>
      <c r="P830" s="193">
        <f>'Buildings - Grid Electricity'!G335</f>
        <v>0</v>
      </c>
      <c r="Q830" s="193" t="str">
        <f>'Buildings - Grid Electricity'!H335</f>
        <v/>
      </c>
      <c r="R830" s="193">
        <f>'Buildings - Grid Electricity'!I335</f>
        <v>0</v>
      </c>
      <c r="S830" s="193" t="str">
        <f>'Buildings - Grid Electricity'!J335</f>
        <v/>
      </c>
      <c r="T830" s="193" t="str">
        <f>'Buildings - Grid Electricity'!K335</f>
        <v/>
      </c>
      <c r="U830" s="193" t="str">
        <f>'Buildings - Grid Electricity'!L335</f>
        <v/>
      </c>
      <c r="V830" s="193" t="str">
        <f>'Buildings - Grid Electricity'!M335</f>
        <v/>
      </c>
      <c r="W830" s="193" t="str">
        <f>'Buildings - Grid Electricity'!N335</f>
        <v/>
      </c>
      <c r="X830" s="193">
        <f>'Buildings - Grid Electricity'!O335</f>
        <v>0</v>
      </c>
      <c r="Y830" s="193">
        <f>'Buildings - Grid Electricity'!P335</f>
        <v>0</v>
      </c>
      <c r="Z830" s="193" t="str">
        <f>'Buildings - Grid Electricity'!Q335</f>
        <v/>
      </c>
      <c r="AA830" s="193" t="str">
        <f>'Buildings - Grid Electricity'!R335</f>
        <v/>
      </c>
      <c r="AB830" s="193" t="str">
        <f>'Buildings - Grid Electricity'!S335</f>
        <v/>
      </c>
      <c r="AC830" s="193" t="str">
        <f>'Buildings - Grid Electricity'!T335</f>
        <v/>
      </c>
      <c r="AD830" s="193" t="str">
        <f>'Buildings - Grid Electricity'!U335</f>
        <v/>
      </c>
      <c r="AE830" s="193" t="str">
        <f>'Buildings - Grid Electricity'!V335</f>
        <v/>
      </c>
      <c r="AF830" s="193" t="str">
        <f>'Buildings - Grid Electricity'!W335</f>
        <v/>
      </c>
      <c r="AG830" s="193" t="str">
        <f>'Buildings - Grid Electricity'!X335</f>
        <v/>
      </c>
      <c r="AI830" s="193">
        <f t="shared" si="14"/>
        <v>0</v>
      </c>
      <c r="AJ830" s="193">
        <f t="shared" si="15"/>
        <v>0</v>
      </c>
    </row>
    <row r="831" spans="2:36" x14ac:dyDescent="0.35">
      <c r="B831" s="193" t="e">
        <f>"2024"&amp;MATCH(Totals!D831,OrgType,0)&amp;"_"&amp;MATCH(Totals!E831,Organisations,0)&amp;"_"&amp;LEFT(Totals!F831,1)&amp;"_"&amp;LEFT(G831,1)&amp;"_"&amp;COUNTIF($G$3:G831,G831)</f>
        <v>#N/A</v>
      </c>
      <c r="C831" s="193">
        <v>2025</v>
      </c>
      <c r="D831" s="193">
        <f>Introduction!$D$7</f>
        <v>0</v>
      </c>
      <c r="E831" s="193">
        <f>Introduction!$D$8</f>
        <v>0</v>
      </c>
      <c r="F831" s="193" t="s">
        <v>488</v>
      </c>
      <c r="G831" s="193" t="s">
        <v>171</v>
      </c>
      <c r="H831" s="193">
        <f>'Buildings - Grid Electricity'!B336</f>
        <v>0</v>
      </c>
      <c r="I831" s="193">
        <f>'Buildings - Grid Electricity'!C336</f>
        <v>0</v>
      </c>
      <c r="J831" s="193" t="str">
        <f>'Buildings - Grid Electricity'!D336</f>
        <v/>
      </c>
      <c r="K831" s="237"/>
      <c r="L831" s="237"/>
      <c r="M831" s="193" t="str">
        <f>'Buildings - Grid Electricity'!E336</f>
        <v/>
      </c>
      <c r="N831" s="193" t="str">
        <f>'Buildings - Grid Electricity'!F336</f>
        <v/>
      </c>
      <c r="O831" s="237"/>
      <c r="P831" s="193">
        <f>'Buildings - Grid Electricity'!G336</f>
        <v>0</v>
      </c>
      <c r="Q831" s="193" t="str">
        <f>'Buildings - Grid Electricity'!H336</f>
        <v/>
      </c>
      <c r="R831" s="193">
        <f>'Buildings - Grid Electricity'!I336</f>
        <v>0</v>
      </c>
      <c r="S831" s="193" t="str">
        <f>'Buildings - Grid Electricity'!J336</f>
        <v/>
      </c>
      <c r="T831" s="193" t="str">
        <f>'Buildings - Grid Electricity'!K336</f>
        <v/>
      </c>
      <c r="U831" s="193" t="str">
        <f>'Buildings - Grid Electricity'!L336</f>
        <v/>
      </c>
      <c r="V831" s="193" t="str">
        <f>'Buildings - Grid Electricity'!M336</f>
        <v/>
      </c>
      <c r="W831" s="193" t="str">
        <f>'Buildings - Grid Electricity'!N336</f>
        <v/>
      </c>
      <c r="X831" s="193">
        <f>'Buildings - Grid Electricity'!O336</f>
        <v>0</v>
      </c>
      <c r="Y831" s="193">
        <f>'Buildings - Grid Electricity'!P336</f>
        <v>0</v>
      </c>
      <c r="Z831" s="193" t="str">
        <f>'Buildings - Grid Electricity'!Q336</f>
        <v/>
      </c>
      <c r="AA831" s="193" t="str">
        <f>'Buildings - Grid Electricity'!R336</f>
        <v/>
      </c>
      <c r="AB831" s="193" t="str">
        <f>'Buildings - Grid Electricity'!S336</f>
        <v/>
      </c>
      <c r="AC831" s="193" t="str">
        <f>'Buildings - Grid Electricity'!T336</f>
        <v/>
      </c>
      <c r="AD831" s="193" t="str">
        <f>'Buildings - Grid Electricity'!U336</f>
        <v/>
      </c>
      <c r="AE831" s="193" t="str">
        <f>'Buildings - Grid Electricity'!V336</f>
        <v/>
      </c>
      <c r="AF831" s="193" t="str">
        <f>'Buildings - Grid Electricity'!W336</f>
        <v/>
      </c>
      <c r="AG831" s="193" t="str">
        <f>'Buildings - Grid Electricity'!X336</f>
        <v/>
      </c>
      <c r="AI831" s="193">
        <f t="shared" si="14"/>
        <v>0</v>
      </c>
      <c r="AJ831" s="193">
        <f t="shared" si="15"/>
        <v>0</v>
      </c>
    </row>
    <row r="832" spans="2:36" x14ac:dyDescent="0.35">
      <c r="B832" s="193" t="e">
        <f>"2024"&amp;MATCH(Totals!D832,OrgType,0)&amp;"_"&amp;MATCH(Totals!E832,Organisations,0)&amp;"_"&amp;LEFT(Totals!F832,1)&amp;"_"&amp;LEFT(G832,1)&amp;"_"&amp;COUNTIF($G$3:G832,G832)</f>
        <v>#N/A</v>
      </c>
      <c r="C832" s="193">
        <v>2025</v>
      </c>
      <c r="D832" s="193">
        <f>Introduction!$D$7</f>
        <v>0</v>
      </c>
      <c r="E832" s="193">
        <f>Introduction!$D$8</f>
        <v>0</v>
      </c>
      <c r="F832" s="193" t="s">
        <v>488</v>
      </c>
      <c r="G832" s="193" t="s">
        <v>171</v>
      </c>
      <c r="H832" s="193">
        <f>'Buildings - Grid Electricity'!B337</f>
        <v>0</v>
      </c>
      <c r="I832" s="193">
        <f>'Buildings - Grid Electricity'!C337</f>
        <v>0</v>
      </c>
      <c r="J832" s="193" t="str">
        <f>'Buildings - Grid Electricity'!D337</f>
        <v/>
      </c>
      <c r="K832" s="237"/>
      <c r="L832" s="237"/>
      <c r="M832" s="193" t="str">
        <f>'Buildings - Grid Electricity'!E337</f>
        <v/>
      </c>
      <c r="N832" s="193" t="str">
        <f>'Buildings - Grid Electricity'!F337</f>
        <v/>
      </c>
      <c r="O832" s="237"/>
      <c r="P832" s="193">
        <f>'Buildings - Grid Electricity'!G337</f>
        <v>0</v>
      </c>
      <c r="Q832" s="193" t="str">
        <f>'Buildings - Grid Electricity'!H337</f>
        <v/>
      </c>
      <c r="R832" s="193">
        <f>'Buildings - Grid Electricity'!I337</f>
        <v>0</v>
      </c>
      <c r="S832" s="193" t="str">
        <f>'Buildings - Grid Electricity'!J337</f>
        <v/>
      </c>
      <c r="T832" s="193" t="str">
        <f>'Buildings - Grid Electricity'!K337</f>
        <v/>
      </c>
      <c r="U832" s="193" t="str">
        <f>'Buildings - Grid Electricity'!L337</f>
        <v/>
      </c>
      <c r="V832" s="193" t="str">
        <f>'Buildings - Grid Electricity'!M337</f>
        <v/>
      </c>
      <c r="W832" s="193" t="str">
        <f>'Buildings - Grid Electricity'!N337</f>
        <v/>
      </c>
      <c r="X832" s="193">
        <f>'Buildings - Grid Electricity'!O337</f>
        <v>0</v>
      </c>
      <c r="Y832" s="193">
        <f>'Buildings - Grid Electricity'!P337</f>
        <v>0</v>
      </c>
      <c r="Z832" s="193" t="str">
        <f>'Buildings - Grid Electricity'!Q337</f>
        <v/>
      </c>
      <c r="AA832" s="193" t="str">
        <f>'Buildings - Grid Electricity'!R337</f>
        <v/>
      </c>
      <c r="AB832" s="193" t="str">
        <f>'Buildings - Grid Electricity'!S337</f>
        <v/>
      </c>
      <c r="AC832" s="193" t="str">
        <f>'Buildings - Grid Electricity'!T337</f>
        <v/>
      </c>
      <c r="AD832" s="193" t="str">
        <f>'Buildings - Grid Electricity'!U337</f>
        <v/>
      </c>
      <c r="AE832" s="193" t="str">
        <f>'Buildings - Grid Electricity'!V337</f>
        <v/>
      </c>
      <c r="AF832" s="193" t="str">
        <f>'Buildings - Grid Electricity'!W337</f>
        <v/>
      </c>
      <c r="AG832" s="193" t="str">
        <f>'Buildings - Grid Electricity'!X337</f>
        <v/>
      </c>
      <c r="AI832" s="193">
        <f t="shared" si="14"/>
        <v>0</v>
      </c>
      <c r="AJ832" s="193">
        <f t="shared" si="15"/>
        <v>0</v>
      </c>
    </row>
    <row r="833" spans="2:36" x14ac:dyDescent="0.35">
      <c r="B833" s="193" t="e">
        <f>"2024"&amp;MATCH(Totals!D833,OrgType,0)&amp;"_"&amp;MATCH(Totals!E833,Organisations,0)&amp;"_"&amp;LEFT(Totals!F833,1)&amp;"_"&amp;LEFT(G833,1)&amp;"_"&amp;COUNTIF($G$3:G833,G833)</f>
        <v>#N/A</v>
      </c>
      <c r="C833" s="193">
        <v>2025</v>
      </c>
      <c r="D833" s="193">
        <f>Introduction!$D$7</f>
        <v>0</v>
      </c>
      <c r="E833" s="193">
        <f>Introduction!$D$8</f>
        <v>0</v>
      </c>
      <c r="F833" s="193" t="s">
        <v>488</v>
      </c>
      <c r="G833" s="193" t="s">
        <v>171</v>
      </c>
      <c r="H833" s="193">
        <f>'Buildings - Grid Electricity'!B338</f>
        <v>0</v>
      </c>
      <c r="I833" s="193">
        <f>'Buildings - Grid Electricity'!C338</f>
        <v>0</v>
      </c>
      <c r="J833" s="193" t="str">
        <f>'Buildings - Grid Electricity'!D338</f>
        <v/>
      </c>
      <c r="K833" s="237"/>
      <c r="L833" s="237"/>
      <c r="M833" s="193" t="str">
        <f>'Buildings - Grid Electricity'!E338</f>
        <v/>
      </c>
      <c r="N833" s="193" t="str">
        <f>'Buildings - Grid Electricity'!F338</f>
        <v/>
      </c>
      <c r="O833" s="237"/>
      <c r="P833" s="193">
        <f>'Buildings - Grid Electricity'!G338</f>
        <v>0</v>
      </c>
      <c r="Q833" s="193" t="str">
        <f>'Buildings - Grid Electricity'!H338</f>
        <v/>
      </c>
      <c r="R833" s="193">
        <f>'Buildings - Grid Electricity'!I338</f>
        <v>0</v>
      </c>
      <c r="S833" s="193" t="str">
        <f>'Buildings - Grid Electricity'!J338</f>
        <v/>
      </c>
      <c r="T833" s="193" t="str">
        <f>'Buildings - Grid Electricity'!K338</f>
        <v/>
      </c>
      <c r="U833" s="193" t="str">
        <f>'Buildings - Grid Electricity'!L338</f>
        <v/>
      </c>
      <c r="V833" s="193" t="str">
        <f>'Buildings - Grid Electricity'!M338</f>
        <v/>
      </c>
      <c r="W833" s="193" t="str">
        <f>'Buildings - Grid Electricity'!N338</f>
        <v/>
      </c>
      <c r="X833" s="193">
        <f>'Buildings - Grid Electricity'!O338</f>
        <v>0</v>
      </c>
      <c r="Y833" s="193">
        <f>'Buildings - Grid Electricity'!P338</f>
        <v>0</v>
      </c>
      <c r="Z833" s="193" t="str">
        <f>'Buildings - Grid Electricity'!Q338</f>
        <v/>
      </c>
      <c r="AA833" s="193" t="str">
        <f>'Buildings - Grid Electricity'!R338</f>
        <v/>
      </c>
      <c r="AB833" s="193" t="str">
        <f>'Buildings - Grid Electricity'!S338</f>
        <v/>
      </c>
      <c r="AC833" s="193" t="str">
        <f>'Buildings - Grid Electricity'!T338</f>
        <v/>
      </c>
      <c r="AD833" s="193" t="str">
        <f>'Buildings - Grid Electricity'!U338</f>
        <v/>
      </c>
      <c r="AE833" s="193" t="str">
        <f>'Buildings - Grid Electricity'!V338</f>
        <v/>
      </c>
      <c r="AF833" s="193" t="str">
        <f>'Buildings - Grid Electricity'!W338</f>
        <v/>
      </c>
      <c r="AG833" s="193" t="str">
        <f>'Buildings - Grid Electricity'!X338</f>
        <v/>
      </c>
      <c r="AI833" s="193">
        <f t="shared" si="14"/>
        <v>0</v>
      </c>
      <c r="AJ833" s="193">
        <f t="shared" si="15"/>
        <v>0</v>
      </c>
    </row>
    <row r="834" spans="2:36" x14ac:dyDescent="0.35">
      <c r="B834" s="193" t="e">
        <f>"2024"&amp;MATCH(Totals!D834,OrgType,0)&amp;"_"&amp;MATCH(Totals!E834,Organisations,0)&amp;"_"&amp;LEFT(Totals!F834,1)&amp;"_"&amp;LEFT(G834,1)&amp;"_"&amp;COUNTIF($G$3:G834,G834)</f>
        <v>#N/A</v>
      </c>
      <c r="C834" s="193">
        <v>2025</v>
      </c>
      <c r="D834" s="193">
        <f>Introduction!$D$7</f>
        <v>0</v>
      </c>
      <c r="E834" s="193">
        <f>Introduction!$D$8</f>
        <v>0</v>
      </c>
      <c r="F834" s="193" t="s">
        <v>488</v>
      </c>
      <c r="G834" s="193" t="s">
        <v>171</v>
      </c>
      <c r="H834" s="193">
        <f>'Buildings - Grid Electricity'!B339</f>
        <v>0</v>
      </c>
      <c r="I834" s="193">
        <f>'Buildings - Grid Electricity'!C339</f>
        <v>0</v>
      </c>
      <c r="J834" s="193" t="str">
        <f>'Buildings - Grid Electricity'!D339</f>
        <v/>
      </c>
      <c r="K834" s="237"/>
      <c r="L834" s="237"/>
      <c r="M834" s="193" t="str">
        <f>'Buildings - Grid Electricity'!E339</f>
        <v/>
      </c>
      <c r="N834" s="193" t="str">
        <f>'Buildings - Grid Electricity'!F339</f>
        <v/>
      </c>
      <c r="O834" s="237"/>
      <c r="P834" s="193">
        <f>'Buildings - Grid Electricity'!G339</f>
        <v>0</v>
      </c>
      <c r="Q834" s="193" t="str">
        <f>'Buildings - Grid Electricity'!H339</f>
        <v/>
      </c>
      <c r="R834" s="193">
        <f>'Buildings - Grid Electricity'!I339</f>
        <v>0</v>
      </c>
      <c r="S834" s="193" t="str">
        <f>'Buildings - Grid Electricity'!J339</f>
        <v/>
      </c>
      <c r="T834" s="193" t="str">
        <f>'Buildings - Grid Electricity'!K339</f>
        <v/>
      </c>
      <c r="U834" s="193" t="str">
        <f>'Buildings - Grid Electricity'!L339</f>
        <v/>
      </c>
      <c r="V834" s="193" t="str">
        <f>'Buildings - Grid Electricity'!M339</f>
        <v/>
      </c>
      <c r="W834" s="193" t="str">
        <f>'Buildings - Grid Electricity'!N339</f>
        <v/>
      </c>
      <c r="X834" s="193">
        <f>'Buildings - Grid Electricity'!O339</f>
        <v>0</v>
      </c>
      <c r="Y834" s="193">
        <f>'Buildings - Grid Electricity'!P339</f>
        <v>0</v>
      </c>
      <c r="Z834" s="193" t="str">
        <f>'Buildings - Grid Electricity'!Q339</f>
        <v/>
      </c>
      <c r="AA834" s="193" t="str">
        <f>'Buildings - Grid Electricity'!R339</f>
        <v/>
      </c>
      <c r="AB834" s="193" t="str">
        <f>'Buildings - Grid Electricity'!S339</f>
        <v/>
      </c>
      <c r="AC834" s="193" t="str">
        <f>'Buildings - Grid Electricity'!T339</f>
        <v/>
      </c>
      <c r="AD834" s="193" t="str">
        <f>'Buildings - Grid Electricity'!U339</f>
        <v/>
      </c>
      <c r="AE834" s="193" t="str">
        <f>'Buildings - Grid Electricity'!V339</f>
        <v/>
      </c>
      <c r="AF834" s="193" t="str">
        <f>'Buildings - Grid Electricity'!W339</f>
        <v/>
      </c>
      <c r="AG834" s="193" t="str">
        <f>'Buildings - Grid Electricity'!X339</f>
        <v/>
      </c>
      <c r="AI834" s="193">
        <f t="shared" si="14"/>
        <v>0</v>
      </c>
      <c r="AJ834" s="193">
        <f t="shared" si="15"/>
        <v>0</v>
      </c>
    </row>
    <row r="835" spans="2:36" x14ac:dyDescent="0.35">
      <c r="B835" s="193" t="e">
        <f>"2024"&amp;MATCH(Totals!D835,OrgType,0)&amp;"_"&amp;MATCH(Totals!E835,Organisations,0)&amp;"_"&amp;LEFT(Totals!F835,1)&amp;"_"&amp;LEFT(G835,1)&amp;"_"&amp;COUNTIF($G$3:G835,G835)</f>
        <v>#N/A</v>
      </c>
      <c r="C835" s="193">
        <v>2025</v>
      </c>
      <c r="D835" s="193">
        <f>Introduction!$D$7</f>
        <v>0</v>
      </c>
      <c r="E835" s="193">
        <f>Introduction!$D$8</f>
        <v>0</v>
      </c>
      <c r="F835" s="193" t="s">
        <v>488</v>
      </c>
      <c r="G835" s="193" t="s">
        <v>171</v>
      </c>
      <c r="H835" s="193">
        <f>'Buildings - Grid Electricity'!B340</f>
        <v>0</v>
      </c>
      <c r="I835" s="193">
        <f>'Buildings - Grid Electricity'!C340</f>
        <v>0</v>
      </c>
      <c r="J835" s="193" t="str">
        <f>'Buildings - Grid Electricity'!D340</f>
        <v/>
      </c>
      <c r="K835" s="237"/>
      <c r="L835" s="237"/>
      <c r="M835" s="193" t="str">
        <f>'Buildings - Grid Electricity'!E340</f>
        <v/>
      </c>
      <c r="N835" s="193" t="str">
        <f>'Buildings - Grid Electricity'!F340</f>
        <v/>
      </c>
      <c r="O835" s="237"/>
      <c r="P835" s="193">
        <f>'Buildings - Grid Electricity'!G340</f>
        <v>0</v>
      </c>
      <c r="Q835" s="193" t="str">
        <f>'Buildings - Grid Electricity'!H340</f>
        <v/>
      </c>
      <c r="R835" s="193">
        <f>'Buildings - Grid Electricity'!I340</f>
        <v>0</v>
      </c>
      <c r="S835" s="193" t="str">
        <f>'Buildings - Grid Electricity'!J340</f>
        <v/>
      </c>
      <c r="T835" s="193" t="str">
        <f>'Buildings - Grid Electricity'!K340</f>
        <v/>
      </c>
      <c r="U835" s="193" t="str">
        <f>'Buildings - Grid Electricity'!L340</f>
        <v/>
      </c>
      <c r="V835" s="193" t="str">
        <f>'Buildings - Grid Electricity'!M340</f>
        <v/>
      </c>
      <c r="W835" s="193" t="str">
        <f>'Buildings - Grid Electricity'!N340</f>
        <v/>
      </c>
      <c r="X835" s="193">
        <f>'Buildings - Grid Electricity'!O340</f>
        <v>0</v>
      </c>
      <c r="Y835" s="193">
        <f>'Buildings - Grid Electricity'!P340</f>
        <v>0</v>
      </c>
      <c r="Z835" s="193" t="str">
        <f>'Buildings - Grid Electricity'!Q340</f>
        <v/>
      </c>
      <c r="AA835" s="193" t="str">
        <f>'Buildings - Grid Electricity'!R340</f>
        <v/>
      </c>
      <c r="AB835" s="193" t="str">
        <f>'Buildings - Grid Electricity'!S340</f>
        <v/>
      </c>
      <c r="AC835" s="193" t="str">
        <f>'Buildings - Grid Electricity'!T340</f>
        <v/>
      </c>
      <c r="AD835" s="193" t="str">
        <f>'Buildings - Grid Electricity'!U340</f>
        <v/>
      </c>
      <c r="AE835" s="193" t="str">
        <f>'Buildings - Grid Electricity'!V340</f>
        <v/>
      </c>
      <c r="AF835" s="193" t="str">
        <f>'Buildings - Grid Electricity'!W340</f>
        <v/>
      </c>
      <c r="AG835" s="193" t="str">
        <f>'Buildings - Grid Electricity'!X340</f>
        <v/>
      </c>
      <c r="AI835" s="193">
        <f t="shared" si="14"/>
        <v>0</v>
      </c>
      <c r="AJ835" s="193">
        <f t="shared" si="15"/>
        <v>0</v>
      </c>
    </row>
    <row r="836" spans="2:36" x14ac:dyDescent="0.35">
      <c r="B836" s="193" t="e">
        <f>"2024"&amp;MATCH(Totals!D836,OrgType,0)&amp;"_"&amp;MATCH(Totals!E836,Organisations,0)&amp;"_"&amp;LEFT(Totals!F836,1)&amp;"_"&amp;LEFT(G836,1)&amp;"_"&amp;COUNTIF($G$3:G836,G836)</f>
        <v>#N/A</v>
      </c>
      <c r="C836" s="193">
        <v>2025</v>
      </c>
      <c r="D836" s="193">
        <f>Introduction!$D$7</f>
        <v>0</v>
      </c>
      <c r="E836" s="193">
        <f>Introduction!$D$8</f>
        <v>0</v>
      </c>
      <c r="F836" s="193" t="s">
        <v>488</v>
      </c>
      <c r="G836" s="193" t="s">
        <v>171</v>
      </c>
      <c r="H836" s="193">
        <f>'Buildings - Grid Electricity'!B341</f>
        <v>0</v>
      </c>
      <c r="I836" s="193">
        <f>'Buildings - Grid Electricity'!C341</f>
        <v>0</v>
      </c>
      <c r="J836" s="193" t="str">
        <f>'Buildings - Grid Electricity'!D341</f>
        <v/>
      </c>
      <c r="K836" s="237"/>
      <c r="L836" s="237"/>
      <c r="M836" s="193" t="str">
        <f>'Buildings - Grid Electricity'!E341</f>
        <v/>
      </c>
      <c r="N836" s="193" t="str">
        <f>'Buildings - Grid Electricity'!F341</f>
        <v/>
      </c>
      <c r="O836" s="237"/>
      <c r="P836" s="193">
        <f>'Buildings - Grid Electricity'!G341</f>
        <v>0</v>
      </c>
      <c r="Q836" s="193" t="str">
        <f>'Buildings - Grid Electricity'!H341</f>
        <v/>
      </c>
      <c r="R836" s="193">
        <f>'Buildings - Grid Electricity'!I341</f>
        <v>0</v>
      </c>
      <c r="S836" s="193" t="str">
        <f>'Buildings - Grid Electricity'!J341</f>
        <v/>
      </c>
      <c r="T836" s="193" t="str">
        <f>'Buildings - Grid Electricity'!K341</f>
        <v/>
      </c>
      <c r="U836" s="193" t="str">
        <f>'Buildings - Grid Electricity'!L341</f>
        <v/>
      </c>
      <c r="V836" s="193" t="str">
        <f>'Buildings - Grid Electricity'!M341</f>
        <v/>
      </c>
      <c r="W836" s="193" t="str">
        <f>'Buildings - Grid Electricity'!N341</f>
        <v/>
      </c>
      <c r="X836" s="193">
        <f>'Buildings - Grid Electricity'!O341</f>
        <v>0</v>
      </c>
      <c r="Y836" s="193">
        <f>'Buildings - Grid Electricity'!P341</f>
        <v>0</v>
      </c>
      <c r="Z836" s="193" t="str">
        <f>'Buildings - Grid Electricity'!Q341</f>
        <v/>
      </c>
      <c r="AA836" s="193" t="str">
        <f>'Buildings - Grid Electricity'!R341</f>
        <v/>
      </c>
      <c r="AB836" s="193" t="str">
        <f>'Buildings - Grid Electricity'!S341</f>
        <v/>
      </c>
      <c r="AC836" s="193" t="str">
        <f>'Buildings - Grid Electricity'!T341</f>
        <v/>
      </c>
      <c r="AD836" s="193" t="str">
        <f>'Buildings - Grid Electricity'!U341</f>
        <v/>
      </c>
      <c r="AE836" s="193" t="str">
        <f>'Buildings - Grid Electricity'!V341</f>
        <v/>
      </c>
      <c r="AF836" s="193" t="str">
        <f>'Buildings - Grid Electricity'!W341</f>
        <v/>
      </c>
      <c r="AG836" s="193" t="str">
        <f>'Buildings - Grid Electricity'!X341</f>
        <v/>
      </c>
      <c r="AI836" s="193">
        <f t="shared" si="14"/>
        <v>0</v>
      </c>
      <c r="AJ836" s="193">
        <f t="shared" si="15"/>
        <v>0</v>
      </c>
    </row>
    <row r="837" spans="2:36" x14ac:dyDescent="0.35">
      <c r="B837" s="193" t="e">
        <f>"2024"&amp;MATCH(Totals!D837,OrgType,0)&amp;"_"&amp;MATCH(Totals!E837,Organisations,0)&amp;"_"&amp;LEFT(Totals!F837,1)&amp;"_"&amp;LEFT(G837,1)&amp;"_"&amp;COUNTIF($G$3:G837,G837)</f>
        <v>#N/A</v>
      </c>
      <c r="C837" s="193">
        <v>2025</v>
      </c>
      <c r="D837" s="193">
        <f>Introduction!$D$7</f>
        <v>0</v>
      </c>
      <c r="E837" s="193">
        <f>Introduction!$D$8</f>
        <v>0</v>
      </c>
      <c r="F837" s="193" t="s">
        <v>488</v>
      </c>
      <c r="G837" s="193" t="s">
        <v>171</v>
      </c>
      <c r="H837" s="193">
        <f>'Buildings - Grid Electricity'!B305</f>
        <v>0</v>
      </c>
      <c r="I837" s="193">
        <f>'Buildings - Grid Electricity'!C342</f>
        <v>0</v>
      </c>
      <c r="J837" s="193" t="str">
        <f>'Buildings - Grid Electricity'!D342</f>
        <v/>
      </c>
      <c r="K837" s="237"/>
      <c r="L837" s="237"/>
      <c r="M837" s="193" t="str">
        <f>'Buildings - Grid Electricity'!E342</f>
        <v/>
      </c>
      <c r="N837" s="193" t="str">
        <f>'Buildings - Grid Electricity'!F342</f>
        <v/>
      </c>
      <c r="O837" s="237"/>
      <c r="P837" s="193">
        <f>'Buildings - Grid Electricity'!G342</f>
        <v>0</v>
      </c>
      <c r="Q837" s="193" t="str">
        <f>'Buildings - Grid Electricity'!H342</f>
        <v/>
      </c>
      <c r="R837" s="193">
        <f>'Buildings - Grid Electricity'!I342</f>
        <v>0</v>
      </c>
      <c r="S837" s="193" t="str">
        <f>'Buildings - Grid Electricity'!J342</f>
        <v/>
      </c>
      <c r="T837" s="193" t="str">
        <f>'Buildings - Grid Electricity'!K342</f>
        <v/>
      </c>
      <c r="U837" s="193" t="str">
        <f>'Buildings - Grid Electricity'!L342</f>
        <v/>
      </c>
      <c r="V837" s="193" t="str">
        <f>'Buildings - Grid Electricity'!M342</f>
        <v/>
      </c>
      <c r="W837" s="193" t="str">
        <f>'Buildings - Grid Electricity'!N342</f>
        <v/>
      </c>
      <c r="X837" s="193">
        <f>'Buildings - Grid Electricity'!O342</f>
        <v>0</v>
      </c>
      <c r="Y837" s="193">
        <f>'Buildings - Grid Electricity'!P342</f>
        <v>0</v>
      </c>
      <c r="Z837" s="193" t="str">
        <f>'Buildings - Grid Electricity'!Q342</f>
        <v/>
      </c>
      <c r="AA837" s="193" t="str">
        <f>'Buildings - Grid Electricity'!R342</f>
        <v/>
      </c>
      <c r="AB837" s="193" t="str">
        <f>'Buildings - Grid Electricity'!S342</f>
        <v/>
      </c>
      <c r="AC837" s="193" t="str">
        <f>'Buildings - Grid Electricity'!T342</f>
        <v/>
      </c>
      <c r="AD837" s="193" t="str">
        <f>'Buildings - Grid Electricity'!U342</f>
        <v/>
      </c>
      <c r="AE837" s="193" t="str">
        <f>'Buildings - Grid Electricity'!V342</f>
        <v/>
      </c>
      <c r="AF837" s="193" t="str">
        <f>'Buildings - Grid Electricity'!W342</f>
        <v/>
      </c>
      <c r="AG837" s="193" t="str">
        <f>'Buildings - Grid Electricity'!X342</f>
        <v/>
      </c>
      <c r="AI837" s="193">
        <f t="shared" si="14"/>
        <v>0</v>
      </c>
      <c r="AJ837" s="193">
        <f t="shared" si="15"/>
        <v>0</v>
      </c>
    </row>
    <row r="838" spans="2:36" x14ac:dyDescent="0.35">
      <c r="B838" s="193" t="e">
        <f>"2024"&amp;MATCH(Totals!D838,OrgType,0)&amp;"_"&amp;MATCH(Totals!E838,Organisations,0)&amp;"_"&amp;LEFT(Totals!F838,1)&amp;"_"&amp;LEFT(G838,1)&amp;"_"&amp;COUNTIF($G$3:G838,G838)</f>
        <v>#N/A</v>
      </c>
      <c r="C838" s="193">
        <v>2025</v>
      </c>
      <c r="D838" s="193">
        <f>Introduction!$D$7</f>
        <v>0</v>
      </c>
      <c r="E838" s="193">
        <f>Introduction!$D$8</f>
        <v>0</v>
      </c>
      <c r="F838" s="193" t="s">
        <v>488</v>
      </c>
      <c r="G838" s="193" t="s">
        <v>171</v>
      </c>
      <c r="H838" s="193">
        <f>'Buildings - Grid Electricity'!B35</f>
        <v>0</v>
      </c>
      <c r="I838" s="193">
        <f>'Buildings - Grid Electricity'!C35</f>
        <v>0</v>
      </c>
      <c r="J838" s="193" t="str">
        <f>'Buildings - Grid Electricity'!D343</f>
        <v/>
      </c>
      <c r="K838" s="237"/>
      <c r="L838" s="237"/>
      <c r="M838" s="193" t="str">
        <f>'Buildings - Grid Electricity'!E343</f>
        <v/>
      </c>
      <c r="N838" s="193" t="str">
        <f>'Buildings - Grid Electricity'!F343</f>
        <v/>
      </c>
      <c r="O838" s="237"/>
      <c r="P838" s="193">
        <f>'Buildings - Grid Electricity'!G343</f>
        <v>0</v>
      </c>
      <c r="Q838" s="193" t="str">
        <f>'Buildings - Grid Electricity'!H343</f>
        <v/>
      </c>
      <c r="R838" s="193">
        <f>'Buildings - Grid Electricity'!I343</f>
        <v>0</v>
      </c>
      <c r="S838" s="193" t="str">
        <f>'Buildings - Grid Electricity'!J343</f>
        <v/>
      </c>
      <c r="T838" s="193" t="str">
        <f>'Buildings - Grid Electricity'!K343</f>
        <v/>
      </c>
      <c r="U838" s="193" t="str">
        <f>'Buildings - Grid Electricity'!L343</f>
        <v/>
      </c>
      <c r="V838" s="193" t="str">
        <f>'Buildings - Grid Electricity'!M343</f>
        <v/>
      </c>
      <c r="W838" s="193" t="str">
        <f>'Buildings - Grid Electricity'!N343</f>
        <v/>
      </c>
      <c r="X838" s="193">
        <f>'Buildings - Grid Electricity'!O343</f>
        <v>0</v>
      </c>
      <c r="Y838" s="193">
        <f>'Buildings - Grid Electricity'!P343</f>
        <v>0</v>
      </c>
      <c r="Z838" s="193" t="str">
        <f>'Buildings - Grid Electricity'!Q343</f>
        <v/>
      </c>
      <c r="AA838" s="193" t="str">
        <f>'Buildings - Grid Electricity'!R343</f>
        <v/>
      </c>
      <c r="AB838" s="193" t="str">
        <f>'Buildings - Grid Electricity'!S343</f>
        <v/>
      </c>
      <c r="AC838" s="193" t="str">
        <f>'Buildings - Grid Electricity'!T343</f>
        <v/>
      </c>
      <c r="AD838" s="193" t="str">
        <f>'Buildings - Grid Electricity'!U343</f>
        <v/>
      </c>
      <c r="AE838" s="193" t="str">
        <f>'Buildings - Grid Electricity'!V343</f>
        <v/>
      </c>
      <c r="AF838" s="193" t="str">
        <f>'Buildings - Grid Electricity'!W343</f>
        <v/>
      </c>
      <c r="AG838" s="193" t="str">
        <f>'Buildings - Grid Electricity'!X343</f>
        <v/>
      </c>
      <c r="AI838" s="193">
        <f t="shared" si="14"/>
        <v>0</v>
      </c>
      <c r="AJ838" s="193">
        <f t="shared" si="15"/>
        <v>0</v>
      </c>
    </row>
    <row r="839" spans="2:36" x14ac:dyDescent="0.35">
      <c r="B839" s="193" t="e">
        <f>"2024"&amp;MATCH(Totals!D839,OrgType,0)&amp;"_"&amp;MATCH(Totals!E839,Organisations,0)&amp;"_"&amp;LEFT(Totals!F839,1)&amp;"_"&amp;LEFT(G839,1)&amp;"_"&amp;COUNTIF($G$3:G839,G839)</f>
        <v>#N/A</v>
      </c>
      <c r="C839" s="193">
        <v>2025</v>
      </c>
      <c r="D839" s="193">
        <f>Introduction!$D$7</f>
        <v>0</v>
      </c>
      <c r="E839" s="193">
        <f>Introduction!$D$8</f>
        <v>0</v>
      </c>
      <c r="F839" s="193" t="s">
        <v>488</v>
      </c>
      <c r="G839" s="193" t="s">
        <v>171</v>
      </c>
      <c r="H839" s="193">
        <f>'Buildings - Grid Electricity'!B341</f>
        <v>0</v>
      </c>
      <c r="I839" s="193">
        <f>'Buildings - Grid Electricity'!C341</f>
        <v>0</v>
      </c>
      <c r="J839" s="193" t="str">
        <f>'Buildings - Grid Electricity'!D341</f>
        <v/>
      </c>
      <c r="K839" s="237"/>
      <c r="L839" s="237"/>
      <c r="M839" s="193" t="str">
        <f>'Buildings - Grid Electricity'!E341</f>
        <v/>
      </c>
      <c r="N839" s="193" t="str">
        <f>'Buildings - Grid Electricity'!F341</f>
        <v/>
      </c>
      <c r="O839" s="237"/>
      <c r="P839" s="193">
        <f>'Buildings - Grid Electricity'!G341</f>
        <v>0</v>
      </c>
      <c r="Q839" s="193" t="str">
        <f>'Buildings - Grid Electricity'!H341</f>
        <v/>
      </c>
      <c r="R839" s="193">
        <f>'Buildings - Grid Electricity'!I341</f>
        <v>0</v>
      </c>
      <c r="S839" s="193" t="str">
        <f>'Buildings - Grid Electricity'!J341</f>
        <v/>
      </c>
      <c r="T839" s="193" t="str">
        <f>'Buildings - Grid Electricity'!K341</f>
        <v/>
      </c>
      <c r="U839" s="193" t="str">
        <f>'Buildings - Grid Electricity'!L341</f>
        <v/>
      </c>
      <c r="V839" s="193" t="str">
        <f>'Buildings - Grid Electricity'!M341</f>
        <v/>
      </c>
      <c r="W839" s="193" t="str">
        <f>'Buildings - Grid Electricity'!N341</f>
        <v/>
      </c>
      <c r="X839" s="193">
        <f>'Buildings - Grid Electricity'!O341</f>
        <v>0</v>
      </c>
      <c r="Y839" s="193">
        <f>'Buildings - Grid Electricity'!P341</f>
        <v>0</v>
      </c>
      <c r="Z839" s="193" t="str">
        <f>'Buildings - Grid Electricity'!Q341</f>
        <v/>
      </c>
      <c r="AA839" s="193" t="str">
        <f>'Buildings - Grid Electricity'!R341</f>
        <v/>
      </c>
      <c r="AB839" s="193" t="str">
        <f>'Buildings - Grid Electricity'!S341</f>
        <v/>
      </c>
      <c r="AC839" s="193" t="str">
        <f>'Buildings - Grid Electricity'!T341</f>
        <v/>
      </c>
      <c r="AD839" s="193" t="str">
        <f>'Buildings - Grid Electricity'!U341</f>
        <v/>
      </c>
      <c r="AE839" s="193" t="str">
        <f>'Buildings - Grid Electricity'!V341</f>
        <v/>
      </c>
      <c r="AF839" s="193" t="str">
        <f>'Buildings - Grid Electricity'!W341</f>
        <v/>
      </c>
      <c r="AG839" s="193" t="str">
        <f>'Buildings - Grid Electricity'!X341</f>
        <v/>
      </c>
      <c r="AI839" s="193">
        <f t="shared" ref="AI839:AI902" si="16">IF(AND(V839="",R839&lt;&gt;0),1,0)</f>
        <v>0</v>
      </c>
      <c r="AJ839" s="193">
        <f t="shared" ref="AJ839:AJ902" si="17">IF(AND(W839="",R839&lt;&gt;0),1,0)</f>
        <v>0</v>
      </c>
    </row>
    <row r="840" spans="2:36" x14ac:dyDescent="0.35">
      <c r="B840" s="193" t="e">
        <f>"2024"&amp;MATCH(Totals!D840,OrgType,0)&amp;"_"&amp;MATCH(Totals!E840,Organisations,0)&amp;"_"&amp;LEFT(Totals!F840,1)&amp;"_"&amp;LEFT(G840,1)&amp;"_"&amp;COUNTIF($G$3:G840,G840)</f>
        <v>#N/A</v>
      </c>
      <c r="C840" s="193">
        <v>2025</v>
      </c>
      <c r="D840" s="193">
        <f>Introduction!$D$7</f>
        <v>0</v>
      </c>
      <c r="E840" s="193">
        <f>Introduction!$D$8</f>
        <v>0</v>
      </c>
      <c r="F840" s="193" t="s">
        <v>488</v>
      </c>
      <c r="G840" s="193" t="s">
        <v>171</v>
      </c>
      <c r="H840" s="193">
        <f>'Buildings - Grid Electricity'!B342</f>
        <v>0</v>
      </c>
      <c r="I840" s="193">
        <f>'Buildings - Grid Electricity'!C342</f>
        <v>0</v>
      </c>
      <c r="J840" s="193" t="str">
        <f>'Buildings - Grid Electricity'!D342</f>
        <v/>
      </c>
      <c r="K840" s="237"/>
      <c r="L840" s="237"/>
      <c r="M840" s="193" t="str">
        <f>'Buildings - Grid Electricity'!E342</f>
        <v/>
      </c>
      <c r="N840" s="193" t="str">
        <f>'Buildings - Grid Electricity'!F342</f>
        <v/>
      </c>
      <c r="O840" s="237"/>
      <c r="P840" s="193">
        <f>'Buildings - Grid Electricity'!G342</f>
        <v>0</v>
      </c>
      <c r="Q840" s="193" t="str">
        <f>'Buildings - Grid Electricity'!H342</f>
        <v/>
      </c>
      <c r="R840" s="193">
        <f>'Buildings - Grid Electricity'!I342</f>
        <v>0</v>
      </c>
      <c r="S840" s="193" t="str">
        <f>'Buildings - Grid Electricity'!J342</f>
        <v/>
      </c>
      <c r="T840" s="193" t="str">
        <f>'Buildings - Grid Electricity'!K342</f>
        <v/>
      </c>
      <c r="U840" s="193" t="str">
        <f>'Buildings - Grid Electricity'!L342</f>
        <v/>
      </c>
      <c r="V840" s="193" t="str">
        <f>'Buildings - Grid Electricity'!M342</f>
        <v/>
      </c>
      <c r="W840" s="193" t="str">
        <f>'Buildings - Grid Electricity'!N342</f>
        <v/>
      </c>
      <c r="X840" s="193">
        <f>'Buildings - Grid Electricity'!O342</f>
        <v>0</v>
      </c>
      <c r="Y840" s="193">
        <f>'Buildings - Grid Electricity'!P342</f>
        <v>0</v>
      </c>
      <c r="Z840" s="193" t="str">
        <f>'Buildings - Grid Electricity'!Q342</f>
        <v/>
      </c>
      <c r="AA840" s="193" t="str">
        <f>'Buildings - Grid Electricity'!R342</f>
        <v/>
      </c>
      <c r="AB840" s="193" t="str">
        <f>'Buildings - Grid Electricity'!S342</f>
        <v/>
      </c>
      <c r="AC840" s="193" t="str">
        <f>'Buildings - Grid Electricity'!T342</f>
        <v/>
      </c>
      <c r="AD840" s="193" t="str">
        <f>'Buildings - Grid Electricity'!U342</f>
        <v/>
      </c>
      <c r="AE840" s="193" t="str">
        <f>'Buildings - Grid Electricity'!V342</f>
        <v/>
      </c>
      <c r="AF840" s="193" t="str">
        <f>'Buildings - Grid Electricity'!W342</f>
        <v/>
      </c>
      <c r="AG840" s="193" t="str">
        <f>'Buildings - Grid Electricity'!X342</f>
        <v/>
      </c>
      <c r="AI840" s="193">
        <f t="shared" si="16"/>
        <v>0</v>
      </c>
      <c r="AJ840" s="193">
        <f t="shared" si="17"/>
        <v>0</v>
      </c>
    </row>
    <row r="841" spans="2:36" x14ac:dyDescent="0.35">
      <c r="B841" s="193" t="e">
        <f>"2024"&amp;MATCH(Totals!D841,OrgType,0)&amp;"_"&amp;MATCH(Totals!E841,Organisations,0)&amp;"_"&amp;LEFT(Totals!F841,1)&amp;"_"&amp;LEFT(G841,1)&amp;"_"&amp;COUNTIF($G$3:G841,G841)</f>
        <v>#N/A</v>
      </c>
      <c r="C841" s="193">
        <v>2025</v>
      </c>
      <c r="D841" s="193">
        <f>Introduction!$D$7</f>
        <v>0</v>
      </c>
      <c r="E841" s="193">
        <f>Introduction!$D$8</f>
        <v>0</v>
      </c>
      <c r="F841" s="193" t="s">
        <v>488</v>
      </c>
      <c r="G841" s="193" t="s">
        <v>171</v>
      </c>
      <c r="H841" s="193">
        <f>'Buildings - Grid Electricity'!B343</f>
        <v>0</v>
      </c>
      <c r="I841" s="193">
        <f>'Buildings - Grid Electricity'!C343</f>
        <v>0</v>
      </c>
      <c r="J841" s="193" t="str">
        <f>'Buildings - Grid Electricity'!D343</f>
        <v/>
      </c>
      <c r="K841" s="237"/>
      <c r="L841" s="237"/>
      <c r="M841" s="193" t="str">
        <f>'Buildings - Grid Electricity'!E343</f>
        <v/>
      </c>
      <c r="N841" s="193" t="str">
        <f>'Buildings - Grid Electricity'!F343</f>
        <v/>
      </c>
      <c r="O841" s="237"/>
      <c r="P841" s="193">
        <f>'Buildings - Grid Electricity'!G343</f>
        <v>0</v>
      </c>
      <c r="Q841" s="193" t="str">
        <f>'Buildings - Grid Electricity'!H343</f>
        <v/>
      </c>
      <c r="R841" s="193">
        <f>'Buildings - Grid Electricity'!I343</f>
        <v>0</v>
      </c>
      <c r="S841" s="193" t="str">
        <f>'Buildings - Grid Electricity'!J343</f>
        <v/>
      </c>
      <c r="T841" s="193" t="str">
        <f>'Buildings - Grid Electricity'!K343</f>
        <v/>
      </c>
      <c r="U841" s="193" t="str">
        <f>'Buildings - Grid Electricity'!L343</f>
        <v/>
      </c>
      <c r="V841" s="193" t="str">
        <f>'Buildings - Grid Electricity'!M343</f>
        <v/>
      </c>
      <c r="W841" s="193" t="str">
        <f>'Buildings - Grid Electricity'!N343</f>
        <v/>
      </c>
      <c r="X841" s="193">
        <f>'Buildings - Grid Electricity'!O343</f>
        <v>0</v>
      </c>
      <c r="Y841" s="193">
        <f>'Buildings - Grid Electricity'!P343</f>
        <v>0</v>
      </c>
      <c r="Z841" s="193" t="str">
        <f>'Buildings - Grid Electricity'!Q343</f>
        <v/>
      </c>
      <c r="AA841" s="193" t="str">
        <f>'Buildings - Grid Electricity'!R343</f>
        <v/>
      </c>
      <c r="AB841" s="193" t="str">
        <f>'Buildings - Grid Electricity'!S343</f>
        <v/>
      </c>
      <c r="AC841" s="193" t="str">
        <f>'Buildings - Grid Electricity'!T343</f>
        <v/>
      </c>
      <c r="AD841" s="193" t="str">
        <f>'Buildings - Grid Electricity'!U343</f>
        <v/>
      </c>
      <c r="AE841" s="193" t="str">
        <f>'Buildings - Grid Electricity'!V343</f>
        <v/>
      </c>
      <c r="AF841" s="193" t="str">
        <f>'Buildings - Grid Electricity'!W343</f>
        <v/>
      </c>
      <c r="AG841" s="193" t="str">
        <f>'Buildings - Grid Electricity'!X343</f>
        <v/>
      </c>
      <c r="AI841" s="193">
        <f t="shared" si="16"/>
        <v>0</v>
      </c>
      <c r="AJ841" s="193">
        <f t="shared" si="17"/>
        <v>0</v>
      </c>
    </row>
    <row r="842" spans="2:36" x14ac:dyDescent="0.35">
      <c r="B842" s="193" t="e">
        <f>"2024"&amp;MATCH(Totals!D842,OrgType,0)&amp;"_"&amp;MATCH(Totals!E842,Organisations,0)&amp;"_"&amp;LEFT(Totals!F842,1)&amp;"_"&amp;LEFT(G842,1)&amp;"_"&amp;COUNTIF($G$3:G842,G842)</f>
        <v>#N/A</v>
      </c>
      <c r="C842" s="193">
        <v>2025</v>
      </c>
      <c r="D842" s="193">
        <f>Introduction!$D$7</f>
        <v>0</v>
      </c>
      <c r="E842" s="193">
        <f>Introduction!$D$8</f>
        <v>0</v>
      </c>
      <c r="F842" s="193" t="s">
        <v>488</v>
      </c>
      <c r="G842" s="193" t="s">
        <v>171</v>
      </c>
      <c r="H842" s="193">
        <f>'Buildings - Grid Electricity'!B344</f>
        <v>0</v>
      </c>
      <c r="I842" s="193">
        <f>'Buildings - Grid Electricity'!C344</f>
        <v>0</v>
      </c>
      <c r="J842" s="193" t="str">
        <f>'Buildings - Grid Electricity'!D344</f>
        <v/>
      </c>
      <c r="K842" s="237"/>
      <c r="L842" s="237"/>
      <c r="M842" s="193" t="str">
        <f>'Buildings - Grid Electricity'!E344</f>
        <v/>
      </c>
      <c r="N842" s="193" t="str">
        <f>'Buildings - Grid Electricity'!F344</f>
        <v/>
      </c>
      <c r="O842" s="237"/>
      <c r="P842" s="193">
        <f>'Buildings - Grid Electricity'!G344</f>
        <v>0</v>
      </c>
      <c r="Q842" s="193" t="str">
        <f>'Buildings - Grid Electricity'!H344</f>
        <v/>
      </c>
      <c r="R842" s="193">
        <f>'Buildings - Grid Electricity'!I344</f>
        <v>0</v>
      </c>
      <c r="S842" s="193" t="str">
        <f>'Buildings - Grid Electricity'!J344</f>
        <v/>
      </c>
      <c r="T842" s="193" t="str">
        <f>'Buildings - Grid Electricity'!K344</f>
        <v/>
      </c>
      <c r="U842" s="193" t="str">
        <f>'Buildings - Grid Electricity'!L344</f>
        <v/>
      </c>
      <c r="V842" s="193" t="str">
        <f>'Buildings - Grid Electricity'!M344</f>
        <v/>
      </c>
      <c r="W842" s="193" t="str">
        <f>'Buildings - Grid Electricity'!N344</f>
        <v/>
      </c>
      <c r="X842" s="193">
        <f>'Buildings - Grid Electricity'!O344</f>
        <v>0</v>
      </c>
      <c r="Y842" s="193">
        <f>'Buildings - Grid Electricity'!P344</f>
        <v>0</v>
      </c>
      <c r="Z842" s="193" t="str">
        <f>'Buildings - Grid Electricity'!Q344</f>
        <v/>
      </c>
      <c r="AA842" s="193" t="str">
        <f>'Buildings - Grid Electricity'!R344</f>
        <v/>
      </c>
      <c r="AB842" s="193" t="str">
        <f>'Buildings - Grid Electricity'!S344</f>
        <v/>
      </c>
      <c r="AC842" s="193" t="str">
        <f>'Buildings - Grid Electricity'!T344</f>
        <v/>
      </c>
      <c r="AD842" s="193" t="str">
        <f>'Buildings - Grid Electricity'!U344</f>
        <v/>
      </c>
      <c r="AE842" s="193" t="str">
        <f>'Buildings - Grid Electricity'!V344</f>
        <v/>
      </c>
      <c r="AF842" s="193" t="str">
        <f>'Buildings - Grid Electricity'!W344</f>
        <v/>
      </c>
      <c r="AG842" s="193" t="str">
        <f>'Buildings - Grid Electricity'!X344</f>
        <v/>
      </c>
      <c r="AI842" s="193">
        <f t="shared" si="16"/>
        <v>0</v>
      </c>
      <c r="AJ842" s="193">
        <f t="shared" si="17"/>
        <v>0</v>
      </c>
    </row>
    <row r="843" spans="2:36" x14ac:dyDescent="0.35">
      <c r="B843" s="193" t="e">
        <f>"2024"&amp;MATCH(Totals!D843,OrgType,0)&amp;"_"&amp;MATCH(Totals!E843,Organisations,0)&amp;"_"&amp;LEFT(Totals!F843,1)&amp;"_"&amp;LEFT(G843,1)&amp;"_"&amp;COUNTIF($G$3:G843,G843)</f>
        <v>#N/A</v>
      </c>
      <c r="C843" s="193">
        <v>2025</v>
      </c>
      <c r="D843" s="193">
        <f>Introduction!$D$7</f>
        <v>0</v>
      </c>
      <c r="E843" s="193">
        <f>Introduction!$D$8</f>
        <v>0</v>
      </c>
      <c r="F843" s="193" t="s">
        <v>488</v>
      </c>
      <c r="G843" s="193" t="s">
        <v>171</v>
      </c>
      <c r="H843" s="193">
        <f>'Buildings - Grid Electricity'!B345</f>
        <v>0</v>
      </c>
      <c r="I843" s="193">
        <f>'Buildings - Grid Electricity'!C345</f>
        <v>0</v>
      </c>
      <c r="J843" s="193" t="str">
        <f>'Buildings - Grid Electricity'!D345</f>
        <v/>
      </c>
      <c r="K843" s="237"/>
      <c r="L843" s="237"/>
      <c r="M843" s="193" t="str">
        <f>'Buildings - Grid Electricity'!E345</f>
        <v/>
      </c>
      <c r="N843" s="193" t="str">
        <f>'Buildings - Grid Electricity'!F345</f>
        <v/>
      </c>
      <c r="O843" s="237"/>
      <c r="P843" s="193">
        <f>'Buildings - Grid Electricity'!G345</f>
        <v>0</v>
      </c>
      <c r="Q843" s="193" t="str">
        <f>'Buildings - Grid Electricity'!H345</f>
        <v/>
      </c>
      <c r="R843" s="193">
        <f>'Buildings - Grid Electricity'!I345</f>
        <v>0</v>
      </c>
      <c r="S843" s="193" t="str">
        <f>'Buildings - Grid Electricity'!J345</f>
        <v/>
      </c>
      <c r="T843" s="193" t="str">
        <f>'Buildings - Grid Electricity'!K345</f>
        <v/>
      </c>
      <c r="U843" s="193" t="str">
        <f>'Buildings - Grid Electricity'!L345</f>
        <v/>
      </c>
      <c r="V843" s="193" t="str">
        <f>'Buildings - Grid Electricity'!M345</f>
        <v/>
      </c>
      <c r="W843" s="193" t="str">
        <f>'Buildings - Grid Electricity'!N345</f>
        <v/>
      </c>
      <c r="X843" s="193">
        <f>'Buildings - Grid Electricity'!O345</f>
        <v>0</v>
      </c>
      <c r="Y843" s="193">
        <f>'Buildings - Grid Electricity'!P345</f>
        <v>0</v>
      </c>
      <c r="Z843" s="193" t="str">
        <f>'Buildings - Grid Electricity'!Q345</f>
        <v/>
      </c>
      <c r="AA843" s="193" t="str">
        <f>'Buildings - Grid Electricity'!R345</f>
        <v/>
      </c>
      <c r="AB843" s="193" t="str">
        <f>'Buildings - Grid Electricity'!S345</f>
        <v/>
      </c>
      <c r="AC843" s="193" t="str">
        <f>'Buildings - Grid Electricity'!T345</f>
        <v/>
      </c>
      <c r="AD843" s="193" t="str">
        <f>'Buildings - Grid Electricity'!U345</f>
        <v/>
      </c>
      <c r="AE843" s="193" t="str">
        <f>'Buildings - Grid Electricity'!V345</f>
        <v/>
      </c>
      <c r="AF843" s="193" t="str">
        <f>'Buildings - Grid Electricity'!W345</f>
        <v/>
      </c>
      <c r="AG843" s="193" t="str">
        <f>'Buildings - Grid Electricity'!X345</f>
        <v/>
      </c>
      <c r="AI843" s="193">
        <f t="shared" si="16"/>
        <v>0</v>
      </c>
      <c r="AJ843" s="193">
        <f t="shared" si="17"/>
        <v>0</v>
      </c>
    </row>
    <row r="844" spans="2:36" x14ac:dyDescent="0.35">
      <c r="B844" s="193" t="e">
        <f>"2024"&amp;MATCH(Totals!D844,OrgType,0)&amp;"_"&amp;MATCH(Totals!E844,Organisations,0)&amp;"_"&amp;LEFT(Totals!F844,1)&amp;"_"&amp;LEFT(G844,1)&amp;"_"&amp;COUNTIF($G$3:G844,G844)</f>
        <v>#N/A</v>
      </c>
      <c r="C844" s="193">
        <v>2025</v>
      </c>
      <c r="D844" s="193">
        <f>Introduction!$D$7</f>
        <v>0</v>
      </c>
      <c r="E844" s="193">
        <f>Introduction!$D$8</f>
        <v>0</v>
      </c>
      <c r="F844" s="193" t="s">
        <v>488</v>
      </c>
      <c r="G844" s="193" t="s">
        <v>171</v>
      </c>
      <c r="H844" s="193">
        <f>'Buildings - Grid Electricity'!B346</f>
        <v>0</v>
      </c>
      <c r="I844" s="193">
        <f>'Buildings - Grid Electricity'!C346</f>
        <v>0</v>
      </c>
      <c r="J844" s="193" t="str">
        <f>'Buildings - Grid Electricity'!D346</f>
        <v/>
      </c>
      <c r="K844" s="237"/>
      <c r="L844" s="237"/>
      <c r="M844" s="193" t="str">
        <f>'Buildings - Grid Electricity'!E346</f>
        <v/>
      </c>
      <c r="N844" s="193" t="str">
        <f>'Buildings - Grid Electricity'!F346</f>
        <v/>
      </c>
      <c r="O844" s="237"/>
      <c r="P844" s="193">
        <f>'Buildings - Grid Electricity'!G346</f>
        <v>0</v>
      </c>
      <c r="Q844" s="193" t="str">
        <f>'Buildings - Grid Electricity'!H346</f>
        <v/>
      </c>
      <c r="R844" s="193">
        <f>'Buildings - Grid Electricity'!I346</f>
        <v>0</v>
      </c>
      <c r="S844" s="193" t="str">
        <f>'Buildings - Grid Electricity'!J346</f>
        <v/>
      </c>
      <c r="T844" s="193" t="str">
        <f>'Buildings - Grid Electricity'!K346</f>
        <v/>
      </c>
      <c r="U844" s="193" t="str">
        <f>'Buildings - Grid Electricity'!L346</f>
        <v/>
      </c>
      <c r="V844" s="193" t="str">
        <f>'Buildings - Grid Electricity'!M346</f>
        <v/>
      </c>
      <c r="W844" s="193" t="str">
        <f>'Buildings - Grid Electricity'!N346</f>
        <v/>
      </c>
      <c r="X844" s="193">
        <f>'Buildings - Grid Electricity'!O346</f>
        <v>0</v>
      </c>
      <c r="Y844" s="193">
        <f>'Buildings - Grid Electricity'!P346</f>
        <v>0</v>
      </c>
      <c r="Z844" s="193" t="str">
        <f>'Buildings - Grid Electricity'!Q346</f>
        <v/>
      </c>
      <c r="AA844" s="193" t="str">
        <f>'Buildings - Grid Electricity'!R346</f>
        <v/>
      </c>
      <c r="AB844" s="193" t="str">
        <f>'Buildings - Grid Electricity'!S346</f>
        <v/>
      </c>
      <c r="AC844" s="193" t="str">
        <f>'Buildings - Grid Electricity'!T346</f>
        <v/>
      </c>
      <c r="AD844" s="193" t="str">
        <f>'Buildings - Grid Electricity'!U346</f>
        <v/>
      </c>
      <c r="AE844" s="193" t="str">
        <f>'Buildings - Grid Electricity'!V346</f>
        <v/>
      </c>
      <c r="AF844" s="193" t="str">
        <f>'Buildings - Grid Electricity'!W346</f>
        <v/>
      </c>
      <c r="AG844" s="193" t="str">
        <f>'Buildings - Grid Electricity'!X346</f>
        <v/>
      </c>
      <c r="AI844" s="193">
        <f t="shared" si="16"/>
        <v>0</v>
      </c>
      <c r="AJ844" s="193">
        <f t="shared" si="17"/>
        <v>0</v>
      </c>
    </row>
    <row r="845" spans="2:36" x14ac:dyDescent="0.35">
      <c r="B845" s="193" t="e">
        <f>"2024"&amp;MATCH(Totals!D845,OrgType,0)&amp;"_"&amp;MATCH(Totals!E845,Organisations,0)&amp;"_"&amp;LEFT(Totals!F845,1)&amp;"_"&amp;LEFT(G845,1)&amp;"_"&amp;COUNTIF($G$3:G845,G845)</f>
        <v>#N/A</v>
      </c>
      <c r="C845" s="193">
        <v>2025</v>
      </c>
      <c r="D845" s="193">
        <f>Introduction!$D$7</f>
        <v>0</v>
      </c>
      <c r="E845" s="193">
        <f>Introduction!$D$8</f>
        <v>0</v>
      </c>
      <c r="F845" s="193" t="s">
        <v>488</v>
      </c>
      <c r="G845" s="193" t="s">
        <v>171</v>
      </c>
      <c r="H845" s="193">
        <f>'Buildings - Grid Electricity'!B347</f>
        <v>0</v>
      </c>
      <c r="I845" s="193">
        <f>'Buildings - Grid Electricity'!C347</f>
        <v>0</v>
      </c>
      <c r="J845" s="193" t="str">
        <f>'Buildings - Grid Electricity'!D347</f>
        <v/>
      </c>
      <c r="K845" s="237"/>
      <c r="L845" s="237"/>
      <c r="M845" s="193" t="str">
        <f>'Buildings - Grid Electricity'!E347</f>
        <v/>
      </c>
      <c r="N845" s="193" t="str">
        <f>'Buildings - Grid Electricity'!F347</f>
        <v/>
      </c>
      <c r="O845" s="237"/>
      <c r="P845" s="193">
        <f>'Buildings - Grid Electricity'!G347</f>
        <v>0</v>
      </c>
      <c r="Q845" s="193" t="str">
        <f>'Buildings - Grid Electricity'!H347</f>
        <v/>
      </c>
      <c r="R845" s="193">
        <f>'Buildings - Grid Electricity'!I347</f>
        <v>0</v>
      </c>
      <c r="S845" s="193" t="str">
        <f>'Buildings - Grid Electricity'!J347</f>
        <v/>
      </c>
      <c r="T845" s="193" t="str">
        <f>'Buildings - Grid Electricity'!K347</f>
        <v/>
      </c>
      <c r="U845" s="193" t="str">
        <f>'Buildings - Grid Electricity'!L347</f>
        <v/>
      </c>
      <c r="V845" s="193" t="str">
        <f>'Buildings - Grid Electricity'!M347</f>
        <v/>
      </c>
      <c r="W845" s="193" t="str">
        <f>'Buildings - Grid Electricity'!N347</f>
        <v/>
      </c>
      <c r="X845" s="193">
        <f>'Buildings - Grid Electricity'!O347</f>
        <v>0</v>
      </c>
      <c r="Y845" s="193">
        <f>'Buildings - Grid Electricity'!P347</f>
        <v>0</v>
      </c>
      <c r="Z845" s="193" t="str">
        <f>'Buildings - Grid Electricity'!Q347</f>
        <v/>
      </c>
      <c r="AA845" s="193" t="str">
        <f>'Buildings - Grid Electricity'!R347</f>
        <v/>
      </c>
      <c r="AB845" s="193" t="str">
        <f>'Buildings - Grid Electricity'!S347</f>
        <v/>
      </c>
      <c r="AC845" s="193" t="str">
        <f>'Buildings - Grid Electricity'!T347</f>
        <v/>
      </c>
      <c r="AD845" s="193" t="str">
        <f>'Buildings - Grid Electricity'!U347</f>
        <v/>
      </c>
      <c r="AE845" s="193" t="str">
        <f>'Buildings - Grid Electricity'!V347</f>
        <v/>
      </c>
      <c r="AF845" s="193" t="str">
        <f>'Buildings - Grid Electricity'!W347</f>
        <v/>
      </c>
      <c r="AG845" s="193" t="str">
        <f>'Buildings - Grid Electricity'!X347</f>
        <v/>
      </c>
      <c r="AI845" s="193">
        <f t="shared" si="16"/>
        <v>0</v>
      </c>
      <c r="AJ845" s="193">
        <f t="shared" si="17"/>
        <v>0</v>
      </c>
    </row>
    <row r="846" spans="2:36" x14ac:dyDescent="0.35">
      <c r="B846" s="193" t="e">
        <f>"2024"&amp;MATCH(Totals!D846,OrgType,0)&amp;"_"&amp;MATCH(Totals!E846,Organisations,0)&amp;"_"&amp;LEFT(Totals!F846,1)&amp;"_"&amp;LEFT(G846,1)&amp;"_"&amp;COUNTIF($G$3:G846,G846)</f>
        <v>#N/A</v>
      </c>
      <c r="C846" s="193">
        <v>2025</v>
      </c>
      <c r="D846" s="193">
        <f>Introduction!$D$7</f>
        <v>0</v>
      </c>
      <c r="E846" s="193">
        <f>Introduction!$D$8</f>
        <v>0</v>
      </c>
      <c r="F846" s="193" t="s">
        <v>488</v>
      </c>
      <c r="G846" s="193" t="s">
        <v>171</v>
      </c>
      <c r="H846" s="193">
        <f>'Buildings - Grid Electricity'!B348</f>
        <v>0</v>
      </c>
      <c r="I846" s="193">
        <f>'Buildings - Grid Electricity'!C348</f>
        <v>0</v>
      </c>
      <c r="J846" s="193" t="str">
        <f>'Buildings - Grid Electricity'!D348</f>
        <v/>
      </c>
      <c r="K846" s="237"/>
      <c r="L846" s="237"/>
      <c r="M846" s="193" t="str">
        <f>'Buildings - Grid Electricity'!E348</f>
        <v/>
      </c>
      <c r="N846" s="193" t="str">
        <f>'Buildings - Grid Electricity'!F348</f>
        <v/>
      </c>
      <c r="O846" s="237"/>
      <c r="P846" s="193">
        <f>'Buildings - Grid Electricity'!G348</f>
        <v>0</v>
      </c>
      <c r="Q846" s="193" t="str">
        <f>'Buildings - Grid Electricity'!H348</f>
        <v/>
      </c>
      <c r="R846" s="193">
        <f>'Buildings - Grid Electricity'!I348</f>
        <v>0</v>
      </c>
      <c r="S846" s="193" t="str">
        <f>'Buildings - Grid Electricity'!J348</f>
        <v/>
      </c>
      <c r="T846" s="193" t="str">
        <f>'Buildings - Grid Electricity'!K348</f>
        <v/>
      </c>
      <c r="U846" s="193" t="str">
        <f>'Buildings - Grid Electricity'!L348</f>
        <v/>
      </c>
      <c r="V846" s="193" t="str">
        <f>'Buildings - Grid Electricity'!M348</f>
        <v/>
      </c>
      <c r="W846" s="193" t="str">
        <f>'Buildings - Grid Electricity'!N348</f>
        <v/>
      </c>
      <c r="X846" s="193">
        <f>'Buildings - Grid Electricity'!O348</f>
        <v>0</v>
      </c>
      <c r="Y846" s="193">
        <f>'Buildings - Grid Electricity'!P348</f>
        <v>0</v>
      </c>
      <c r="Z846" s="193" t="str">
        <f>'Buildings - Grid Electricity'!Q348</f>
        <v/>
      </c>
      <c r="AA846" s="193" t="str">
        <f>'Buildings - Grid Electricity'!R348</f>
        <v/>
      </c>
      <c r="AB846" s="193" t="str">
        <f>'Buildings - Grid Electricity'!S348</f>
        <v/>
      </c>
      <c r="AC846" s="193" t="str">
        <f>'Buildings - Grid Electricity'!T348</f>
        <v/>
      </c>
      <c r="AD846" s="193" t="str">
        <f>'Buildings - Grid Electricity'!U348</f>
        <v/>
      </c>
      <c r="AE846" s="193" t="str">
        <f>'Buildings - Grid Electricity'!V348</f>
        <v/>
      </c>
      <c r="AF846" s="193" t="str">
        <f>'Buildings - Grid Electricity'!W348</f>
        <v/>
      </c>
      <c r="AG846" s="193" t="str">
        <f>'Buildings - Grid Electricity'!X348</f>
        <v/>
      </c>
      <c r="AI846" s="193">
        <f t="shared" si="16"/>
        <v>0</v>
      </c>
      <c r="AJ846" s="193">
        <f t="shared" si="17"/>
        <v>0</v>
      </c>
    </row>
    <row r="847" spans="2:36" x14ac:dyDescent="0.35">
      <c r="B847" s="193" t="e">
        <f>"2024"&amp;MATCH(Totals!D847,OrgType,0)&amp;"_"&amp;MATCH(Totals!E847,Organisations,0)&amp;"_"&amp;LEFT(Totals!F847,1)&amp;"_"&amp;LEFT(G847,1)&amp;"_"&amp;COUNTIF($G$3:G847,G847)</f>
        <v>#N/A</v>
      </c>
      <c r="C847" s="193">
        <v>2025</v>
      </c>
      <c r="D847" s="193">
        <f>Introduction!$D$7</f>
        <v>0</v>
      </c>
      <c r="E847" s="193">
        <f>Introduction!$D$8</f>
        <v>0</v>
      </c>
      <c r="F847" s="193" t="s">
        <v>488</v>
      </c>
      <c r="G847" s="193" t="s">
        <v>171</v>
      </c>
      <c r="H847" s="193">
        <f>'Buildings - Grid Electricity'!B349</f>
        <v>0</v>
      </c>
      <c r="I847" s="193">
        <f>'Buildings - Grid Electricity'!C349</f>
        <v>0</v>
      </c>
      <c r="J847" s="193" t="str">
        <f>'Buildings - Grid Electricity'!D349</f>
        <v/>
      </c>
      <c r="K847" s="237"/>
      <c r="L847" s="237"/>
      <c r="M847" s="193" t="str">
        <f>'Buildings - Grid Electricity'!E349</f>
        <v/>
      </c>
      <c r="N847" s="193" t="str">
        <f>'Buildings - Grid Electricity'!F349</f>
        <v/>
      </c>
      <c r="O847" s="237"/>
      <c r="P847" s="193">
        <f>'Buildings - Grid Electricity'!G349</f>
        <v>0</v>
      </c>
      <c r="Q847" s="193" t="str">
        <f>'Buildings - Grid Electricity'!H349</f>
        <v/>
      </c>
      <c r="R847" s="193">
        <f>'Buildings - Grid Electricity'!I349</f>
        <v>0</v>
      </c>
      <c r="S847" s="193" t="str">
        <f>'Buildings - Grid Electricity'!J349</f>
        <v/>
      </c>
      <c r="T847" s="193" t="str">
        <f>'Buildings - Grid Electricity'!K349</f>
        <v/>
      </c>
      <c r="U847" s="193" t="str">
        <f>'Buildings - Grid Electricity'!L349</f>
        <v/>
      </c>
      <c r="V847" s="193" t="str">
        <f>'Buildings - Grid Electricity'!M349</f>
        <v/>
      </c>
      <c r="W847" s="193" t="str">
        <f>'Buildings - Grid Electricity'!N349</f>
        <v/>
      </c>
      <c r="X847" s="193">
        <f>'Buildings - Grid Electricity'!O349</f>
        <v>0</v>
      </c>
      <c r="Y847" s="193">
        <f>'Buildings - Grid Electricity'!P349</f>
        <v>0</v>
      </c>
      <c r="Z847" s="193" t="str">
        <f>'Buildings - Grid Electricity'!Q349</f>
        <v/>
      </c>
      <c r="AA847" s="193" t="str">
        <f>'Buildings - Grid Electricity'!R349</f>
        <v/>
      </c>
      <c r="AB847" s="193" t="str">
        <f>'Buildings - Grid Electricity'!S349</f>
        <v/>
      </c>
      <c r="AC847" s="193" t="str">
        <f>'Buildings - Grid Electricity'!T349</f>
        <v/>
      </c>
      <c r="AD847" s="193" t="str">
        <f>'Buildings - Grid Electricity'!U349</f>
        <v/>
      </c>
      <c r="AE847" s="193" t="str">
        <f>'Buildings - Grid Electricity'!V349</f>
        <v/>
      </c>
      <c r="AF847" s="193" t="str">
        <f>'Buildings - Grid Electricity'!W349</f>
        <v/>
      </c>
      <c r="AG847" s="193" t="str">
        <f>'Buildings - Grid Electricity'!X349</f>
        <v/>
      </c>
      <c r="AI847" s="193">
        <f t="shared" si="16"/>
        <v>0</v>
      </c>
      <c r="AJ847" s="193">
        <f t="shared" si="17"/>
        <v>0</v>
      </c>
    </row>
    <row r="848" spans="2:36" x14ac:dyDescent="0.35">
      <c r="B848" s="193" t="e">
        <f>"2024"&amp;MATCH(Totals!D848,OrgType,0)&amp;"_"&amp;MATCH(Totals!E848,Organisations,0)&amp;"_"&amp;LEFT(Totals!F848,1)&amp;"_"&amp;LEFT(G848,1)&amp;"_"&amp;COUNTIF($G$3:G848,G848)</f>
        <v>#N/A</v>
      </c>
      <c r="C848" s="193">
        <v>2025</v>
      </c>
      <c r="D848" s="193">
        <f>Introduction!$D$7</f>
        <v>0</v>
      </c>
      <c r="E848" s="193">
        <f>Introduction!$D$8</f>
        <v>0</v>
      </c>
      <c r="F848" s="193" t="s">
        <v>488</v>
      </c>
      <c r="G848" s="193" t="s">
        <v>171</v>
      </c>
      <c r="H848" s="193">
        <f>'Buildings - Grid Electricity'!B350</f>
        <v>0</v>
      </c>
      <c r="I848" s="193">
        <f>'Buildings - Grid Electricity'!C350</f>
        <v>0</v>
      </c>
      <c r="J848" s="193" t="str">
        <f>'Buildings - Grid Electricity'!D350</f>
        <v/>
      </c>
      <c r="K848" s="237"/>
      <c r="L848" s="237"/>
      <c r="M848" s="193" t="str">
        <f>'Buildings - Grid Electricity'!E350</f>
        <v/>
      </c>
      <c r="N848" s="193" t="str">
        <f>'Buildings - Grid Electricity'!F350</f>
        <v/>
      </c>
      <c r="O848" s="237"/>
      <c r="P848" s="193">
        <f>'Buildings - Grid Electricity'!G350</f>
        <v>0</v>
      </c>
      <c r="Q848" s="193" t="str">
        <f>'Buildings - Grid Electricity'!H350</f>
        <v/>
      </c>
      <c r="R848" s="193">
        <f>'Buildings - Grid Electricity'!I350</f>
        <v>0</v>
      </c>
      <c r="S848" s="193" t="str">
        <f>'Buildings - Grid Electricity'!J350</f>
        <v/>
      </c>
      <c r="T848" s="193" t="str">
        <f>'Buildings - Grid Electricity'!K350</f>
        <v/>
      </c>
      <c r="U848" s="193" t="str">
        <f>'Buildings - Grid Electricity'!L350</f>
        <v/>
      </c>
      <c r="V848" s="193" t="str">
        <f>'Buildings - Grid Electricity'!M350</f>
        <v/>
      </c>
      <c r="W848" s="193" t="str">
        <f>'Buildings - Grid Electricity'!N350</f>
        <v/>
      </c>
      <c r="X848" s="193">
        <f>'Buildings - Grid Electricity'!O350</f>
        <v>0</v>
      </c>
      <c r="Y848" s="193">
        <f>'Buildings - Grid Electricity'!P350</f>
        <v>0</v>
      </c>
      <c r="Z848" s="193" t="str">
        <f>'Buildings - Grid Electricity'!Q350</f>
        <v/>
      </c>
      <c r="AA848" s="193" t="str">
        <f>'Buildings - Grid Electricity'!R350</f>
        <v/>
      </c>
      <c r="AB848" s="193" t="str">
        <f>'Buildings - Grid Electricity'!S350</f>
        <v/>
      </c>
      <c r="AC848" s="193" t="str">
        <f>'Buildings - Grid Electricity'!T350</f>
        <v/>
      </c>
      <c r="AD848" s="193" t="str">
        <f>'Buildings - Grid Electricity'!U350</f>
        <v/>
      </c>
      <c r="AE848" s="193" t="str">
        <f>'Buildings - Grid Electricity'!V350</f>
        <v/>
      </c>
      <c r="AF848" s="193" t="str">
        <f>'Buildings - Grid Electricity'!W350</f>
        <v/>
      </c>
      <c r="AG848" s="193" t="str">
        <f>'Buildings - Grid Electricity'!X350</f>
        <v/>
      </c>
      <c r="AI848" s="193">
        <f t="shared" si="16"/>
        <v>0</v>
      </c>
      <c r="AJ848" s="193">
        <f t="shared" si="17"/>
        <v>0</v>
      </c>
    </row>
    <row r="849" spans="2:36" x14ac:dyDescent="0.35">
      <c r="B849" s="193" t="e">
        <f>"2024"&amp;MATCH(Totals!D849,OrgType,0)&amp;"_"&amp;MATCH(Totals!E849,Organisations,0)&amp;"_"&amp;LEFT(Totals!F849,1)&amp;"_"&amp;LEFT(G849,1)&amp;"_"&amp;COUNTIF($G$3:G849,G849)</f>
        <v>#N/A</v>
      </c>
      <c r="C849" s="193">
        <v>2025</v>
      </c>
      <c r="D849" s="193">
        <f>Introduction!$D$7</f>
        <v>0</v>
      </c>
      <c r="E849" s="193">
        <f>Introduction!$D$8</f>
        <v>0</v>
      </c>
      <c r="F849" s="193" t="s">
        <v>488</v>
      </c>
      <c r="G849" s="193" t="s">
        <v>171</v>
      </c>
      <c r="H849" s="193">
        <f>'Buildings - Grid Electricity'!B351</f>
        <v>0</v>
      </c>
      <c r="I849" s="193">
        <f>'Buildings - Grid Electricity'!C351</f>
        <v>0</v>
      </c>
      <c r="J849" s="193" t="str">
        <f>'Buildings - Grid Electricity'!D351</f>
        <v/>
      </c>
      <c r="K849" s="237"/>
      <c r="L849" s="237"/>
      <c r="M849" s="193" t="str">
        <f>'Buildings - Grid Electricity'!E351</f>
        <v/>
      </c>
      <c r="N849" s="193" t="str">
        <f>'Buildings - Grid Electricity'!F351</f>
        <v/>
      </c>
      <c r="O849" s="237"/>
      <c r="P849" s="193">
        <f>'Buildings - Grid Electricity'!G351</f>
        <v>0</v>
      </c>
      <c r="Q849" s="193" t="str">
        <f>'Buildings - Grid Electricity'!H351</f>
        <v/>
      </c>
      <c r="R849" s="193">
        <f>'Buildings - Grid Electricity'!I351</f>
        <v>0</v>
      </c>
      <c r="S849" s="193" t="str">
        <f>'Buildings - Grid Electricity'!J351</f>
        <v/>
      </c>
      <c r="T849" s="193" t="str">
        <f>'Buildings - Grid Electricity'!K351</f>
        <v/>
      </c>
      <c r="U849" s="193" t="str">
        <f>'Buildings - Grid Electricity'!L351</f>
        <v/>
      </c>
      <c r="V849" s="193" t="str">
        <f>'Buildings - Grid Electricity'!M351</f>
        <v/>
      </c>
      <c r="W849" s="193" t="str">
        <f>'Buildings - Grid Electricity'!N351</f>
        <v/>
      </c>
      <c r="X849" s="193">
        <f>'Buildings - Grid Electricity'!O351</f>
        <v>0</v>
      </c>
      <c r="Y849" s="193">
        <f>'Buildings - Grid Electricity'!P351</f>
        <v>0</v>
      </c>
      <c r="Z849" s="193" t="str">
        <f>'Buildings - Grid Electricity'!Q351</f>
        <v/>
      </c>
      <c r="AA849" s="193" t="str">
        <f>'Buildings - Grid Electricity'!R351</f>
        <v/>
      </c>
      <c r="AB849" s="193" t="str">
        <f>'Buildings - Grid Electricity'!S351</f>
        <v/>
      </c>
      <c r="AC849" s="193" t="str">
        <f>'Buildings - Grid Electricity'!T351</f>
        <v/>
      </c>
      <c r="AD849" s="193" t="str">
        <f>'Buildings - Grid Electricity'!U351</f>
        <v/>
      </c>
      <c r="AE849" s="193" t="str">
        <f>'Buildings - Grid Electricity'!V351</f>
        <v/>
      </c>
      <c r="AF849" s="193" t="str">
        <f>'Buildings - Grid Electricity'!W351</f>
        <v/>
      </c>
      <c r="AG849" s="193" t="str">
        <f>'Buildings - Grid Electricity'!X351</f>
        <v/>
      </c>
      <c r="AI849" s="193">
        <f t="shared" si="16"/>
        <v>0</v>
      </c>
      <c r="AJ849" s="193">
        <f t="shared" si="17"/>
        <v>0</v>
      </c>
    </row>
    <row r="850" spans="2:36" x14ac:dyDescent="0.35">
      <c r="B850" s="193" t="e">
        <f>"2024"&amp;MATCH(Totals!D850,OrgType,0)&amp;"_"&amp;MATCH(Totals!E850,Organisations,0)&amp;"_"&amp;LEFT(Totals!F850,1)&amp;"_"&amp;LEFT(G850,1)&amp;"_"&amp;COUNTIF($G$3:G850,G850)</f>
        <v>#N/A</v>
      </c>
      <c r="C850" s="193">
        <v>2025</v>
      </c>
      <c r="D850" s="193">
        <f>Introduction!$D$7</f>
        <v>0</v>
      </c>
      <c r="E850" s="193">
        <f>Introduction!$D$8</f>
        <v>0</v>
      </c>
      <c r="F850" s="193" t="s">
        <v>488</v>
      </c>
      <c r="G850" s="193" t="s">
        <v>171</v>
      </c>
      <c r="H850" s="193">
        <f>'Buildings - Grid Electricity'!B352</f>
        <v>0</v>
      </c>
      <c r="I850" s="193">
        <f>'Buildings - Grid Electricity'!C352</f>
        <v>0</v>
      </c>
      <c r="J850" s="193" t="str">
        <f>'Buildings - Grid Electricity'!D352</f>
        <v/>
      </c>
      <c r="K850" s="237"/>
      <c r="L850" s="237"/>
      <c r="M850" s="193" t="str">
        <f>'Buildings - Grid Electricity'!E352</f>
        <v/>
      </c>
      <c r="N850" s="193" t="str">
        <f>'Buildings - Grid Electricity'!F352</f>
        <v/>
      </c>
      <c r="O850" s="237"/>
      <c r="P850" s="193">
        <f>'Buildings - Grid Electricity'!G352</f>
        <v>0</v>
      </c>
      <c r="Q850" s="193" t="str">
        <f>'Buildings - Grid Electricity'!H352</f>
        <v/>
      </c>
      <c r="R850" s="193">
        <f>'Buildings - Grid Electricity'!I352</f>
        <v>0</v>
      </c>
      <c r="S850" s="193" t="str">
        <f>'Buildings - Grid Electricity'!J352</f>
        <v/>
      </c>
      <c r="T850" s="193" t="str">
        <f>'Buildings - Grid Electricity'!K352</f>
        <v/>
      </c>
      <c r="U850" s="193" t="str">
        <f>'Buildings - Grid Electricity'!L352</f>
        <v/>
      </c>
      <c r="V850" s="193" t="str">
        <f>'Buildings - Grid Electricity'!M352</f>
        <v/>
      </c>
      <c r="W850" s="193" t="str">
        <f>'Buildings - Grid Electricity'!N352</f>
        <v/>
      </c>
      <c r="X850" s="193">
        <f>'Buildings - Grid Electricity'!O352</f>
        <v>0</v>
      </c>
      <c r="Y850" s="193">
        <f>'Buildings - Grid Electricity'!P352</f>
        <v>0</v>
      </c>
      <c r="Z850" s="193" t="str">
        <f>'Buildings - Grid Electricity'!Q352</f>
        <v/>
      </c>
      <c r="AA850" s="193" t="str">
        <f>'Buildings - Grid Electricity'!R352</f>
        <v/>
      </c>
      <c r="AB850" s="193" t="str">
        <f>'Buildings - Grid Electricity'!S352</f>
        <v/>
      </c>
      <c r="AC850" s="193" t="str">
        <f>'Buildings - Grid Electricity'!T352</f>
        <v/>
      </c>
      <c r="AD850" s="193" t="str">
        <f>'Buildings - Grid Electricity'!U352</f>
        <v/>
      </c>
      <c r="AE850" s="193" t="str">
        <f>'Buildings - Grid Electricity'!V352</f>
        <v/>
      </c>
      <c r="AF850" s="193" t="str">
        <f>'Buildings - Grid Electricity'!W352</f>
        <v/>
      </c>
      <c r="AG850" s="193" t="str">
        <f>'Buildings - Grid Electricity'!X352</f>
        <v/>
      </c>
      <c r="AI850" s="193">
        <f t="shared" si="16"/>
        <v>0</v>
      </c>
      <c r="AJ850" s="193">
        <f t="shared" si="17"/>
        <v>0</v>
      </c>
    </row>
    <row r="851" spans="2:36" x14ac:dyDescent="0.35">
      <c r="B851" s="193" t="e">
        <f>"2024"&amp;MATCH(Totals!D851,OrgType,0)&amp;"_"&amp;MATCH(Totals!E851,Organisations,0)&amp;"_"&amp;LEFT(Totals!F851,1)&amp;"_"&amp;LEFT(G851,1)&amp;"_"&amp;COUNTIF($G$3:G851,G851)</f>
        <v>#N/A</v>
      </c>
      <c r="C851" s="193">
        <v>2025</v>
      </c>
      <c r="D851" s="193">
        <f>Introduction!$D$7</f>
        <v>0</v>
      </c>
      <c r="E851" s="193">
        <f>Introduction!$D$8</f>
        <v>0</v>
      </c>
      <c r="F851" s="193" t="s">
        <v>488</v>
      </c>
      <c r="G851" s="193" t="s">
        <v>171</v>
      </c>
      <c r="H851" s="193">
        <f>'Buildings - Grid Electricity'!B353</f>
        <v>0</v>
      </c>
      <c r="I851" s="193">
        <f>'Buildings - Grid Electricity'!C353</f>
        <v>0</v>
      </c>
      <c r="J851" s="193" t="str">
        <f>'Buildings - Grid Electricity'!D353</f>
        <v/>
      </c>
      <c r="K851" s="237"/>
      <c r="L851" s="237"/>
      <c r="M851" s="193" t="str">
        <f>'Buildings - Grid Electricity'!E353</f>
        <v/>
      </c>
      <c r="N851" s="193" t="str">
        <f>'Buildings - Grid Electricity'!F353</f>
        <v/>
      </c>
      <c r="O851" s="237"/>
      <c r="P851" s="193">
        <f>'Buildings - Grid Electricity'!G353</f>
        <v>0</v>
      </c>
      <c r="Q851" s="193" t="str">
        <f>'Buildings - Grid Electricity'!H353</f>
        <v/>
      </c>
      <c r="R851" s="193">
        <f>'Buildings - Grid Electricity'!I353</f>
        <v>0</v>
      </c>
      <c r="S851" s="193" t="str">
        <f>'Buildings - Grid Electricity'!J353</f>
        <v/>
      </c>
      <c r="T851" s="193" t="str">
        <f>'Buildings - Grid Electricity'!K353</f>
        <v/>
      </c>
      <c r="U851" s="193" t="str">
        <f>'Buildings - Grid Electricity'!L353</f>
        <v/>
      </c>
      <c r="V851" s="193" t="str">
        <f>'Buildings - Grid Electricity'!M353</f>
        <v/>
      </c>
      <c r="W851" s="193" t="str">
        <f>'Buildings - Grid Electricity'!N353</f>
        <v/>
      </c>
      <c r="X851" s="193">
        <f>'Buildings - Grid Electricity'!O353</f>
        <v>0</v>
      </c>
      <c r="Y851" s="193">
        <f>'Buildings - Grid Electricity'!P353</f>
        <v>0</v>
      </c>
      <c r="Z851" s="193" t="str">
        <f>'Buildings - Grid Electricity'!Q353</f>
        <v/>
      </c>
      <c r="AA851" s="193" t="str">
        <f>'Buildings - Grid Electricity'!R353</f>
        <v/>
      </c>
      <c r="AB851" s="193" t="str">
        <f>'Buildings - Grid Electricity'!S353</f>
        <v/>
      </c>
      <c r="AC851" s="193" t="str">
        <f>'Buildings - Grid Electricity'!T353</f>
        <v/>
      </c>
      <c r="AD851" s="193" t="str">
        <f>'Buildings - Grid Electricity'!U353</f>
        <v/>
      </c>
      <c r="AE851" s="193" t="str">
        <f>'Buildings - Grid Electricity'!V353</f>
        <v/>
      </c>
      <c r="AF851" s="193" t="str">
        <f>'Buildings - Grid Electricity'!W353</f>
        <v/>
      </c>
      <c r="AG851" s="193" t="str">
        <f>'Buildings - Grid Electricity'!X353</f>
        <v/>
      </c>
      <c r="AI851" s="193">
        <f t="shared" si="16"/>
        <v>0</v>
      </c>
      <c r="AJ851" s="193">
        <f t="shared" si="17"/>
        <v>0</v>
      </c>
    </row>
    <row r="852" spans="2:36" x14ac:dyDescent="0.35">
      <c r="B852" s="193" t="e">
        <f>"2024"&amp;MATCH(Totals!D852,OrgType,0)&amp;"_"&amp;MATCH(Totals!E852,Organisations,0)&amp;"_"&amp;LEFT(Totals!F852,1)&amp;"_"&amp;LEFT(G852,1)&amp;"_"&amp;COUNTIF($G$3:G852,G852)</f>
        <v>#N/A</v>
      </c>
      <c r="C852" s="193">
        <v>2025</v>
      </c>
      <c r="D852" s="193">
        <f>Introduction!$D$7</f>
        <v>0</v>
      </c>
      <c r="E852" s="193">
        <f>Introduction!$D$8</f>
        <v>0</v>
      </c>
      <c r="F852" s="193" t="s">
        <v>488</v>
      </c>
      <c r="G852" s="193" t="s">
        <v>171</v>
      </c>
      <c r="H852" s="193">
        <f>'Buildings - Grid Electricity'!B354</f>
        <v>0</v>
      </c>
      <c r="I852" s="193">
        <f>'Buildings - Grid Electricity'!C354</f>
        <v>0</v>
      </c>
      <c r="J852" s="193" t="str">
        <f>'Buildings - Grid Electricity'!D354</f>
        <v/>
      </c>
      <c r="K852" s="237"/>
      <c r="L852" s="237"/>
      <c r="M852" s="193" t="str">
        <f>'Buildings - Grid Electricity'!E354</f>
        <v/>
      </c>
      <c r="N852" s="193" t="str">
        <f>'Buildings - Grid Electricity'!F354</f>
        <v/>
      </c>
      <c r="O852" s="237"/>
      <c r="P852" s="193">
        <f>'Buildings - Grid Electricity'!G354</f>
        <v>0</v>
      </c>
      <c r="Q852" s="193" t="str">
        <f>'Buildings - Grid Electricity'!H354</f>
        <v/>
      </c>
      <c r="R852" s="193">
        <f>'Buildings - Grid Electricity'!I354</f>
        <v>0</v>
      </c>
      <c r="S852" s="193" t="str">
        <f>'Buildings - Grid Electricity'!J354</f>
        <v/>
      </c>
      <c r="T852" s="193" t="str">
        <f>'Buildings - Grid Electricity'!K354</f>
        <v/>
      </c>
      <c r="U852" s="193" t="str">
        <f>'Buildings - Grid Electricity'!L354</f>
        <v/>
      </c>
      <c r="V852" s="193" t="str">
        <f>'Buildings - Grid Electricity'!M354</f>
        <v/>
      </c>
      <c r="W852" s="193" t="str">
        <f>'Buildings - Grid Electricity'!N354</f>
        <v/>
      </c>
      <c r="X852" s="193">
        <f>'Buildings - Grid Electricity'!O354</f>
        <v>0</v>
      </c>
      <c r="Y852" s="193">
        <f>'Buildings - Grid Electricity'!P354</f>
        <v>0</v>
      </c>
      <c r="Z852" s="193" t="str">
        <f>'Buildings - Grid Electricity'!Q354</f>
        <v/>
      </c>
      <c r="AA852" s="193" t="str">
        <f>'Buildings - Grid Electricity'!R354</f>
        <v/>
      </c>
      <c r="AB852" s="193" t="str">
        <f>'Buildings - Grid Electricity'!S354</f>
        <v/>
      </c>
      <c r="AC852" s="193" t="str">
        <f>'Buildings - Grid Electricity'!T354</f>
        <v/>
      </c>
      <c r="AD852" s="193" t="str">
        <f>'Buildings - Grid Electricity'!U354</f>
        <v/>
      </c>
      <c r="AE852" s="193" t="str">
        <f>'Buildings - Grid Electricity'!V354</f>
        <v/>
      </c>
      <c r="AF852" s="193" t="str">
        <f>'Buildings - Grid Electricity'!W354</f>
        <v/>
      </c>
      <c r="AG852" s="193" t="str">
        <f>'Buildings - Grid Electricity'!X354</f>
        <v/>
      </c>
      <c r="AI852" s="193">
        <f t="shared" si="16"/>
        <v>0</v>
      </c>
      <c r="AJ852" s="193">
        <f t="shared" si="17"/>
        <v>0</v>
      </c>
    </row>
    <row r="853" spans="2:36" x14ac:dyDescent="0.35">
      <c r="B853" s="193" t="e">
        <f>"2024"&amp;MATCH(Totals!D853,OrgType,0)&amp;"_"&amp;MATCH(Totals!E853,Organisations,0)&amp;"_"&amp;LEFT(Totals!F853,1)&amp;"_"&amp;LEFT(G853,1)&amp;"_"&amp;COUNTIF($G$3:G853,G853)</f>
        <v>#N/A</v>
      </c>
      <c r="C853" s="193">
        <v>2025</v>
      </c>
      <c r="D853" s="193">
        <f>Introduction!$D$7</f>
        <v>0</v>
      </c>
      <c r="E853" s="193">
        <f>Introduction!$D$8</f>
        <v>0</v>
      </c>
      <c r="F853" s="193" t="s">
        <v>488</v>
      </c>
      <c r="G853" s="193" t="s">
        <v>171</v>
      </c>
      <c r="H853" s="193">
        <f>'Buildings - Grid Electricity'!B355</f>
        <v>0</v>
      </c>
      <c r="I853" s="193">
        <f>'Buildings - Grid Electricity'!C355</f>
        <v>0</v>
      </c>
      <c r="J853" s="193" t="str">
        <f>'Buildings - Grid Electricity'!D355</f>
        <v/>
      </c>
      <c r="K853" s="237"/>
      <c r="L853" s="237"/>
      <c r="M853" s="193" t="str">
        <f>'Buildings - Grid Electricity'!E355</f>
        <v/>
      </c>
      <c r="N853" s="193" t="str">
        <f>'Buildings - Grid Electricity'!F355</f>
        <v/>
      </c>
      <c r="O853" s="237"/>
      <c r="P853" s="193">
        <f>'Buildings - Grid Electricity'!G355</f>
        <v>0</v>
      </c>
      <c r="Q853" s="193" t="str">
        <f>'Buildings - Grid Electricity'!H355</f>
        <v/>
      </c>
      <c r="R853" s="193">
        <f>'Buildings - Grid Electricity'!I355</f>
        <v>0</v>
      </c>
      <c r="S853" s="193" t="str">
        <f>'Buildings - Grid Electricity'!J355</f>
        <v/>
      </c>
      <c r="T853" s="193" t="str">
        <f>'Buildings - Grid Electricity'!K355</f>
        <v/>
      </c>
      <c r="U853" s="193" t="str">
        <f>'Buildings - Grid Electricity'!L355</f>
        <v/>
      </c>
      <c r="V853" s="193" t="str">
        <f>'Buildings - Grid Electricity'!M355</f>
        <v/>
      </c>
      <c r="W853" s="193" t="str">
        <f>'Buildings - Grid Electricity'!N355</f>
        <v/>
      </c>
      <c r="X853" s="193">
        <f>'Buildings - Grid Electricity'!O355</f>
        <v>0</v>
      </c>
      <c r="Y853" s="193">
        <f>'Buildings - Grid Electricity'!P355</f>
        <v>0</v>
      </c>
      <c r="Z853" s="193" t="str">
        <f>'Buildings - Grid Electricity'!Q355</f>
        <v/>
      </c>
      <c r="AA853" s="193" t="str">
        <f>'Buildings - Grid Electricity'!R355</f>
        <v/>
      </c>
      <c r="AB853" s="193" t="str">
        <f>'Buildings - Grid Electricity'!S355</f>
        <v/>
      </c>
      <c r="AC853" s="193" t="str">
        <f>'Buildings - Grid Electricity'!T355</f>
        <v/>
      </c>
      <c r="AD853" s="193" t="str">
        <f>'Buildings - Grid Electricity'!U355</f>
        <v/>
      </c>
      <c r="AE853" s="193" t="str">
        <f>'Buildings - Grid Electricity'!V355</f>
        <v/>
      </c>
      <c r="AF853" s="193" t="str">
        <f>'Buildings - Grid Electricity'!W355</f>
        <v/>
      </c>
      <c r="AG853" s="193" t="str">
        <f>'Buildings - Grid Electricity'!X355</f>
        <v/>
      </c>
      <c r="AI853" s="193">
        <f t="shared" si="16"/>
        <v>0</v>
      </c>
      <c r="AJ853" s="193">
        <f t="shared" si="17"/>
        <v>0</v>
      </c>
    </row>
    <row r="854" spans="2:36" x14ac:dyDescent="0.35">
      <c r="B854" s="193" t="e">
        <f>"2024"&amp;MATCH(Totals!D854,OrgType,0)&amp;"_"&amp;MATCH(Totals!E854,Organisations,0)&amp;"_"&amp;LEFT(Totals!F854,1)&amp;"_"&amp;LEFT(G854,1)&amp;"_"&amp;COUNTIF($G$3:G854,G854)</f>
        <v>#N/A</v>
      </c>
      <c r="C854" s="193">
        <v>2025</v>
      </c>
      <c r="D854" s="193">
        <f>Introduction!$D$7</f>
        <v>0</v>
      </c>
      <c r="E854" s="193">
        <f>Introduction!$D$8</f>
        <v>0</v>
      </c>
      <c r="F854" s="193" t="s">
        <v>488</v>
      </c>
      <c r="G854" s="193" t="s">
        <v>171</v>
      </c>
      <c r="H854" s="193">
        <f>'Buildings - Grid Electricity'!B356</f>
        <v>0</v>
      </c>
      <c r="I854" s="193">
        <f>'Buildings - Grid Electricity'!C356</f>
        <v>0</v>
      </c>
      <c r="J854" s="193" t="str">
        <f>'Buildings - Grid Electricity'!D356</f>
        <v/>
      </c>
      <c r="K854" s="237"/>
      <c r="L854" s="237"/>
      <c r="M854" s="193" t="str">
        <f>'Buildings - Grid Electricity'!E356</f>
        <v/>
      </c>
      <c r="N854" s="193" t="str">
        <f>'Buildings - Grid Electricity'!F356</f>
        <v/>
      </c>
      <c r="O854" s="237"/>
      <c r="P854" s="193">
        <f>'Buildings - Grid Electricity'!G356</f>
        <v>0</v>
      </c>
      <c r="Q854" s="193" t="str">
        <f>'Buildings - Grid Electricity'!H356</f>
        <v/>
      </c>
      <c r="R854" s="193">
        <f>'Buildings - Grid Electricity'!I356</f>
        <v>0</v>
      </c>
      <c r="S854" s="193" t="str">
        <f>'Buildings - Grid Electricity'!J356</f>
        <v/>
      </c>
      <c r="T854" s="193" t="str">
        <f>'Buildings - Grid Electricity'!K356</f>
        <v/>
      </c>
      <c r="U854" s="193" t="str">
        <f>'Buildings - Grid Electricity'!L356</f>
        <v/>
      </c>
      <c r="V854" s="193" t="str">
        <f>'Buildings - Grid Electricity'!M356</f>
        <v/>
      </c>
      <c r="W854" s="193" t="str">
        <f>'Buildings - Grid Electricity'!N356</f>
        <v/>
      </c>
      <c r="X854" s="193">
        <f>'Buildings - Grid Electricity'!O356</f>
        <v>0</v>
      </c>
      <c r="Y854" s="193">
        <f>'Buildings - Grid Electricity'!P356</f>
        <v>0</v>
      </c>
      <c r="Z854" s="193" t="str">
        <f>'Buildings - Grid Electricity'!Q356</f>
        <v/>
      </c>
      <c r="AA854" s="193" t="str">
        <f>'Buildings - Grid Electricity'!R356</f>
        <v/>
      </c>
      <c r="AB854" s="193" t="str">
        <f>'Buildings - Grid Electricity'!S356</f>
        <v/>
      </c>
      <c r="AC854" s="193" t="str">
        <f>'Buildings - Grid Electricity'!T356</f>
        <v/>
      </c>
      <c r="AD854" s="193" t="str">
        <f>'Buildings - Grid Electricity'!U356</f>
        <v/>
      </c>
      <c r="AE854" s="193" t="str">
        <f>'Buildings - Grid Electricity'!V356</f>
        <v/>
      </c>
      <c r="AF854" s="193" t="str">
        <f>'Buildings - Grid Electricity'!W356</f>
        <v/>
      </c>
      <c r="AG854" s="193" t="str">
        <f>'Buildings - Grid Electricity'!X356</f>
        <v/>
      </c>
      <c r="AI854" s="193">
        <f t="shared" si="16"/>
        <v>0</v>
      </c>
      <c r="AJ854" s="193">
        <f t="shared" si="17"/>
        <v>0</v>
      </c>
    </row>
    <row r="855" spans="2:36" x14ac:dyDescent="0.35">
      <c r="B855" s="193" t="e">
        <f>"2024"&amp;MATCH(Totals!D855,OrgType,0)&amp;"_"&amp;MATCH(Totals!E855,Organisations,0)&amp;"_"&amp;LEFT(Totals!F855,1)&amp;"_"&amp;LEFT(G855,1)&amp;"_"&amp;COUNTIF($G$3:G855,G855)</f>
        <v>#N/A</v>
      </c>
      <c r="C855" s="193">
        <v>2025</v>
      </c>
      <c r="D855" s="193">
        <f>Introduction!$D$7</f>
        <v>0</v>
      </c>
      <c r="E855" s="193">
        <f>Introduction!$D$8</f>
        <v>0</v>
      </c>
      <c r="F855" s="193" t="s">
        <v>488</v>
      </c>
      <c r="G855" s="193" t="s">
        <v>171</v>
      </c>
      <c r="H855" s="193">
        <f>'Buildings - Grid Electricity'!B357</f>
        <v>0</v>
      </c>
      <c r="I855" s="193">
        <f>'Buildings - Grid Electricity'!C357</f>
        <v>0</v>
      </c>
      <c r="J855" s="193" t="str">
        <f>'Buildings - Grid Electricity'!D357</f>
        <v/>
      </c>
      <c r="K855" s="237"/>
      <c r="L855" s="237"/>
      <c r="M855" s="193" t="str">
        <f>'Buildings - Grid Electricity'!E357</f>
        <v/>
      </c>
      <c r="N855" s="193" t="str">
        <f>'Buildings - Grid Electricity'!F357</f>
        <v/>
      </c>
      <c r="O855" s="237"/>
      <c r="P855" s="193">
        <f>'Buildings - Grid Electricity'!G357</f>
        <v>0</v>
      </c>
      <c r="Q855" s="193" t="str">
        <f>'Buildings - Grid Electricity'!H357</f>
        <v/>
      </c>
      <c r="R855" s="193">
        <f>'Buildings - Grid Electricity'!I357</f>
        <v>0</v>
      </c>
      <c r="S855" s="193" t="str">
        <f>'Buildings - Grid Electricity'!J357</f>
        <v/>
      </c>
      <c r="T855" s="193" t="str">
        <f>'Buildings - Grid Electricity'!K357</f>
        <v/>
      </c>
      <c r="U855" s="193" t="str">
        <f>'Buildings - Grid Electricity'!L357</f>
        <v/>
      </c>
      <c r="V855" s="193" t="str">
        <f>'Buildings - Grid Electricity'!M357</f>
        <v/>
      </c>
      <c r="W855" s="193" t="str">
        <f>'Buildings - Grid Electricity'!N357</f>
        <v/>
      </c>
      <c r="X855" s="193">
        <f>'Buildings - Grid Electricity'!O357</f>
        <v>0</v>
      </c>
      <c r="Y855" s="193">
        <f>'Buildings - Grid Electricity'!P357</f>
        <v>0</v>
      </c>
      <c r="Z855" s="193" t="str">
        <f>'Buildings - Grid Electricity'!Q357</f>
        <v/>
      </c>
      <c r="AA855" s="193" t="str">
        <f>'Buildings - Grid Electricity'!R357</f>
        <v/>
      </c>
      <c r="AB855" s="193" t="str">
        <f>'Buildings - Grid Electricity'!S357</f>
        <v/>
      </c>
      <c r="AC855" s="193" t="str">
        <f>'Buildings - Grid Electricity'!T357</f>
        <v/>
      </c>
      <c r="AD855" s="193" t="str">
        <f>'Buildings - Grid Electricity'!U357</f>
        <v/>
      </c>
      <c r="AE855" s="193" t="str">
        <f>'Buildings - Grid Electricity'!V357</f>
        <v/>
      </c>
      <c r="AF855" s="193" t="str">
        <f>'Buildings - Grid Electricity'!W357</f>
        <v/>
      </c>
      <c r="AG855" s="193" t="str">
        <f>'Buildings - Grid Electricity'!X357</f>
        <v/>
      </c>
      <c r="AI855" s="193">
        <f t="shared" si="16"/>
        <v>0</v>
      </c>
      <c r="AJ855" s="193">
        <f t="shared" si="17"/>
        <v>0</v>
      </c>
    </row>
    <row r="856" spans="2:36" x14ac:dyDescent="0.35">
      <c r="B856" s="193" t="e">
        <f>"2024"&amp;MATCH(Totals!D856,OrgType,0)&amp;"_"&amp;MATCH(Totals!E856,Organisations,0)&amp;"_"&amp;LEFT(Totals!F856,1)&amp;"_"&amp;LEFT(G856,1)&amp;"_"&amp;COUNTIF($G$3:G856,G856)</f>
        <v>#N/A</v>
      </c>
      <c r="C856" s="193">
        <v>2025</v>
      </c>
      <c r="D856" s="193">
        <f>Introduction!$D$7</f>
        <v>0</v>
      </c>
      <c r="E856" s="193">
        <f>Introduction!$D$8</f>
        <v>0</v>
      </c>
      <c r="F856" s="193" t="s">
        <v>488</v>
      </c>
      <c r="G856" s="193" t="s">
        <v>171</v>
      </c>
      <c r="H856" s="193">
        <f>'Buildings - Grid Electricity'!B358</f>
        <v>0</v>
      </c>
      <c r="I856" s="193">
        <f>'Buildings - Grid Electricity'!C358</f>
        <v>0</v>
      </c>
      <c r="J856" s="193" t="str">
        <f>'Buildings - Grid Electricity'!D358</f>
        <v/>
      </c>
      <c r="K856" s="237"/>
      <c r="L856" s="237"/>
      <c r="M856" s="193" t="str">
        <f>'Buildings - Grid Electricity'!E358</f>
        <v/>
      </c>
      <c r="N856" s="193" t="str">
        <f>'Buildings - Grid Electricity'!F358</f>
        <v/>
      </c>
      <c r="O856" s="237"/>
      <c r="P856" s="193">
        <f>'Buildings - Grid Electricity'!G358</f>
        <v>0</v>
      </c>
      <c r="Q856" s="193" t="str">
        <f>'Buildings - Grid Electricity'!H358</f>
        <v/>
      </c>
      <c r="R856" s="193">
        <f>'Buildings - Grid Electricity'!I358</f>
        <v>0</v>
      </c>
      <c r="S856" s="193" t="str">
        <f>'Buildings - Grid Electricity'!J358</f>
        <v/>
      </c>
      <c r="T856" s="193" t="str">
        <f>'Buildings - Grid Electricity'!K358</f>
        <v/>
      </c>
      <c r="U856" s="193" t="str">
        <f>'Buildings - Grid Electricity'!L358</f>
        <v/>
      </c>
      <c r="V856" s="193" t="str">
        <f>'Buildings - Grid Electricity'!M358</f>
        <v/>
      </c>
      <c r="W856" s="193" t="str">
        <f>'Buildings - Grid Electricity'!N358</f>
        <v/>
      </c>
      <c r="X856" s="193">
        <f>'Buildings - Grid Electricity'!O358</f>
        <v>0</v>
      </c>
      <c r="Y856" s="193">
        <f>'Buildings - Grid Electricity'!P358</f>
        <v>0</v>
      </c>
      <c r="Z856" s="193" t="str">
        <f>'Buildings - Grid Electricity'!Q358</f>
        <v/>
      </c>
      <c r="AA856" s="193" t="str">
        <f>'Buildings - Grid Electricity'!R358</f>
        <v/>
      </c>
      <c r="AB856" s="193" t="str">
        <f>'Buildings - Grid Electricity'!S358</f>
        <v/>
      </c>
      <c r="AC856" s="193" t="str">
        <f>'Buildings - Grid Electricity'!T358</f>
        <v/>
      </c>
      <c r="AD856" s="193" t="str">
        <f>'Buildings - Grid Electricity'!U358</f>
        <v/>
      </c>
      <c r="AE856" s="193" t="str">
        <f>'Buildings - Grid Electricity'!V358</f>
        <v/>
      </c>
      <c r="AF856" s="193" t="str">
        <f>'Buildings - Grid Electricity'!W358</f>
        <v/>
      </c>
      <c r="AG856" s="193" t="str">
        <f>'Buildings - Grid Electricity'!X358</f>
        <v/>
      </c>
      <c r="AI856" s="193">
        <f t="shared" si="16"/>
        <v>0</v>
      </c>
      <c r="AJ856" s="193">
        <f t="shared" si="17"/>
        <v>0</v>
      </c>
    </row>
    <row r="857" spans="2:36" x14ac:dyDescent="0.35">
      <c r="B857" s="193" t="e">
        <f>"2024"&amp;MATCH(Totals!D857,OrgType,0)&amp;"_"&amp;MATCH(Totals!E857,Organisations,0)&amp;"_"&amp;LEFT(Totals!F857,1)&amp;"_"&amp;LEFT(G857,1)&amp;"_"&amp;COUNTIF($G$3:G857,G857)</f>
        <v>#N/A</v>
      </c>
      <c r="C857" s="193">
        <v>2025</v>
      </c>
      <c r="D857" s="193">
        <f>Introduction!$D$7</f>
        <v>0</v>
      </c>
      <c r="E857" s="193">
        <f>Introduction!$D$8</f>
        <v>0</v>
      </c>
      <c r="F857" s="193" t="s">
        <v>488</v>
      </c>
      <c r="G857" s="193" t="s">
        <v>171</v>
      </c>
      <c r="H857" s="193">
        <f>'Buildings - Grid Electricity'!B359</f>
        <v>0</v>
      </c>
      <c r="I857" s="193">
        <f>'Buildings - Grid Electricity'!C359</f>
        <v>0</v>
      </c>
      <c r="J857" s="193" t="str">
        <f>'Buildings - Grid Electricity'!D359</f>
        <v/>
      </c>
      <c r="K857" s="237"/>
      <c r="L857" s="237"/>
      <c r="M857" s="193" t="str">
        <f>'Buildings - Grid Electricity'!E359</f>
        <v/>
      </c>
      <c r="N857" s="193" t="str">
        <f>'Buildings - Grid Electricity'!F359</f>
        <v/>
      </c>
      <c r="O857" s="237"/>
      <c r="P857" s="193">
        <f>'Buildings - Grid Electricity'!G359</f>
        <v>0</v>
      </c>
      <c r="Q857" s="193" t="str">
        <f>'Buildings - Grid Electricity'!H359</f>
        <v/>
      </c>
      <c r="R857" s="193">
        <f>'Buildings - Grid Electricity'!I359</f>
        <v>0</v>
      </c>
      <c r="S857" s="193" t="str">
        <f>'Buildings - Grid Electricity'!J359</f>
        <v/>
      </c>
      <c r="T857" s="193" t="str">
        <f>'Buildings - Grid Electricity'!K359</f>
        <v/>
      </c>
      <c r="U857" s="193" t="str">
        <f>'Buildings - Grid Electricity'!L359</f>
        <v/>
      </c>
      <c r="V857" s="193" t="str">
        <f>'Buildings - Grid Electricity'!M359</f>
        <v/>
      </c>
      <c r="W857" s="193" t="str">
        <f>'Buildings - Grid Electricity'!N359</f>
        <v/>
      </c>
      <c r="X857" s="193">
        <f>'Buildings - Grid Electricity'!O359</f>
        <v>0</v>
      </c>
      <c r="Y857" s="193">
        <f>'Buildings - Grid Electricity'!P359</f>
        <v>0</v>
      </c>
      <c r="Z857" s="193" t="str">
        <f>'Buildings - Grid Electricity'!Q359</f>
        <v/>
      </c>
      <c r="AA857" s="193" t="str">
        <f>'Buildings - Grid Electricity'!R359</f>
        <v/>
      </c>
      <c r="AB857" s="193" t="str">
        <f>'Buildings - Grid Electricity'!S359</f>
        <v/>
      </c>
      <c r="AC857" s="193" t="str">
        <f>'Buildings - Grid Electricity'!T359</f>
        <v/>
      </c>
      <c r="AD857" s="193" t="str">
        <f>'Buildings - Grid Electricity'!U359</f>
        <v/>
      </c>
      <c r="AE857" s="193" t="str">
        <f>'Buildings - Grid Electricity'!V359</f>
        <v/>
      </c>
      <c r="AF857" s="193" t="str">
        <f>'Buildings - Grid Electricity'!W359</f>
        <v/>
      </c>
      <c r="AG857" s="193" t="str">
        <f>'Buildings - Grid Electricity'!X359</f>
        <v/>
      </c>
      <c r="AI857" s="193">
        <f t="shared" si="16"/>
        <v>0</v>
      </c>
      <c r="AJ857" s="193">
        <f t="shared" si="17"/>
        <v>0</v>
      </c>
    </row>
    <row r="858" spans="2:36" x14ac:dyDescent="0.35">
      <c r="B858" s="193" t="e">
        <f>"2024"&amp;MATCH(Totals!D858,OrgType,0)&amp;"_"&amp;MATCH(Totals!E858,Organisations,0)&amp;"_"&amp;LEFT(Totals!F858,1)&amp;"_"&amp;LEFT(G858,1)&amp;"_"&amp;COUNTIF($G$3:G858,G858)</f>
        <v>#N/A</v>
      </c>
      <c r="C858" s="193">
        <v>2025</v>
      </c>
      <c r="D858" s="193">
        <f>Introduction!$D$7</f>
        <v>0</v>
      </c>
      <c r="E858" s="193">
        <f>Introduction!$D$8</f>
        <v>0</v>
      </c>
      <c r="F858" s="193" t="s">
        <v>488</v>
      </c>
      <c r="G858" s="193" t="s">
        <v>171</v>
      </c>
      <c r="H858" s="193">
        <f>'Buildings - Grid Electricity'!B360</f>
        <v>0</v>
      </c>
      <c r="I858" s="193">
        <f>'Buildings - Grid Electricity'!C360</f>
        <v>0</v>
      </c>
      <c r="J858" s="193" t="str">
        <f>'Buildings - Grid Electricity'!D360</f>
        <v/>
      </c>
      <c r="K858" s="237"/>
      <c r="L858" s="237"/>
      <c r="M858" s="193" t="str">
        <f>'Buildings - Grid Electricity'!E360</f>
        <v/>
      </c>
      <c r="N858" s="193" t="str">
        <f>'Buildings - Grid Electricity'!F360</f>
        <v/>
      </c>
      <c r="O858" s="237"/>
      <c r="P858" s="193">
        <f>'Buildings - Grid Electricity'!G360</f>
        <v>0</v>
      </c>
      <c r="Q858" s="193" t="str">
        <f>'Buildings - Grid Electricity'!H360</f>
        <v/>
      </c>
      <c r="R858" s="193">
        <f>'Buildings - Grid Electricity'!I360</f>
        <v>0</v>
      </c>
      <c r="S858" s="193" t="str">
        <f>'Buildings - Grid Electricity'!J360</f>
        <v/>
      </c>
      <c r="T858" s="193" t="str">
        <f>'Buildings - Grid Electricity'!K360</f>
        <v/>
      </c>
      <c r="U858" s="193" t="str">
        <f>'Buildings - Grid Electricity'!L360</f>
        <v/>
      </c>
      <c r="V858" s="193" t="str">
        <f>'Buildings - Grid Electricity'!M360</f>
        <v/>
      </c>
      <c r="W858" s="193" t="str">
        <f>'Buildings - Grid Electricity'!N360</f>
        <v/>
      </c>
      <c r="X858" s="193">
        <f>'Buildings - Grid Electricity'!O360</f>
        <v>0</v>
      </c>
      <c r="Y858" s="193">
        <f>'Buildings - Grid Electricity'!P360</f>
        <v>0</v>
      </c>
      <c r="Z858" s="193" t="str">
        <f>'Buildings - Grid Electricity'!Q360</f>
        <v/>
      </c>
      <c r="AA858" s="193" t="str">
        <f>'Buildings - Grid Electricity'!R360</f>
        <v/>
      </c>
      <c r="AB858" s="193" t="str">
        <f>'Buildings - Grid Electricity'!S360</f>
        <v/>
      </c>
      <c r="AC858" s="193" t="str">
        <f>'Buildings - Grid Electricity'!T360</f>
        <v/>
      </c>
      <c r="AD858" s="193" t="str">
        <f>'Buildings - Grid Electricity'!U360</f>
        <v/>
      </c>
      <c r="AE858" s="193" t="str">
        <f>'Buildings - Grid Electricity'!V360</f>
        <v/>
      </c>
      <c r="AF858" s="193" t="str">
        <f>'Buildings - Grid Electricity'!W360</f>
        <v/>
      </c>
      <c r="AG858" s="193" t="str">
        <f>'Buildings - Grid Electricity'!X360</f>
        <v/>
      </c>
      <c r="AI858" s="193">
        <f t="shared" si="16"/>
        <v>0</v>
      </c>
      <c r="AJ858" s="193">
        <f t="shared" si="17"/>
        <v>0</v>
      </c>
    </row>
    <row r="859" spans="2:36" x14ac:dyDescent="0.35">
      <c r="B859" s="193" t="e">
        <f>"2024"&amp;MATCH(Totals!D859,OrgType,0)&amp;"_"&amp;MATCH(Totals!E859,Organisations,0)&amp;"_"&amp;LEFT(Totals!F859,1)&amp;"_"&amp;LEFT(G859,1)&amp;"_"&amp;COUNTIF($G$3:G859,G859)</f>
        <v>#N/A</v>
      </c>
      <c r="C859" s="193">
        <v>2025</v>
      </c>
      <c r="D859" s="193">
        <f>Introduction!$D$7</f>
        <v>0</v>
      </c>
      <c r="E859" s="193">
        <f>Introduction!$D$8</f>
        <v>0</v>
      </c>
      <c r="F859" s="193" t="s">
        <v>488</v>
      </c>
      <c r="G859" s="193" t="s">
        <v>171</v>
      </c>
      <c r="H859" s="193">
        <f>'Buildings - Grid Electricity'!B361</f>
        <v>0</v>
      </c>
      <c r="I859" s="193">
        <f>'Buildings - Grid Electricity'!C361</f>
        <v>0</v>
      </c>
      <c r="J859" s="193" t="str">
        <f>'Buildings - Grid Electricity'!D361</f>
        <v/>
      </c>
      <c r="K859" s="237"/>
      <c r="L859" s="237"/>
      <c r="M859" s="193" t="str">
        <f>'Buildings - Grid Electricity'!E361</f>
        <v/>
      </c>
      <c r="N859" s="193" t="str">
        <f>'Buildings - Grid Electricity'!F361</f>
        <v/>
      </c>
      <c r="O859" s="237"/>
      <c r="P859" s="193">
        <f>'Buildings - Grid Electricity'!G361</f>
        <v>0</v>
      </c>
      <c r="Q859" s="193" t="str">
        <f>'Buildings - Grid Electricity'!H361</f>
        <v/>
      </c>
      <c r="R859" s="193">
        <f>'Buildings - Grid Electricity'!I361</f>
        <v>0</v>
      </c>
      <c r="S859" s="193" t="str">
        <f>'Buildings - Grid Electricity'!J361</f>
        <v/>
      </c>
      <c r="T859" s="193" t="str">
        <f>'Buildings - Grid Electricity'!K361</f>
        <v/>
      </c>
      <c r="U859" s="193" t="str">
        <f>'Buildings - Grid Electricity'!L361</f>
        <v/>
      </c>
      <c r="V859" s="193" t="str">
        <f>'Buildings - Grid Electricity'!M361</f>
        <v/>
      </c>
      <c r="W859" s="193" t="str">
        <f>'Buildings - Grid Electricity'!N361</f>
        <v/>
      </c>
      <c r="X859" s="193">
        <f>'Buildings - Grid Electricity'!O361</f>
        <v>0</v>
      </c>
      <c r="Y859" s="193">
        <f>'Buildings - Grid Electricity'!P361</f>
        <v>0</v>
      </c>
      <c r="Z859" s="193" t="str">
        <f>'Buildings - Grid Electricity'!Q361</f>
        <v/>
      </c>
      <c r="AA859" s="193" t="str">
        <f>'Buildings - Grid Electricity'!R361</f>
        <v/>
      </c>
      <c r="AB859" s="193" t="str">
        <f>'Buildings - Grid Electricity'!S361</f>
        <v/>
      </c>
      <c r="AC859" s="193" t="str">
        <f>'Buildings - Grid Electricity'!T361</f>
        <v/>
      </c>
      <c r="AD859" s="193" t="str">
        <f>'Buildings - Grid Electricity'!U361</f>
        <v/>
      </c>
      <c r="AE859" s="193" t="str">
        <f>'Buildings - Grid Electricity'!V361</f>
        <v/>
      </c>
      <c r="AF859" s="193" t="str">
        <f>'Buildings - Grid Electricity'!W361</f>
        <v/>
      </c>
      <c r="AG859" s="193" t="str">
        <f>'Buildings - Grid Electricity'!X361</f>
        <v/>
      </c>
      <c r="AI859" s="193">
        <f t="shared" si="16"/>
        <v>0</v>
      </c>
      <c r="AJ859" s="193">
        <f t="shared" si="17"/>
        <v>0</v>
      </c>
    </row>
    <row r="860" spans="2:36" x14ac:dyDescent="0.35">
      <c r="B860" s="193" t="e">
        <f>"2024"&amp;MATCH(Totals!D860,OrgType,0)&amp;"_"&amp;MATCH(Totals!E860,Organisations,0)&amp;"_"&amp;LEFT(Totals!F860,1)&amp;"_"&amp;LEFT(G860,1)&amp;"_"&amp;COUNTIF($G$3:G860,G860)</f>
        <v>#N/A</v>
      </c>
      <c r="C860" s="193">
        <v>2025</v>
      </c>
      <c r="D860" s="193">
        <f>Introduction!$D$7</f>
        <v>0</v>
      </c>
      <c r="E860" s="193">
        <f>Introduction!$D$8</f>
        <v>0</v>
      </c>
      <c r="F860" s="193" t="s">
        <v>488</v>
      </c>
      <c r="G860" s="193" t="s">
        <v>171</v>
      </c>
      <c r="H860" s="193">
        <f>'Buildings - Grid Electricity'!B362</f>
        <v>0</v>
      </c>
      <c r="I860" s="193">
        <f>'Buildings - Grid Electricity'!C362</f>
        <v>0</v>
      </c>
      <c r="J860" s="193" t="str">
        <f>'Buildings - Grid Electricity'!D362</f>
        <v/>
      </c>
      <c r="K860" s="237"/>
      <c r="L860" s="237"/>
      <c r="M860" s="193" t="str">
        <f>'Buildings - Grid Electricity'!E362</f>
        <v/>
      </c>
      <c r="N860" s="193" t="str">
        <f>'Buildings - Grid Electricity'!F362</f>
        <v/>
      </c>
      <c r="O860" s="237"/>
      <c r="P860" s="193">
        <f>'Buildings - Grid Electricity'!G362</f>
        <v>0</v>
      </c>
      <c r="Q860" s="193" t="str">
        <f>'Buildings - Grid Electricity'!H362</f>
        <v/>
      </c>
      <c r="R860" s="193">
        <f>'Buildings - Grid Electricity'!I362</f>
        <v>0</v>
      </c>
      <c r="S860" s="193" t="str">
        <f>'Buildings - Grid Electricity'!J362</f>
        <v/>
      </c>
      <c r="T860" s="193" t="str">
        <f>'Buildings - Grid Electricity'!K362</f>
        <v/>
      </c>
      <c r="U860" s="193" t="str">
        <f>'Buildings - Grid Electricity'!L362</f>
        <v/>
      </c>
      <c r="V860" s="193" t="str">
        <f>'Buildings - Grid Electricity'!M362</f>
        <v/>
      </c>
      <c r="W860" s="193" t="str">
        <f>'Buildings - Grid Electricity'!N362</f>
        <v/>
      </c>
      <c r="X860" s="193">
        <f>'Buildings - Grid Electricity'!O362</f>
        <v>0</v>
      </c>
      <c r="Y860" s="193">
        <f>'Buildings - Grid Electricity'!P362</f>
        <v>0</v>
      </c>
      <c r="Z860" s="193" t="str">
        <f>'Buildings - Grid Electricity'!Q362</f>
        <v/>
      </c>
      <c r="AA860" s="193" t="str">
        <f>'Buildings - Grid Electricity'!R362</f>
        <v/>
      </c>
      <c r="AB860" s="193" t="str">
        <f>'Buildings - Grid Electricity'!S362</f>
        <v/>
      </c>
      <c r="AC860" s="193" t="str">
        <f>'Buildings - Grid Electricity'!T362</f>
        <v/>
      </c>
      <c r="AD860" s="193" t="str">
        <f>'Buildings - Grid Electricity'!U362</f>
        <v/>
      </c>
      <c r="AE860" s="193" t="str">
        <f>'Buildings - Grid Electricity'!V362</f>
        <v/>
      </c>
      <c r="AF860" s="193" t="str">
        <f>'Buildings - Grid Electricity'!W362</f>
        <v/>
      </c>
      <c r="AG860" s="193" t="str">
        <f>'Buildings - Grid Electricity'!X362</f>
        <v/>
      </c>
      <c r="AI860" s="193">
        <f t="shared" si="16"/>
        <v>0</v>
      </c>
      <c r="AJ860" s="193">
        <f t="shared" si="17"/>
        <v>0</v>
      </c>
    </row>
    <row r="861" spans="2:36" x14ac:dyDescent="0.35">
      <c r="B861" s="193" t="e">
        <f>"2024"&amp;MATCH(Totals!D861,OrgType,0)&amp;"_"&amp;MATCH(Totals!E861,Organisations,0)&amp;"_"&amp;LEFT(Totals!F861,1)&amp;"_"&amp;LEFT(G861,1)&amp;"_"&amp;COUNTIF($G$3:G861,G861)</f>
        <v>#N/A</v>
      </c>
      <c r="C861" s="193">
        <v>2025</v>
      </c>
      <c r="D861" s="193">
        <f>Introduction!$D$7</f>
        <v>0</v>
      </c>
      <c r="E861" s="193">
        <f>Introduction!$D$8</f>
        <v>0</v>
      </c>
      <c r="F861" s="193" t="s">
        <v>488</v>
      </c>
      <c r="G861" s="193" t="s">
        <v>171</v>
      </c>
      <c r="H861" s="193">
        <f>'Buildings - Grid Electricity'!B363</f>
        <v>0</v>
      </c>
      <c r="I861" s="193">
        <f>'Buildings - Grid Electricity'!C363</f>
        <v>0</v>
      </c>
      <c r="J861" s="193" t="str">
        <f>'Buildings - Grid Electricity'!D363</f>
        <v/>
      </c>
      <c r="K861" s="237"/>
      <c r="L861" s="237"/>
      <c r="M861" s="193" t="str">
        <f>'Buildings - Grid Electricity'!E363</f>
        <v/>
      </c>
      <c r="N861" s="193" t="str">
        <f>'Buildings - Grid Electricity'!F363</f>
        <v/>
      </c>
      <c r="O861" s="237"/>
      <c r="P861" s="193">
        <f>'Buildings - Grid Electricity'!G363</f>
        <v>0</v>
      </c>
      <c r="Q861" s="193" t="str">
        <f>'Buildings - Grid Electricity'!H363</f>
        <v/>
      </c>
      <c r="R861" s="193">
        <f>'Buildings - Grid Electricity'!I363</f>
        <v>0</v>
      </c>
      <c r="S861" s="193" t="str">
        <f>'Buildings - Grid Electricity'!J363</f>
        <v/>
      </c>
      <c r="T861" s="193" t="str">
        <f>'Buildings - Grid Electricity'!K363</f>
        <v/>
      </c>
      <c r="U861" s="193" t="str">
        <f>'Buildings - Grid Electricity'!L363</f>
        <v/>
      </c>
      <c r="V861" s="193" t="str">
        <f>'Buildings - Grid Electricity'!M363</f>
        <v/>
      </c>
      <c r="W861" s="193" t="str">
        <f>'Buildings - Grid Electricity'!N363</f>
        <v/>
      </c>
      <c r="X861" s="193">
        <f>'Buildings - Grid Electricity'!O363</f>
        <v>0</v>
      </c>
      <c r="Y861" s="193">
        <f>'Buildings - Grid Electricity'!P363</f>
        <v>0</v>
      </c>
      <c r="Z861" s="193" t="str">
        <f>'Buildings - Grid Electricity'!Q363</f>
        <v/>
      </c>
      <c r="AA861" s="193" t="str">
        <f>'Buildings - Grid Electricity'!R363</f>
        <v/>
      </c>
      <c r="AB861" s="193" t="str">
        <f>'Buildings - Grid Electricity'!S363</f>
        <v/>
      </c>
      <c r="AC861" s="193" t="str">
        <f>'Buildings - Grid Electricity'!T363</f>
        <v/>
      </c>
      <c r="AD861" s="193" t="str">
        <f>'Buildings - Grid Electricity'!U363</f>
        <v/>
      </c>
      <c r="AE861" s="193" t="str">
        <f>'Buildings - Grid Electricity'!V363</f>
        <v/>
      </c>
      <c r="AF861" s="193" t="str">
        <f>'Buildings - Grid Electricity'!W363</f>
        <v/>
      </c>
      <c r="AG861" s="193" t="str">
        <f>'Buildings - Grid Electricity'!X363</f>
        <v/>
      </c>
      <c r="AI861" s="193">
        <f t="shared" si="16"/>
        <v>0</v>
      </c>
      <c r="AJ861" s="193">
        <f t="shared" si="17"/>
        <v>0</v>
      </c>
    </row>
    <row r="862" spans="2:36" x14ac:dyDescent="0.35">
      <c r="B862" s="193" t="e">
        <f>"2024"&amp;MATCH(Totals!D862,OrgType,0)&amp;"_"&amp;MATCH(Totals!E862,Organisations,0)&amp;"_"&amp;LEFT(Totals!F862,1)&amp;"_"&amp;LEFT(G862,1)&amp;"_"&amp;COUNTIF($G$3:G862,G862)</f>
        <v>#N/A</v>
      </c>
      <c r="C862" s="193">
        <v>2025</v>
      </c>
      <c r="D862" s="193">
        <f>Introduction!$D$7</f>
        <v>0</v>
      </c>
      <c r="E862" s="193">
        <f>Introduction!$D$8</f>
        <v>0</v>
      </c>
      <c r="F862" s="193" t="s">
        <v>488</v>
      </c>
      <c r="G862" s="193" t="s">
        <v>171</v>
      </c>
      <c r="H862" s="193">
        <f>'Buildings - Grid Electricity'!B364</f>
        <v>0</v>
      </c>
      <c r="I862" s="193">
        <f>'Buildings - Grid Electricity'!C364</f>
        <v>0</v>
      </c>
      <c r="J862" s="193" t="str">
        <f>'Buildings - Grid Electricity'!D364</f>
        <v/>
      </c>
      <c r="K862" s="237"/>
      <c r="L862" s="237"/>
      <c r="M862" s="193" t="str">
        <f>'Buildings - Grid Electricity'!E364</f>
        <v/>
      </c>
      <c r="N862" s="193" t="str">
        <f>'Buildings - Grid Electricity'!F364</f>
        <v/>
      </c>
      <c r="O862" s="237"/>
      <c r="P862" s="193">
        <f>'Buildings - Grid Electricity'!G364</f>
        <v>0</v>
      </c>
      <c r="Q862" s="193" t="str">
        <f>'Buildings - Grid Electricity'!H364</f>
        <v/>
      </c>
      <c r="R862" s="193">
        <f>'Buildings - Grid Electricity'!I364</f>
        <v>0</v>
      </c>
      <c r="S862" s="193" t="str">
        <f>'Buildings - Grid Electricity'!J364</f>
        <v/>
      </c>
      <c r="T862" s="193" t="str">
        <f>'Buildings - Grid Electricity'!K364</f>
        <v/>
      </c>
      <c r="U862" s="193" t="str">
        <f>'Buildings - Grid Electricity'!L364</f>
        <v/>
      </c>
      <c r="V862" s="193" t="str">
        <f>'Buildings - Grid Electricity'!M364</f>
        <v/>
      </c>
      <c r="W862" s="193" t="str">
        <f>'Buildings - Grid Electricity'!N364</f>
        <v/>
      </c>
      <c r="X862" s="193">
        <f>'Buildings - Grid Electricity'!O364</f>
        <v>0</v>
      </c>
      <c r="Y862" s="193">
        <f>'Buildings - Grid Electricity'!P364</f>
        <v>0</v>
      </c>
      <c r="Z862" s="193" t="str">
        <f>'Buildings - Grid Electricity'!Q364</f>
        <v/>
      </c>
      <c r="AA862" s="193" t="str">
        <f>'Buildings - Grid Electricity'!R364</f>
        <v/>
      </c>
      <c r="AB862" s="193" t="str">
        <f>'Buildings - Grid Electricity'!S364</f>
        <v/>
      </c>
      <c r="AC862" s="193" t="str">
        <f>'Buildings - Grid Electricity'!T364</f>
        <v/>
      </c>
      <c r="AD862" s="193" t="str">
        <f>'Buildings - Grid Electricity'!U364</f>
        <v/>
      </c>
      <c r="AE862" s="193" t="str">
        <f>'Buildings - Grid Electricity'!V364</f>
        <v/>
      </c>
      <c r="AF862" s="193" t="str">
        <f>'Buildings - Grid Electricity'!W364</f>
        <v/>
      </c>
      <c r="AG862" s="193" t="str">
        <f>'Buildings - Grid Electricity'!X364</f>
        <v/>
      </c>
      <c r="AI862" s="193">
        <f t="shared" si="16"/>
        <v>0</v>
      </c>
      <c r="AJ862" s="193">
        <f t="shared" si="17"/>
        <v>0</v>
      </c>
    </row>
    <row r="863" spans="2:36" x14ac:dyDescent="0.35">
      <c r="B863" s="193" t="e">
        <f>"2024"&amp;MATCH(Totals!D863,OrgType,0)&amp;"_"&amp;MATCH(Totals!E863,Organisations,0)&amp;"_"&amp;LEFT(Totals!F863,1)&amp;"_"&amp;LEFT(G863,1)&amp;"_"&amp;COUNTIF($G$3:G863,G863)</f>
        <v>#N/A</v>
      </c>
      <c r="C863" s="193">
        <v>2025</v>
      </c>
      <c r="D863" s="193">
        <f>Introduction!$D$7</f>
        <v>0</v>
      </c>
      <c r="E863" s="193">
        <f>Introduction!$D$8</f>
        <v>0</v>
      </c>
      <c r="F863" s="193" t="s">
        <v>488</v>
      </c>
      <c r="G863" s="193" t="s">
        <v>171</v>
      </c>
      <c r="H863" s="193">
        <f>'Buildings - Grid Electricity'!B365</f>
        <v>0</v>
      </c>
      <c r="I863" s="193">
        <f>'Buildings - Grid Electricity'!C365</f>
        <v>0</v>
      </c>
      <c r="J863" s="193" t="str">
        <f>'Buildings - Grid Electricity'!D365</f>
        <v/>
      </c>
      <c r="K863" s="237"/>
      <c r="L863" s="237"/>
      <c r="M863" s="193" t="str">
        <f>'Buildings - Grid Electricity'!E365</f>
        <v/>
      </c>
      <c r="N863" s="193" t="str">
        <f>'Buildings - Grid Electricity'!F365</f>
        <v/>
      </c>
      <c r="O863" s="237"/>
      <c r="P863" s="193">
        <f>'Buildings - Grid Electricity'!G365</f>
        <v>0</v>
      </c>
      <c r="Q863" s="193" t="str">
        <f>'Buildings - Grid Electricity'!H365</f>
        <v/>
      </c>
      <c r="R863" s="193">
        <f>'Buildings - Grid Electricity'!I365</f>
        <v>0</v>
      </c>
      <c r="S863" s="193" t="str">
        <f>'Buildings - Grid Electricity'!J365</f>
        <v/>
      </c>
      <c r="T863" s="193" t="str">
        <f>'Buildings - Grid Electricity'!K365</f>
        <v/>
      </c>
      <c r="U863" s="193" t="str">
        <f>'Buildings - Grid Electricity'!L365</f>
        <v/>
      </c>
      <c r="V863" s="193" t="str">
        <f>'Buildings - Grid Electricity'!M365</f>
        <v/>
      </c>
      <c r="W863" s="193" t="str">
        <f>'Buildings - Grid Electricity'!N365</f>
        <v/>
      </c>
      <c r="X863" s="193">
        <f>'Buildings - Grid Electricity'!O365</f>
        <v>0</v>
      </c>
      <c r="Y863" s="193">
        <f>'Buildings - Grid Electricity'!P365</f>
        <v>0</v>
      </c>
      <c r="Z863" s="193" t="str">
        <f>'Buildings - Grid Electricity'!Q365</f>
        <v/>
      </c>
      <c r="AA863" s="193" t="str">
        <f>'Buildings - Grid Electricity'!R365</f>
        <v/>
      </c>
      <c r="AB863" s="193" t="str">
        <f>'Buildings - Grid Electricity'!S365</f>
        <v/>
      </c>
      <c r="AC863" s="193" t="str">
        <f>'Buildings - Grid Electricity'!T365</f>
        <v/>
      </c>
      <c r="AD863" s="193" t="str">
        <f>'Buildings - Grid Electricity'!U365</f>
        <v/>
      </c>
      <c r="AE863" s="193" t="str">
        <f>'Buildings - Grid Electricity'!V365</f>
        <v/>
      </c>
      <c r="AF863" s="193" t="str">
        <f>'Buildings - Grid Electricity'!W365</f>
        <v/>
      </c>
      <c r="AG863" s="193" t="str">
        <f>'Buildings - Grid Electricity'!X365</f>
        <v/>
      </c>
      <c r="AI863" s="193">
        <f t="shared" si="16"/>
        <v>0</v>
      </c>
      <c r="AJ863" s="193">
        <f t="shared" si="17"/>
        <v>0</v>
      </c>
    </row>
    <row r="864" spans="2:36" x14ac:dyDescent="0.35">
      <c r="B864" s="193" t="e">
        <f>"2024"&amp;MATCH(Totals!D864,OrgType,0)&amp;"_"&amp;MATCH(Totals!E864,Organisations,0)&amp;"_"&amp;LEFT(Totals!F864,1)&amp;"_"&amp;LEFT(G864,1)&amp;"_"&amp;COUNTIF($G$3:G864,G864)</f>
        <v>#N/A</v>
      </c>
      <c r="C864" s="193">
        <v>2025</v>
      </c>
      <c r="D864" s="193">
        <f>Introduction!$D$7</f>
        <v>0</v>
      </c>
      <c r="E864" s="193">
        <f>Introduction!$D$8</f>
        <v>0</v>
      </c>
      <c r="F864" s="193" t="s">
        <v>488</v>
      </c>
      <c r="G864" s="193" t="s">
        <v>171</v>
      </c>
      <c r="H864" s="193">
        <f>'Buildings - Grid Electricity'!B366</f>
        <v>0</v>
      </c>
      <c r="I864" s="193">
        <f>'Buildings - Grid Electricity'!C366</f>
        <v>0</v>
      </c>
      <c r="J864" s="193" t="str">
        <f>'Buildings - Grid Electricity'!D366</f>
        <v/>
      </c>
      <c r="K864" s="237"/>
      <c r="L864" s="237"/>
      <c r="M864" s="193" t="str">
        <f>'Buildings - Grid Electricity'!E366</f>
        <v/>
      </c>
      <c r="N864" s="193" t="str">
        <f>'Buildings - Grid Electricity'!F366</f>
        <v/>
      </c>
      <c r="O864" s="237"/>
      <c r="P864" s="193">
        <f>'Buildings - Grid Electricity'!G366</f>
        <v>0</v>
      </c>
      <c r="Q864" s="193" t="str">
        <f>'Buildings - Grid Electricity'!H366</f>
        <v/>
      </c>
      <c r="R864" s="193">
        <f>'Buildings - Grid Electricity'!I366</f>
        <v>0</v>
      </c>
      <c r="S864" s="193" t="str">
        <f>'Buildings - Grid Electricity'!J366</f>
        <v/>
      </c>
      <c r="T864" s="193" t="str">
        <f>'Buildings - Grid Electricity'!K366</f>
        <v/>
      </c>
      <c r="U864" s="193" t="str">
        <f>'Buildings - Grid Electricity'!L366</f>
        <v/>
      </c>
      <c r="V864" s="193" t="str">
        <f>'Buildings - Grid Electricity'!M366</f>
        <v/>
      </c>
      <c r="W864" s="193" t="str">
        <f>'Buildings - Grid Electricity'!N366</f>
        <v/>
      </c>
      <c r="X864" s="193">
        <f>'Buildings - Grid Electricity'!O366</f>
        <v>0</v>
      </c>
      <c r="Y864" s="193">
        <f>'Buildings - Grid Electricity'!P366</f>
        <v>0</v>
      </c>
      <c r="Z864" s="193" t="str">
        <f>'Buildings - Grid Electricity'!Q366</f>
        <v/>
      </c>
      <c r="AA864" s="193" t="str">
        <f>'Buildings - Grid Electricity'!R366</f>
        <v/>
      </c>
      <c r="AB864" s="193" t="str">
        <f>'Buildings - Grid Electricity'!S366</f>
        <v/>
      </c>
      <c r="AC864" s="193" t="str">
        <f>'Buildings - Grid Electricity'!T366</f>
        <v/>
      </c>
      <c r="AD864" s="193" t="str">
        <f>'Buildings - Grid Electricity'!U366</f>
        <v/>
      </c>
      <c r="AE864" s="193" t="str">
        <f>'Buildings - Grid Electricity'!V366</f>
        <v/>
      </c>
      <c r="AF864" s="193" t="str">
        <f>'Buildings - Grid Electricity'!W366</f>
        <v/>
      </c>
      <c r="AG864" s="193" t="str">
        <f>'Buildings - Grid Electricity'!X366</f>
        <v/>
      </c>
      <c r="AI864" s="193">
        <f t="shared" si="16"/>
        <v>0</v>
      </c>
      <c r="AJ864" s="193">
        <f t="shared" si="17"/>
        <v>0</v>
      </c>
    </row>
    <row r="865" spans="2:36" x14ac:dyDescent="0.35">
      <c r="B865" s="193" t="e">
        <f>"2024"&amp;MATCH(Totals!D865,OrgType,0)&amp;"_"&amp;MATCH(Totals!E865,Organisations,0)&amp;"_"&amp;LEFT(Totals!F865,1)&amp;"_"&amp;LEFT(G865,1)&amp;"_"&amp;COUNTIF($G$3:G865,G865)</f>
        <v>#N/A</v>
      </c>
      <c r="C865" s="193">
        <v>2025</v>
      </c>
      <c r="D865" s="193">
        <f>Introduction!$D$7</f>
        <v>0</v>
      </c>
      <c r="E865" s="193">
        <f>Introduction!$D$8</f>
        <v>0</v>
      </c>
      <c r="F865" s="193" t="s">
        <v>488</v>
      </c>
      <c r="G865" s="193" t="s">
        <v>171</v>
      </c>
      <c r="H865" s="193">
        <f>'Buildings - Grid Electricity'!B367</f>
        <v>0</v>
      </c>
      <c r="I865" s="193">
        <f>'Buildings - Grid Electricity'!C367</f>
        <v>0</v>
      </c>
      <c r="J865" s="193" t="str">
        <f>'Buildings - Grid Electricity'!D367</f>
        <v/>
      </c>
      <c r="K865" s="237"/>
      <c r="L865" s="237"/>
      <c r="M865" s="193" t="str">
        <f>'Buildings - Grid Electricity'!E367</f>
        <v/>
      </c>
      <c r="N865" s="193" t="str">
        <f>'Buildings - Grid Electricity'!F367</f>
        <v/>
      </c>
      <c r="O865" s="237"/>
      <c r="P865" s="193">
        <f>'Buildings - Grid Electricity'!G367</f>
        <v>0</v>
      </c>
      <c r="Q865" s="193" t="str">
        <f>'Buildings - Grid Electricity'!H367</f>
        <v/>
      </c>
      <c r="R865" s="193">
        <f>'Buildings - Grid Electricity'!I367</f>
        <v>0</v>
      </c>
      <c r="S865" s="193" t="str">
        <f>'Buildings - Grid Electricity'!J367</f>
        <v/>
      </c>
      <c r="T865" s="193" t="str">
        <f>'Buildings - Grid Electricity'!K367</f>
        <v/>
      </c>
      <c r="U865" s="193" t="str">
        <f>'Buildings - Grid Electricity'!L367</f>
        <v/>
      </c>
      <c r="V865" s="193" t="str">
        <f>'Buildings - Grid Electricity'!M367</f>
        <v/>
      </c>
      <c r="W865" s="193" t="str">
        <f>'Buildings - Grid Electricity'!N367</f>
        <v/>
      </c>
      <c r="X865" s="193">
        <f>'Buildings - Grid Electricity'!O367</f>
        <v>0</v>
      </c>
      <c r="Y865" s="193">
        <f>'Buildings - Grid Electricity'!P367</f>
        <v>0</v>
      </c>
      <c r="Z865" s="193" t="str">
        <f>'Buildings - Grid Electricity'!Q367</f>
        <v/>
      </c>
      <c r="AA865" s="193" t="str">
        <f>'Buildings - Grid Electricity'!R367</f>
        <v/>
      </c>
      <c r="AB865" s="193" t="str">
        <f>'Buildings - Grid Electricity'!S367</f>
        <v/>
      </c>
      <c r="AC865" s="193" t="str">
        <f>'Buildings - Grid Electricity'!T367</f>
        <v/>
      </c>
      <c r="AD865" s="193" t="str">
        <f>'Buildings - Grid Electricity'!U367</f>
        <v/>
      </c>
      <c r="AE865" s="193" t="str">
        <f>'Buildings - Grid Electricity'!V367</f>
        <v/>
      </c>
      <c r="AF865" s="193" t="str">
        <f>'Buildings - Grid Electricity'!W367</f>
        <v/>
      </c>
      <c r="AG865" s="193" t="str">
        <f>'Buildings - Grid Electricity'!X367</f>
        <v/>
      </c>
      <c r="AI865" s="193">
        <f t="shared" si="16"/>
        <v>0</v>
      </c>
      <c r="AJ865" s="193">
        <f t="shared" si="17"/>
        <v>0</v>
      </c>
    </row>
    <row r="866" spans="2:36" x14ac:dyDescent="0.35">
      <c r="B866" s="193" t="e">
        <f>"2024"&amp;MATCH(Totals!D866,OrgType,0)&amp;"_"&amp;MATCH(Totals!E866,Organisations,0)&amp;"_"&amp;LEFT(Totals!F866,1)&amp;"_"&amp;LEFT(G866,1)&amp;"_"&amp;COUNTIF($G$3:G866,G866)</f>
        <v>#N/A</v>
      </c>
      <c r="C866" s="193">
        <v>2025</v>
      </c>
      <c r="D866" s="193">
        <f>Introduction!$D$7</f>
        <v>0</v>
      </c>
      <c r="E866" s="193">
        <f>Introduction!$D$8</f>
        <v>0</v>
      </c>
      <c r="F866" s="193" t="s">
        <v>488</v>
      </c>
      <c r="G866" s="193" t="s">
        <v>171</v>
      </c>
      <c r="H866" s="193">
        <f>'Buildings - Grid Electricity'!B368</f>
        <v>0</v>
      </c>
      <c r="I866" s="193">
        <f>'Buildings - Grid Electricity'!C368</f>
        <v>0</v>
      </c>
      <c r="J866" s="193" t="str">
        <f>'Buildings - Grid Electricity'!D368</f>
        <v/>
      </c>
      <c r="K866" s="237"/>
      <c r="L866" s="237"/>
      <c r="M866" s="193" t="str">
        <f>'Buildings - Grid Electricity'!E368</f>
        <v/>
      </c>
      <c r="N866" s="193" t="str">
        <f>'Buildings - Grid Electricity'!F368</f>
        <v/>
      </c>
      <c r="O866" s="237"/>
      <c r="P866" s="193">
        <f>'Buildings - Grid Electricity'!G368</f>
        <v>0</v>
      </c>
      <c r="Q866" s="193" t="str">
        <f>'Buildings - Grid Electricity'!H368</f>
        <v/>
      </c>
      <c r="R866" s="193">
        <f>'Buildings - Grid Electricity'!I368</f>
        <v>0</v>
      </c>
      <c r="S866" s="193" t="str">
        <f>'Buildings - Grid Electricity'!J368</f>
        <v/>
      </c>
      <c r="T866" s="193" t="str">
        <f>'Buildings - Grid Electricity'!K368</f>
        <v/>
      </c>
      <c r="U866" s="193" t="str">
        <f>'Buildings - Grid Electricity'!L368</f>
        <v/>
      </c>
      <c r="V866" s="193" t="str">
        <f>'Buildings - Grid Electricity'!M368</f>
        <v/>
      </c>
      <c r="W866" s="193" t="str">
        <f>'Buildings - Grid Electricity'!N368</f>
        <v/>
      </c>
      <c r="X866" s="193">
        <f>'Buildings - Grid Electricity'!O368</f>
        <v>0</v>
      </c>
      <c r="Y866" s="193">
        <f>'Buildings - Grid Electricity'!P368</f>
        <v>0</v>
      </c>
      <c r="Z866" s="193" t="str">
        <f>'Buildings - Grid Electricity'!Q368</f>
        <v/>
      </c>
      <c r="AA866" s="193" t="str">
        <f>'Buildings - Grid Electricity'!R368</f>
        <v/>
      </c>
      <c r="AB866" s="193" t="str">
        <f>'Buildings - Grid Electricity'!S368</f>
        <v/>
      </c>
      <c r="AC866" s="193" t="str">
        <f>'Buildings - Grid Electricity'!T368</f>
        <v/>
      </c>
      <c r="AD866" s="193" t="str">
        <f>'Buildings - Grid Electricity'!U368</f>
        <v/>
      </c>
      <c r="AE866" s="193" t="str">
        <f>'Buildings - Grid Electricity'!V368</f>
        <v/>
      </c>
      <c r="AF866" s="193" t="str">
        <f>'Buildings - Grid Electricity'!W368</f>
        <v/>
      </c>
      <c r="AG866" s="193" t="str">
        <f>'Buildings - Grid Electricity'!X368</f>
        <v/>
      </c>
      <c r="AI866" s="193">
        <f t="shared" si="16"/>
        <v>0</v>
      </c>
      <c r="AJ866" s="193">
        <f t="shared" si="17"/>
        <v>0</v>
      </c>
    </row>
    <row r="867" spans="2:36" x14ac:dyDescent="0.35">
      <c r="B867" s="193" t="e">
        <f>"2024"&amp;MATCH(Totals!D867,OrgType,0)&amp;"_"&amp;MATCH(Totals!E867,Organisations,0)&amp;"_"&amp;LEFT(Totals!F867,1)&amp;"_"&amp;LEFT(G867,1)&amp;"_"&amp;COUNTIF($G$3:G867,G867)</f>
        <v>#N/A</v>
      </c>
      <c r="C867" s="193">
        <v>2025</v>
      </c>
      <c r="D867" s="193">
        <f>Introduction!$D$7</f>
        <v>0</v>
      </c>
      <c r="E867" s="193">
        <f>Introduction!$D$8</f>
        <v>0</v>
      </c>
      <c r="F867" s="193" t="s">
        <v>488</v>
      </c>
      <c r="G867" s="193" t="s">
        <v>171</v>
      </c>
      <c r="H867" s="193">
        <f>'Buildings - Grid Electricity'!B369</f>
        <v>0</v>
      </c>
      <c r="I867" s="193">
        <f>'Buildings - Grid Electricity'!C369</f>
        <v>0</v>
      </c>
      <c r="J867" s="193" t="str">
        <f>'Buildings - Grid Electricity'!D369</f>
        <v/>
      </c>
      <c r="K867" s="237"/>
      <c r="L867" s="237"/>
      <c r="M867" s="193" t="str">
        <f>'Buildings - Grid Electricity'!E369</f>
        <v/>
      </c>
      <c r="N867" s="193" t="str">
        <f>'Buildings - Grid Electricity'!F369</f>
        <v/>
      </c>
      <c r="O867" s="237"/>
      <c r="P867" s="193">
        <f>'Buildings - Grid Electricity'!G369</f>
        <v>0</v>
      </c>
      <c r="Q867" s="193" t="str">
        <f>'Buildings - Grid Electricity'!H369</f>
        <v/>
      </c>
      <c r="R867" s="193">
        <f>'Buildings - Grid Electricity'!I369</f>
        <v>0</v>
      </c>
      <c r="S867" s="193" t="str">
        <f>'Buildings - Grid Electricity'!J369</f>
        <v/>
      </c>
      <c r="T867" s="193" t="str">
        <f>'Buildings - Grid Electricity'!K369</f>
        <v/>
      </c>
      <c r="U867" s="193" t="str">
        <f>'Buildings - Grid Electricity'!L369</f>
        <v/>
      </c>
      <c r="V867" s="193" t="str">
        <f>'Buildings - Grid Electricity'!M369</f>
        <v/>
      </c>
      <c r="W867" s="193" t="str">
        <f>'Buildings - Grid Electricity'!N369</f>
        <v/>
      </c>
      <c r="X867" s="193">
        <f>'Buildings - Grid Electricity'!O369</f>
        <v>0</v>
      </c>
      <c r="Y867" s="193">
        <f>'Buildings - Grid Electricity'!P369</f>
        <v>0</v>
      </c>
      <c r="Z867" s="193" t="str">
        <f>'Buildings - Grid Electricity'!Q369</f>
        <v/>
      </c>
      <c r="AA867" s="193" t="str">
        <f>'Buildings - Grid Electricity'!R369</f>
        <v/>
      </c>
      <c r="AB867" s="193" t="str">
        <f>'Buildings - Grid Electricity'!S369</f>
        <v/>
      </c>
      <c r="AC867" s="193" t="str">
        <f>'Buildings - Grid Electricity'!T369</f>
        <v/>
      </c>
      <c r="AD867" s="193" t="str">
        <f>'Buildings - Grid Electricity'!U369</f>
        <v/>
      </c>
      <c r="AE867" s="193" t="str">
        <f>'Buildings - Grid Electricity'!V369</f>
        <v/>
      </c>
      <c r="AF867" s="193" t="str">
        <f>'Buildings - Grid Electricity'!W369</f>
        <v/>
      </c>
      <c r="AG867" s="193" t="str">
        <f>'Buildings - Grid Electricity'!X369</f>
        <v/>
      </c>
      <c r="AI867" s="193">
        <f t="shared" si="16"/>
        <v>0</v>
      </c>
      <c r="AJ867" s="193">
        <f t="shared" si="17"/>
        <v>0</v>
      </c>
    </row>
    <row r="868" spans="2:36" x14ac:dyDescent="0.35">
      <c r="B868" s="193" t="e">
        <f>"2024"&amp;MATCH(Totals!D868,OrgType,0)&amp;"_"&amp;MATCH(Totals!E868,Organisations,0)&amp;"_"&amp;LEFT(Totals!F868,1)&amp;"_"&amp;LEFT(G868,1)&amp;"_"&amp;COUNTIF($G$3:G868,G868)</f>
        <v>#N/A</v>
      </c>
      <c r="C868" s="193">
        <v>2025</v>
      </c>
      <c r="D868" s="193">
        <f>Introduction!$D$7</f>
        <v>0</v>
      </c>
      <c r="E868" s="193">
        <f>Introduction!$D$8</f>
        <v>0</v>
      </c>
      <c r="F868" s="193" t="s">
        <v>488</v>
      </c>
      <c r="G868" s="193" t="s">
        <v>171</v>
      </c>
      <c r="H868" s="193">
        <f>'Buildings - Grid Electricity'!B370</f>
        <v>0</v>
      </c>
      <c r="I868" s="193">
        <f>'Buildings - Grid Electricity'!C370</f>
        <v>0</v>
      </c>
      <c r="J868" s="193" t="str">
        <f>'Buildings - Grid Electricity'!D370</f>
        <v/>
      </c>
      <c r="K868" s="237"/>
      <c r="L868" s="237"/>
      <c r="M868" s="193" t="str">
        <f>'Buildings - Grid Electricity'!E370</f>
        <v/>
      </c>
      <c r="N868" s="193" t="str">
        <f>'Buildings - Grid Electricity'!F370</f>
        <v/>
      </c>
      <c r="O868" s="237"/>
      <c r="P868" s="193">
        <f>'Buildings - Grid Electricity'!G370</f>
        <v>0</v>
      </c>
      <c r="Q868" s="193" t="str">
        <f>'Buildings - Grid Electricity'!H370</f>
        <v/>
      </c>
      <c r="R868" s="193">
        <f>'Buildings - Grid Electricity'!I370</f>
        <v>0</v>
      </c>
      <c r="S868" s="193" t="str">
        <f>'Buildings - Grid Electricity'!J370</f>
        <v/>
      </c>
      <c r="T868" s="193" t="str">
        <f>'Buildings - Grid Electricity'!K370</f>
        <v/>
      </c>
      <c r="U868" s="193" t="str">
        <f>'Buildings - Grid Electricity'!L370</f>
        <v/>
      </c>
      <c r="V868" s="193" t="str">
        <f>'Buildings - Grid Electricity'!M370</f>
        <v/>
      </c>
      <c r="W868" s="193" t="str">
        <f>'Buildings - Grid Electricity'!N370</f>
        <v/>
      </c>
      <c r="X868" s="193">
        <f>'Buildings - Grid Electricity'!O370</f>
        <v>0</v>
      </c>
      <c r="Y868" s="193">
        <f>'Buildings - Grid Electricity'!P370</f>
        <v>0</v>
      </c>
      <c r="Z868" s="193" t="str">
        <f>'Buildings - Grid Electricity'!Q370</f>
        <v/>
      </c>
      <c r="AA868" s="193" t="str">
        <f>'Buildings - Grid Electricity'!R370</f>
        <v/>
      </c>
      <c r="AB868" s="193" t="str">
        <f>'Buildings - Grid Electricity'!S370</f>
        <v/>
      </c>
      <c r="AC868" s="193" t="str">
        <f>'Buildings - Grid Electricity'!T370</f>
        <v/>
      </c>
      <c r="AD868" s="193" t="str">
        <f>'Buildings - Grid Electricity'!U370</f>
        <v/>
      </c>
      <c r="AE868" s="193" t="str">
        <f>'Buildings - Grid Electricity'!V370</f>
        <v/>
      </c>
      <c r="AF868" s="193" t="str">
        <f>'Buildings - Grid Electricity'!W370</f>
        <v/>
      </c>
      <c r="AG868" s="193" t="str">
        <f>'Buildings - Grid Electricity'!X370</f>
        <v/>
      </c>
      <c r="AI868" s="193">
        <f t="shared" si="16"/>
        <v>0</v>
      </c>
      <c r="AJ868" s="193">
        <f t="shared" si="17"/>
        <v>0</v>
      </c>
    </row>
    <row r="869" spans="2:36" x14ac:dyDescent="0.35">
      <c r="B869" s="193" t="e">
        <f>"2024"&amp;MATCH(Totals!D869,OrgType,0)&amp;"_"&amp;MATCH(Totals!E869,Organisations,0)&amp;"_"&amp;LEFT(Totals!F869,1)&amp;"_"&amp;LEFT(G869,1)&amp;"_"&amp;COUNTIF($G$3:G869,G869)</f>
        <v>#N/A</v>
      </c>
      <c r="C869" s="193">
        <v>2025</v>
      </c>
      <c r="D869" s="193">
        <f>Introduction!$D$7</f>
        <v>0</v>
      </c>
      <c r="E869" s="193">
        <f>Introduction!$D$8</f>
        <v>0</v>
      </c>
      <c r="F869" s="193" t="s">
        <v>488</v>
      </c>
      <c r="G869" s="193" t="s">
        <v>171</v>
      </c>
      <c r="H869" s="193">
        <f>'Buildings - Grid Electricity'!B371</f>
        <v>0</v>
      </c>
      <c r="I869" s="193">
        <f>'Buildings - Grid Electricity'!C371</f>
        <v>0</v>
      </c>
      <c r="J869" s="193" t="str">
        <f>'Buildings - Grid Electricity'!D371</f>
        <v/>
      </c>
      <c r="K869" s="237"/>
      <c r="L869" s="237"/>
      <c r="M869" s="193" t="str">
        <f>'Buildings - Grid Electricity'!E371</f>
        <v/>
      </c>
      <c r="N869" s="193" t="str">
        <f>'Buildings - Grid Electricity'!F371</f>
        <v/>
      </c>
      <c r="O869" s="237"/>
      <c r="P869" s="193">
        <f>'Buildings - Grid Electricity'!G371</f>
        <v>0</v>
      </c>
      <c r="Q869" s="193" t="str">
        <f>'Buildings - Grid Electricity'!H371</f>
        <v/>
      </c>
      <c r="R869" s="193">
        <f>'Buildings - Grid Electricity'!I371</f>
        <v>0</v>
      </c>
      <c r="S869" s="193" t="str">
        <f>'Buildings - Grid Electricity'!J371</f>
        <v/>
      </c>
      <c r="T869" s="193" t="str">
        <f>'Buildings - Grid Electricity'!K371</f>
        <v/>
      </c>
      <c r="U869" s="193" t="str">
        <f>'Buildings - Grid Electricity'!L371</f>
        <v/>
      </c>
      <c r="V869" s="193" t="str">
        <f>'Buildings - Grid Electricity'!M371</f>
        <v/>
      </c>
      <c r="W869" s="193" t="str">
        <f>'Buildings - Grid Electricity'!N371</f>
        <v/>
      </c>
      <c r="X869" s="193">
        <f>'Buildings - Grid Electricity'!O371</f>
        <v>0</v>
      </c>
      <c r="Y869" s="193">
        <f>'Buildings - Grid Electricity'!P371</f>
        <v>0</v>
      </c>
      <c r="Z869" s="193" t="str">
        <f>'Buildings - Grid Electricity'!Q371</f>
        <v/>
      </c>
      <c r="AA869" s="193" t="str">
        <f>'Buildings - Grid Electricity'!R371</f>
        <v/>
      </c>
      <c r="AB869" s="193" t="str">
        <f>'Buildings - Grid Electricity'!S371</f>
        <v/>
      </c>
      <c r="AC869" s="193" t="str">
        <f>'Buildings - Grid Electricity'!T371</f>
        <v/>
      </c>
      <c r="AD869" s="193" t="str">
        <f>'Buildings - Grid Electricity'!U371</f>
        <v/>
      </c>
      <c r="AE869" s="193" t="str">
        <f>'Buildings - Grid Electricity'!V371</f>
        <v/>
      </c>
      <c r="AF869" s="193" t="str">
        <f>'Buildings - Grid Electricity'!W371</f>
        <v/>
      </c>
      <c r="AG869" s="193" t="str">
        <f>'Buildings - Grid Electricity'!X371</f>
        <v/>
      </c>
      <c r="AI869" s="193">
        <f t="shared" si="16"/>
        <v>0</v>
      </c>
      <c r="AJ869" s="193">
        <f t="shared" si="17"/>
        <v>0</v>
      </c>
    </row>
    <row r="870" spans="2:36" x14ac:dyDescent="0.35">
      <c r="B870" s="193" t="e">
        <f>"2024"&amp;MATCH(Totals!D870,OrgType,0)&amp;"_"&amp;MATCH(Totals!E870,Organisations,0)&amp;"_"&amp;LEFT(Totals!F870,1)&amp;"_"&amp;LEFT(G870,1)&amp;"_"&amp;COUNTIF($G$3:G870,G870)</f>
        <v>#N/A</v>
      </c>
      <c r="C870" s="193">
        <v>2025</v>
      </c>
      <c r="D870" s="193">
        <f>Introduction!$D$7</f>
        <v>0</v>
      </c>
      <c r="E870" s="193">
        <f>Introduction!$D$8</f>
        <v>0</v>
      </c>
      <c r="F870" s="193" t="s">
        <v>488</v>
      </c>
      <c r="G870" s="193" t="s">
        <v>171</v>
      </c>
      <c r="H870" s="193">
        <f>'Buildings - Grid Electricity'!B372</f>
        <v>0</v>
      </c>
      <c r="I870" s="193">
        <f>'Buildings - Grid Electricity'!C372</f>
        <v>0</v>
      </c>
      <c r="J870" s="193" t="str">
        <f>'Buildings - Grid Electricity'!D372</f>
        <v/>
      </c>
      <c r="K870" s="237"/>
      <c r="L870" s="237"/>
      <c r="M870" s="193" t="str">
        <f>'Buildings - Grid Electricity'!E372</f>
        <v/>
      </c>
      <c r="N870" s="193" t="str">
        <f>'Buildings - Grid Electricity'!F372</f>
        <v/>
      </c>
      <c r="O870" s="237"/>
      <c r="P870" s="193">
        <f>'Buildings - Grid Electricity'!G372</f>
        <v>0</v>
      </c>
      <c r="Q870" s="193" t="str">
        <f>'Buildings - Grid Electricity'!H372</f>
        <v/>
      </c>
      <c r="R870" s="193">
        <f>'Buildings - Grid Electricity'!I372</f>
        <v>0</v>
      </c>
      <c r="S870" s="193" t="str">
        <f>'Buildings - Grid Electricity'!J372</f>
        <v/>
      </c>
      <c r="T870" s="193" t="str">
        <f>'Buildings - Grid Electricity'!K372</f>
        <v/>
      </c>
      <c r="U870" s="193" t="str">
        <f>'Buildings - Grid Electricity'!L372</f>
        <v/>
      </c>
      <c r="V870" s="193" t="str">
        <f>'Buildings - Grid Electricity'!M372</f>
        <v/>
      </c>
      <c r="W870" s="193" t="str">
        <f>'Buildings - Grid Electricity'!N372</f>
        <v/>
      </c>
      <c r="X870" s="193">
        <f>'Buildings - Grid Electricity'!O372</f>
        <v>0</v>
      </c>
      <c r="Y870" s="193">
        <f>'Buildings - Grid Electricity'!P372</f>
        <v>0</v>
      </c>
      <c r="Z870" s="193" t="str">
        <f>'Buildings - Grid Electricity'!Q372</f>
        <v/>
      </c>
      <c r="AA870" s="193" t="str">
        <f>'Buildings - Grid Electricity'!R372</f>
        <v/>
      </c>
      <c r="AB870" s="193" t="str">
        <f>'Buildings - Grid Electricity'!S372</f>
        <v/>
      </c>
      <c r="AC870" s="193" t="str">
        <f>'Buildings - Grid Electricity'!T372</f>
        <v/>
      </c>
      <c r="AD870" s="193" t="str">
        <f>'Buildings - Grid Electricity'!U372</f>
        <v/>
      </c>
      <c r="AE870" s="193" t="str">
        <f>'Buildings - Grid Electricity'!V372</f>
        <v/>
      </c>
      <c r="AF870" s="193" t="str">
        <f>'Buildings - Grid Electricity'!W372</f>
        <v/>
      </c>
      <c r="AG870" s="193" t="str">
        <f>'Buildings - Grid Electricity'!X372</f>
        <v/>
      </c>
      <c r="AI870" s="193">
        <f t="shared" si="16"/>
        <v>0</v>
      </c>
      <c r="AJ870" s="193">
        <f t="shared" si="17"/>
        <v>0</v>
      </c>
    </row>
    <row r="871" spans="2:36" x14ac:dyDescent="0.35">
      <c r="B871" s="193" t="e">
        <f>"2024"&amp;MATCH(Totals!D871,OrgType,0)&amp;"_"&amp;MATCH(Totals!E871,Organisations,0)&amp;"_"&amp;LEFT(Totals!F871,1)&amp;"_"&amp;LEFT(G871,1)&amp;"_"&amp;COUNTIF($G$3:G871,G871)</f>
        <v>#N/A</v>
      </c>
      <c r="C871" s="193">
        <v>2025</v>
      </c>
      <c r="D871" s="193">
        <f>Introduction!$D$7</f>
        <v>0</v>
      </c>
      <c r="E871" s="193">
        <f>Introduction!$D$8</f>
        <v>0</v>
      </c>
      <c r="F871" s="193" t="s">
        <v>488</v>
      </c>
      <c r="G871" s="193" t="s">
        <v>171</v>
      </c>
      <c r="H871" s="193">
        <f>'Buildings - Grid Electricity'!B373</f>
        <v>0</v>
      </c>
      <c r="I871" s="193">
        <f>'Buildings - Grid Electricity'!C373</f>
        <v>0</v>
      </c>
      <c r="J871" s="193" t="str">
        <f>'Buildings - Grid Electricity'!D373</f>
        <v/>
      </c>
      <c r="K871" s="237"/>
      <c r="L871" s="237"/>
      <c r="M871" s="193" t="str">
        <f>'Buildings - Grid Electricity'!E373</f>
        <v/>
      </c>
      <c r="N871" s="193" t="str">
        <f>'Buildings - Grid Electricity'!F373</f>
        <v/>
      </c>
      <c r="O871" s="237"/>
      <c r="P871" s="193">
        <f>'Buildings - Grid Electricity'!G373</f>
        <v>0</v>
      </c>
      <c r="Q871" s="193" t="str">
        <f>'Buildings - Grid Electricity'!H373</f>
        <v/>
      </c>
      <c r="R871" s="193">
        <f>'Buildings - Grid Electricity'!I373</f>
        <v>0</v>
      </c>
      <c r="S871" s="193" t="str">
        <f>'Buildings - Grid Electricity'!J373</f>
        <v/>
      </c>
      <c r="T871" s="193" t="str">
        <f>'Buildings - Grid Electricity'!K373</f>
        <v/>
      </c>
      <c r="U871" s="193" t="str">
        <f>'Buildings - Grid Electricity'!L373</f>
        <v/>
      </c>
      <c r="V871" s="193" t="str">
        <f>'Buildings - Grid Electricity'!M373</f>
        <v/>
      </c>
      <c r="W871" s="193" t="str">
        <f>'Buildings - Grid Electricity'!N373</f>
        <v/>
      </c>
      <c r="X871" s="193">
        <f>'Buildings - Grid Electricity'!O373</f>
        <v>0</v>
      </c>
      <c r="Y871" s="193">
        <f>'Buildings - Grid Electricity'!P373</f>
        <v>0</v>
      </c>
      <c r="Z871" s="193" t="str">
        <f>'Buildings - Grid Electricity'!Q373</f>
        <v/>
      </c>
      <c r="AA871" s="193" t="str">
        <f>'Buildings - Grid Electricity'!R373</f>
        <v/>
      </c>
      <c r="AB871" s="193" t="str">
        <f>'Buildings - Grid Electricity'!S373</f>
        <v/>
      </c>
      <c r="AC871" s="193" t="str">
        <f>'Buildings - Grid Electricity'!T373</f>
        <v/>
      </c>
      <c r="AD871" s="193" t="str">
        <f>'Buildings - Grid Electricity'!U373</f>
        <v/>
      </c>
      <c r="AE871" s="193" t="str">
        <f>'Buildings - Grid Electricity'!V373</f>
        <v/>
      </c>
      <c r="AF871" s="193" t="str">
        <f>'Buildings - Grid Electricity'!W373</f>
        <v/>
      </c>
      <c r="AG871" s="193" t="str">
        <f>'Buildings - Grid Electricity'!X373</f>
        <v/>
      </c>
      <c r="AI871" s="193">
        <f t="shared" si="16"/>
        <v>0</v>
      </c>
      <c r="AJ871" s="193">
        <f t="shared" si="17"/>
        <v>0</v>
      </c>
    </row>
    <row r="872" spans="2:36" x14ac:dyDescent="0.35">
      <c r="B872" s="193" t="e">
        <f>"2024"&amp;MATCH(Totals!D872,OrgType,0)&amp;"_"&amp;MATCH(Totals!E872,Organisations,0)&amp;"_"&amp;LEFT(Totals!F872,1)&amp;"_"&amp;LEFT(G872,1)&amp;"_"&amp;COUNTIF($G$3:G872,G872)</f>
        <v>#N/A</v>
      </c>
      <c r="C872" s="193">
        <v>2025</v>
      </c>
      <c r="D872" s="193">
        <f>Introduction!$D$7</f>
        <v>0</v>
      </c>
      <c r="E872" s="193">
        <f>Introduction!$D$8</f>
        <v>0</v>
      </c>
      <c r="F872" s="193" t="s">
        <v>488</v>
      </c>
      <c r="G872" s="193" t="s">
        <v>171</v>
      </c>
      <c r="H872" s="193">
        <f>'Buildings - Grid Electricity'!B374</f>
        <v>0</v>
      </c>
      <c r="I872" s="193">
        <f>'Buildings - Grid Electricity'!C374</f>
        <v>0</v>
      </c>
      <c r="J872" s="193" t="str">
        <f>'Buildings - Grid Electricity'!D374</f>
        <v/>
      </c>
      <c r="K872" s="237"/>
      <c r="L872" s="237"/>
      <c r="M872" s="193" t="str">
        <f>'Buildings - Grid Electricity'!E374</f>
        <v/>
      </c>
      <c r="N872" s="193" t="str">
        <f>'Buildings - Grid Electricity'!F374</f>
        <v/>
      </c>
      <c r="O872" s="237"/>
      <c r="P872" s="193">
        <f>'Buildings - Grid Electricity'!G374</f>
        <v>0</v>
      </c>
      <c r="Q872" s="193" t="str">
        <f>'Buildings - Grid Electricity'!H374</f>
        <v/>
      </c>
      <c r="R872" s="193">
        <f>'Buildings - Grid Electricity'!I374</f>
        <v>0</v>
      </c>
      <c r="S872" s="193" t="str">
        <f>'Buildings - Grid Electricity'!J374</f>
        <v/>
      </c>
      <c r="T872" s="193" t="str">
        <f>'Buildings - Grid Electricity'!K374</f>
        <v/>
      </c>
      <c r="U872" s="193" t="str">
        <f>'Buildings - Grid Electricity'!L374</f>
        <v/>
      </c>
      <c r="V872" s="193" t="str">
        <f>'Buildings - Grid Electricity'!M374</f>
        <v/>
      </c>
      <c r="W872" s="193" t="str">
        <f>'Buildings - Grid Electricity'!N374</f>
        <v/>
      </c>
      <c r="X872" s="193">
        <f>'Buildings - Grid Electricity'!O374</f>
        <v>0</v>
      </c>
      <c r="Y872" s="193">
        <f>'Buildings - Grid Electricity'!P374</f>
        <v>0</v>
      </c>
      <c r="Z872" s="193" t="str">
        <f>'Buildings - Grid Electricity'!Q374</f>
        <v/>
      </c>
      <c r="AA872" s="193" t="str">
        <f>'Buildings - Grid Electricity'!R374</f>
        <v/>
      </c>
      <c r="AB872" s="193" t="str">
        <f>'Buildings - Grid Electricity'!S374</f>
        <v/>
      </c>
      <c r="AC872" s="193" t="str">
        <f>'Buildings - Grid Electricity'!T374</f>
        <v/>
      </c>
      <c r="AD872" s="193" t="str">
        <f>'Buildings - Grid Electricity'!U374</f>
        <v/>
      </c>
      <c r="AE872" s="193" t="str">
        <f>'Buildings - Grid Electricity'!V374</f>
        <v/>
      </c>
      <c r="AF872" s="193" t="str">
        <f>'Buildings - Grid Electricity'!W374</f>
        <v/>
      </c>
      <c r="AG872" s="193" t="str">
        <f>'Buildings - Grid Electricity'!X374</f>
        <v/>
      </c>
      <c r="AI872" s="193">
        <f t="shared" si="16"/>
        <v>0</v>
      </c>
      <c r="AJ872" s="193">
        <f t="shared" si="17"/>
        <v>0</v>
      </c>
    </row>
    <row r="873" spans="2:36" x14ac:dyDescent="0.35">
      <c r="B873" s="193" t="e">
        <f>"2024"&amp;MATCH(Totals!D873,OrgType,0)&amp;"_"&amp;MATCH(Totals!E873,Organisations,0)&amp;"_"&amp;LEFT(Totals!F873,1)&amp;"_"&amp;LEFT(G873,1)&amp;"_"&amp;COUNTIF($G$3:G873,G873)</f>
        <v>#N/A</v>
      </c>
      <c r="C873" s="193">
        <v>2025</v>
      </c>
      <c r="D873" s="193">
        <f>Introduction!$D$7</f>
        <v>0</v>
      </c>
      <c r="E873" s="193">
        <f>Introduction!$D$8</f>
        <v>0</v>
      </c>
      <c r="F873" s="193" t="s">
        <v>488</v>
      </c>
      <c r="G873" s="193" t="s">
        <v>171</v>
      </c>
      <c r="H873" s="193">
        <f>'Buildings - Grid Electricity'!B375</f>
        <v>0</v>
      </c>
      <c r="I873" s="193">
        <f>'Buildings - Grid Electricity'!C375</f>
        <v>0</v>
      </c>
      <c r="J873" s="193" t="str">
        <f>'Buildings - Grid Electricity'!D375</f>
        <v/>
      </c>
      <c r="K873" s="237"/>
      <c r="L873" s="237"/>
      <c r="M873" s="193" t="str">
        <f>'Buildings - Grid Electricity'!E375</f>
        <v/>
      </c>
      <c r="N873" s="193" t="str">
        <f>'Buildings - Grid Electricity'!F375</f>
        <v/>
      </c>
      <c r="O873" s="237"/>
      <c r="P873" s="193">
        <f>'Buildings - Grid Electricity'!G375</f>
        <v>0</v>
      </c>
      <c r="Q873" s="193" t="str">
        <f>'Buildings - Grid Electricity'!H375</f>
        <v/>
      </c>
      <c r="R873" s="193">
        <f>'Buildings - Grid Electricity'!I375</f>
        <v>0</v>
      </c>
      <c r="S873" s="193" t="str">
        <f>'Buildings - Grid Electricity'!J375</f>
        <v/>
      </c>
      <c r="T873" s="193" t="str">
        <f>'Buildings - Grid Electricity'!K375</f>
        <v/>
      </c>
      <c r="U873" s="193" t="str">
        <f>'Buildings - Grid Electricity'!L375</f>
        <v/>
      </c>
      <c r="V873" s="193" t="str">
        <f>'Buildings - Grid Electricity'!M375</f>
        <v/>
      </c>
      <c r="W873" s="193" t="str">
        <f>'Buildings - Grid Electricity'!N375</f>
        <v/>
      </c>
      <c r="X873" s="193">
        <f>'Buildings - Grid Electricity'!O375</f>
        <v>0</v>
      </c>
      <c r="Y873" s="193">
        <f>'Buildings - Grid Electricity'!P375</f>
        <v>0</v>
      </c>
      <c r="Z873" s="193" t="str">
        <f>'Buildings - Grid Electricity'!Q375</f>
        <v/>
      </c>
      <c r="AA873" s="193" t="str">
        <f>'Buildings - Grid Electricity'!R375</f>
        <v/>
      </c>
      <c r="AB873" s="193" t="str">
        <f>'Buildings - Grid Electricity'!S375</f>
        <v/>
      </c>
      <c r="AC873" s="193" t="str">
        <f>'Buildings - Grid Electricity'!T375</f>
        <v/>
      </c>
      <c r="AD873" s="193" t="str">
        <f>'Buildings - Grid Electricity'!U375</f>
        <v/>
      </c>
      <c r="AE873" s="193" t="str">
        <f>'Buildings - Grid Electricity'!V375</f>
        <v/>
      </c>
      <c r="AF873" s="193" t="str">
        <f>'Buildings - Grid Electricity'!W375</f>
        <v/>
      </c>
      <c r="AG873" s="193" t="str">
        <f>'Buildings - Grid Electricity'!X375</f>
        <v/>
      </c>
      <c r="AI873" s="193">
        <f t="shared" si="16"/>
        <v>0</v>
      </c>
      <c r="AJ873" s="193">
        <f t="shared" si="17"/>
        <v>0</v>
      </c>
    </row>
    <row r="874" spans="2:36" x14ac:dyDescent="0.35">
      <c r="B874" s="193" t="e">
        <f>"2024"&amp;MATCH(Totals!D874,OrgType,0)&amp;"_"&amp;MATCH(Totals!E874,Organisations,0)&amp;"_"&amp;LEFT(Totals!F874,1)&amp;"_"&amp;LEFT(G874,1)&amp;"_"&amp;COUNTIF($G$3:G874,G874)</f>
        <v>#N/A</v>
      </c>
      <c r="C874" s="193">
        <v>2025</v>
      </c>
      <c r="D874" s="193">
        <f>Introduction!$D$7</f>
        <v>0</v>
      </c>
      <c r="E874" s="193">
        <f>Introduction!$D$8</f>
        <v>0</v>
      </c>
      <c r="F874" s="193" t="s">
        <v>488</v>
      </c>
      <c r="G874" s="193" t="s">
        <v>171</v>
      </c>
      <c r="H874" s="193">
        <f>'Buildings - Grid Electricity'!B376</f>
        <v>0</v>
      </c>
      <c r="I874" s="193">
        <f>'Buildings - Grid Electricity'!C376</f>
        <v>0</v>
      </c>
      <c r="J874" s="193" t="str">
        <f>'Buildings - Grid Electricity'!D376</f>
        <v/>
      </c>
      <c r="K874" s="237"/>
      <c r="L874" s="237"/>
      <c r="M874" s="193" t="str">
        <f>'Buildings - Grid Electricity'!E376</f>
        <v/>
      </c>
      <c r="N874" s="193" t="str">
        <f>'Buildings - Grid Electricity'!F376</f>
        <v/>
      </c>
      <c r="O874" s="237"/>
      <c r="P874" s="193">
        <f>'Buildings - Grid Electricity'!G376</f>
        <v>0</v>
      </c>
      <c r="Q874" s="193" t="str">
        <f>'Buildings - Grid Electricity'!H376</f>
        <v/>
      </c>
      <c r="R874" s="193">
        <f>'Buildings - Grid Electricity'!I376</f>
        <v>0</v>
      </c>
      <c r="S874" s="193" t="str">
        <f>'Buildings - Grid Electricity'!J376</f>
        <v/>
      </c>
      <c r="T874" s="193" t="str">
        <f>'Buildings - Grid Electricity'!K376</f>
        <v/>
      </c>
      <c r="U874" s="193" t="str">
        <f>'Buildings - Grid Electricity'!L376</f>
        <v/>
      </c>
      <c r="V874" s="193" t="str">
        <f>'Buildings - Grid Electricity'!M376</f>
        <v/>
      </c>
      <c r="W874" s="193" t="str">
        <f>'Buildings - Grid Electricity'!N376</f>
        <v/>
      </c>
      <c r="X874" s="193">
        <f>'Buildings - Grid Electricity'!O376</f>
        <v>0</v>
      </c>
      <c r="Y874" s="193">
        <f>'Buildings - Grid Electricity'!P376</f>
        <v>0</v>
      </c>
      <c r="Z874" s="193" t="str">
        <f>'Buildings - Grid Electricity'!Q376</f>
        <v/>
      </c>
      <c r="AA874" s="193" t="str">
        <f>'Buildings - Grid Electricity'!R376</f>
        <v/>
      </c>
      <c r="AB874" s="193" t="str">
        <f>'Buildings - Grid Electricity'!S376</f>
        <v/>
      </c>
      <c r="AC874" s="193" t="str">
        <f>'Buildings - Grid Electricity'!T376</f>
        <v/>
      </c>
      <c r="AD874" s="193" t="str">
        <f>'Buildings - Grid Electricity'!U376</f>
        <v/>
      </c>
      <c r="AE874" s="193" t="str">
        <f>'Buildings - Grid Electricity'!V376</f>
        <v/>
      </c>
      <c r="AF874" s="193" t="str">
        <f>'Buildings - Grid Electricity'!W376</f>
        <v/>
      </c>
      <c r="AG874" s="193" t="str">
        <f>'Buildings - Grid Electricity'!X376</f>
        <v/>
      </c>
      <c r="AI874" s="193">
        <f t="shared" si="16"/>
        <v>0</v>
      </c>
      <c r="AJ874" s="193">
        <f t="shared" si="17"/>
        <v>0</v>
      </c>
    </row>
    <row r="875" spans="2:36" x14ac:dyDescent="0.35">
      <c r="B875" s="193" t="e">
        <f>"2024"&amp;MATCH(Totals!D875,OrgType,0)&amp;"_"&amp;MATCH(Totals!E875,Organisations,0)&amp;"_"&amp;LEFT(Totals!F875,1)&amp;"_"&amp;LEFT(G875,1)&amp;"_"&amp;COUNTIF($G$3:G875,G875)</f>
        <v>#N/A</v>
      </c>
      <c r="C875" s="193">
        <v>2025</v>
      </c>
      <c r="D875" s="193">
        <f>Introduction!$D$7</f>
        <v>0</v>
      </c>
      <c r="E875" s="193">
        <f>Introduction!$D$8</f>
        <v>0</v>
      </c>
      <c r="F875" s="193" t="s">
        <v>488</v>
      </c>
      <c r="G875" s="193" t="s">
        <v>171</v>
      </c>
      <c r="H875" s="193">
        <f>'Buildings - Grid Electricity'!B377</f>
        <v>0</v>
      </c>
      <c r="I875" s="193">
        <f>'Buildings - Grid Electricity'!C377</f>
        <v>0</v>
      </c>
      <c r="J875" s="193" t="str">
        <f>'Buildings - Grid Electricity'!D377</f>
        <v/>
      </c>
      <c r="K875" s="237"/>
      <c r="L875" s="237"/>
      <c r="M875" s="193" t="str">
        <f>'Buildings - Grid Electricity'!E377</f>
        <v/>
      </c>
      <c r="N875" s="193" t="str">
        <f>'Buildings - Grid Electricity'!F377</f>
        <v/>
      </c>
      <c r="O875" s="237"/>
      <c r="P875" s="193">
        <f>'Buildings - Grid Electricity'!G377</f>
        <v>0</v>
      </c>
      <c r="Q875" s="193" t="str">
        <f>'Buildings - Grid Electricity'!H377</f>
        <v/>
      </c>
      <c r="R875" s="193">
        <f>'Buildings - Grid Electricity'!I377</f>
        <v>0</v>
      </c>
      <c r="S875" s="193" t="str">
        <f>'Buildings - Grid Electricity'!J377</f>
        <v/>
      </c>
      <c r="T875" s="193" t="str">
        <f>'Buildings - Grid Electricity'!K377</f>
        <v/>
      </c>
      <c r="U875" s="193" t="str">
        <f>'Buildings - Grid Electricity'!L377</f>
        <v/>
      </c>
      <c r="V875" s="193" t="str">
        <f>'Buildings - Grid Electricity'!M377</f>
        <v/>
      </c>
      <c r="W875" s="193" t="str">
        <f>'Buildings - Grid Electricity'!N377</f>
        <v/>
      </c>
      <c r="X875" s="193">
        <f>'Buildings - Grid Electricity'!O377</f>
        <v>0</v>
      </c>
      <c r="Y875" s="193">
        <f>'Buildings - Grid Electricity'!P377</f>
        <v>0</v>
      </c>
      <c r="Z875" s="193" t="str">
        <f>'Buildings - Grid Electricity'!Q377</f>
        <v/>
      </c>
      <c r="AA875" s="193" t="str">
        <f>'Buildings - Grid Electricity'!R377</f>
        <v/>
      </c>
      <c r="AB875" s="193" t="str">
        <f>'Buildings - Grid Electricity'!S377</f>
        <v/>
      </c>
      <c r="AC875" s="193" t="str">
        <f>'Buildings - Grid Electricity'!T377</f>
        <v/>
      </c>
      <c r="AD875" s="193" t="str">
        <f>'Buildings - Grid Electricity'!U377</f>
        <v/>
      </c>
      <c r="AE875" s="193" t="str">
        <f>'Buildings - Grid Electricity'!V377</f>
        <v/>
      </c>
      <c r="AF875" s="193" t="str">
        <f>'Buildings - Grid Electricity'!W377</f>
        <v/>
      </c>
      <c r="AG875" s="193" t="str">
        <f>'Buildings - Grid Electricity'!X377</f>
        <v/>
      </c>
      <c r="AI875" s="193">
        <f t="shared" si="16"/>
        <v>0</v>
      </c>
      <c r="AJ875" s="193">
        <f t="shared" si="17"/>
        <v>0</v>
      </c>
    </row>
    <row r="876" spans="2:36" x14ac:dyDescent="0.35">
      <c r="B876" s="193" t="e">
        <f>"2024"&amp;MATCH(Totals!D876,OrgType,0)&amp;"_"&amp;MATCH(Totals!E876,Organisations,0)&amp;"_"&amp;LEFT(Totals!F876,1)&amp;"_"&amp;LEFT(G876,1)&amp;"_"&amp;COUNTIF($G$3:G876,G876)</f>
        <v>#N/A</v>
      </c>
      <c r="C876" s="193">
        <v>2025</v>
      </c>
      <c r="D876" s="193">
        <f>Introduction!$D$7</f>
        <v>0</v>
      </c>
      <c r="E876" s="193">
        <f>Introduction!$D$8</f>
        <v>0</v>
      </c>
      <c r="F876" s="193" t="s">
        <v>488</v>
      </c>
      <c r="G876" s="193" t="s">
        <v>171</v>
      </c>
      <c r="H876" s="193">
        <f>'Buildings - Grid Electricity'!B378</f>
        <v>0</v>
      </c>
      <c r="I876" s="193">
        <f>'Buildings - Grid Electricity'!C378</f>
        <v>0</v>
      </c>
      <c r="J876" s="193" t="str">
        <f>'Buildings - Grid Electricity'!D378</f>
        <v/>
      </c>
      <c r="K876" s="237"/>
      <c r="L876" s="237"/>
      <c r="M876" s="193" t="str">
        <f>'Buildings - Grid Electricity'!E378</f>
        <v/>
      </c>
      <c r="N876" s="193" t="str">
        <f>'Buildings - Grid Electricity'!F378</f>
        <v/>
      </c>
      <c r="O876" s="237"/>
      <c r="P876" s="193">
        <f>'Buildings - Grid Electricity'!G378</f>
        <v>0</v>
      </c>
      <c r="Q876" s="193" t="str">
        <f>'Buildings - Grid Electricity'!H378</f>
        <v/>
      </c>
      <c r="R876" s="193">
        <f>'Buildings - Grid Electricity'!I378</f>
        <v>0</v>
      </c>
      <c r="S876" s="193" t="str">
        <f>'Buildings - Grid Electricity'!J378</f>
        <v/>
      </c>
      <c r="T876" s="193" t="str">
        <f>'Buildings - Grid Electricity'!K378</f>
        <v/>
      </c>
      <c r="U876" s="193" t="str">
        <f>'Buildings - Grid Electricity'!L378</f>
        <v/>
      </c>
      <c r="V876" s="193" t="str">
        <f>'Buildings - Grid Electricity'!M378</f>
        <v/>
      </c>
      <c r="W876" s="193" t="str">
        <f>'Buildings - Grid Electricity'!N378</f>
        <v/>
      </c>
      <c r="X876" s="193">
        <f>'Buildings - Grid Electricity'!O378</f>
        <v>0</v>
      </c>
      <c r="Y876" s="193">
        <f>'Buildings - Grid Electricity'!P378</f>
        <v>0</v>
      </c>
      <c r="Z876" s="193" t="str">
        <f>'Buildings - Grid Electricity'!Q378</f>
        <v/>
      </c>
      <c r="AA876" s="193" t="str">
        <f>'Buildings - Grid Electricity'!R378</f>
        <v/>
      </c>
      <c r="AB876" s="193" t="str">
        <f>'Buildings - Grid Electricity'!S378</f>
        <v/>
      </c>
      <c r="AC876" s="193" t="str">
        <f>'Buildings - Grid Electricity'!T378</f>
        <v/>
      </c>
      <c r="AD876" s="193" t="str">
        <f>'Buildings - Grid Electricity'!U378</f>
        <v/>
      </c>
      <c r="AE876" s="193" t="str">
        <f>'Buildings - Grid Electricity'!V378</f>
        <v/>
      </c>
      <c r="AF876" s="193" t="str">
        <f>'Buildings - Grid Electricity'!W378</f>
        <v/>
      </c>
      <c r="AG876" s="193" t="str">
        <f>'Buildings - Grid Electricity'!X378</f>
        <v/>
      </c>
      <c r="AI876" s="193">
        <f t="shared" si="16"/>
        <v>0</v>
      </c>
      <c r="AJ876" s="193">
        <f t="shared" si="17"/>
        <v>0</v>
      </c>
    </row>
    <row r="877" spans="2:36" x14ac:dyDescent="0.35">
      <c r="B877" s="193" t="e">
        <f>"2024"&amp;MATCH(Totals!D877,OrgType,0)&amp;"_"&amp;MATCH(Totals!E877,Organisations,0)&amp;"_"&amp;LEFT(Totals!F877,1)&amp;"_"&amp;LEFT(G877,1)&amp;"_"&amp;COUNTIF($G$3:G877,G877)</f>
        <v>#N/A</v>
      </c>
      <c r="C877" s="193">
        <v>2025</v>
      </c>
      <c r="D877" s="193">
        <f>Introduction!$D$7</f>
        <v>0</v>
      </c>
      <c r="E877" s="193">
        <f>Introduction!$D$8</f>
        <v>0</v>
      </c>
      <c r="F877" s="193" t="s">
        <v>488</v>
      </c>
      <c r="G877" s="193" t="s">
        <v>171</v>
      </c>
      <c r="H877" s="193">
        <f>'Buildings - Grid Electricity'!B379</f>
        <v>0</v>
      </c>
      <c r="I877" s="193">
        <f>'Buildings - Grid Electricity'!C379</f>
        <v>0</v>
      </c>
      <c r="J877" s="193" t="str">
        <f>'Buildings - Grid Electricity'!D379</f>
        <v/>
      </c>
      <c r="K877" s="237"/>
      <c r="L877" s="237"/>
      <c r="M877" s="193" t="str">
        <f>'Buildings - Grid Electricity'!E379</f>
        <v/>
      </c>
      <c r="N877" s="193" t="str">
        <f>'Buildings - Grid Electricity'!F379</f>
        <v/>
      </c>
      <c r="O877" s="237"/>
      <c r="P877" s="193">
        <f>'Buildings - Grid Electricity'!G379</f>
        <v>0</v>
      </c>
      <c r="Q877" s="193" t="str">
        <f>'Buildings - Grid Electricity'!H379</f>
        <v/>
      </c>
      <c r="R877" s="193">
        <f>'Buildings - Grid Electricity'!I379</f>
        <v>0</v>
      </c>
      <c r="S877" s="193" t="str">
        <f>'Buildings - Grid Electricity'!J379</f>
        <v/>
      </c>
      <c r="T877" s="193" t="str">
        <f>'Buildings - Grid Electricity'!K379</f>
        <v/>
      </c>
      <c r="U877" s="193" t="str">
        <f>'Buildings - Grid Electricity'!L379</f>
        <v/>
      </c>
      <c r="V877" s="193" t="str">
        <f>'Buildings - Grid Electricity'!M379</f>
        <v/>
      </c>
      <c r="W877" s="193" t="str">
        <f>'Buildings - Grid Electricity'!N379</f>
        <v/>
      </c>
      <c r="X877" s="193">
        <f>'Buildings - Grid Electricity'!O379</f>
        <v>0</v>
      </c>
      <c r="Y877" s="193">
        <f>'Buildings - Grid Electricity'!P379</f>
        <v>0</v>
      </c>
      <c r="Z877" s="193" t="str">
        <f>'Buildings - Grid Electricity'!Q379</f>
        <v/>
      </c>
      <c r="AA877" s="193" t="str">
        <f>'Buildings - Grid Electricity'!R379</f>
        <v/>
      </c>
      <c r="AB877" s="193" t="str">
        <f>'Buildings - Grid Electricity'!S379</f>
        <v/>
      </c>
      <c r="AC877" s="193" t="str">
        <f>'Buildings - Grid Electricity'!T379</f>
        <v/>
      </c>
      <c r="AD877" s="193" t="str">
        <f>'Buildings - Grid Electricity'!U379</f>
        <v/>
      </c>
      <c r="AE877" s="193" t="str">
        <f>'Buildings - Grid Electricity'!V379</f>
        <v/>
      </c>
      <c r="AF877" s="193" t="str">
        <f>'Buildings - Grid Electricity'!W379</f>
        <v/>
      </c>
      <c r="AG877" s="193" t="str">
        <f>'Buildings - Grid Electricity'!X379</f>
        <v/>
      </c>
      <c r="AI877" s="193">
        <f t="shared" si="16"/>
        <v>0</v>
      </c>
      <c r="AJ877" s="193">
        <f t="shared" si="17"/>
        <v>0</v>
      </c>
    </row>
    <row r="878" spans="2:36" x14ac:dyDescent="0.35">
      <c r="B878" s="193" t="e">
        <f>"2024"&amp;MATCH(Totals!D878,OrgType,0)&amp;"_"&amp;MATCH(Totals!E878,Organisations,0)&amp;"_"&amp;LEFT(Totals!F878,1)&amp;"_"&amp;LEFT(G878,1)&amp;"_"&amp;COUNTIF($G$3:G878,G878)</f>
        <v>#N/A</v>
      </c>
      <c r="C878" s="193">
        <v>2025</v>
      </c>
      <c r="D878" s="193">
        <f>Introduction!$D$7</f>
        <v>0</v>
      </c>
      <c r="E878" s="193">
        <f>Introduction!$D$8</f>
        <v>0</v>
      </c>
      <c r="F878" s="193" t="s">
        <v>488</v>
      </c>
      <c r="G878" s="193" t="s">
        <v>171</v>
      </c>
      <c r="H878" s="193">
        <f>'Buildings - Grid Electricity'!B380</f>
        <v>0</v>
      </c>
      <c r="I878" s="193">
        <f>'Buildings - Grid Electricity'!C380</f>
        <v>0</v>
      </c>
      <c r="J878" s="193" t="str">
        <f>'Buildings - Grid Electricity'!D380</f>
        <v/>
      </c>
      <c r="K878" s="237"/>
      <c r="L878" s="237"/>
      <c r="M878" s="193" t="str">
        <f>'Buildings - Grid Electricity'!E380</f>
        <v/>
      </c>
      <c r="N878" s="193" t="str">
        <f>'Buildings - Grid Electricity'!F380</f>
        <v/>
      </c>
      <c r="O878" s="237"/>
      <c r="P878" s="193">
        <f>'Buildings - Grid Electricity'!G380</f>
        <v>0</v>
      </c>
      <c r="Q878" s="193" t="str">
        <f>'Buildings - Grid Electricity'!H380</f>
        <v/>
      </c>
      <c r="R878" s="193">
        <f>'Buildings - Grid Electricity'!I380</f>
        <v>0</v>
      </c>
      <c r="S878" s="193" t="str">
        <f>'Buildings - Grid Electricity'!J380</f>
        <v/>
      </c>
      <c r="T878" s="193" t="str">
        <f>'Buildings - Grid Electricity'!K380</f>
        <v/>
      </c>
      <c r="U878" s="193" t="str">
        <f>'Buildings - Grid Electricity'!L380</f>
        <v/>
      </c>
      <c r="V878" s="193" t="str">
        <f>'Buildings - Grid Electricity'!M380</f>
        <v/>
      </c>
      <c r="W878" s="193" t="str">
        <f>'Buildings - Grid Electricity'!N380</f>
        <v/>
      </c>
      <c r="X878" s="193">
        <f>'Buildings - Grid Electricity'!O380</f>
        <v>0</v>
      </c>
      <c r="Y878" s="193">
        <f>'Buildings - Grid Electricity'!P380</f>
        <v>0</v>
      </c>
      <c r="Z878" s="193" t="str">
        <f>'Buildings - Grid Electricity'!Q380</f>
        <v/>
      </c>
      <c r="AA878" s="193" t="str">
        <f>'Buildings - Grid Electricity'!R380</f>
        <v/>
      </c>
      <c r="AB878" s="193" t="str">
        <f>'Buildings - Grid Electricity'!S380</f>
        <v/>
      </c>
      <c r="AC878" s="193" t="str">
        <f>'Buildings - Grid Electricity'!T380</f>
        <v/>
      </c>
      <c r="AD878" s="193" t="str">
        <f>'Buildings - Grid Electricity'!U380</f>
        <v/>
      </c>
      <c r="AE878" s="193" t="str">
        <f>'Buildings - Grid Electricity'!V380</f>
        <v/>
      </c>
      <c r="AF878" s="193" t="str">
        <f>'Buildings - Grid Electricity'!W380</f>
        <v/>
      </c>
      <c r="AG878" s="193" t="str">
        <f>'Buildings - Grid Electricity'!X380</f>
        <v/>
      </c>
      <c r="AI878" s="193">
        <f t="shared" si="16"/>
        <v>0</v>
      </c>
      <c r="AJ878" s="193">
        <f t="shared" si="17"/>
        <v>0</v>
      </c>
    </row>
    <row r="879" spans="2:36" x14ac:dyDescent="0.35">
      <c r="B879" s="193" t="e">
        <f>"2024"&amp;MATCH(Totals!D879,OrgType,0)&amp;"_"&amp;MATCH(Totals!E879,Organisations,0)&amp;"_"&amp;LEFT(Totals!F879,1)&amp;"_"&amp;LEFT(G879,1)&amp;"_"&amp;COUNTIF($G$3:G879,G879)</f>
        <v>#N/A</v>
      </c>
      <c r="C879" s="193">
        <v>2025</v>
      </c>
      <c r="D879" s="193">
        <f>Introduction!$D$7</f>
        <v>0</v>
      </c>
      <c r="E879" s="193">
        <f>Introduction!$D$8</f>
        <v>0</v>
      </c>
      <c r="F879" s="193" t="s">
        <v>488</v>
      </c>
      <c r="G879" s="193" t="s">
        <v>171</v>
      </c>
      <c r="H879" s="193">
        <f>'Buildings - Grid Electricity'!B381</f>
        <v>0</v>
      </c>
      <c r="I879" s="193">
        <f>'Buildings - Grid Electricity'!C381</f>
        <v>0</v>
      </c>
      <c r="J879" s="193" t="str">
        <f>'Buildings - Grid Electricity'!D381</f>
        <v/>
      </c>
      <c r="K879" s="237"/>
      <c r="L879" s="237"/>
      <c r="M879" s="193" t="str">
        <f>'Buildings - Grid Electricity'!E381</f>
        <v/>
      </c>
      <c r="N879" s="193" t="str">
        <f>'Buildings - Grid Electricity'!F381</f>
        <v/>
      </c>
      <c r="O879" s="237"/>
      <c r="P879" s="193">
        <f>'Buildings - Grid Electricity'!G381</f>
        <v>0</v>
      </c>
      <c r="Q879" s="193" t="str">
        <f>'Buildings - Grid Electricity'!H381</f>
        <v/>
      </c>
      <c r="R879" s="193">
        <f>'Buildings - Grid Electricity'!I381</f>
        <v>0</v>
      </c>
      <c r="S879" s="193" t="str">
        <f>'Buildings - Grid Electricity'!J381</f>
        <v/>
      </c>
      <c r="T879" s="193" t="str">
        <f>'Buildings - Grid Electricity'!K381</f>
        <v/>
      </c>
      <c r="U879" s="193" t="str">
        <f>'Buildings - Grid Electricity'!L381</f>
        <v/>
      </c>
      <c r="V879" s="193" t="str">
        <f>'Buildings - Grid Electricity'!M381</f>
        <v/>
      </c>
      <c r="W879" s="193" t="str">
        <f>'Buildings - Grid Electricity'!N381</f>
        <v/>
      </c>
      <c r="X879" s="193">
        <f>'Buildings - Grid Electricity'!O381</f>
        <v>0</v>
      </c>
      <c r="Y879" s="193">
        <f>'Buildings - Grid Electricity'!P381</f>
        <v>0</v>
      </c>
      <c r="Z879" s="193" t="str">
        <f>'Buildings - Grid Electricity'!Q381</f>
        <v/>
      </c>
      <c r="AA879" s="193" t="str">
        <f>'Buildings - Grid Electricity'!R381</f>
        <v/>
      </c>
      <c r="AB879" s="193" t="str">
        <f>'Buildings - Grid Electricity'!S381</f>
        <v/>
      </c>
      <c r="AC879" s="193" t="str">
        <f>'Buildings - Grid Electricity'!T381</f>
        <v/>
      </c>
      <c r="AD879" s="193" t="str">
        <f>'Buildings - Grid Electricity'!U381</f>
        <v/>
      </c>
      <c r="AE879" s="193" t="str">
        <f>'Buildings - Grid Electricity'!V381</f>
        <v/>
      </c>
      <c r="AF879" s="193" t="str">
        <f>'Buildings - Grid Electricity'!W381</f>
        <v/>
      </c>
      <c r="AG879" s="193" t="str">
        <f>'Buildings - Grid Electricity'!X381</f>
        <v/>
      </c>
      <c r="AI879" s="193">
        <f t="shared" si="16"/>
        <v>0</v>
      </c>
      <c r="AJ879" s="193">
        <f t="shared" si="17"/>
        <v>0</v>
      </c>
    </row>
    <row r="880" spans="2:36" x14ac:dyDescent="0.35">
      <c r="B880" s="193" t="e">
        <f>"2024"&amp;MATCH(Totals!D880,OrgType,0)&amp;"_"&amp;MATCH(Totals!E880,Organisations,0)&amp;"_"&amp;LEFT(Totals!F880,1)&amp;"_"&amp;LEFT(G880,1)&amp;"_"&amp;COUNTIF($G$3:G880,G880)</f>
        <v>#N/A</v>
      </c>
      <c r="C880" s="193">
        <v>2025</v>
      </c>
      <c r="D880" s="193">
        <f>Introduction!$D$7</f>
        <v>0</v>
      </c>
      <c r="E880" s="193">
        <f>Introduction!$D$8</f>
        <v>0</v>
      </c>
      <c r="F880" s="193" t="s">
        <v>488</v>
      </c>
      <c r="G880" s="193" t="s">
        <v>171</v>
      </c>
      <c r="H880" s="193">
        <f>'Buildings - Grid Electricity'!B382</f>
        <v>0</v>
      </c>
      <c r="I880" s="193">
        <f>'Buildings - Grid Electricity'!C382</f>
        <v>0</v>
      </c>
      <c r="J880" s="193" t="str">
        <f>'Buildings - Grid Electricity'!D382</f>
        <v/>
      </c>
      <c r="K880" s="237"/>
      <c r="L880" s="237"/>
      <c r="M880" s="193" t="str">
        <f>'Buildings - Grid Electricity'!E382</f>
        <v/>
      </c>
      <c r="N880" s="193" t="str">
        <f>'Buildings - Grid Electricity'!F382</f>
        <v/>
      </c>
      <c r="O880" s="237"/>
      <c r="P880" s="193">
        <f>'Buildings - Grid Electricity'!G382</f>
        <v>0</v>
      </c>
      <c r="Q880" s="193" t="str">
        <f>'Buildings - Grid Electricity'!H382</f>
        <v/>
      </c>
      <c r="R880" s="193">
        <f>'Buildings - Grid Electricity'!I382</f>
        <v>0</v>
      </c>
      <c r="S880" s="193" t="str">
        <f>'Buildings - Grid Electricity'!J382</f>
        <v/>
      </c>
      <c r="T880" s="193" t="str">
        <f>'Buildings - Grid Electricity'!K382</f>
        <v/>
      </c>
      <c r="U880" s="193" t="str">
        <f>'Buildings - Grid Electricity'!L382</f>
        <v/>
      </c>
      <c r="V880" s="193" t="str">
        <f>'Buildings - Grid Electricity'!M382</f>
        <v/>
      </c>
      <c r="W880" s="193" t="str">
        <f>'Buildings - Grid Electricity'!N382</f>
        <v/>
      </c>
      <c r="X880" s="193">
        <f>'Buildings - Grid Electricity'!O382</f>
        <v>0</v>
      </c>
      <c r="Y880" s="193">
        <f>'Buildings - Grid Electricity'!P382</f>
        <v>0</v>
      </c>
      <c r="Z880" s="193" t="str">
        <f>'Buildings - Grid Electricity'!Q382</f>
        <v/>
      </c>
      <c r="AA880" s="193" t="str">
        <f>'Buildings - Grid Electricity'!R382</f>
        <v/>
      </c>
      <c r="AB880" s="193" t="str">
        <f>'Buildings - Grid Electricity'!S382</f>
        <v/>
      </c>
      <c r="AC880" s="193" t="str">
        <f>'Buildings - Grid Electricity'!T382</f>
        <v/>
      </c>
      <c r="AD880" s="193" t="str">
        <f>'Buildings - Grid Electricity'!U382</f>
        <v/>
      </c>
      <c r="AE880" s="193" t="str">
        <f>'Buildings - Grid Electricity'!V382</f>
        <v/>
      </c>
      <c r="AF880" s="193" t="str">
        <f>'Buildings - Grid Electricity'!W382</f>
        <v/>
      </c>
      <c r="AG880" s="193" t="str">
        <f>'Buildings - Grid Electricity'!X382</f>
        <v/>
      </c>
      <c r="AI880" s="193">
        <f t="shared" si="16"/>
        <v>0</v>
      </c>
      <c r="AJ880" s="193">
        <f t="shared" si="17"/>
        <v>0</v>
      </c>
    </row>
    <row r="881" spans="2:36" x14ac:dyDescent="0.35">
      <c r="B881" s="193" t="e">
        <f>"2024"&amp;MATCH(Totals!D881,OrgType,0)&amp;"_"&amp;MATCH(Totals!E881,Organisations,0)&amp;"_"&amp;LEFT(Totals!F881,1)&amp;"_"&amp;LEFT(G881,1)&amp;"_"&amp;COUNTIF($G$3:G881,G881)</f>
        <v>#N/A</v>
      </c>
      <c r="C881" s="193">
        <v>2025</v>
      </c>
      <c r="D881" s="193">
        <f>Introduction!$D$7</f>
        <v>0</v>
      </c>
      <c r="E881" s="193">
        <f>Introduction!$D$8</f>
        <v>0</v>
      </c>
      <c r="F881" s="193" t="s">
        <v>488</v>
      </c>
      <c r="G881" s="193" t="s">
        <v>171</v>
      </c>
      <c r="H881" s="193">
        <f>'Buildings - Grid Electricity'!B383</f>
        <v>0</v>
      </c>
      <c r="I881" s="193">
        <f>'Buildings - Grid Electricity'!C383</f>
        <v>0</v>
      </c>
      <c r="J881" s="193" t="str">
        <f>'Buildings - Grid Electricity'!D383</f>
        <v/>
      </c>
      <c r="K881" s="237"/>
      <c r="L881" s="237"/>
      <c r="M881" s="193" t="str">
        <f>'Buildings - Grid Electricity'!E383</f>
        <v/>
      </c>
      <c r="N881" s="193" t="str">
        <f>'Buildings - Grid Electricity'!F383</f>
        <v/>
      </c>
      <c r="O881" s="237"/>
      <c r="P881" s="193">
        <f>'Buildings - Grid Electricity'!G383</f>
        <v>0</v>
      </c>
      <c r="Q881" s="193" t="str">
        <f>'Buildings - Grid Electricity'!H383</f>
        <v/>
      </c>
      <c r="R881" s="193">
        <f>'Buildings - Grid Electricity'!I383</f>
        <v>0</v>
      </c>
      <c r="S881" s="193" t="str">
        <f>'Buildings - Grid Electricity'!J383</f>
        <v/>
      </c>
      <c r="T881" s="193" t="str">
        <f>'Buildings - Grid Electricity'!K383</f>
        <v/>
      </c>
      <c r="U881" s="193" t="str">
        <f>'Buildings - Grid Electricity'!L383</f>
        <v/>
      </c>
      <c r="V881" s="193" t="str">
        <f>'Buildings - Grid Electricity'!M383</f>
        <v/>
      </c>
      <c r="W881" s="193" t="str">
        <f>'Buildings - Grid Electricity'!N383</f>
        <v/>
      </c>
      <c r="X881" s="193">
        <f>'Buildings - Grid Electricity'!O383</f>
        <v>0</v>
      </c>
      <c r="Y881" s="193">
        <f>'Buildings - Grid Electricity'!P383</f>
        <v>0</v>
      </c>
      <c r="Z881" s="193" t="str">
        <f>'Buildings - Grid Electricity'!Q383</f>
        <v/>
      </c>
      <c r="AA881" s="193" t="str">
        <f>'Buildings - Grid Electricity'!R383</f>
        <v/>
      </c>
      <c r="AB881" s="193" t="str">
        <f>'Buildings - Grid Electricity'!S383</f>
        <v/>
      </c>
      <c r="AC881" s="193" t="str">
        <f>'Buildings - Grid Electricity'!T383</f>
        <v/>
      </c>
      <c r="AD881" s="193" t="str">
        <f>'Buildings - Grid Electricity'!U383</f>
        <v/>
      </c>
      <c r="AE881" s="193" t="str">
        <f>'Buildings - Grid Electricity'!V383</f>
        <v/>
      </c>
      <c r="AF881" s="193" t="str">
        <f>'Buildings - Grid Electricity'!W383</f>
        <v/>
      </c>
      <c r="AG881" s="193" t="str">
        <f>'Buildings - Grid Electricity'!X383</f>
        <v/>
      </c>
      <c r="AI881" s="193">
        <f t="shared" si="16"/>
        <v>0</v>
      </c>
      <c r="AJ881" s="193">
        <f t="shared" si="17"/>
        <v>0</v>
      </c>
    </row>
    <row r="882" spans="2:36" x14ac:dyDescent="0.35">
      <c r="B882" s="193" t="e">
        <f>"2024"&amp;MATCH(Totals!D882,OrgType,0)&amp;"_"&amp;MATCH(Totals!E882,Organisations,0)&amp;"_"&amp;LEFT(Totals!F882,1)&amp;"_"&amp;LEFT(G882,1)&amp;"_"&amp;COUNTIF($G$3:G882,G882)</f>
        <v>#N/A</v>
      </c>
      <c r="C882" s="193">
        <v>2025</v>
      </c>
      <c r="D882" s="193">
        <f>Introduction!$D$7</f>
        <v>0</v>
      </c>
      <c r="E882" s="193">
        <f>Introduction!$D$8</f>
        <v>0</v>
      </c>
      <c r="F882" s="193" t="s">
        <v>488</v>
      </c>
      <c r="G882" s="193" t="s">
        <v>171</v>
      </c>
      <c r="H882" s="193">
        <f>'Buildings - Grid Electricity'!B384</f>
        <v>0</v>
      </c>
      <c r="I882" s="193">
        <f>'Buildings - Grid Electricity'!C384</f>
        <v>0</v>
      </c>
      <c r="J882" s="193" t="str">
        <f>'Buildings - Grid Electricity'!D384</f>
        <v/>
      </c>
      <c r="K882" s="237"/>
      <c r="L882" s="237"/>
      <c r="M882" s="193" t="str">
        <f>'Buildings - Grid Electricity'!E384</f>
        <v/>
      </c>
      <c r="N882" s="193" t="str">
        <f>'Buildings - Grid Electricity'!F384</f>
        <v/>
      </c>
      <c r="O882" s="237"/>
      <c r="P882" s="193">
        <f>'Buildings - Grid Electricity'!G384</f>
        <v>0</v>
      </c>
      <c r="Q882" s="193" t="str">
        <f>'Buildings - Grid Electricity'!H384</f>
        <v/>
      </c>
      <c r="R882" s="193">
        <f>'Buildings - Grid Electricity'!I384</f>
        <v>0</v>
      </c>
      <c r="S882" s="193" t="str">
        <f>'Buildings - Grid Electricity'!J384</f>
        <v/>
      </c>
      <c r="T882" s="193" t="str">
        <f>'Buildings - Grid Electricity'!K384</f>
        <v/>
      </c>
      <c r="U882" s="193" t="str">
        <f>'Buildings - Grid Electricity'!L384</f>
        <v/>
      </c>
      <c r="V882" s="193" t="str">
        <f>'Buildings - Grid Electricity'!M384</f>
        <v/>
      </c>
      <c r="W882" s="193" t="str">
        <f>'Buildings - Grid Electricity'!N384</f>
        <v/>
      </c>
      <c r="X882" s="193">
        <f>'Buildings - Grid Electricity'!O384</f>
        <v>0</v>
      </c>
      <c r="Y882" s="193">
        <f>'Buildings - Grid Electricity'!P384</f>
        <v>0</v>
      </c>
      <c r="Z882" s="193" t="str">
        <f>'Buildings - Grid Electricity'!Q384</f>
        <v/>
      </c>
      <c r="AA882" s="193" t="str">
        <f>'Buildings - Grid Electricity'!R384</f>
        <v/>
      </c>
      <c r="AB882" s="193" t="str">
        <f>'Buildings - Grid Electricity'!S384</f>
        <v/>
      </c>
      <c r="AC882" s="193" t="str">
        <f>'Buildings - Grid Electricity'!T384</f>
        <v/>
      </c>
      <c r="AD882" s="193" t="str">
        <f>'Buildings - Grid Electricity'!U384</f>
        <v/>
      </c>
      <c r="AE882" s="193" t="str">
        <f>'Buildings - Grid Electricity'!V384</f>
        <v/>
      </c>
      <c r="AF882" s="193" t="str">
        <f>'Buildings - Grid Electricity'!W384</f>
        <v/>
      </c>
      <c r="AG882" s="193" t="str">
        <f>'Buildings - Grid Electricity'!X384</f>
        <v/>
      </c>
      <c r="AI882" s="193">
        <f t="shared" si="16"/>
        <v>0</v>
      </c>
      <c r="AJ882" s="193">
        <f t="shared" si="17"/>
        <v>0</v>
      </c>
    </row>
    <row r="883" spans="2:36" x14ac:dyDescent="0.35">
      <c r="B883" s="193" t="e">
        <f>"2024"&amp;MATCH(Totals!D883,OrgType,0)&amp;"_"&amp;MATCH(Totals!E883,Organisations,0)&amp;"_"&amp;LEFT(Totals!F883,1)&amp;"_"&amp;LEFT(G883,1)&amp;"_"&amp;COUNTIF($G$3:G883,G883)</f>
        <v>#N/A</v>
      </c>
      <c r="C883" s="193">
        <v>2025</v>
      </c>
      <c r="D883" s="193">
        <f>Introduction!$D$7</f>
        <v>0</v>
      </c>
      <c r="E883" s="193">
        <f>Introduction!$D$8</f>
        <v>0</v>
      </c>
      <c r="F883" s="193" t="s">
        <v>488</v>
      </c>
      <c r="G883" s="193" t="s">
        <v>171</v>
      </c>
      <c r="H883" s="193">
        <f>'Buildings - Grid Electricity'!B385</f>
        <v>0</v>
      </c>
      <c r="I883" s="193">
        <f>'Buildings - Grid Electricity'!C385</f>
        <v>0</v>
      </c>
      <c r="J883" s="193" t="str">
        <f>'Buildings - Grid Electricity'!D385</f>
        <v/>
      </c>
      <c r="K883" s="237"/>
      <c r="L883" s="237"/>
      <c r="M883" s="193" t="str">
        <f>'Buildings - Grid Electricity'!E385</f>
        <v/>
      </c>
      <c r="N883" s="193" t="str">
        <f>'Buildings - Grid Electricity'!F385</f>
        <v/>
      </c>
      <c r="O883" s="237"/>
      <c r="P883" s="193">
        <f>'Buildings - Grid Electricity'!G385</f>
        <v>0</v>
      </c>
      <c r="Q883" s="193" t="str">
        <f>'Buildings - Grid Electricity'!H385</f>
        <v/>
      </c>
      <c r="R883" s="193">
        <f>'Buildings - Grid Electricity'!I385</f>
        <v>0</v>
      </c>
      <c r="S883" s="193" t="str">
        <f>'Buildings - Grid Electricity'!J385</f>
        <v/>
      </c>
      <c r="T883" s="193" t="str">
        <f>'Buildings - Grid Electricity'!K385</f>
        <v/>
      </c>
      <c r="U883" s="193" t="str">
        <f>'Buildings - Grid Electricity'!L385</f>
        <v/>
      </c>
      <c r="V883" s="193" t="str">
        <f>'Buildings - Grid Electricity'!M385</f>
        <v/>
      </c>
      <c r="W883" s="193" t="str">
        <f>'Buildings - Grid Electricity'!N385</f>
        <v/>
      </c>
      <c r="X883" s="193">
        <f>'Buildings - Grid Electricity'!O385</f>
        <v>0</v>
      </c>
      <c r="Y883" s="193">
        <f>'Buildings - Grid Electricity'!P385</f>
        <v>0</v>
      </c>
      <c r="Z883" s="193" t="str">
        <f>'Buildings - Grid Electricity'!Q385</f>
        <v/>
      </c>
      <c r="AA883" s="193" t="str">
        <f>'Buildings - Grid Electricity'!R385</f>
        <v/>
      </c>
      <c r="AB883" s="193" t="str">
        <f>'Buildings - Grid Electricity'!S385</f>
        <v/>
      </c>
      <c r="AC883" s="193" t="str">
        <f>'Buildings - Grid Electricity'!T385</f>
        <v/>
      </c>
      <c r="AD883" s="193" t="str">
        <f>'Buildings - Grid Electricity'!U385</f>
        <v/>
      </c>
      <c r="AE883" s="193" t="str">
        <f>'Buildings - Grid Electricity'!V385</f>
        <v/>
      </c>
      <c r="AF883" s="193" t="str">
        <f>'Buildings - Grid Electricity'!W385</f>
        <v/>
      </c>
      <c r="AG883" s="193" t="str">
        <f>'Buildings - Grid Electricity'!X385</f>
        <v/>
      </c>
      <c r="AI883" s="193">
        <f t="shared" si="16"/>
        <v>0</v>
      </c>
      <c r="AJ883" s="193">
        <f t="shared" si="17"/>
        <v>0</v>
      </c>
    </row>
    <row r="884" spans="2:36" x14ac:dyDescent="0.35">
      <c r="B884" s="193" t="e">
        <f>"2024"&amp;MATCH(Totals!D884,OrgType,0)&amp;"_"&amp;MATCH(Totals!E884,Organisations,0)&amp;"_"&amp;LEFT(Totals!F884,1)&amp;"_"&amp;LEFT(G884,1)&amp;"_"&amp;COUNTIF($G$3:G884,G884)</f>
        <v>#N/A</v>
      </c>
      <c r="C884" s="193">
        <v>2025</v>
      </c>
      <c r="D884" s="193">
        <f>Introduction!$D$7</f>
        <v>0</v>
      </c>
      <c r="E884" s="193">
        <f>Introduction!$D$8</f>
        <v>0</v>
      </c>
      <c r="F884" s="193" t="s">
        <v>488</v>
      </c>
      <c r="G884" s="193" t="s">
        <v>171</v>
      </c>
      <c r="H884" s="193">
        <f>'Buildings - Grid Electricity'!B386</f>
        <v>0</v>
      </c>
      <c r="I884" s="193">
        <f>'Buildings - Grid Electricity'!C386</f>
        <v>0</v>
      </c>
      <c r="J884" s="193" t="str">
        <f>'Buildings - Grid Electricity'!D386</f>
        <v/>
      </c>
      <c r="K884" s="237"/>
      <c r="L884" s="237"/>
      <c r="M884" s="193" t="str">
        <f>'Buildings - Grid Electricity'!E386</f>
        <v/>
      </c>
      <c r="N884" s="193" t="str">
        <f>'Buildings - Grid Electricity'!F386</f>
        <v/>
      </c>
      <c r="O884" s="237"/>
      <c r="P884" s="193">
        <f>'Buildings - Grid Electricity'!G386</f>
        <v>0</v>
      </c>
      <c r="Q884" s="193" t="str">
        <f>'Buildings - Grid Electricity'!H386</f>
        <v/>
      </c>
      <c r="R884" s="193">
        <f>'Buildings - Grid Electricity'!I386</f>
        <v>0</v>
      </c>
      <c r="S884" s="193" t="str">
        <f>'Buildings - Grid Electricity'!J386</f>
        <v/>
      </c>
      <c r="T884" s="193" t="str">
        <f>'Buildings - Grid Electricity'!K386</f>
        <v/>
      </c>
      <c r="U884" s="193" t="str">
        <f>'Buildings - Grid Electricity'!L386</f>
        <v/>
      </c>
      <c r="V884" s="193" t="str">
        <f>'Buildings - Grid Electricity'!M386</f>
        <v/>
      </c>
      <c r="W884" s="193" t="str">
        <f>'Buildings - Grid Electricity'!N386</f>
        <v/>
      </c>
      <c r="X884" s="193">
        <f>'Buildings - Grid Electricity'!O386</f>
        <v>0</v>
      </c>
      <c r="Y884" s="193">
        <f>'Buildings - Grid Electricity'!P386</f>
        <v>0</v>
      </c>
      <c r="Z884" s="193" t="str">
        <f>'Buildings - Grid Electricity'!Q386</f>
        <v/>
      </c>
      <c r="AA884" s="193" t="str">
        <f>'Buildings - Grid Electricity'!R386</f>
        <v/>
      </c>
      <c r="AB884" s="193" t="str">
        <f>'Buildings - Grid Electricity'!S386</f>
        <v/>
      </c>
      <c r="AC884" s="193" t="str">
        <f>'Buildings - Grid Electricity'!T386</f>
        <v/>
      </c>
      <c r="AD884" s="193" t="str">
        <f>'Buildings - Grid Electricity'!U386</f>
        <v/>
      </c>
      <c r="AE884" s="193" t="str">
        <f>'Buildings - Grid Electricity'!V386</f>
        <v/>
      </c>
      <c r="AF884" s="193" t="str">
        <f>'Buildings - Grid Electricity'!W386</f>
        <v/>
      </c>
      <c r="AG884" s="193" t="str">
        <f>'Buildings - Grid Electricity'!X386</f>
        <v/>
      </c>
      <c r="AI884" s="193">
        <f t="shared" si="16"/>
        <v>0</v>
      </c>
      <c r="AJ884" s="193">
        <f t="shared" si="17"/>
        <v>0</v>
      </c>
    </row>
    <row r="885" spans="2:36" x14ac:dyDescent="0.35">
      <c r="B885" s="193" t="e">
        <f>"2024"&amp;MATCH(Totals!D885,OrgType,0)&amp;"_"&amp;MATCH(Totals!E885,Organisations,0)&amp;"_"&amp;LEFT(Totals!F885,1)&amp;"_"&amp;LEFT(G885,1)&amp;"_"&amp;COUNTIF($G$3:G885,G885)</f>
        <v>#N/A</v>
      </c>
      <c r="C885" s="193">
        <v>2025</v>
      </c>
      <c r="D885" s="193">
        <f>Introduction!$D$7</f>
        <v>0</v>
      </c>
      <c r="E885" s="193">
        <f>Introduction!$D$8</f>
        <v>0</v>
      </c>
      <c r="F885" s="193" t="s">
        <v>488</v>
      </c>
      <c r="G885" s="193" t="s">
        <v>171</v>
      </c>
      <c r="H885" s="193">
        <f>'Buildings - Grid Electricity'!B387</f>
        <v>0</v>
      </c>
      <c r="I885" s="193">
        <f>'Buildings - Grid Electricity'!C387</f>
        <v>0</v>
      </c>
      <c r="J885" s="193" t="str">
        <f>'Buildings - Grid Electricity'!D387</f>
        <v/>
      </c>
      <c r="K885" s="237"/>
      <c r="L885" s="237"/>
      <c r="M885" s="193" t="str">
        <f>'Buildings - Grid Electricity'!E387</f>
        <v/>
      </c>
      <c r="N885" s="193" t="str">
        <f>'Buildings - Grid Electricity'!F387</f>
        <v/>
      </c>
      <c r="O885" s="237"/>
      <c r="P885" s="193">
        <f>'Buildings - Grid Electricity'!G387</f>
        <v>0</v>
      </c>
      <c r="Q885" s="193" t="str">
        <f>'Buildings - Grid Electricity'!H387</f>
        <v/>
      </c>
      <c r="R885" s="193">
        <f>'Buildings - Grid Electricity'!I387</f>
        <v>0</v>
      </c>
      <c r="S885" s="193" t="str">
        <f>'Buildings - Grid Electricity'!J387</f>
        <v/>
      </c>
      <c r="T885" s="193" t="str">
        <f>'Buildings - Grid Electricity'!K387</f>
        <v/>
      </c>
      <c r="U885" s="193" t="str">
        <f>'Buildings - Grid Electricity'!L387</f>
        <v/>
      </c>
      <c r="V885" s="193" t="str">
        <f>'Buildings - Grid Electricity'!M387</f>
        <v/>
      </c>
      <c r="W885" s="193" t="str">
        <f>'Buildings - Grid Electricity'!N387</f>
        <v/>
      </c>
      <c r="X885" s="193">
        <f>'Buildings - Grid Electricity'!O387</f>
        <v>0</v>
      </c>
      <c r="Y885" s="193">
        <f>'Buildings - Grid Electricity'!P387</f>
        <v>0</v>
      </c>
      <c r="Z885" s="193" t="str">
        <f>'Buildings - Grid Electricity'!Q387</f>
        <v/>
      </c>
      <c r="AA885" s="193" t="str">
        <f>'Buildings - Grid Electricity'!R387</f>
        <v/>
      </c>
      <c r="AB885" s="193" t="str">
        <f>'Buildings - Grid Electricity'!S387</f>
        <v/>
      </c>
      <c r="AC885" s="193" t="str">
        <f>'Buildings - Grid Electricity'!T387</f>
        <v/>
      </c>
      <c r="AD885" s="193" t="str">
        <f>'Buildings - Grid Electricity'!U387</f>
        <v/>
      </c>
      <c r="AE885" s="193" t="str">
        <f>'Buildings - Grid Electricity'!V387</f>
        <v/>
      </c>
      <c r="AF885" s="193" t="str">
        <f>'Buildings - Grid Electricity'!W387</f>
        <v/>
      </c>
      <c r="AG885" s="193" t="str">
        <f>'Buildings - Grid Electricity'!X387</f>
        <v/>
      </c>
      <c r="AI885" s="193">
        <f t="shared" si="16"/>
        <v>0</v>
      </c>
      <c r="AJ885" s="193">
        <f t="shared" si="17"/>
        <v>0</v>
      </c>
    </row>
    <row r="886" spans="2:36" x14ac:dyDescent="0.35">
      <c r="B886" s="193" t="e">
        <f>"2024"&amp;MATCH(Totals!D886,OrgType,0)&amp;"_"&amp;MATCH(Totals!E886,Organisations,0)&amp;"_"&amp;LEFT(Totals!F886,1)&amp;"_"&amp;LEFT(G886,1)&amp;"_"&amp;COUNTIF($G$3:G886,G886)</f>
        <v>#N/A</v>
      </c>
      <c r="C886" s="193">
        <v>2025</v>
      </c>
      <c r="D886" s="193">
        <f>Introduction!$D$7</f>
        <v>0</v>
      </c>
      <c r="E886" s="193">
        <f>Introduction!$D$8</f>
        <v>0</v>
      </c>
      <c r="F886" s="193" t="s">
        <v>488</v>
      </c>
      <c r="G886" s="193" t="s">
        <v>171</v>
      </c>
      <c r="H886" s="193">
        <f>'Buildings - Grid Electricity'!B388</f>
        <v>0</v>
      </c>
      <c r="I886" s="193">
        <f>'Buildings - Grid Electricity'!C388</f>
        <v>0</v>
      </c>
      <c r="J886" s="193" t="str">
        <f>'Buildings - Grid Electricity'!D388</f>
        <v/>
      </c>
      <c r="K886" s="237"/>
      <c r="L886" s="237"/>
      <c r="M886" s="193" t="str">
        <f>'Buildings - Grid Electricity'!E388</f>
        <v/>
      </c>
      <c r="N886" s="193" t="str">
        <f>'Buildings - Grid Electricity'!F388</f>
        <v/>
      </c>
      <c r="O886" s="237"/>
      <c r="P886" s="193">
        <f>'Buildings - Grid Electricity'!G388</f>
        <v>0</v>
      </c>
      <c r="Q886" s="193" t="str">
        <f>'Buildings - Grid Electricity'!H388</f>
        <v/>
      </c>
      <c r="R886" s="193">
        <f>'Buildings - Grid Electricity'!I388</f>
        <v>0</v>
      </c>
      <c r="S886" s="193" t="str">
        <f>'Buildings - Grid Electricity'!J388</f>
        <v/>
      </c>
      <c r="T886" s="193" t="str">
        <f>'Buildings - Grid Electricity'!K388</f>
        <v/>
      </c>
      <c r="U886" s="193" t="str">
        <f>'Buildings - Grid Electricity'!L388</f>
        <v/>
      </c>
      <c r="V886" s="193" t="str">
        <f>'Buildings - Grid Electricity'!M388</f>
        <v/>
      </c>
      <c r="W886" s="193" t="str">
        <f>'Buildings - Grid Electricity'!N388</f>
        <v/>
      </c>
      <c r="X886" s="193">
        <f>'Buildings - Grid Electricity'!O388</f>
        <v>0</v>
      </c>
      <c r="Y886" s="193">
        <f>'Buildings - Grid Electricity'!P388</f>
        <v>0</v>
      </c>
      <c r="Z886" s="193" t="str">
        <f>'Buildings - Grid Electricity'!Q388</f>
        <v/>
      </c>
      <c r="AA886" s="193" t="str">
        <f>'Buildings - Grid Electricity'!R388</f>
        <v/>
      </c>
      <c r="AB886" s="193" t="str">
        <f>'Buildings - Grid Electricity'!S388</f>
        <v/>
      </c>
      <c r="AC886" s="193" t="str">
        <f>'Buildings - Grid Electricity'!T388</f>
        <v/>
      </c>
      <c r="AD886" s="193" t="str">
        <f>'Buildings - Grid Electricity'!U388</f>
        <v/>
      </c>
      <c r="AE886" s="193" t="str">
        <f>'Buildings - Grid Electricity'!V388</f>
        <v/>
      </c>
      <c r="AF886" s="193" t="str">
        <f>'Buildings - Grid Electricity'!W388</f>
        <v/>
      </c>
      <c r="AG886" s="193" t="str">
        <f>'Buildings - Grid Electricity'!X388</f>
        <v/>
      </c>
      <c r="AI886" s="193">
        <f t="shared" si="16"/>
        <v>0</v>
      </c>
      <c r="AJ886" s="193">
        <f t="shared" si="17"/>
        <v>0</v>
      </c>
    </row>
    <row r="887" spans="2:36" x14ac:dyDescent="0.35">
      <c r="B887" s="193" t="e">
        <f>"2024"&amp;MATCH(Totals!D887,OrgType,0)&amp;"_"&amp;MATCH(Totals!E887,Organisations,0)&amp;"_"&amp;LEFT(Totals!F887,1)&amp;"_"&amp;LEFT(G887,1)&amp;"_"&amp;COUNTIF($G$3:G887,G887)</f>
        <v>#N/A</v>
      </c>
      <c r="C887" s="193">
        <v>2025</v>
      </c>
      <c r="D887" s="193">
        <f>Introduction!$D$7</f>
        <v>0</v>
      </c>
      <c r="E887" s="193">
        <f>Introduction!$D$8</f>
        <v>0</v>
      </c>
      <c r="F887" s="193" t="s">
        <v>488</v>
      </c>
      <c r="G887" s="193" t="s">
        <v>171</v>
      </c>
      <c r="H887" s="193">
        <f>'Buildings - Grid Electricity'!B389</f>
        <v>0</v>
      </c>
      <c r="I887" s="193">
        <f>'Buildings - Grid Electricity'!C389</f>
        <v>0</v>
      </c>
      <c r="J887" s="193" t="str">
        <f>'Buildings - Grid Electricity'!D389</f>
        <v/>
      </c>
      <c r="K887" s="237"/>
      <c r="L887" s="237"/>
      <c r="M887" s="193" t="str">
        <f>'Buildings - Grid Electricity'!E389</f>
        <v/>
      </c>
      <c r="N887" s="193" t="str">
        <f>'Buildings - Grid Electricity'!F389</f>
        <v/>
      </c>
      <c r="O887" s="237"/>
      <c r="P887" s="193">
        <f>'Buildings - Grid Electricity'!G389</f>
        <v>0</v>
      </c>
      <c r="Q887" s="193" t="str">
        <f>'Buildings - Grid Electricity'!H389</f>
        <v/>
      </c>
      <c r="R887" s="193">
        <f>'Buildings - Grid Electricity'!I389</f>
        <v>0</v>
      </c>
      <c r="S887" s="193" t="str">
        <f>'Buildings - Grid Electricity'!J389</f>
        <v/>
      </c>
      <c r="T887" s="193" t="str">
        <f>'Buildings - Grid Electricity'!K389</f>
        <v/>
      </c>
      <c r="U887" s="193" t="str">
        <f>'Buildings - Grid Electricity'!L389</f>
        <v/>
      </c>
      <c r="V887" s="193" t="str">
        <f>'Buildings - Grid Electricity'!M389</f>
        <v/>
      </c>
      <c r="W887" s="193" t="str">
        <f>'Buildings - Grid Electricity'!N389</f>
        <v/>
      </c>
      <c r="X887" s="193">
        <f>'Buildings - Grid Electricity'!O389</f>
        <v>0</v>
      </c>
      <c r="Y887" s="193">
        <f>'Buildings - Grid Electricity'!P389</f>
        <v>0</v>
      </c>
      <c r="Z887" s="193" t="str">
        <f>'Buildings - Grid Electricity'!Q389</f>
        <v/>
      </c>
      <c r="AA887" s="193" t="str">
        <f>'Buildings - Grid Electricity'!R389</f>
        <v/>
      </c>
      <c r="AB887" s="193" t="str">
        <f>'Buildings - Grid Electricity'!S389</f>
        <v/>
      </c>
      <c r="AC887" s="193" t="str">
        <f>'Buildings - Grid Electricity'!T389</f>
        <v/>
      </c>
      <c r="AD887" s="193" t="str">
        <f>'Buildings - Grid Electricity'!U389</f>
        <v/>
      </c>
      <c r="AE887" s="193" t="str">
        <f>'Buildings - Grid Electricity'!V389</f>
        <v/>
      </c>
      <c r="AF887" s="193" t="str">
        <f>'Buildings - Grid Electricity'!W389</f>
        <v/>
      </c>
      <c r="AG887" s="193" t="str">
        <f>'Buildings - Grid Electricity'!X389</f>
        <v/>
      </c>
      <c r="AI887" s="193">
        <f t="shared" si="16"/>
        <v>0</v>
      </c>
      <c r="AJ887" s="193">
        <f t="shared" si="17"/>
        <v>0</v>
      </c>
    </row>
    <row r="888" spans="2:36" x14ac:dyDescent="0.35">
      <c r="B888" s="193" t="e">
        <f>"2024"&amp;MATCH(Totals!D888,OrgType,0)&amp;"_"&amp;MATCH(Totals!E888,Organisations,0)&amp;"_"&amp;LEFT(Totals!F888,1)&amp;"_"&amp;LEFT(G888,1)&amp;"_"&amp;COUNTIF($G$3:G888,G888)</f>
        <v>#N/A</v>
      </c>
      <c r="C888" s="193">
        <v>2025</v>
      </c>
      <c r="D888" s="193">
        <f>Introduction!$D$7</f>
        <v>0</v>
      </c>
      <c r="E888" s="193">
        <f>Introduction!$D$8</f>
        <v>0</v>
      </c>
      <c r="F888" s="193" t="s">
        <v>488</v>
      </c>
      <c r="G888" s="193" t="s">
        <v>171</v>
      </c>
      <c r="H888" s="193">
        <f>'Buildings - Grid Electricity'!B390</f>
        <v>0</v>
      </c>
      <c r="I888" s="193">
        <f>'Buildings - Grid Electricity'!C390</f>
        <v>0</v>
      </c>
      <c r="J888" s="193" t="str">
        <f>'Buildings - Grid Electricity'!D390</f>
        <v/>
      </c>
      <c r="K888" s="237"/>
      <c r="L888" s="237"/>
      <c r="M888" s="193" t="str">
        <f>'Buildings - Grid Electricity'!E390</f>
        <v/>
      </c>
      <c r="N888" s="193" t="str">
        <f>'Buildings - Grid Electricity'!F390</f>
        <v/>
      </c>
      <c r="O888" s="237"/>
      <c r="P888" s="193">
        <f>'Buildings - Grid Electricity'!G390</f>
        <v>0</v>
      </c>
      <c r="Q888" s="193" t="str">
        <f>'Buildings - Grid Electricity'!H390</f>
        <v/>
      </c>
      <c r="R888" s="193">
        <f>'Buildings - Grid Electricity'!I390</f>
        <v>0</v>
      </c>
      <c r="S888" s="193" t="str">
        <f>'Buildings - Grid Electricity'!J390</f>
        <v/>
      </c>
      <c r="T888" s="193" t="str">
        <f>'Buildings - Grid Electricity'!K390</f>
        <v/>
      </c>
      <c r="U888" s="193" t="str">
        <f>'Buildings - Grid Electricity'!L390</f>
        <v/>
      </c>
      <c r="V888" s="193" t="str">
        <f>'Buildings - Grid Electricity'!M390</f>
        <v/>
      </c>
      <c r="W888" s="193" t="str">
        <f>'Buildings - Grid Electricity'!N390</f>
        <v/>
      </c>
      <c r="X888" s="193">
        <f>'Buildings - Grid Electricity'!O390</f>
        <v>0</v>
      </c>
      <c r="Y888" s="193">
        <f>'Buildings - Grid Electricity'!P390</f>
        <v>0</v>
      </c>
      <c r="Z888" s="193" t="str">
        <f>'Buildings - Grid Electricity'!Q390</f>
        <v/>
      </c>
      <c r="AA888" s="193" t="str">
        <f>'Buildings - Grid Electricity'!R390</f>
        <v/>
      </c>
      <c r="AB888" s="193" t="str">
        <f>'Buildings - Grid Electricity'!S390</f>
        <v/>
      </c>
      <c r="AC888" s="193" t="str">
        <f>'Buildings - Grid Electricity'!T390</f>
        <v/>
      </c>
      <c r="AD888" s="193" t="str">
        <f>'Buildings - Grid Electricity'!U390</f>
        <v/>
      </c>
      <c r="AE888" s="193" t="str">
        <f>'Buildings - Grid Electricity'!V390</f>
        <v/>
      </c>
      <c r="AF888" s="193" t="str">
        <f>'Buildings - Grid Electricity'!W390</f>
        <v/>
      </c>
      <c r="AG888" s="193" t="str">
        <f>'Buildings - Grid Electricity'!X390</f>
        <v/>
      </c>
      <c r="AI888" s="193">
        <f t="shared" si="16"/>
        <v>0</v>
      </c>
      <c r="AJ888" s="193">
        <f t="shared" si="17"/>
        <v>0</v>
      </c>
    </row>
    <row r="889" spans="2:36" x14ac:dyDescent="0.35">
      <c r="B889" s="193" t="e">
        <f>"2024"&amp;MATCH(Totals!D889,OrgType,0)&amp;"_"&amp;MATCH(Totals!E889,Organisations,0)&amp;"_"&amp;LEFT(Totals!F889,1)&amp;"_"&amp;LEFT(G889,1)&amp;"_"&amp;COUNTIF($G$3:G889,G889)</f>
        <v>#N/A</v>
      </c>
      <c r="C889" s="193">
        <v>2025</v>
      </c>
      <c r="D889" s="193">
        <f>Introduction!$D$7</f>
        <v>0</v>
      </c>
      <c r="E889" s="193">
        <f>Introduction!$D$8</f>
        <v>0</v>
      </c>
      <c r="F889" s="193" t="s">
        <v>488</v>
      </c>
      <c r="G889" s="193" t="s">
        <v>171</v>
      </c>
      <c r="H889" s="193">
        <f>'Buildings - Grid Electricity'!B391</f>
        <v>0</v>
      </c>
      <c r="I889" s="193">
        <f>'Buildings - Grid Electricity'!C391</f>
        <v>0</v>
      </c>
      <c r="J889" s="193" t="str">
        <f>'Buildings - Grid Electricity'!D391</f>
        <v/>
      </c>
      <c r="K889" s="237"/>
      <c r="L889" s="237"/>
      <c r="M889" s="193" t="str">
        <f>'Buildings - Grid Electricity'!E391</f>
        <v/>
      </c>
      <c r="N889" s="193" t="str">
        <f>'Buildings - Grid Electricity'!F391</f>
        <v/>
      </c>
      <c r="O889" s="237"/>
      <c r="P889" s="193">
        <f>'Buildings - Grid Electricity'!G391</f>
        <v>0</v>
      </c>
      <c r="Q889" s="193" t="str">
        <f>'Buildings - Grid Electricity'!H391</f>
        <v/>
      </c>
      <c r="R889" s="193">
        <f>'Buildings - Grid Electricity'!I391</f>
        <v>0</v>
      </c>
      <c r="S889" s="193" t="str">
        <f>'Buildings - Grid Electricity'!J391</f>
        <v/>
      </c>
      <c r="T889" s="193" t="str">
        <f>'Buildings - Grid Electricity'!K391</f>
        <v/>
      </c>
      <c r="U889" s="193" t="str">
        <f>'Buildings - Grid Electricity'!L391</f>
        <v/>
      </c>
      <c r="V889" s="193" t="str">
        <f>'Buildings - Grid Electricity'!M391</f>
        <v/>
      </c>
      <c r="W889" s="193" t="str">
        <f>'Buildings - Grid Electricity'!N391</f>
        <v/>
      </c>
      <c r="X889" s="193">
        <f>'Buildings - Grid Electricity'!O391</f>
        <v>0</v>
      </c>
      <c r="Y889" s="193">
        <f>'Buildings - Grid Electricity'!P391</f>
        <v>0</v>
      </c>
      <c r="Z889" s="193" t="str">
        <f>'Buildings - Grid Electricity'!Q391</f>
        <v/>
      </c>
      <c r="AA889" s="193" t="str">
        <f>'Buildings - Grid Electricity'!R391</f>
        <v/>
      </c>
      <c r="AB889" s="193" t="str">
        <f>'Buildings - Grid Electricity'!S391</f>
        <v/>
      </c>
      <c r="AC889" s="193" t="str">
        <f>'Buildings - Grid Electricity'!T391</f>
        <v/>
      </c>
      <c r="AD889" s="193" t="str">
        <f>'Buildings - Grid Electricity'!U391</f>
        <v/>
      </c>
      <c r="AE889" s="193" t="str">
        <f>'Buildings - Grid Electricity'!V391</f>
        <v/>
      </c>
      <c r="AF889" s="193" t="str">
        <f>'Buildings - Grid Electricity'!W391</f>
        <v/>
      </c>
      <c r="AG889" s="193" t="str">
        <f>'Buildings - Grid Electricity'!X391</f>
        <v/>
      </c>
      <c r="AI889" s="193">
        <f t="shared" si="16"/>
        <v>0</v>
      </c>
      <c r="AJ889" s="193">
        <f t="shared" si="17"/>
        <v>0</v>
      </c>
    </row>
    <row r="890" spans="2:36" x14ac:dyDescent="0.35">
      <c r="B890" s="193" t="e">
        <f>"2024"&amp;MATCH(Totals!D890,OrgType,0)&amp;"_"&amp;MATCH(Totals!E890,Organisations,0)&amp;"_"&amp;LEFT(Totals!F890,1)&amp;"_"&amp;LEFT(G890,1)&amp;"_"&amp;COUNTIF($G$3:G890,G890)</f>
        <v>#N/A</v>
      </c>
      <c r="C890" s="193">
        <v>2025</v>
      </c>
      <c r="D890" s="193">
        <f>Introduction!$D$7</f>
        <v>0</v>
      </c>
      <c r="E890" s="193">
        <f>Introduction!$D$8</f>
        <v>0</v>
      </c>
      <c r="F890" s="193" t="s">
        <v>488</v>
      </c>
      <c r="G890" s="193" t="s">
        <v>171</v>
      </c>
      <c r="H890" s="193">
        <f>'Buildings - Grid Electricity'!B392</f>
        <v>0</v>
      </c>
      <c r="I890" s="193">
        <f>'Buildings - Grid Electricity'!C392</f>
        <v>0</v>
      </c>
      <c r="J890" s="193" t="str">
        <f>'Buildings - Grid Electricity'!D392</f>
        <v/>
      </c>
      <c r="K890" s="237"/>
      <c r="L890" s="237"/>
      <c r="M890" s="193" t="str">
        <f>'Buildings - Grid Electricity'!E392</f>
        <v/>
      </c>
      <c r="N890" s="193" t="str">
        <f>'Buildings - Grid Electricity'!F392</f>
        <v/>
      </c>
      <c r="O890" s="237"/>
      <c r="P890" s="193">
        <f>'Buildings - Grid Electricity'!G392</f>
        <v>0</v>
      </c>
      <c r="Q890" s="193" t="str">
        <f>'Buildings - Grid Electricity'!H392</f>
        <v/>
      </c>
      <c r="R890" s="193">
        <f>'Buildings - Grid Electricity'!I392</f>
        <v>0</v>
      </c>
      <c r="S890" s="193" t="str">
        <f>'Buildings - Grid Electricity'!J392</f>
        <v/>
      </c>
      <c r="T890" s="193" t="str">
        <f>'Buildings - Grid Electricity'!K392</f>
        <v/>
      </c>
      <c r="U890" s="193" t="str">
        <f>'Buildings - Grid Electricity'!L392</f>
        <v/>
      </c>
      <c r="V890" s="193" t="str">
        <f>'Buildings - Grid Electricity'!M392</f>
        <v/>
      </c>
      <c r="W890" s="193" t="str">
        <f>'Buildings - Grid Electricity'!N392</f>
        <v/>
      </c>
      <c r="X890" s="193">
        <f>'Buildings - Grid Electricity'!O392</f>
        <v>0</v>
      </c>
      <c r="Y890" s="193">
        <f>'Buildings - Grid Electricity'!P392</f>
        <v>0</v>
      </c>
      <c r="Z890" s="193" t="str">
        <f>'Buildings - Grid Electricity'!Q392</f>
        <v/>
      </c>
      <c r="AA890" s="193" t="str">
        <f>'Buildings - Grid Electricity'!R392</f>
        <v/>
      </c>
      <c r="AB890" s="193" t="str">
        <f>'Buildings - Grid Electricity'!S392</f>
        <v/>
      </c>
      <c r="AC890" s="193" t="str">
        <f>'Buildings - Grid Electricity'!T392</f>
        <v/>
      </c>
      <c r="AD890" s="193" t="str">
        <f>'Buildings - Grid Electricity'!U392</f>
        <v/>
      </c>
      <c r="AE890" s="193" t="str">
        <f>'Buildings - Grid Electricity'!V392</f>
        <v/>
      </c>
      <c r="AF890" s="193" t="str">
        <f>'Buildings - Grid Electricity'!W392</f>
        <v/>
      </c>
      <c r="AG890" s="193" t="str">
        <f>'Buildings - Grid Electricity'!X392</f>
        <v/>
      </c>
      <c r="AI890" s="193">
        <f t="shared" si="16"/>
        <v>0</v>
      </c>
      <c r="AJ890" s="193">
        <f t="shared" si="17"/>
        <v>0</v>
      </c>
    </row>
    <row r="891" spans="2:36" x14ac:dyDescent="0.35">
      <c r="B891" s="193" t="e">
        <f>"2024"&amp;MATCH(Totals!D891,OrgType,0)&amp;"_"&amp;MATCH(Totals!E891,Organisations,0)&amp;"_"&amp;LEFT(Totals!F891,1)&amp;"_"&amp;LEFT(G891,1)&amp;"_"&amp;COUNTIF($G$3:G891,G891)</f>
        <v>#N/A</v>
      </c>
      <c r="C891" s="193">
        <v>2025</v>
      </c>
      <c r="D891" s="193">
        <f>Introduction!$D$7</f>
        <v>0</v>
      </c>
      <c r="E891" s="193">
        <f>Introduction!$D$8</f>
        <v>0</v>
      </c>
      <c r="F891" s="193" t="s">
        <v>488</v>
      </c>
      <c r="G891" s="193" t="s">
        <v>171</v>
      </c>
      <c r="H891" s="193">
        <f>'Buildings - Grid Electricity'!B393</f>
        <v>0</v>
      </c>
      <c r="I891" s="193">
        <f>'Buildings - Grid Electricity'!C393</f>
        <v>0</v>
      </c>
      <c r="J891" s="193" t="str">
        <f>'Buildings - Grid Electricity'!D393</f>
        <v/>
      </c>
      <c r="K891" s="237"/>
      <c r="L891" s="237"/>
      <c r="M891" s="193" t="str">
        <f>'Buildings - Grid Electricity'!E393</f>
        <v/>
      </c>
      <c r="N891" s="193" t="str">
        <f>'Buildings - Grid Electricity'!F393</f>
        <v/>
      </c>
      <c r="O891" s="237"/>
      <c r="P891" s="193">
        <f>'Buildings - Grid Electricity'!G393</f>
        <v>0</v>
      </c>
      <c r="Q891" s="193" t="str">
        <f>'Buildings - Grid Electricity'!H393</f>
        <v/>
      </c>
      <c r="R891" s="193">
        <f>'Buildings - Grid Electricity'!I393</f>
        <v>0</v>
      </c>
      <c r="S891" s="193" t="str">
        <f>'Buildings - Grid Electricity'!J393</f>
        <v/>
      </c>
      <c r="T891" s="193" t="str">
        <f>'Buildings - Grid Electricity'!K393</f>
        <v/>
      </c>
      <c r="U891" s="193" t="str">
        <f>'Buildings - Grid Electricity'!L393</f>
        <v/>
      </c>
      <c r="V891" s="193" t="str">
        <f>'Buildings - Grid Electricity'!M393</f>
        <v/>
      </c>
      <c r="W891" s="193" t="str">
        <f>'Buildings - Grid Electricity'!N393</f>
        <v/>
      </c>
      <c r="X891" s="193">
        <f>'Buildings - Grid Electricity'!O393</f>
        <v>0</v>
      </c>
      <c r="Y891" s="193">
        <f>'Buildings - Grid Electricity'!P393</f>
        <v>0</v>
      </c>
      <c r="Z891" s="193" t="str">
        <f>'Buildings - Grid Electricity'!Q393</f>
        <v/>
      </c>
      <c r="AA891" s="193" t="str">
        <f>'Buildings - Grid Electricity'!R393</f>
        <v/>
      </c>
      <c r="AB891" s="193" t="str">
        <f>'Buildings - Grid Electricity'!S393</f>
        <v/>
      </c>
      <c r="AC891" s="193" t="str">
        <f>'Buildings - Grid Electricity'!T393</f>
        <v/>
      </c>
      <c r="AD891" s="193" t="str">
        <f>'Buildings - Grid Electricity'!U393</f>
        <v/>
      </c>
      <c r="AE891" s="193" t="str">
        <f>'Buildings - Grid Electricity'!V393</f>
        <v/>
      </c>
      <c r="AF891" s="193" t="str">
        <f>'Buildings - Grid Electricity'!W393</f>
        <v/>
      </c>
      <c r="AG891" s="193" t="str">
        <f>'Buildings - Grid Electricity'!X393</f>
        <v/>
      </c>
      <c r="AI891" s="193">
        <f t="shared" si="16"/>
        <v>0</v>
      </c>
      <c r="AJ891" s="193">
        <f t="shared" si="17"/>
        <v>0</v>
      </c>
    </row>
    <row r="892" spans="2:36" x14ac:dyDescent="0.35">
      <c r="B892" s="193" t="e">
        <f>"2024"&amp;MATCH(Totals!D892,OrgType,0)&amp;"_"&amp;MATCH(Totals!E892,Organisations,0)&amp;"_"&amp;LEFT(Totals!F892,1)&amp;"_"&amp;LEFT(G892,1)&amp;"_"&amp;COUNTIF($G$3:G892,G892)</f>
        <v>#N/A</v>
      </c>
      <c r="C892" s="193">
        <v>2025</v>
      </c>
      <c r="D892" s="193">
        <f>Introduction!$D$7</f>
        <v>0</v>
      </c>
      <c r="E892" s="193">
        <f>Introduction!$D$8</f>
        <v>0</v>
      </c>
      <c r="F892" s="193" t="s">
        <v>488</v>
      </c>
      <c r="G892" s="193" t="s">
        <v>171</v>
      </c>
      <c r="H892" s="193">
        <f>'Buildings - Grid Electricity'!B394</f>
        <v>0</v>
      </c>
      <c r="I892" s="193">
        <f>'Buildings - Grid Electricity'!C394</f>
        <v>0</v>
      </c>
      <c r="J892" s="193" t="str">
        <f>'Buildings - Grid Electricity'!D394</f>
        <v/>
      </c>
      <c r="K892" s="237"/>
      <c r="L892" s="237"/>
      <c r="M892" s="193" t="str">
        <f>'Buildings - Grid Electricity'!E394</f>
        <v/>
      </c>
      <c r="N892" s="193" t="str">
        <f>'Buildings - Grid Electricity'!F394</f>
        <v/>
      </c>
      <c r="O892" s="237"/>
      <c r="P892" s="193">
        <f>'Buildings - Grid Electricity'!G394</f>
        <v>0</v>
      </c>
      <c r="Q892" s="193" t="str">
        <f>'Buildings - Grid Electricity'!H394</f>
        <v/>
      </c>
      <c r="R892" s="193">
        <f>'Buildings - Grid Electricity'!I394</f>
        <v>0</v>
      </c>
      <c r="S892" s="193" t="str">
        <f>'Buildings - Grid Electricity'!J394</f>
        <v/>
      </c>
      <c r="T892" s="193" t="str">
        <f>'Buildings - Grid Electricity'!K394</f>
        <v/>
      </c>
      <c r="U892" s="193" t="str">
        <f>'Buildings - Grid Electricity'!L394</f>
        <v/>
      </c>
      <c r="V892" s="193" t="str">
        <f>'Buildings - Grid Electricity'!M394</f>
        <v/>
      </c>
      <c r="W892" s="193" t="str">
        <f>'Buildings - Grid Electricity'!N394</f>
        <v/>
      </c>
      <c r="X892" s="193">
        <f>'Buildings - Grid Electricity'!O394</f>
        <v>0</v>
      </c>
      <c r="Y892" s="193">
        <f>'Buildings - Grid Electricity'!P394</f>
        <v>0</v>
      </c>
      <c r="Z892" s="193" t="str">
        <f>'Buildings - Grid Electricity'!Q394</f>
        <v/>
      </c>
      <c r="AA892" s="193" t="str">
        <f>'Buildings - Grid Electricity'!R394</f>
        <v/>
      </c>
      <c r="AB892" s="193" t="str">
        <f>'Buildings - Grid Electricity'!S394</f>
        <v/>
      </c>
      <c r="AC892" s="193" t="str">
        <f>'Buildings - Grid Electricity'!T394</f>
        <v/>
      </c>
      <c r="AD892" s="193" t="str">
        <f>'Buildings - Grid Electricity'!U394</f>
        <v/>
      </c>
      <c r="AE892" s="193" t="str">
        <f>'Buildings - Grid Electricity'!V394</f>
        <v/>
      </c>
      <c r="AF892" s="193" t="str">
        <f>'Buildings - Grid Electricity'!W394</f>
        <v/>
      </c>
      <c r="AG892" s="193" t="str">
        <f>'Buildings - Grid Electricity'!X394</f>
        <v/>
      </c>
      <c r="AI892" s="193">
        <f t="shared" si="16"/>
        <v>0</v>
      </c>
      <c r="AJ892" s="193">
        <f t="shared" si="17"/>
        <v>0</v>
      </c>
    </row>
    <row r="893" spans="2:36" x14ac:dyDescent="0.35">
      <c r="B893" s="193" t="e">
        <f>"2024"&amp;MATCH(Totals!D893,OrgType,0)&amp;"_"&amp;MATCH(Totals!E893,Organisations,0)&amp;"_"&amp;LEFT(Totals!F893,1)&amp;"_"&amp;LEFT(G893,1)&amp;"_"&amp;COUNTIF($G$3:G893,G893)</f>
        <v>#N/A</v>
      </c>
      <c r="C893" s="193">
        <v>2025</v>
      </c>
      <c r="D893" s="193">
        <f>Introduction!$D$7</f>
        <v>0</v>
      </c>
      <c r="E893" s="193">
        <f>Introduction!$D$8</f>
        <v>0</v>
      </c>
      <c r="F893" s="193" t="s">
        <v>488</v>
      </c>
      <c r="G893" s="193" t="s">
        <v>171</v>
      </c>
      <c r="H893" s="193">
        <f>'Buildings - Grid Electricity'!B395</f>
        <v>0</v>
      </c>
      <c r="I893" s="193">
        <f>'Buildings - Grid Electricity'!C395</f>
        <v>0</v>
      </c>
      <c r="J893" s="193" t="str">
        <f>'Buildings - Grid Electricity'!D395</f>
        <v/>
      </c>
      <c r="K893" s="237"/>
      <c r="L893" s="237"/>
      <c r="M893" s="193" t="str">
        <f>'Buildings - Grid Electricity'!E395</f>
        <v/>
      </c>
      <c r="N893" s="193" t="str">
        <f>'Buildings - Grid Electricity'!F395</f>
        <v/>
      </c>
      <c r="O893" s="237"/>
      <c r="P893" s="193">
        <f>'Buildings - Grid Electricity'!G395</f>
        <v>0</v>
      </c>
      <c r="Q893" s="193" t="str">
        <f>'Buildings - Grid Electricity'!H395</f>
        <v/>
      </c>
      <c r="R893" s="193">
        <f>'Buildings - Grid Electricity'!I395</f>
        <v>0</v>
      </c>
      <c r="S893" s="193" t="str">
        <f>'Buildings - Grid Electricity'!J395</f>
        <v/>
      </c>
      <c r="T893" s="193" t="str">
        <f>'Buildings - Grid Electricity'!K395</f>
        <v/>
      </c>
      <c r="U893" s="193" t="str">
        <f>'Buildings - Grid Electricity'!L395</f>
        <v/>
      </c>
      <c r="V893" s="193" t="str">
        <f>'Buildings - Grid Electricity'!M395</f>
        <v/>
      </c>
      <c r="W893" s="193" t="str">
        <f>'Buildings - Grid Electricity'!N395</f>
        <v/>
      </c>
      <c r="X893" s="193">
        <f>'Buildings - Grid Electricity'!O395</f>
        <v>0</v>
      </c>
      <c r="Y893" s="193">
        <f>'Buildings - Grid Electricity'!P395</f>
        <v>0</v>
      </c>
      <c r="Z893" s="193" t="str">
        <f>'Buildings - Grid Electricity'!Q395</f>
        <v/>
      </c>
      <c r="AA893" s="193" t="str">
        <f>'Buildings - Grid Electricity'!R395</f>
        <v/>
      </c>
      <c r="AB893" s="193" t="str">
        <f>'Buildings - Grid Electricity'!S395</f>
        <v/>
      </c>
      <c r="AC893" s="193" t="str">
        <f>'Buildings - Grid Electricity'!T395</f>
        <v/>
      </c>
      <c r="AD893" s="193" t="str">
        <f>'Buildings - Grid Electricity'!U395</f>
        <v/>
      </c>
      <c r="AE893" s="193" t="str">
        <f>'Buildings - Grid Electricity'!V395</f>
        <v/>
      </c>
      <c r="AF893" s="193" t="str">
        <f>'Buildings - Grid Electricity'!W395</f>
        <v/>
      </c>
      <c r="AG893" s="193" t="str">
        <f>'Buildings - Grid Electricity'!X395</f>
        <v/>
      </c>
      <c r="AI893" s="193">
        <f t="shared" si="16"/>
        <v>0</v>
      </c>
      <c r="AJ893" s="193">
        <f t="shared" si="17"/>
        <v>0</v>
      </c>
    </row>
    <row r="894" spans="2:36" x14ac:dyDescent="0.35">
      <c r="B894" s="193" t="e">
        <f>"2024"&amp;MATCH(Totals!D894,OrgType,0)&amp;"_"&amp;MATCH(Totals!E894,Organisations,0)&amp;"_"&amp;LEFT(Totals!F894,1)&amp;"_"&amp;LEFT(G894,1)&amp;"_"&amp;COUNTIF($G$3:G894,G894)</f>
        <v>#N/A</v>
      </c>
      <c r="C894" s="193">
        <v>2025</v>
      </c>
      <c r="D894" s="193">
        <f>Introduction!$D$7</f>
        <v>0</v>
      </c>
      <c r="E894" s="193">
        <f>Introduction!$D$8</f>
        <v>0</v>
      </c>
      <c r="F894" s="193" t="s">
        <v>488</v>
      </c>
      <c r="G894" s="193" t="s">
        <v>171</v>
      </c>
      <c r="H894" s="193">
        <f>'Buildings - Grid Electricity'!B396</f>
        <v>0</v>
      </c>
      <c r="I894" s="193">
        <f>'Buildings - Grid Electricity'!C396</f>
        <v>0</v>
      </c>
      <c r="J894" s="193" t="str">
        <f>'Buildings - Grid Electricity'!D396</f>
        <v/>
      </c>
      <c r="K894" s="237"/>
      <c r="L894" s="237"/>
      <c r="M894" s="193" t="str">
        <f>'Buildings - Grid Electricity'!E396</f>
        <v/>
      </c>
      <c r="N894" s="193" t="str">
        <f>'Buildings - Grid Electricity'!F396</f>
        <v/>
      </c>
      <c r="O894" s="237"/>
      <c r="P894" s="193">
        <f>'Buildings - Grid Electricity'!G396</f>
        <v>0</v>
      </c>
      <c r="Q894" s="193" t="str">
        <f>'Buildings - Grid Electricity'!H396</f>
        <v/>
      </c>
      <c r="R894" s="193">
        <f>'Buildings - Grid Electricity'!I396</f>
        <v>0</v>
      </c>
      <c r="S894" s="193" t="str">
        <f>'Buildings - Grid Electricity'!J396</f>
        <v/>
      </c>
      <c r="T894" s="193" t="str">
        <f>'Buildings - Grid Electricity'!K396</f>
        <v/>
      </c>
      <c r="U894" s="193" t="str">
        <f>'Buildings - Grid Electricity'!L396</f>
        <v/>
      </c>
      <c r="V894" s="193" t="str">
        <f>'Buildings - Grid Electricity'!M396</f>
        <v/>
      </c>
      <c r="W894" s="193" t="str">
        <f>'Buildings - Grid Electricity'!N396</f>
        <v/>
      </c>
      <c r="X894" s="193">
        <f>'Buildings - Grid Electricity'!O396</f>
        <v>0</v>
      </c>
      <c r="Y894" s="193">
        <f>'Buildings - Grid Electricity'!P396</f>
        <v>0</v>
      </c>
      <c r="Z894" s="193" t="str">
        <f>'Buildings - Grid Electricity'!Q396</f>
        <v/>
      </c>
      <c r="AA894" s="193" t="str">
        <f>'Buildings - Grid Electricity'!R396</f>
        <v/>
      </c>
      <c r="AB894" s="193" t="str">
        <f>'Buildings - Grid Electricity'!S396</f>
        <v/>
      </c>
      <c r="AC894" s="193" t="str">
        <f>'Buildings - Grid Electricity'!T396</f>
        <v/>
      </c>
      <c r="AD894" s="193" t="str">
        <f>'Buildings - Grid Electricity'!U396</f>
        <v/>
      </c>
      <c r="AE894" s="193" t="str">
        <f>'Buildings - Grid Electricity'!V396</f>
        <v/>
      </c>
      <c r="AF894" s="193" t="str">
        <f>'Buildings - Grid Electricity'!W396</f>
        <v/>
      </c>
      <c r="AG894" s="193" t="str">
        <f>'Buildings - Grid Electricity'!X396</f>
        <v/>
      </c>
      <c r="AI894" s="193">
        <f t="shared" si="16"/>
        <v>0</v>
      </c>
      <c r="AJ894" s="193">
        <f t="shared" si="17"/>
        <v>0</v>
      </c>
    </row>
    <row r="895" spans="2:36" x14ac:dyDescent="0.35">
      <c r="B895" s="193" t="e">
        <f>"2024"&amp;MATCH(Totals!D895,OrgType,0)&amp;"_"&amp;MATCH(Totals!E895,Organisations,0)&amp;"_"&amp;LEFT(Totals!F895,1)&amp;"_"&amp;LEFT(G895,1)&amp;"_"&amp;COUNTIF($G$3:G895,G895)</f>
        <v>#N/A</v>
      </c>
      <c r="C895" s="193">
        <v>2025</v>
      </c>
      <c r="D895" s="193">
        <f>Introduction!$D$7</f>
        <v>0</v>
      </c>
      <c r="E895" s="193">
        <f>Introduction!$D$8</f>
        <v>0</v>
      </c>
      <c r="F895" s="193" t="s">
        <v>488</v>
      </c>
      <c r="G895" s="193" t="s">
        <v>171</v>
      </c>
      <c r="H895" s="193">
        <f>'Buildings - Grid Electricity'!B397</f>
        <v>0</v>
      </c>
      <c r="I895" s="193">
        <f>'Buildings - Grid Electricity'!C397</f>
        <v>0</v>
      </c>
      <c r="J895" s="193" t="str">
        <f>'Buildings - Grid Electricity'!D397</f>
        <v/>
      </c>
      <c r="K895" s="237"/>
      <c r="L895" s="237"/>
      <c r="M895" s="193" t="str">
        <f>'Buildings - Grid Electricity'!E397</f>
        <v/>
      </c>
      <c r="N895" s="193" t="str">
        <f>'Buildings - Grid Electricity'!F397</f>
        <v/>
      </c>
      <c r="O895" s="237"/>
      <c r="P895" s="193">
        <f>'Buildings - Grid Electricity'!G397</f>
        <v>0</v>
      </c>
      <c r="Q895" s="193" t="str">
        <f>'Buildings - Grid Electricity'!H397</f>
        <v/>
      </c>
      <c r="R895" s="193">
        <f>'Buildings - Grid Electricity'!I397</f>
        <v>0</v>
      </c>
      <c r="S895" s="193" t="str">
        <f>'Buildings - Grid Electricity'!J397</f>
        <v/>
      </c>
      <c r="T895" s="193" t="str">
        <f>'Buildings - Grid Electricity'!K397</f>
        <v/>
      </c>
      <c r="U895" s="193" t="str">
        <f>'Buildings - Grid Electricity'!L397</f>
        <v/>
      </c>
      <c r="V895" s="193" t="str">
        <f>'Buildings - Grid Electricity'!M397</f>
        <v/>
      </c>
      <c r="W895" s="193" t="str">
        <f>'Buildings - Grid Electricity'!N397</f>
        <v/>
      </c>
      <c r="X895" s="193">
        <f>'Buildings - Grid Electricity'!O397</f>
        <v>0</v>
      </c>
      <c r="Y895" s="193">
        <f>'Buildings - Grid Electricity'!P397</f>
        <v>0</v>
      </c>
      <c r="Z895" s="193" t="str">
        <f>'Buildings - Grid Electricity'!Q397</f>
        <v/>
      </c>
      <c r="AA895" s="193" t="str">
        <f>'Buildings - Grid Electricity'!R397</f>
        <v/>
      </c>
      <c r="AB895" s="193" t="str">
        <f>'Buildings - Grid Electricity'!S397</f>
        <v/>
      </c>
      <c r="AC895" s="193" t="str">
        <f>'Buildings - Grid Electricity'!T397</f>
        <v/>
      </c>
      <c r="AD895" s="193" t="str">
        <f>'Buildings - Grid Electricity'!U397</f>
        <v/>
      </c>
      <c r="AE895" s="193" t="str">
        <f>'Buildings - Grid Electricity'!V397</f>
        <v/>
      </c>
      <c r="AF895" s="193" t="str">
        <f>'Buildings - Grid Electricity'!W397</f>
        <v/>
      </c>
      <c r="AG895" s="193" t="str">
        <f>'Buildings - Grid Electricity'!X397</f>
        <v/>
      </c>
      <c r="AI895" s="193">
        <f t="shared" si="16"/>
        <v>0</v>
      </c>
      <c r="AJ895" s="193">
        <f t="shared" si="17"/>
        <v>0</v>
      </c>
    </row>
    <row r="896" spans="2:36" x14ac:dyDescent="0.35">
      <c r="B896" s="193" t="e">
        <f>"2024"&amp;MATCH(Totals!D896,OrgType,0)&amp;"_"&amp;MATCH(Totals!E896,Organisations,0)&amp;"_"&amp;LEFT(Totals!F896,1)&amp;"_"&amp;LEFT(G896,1)&amp;"_"&amp;COUNTIF($G$3:G896,G896)</f>
        <v>#N/A</v>
      </c>
      <c r="C896" s="193">
        <v>2025</v>
      </c>
      <c r="D896" s="193">
        <f>Introduction!$D$7</f>
        <v>0</v>
      </c>
      <c r="E896" s="193">
        <f>Introduction!$D$8</f>
        <v>0</v>
      </c>
      <c r="F896" s="193" t="s">
        <v>488</v>
      </c>
      <c r="G896" s="193" t="s">
        <v>171</v>
      </c>
      <c r="H896" s="193">
        <f>'Buildings - Grid Electricity'!B398</f>
        <v>0</v>
      </c>
      <c r="I896" s="193">
        <f>'Buildings - Grid Electricity'!C398</f>
        <v>0</v>
      </c>
      <c r="J896" s="193" t="str">
        <f>'Buildings - Grid Electricity'!D398</f>
        <v/>
      </c>
      <c r="K896" s="237"/>
      <c r="L896" s="237"/>
      <c r="M896" s="193" t="str">
        <f>'Buildings - Grid Electricity'!E398</f>
        <v/>
      </c>
      <c r="N896" s="193" t="str">
        <f>'Buildings - Grid Electricity'!F398</f>
        <v/>
      </c>
      <c r="O896" s="237"/>
      <c r="P896" s="193">
        <f>'Buildings - Grid Electricity'!G398</f>
        <v>0</v>
      </c>
      <c r="Q896" s="193" t="str">
        <f>'Buildings - Grid Electricity'!H398</f>
        <v/>
      </c>
      <c r="R896" s="193">
        <f>'Buildings - Grid Electricity'!I398</f>
        <v>0</v>
      </c>
      <c r="S896" s="193" t="str">
        <f>'Buildings - Grid Electricity'!J398</f>
        <v/>
      </c>
      <c r="T896" s="193" t="str">
        <f>'Buildings - Grid Electricity'!K398</f>
        <v/>
      </c>
      <c r="U896" s="193" t="str">
        <f>'Buildings - Grid Electricity'!L398</f>
        <v/>
      </c>
      <c r="V896" s="193" t="str">
        <f>'Buildings - Grid Electricity'!M398</f>
        <v/>
      </c>
      <c r="W896" s="193" t="str">
        <f>'Buildings - Grid Electricity'!N398</f>
        <v/>
      </c>
      <c r="X896" s="193">
        <f>'Buildings - Grid Electricity'!O398</f>
        <v>0</v>
      </c>
      <c r="Y896" s="193">
        <f>'Buildings - Grid Electricity'!P398</f>
        <v>0</v>
      </c>
      <c r="Z896" s="193" t="str">
        <f>'Buildings - Grid Electricity'!Q398</f>
        <v/>
      </c>
      <c r="AA896" s="193" t="str">
        <f>'Buildings - Grid Electricity'!R398</f>
        <v/>
      </c>
      <c r="AB896" s="193" t="str">
        <f>'Buildings - Grid Electricity'!S398</f>
        <v/>
      </c>
      <c r="AC896" s="193" t="str">
        <f>'Buildings - Grid Electricity'!T398</f>
        <v/>
      </c>
      <c r="AD896" s="193" t="str">
        <f>'Buildings - Grid Electricity'!U398</f>
        <v/>
      </c>
      <c r="AE896" s="193" t="str">
        <f>'Buildings - Grid Electricity'!V398</f>
        <v/>
      </c>
      <c r="AF896" s="193" t="str">
        <f>'Buildings - Grid Electricity'!W398</f>
        <v/>
      </c>
      <c r="AG896" s="193" t="str">
        <f>'Buildings - Grid Electricity'!X398</f>
        <v/>
      </c>
      <c r="AI896" s="193">
        <f t="shared" si="16"/>
        <v>0</v>
      </c>
      <c r="AJ896" s="193">
        <f t="shared" si="17"/>
        <v>0</v>
      </c>
    </row>
    <row r="897" spans="2:36" x14ac:dyDescent="0.35">
      <c r="B897" s="193" t="e">
        <f>"2024"&amp;MATCH(Totals!D897,OrgType,0)&amp;"_"&amp;MATCH(Totals!E897,Organisations,0)&amp;"_"&amp;LEFT(Totals!F897,1)&amp;"_"&amp;LEFT(G897,1)&amp;"_"&amp;COUNTIF($G$3:G897,G897)</f>
        <v>#N/A</v>
      </c>
      <c r="C897" s="193">
        <v>2025</v>
      </c>
      <c r="D897" s="193">
        <f>Introduction!$D$7</f>
        <v>0</v>
      </c>
      <c r="E897" s="193">
        <f>Introduction!$D$8</f>
        <v>0</v>
      </c>
      <c r="F897" s="193" t="s">
        <v>488</v>
      </c>
      <c r="G897" s="193" t="s">
        <v>171</v>
      </c>
      <c r="H897" s="193">
        <f>'Buildings - Grid Electricity'!B399</f>
        <v>0</v>
      </c>
      <c r="I897" s="193">
        <f>'Buildings - Grid Electricity'!C399</f>
        <v>0</v>
      </c>
      <c r="J897" s="193" t="str">
        <f>'Buildings - Grid Electricity'!D399</f>
        <v/>
      </c>
      <c r="K897" s="237"/>
      <c r="L897" s="237"/>
      <c r="M897" s="193" t="str">
        <f>'Buildings - Grid Electricity'!E399</f>
        <v/>
      </c>
      <c r="N897" s="193" t="str">
        <f>'Buildings - Grid Electricity'!F399</f>
        <v/>
      </c>
      <c r="O897" s="237"/>
      <c r="P897" s="193">
        <f>'Buildings - Grid Electricity'!G399</f>
        <v>0</v>
      </c>
      <c r="Q897" s="193" t="str">
        <f>'Buildings - Grid Electricity'!H399</f>
        <v/>
      </c>
      <c r="R897" s="193">
        <f>'Buildings - Grid Electricity'!I399</f>
        <v>0</v>
      </c>
      <c r="S897" s="193" t="str">
        <f>'Buildings - Grid Electricity'!J399</f>
        <v/>
      </c>
      <c r="T897" s="193" t="str">
        <f>'Buildings - Grid Electricity'!K399</f>
        <v/>
      </c>
      <c r="U897" s="193" t="str">
        <f>'Buildings - Grid Electricity'!L399</f>
        <v/>
      </c>
      <c r="V897" s="193" t="str">
        <f>'Buildings - Grid Electricity'!M399</f>
        <v/>
      </c>
      <c r="W897" s="193" t="str">
        <f>'Buildings - Grid Electricity'!N399</f>
        <v/>
      </c>
      <c r="X897" s="193">
        <f>'Buildings - Grid Electricity'!O399</f>
        <v>0</v>
      </c>
      <c r="Y897" s="193">
        <f>'Buildings - Grid Electricity'!P399</f>
        <v>0</v>
      </c>
      <c r="Z897" s="193" t="str">
        <f>'Buildings - Grid Electricity'!Q399</f>
        <v/>
      </c>
      <c r="AA897" s="193" t="str">
        <f>'Buildings - Grid Electricity'!R399</f>
        <v/>
      </c>
      <c r="AB897" s="193" t="str">
        <f>'Buildings - Grid Electricity'!S399</f>
        <v/>
      </c>
      <c r="AC897" s="193" t="str">
        <f>'Buildings - Grid Electricity'!T399</f>
        <v/>
      </c>
      <c r="AD897" s="193" t="str">
        <f>'Buildings - Grid Electricity'!U399</f>
        <v/>
      </c>
      <c r="AE897" s="193" t="str">
        <f>'Buildings - Grid Electricity'!V399</f>
        <v/>
      </c>
      <c r="AF897" s="193" t="str">
        <f>'Buildings - Grid Electricity'!W399</f>
        <v/>
      </c>
      <c r="AG897" s="193" t="str">
        <f>'Buildings - Grid Electricity'!X399</f>
        <v/>
      </c>
      <c r="AI897" s="193">
        <f t="shared" si="16"/>
        <v>0</v>
      </c>
      <c r="AJ897" s="193">
        <f t="shared" si="17"/>
        <v>0</v>
      </c>
    </row>
    <row r="898" spans="2:36" x14ac:dyDescent="0.35">
      <c r="B898" s="193" t="e">
        <f>"2024"&amp;MATCH(Totals!D898,OrgType,0)&amp;"_"&amp;MATCH(Totals!E898,Organisations,0)&amp;"_"&amp;LEFT(Totals!F898,1)&amp;"_"&amp;LEFT(G898,1)&amp;"_"&amp;COUNTIF($G$3:G898,G898)</f>
        <v>#N/A</v>
      </c>
      <c r="C898" s="193">
        <v>2025</v>
      </c>
      <c r="D898" s="193">
        <f>Introduction!$D$7</f>
        <v>0</v>
      </c>
      <c r="E898" s="193">
        <f>Introduction!$D$8</f>
        <v>0</v>
      </c>
      <c r="F898" s="193" t="s">
        <v>488</v>
      </c>
      <c r="G898" s="193" t="s">
        <v>171</v>
      </c>
      <c r="H898" s="193">
        <f>'Buildings - Grid Electricity'!B400</f>
        <v>0</v>
      </c>
      <c r="I898" s="193">
        <f>'Buildings - Grid Electricity'!C400</f>
        <v>0</v>
      </c>
      <c r="J898" s="193" t="str">
        <f>'Buildings - Grid Electricity'!D400</f>
        <v/>
      </c>
      <c r="K898" s="237"/>
      <c r="L898" s="237"/>
      <c r="M898" s="193" t="str">
        <f>'Buildings - Grid Electricity'!E400</f>
        <v/>
      </c>
      <c r="N898" s="193" t="str">
        <f>'Buildings - Grid Electricity'!F400</f>
        <v/>
      </c>
      <c r="O898" s="237"/>
      <c r="P898" s="193">
        <f>'Buildings - Grid Electricity'!G400</f>
        <v>0</v>
      </c>
      <c r="Q898" s="193" t="str">
        <f>'Buildings - Grid Electricity'!H400</f>
        <v/>
      </c>
      <c r="R898" s="193">
        <f>'Buildings - Grid Electricity'!I400</f>
        <v>0</v>
      </c>
      <c r="S898" s="193" t="str">
        <f>'Buildings - Grid Electricity'!J400</f>
        <v/>
      </c>
      <c r="T898" s="193" t="str">
        <f>'Buildings - Grid Electricity'!K400</f>
        <v/>
      </c>
      <c r="U898" s="193" t="str">
        <f>'Buildings - Grid Electricity'!L400</f>
        <v/>
      </c>
      <c r="V898" s="193" t="str">
        <f>'Buildings - Grid Electricity'!M400</f>
        <v/>
      </c>
      <c r="W898" s="193" t="str">
        <f>'Buildings - Grid Electricity'!N400</f>
        <v/>
      </c>
      <c r="X898" s="193">
        <f>'Buildings - Grid Electricity'!O400</f>
        <v>0</v>
      </c>
      <c r="Y898" s="193">
        <f>'Buildings - Grid Electricity'!P400</f>
        <v>0</v>
      </c>
      <c r="Z898" s="193" t="str">
        <f>'Buildings - Grid Electricity'!Q400</f>
        <v/>
      </c>
      <c r="AA898" s="193" t="str">
        <f>'Buildings - Grid Electricity'!R400</f>
        <v/>
      </c>
      <c r="AB898" s="193" t="str">
        <f>'Buildings - Grid Electricity'!S400</f>
        <v/>
      </c>
      <c r="AC898" s="193" t="str">
        <f>'Buildings - Grid Electricity'!T400</f>
        <v/>
      </c>
      <c r="AD898" s="193" t="str">
        <f>'Buildings - Grid Electricity'!U400</f>
        <v/>
      </c>
      <c r="AE898" s="193" t="str">
        <f>'Buildings - Grid Electricity'!V400</f>
        <v/>
      </c>
      <c r="AF898" s="193" t="str">
        <f>'Buildings - Grid Electricity'!W400</f>
        <v/>
      </c>
      <c r="AG898" s="193" t="str">
        <f>'Buildings - Grid Electricity'!X400</f>
        <v/>
      </c>
      <c r="AI898" s="193">
        <f t="shared" si="16"/>
        <v>0</v>
      </c>
      <c r="AJ898" s="193">
        <f t="shared" si="17"/>
        <v>0</v>
      </c>
    </row>
    <row r="899" spans="2:36" x14ac:dyDescent="0.35">
      <c r="B899" s="193" t="e">
        <f>"2024"&amp;MATCH(Totals!D899,OrgType,0)&amp;"_"&amp;MATCH(Totals!E899,Organisations,0)&amp;"_"&amp;LEFT(Totals!F899,1)&amp;"_"&amp;LEFT(G899,1)&amp;"_"&amp;COUNTIF($G$3:G899,G899)</f>
        <v>#N/A</v>
      </c>
      <c r="C899" s="193">
        <v>2025</v>
      </c>
      <c r="D899" s="193">
        <f>Introduction!$D$7</f>
        <v>0</v>
      </c>
      <c r="E899" s="193">
        <f>Introduction!$D$8</f>
        <v>0</v>
      </c>
      <c r="F899" s="193" t="s">
        <v>488</v>
      </c>
      <c r="G899" s="193" t="s">
        <v>171</v>
      </c>
      <c r="H899" s="193">
        <f>'Buildings - Grid Electricity'!B401</f>
        <v>0</v>
      </c>
      <c r="I899" s="193">
        <f>'Buildings - Grid Electricity'!C401</f>
        <v>0</v>
      </c>
      <c r="J899" s="193" t="str">
        <f>'Buildings - Grid Electricity'!D401</f>
        <v/>
      </c>
      <c r="K899" s="237"/>
      <c r="L899" s="237"/>
      <c r="M899" s="193" t="str">
        <f>'Buildings - Grid Electricity'!E401</f>
        <v/>
      </c>
      <c r="N899" s="193" t="str">
        <f>'Buildings - Grid Electricity'!F401</f>
        <v/>
      </c>
      <c r="O899" s="237"/>
      <c r="P899" s="193">
        <f>'Buildings - Grid Electricity'!G401</f>
        <v>0</v>
      </c>
      <c r="Q899" s="193" t="str">
        <f>'Buildings - Grid Electricity'!H401</f>
        <v/>
      </c>
      <c r="R899" s="193">
        <f>'Buildings - Grid Electricity'!I401</f>
        <v>0</v>
      </c>
      <c r="S899" s="193" t="str">
        <f>'Buildings - Grid Electricity'!J401</f>
        <v/>
      </c>
      <c r="T899" s="193" t="str">
        <f>'Buildings - Grid Electricity'!K401</f>
        <v/>
      </c>
      <c r="U899" s="193" t="str">
        <f>'Buildings - Grid Electricity'!L401</f>
        <v/>
      </c>
      <c r="V899" s="193" t="str">
        <f>'Buildings - Grid Electricity'!M401</f>
        <v/>
      </c>
      <c r="W899" s="193" t="str">
        <f>'Buildings - Grid Electricity'!N401</f>
        <v/>
      </c>
      <c r="X899" s="193">
        <f>'Buildings - Grid Electricity'!O401</f>
        <v>0</v>
      </c>
      <c r="Y899" s="193">
        <f>'Buildings - Grid Electricity'!P401</f>
        <v>0</v>
      </c>
      <c r="Z899" s="193" t="str">
        <f>'Buildings - Grid Electricity'!Q401</f>
        <v/>
      </c>
      <c r="AA899" s="193" t="str">
        <f>'Buildings - Grid Electricity'!R401</f>
        <v/>
      </c>
      <c r="AB899" s="193" t="str">
        <f>'Buildings - Grid Electricity'!S401</f>
        <v/>
      </c>
      <c r="AC899" s="193" t="str">
        <f>'Buildings - Grid Electricity'!T401</f>
        <v/>
      </c>
      <c r="AD899" s="193" t="str">
        <f>'Buildings - Grid Electricity'!U401</f>
        <v/>
      </c>
      <c r="AE899" s="193" t="str">
        <f>'Buildings - Grid Electricity'!V401</f>
        <v/>
      </c>
      <c r="AF899" s="193" t="str">
        <f>'Buildings - Grid Electricity'!W401</f>
        <v/>
      </c>
      <c r="AG899" s="193" t="str">
        <f>'Buildings - Grid Electricity'!X401</f>
        <v/>
      </c>
      <c r="AI899" s="193">
        <f t="shared" si="16"/>
        <v>0</v>
      </c>
      <c r="AJ899" s="193">
        <f t="shared" si="17"/>
        <v>0</v>
      </c>
    </row>
    <row r="900" spans="2:36" x14ac:dyDescent="0.35">
      <c r="B900" s="193" t="e">
        <f>"2024"&amp;MATCH(Totals!D900,OrgType,0)&amp;"_"&amp;MATCH(Totals!E900,Organisations,0)&amp;"_"&amp;LEFT(Totals!F900,1)&amp;"_"&amp;LEFT(G900,1)&amp;"_"&amp;COUNTIF($G$3:G900,G900)</f>
        <v>#N/A</v>
      </c>
      <c r="C900" s="193">
        <v>2025</v>
      </c>
      <c r="D900" s="193">
        <f>Introduction!$D$7</f>
        <v>0</v>
      </c>
      <c r="E900" s="193">
        <f>Introduction!$D$8</f>
        <v>0</v>
      </c>
      <c r="F900" s="193" t="s">
        <v>488</v>
      </c>
      <c r="G900" s="193" t="s">
        <v>171</v>
      </c>
      <c r="H900" s="193">
        <f>'Buildings - Grid Electricity'!B452</f>
        <v>0</v>
      </c>
      <c r="I900" s="193">
        <f>'Buildings - Grid Electricity'!C452</f>
        <v>0</v>
      </c>
      <c r="J900" s="193" t="str">
        <f>'Buildings - Grid Electricity'!D452</f>
        <v/>
      </c>
      <c r="K900" s="237"/>
      <c r="L900" s="237"/>
      <c r="M900" s="193" t="str">
        <f>'Buildings - Grid Electricity'!E452</f>
        <v/>
      </c>
      <c r="N900" s="193" t="str">
        <f>'Buildings - Grid Electricity'!F452</f>
        <v/>
      </c>
      <c r="O900" s="237"/>
      <c r="P900" s="193">
        <f>'Buildings - Grid Electricity'!G452</f>
        <v>0</v>
      </c>
      <c r="Q900" s="193" t="str">
        <f>'Buildings - Grid Electricity'!H452</f>
        <v/>
      </c>
      <c r="R900" s="193">
        <f>'Buildings - Grid Electricity'!I452</f>
        <v>0</v>
      </c>
      <c r="S900" s="193" t="str">
        <f>'Buildings - Grid Electricity'!J452</f>
        <v/>
      </c>
      <c r="T900" s="193" t="str">
        <f>'Buildings - Grid Electricity'!K452</f>
        <v/>
      </c>
      <c r="U900" s="193" t="str">
        <f>'Buildings - Grid Electricity'!L452</f>
        <v/>
      </c>
      <c r="V900" s="193" t="str">
        <f>'Buildings - Grid Electricity'!M452</f>
        <v/>
      </c>
      <c r="W900" s="193" t="str">
        <f>'Buildings - Grid Electricity'!N452</f>
        <v/>
      </c>
      <c r="X900" s="193">
        <f>'Buildings - Grid Electricity'!O452</f>
        <v>0</v>
      </c>
      <c r="Y900" s="193">
        <f>'Buildings - Grid Electricity'!P452</f>
        <v>0</v>
      </c>
      <c r="Z900" s="193" t="str">
        <f>'Buildings - Grid Electricity'!Q452</f>
        <v/>
      </c>
      <c r="AA900" s="193" t="str">
        <f>'Buildings - Grid Electricity'!R452</f>
        <v/>
      </c>
      <c r="AB900" s="193" t="str">
        <f>'Buildings - Grid Electricity'!S452</f>
        <v/>
      </c>
      <c r="AC900" s="193" t="str">
        <f>'Buildings - Grid Electricity'!T452</f>
        <v/>
      </c>
      <c r="AD900" s="193" t="str">
        <f>'Buildings - Grid Electricity'!U452</f>
        <v/>
      </c>
      <c r="AE900" s="193" t="str">
        <f>'Buildings - Grid Electricity'!V452</f>
        <v/>
      </c>
      <c r="AF900" s="193" t="str">
        <f>'Buildings - Grid Electricity'!W452</f>
        <v/>
      </c>
      <c r="AG900" s="193" t="str">
        <f>'Buildings - Grid Electricity'!X452</f>
        <v/>
      </c>
      <c r="AI900" s="193">
        <f t="shared" si="16"/>
        <v>0</v>
      </c>
      <c r="AJ900" s="193">
        <f t="shared" si="17"/>
        <v>0</v>
      </c>
    </row>
    <row r="901" spans="2:36" x14ac:dyDescent="0.35">
      <c r="B901" s="193" t="e">
        <f>"2024"&amp;MATCH(Totals!D901,OrgType,0)&amp;"_"&amp;MATCH(Totals!E901,Organisations,0)&amp;"_"&amp;LEFT(Totals!F901,1)&amp;"_"&amp;LEFT(G901,1)&amp;"_"&amp;COUNTIF($G$3:G901,G901)</f>
        <v>#N/A</v>
      </c>
      <c r="C901" s="193">
        <v>2025</v>
      </c>
      <c r="D901" s="193">
        <f>Introduction!$D$7</f>
        <v>0</v>
      </c>
      <c r="E901" s="193">
        <f>Introduction!$D$8</f>
        <v>0</v>
      </c>
      <c r="F901" s="193" t="s">
        <v>488</v>
      </c>
      <c r="G901" s="193" t="s">
        <v>171</v>
      </c>
      <c r="H901" s="193">
        <f>'Buildings - Grid Electricity'!B453</f>
        <v>0</v>
      </c>
      <c r="I901" s="193">
        <f>'Buildings - Grid Electricity'!C453</f>
        <v>0</v>
      </c>
      <c r="J901" s="193" t="str">
        <f>'Buildings - Grid Electricity'!D453</f>
        <v/>
      </c>
      <c r="K901" s="237"/>
      <c r="L901" s="237"/>
      <c r="M901" s="193" t="str">
        <f>'Buildings - Grid Electricity'!E453</f>
        <v/>
      </c>
      <c r="N901" s="193" t="str">
        <f>'Buildings - Grid Electricity'!F453</f>
        <v/>
      </c>
      <c r="O901" s="237"/>
      <c r="P901" s="193">
        <f>'Buildings - Grid Electricity'!G453</f>
        <v>0</v>
      </c>
      <c r="Q901" s="193" t="str">
        <f>'Buildings - Grid Electricity'!H453</f>
        <v/>
      </c>
      <c r="R901" s="193">
        <f>'Buildings - Grid Electricity'!I453</f>
        <v>0</v>
      </c>
      <c r="S901" s="193" t="str">
        <f>'Buildings - Grid Electricity'!J453</f>
        <v/>
      </c>
      <c r="T901" s="193" t="str">
        <f>'Buildings - Grid Electricity'!K453</f>
        <v/>
      </c>
      <c r="U901" s="193" t="str">
        <f>'Buildings - Grid Electricity'!L453</f>
        <v/>
      </c>
      <c r="V901" s="193" t="str">
        <f>'Buildings - Grid Electricity'!M453</f>
        <v/>
      </c>
      <c r="W901" s="193" t="str">
        <f>'Buildings - Grid Electricity'!N453</f>
        <v/>
      </c>
      <c r="X901" s="193">
        <f>'Buildings - Grid Electricity'!O453</f>
        <v>0</v>
      </c>
      <c r="Y901" s="193">
        <f>'Buildings - Grid Electricity'!P453</f>
        <v>0</v>
      </c>
      <c r="Z901" s="193" t="str">
        <f>'Buildings - Grid Electricity'!Q453</f>
        <v/>
      </c>
      <c r="AA901" s="193" t="str">
        <f>'Buildings - Grid Electricity'!R453</f>
        <v/>
      </c>
      <c r="AB901" s="193" t="str">
        <f>'Buildings - Grid Electricity'!S453</f>
        <v/>
      </c>
      <c r="AC901" s="193" t="str">
        <f>'Buildings - Grid Electricity'!T453</f>
        <v/>
      </c>
      <c r="AD901" s="193" t="str">
        <f>'Buildings - Grid Electricity'!U453</f>
        <v/>
      </c>
      <c r="AE901" s="193" t="str">
        <f>'Buildings - Grid Electricity'!V453</f>
        <v/>
      </c>
      <c r="AF901" s="193" t="str">
        <f>'Buildings - Grid Electricity'!W453</f>
        <v/>
      </c>
      <c r="AG901" s="193" t="str">
        <f>'Buildings - Grid Electricity'!X453</f>
        <v/>
      </c>
      <c r="AI901" s="193">
        <f t="shared" si="16"/>
        <v>0</v>
      </c>
      <c r="AJ901" s="193">
        <f t="shared" si="17"/>
        <v>0</v>
      </c>
    </row>
    <row r="902" spans="2:36" x14ac:dyDescent="0.35">
      <c r="B902" s="193" t="e">
        <f>"2024"&amp;MATCH(Totals!D902,OrgType,0)&amp;"_"&amp;MATCH(Totals!E902,Organisations,0)&amp;"_"&amp;LEFT(Totals!F902,1)&amp;"_"&amp;LEFT(G902,1)&amp;"_"&amp;COUNTIF($G$3:G902,G902)</f>
        <v>#N/A</v>
      </c>
      <c r="C902" s="193">
        <v>2025</v>
      </c>
      <c r="D902" s="193">
        <f>Introduction!$D$7</f>
        <v>0</v>
      </c>
      <c r="E902" s="193">
        <f>Introduction!$D$8</f>
        <v>0</v>
      </c>
      <c r="F902" s="193" t="s">
        <v>488</v>
      </c>
      <c r="G902" s="193" t="s">
        <v>171</v>
      </c>
      <c r="H902" s="193">
        <f>'Buildings - Grid Electricity'!B454</f>
        <v>0</v>
      </c>
      <c r="I902" s="193">
        <f>'Buildings - Grid Electricity'!C454</f>
        <v>0</v>
      </c>
      <c r="J902" s="193" t="str">
        <f>'Buildings - Grid Electricity'!D454</f>
        <v/>
      </c>
      <c r="K902" s="237"/>
      <c r="L902" s="237"/>
      <c r="M902" s="193" t="str">
        <f>'Buildings - Grid Electricity'!E454</f>
        <v/>
      </c>
      <c r="N902" s="193" t="str">
        <f>'Buildings - Grid Electricity'!F454</f>
        <v/>
      </c>
      <c r="O902" s="237"/>
      <c r="P902" s="193">
        <f>'Buildings - Grid Electricity'!G454</f>
        <v>0</v>
      </c>
      <c r="Q902" s="193" t="str">
        <f>'Buildings - Grid Electricity'!H454</f>
        <v/>
      </c>
      <c r="R902" s="193">
        <f>'Buildings - Grid Electricity'!I454</f>
        <v>0</v>
      </c>
      <c r="S902" s="193" t="str">
        <f>'Buildings - Grid Electricity'!J454</f>
        <v/>
      </c>
      <c r="T902" s="193" t="str">
        <f>'Buildings - Grid Electricity'!K454</f>
        <v/>
      </c>
      <c r="U902" s="193" t="str">
        <f>'Buildings - Grid Electricity'!L454</f>
        <v/>
      </c>
      <c r="V902" s="193" t="str">
        <f>'Buildings - Grid Electricity'!M454</f>
        <v/>
      </c>
      <c r="W902" s="193" t="str">
        <f>'Buildings - Grid Electricity'!N454</f>
        <v/>
      </c>
      <c r="X902" s="193">
        <f>'Buildings - Grid Electricity'!O454</f>
        <v>0</v>
      </c>
      <c r="Y902" s="193">
        <f>'Buildings - Grid Electricity'!P454</f>
        <v>0</v>
      </c>
      <c r="Z902" s="193" t="str">
        <f>'Buildings - Grid Electricity'!Q454</f>
        <v/>
      </c>
      <c r="AA902" s="193" t="str">
        <f>'Buildings - Grid Electricity'!R454</f>
        <v/>
      </c>
      <c r="AB902" s="193" t="str">
        <f>'Buildings - Grid Electricity'!S454</f>
        <v/>
      </c>
      <c r="AC902" s="193" t="str">
        <f>'Buildings - Grid Electricity'!T454</f>
        <v/>
      </c>
      <c r="AD902" s="193" t="str">
        <f>'Buildings - Grid Electricity'!U454</f>
        <v/>
      </c>
      <c r="AE902" s="193" t="str">
        <f>'Buildings - Grid Electricity'!V454</f>
        <v/>
      </c>
      <c r="AF902" s="193" t="str">
        <f>'Buildings - Grid Electricity'!W454</f>
        <v/>
      </c>
      <c r="AG902" s="193" t="str">
        <f>'Buildings - Grid Electricity'!X454</f>
        <v/>
      </c>
      <c r="AI902" s="193">
        <f t="shared" si="16"/>
        <v>0</v>
      </c>
      <c r="AJ902" s="193">
        <f t="shared" si="17"/>
        <v>0</v>
      </c>
    </row>
    <row r="903" spans="2:36" x14ac:dyDescent="0.35">
      <c r="B903" s="193" t="e">
        <f>"2024"&amp;MATCH(Totals!D903,OrgType,0)&amp;"_"&amp;MATCH(Totals!E903,Organisations,0)&amp;"_"&amp;LEFT(Totals!F903,1)&amp;"_"&amp;LEFT(G903,1)&amp;"_"&amp;COUNTIF($G$3:G903,G903)</f>
        <v>#N/A</v>
      </c>
      <c r="C903" s="193">
        <v>2025</v>
      </c>
      <c r="D903" s="193">
        <f>Introduction!$D$7</f>
        <v>0</v>
      </c>
      <c r="E903" s="193">
        <f>Introduction!$D$8</f>
        <v>0</v>
      </c>
      <c r="F903" s="193" t="s">
        <v>488</v>
      </c>
      <c r="G903" s="193" t="s">
        <v>171</v>
      </c>
      <c r="H903" s="193">
        <f>'Buildings - Grid Electricity'!B455</f>
        <v>0</v>
      </c>
      <c r="I903" s="193">
        <f>'Buildings - Grid Electricity'!C455</f>
        <v>0</v>
      </c>
      <c r="J903" s="193" t="str">
        <f>'Buildings - Grid Electricity'!D455</f>
        <v/>
      </c>
      <c r="K903" s="237"/>
      <c r="L903" s="237"/>
      <c r="M903" s="193" t="str">
        <f>'Buildings - Grid Electricity'!E455</f>
        <v/>
      </c>
      <c r="N903" s="193" t="str">
        <f>'Buildings - Grid Electricity'!F455</f>
        <v/>
      </c>
      <c r="O903" s="237"/>
      <c r="P903" s="193">
        <f>'Buildings - Grid Electricity'!G455</f>
        <v>0</v>
      </c>
      <c r="Q903" s="193" t="str">
        <f>'Buildings - Grid Electricity'!H455</f>
        <v/>
      </c>
      <c r="R903" s="193">
        <f>'Buildings - Grid Electricity'!I455</f>
        <v>0</v>
      </c>
      <c r="S903" s="193" t="str">
        <f>'Buildings - Grid Electricity'!J455</f>
        <v/>
      </c>
      <c r="T903" s="193" t="str">
        <f>'Buildings - Grid Electricity'!K455</f>
        <v/>
      </c>
      <c r="U903" s="193" t="str">
        <f>'Buildings - Grid Electricity'!L455</f>
        <v/>
      </c>
      <c r="V903" s="193" t="str">
        <f>'Buildings - Grid Electricity'!M455</f>
        <v/>
      </c>
      <c r="W903" s="193" t="str">
        <f>'Buildings - Grid Electricity'!N455</f>
        <v/>
      </c>
      <c r="X903" s="193">
        <f>'Buildings - Grid Electricity'!O455</f>
        <v>0</v>
      </c>
      <c r="Y903" s="193">
        <f>'Buildings - Grid Electricity'!P455</f>
        <v>0</v>
      </c>
      <c r="Z903" s="193" t="str">
        <f>'Buildings - Grid Electricity'!Q455</f>
        <v/>
      </c>
      <c r="AA903" s="193" t="str">
        <f>'Buildings - Grid Electricity'!R455</f>
        <v/>
      </c>
      <c r="AB903" s="193" t="str">
        <f>'Buildings - Grid Electricity'!S455</f>
        <v/>
      </c>
      <c r="AC903" s="193" t="str">
        <f>'Buildings - Grid Electricity'!T455</f>
        <v/>
      </c>
      <c r="AD903" s="193" t="str">
        <f>'Buildings - Grid Electricity'!U455</f>
        <v/>
      </c>
      <c r="AE903" s="193" t="str">
        <f>'Buildings - Grid Electricity'!V455</f>
        <v/>
      </c>
      <c r="AF903" s="193" t="str">
        <f>'Buildings - Grid Electricity'!W455</f>
        <v/>
      </c>
      <c r="AG903" s="193" t="str">
        <f>'Buildings - Grid Electricity'!X455</f>
        <v/>
      </c>
      <c r="AI903" s="193">
        <f t="shared" ref="AI903:AI1155" si="18">IF(AND(V903="",R903&lt;&gt;0),1,0)</f>
        <v>0</v>
      </c>
      <c r="AJ903" s="193">
        <f t="shared" ref="AJ903:AJ1155" si="19">IF(AND(W903="",R903&lt;&gt;0),1,0)</f>
        <v>0</v>
      </c>
    </row>
    <row r="904" spans="2:36" x14ac:dyDescent="0.35">
      <c r="B904" s="193" t="e">
        <f>"2024"&amp;MATCH(Totals!D904,OrgType,0)&amp;"_"&amp;MATCH(Totals!E904,Organisations,0)&amp;"_"&amp;LEFT(Totals!F904,1)&amp;"_"&amp;LEFT(G904,1)&amp;"_"&amp;COUNTIF($G$3:G904,G904)</f>
        <v>#N/A</v>
      </c>
      <c r="C904" s="193">
        <v>2025</v>
      </c>
      <c r="D904" s="193">
        <f>Introduction!$D$7</f>
        <v>0</v>
      </c>
      <c r="E904" s="193">
        <f>Introduction!$D$8</f>
        <v>0</v>
      </c>
      <c r="F904" s="193" t="s">
        <v>488</v>
      </c>
      <c r="G904" s="193" t="s">
        <v>171</v>
      </c>
      <c r="H904" s="193">
        <f>'Buildings - Grid Electricity'!B456</f>
        <v>0</v>
      </c>
      <c r="I904" s="193">
        <f>'Buildings - Grid Electricity'!C456</f>
        <v>0</v>
      </c>
      <c r="J904" s="193" t="str">
        <f>'Buildings - Grid Electricity'!D456</f>
        <v/>
      </c>
      <c r="K904" s="237"/>
      <c r="L904" s="237"/>
      <c r="M904" s="193" t="str">
        <f>'Buildings - Grid Electricity'!E456</f>
        <v/>
      </c>
      <c r="N904" s="193" t="str">
        <f>'Buildings - Grid Electricity'!F456</f>
        <v/>
      </c>
      <c r="O904" s="237"/>
      <c r="P904" s="193">
        <f>'Buildings - Grid Electricity'!G456</f>
        <v>0</v>
      </c>
      <c r="Q904" s="193" t="str">
        <f>'Buildings - Grid Electricity'!H456</f>
        <v/>
      </c>
      <c r="R904" s="193">
        <f>'Buildings - Grid Electricity'!I456</f>
        <v>0</v>
      </c>
      <c r="S904" s="193" t="str">
        <f>'Buildings - Grid Electricity'!J456</f>
        <v/>
      </c>
      <c r="T904" s="193" t="str">
        <f>'Buildings - Grid Electricity'!K456</f>
        <v/>
      </c>
      <c r="U904" s="193" t="str">
        <f>'Buildings - Grid Electricity'!L456</f>
        <v/>
      </c>
      <c r="V904" s="193" t="str">
        <f>'Buildings - Grid Electricity'!M456</f>
        <v/>
      </c>
      <c r="W904" s="193" t="str">
        <f>'Buildings - Grid Electricity'!N456</f>
        <v/>
      </c>
      <c r="X904" s="193">
        <f>'Buildings - Grid Electricity'!O456</f>
        <v>0</v>
      </c>
      <c r="Y904" s="193">
        <f>'Buildings - Grid Electricity'!P456</f>
        <v>0</v>
      </c>
      <c r="Z904" s="193" t="str">
        <f>'Buildings - Grid Electricity'!Q456</f>
        <v/>
      </c>
      <c r="AA904" s="193" t="str">
        <f>'Buildings - Grid Electricity'!R456</f>
        <v/>
      </c>
      <c r="AB904" s="193" t="str">
        <f>'Buildings - Grid Electricity'!S456</f>
        <v/>
      </c>
      <c r="AC904" s="193" t="str">
        <f>'Buildings - Grid Electricity'!T456</f>
        <v/>
      </c>
      <c r="AD904" s="193" t="str">
        <f>'Buildings - Grid Electricity'!U456</f>
        <v/>
      </c>
      <c r="AE904" s="193" t="str">
        <f>'Buildings - Grid Electricity'!V456</f>
        <v/>
      </c>
      <c r="AF904" s="193" t="str">
        <f>'Buildings - Grid Electricity'!W456</f>
        <v/>
      </c>
      <c r="AG904" s="193" t="str">
        <f>'Buildings - Grid Electricity'!X456</f>
        <v/>
      </c>
      <c r="AI904" s="193">
        <f t="shared" si="18"/>
        <v>0</v>
      </c>
      <c r="AJ904" s="193">
        <f t="shared" si="19"/>
        <v>0</v>
      </c>
    </row>
    <row r="905" spans="2:36" x14ac:dyDescent="0.35">
      <c r="B905" s="193" t="e">
        <f>"2024"&amp;MATCH(Totals!D905,OrgType,0)&amp;"_"&amp;MATCH(Totals!E905,Organisations,0)&amp;"_"&amp;LEFT(Totals!F905,1)&amp;"_"&amp;LEFT(G905,1)&amp;"_"&amp;COUNTIF($G$3:G905,G905)</f>
        <v>#N/A</v>
      </c>
      <c r="C905" s="193">
        <v>2025</v>
      </c>
      <c r="D905" s="193">
        <f>Introduction!$D$7</f>
        <v>0</v>
      </c>
      <c r="E905" s="193">
        <f>Introduction!$D$8</f>
        <v>0</v>
      </c>
      <c r="F905" s="193" t="s">
        <v>488</v>
      </c>
      <c r="G905" s="193" t="s">
        <v>171</v>
      </c>
      <c r="H905" s="193">
        <f>'Buildings - Grid Electricity'!B457</f>
        <v>0</v>
      </c>
      <c r="I905" s="193">
        <f>'Buildings - Grid Electricity'!C457</f>
        <v>0</v>
      </c>
      <c r="J905" s="193" t="str">
        <f>'Buildings - Grid Electricity'!D457</f>
        <v/>
      </c>
      <c r="K905" s="237"/>
      <c r="L905" s="237"/>
      <c r="M905" s="193" t="str">
        <f>'Buildings - Grid Electricity'!E457</f>
        <v/>
      </c>
      <c r="N905" s="193" t="str">
        <f>'Buildings - Grid Electricity'!F457</f>
        <v/>
      </c>
      <c r="O905" s="237"/>
      <c r="P905" s="193">
        <f>'Buildings - Grid Electricity'!G457</f>
        <v>0</v>
      </c>
      <c r="Q905" s="193" t="str">
        <f>'Buildings - Grid Electricity'!H457</f>
        <v/>
      </c>
      <c r="R905" s="193">
        <f>'Buildings - Grid Electricity'!I457</f>
        <v>0</v>
      </c>
      <c r="S905" s="193" t="str">
        <f>'Buildings - Grid Electricity'!J457</f>
        <v/>
      </c>
      <c r="T905" s="193" t="str">
        <f>'Buildings - Grid Electricity'!K457</f>
        <v/>
      </c>
      <c r="U905" s="193" t="str">
        <f>'Buildings - Grid Electricity'!L457</f>
        <v/>
      </c>
      <c r="V905" s="193" t="str">
        <f>'Buildings - Grid Electricity'!M457</f>
        <v/>
      </c>
      <c r="W905" s="193" t="str">
        <f>'Buildings - Grid Electricity'!N457</f>
        <v/>
      </c>
      <c r="X905" s="193">
        <f>'Buildings - Grid Electricity'!O457</f>
        <v>0</v>
      </c>
      <c r="Y905" s="193">
        <f>'Buildings - Grid Electricity'!P457</f>
        <v>0</v>
      </c>
      <c r="Z905" s="193" t="str">
        <f>'Buildings - Grid Electricity'!Q457</f>
        <v/>
      </c>
      <c r="AA905" s="193" t="str">
        <f>'Buildings - Grid Electricity'!R457</f>
        <v/>
      </c>
      <c r="AB905" s="193" t="str">
        <f>'Buildings - Grid Electricity'!S457</f>
        <v/>
      </c>
      <c r="AC905" s="193" t="str">
        <f>'Buildings - Grid Electricity'!T457</f>
        <v/>
      </c>
      <c r="AD905" s="193" t="str">
        <f>'Buildings - Grid Electricity'!U457</f>
        <v/>
      </c>
      <c r="AE905" s="193" t="str">
        <f>'Buildings - Grid Electricity'!V457</f>
        <v/>
      </c>
      <c r="AF905" s="193" t="str">
        <f>'Buildings - Grid Electricity'!W457</f>
        <v/>
      </c>
      <c r="AG905" s="193" t="str">
        <f>'Buildings - Grid Electricity'!X457</f>
        <v/>
      </c>
      <c r="AI905" s="193">
        <f t="shared" si="18"/>
        <v>0</v>
      </c>
      <c r="AJ905" s="193">
        <f t="shared" si="19"/>
        <v>0</v>
      </c>
    </row>
    <row r="906" spans="2:36" x14ac:dyDescent="0.35">
      <c r="B906" s="193" t="e">
        <f>"2024"&amp;MATCH(Totals!D906,OrgType,0)&amp;"_"&amp;MATCH(Totals!E906,Organisations,0)&amp;"_"&amp;LEFT(Totals!F906,1)&amp;"_"&amp;LEFT(G906,1)&amp;"_"&amp;COUNTIF($G$3:G906,G906)</f>
        <v>#N/A</v>
      </c>
      <c r="C906" s="193">
        <v>2025</v>
      </c>
      <c r="D906" s="193">
        <f>Introduction!$D$7</f>
        <v>0</v>
      </c>
      <c r="E906" s="193">
        <f>Introduction!$D$8</f>
        <v>0</v>
      </c>
      <c r="F906" s="193" t="s">
        <v>488</v>
      </c>
      <c r="G906" s="193" t="s">
        <v>171</v>
      </c>
      <c r="H906" s="193">
        <f>'Buildings - Grid Electricity'!B458</f>
        <v>0</v>
      </c>
      <c r="I906" s="193">
        <f>'Buildings - Grid Electricity'!C458</f>
        <v>0</v>
      </c>
      <c r="J906" s="193" t="str">
        <f>'Buildings - Grid Electricity'!D458</f>
        <v/>
      </c>
      <c r="K906" s="237"/>
      <c r="L906" s="237"/>
      <c r="M906" s="193" t="str">
        <f>'Buildings - Grid Electricity'!E458</f>
        <v/>
      </c>
      <c r="N906" s="193" t="str">
        <f>'Buildings - Grid Electricity'!F458</f>
        <v/>
      </c>
      <c r="O906" s="237"/>
      <c r="P906" s="193">
        <f>'Buildings - Grid Electricity'!G458</f>
        <v>0</v>
      </c>
      <c r="Q906" s="193" t="str">
        <f>'Buildings - Grid Electricity'!H458</f>
        <v/>
      </c>
      <c r="R906" s="193">
        <f>'Buildings - Grid Electricity'!I458</f>
        <v>0</v>
      </c>
      <c r="S906" s="193" t="str">
        <f>'Buildings - Grid Electricity'!J458</f>
        <v/>
      </c>
      <c r="T906" s="193" t="str">
        <f>'Buildings - Grid Electricity'!K458</f>
        <v/>
      </c>
      <c r="U906" s="193" t="str">
        <f>'Buildings - Grid Electricity'!L458</f>
        <v/>
      </c>
      <c r="V906" s="193" t="str">
        <f>'Buildings - Grid Electricity'!M458</f>
        <v/>
      </c>
      <c r="W906" s="193" t="str">
        <f>'Buildings - Grid Electricity'!N458</f>
        <v/>
      </c>
      <c r="X906" s="193">
        <f>'Buildings - Grid Electricity'!O458</f>
        <v>0</v>
      </c>
      <c r="Y906" s="193">
        <f>'Buildings - Grid Electricity'!P458</f>
        <v>0</v>
      </c>
      <c r="Z906" s="193" t="str">
        <f>'Buildings - Grid Electricity'!Q458</f>
        <v/>
      </c>
      <c r="AA906" s="193" t="str">
        <f>'Buildings - Grid Electricity'!R458</f>
        <v/>
      </c>
      <c r="AB906" s="193" t="str">
        <f>'Buildings - Grid Electricity'!S458</f>
        <v/>
      </c>
      <c r="AC906" s="193" t="str">
        <f>'Buildings - Grid Electricity'!T458</f>
        <v/>
      </c>
      <c r="AD906" s="193" t="str">
        <f>'Buildings - Grid Electricity'!U458</f>
        <v/>
      </c>
      <c r="AE906" s="193" t="str">
        <f>'Buildings - Grid Electricity'!V458</f>
        <v/>
      </c>
      <c r="AF906" s="193" t="str">
        <f>'Buildings - Grid Electricity'!W458</f>
        <v/>
      </c>
      <c r="AG906" s="193" t="str">
        <f>'Buildings - Grid Electricity'!X458</f>
        <v/>
      </c>
      <c r="AI906" s="193">
        <f t="shared" si="18"/>
        <v>0</v>
      </c>
      <c r="AJ906" s="193">
        <f t="shared" si="19"/>
        <v>0</v>
      </c>
    </row>
    <row r="907" spans="2:36" x14ac:dyDescent="0.35">
      <c r="B907" s="193" t="e">
        <f>"2024"&amp;MATCH(Totals!D907,OrgType,0)&amp;"_"&amp;MATCH(Totals!E907,Organisations,0)&amp;"_"&amp;LEFT(Totals!F907,1)&amp;"_"&amp;LEFT(G907,1)&amp;"_"&amp;COUNTIF($G$3:G907,G907)</f>
        <v>#N/A</v>
      </c>
      <c r="C907" s="193">
        <v>2025</v>
      </c>
      <c r="D907" s="193">
        <f>Introduction!$D$7</f>
        <v>0</v>
      </c>
      <c r="E907" s="193">
        <f>Introduction!$D$8</f>
        <v>0</v>
      </c>
      <c r="F907" s="193" t="s">
        <v>488</v>
      </c>
      <c r="G907" s="193" t="s">
        <v>171</v>
      </c>
      <c r="H907" s="193">
        <f>'Buildings - Grid Electricity'!B459</f>
        <v>0</v>
      </c>
      <c r="I907" s="193">
        <f>'Buildings - Grid Electricity'!C459</f>
        <v>0</v>
      </c>
      <c r="J907" s="193" t="str">
        <f>'Buildings - Grid Electricity'!D459</f>
        <v/>
      </c>
      <c r="K907" s="237"/>
      <c r="L907" s="237"/>
      <c r="M907" s="193" t="str">
        <f>'Buildings - Grid Electricity'!E459</f>
        <v/>
      </c>
      <c r="N907" s="193" t="str">
        <f>'Buildings - Grid Electricity'!F459</f>
        <v/>
      </c>
      <c r="O907" s="237"/>
      <c r="P907" s="193">
        <f>'Buildings - Grid Electricity'!G459</f>
        <v>0</v>
      </c>
      <c r="Q907" s="193" t="str">
        <f>'Buildings - Grid Electricity'!H459</f>
        <v/>
      </c>
      <c r="R907" s="193">
        <f>'Buildings - Grid Electricity'!I459</f>
        <v>0</v>
      </c>
      <c r="S907" s="193" t="str">
        <f>'Buildings - Grid Electricity'!J459</f>
        <v/>
      </c>
      <c r="T907" s="193" t="str">
        <f>'Buildings - Grid Electricity'!K459</f>
        <v/>
      </c>
      <c r="U907" s="193" t="str">
        <f>'Buildings - Grid Electricity'!L459</f>
        <v/>
      </c>
      <c r="V907" s="193" t="str">
        <f>'Buildings - Grid Electricity'!M459</f>
        <v/>
      </c>
      <c r="W907" s="193" t="str">
        <f>'Buildings - Grid Electricity'!N459</f>
        <v/>
      </c>
      <c r="X907" s="193">
        <f>'Buildings - Grid Electricity'!O459</f>
        <v>0</v>
      </c>
      <c r="Y907" s="193">
        <f>'Buildings - Grid Electricity'!P459</f>
        <v>0</v>
      </c>
      <c r="Z907" s="193" t="str">
        <f>'Buildings - Grid Electricity'!Q459</f>
        <v/>
      </c>
      <c r="AA907" s="193" t="str">
        <f>'Buildings - Grid Electricity'!R459</f>
        <v/>
      </c>
      <c r="AB907" s="193" t="str">
        <f>'Buildings - Grid Electricity'!S459</f>
        <v/>
      </c>
      <c r="AC907" s="193" t="str">
        <f>'Buildings - Grid Electricity'!T459</f>
        <v/>
      </c>
      <c r="AD907" s="193" t="str">
        <f>'Buildings - Grid Electricity'!U459</f>
        <v/>
      </c>
      <c r="AE907" s="193" t="str">
        <f>'Buildings - Grid Electricity'!V459</f>
        <v/>
      </c>
      <c r="AF907" s="193" t="str">
        <f>'Buildings - Grid Electricity'!W459</f>
        <v/>
      </c>
      <c r="AG907" s="193" t="str">
        <f>'Buildings - Grid Electricity'!X459</f>
        <v/>
      </c>
      <c r="AI907" s="193">
        <f t="shared" si="18"/>
        <v>0</v>
      </c>
      <c r="AJ907" s="193">
        <f t="shared" si="19"/>
        <v>0</v>
      </c>
    </row>
    <row r="908" spans="2:36" x14ac:dyDescent="0.35">
      <c r="B908" s="193" t="e">
        <f>"2024"&amp;MATCH(Totals!D908,OrgType,0)&amp;"_"&amp;MATCH(Totals!E908,Organisations,0)&amp;"_"&amp;LEFT(Totals!F908,1)&amp;"_"&amp;LEFT(G908,1)&amp;"_"&amp;COUNTIF($G$3:G908,G908)</f>
        <v>#N/A</v>
      </c>
      <c r="C908" s="193">
        <v>2025</v>
      </c>
      <c r="D908" s="193">
        <f>Introduction!$D$7</f>
        <v>0</v>
      </c>
      <c r="E908" s="193">
        <f>Introduction!$D$8</f>
        <v>0</v>
      </c>
      <c r="F908" s="193" t="s">
        <v>488</v>
      </c>
      <c r="G908" s="193" t="s">
        <v>171</v>
      </c>
      <c r="H908" s="193">
        <f>'Buildings - Grid Electricity'!B460</f>
        <v>0</v>
      </c>
      <c r="I908" s="193">
        <f>'Buildings - Grid Electricity'!C460</f>
        <v>0</v>
      </c>
      <c r="J908" s="193" t="str">
        <f>'Buildings - Grid Electricity'!D460</f>
        <v/>
      </c>
      <c r="K908" s="237"/>
      <c r="L908" s="237"/>
      <c r="M908" s="193" t="str">
        <f>'Buildings - Grid Electricity'!E460</f>
        <v/>
      </c>
      <c r="N908" s="193" t="str">
        <f>'Buildings - Grid Electricity'!F460</f>
        <v/>
      </c>
      <c r="O908" s="237"/>
      <c r="P908" s="193">
        <f>'Buildings - Grid Electricity'!G460</f>
        <v>0</v>
      </c>
      <c r="Q908" s="193" t="str">
        <f>'Buildings - Grid Electricity'!H460</f>
        <v/>
      </c>
      <c r="R908" s="193">
        <f>'Buildings - Grid Electricity'!I460</f>
        <v>0</v>
      </c>
      <c r="S908" s="193" t="str">
        <f>'Buildings - Grid Electricity'!J460</f>
        <v/>
      </c>
      <c r="T908" s="193" t="str">
        <f>'Buildings - Grid Electricity'!K460</f>
        <v/>
      </c>
      <c r="U908" s="193" t="str">
        <f>'Buildings - Grid Electricity'!L460</f>
        <v/>
      </c>
      <c r="V908" s="193" t="str">
        <f>'Buildings - Grid Electricity'!M460</f>
        <v/>
      </c>
      <c r="W908" s="193" t="str">
        <f>'Buildings - Grid Electricity'!N460</f>
        <v/>
      </c>
      <c r="X908" s="193">
        <f>'Buildings - Grid Electricity'!O460</f>
        <v>0</v>
      </c>
      <c r="Y908" s="193">
        <f>'Buildings - Grid Electricity'!P460</f>
        <v>0</v>
      </c>
      <c r="Z908" s="193" t="str">
        <f>'Buildings - Grid Electricity'!Q460</f>
        <v/>
      </c>
      <c r="AA908" s="193" t="str">
        <f>'Buildings - Grid Electricity'!R460</f>
        <v/>
      </c>
      <c r="AB908" s="193" t="str">
        <f>'Buildings - Grid Electricity'!S460</f>
        <v/>
      </c>
      <c r="AC908" s="193" t="str">
        <f>'Buildings - Grid Electricity'!T460</f>
        <v/>
      </c>
      <c r="AD908" s="193" t="str">
        <f>'Buildings - Grid Electricity'!U460</f>
        <v/>
      </c>
      <c r="AE908" s="193" t="str">
        <f>'Buildings - Grid Electricity'!V460</f>
        <v/>
      </c>
      <c r="AF908" s="193" t="str">
        <f>'Buildings - Grid Electricity'!W460</f>
        <v/>
      </c>
      <c r="AG908" s="193" t="str">
        <f>'Buildings - Grid Electricity'!X460</f>
        <v/>
      </c>
      <c r="AI908" s="193">
        <f t="shared" si="18"/>
        <v>0</v>
      </c>
      <c r="AJ908" s="193">
        <f t="shared" si="19"/>
        <v>0</v>
      </c>
    </row>
    <row r="909" spans="2:36" x14ac:dyDescent="0.35">
      <c r="B909" s="193" t="e">
        <f>"2024"&amp;MATCH(Totals!D909,OrgType,0)&amp;"_"&amp;MATCH(Totals!E909,Organisations,0)&amp;"_"&amp;LEFT(Totals!F909,1)&amp;"_"&amp;LEFT(G909,1)&amp;"_"&amp;COUNTIF($G$3:G909,G909)</f>
        <v>#N/A</v>
      </c>
      <c r="C909" s="193">
        <v>2025</v>
      </c>
      <c r="D909" s="193">
        <f>Introduction!$D$7</f>
        <v>0</v>
      </c>
      <c r="E909" s="193">
        <f>Introduction!$D$8</f>
        <v>0</v>
      </c>
      <c r="F909" s="193" t="s">
        <v>488</v>
      </c>
      <c r="G909" s="193" t="s">
        <v>171</v>
      </c>
      <c r="H909" s="193">
        <f>'Buildings - Grid Electricity'!B461</f>
        <v>0</v>
      </c>
      <c r="I909" s="193">
        <f>'Buildings - Grid Electricity'!C461</f>
        <v>0</v>
      </c>
      <c r="J909" s="193" t="str">
        <f>'Buildings - Grid Electricity'!D461</f>
        <v/>
      </c>
      <c r="K909" s="237"/>
      <c r="L909" s="237"/>
      <c r="M909" s="193" t="str">
        <f>'Buildings - Grid Electricity'!E461</f>
        <v/>
      </c>
      <c r="N909" s="193" t="str">
        <f>'Buildings - Grid Electricity'!F461</f>
        <v/>
      </c>
      <c r="O909" s="237"/>
      <c r="P909" s="193">
        <f>'Buildings - Grid Electricity'!G461</f>
        <v>0</v>
      </c>
      <c r="Q909" s="193" t="str">
        <f>'Buildings - Grid Electricity'!H461</f>
        <v/>
      </c>
      <c r="R909" s="193">
        <f>'Buildings - Grid Electricity'!I461</f>
        <v>0</v>
      </c>
      <c r="S909" s="193" t="str">
        <f>'Buildings - Grid Electricity'!J461</f>
        <v/>
      </c>
      <c r="T909" s="193" t="str">
        <f>'Buildings - Grid Electricity'!K461</f>
        <v/>
      </c>
      <c r="U909" s="193" t="str">
        <f>'Buildings - Grid Electricity'!L461</f>
        <v/>
      </c>
      <c r="V909" s="193" t="str">
        <f>'Buildings - Grid Electricity'!M461</f>
        <v/>
      </c>
      <c r="W909" s="193" t="str">
        <f>'Buildings - Grid Electricity'!N461</f>
        <v/>
      </c>
      <c r="X909" s="193">
        <f>'Buildings - Grid Electricity'!O461</f>
        <v>0</v>
      </c>
      <c r="Y909" s="193">
        <f>'Buildings - Grid Electricity'!P461</f>
        <v>0</v>
      </c>
      <c r="Z909" s="193" t="str">
        <f>'Buildings - Grid Electricity'!Q461</f>
        <v/>
      </c>
      <c r="AA909" s="193" t="str">
        <f>'Buildings - Grid Electricity'!R461</f>
        <v/>
      </c>
      <c r="AB909" s="193" t="str">
        <f>'Buildings - Grid Electricity'!S461</f>
        <v/>
      </c>
      <c r="AC909" s="193" t="str">
        <f>'Buildings - Grid Electricity'!T461</f>
        <v/>
      </c>
      <c r="AD909" s="193" t="str">
        <f>'Buildings - Grid Electricity'!U461</f>
        <v/>
      </c>
      <c r="AE909" s="193" t="str">
        <f>'Buildings - Grid Electricity'!V461</f>
        <v/>
      </c>
      <c r="AF909" s="193" t="str">
        <f>'Buildings - Grid Electricity'!W461</f>
        <v/>
      </c>
      <c r="AG909" s="193" t="str">
        <f>'Buildings - Grid Electricity'!X461</f>
        <v/>
      </c>
      <c r="AI909" s="193">
        <f t="shared" si="18"/>
        <v>0</v>
      </c>
      <c r="AJ909" s="193">
        <f t="shared" si="19"/>
        <v>0</v>
      </c>
    </row>
    <row r="910" spans="2:36" x14ac:dyDescent="0.35">
      <c r="B910" s="193" t="e">
        <f>"2024"&amp;MATCH(Totals!D910,OrgType,0)&amp;"_"&amp;MATCH(Totals!E910,Organisations,0)&amp;"_"&amp;LEFT(Totals!F910,1)&amp;"_"&amp;LEFT(G910,1)&amp;"_"&amp;COUNTIF($G$3:G910,G910)</f>
        <v>#N/A</v>
      </c>
      <c r="C910" s="193">
        <v>2025</v>
      </c>
      <c r="D910" s="193">
        <f>Introduction!$D$7</f>
        <v>0</v>
      </c>
      <c r="E910" s="193">
        <f>Introduction!$D$8</f>
        <v>0</v>
      </c>
      <c r="F910" s="193" t="s">
        <v>488</v>
      </c>
      <c r="G910" s="193" t="s">
        <v>171</v>
      </c>
      <c r="H910" s="193">
        <f>'Buildings - Grid Electricity'!B462</f>
        <v>0</v>
      </c>
      <c r="I910" s="193">
        <f>'Buildings - Grid Electricity'!C462</f>
        <v>0</v>
      </c>
      <c r="J910" s="193" t="str">
        <f>'Buildings - Grid Electricity'!D462</f>
        <v/>
      </c>
      <c r="K910" s="237"/>
      <c r="L910" s="237"/>
      <c r="M910" s="193" t="str">
        <f>'Buildings - Grid Electricity'!E462</f>
        <v/>
      </c>
      <c r="N910" s="193" t="str">
        <f>'Buildings - Grid Electricity'!F462</f>
        <v/>
      </c>
      <c r="O910" s="237"/>
      <c r="P910" s="193">
        <f>'Buildings - Grid Electricity'!G462</f>
        <v>0</v>
      </c>
      <c r="Q910" s="193" t="str">
        <f>'Buildings - Grid Electricity'!H462</f>
        <v/>
      </c>
      <c r="R910" s="193">
        <f>'Buildings - Grid Electricity'!I462</f>
        <v>0</v>
      </c>
      <c r="S910" s="193" t="str">
        <f>'Buildings - Grid Electricity'!J462</f>
        <v/>
      </c>
      <c r="T910" s="193" t="str">
        <f>'Buildings - Grid Electricity'!K462</f>
        <v/>
      </c>
      <c r="U910" s="193" t="str">
        <f>'Buildings - Grid Electricity'!L462</f>
        <v/>
      </c>
      <c r="V910" s="193" t="str">
        <f>'Buildings - Grid Electricity'!M462</f>
        <v/>
      </c>
      <c r="W910" s="193" t="str">
        <f>'Buildings - Grid Electricity'!N462</f>
        <v/>
      </c>
      <c r="X910" s="193">
        <f>'Buildings - Grid Electricity'!O462</f>
        <v>0</v>
      </c>
      <c r="Y910" s="193">
        <f>'Buildings - Grid Electricity'!P462</f>
        <v>0</v>
      </c>
      <c r="Z910" s="193" t="str">
        <f>'Buildings - Grid Electricity'!Q462</f>
        <v/>
      </c>
      <c r="AA910" s="193" t="str">
        <f>'Buildings - Grid Electricity'!R462</f>
        <v/>
      </c>
      <c r="AB910" s="193" t="str">
        <f>'Buildings - Grid Electricity'!S462</f>
        <v/>
      </c>
      <c r="AC910" s="193" t="str">
        <f>'Buildings - Grid Electricity'!T462</f>
        <v/>
      </c>
      <c r="AD910" s="193" t="str">
        <f>'Buildings - Grid Electricity'!U462</f>
        <v/>
      </c>
      <c r="AE910" s="193" t="str">
        <f>'Buildings - Grid Electricity'!V462</f>
        <v/>
      </c>
      <c r="AF910" s="193" t="str">
        <f>'Buildings - Grid Electricity'!W462</f>
        <v/>
      </c>
      <c r="AG910" s="193" t="str">
        <f>'Buildings - Grid Electricity'!X462</f>
        <v/>
      </c>
      <c r="AI910" s="193">
        <f t="shared" si="18"/>
        <v>0</v>
      </c>
      <c r="AJ910" s="193">
        <f t="shared" si="19"/>
        <v>0</v>
      </c>
    </row>
    <row r="911" spans="2:36" x14ac:dyDescent="0.35">
      <c r="B911" s="193" t="e">
        <f>"2024"&amp;MATCH(Totals!D911,OrgType,0)&amp;"_"&amp;MATCH(Totals!E911,Organisations,0)&amp;"_"&amp;LEFT(Totals!F911,1)&amp;"_"&amp;LEFT(G911,1)&amp;"_"&amp;COUNTIF($G$3:G911,G911)</f>
        <v>#N/A</v>
      </c>
      <c r="C911" s="193">
        <v>2025</v>
      </c>
      <c r="D911" s="193">
        <f>Introduction!$D$7</f>
        <v>0</v>
      </c>
      <c r="E911" s="193">
        <f>Introduction!$D$8</f>
        <v>0</v>
      </c>
      <c r="F911" s="193" t="s">
        <v>488</v>
      </c>
      <c r="G911" s="193" t="s">
        <v>171</v>
      </c>
      <c r="H911" s="193">
        <f>'Buildings - Grid Electricity'!B463</f>
        <v>0</v>
      </c>
      <c r="I911" s="193">
        <f>'Buildings - Grid Electricity'!C463</f>
        <v>0</v>
      </c>
      <c r="J911" s="193" t="str">
        <f>'Buildings - Grid Electricity'!D463</f>
        <v/>
      </c>
      <c r="K911" s="237"/>
      <c r="L911" s="237"/>
      <c r="M911" s="193" t="str">
        <f>'Buildings - Grid Electricity'!E463</f>
        <v/>
      </c>
      <c r="N911" s="193" t="str">
        <f>'Buildings - Grid Electricity'!F463</f>
        <v/>
      </c>
      <c r="O911" s="237"/>
      <c r="P911" s="193">
        <f>'Buildings - Grid Electricity'!G463</f>
        <v>0</v>
      </c>
      <c r="Q911" s="193" t="str">
        <f>'Buildings - Grid Electricity'!H463</f>
        <v/>
      </c>
      <c r="R911" s="193">
        <f>'Buildings - Grid Electricity'!I463</f>
        <v>0</v>
      </c>
      <c r="S911" s="193" t="str">
        <f>'Buildings - Grid Electricity'!J463</f>
        <v/>
      </c>
      <c r="T911" s="193" t="str">
        <f>'Buildings - Grid Electricity'!K463</f>
        <v/>
      </c>
      <c r="U911" s="193" t="str">
        <f>'Buildings - Grid Electricity'!L463</f>
        <v/>
      </c>
      <c r="V911" s="193" t="str">
        <f>'Buildings - Grid Electricity'!M463</f>
        <v/>
      </c>
      <c r="W911" s="193" t="str">
        <f>'Buildings - Grid Electricity'!N463</f>
        <v/>
      </c>
      <c r="X911" s="193">
        <f>'Buildings - Grid Electricity'!O463</f>
        <v>0</v>
      </c>
      <c r="Y911" s="193">
        <f>'Buildings - Grid Electricity'!P463</f>
        <v>0</v>
      </c>
      <c r="Z911" s="193" t="str">
        <f>'Buildings - Grid Electricity'!Q463</f>
        <v/>
      </c>
      <c r="AA911" s="193" t="str">
        <f>'Buildings - Grid Electricity'!R463</f>
        <v/>
      </c>
      <c r="AB911" s="193" t="str">
        <f>'Buildings - Grid Electricity'!S463</f>
        <v/>
      </c>
      <c r="AC911" s="193" t="str">
        <f>'Buildings - Grid Electricity'!T463</f>
        <v/>
      </c>
      <c r="AD911" s="193" t="str">
        <f>'Buildings - Grid Electricity'!U463</f>
        <v/>
      </c>
      <c r="AE911" s="193" t="str">
        <f>'Buildings - Grid Electricity'!V463</f>
        <v/>
      </c>
      <c r="AF911" s="193" t="str">
        <f>'Buildings - Grid Electricity'!W463</f>
        <v/>
      </c>
      <c r="AG911" s="193" t="str">
        <f>'Buildings - Grid Electricity'!X463</f>
        <v/>
      </c>
      <c r="AI911" s="193">
        <f t="shared" si="18"/>
        <v>0</v>
      </c>
      <c r="AJ911" s="193">
        <f t="shared" si="19"/>
        <v>0</v>
      </c>
    </row>
    <row r="912" spans="2:36" x14ac:dyDescent="0.35">
      <c r="B912" s="193" t="e">
        <f>"2024"&amp;MATCH(Totals!D912,OrgType,0)&amp;"_"&amp;MATCH(Totals!E912,Organisations,0)&amp;"_"&amp;LEFT(Totals!F912,1)&amp;"_"&amp;LEFT(G912,1)&amp;"_"&amp;COUNTIF($G$3:G912,G912)</f>
        <v>#N/A</v>
      </c>
      <c r="C912" s="193">
        <v>2025</v>
      </c>
      <c r="D912" s="193">
        <f>Introduction!$D$7</f>
        <v>0</v>
      </c>
      <c r="E912" s="193">
        <f>Introduction!$D$8</f>
        <v>0</v>
      </c>
      <c r="F912" s="193" t="s">
        <v>488</v>
      </c>
      <c r="G912" s="193" t="s">
        <v>171</v>
      </c>
      <c r="H912" s="193">
        <f>'Buildings - Grid Electricity'!B464</f>
        <v>0</v>
      </c>
      <c r="I912" s="193">
        <f>'Buildings - Grid Electricity'!C464</f>
        <v>0</v>
      </c>
      <c r="J912" s="193" t="str">
        <f>'Buildings - Grid Electricity'!D464</f>
        <v/>
      </c>
      <c r="K912" s="237"/>
      <c r="L912" s="237"/>
      <c r="M912" s="193" t="str">
        <f>'Buildings - Grid Electricity'!E464</f>
        <v/>
      </c>
      <c r="N912" s="193" t="str">
        <f>'Buildings - Grid Electricity'!F464</f>
        <v/>
      </c>
      <c r="O912" s="237"/>
      <c r="P912" s="193">
        <f>'Buildings - Grid Electricity'!G464</f>
        <v>0</v>
      </c>
      <c r="Q912" s="193" t="str">
        <f>'Buildings - Grid Electricity'!H464</f>
        <v/>
      </c>
      <c r="R912" s="193">
        <f>'Buildings - Grid Electricity'!I464</f>
        <v>0</v>
      </c>
      <c r="S912" s="193" t="str">
        <f>'Buildings - Grid Electricity'!J464</f>
        <v/>
      </c>
      <c r="T912" s="193" t="str">
        <f>'Buildings - Grid Electricity'!K464</f>
        <v/>
      </c>
      <c r="U912" s="193" t="str">
        <f>'Buildings - Grid Electricity'!L464</f>
        <v/>
      </c>
      <c r="V912" s="193" t="str">
        <f>'Buildings - Grid Electricity'!M464</f>
        <v/>
      </c>
      <c r="W912" s="193" t="str">
        <f>'Buildings - Grid Electricity'!N464</f>
        <v/>
      </c>
      <c r="X912" s="193">
        <f>'Buildings - Grid Electricity'!O464</f>
        <v>0</v>
      </c>
      <c r="Y912" s="193">
        <f>'Buildings - Grid Electricity'!P464</f>
        <v>0</v>
      </c>
      <c r="Z912" s="193" t="str">
        <f>'Buildings - Grid Electricity'!Q464</f>
        <v/>
      </c>
      <c r="AA912" s="193" t="str">
        <f>'Buildings - Grid Electricity'!R464</f>
        <v/>
      </c>
      <c r="AB912" s="193" t="str">
        <f>'Buildings - Grid Electricity'!S464</f>
        <v/>
      </c>
      <c r="AC912" s="193" t="str">
        <f>'Buildings - Grid Electricity'!T464</f>
        <v/>
      </c>
      <c r="AD912" s="193" t="str">
        <f>'Buildings - Grid Electricity'!U464</f>
        <v/>
      </c>
      <c r="AE912" s="193" t="str">
        <f>'Buildings - Grid Electricity'!V464</f>
        <v/>
      </c>
      <c r="AF912" s="193" t="str">
        <f>'Buildings - Grid Electricity'!W464</f>
        <v/>
      </c>
      <c r="AG912" s="193" t="str">
        <f>'Buildings - Grid Electricity'!X464</f>
        <v/>
      </c>
      <c r="AI912" s="193">
        <f t="shared" si="18"/>
        <v>0</v>
      </c>
      <c r="AJ912" s="193">
        <f t="shared" si="19"/>
        <v>0</v>
      </c>
    </row>
    <row r="913" spans="2:36" x14ac:dyDescent="0.35">
      <c r="B913" s="193" t="e">
        <f>"2024"&amp;MATCH(Totals!D913,OrgType,0)&amp;"_"&amp;MATCH(Totals!E913,Organisations,0)&amp;"_"&amp;LEFT(Totals!F913,1)&amp;"_"&amp;LEFT(G913,1)&amp;"_"&amp;COUNTIF($G$3:G913,G913)</f>
        <v>#N/A</v>
      </c>
      <c r="C913" s="193">
        <v>2025</v>
      </c>
      <c r="D913" s="193">
        <f>Introduction!$D$7</f>
        <v>0</v>
      </c>
      <c r="E913" s="193">
        <f>Introduction!$D$8</f>
        <v>0</v>
      </c>
      <c r="F913" s="193" t="s">
        <v>488</v>
      </c>
      <c r="G913" s="193" t="s">
        <v>171</v>
      </c>
      <c r="H913" s="193">
        <f>'Buildings - Grid Electricity'!B465</f>
        <v>0</v>
      </c>
      <c r="I913" s="193">
        <f>'Buildings - Grid Electricity'!C465</f>
        <v>0</v>
      </c>
      <c r="J913" s="193" t="str">
        <f>'Buildings - Grid Electricity'!D465</f>
        <v/>
      </c>
      <c r="K913" s="237"/>
      <c r="L913" s="237"/>
      <c r="M913" s="193" t="str">
        <f>'Buildings - Grid Electricity'!E465</f>
        <v/>
      </c>
      <c r="N913" s="193" t="str">
        <f>'Buildings - Grid Electricity'!F465</f>
        <v/>
      </c>
      <c r="O913" s="237"/>
      <c r="P913" s="193">
        <f>'Buildings - Grid Electricity'!G465</f>
        <v>0</v>
      </c>
      <c r="Q913" s="193" t="str">
        <f>'Buildings - Grid Electricity'!H465</f>
        <v/>
      </c>
      <c r="R913" s="193">
        <f>'Buildings - Grid Electricity'!I465</f>
        <v>0</v>
      </c>
      <c r="S913" s="193" t="str">
        <f>'Buildings - Grid Electricity'!J465</f>
        <v/>
      </c>
      <c r="T913" s="193" t="str">
        <f>'Buildings - Grid Electricity'!K465</f>
        <v/>
      </c>
      <c r="U913" s="193" t="str">
        <f>'Buildings - Grid Electricity'!L465</f>
        <v/>
      </c>
      <c r="V913" s="193" t="str">
        <f>'Buildings - Grid Electricity'!M465</f>
        <v/>
      </c>
      <c r="W913" s="193" t="str">
        <f>'Buildings - Grid Electricity'!N465</f>
        <v/>
      </c>
      <c r="X913" s="193">
        <f>'Buildings - Grid Electricity'!O465</f>
        <v>0</v>
      </c>
      <c r="Y913" s="193">
        <f>'Buildings - Grid Electricity'!P465</f>
        <v>0</v>
      </c>
      <c r="Z913" s="193" t="str">
        <f>'Buildings - Grid Electricity'!Q465</f>
        <v/>
      </c>
      <c r="AA913" s="193" t="str">
        <f>'Buildings - Grid Electricity'!R465</f>
        <v/>
      </c>
      <c r="AB913" s="193" t="str">
        <f>'Buildings - Grid Electricity'!S465</f>
        <v/>
      </c>
      <c r="AC913" s="193" t="str">
        <f>'Buildings - Grid Electricity'!T465</f>
        <v/>
      </c>
      <c r="AD913" s="193" t="str">
        <f>'Buildings - Grid Electricity'!U465</f>
        <v/>
      </c>
      <c r="AE913" s="193" t="str">
        <f>'Buildings - Grid Electricity'!V465</f>
        <v/>
      </c>
      <c r="AF913" s="193" t="str">
        <f>'Buildings - Grid Electricity'!W465</f>
        <v/>
      </c>
      <c r="AG913" s="193" t="str">
        <f>'Buildings - Grid Electricity'!X465</f>
        <v/>
      </c>
      <c r="AI913" s="193">
        <f t="shared" si="18"/>
        <v>0</v>
      </c>
      <c r="AJ913" s="193">
        <f t="shared" si="19"/>
        <v>0</v>
      </c>
    </row>
    <row r="914" spans="2:36" x14ac:dyDescent="0.35">
      <c r="B914" s="193" t="e">
        <f>"2024"&amp;MATCH(Totals!D914,OrgType,0)&amp;"_"&amp;MATCH(Totals!E914,Organisations,0)&amp;"_"&amp;LEFT(Totals!F914,1)&amp;"_"&amp;LEFT(G914,1)&amp;"_"&amp;COUNTIF($G$3:G914,G914)</f>
        <v>#N/A</v>
      </c>
      <c r="C914" s="193">
        <v>2025</v>
      </c>
      <c r="D914" s="193">
        <f>Introduction!$D$7</f>
        <v>0</v>
      </c>
      <c r="E914" s="193">
        <f>Introduction!$D$8</f>
        <v>0</v>
      </c>
      <c r="F914" s="193" t="s">
        <v>488</v>
      </c>
      <c r="G914" s="193" t="s">
        <v>171</v>
      </c>
      <c r="H914" s="193">
        <f>'Buildings - Grid Electricity'!B466</f>
        <v>0</v>
      </c>
      <c r="I914" s="193">
        <f>'Buildings - Grid Electricity'!C466</f>
        <v>0</v>
      </c>
      <c r="J914" s="193" t="str">
        <f>'Buildings - Grid Electricity'!D466</f>
        <v/>
      </c>
      <c r="K914" s="237"/>
      <c r="L914" s="237"/>
      <c r="M914" s="193" t="str">
        <f>'Buildings - Grid Electricity'!E466</f>
        <v/>
      </c>
      <c r="N914" s="193" t="str">
        <f>'Buildings - Grid Electricity'!F466</f>
        <v/>
      </c>
      <c r="O914" s="237"/>
      <c r="P914" s="193">
        <f>'Buildings - Grid Electricity'!G466</f>
        <v>0</v>
      </c>
      <c r="Q914" s="193" t="str">
        <f>'Buildings - Grid Electricity'!H466</f>
        <v/>
      </c>
      <c r="R914" s="193">
        <f>'Buildings - Grid Electricity'!I466</f>
        <v>0</v>
      </c>
      <c r="S914" s="193" t="str">
        <f>'Buildings - Grid Electricity'!J466</f>
        <v/>
      </c>
      <c r="T914" s="193" t="str">
        <f>'Buildings - Grid Electricity'!K466</f>
        <v/>
      </c>
      <c r="U914" s="193" t="str">
        <f>'Buildings - Grid Electricity'!L466</f>
        <v/>
      </c>
      <c r="V914" s="193" t="str">
        <f>'Buildings - Grid Electricity'!M466</f>
        <v/>
      </c>
      <c r="W914" s="193" t="str">
        <f>'Buildings - Grid Electricity'!N466</f>
        <v/>
      </c>
      <c r="X914" s="193">
        <f>'Buildings - Grid Electricity'!O466</f>
        <v>0</v>
      </c>
      <c r="Y914" s="193">
        <f>'Buildings - Grid Electricity'!P466</f>
        <v>0</v>
      </c>
      <c r="Z914" s="193" t="str">
        <f>'Buildings - Grid Electricity'!Q466</f>
        <v/>
      </c>
      <c r="AA914" s="193" t="str">
        <f>'Buildings - Grid Electricity'!R466</f>
        <v/>
      </c>
      <c r="AB914" s="193" t="str">
        <f>'Buildings - Grid Electricity'!S466</f>
        <v/>
      </c>
      <c r="AC914" s="193" t="str">
        <f>'Buildings - Grid Electricity'!T466</f>
        <v/>
      </c>
      <c r="AD914" s="193" t="str">
        <f>'Buildings - Grid Electricity'!U466</f>
        <v/>
      </c>
      <c r="AE914" s="193" t="str">
        <f>'Buildings - Grid Electricity'!V466</f>
        <v/>
      </c>
      <c r="AF914" s="193" t="str">
        <f>'Buildings - Grid Electricity'!W466</f>
        <v/>
      </c>
      <c r="AG914" s="193" t="str">
        <f>'Buildings - Grid Electricity'!X466</f>
        <v/>
      </c>
      <c r="AI914" s="193">
        <f t="shared" si="18"/>
        <v>0</v>
      </c>
      <c r="AJ914" s="193">
        <f t="shared" si="19"/>
        <v>0</v>
      </c>
    </row>
    <row r="915" spans="2:36" x14ac:dyDescent="0.35">
      <c r="B915" s="193" t="e">
        <f>"2024"&amp;MATCH(Totals!D915,OrgType,0)&amp;"_"&amp;MATCH(Totals!E915,Organisations,0)&amp;"_"&amp;LEFT(Totals!F915,1)&amp;"_"&amp;LEFT(G915,1)&amp;"_"&amp;COUNTIF($G$3:G915,G915)</f>
        <v>#N/A</v>
      </c>
      <c r="C915" s="193">
        <v>2025</v>
      </c>
      <c r="D915" s="193">
        <f>Introduction!$D$7</f>
        <v>0</v>
      </c>
      <c r="E915" s="193">
        <f>Introduction!$D$8</f>
        <v>0</v>
      </c>
      <c r="F915" s="193" t="s">
        <v>488</v>
      </c>
      <c r="G915" s="193" t="s">
        <v>171</v>
      </c>
      <c r="H915" s="193">
        <f>'Buildings - Grid Electricity'!B467</f>
        <v>0</v>
      </c>
      <c r="I915" s="193">
        <f>'Buildings - Grid Electricity'!C467</f>
        <v>0</v>
      </c>
      <c r="J915" s="193" t="str">
        <f>'Buildings - Grid Electricity'!D467</f>
        <v/>
      </c>
      <c r="K915" s="237"/>
      <c r="L915" s="237"/>
      <c r="M915" s="193" t="str">
        <f>'Buildings - Grid Electricity'!E467</f>
        <v/>
      </c>
      <c r="N915" s="193" t="str">
        <f>'Buildings - Grid Electricity'!F467</f>
        <v/>
      </c>
      <c r="O915" s="237"/>
      <c r="P915" s="193">
        <f>'Buildings - Grid Electricity'!G467</f>
        <v>0</v>
      </c>
      <c r="Q915" s="193" t="str">
        <f>'Buildings - Grid Electricity'!H467</f>
        <v/>
      </c>
      <c r="R915" s="193">
        <f>'Buildings - Grid Electricity'!I467</f>
        <v>0</v>
      </c>
      <c r="S915" s="193" t="str">
        <f>'Buildings - Grid Electricity'!J467</f>
        <v/>
      </c>
      <c r="T915" s="193" t="str">
        <f>'Buildings - Grid Electricity'!K467</f>
        <v/>
      </c>
      <c r="U915" s="193" t="str">
        <f>'Buildings - Grid Electricity'!L467</f>
        <v/>
      </c>
      <c r="V915" s="193" t="str">
        <f>'Buildings - Grid Electricity'!M467</f>
        <v/>
      </c>
      <c r="W915" s="193" t="str">
        <f>'Buildings - Grid Electricity'!N467</f>
        <v/>
      </c>
      <c r="X915" s="193">
        <f>'Buildings - Grid Electricity'!O467</f>
        <v>0</v>
      </c>
      <c r="Y915" s="193">
        <f>'Buildings - Grid Electricity'!P467</f>
        <v>0</v>
      </c>
      <c r="Z915" s="193" t="str">
        <f>'Buildings - Grid Electricity'!Q467</f>
        <v/>
      </c>
      <c r="AA915" s="193" t="str">
        <f>'Buildings - Grid Electricity'!R467</f>
        <v/>
      </c>
      <c r="AB915" s="193" t="str">
        <f>'Buildings - Grid Electricity'!S467</f>
        <v/>
      </c>
      <c r="AC915" s="193" t="str">
        <f>'Buildings - Grid Electricity'!T467</f>
        <v/>
      </c>
      <c r="AD915" s="193" t="str">
        <f>'Buildings - Grid Electricity'!U467</f>
        <v/>
      </c>
      <c r="AE915" s="193" t="str">
        <f>'Buildings - Grid Electricity'!V467</f>
        <v/>
      </c>
      <c r="AF915" s="193" t="str">
        <f>'Buildings - Grid Electricity'!W467</f>
        <v/>
      </c>
      <c r="AG915" s="193" t="str">
        <f>'Buildings - Grid Electricity'!X467</f>
        <v/>
      </c>
      <c r="AI915" s="193">
        <f t="shared" si="18"/>
        <v>0</v>
      </c>
      <c r="AJ915" s="193">
        <f t="shared" si="19"/>
        <v>0</v>
      </c>
    </row>
    <row r="916" spans="2:36" x14ac:dyDescent="0.35">
      <c r="B916" s="193" t="e">
        <f>"2024"&amp;MATCH(Totals!D916,OrgType,0)&amp;"_"&amp;MATCH(Totals!E916,Organisations,0)&amp;"_"&amp;LEFT(Totals!F916,1)&amp;"_"&amp;LEFT(G916,1)&amp;"_"&amp;COUNTIF($G$3:G916,G916)</f>
        <v>#N/A</v>
      </c>
      <c r="C916" s="193">
        <v>2025</v>
      </c>
      <c r="D916" s="193">
        <f>Introduction!$D$7</f>
        <v>0</v>
      </c>
      <c r="E916" s="193">
        <f>Introduction!$D$8</f>
        <v>0</v>
      </c>
      <c r="F916" s="193" t="s">
        <v>488</v>
      </c>
      <c r="G916" s="193" t="s">
        <v>171</v>
      </c>
      <c r="H916" s="193">
        <f>'Buildings - Grid Electricity'!B468</f>
        <v>0</v>
      </c>
      <c r="I916" s="193">
        <f>'Buildings - Grid Electricity'!C468</f>
        <v>0</v>
      </c>
      <c r="J916" s="193" t="str">
        <f>'Buildings - Grid Electricity'!D468</f>
        <v/>
      </c>
      <c r="K916" s="237"/>
      <c r="L916" s="237"/>
      <c r="M916" s="193" t="str">
        <f>'Buildings - Grid Electricity'!E468</f>
        <v/>
      </c>
      <c r="N916" s="193" t="str">
        <f>'Buildings - Grid Electricity'!F468</f>
        <v/>
      </c>
      <c r="O916" s="237"/>
      <c r="P916" s="193">
        <f>'Buildings - Grid Electricity'!G468</f>
        <v>0</v>
      </c>
      <c r="Q916" s="193" t="str">
        <f>'Buildings - Grid Electricity'!H468</f>
        <v/>
      </c>
      <c r="R916" s="193">
        <f>'Buildings - Grid Electricity'!I468</f>
        <v>0</v>
      </c>
      <c r="S916" s="193" t="str">
        <f>'Buildings - Grid Electricity'!J468</f>
        <v/>
      </c>
      <c r="T916" s="193" t="str">
        <f>'Buildings - Grid Electricity'!K468</f>
        <v/>
      </c>
      <c r="U916" s="193" t="str">
        <f>'Buildings - Grid Electricity'!L468</f>
        <v/>
      </c>
      <c r="V916" s="193" t="str">
        <f>'Buildings - Grid Electricity'!M468</f>
        <v/>
      </c>
      <c r="W916" s="193" t="str">
        <f>'Buildings - Grid Electricity'!N468</f>
        <v/>
      </c>
      <c r="X916" s="193">
        <f>'Buildings - Grid Electricity'!O468</f>
        <v>0</v>
      </c>
      <c r="Y916" s="193">
        <f>'Buildings - Grid Electricity'!P468</f>
        <v>0</v>
      </c>
      <c r="Z916" s="193" t="str">
        <f>'Buildings - Grid Electricity'!Q468</f>
        <v/>
      </c>
      <c r="AA916" s="193" t="str">
        <f>'Buildings - Grid Electricity'!R468</f>
        <v/>
      </c>
      <c r="AB916" s="193" t="str">
        <f>'Buildings - Grid Electricity'!S468</f>
        <v/>
      </c>
      <c r="AC916" s="193" t="str">
        <f>'Buildings - Grid Electricity'!T468</f>
        <v/>
      </c>
      <c r="AD916" s="193" t="str">
        <f>'Buildings - Grid Electricity'!U468</f>
        <v/>
      </c>
      <c r="AE916" s="193" t="str">
        <f>'Buildings - Grid Electricity'!V468</f>
        <v/>
      </c>
      <c r="AF916" s="193" t="str">
        <f>'Buildings - Grid Electricity'!W468</f>
        <v/>
      </c>
      <c r="AG916" s="193" t="str">
        <f>'Buildings - Grid Electricity'!X468</f>
        <v/>
      </c>
      <c r="AI916" s="193">
        <f t="shared" si="18"/>
        <v>0</v>
      </c>
      <c r="AJ916" s="193">
        <f t="shared" si="19"/>
        <v>0</v>
      </c>
    </row>
    <row r="917" spans="2:36" x14ac:dyDescent="0.35">
      <c r="B917" s="193" t="e">
        <f>"2024"&amp;MATCH(Totals!D917,OrgType,0)&amp;"_"&amp;MATCH(Totals!E917,Organisations,0)&amp;"_"&amp;LEFT(Totals!F917,1)&amp;"_"&amp;LEFT(G917,1)&amp;"_"&amp;COUNTIF($G$3:G917,G917)</f>
        <v>#N/A</v>
      </c>
      <c r="C917" s="193">
        <v>2025</v>
      </c>
      <c r="D917" s="193">
        <f>Introduction!$D$7</f>
        <v>0</v>
      </c>
      <c r="E917" s="193">
        <f>Introduction!$D$8</f>
        <v>0</v>
      </c>
      <c r="F917" s="193" t="s">
        <v>488</v>
      </c>
      <c r="G917" s="193" t="s">
        <v>171</v>
      </c>
      <c r="H917" s="193">
        <f>'Buildings - Grid Electricity'!B469</f>
        <v>0</v>
      </c>
      <c r="I917" s="193">
        <f>'Buildings - Grid Electricity'!C469</f>
        <v>0</v>
      </c>
      <c r="J917" s="193" t="str">
        <f>'Buildings - Grid Electricity'!D469</f>
        <v/>
      </c>
      <c r="K917" s="237"/>
      <c r="L917" s="237"/>
      <c r="M917" s="193" t="str">
        <f>'Buildings - Grid Electricity'!E469</f>
        <v/>
      </c>
      <c r="N917" s="193" t="str">
        <f>'Buildings - Grid Electricity'!F469</f>
        <v/>
      </c>
      <c r="O917" s="237"/>
      <c r="P917" s="193">
        <f>'Buildings - Grid Electricity'!G469</f>
        <v>0</v>
      </c>
      <c r="Q917" s="193" t="str">
        <f>'Buildings - Grid Electricity'!H469</f>
        <v/>
      </c>
      <c r="R917" s="193">
        <f>'Buildings - Grid Electricity'!I469</f>
        <v>0</v>
      </c>
      <c r="S917" s="193" t="str">
        <f>'Buildings - Grid Electricity'!J469</f>
        <v/>
      </c>
      <c r="T917" s="193" t="str">
        <f>'Buildings - Grid Electricity'!K469</f>
        <v/>
      </c>
      <c r="U917" s="193" t="str">
        <f>'Buildings - Grid Electricity'!L469</f>
        <v/>
      </c>
      <c r="V917" s="193" t="str">
        <f>'Buildings - Grid Electricity'!M469</f>
        <v/>
      </c>
      <c r="W917" s="193" t="str">
        <f>'Buildings - Grid Electricity'!N469</f>
        <v/>
      </c>
      <c r="X917" s="193">
        <f>'Buildings - Grid Electricity'!O469</f>
        <v>0</v>
      </c>
      <c r="Y917" s="193">
        <f>'Buildings - Grid Electricity'!P469</f>
        <v>0</v>
      </c>
      <c r="Z917" s="193" t="str">
        <f>'Buildings - Grid Electricity'!Q469</f>
        <v/>
      </c>
      <c r="AA917" s="193" t="str">
        <f>'Buildings - Grid Electricity'!R469</f>
        <v/>
      </c>
      <c r="AB917" s="193" t="str">
        <f>'Buildings - Grid Electricity'!S469</f>
        <v/>
      </c>
      <c r="AC917" s="193" t="str">
        <f>'Buildings - Grid Electricity'!T469</f>
        <v/>
      </c>
      <c r="AD917" s="193" t="str">
        <f>'Buildings - Grid Electricity'!U469</f>
        <v/>
      </c>
      <c r="AE917" s="193" t="str">
        <f>'Buildings - Grid Electricity'!V469</f>
        <v/>
      </c>
      <c r="AF917" s="193" t="str">
        <f>'Buildings - Grid Electricity'!W469</f>
        <v/>
      </c>
      <c r="AG917" s="193" t="str">
        <f>'Buildings - Grid Electricity'!X469</f>
        <v/>
      </c>
      <c r="AI917" s="193">
        <f t="shared" si="18"/>
        <v>0</v>
      </c>
      <c r="AJ917" s="193">
        <f t="shared" si="19"/>
        <v>0</v>
      </c>
    </row>
    <row r="918" spans="2:36" x14ac:dyDescent="0.35">
      <c r="B918" s="193" t="e">
        <f>"2024"&amp;MATCH(Totals!D918,OrgType,0)&amp;"_"&amp;MATCH(Totals!E918,Organisations,0)&amp;"_"&amp;LEFT(Totals!F918,1)&amp;"_"&amp;LEFT(G918,1)&amp;"_"&amp;COUNTIF($G$3:G918,G918)</f>
        <v>#N/A</v>
      </c>
      <c r="C918" s="193">
        <v>2025</v>
      </c>
      <c r="D918" s="193">
        <f>Introduction!$D$7</f>
        <v>0</v>
      </c>
      <c r="E918" s="193">
        <f>Introduction!$D$8</f>
        <v>0</v>
      </c>
      <c r="F918" s="193" t="s">
        <v>488</v>
      </c>
      <c r="G918" s="193" t="s">
        <v>171</v>
      </c>
      <c r="H918" s="193">
        <f>'Buildings - Grid Electricity'!B470</f>
        <v>0</v>
      </c>
      <c r="I918" s="193">
        <f>'Buildings - Grid Electricity'!C470</f>
        <v>0</v>
      </c>
      <c r="J918" s="193" t="str">
        <f>'Buildings - Grid Electricity'!D470</f>
        <v/>
      </c>
      <c r="K918" s="237"/>
      <c r="L918" s="237"/>
      <c r="M918" s="193" t="str">
        <f>'Buildings - Grid Electricity'!E470</f>
        <v/>
      </c>
      <c r="N918" s="193" t="str">
        <f>'Buildings - Grid Electricity'!F470</f>
        <v/>
      </c>
      <c r="O918" s="237"/>
      <c r="P918" s="193">
        <f>'Buildings - Grid Electricity'!G470</f>
        <v>0</v>
      </c>
      <c r="Q918" s="193" t="str">
        <f>'Buildings - Grid Electricity'!H470</f>
        <v/>
      </c>
      <c r="R918" s="193">
        <f>'Buildings - Grid Electricity'!I470</f>
        <v>0</v>
      </c>
      <c r="S918" s="193" t="str">
        <f>'Buildings - Grid Electricity'!J470</f>
        <v/>
      </c>
      <c r="T918" s="193" t="str">
        <f>'Buildings - Grid Electricity'!K470</f>
        <v/>
      </c>
      <c r="U918" s="193" t="str">
        <f>'Buildings - Grid Electricity'!L470</f>
        <v/>
      </c>
      <c r="V918" s="193" t="str">
        <f>'Buildings - Grid Electricity'!M470</f>
        <v/>
      </c>
      <c r="W918" s="193" t="str">
        <f>'Buildings - Grid Electricity'!N470</f>
        <v/>
      </c>
      <c r="X918" s="193">
        <f>'Buildings - Grid Electricity'!O470</f>
        <v>0</v>
      </c>
      <c r="Y918" s="193">
        <f>'Buildings - Grid Electricity'!P470</f>
        <v>0</v>
      </c>
      <c r="Z918" s="193" t="str">
        <f>'Buildings - Grid Electricity'!Q470</f>
        <v/>
      </c>
      <c r="AA918" s="193" t="str">
        <f>'Buildings - Grid Electricity'!R470</f>
        <v/>
      </c>
      <c r="AB918" s="193" t="str">
        <f>'Buildings - Grid Electricity'!S470</f>
        <v/>
      </c>
      <c r="AC918" s="193" t="str">
        <f>'Buildings - Grid Electricity'!T470</f>
        <v/>
      </c>
      <c r="AD918" s="193" t="str">
        <f>'Buildings - Grid Electricity'!U470</f>
        <v/>
      </c>
      <c r="AE918" s="193" t="str">
        <f>'Buildings - Grid Electricity'!V470</f>
        <v/>
      </c>
      <c r="AF918" s="193" t="str">
        <f>'Buildings - Grid Electricity'!W470</f>
        <v/>
      </c>
      <c r="AG918" s="193" t="str">
        <f>'Buildings - Grid Electricity'!X470</f>
        <v/>
      </c>
      <c r="AI918" s="193">
        <f t="shared" si="18"/>
        <v>0</v>
      </c>
      <c r="AJ918" s="193">
        <f t="shared" si="19"/>
        <v>0</v>
      </c>
    </row>
    <row r="919" spans="2:36" x14ac:dyDescent="0.35">
      <c r="B919" s="193" t="e">
        <f>"2024"&amp;MATCH(Totals!D919,OrgType,0)&amp;"_"&amp;MATCH(Totals!E919,Organisations,0)&amp;"_"&amp;LEFT(Totals!F919,1)&amp;"_"&amp;LEFT(G919,1)&amp;"_"&amp;COUNTIF($G$3:G919,G919)</f>
        <v>#N/A</v>
      </c>
      <c r="C919" s="193">
        <v>2025</v>
      </c>
      <c r="D919" s="193">
        <f>Introduction!$D$7</f>
        <v>0</v>
      </c>
      <c r="E919" s="193">
        <f>Introduction!$D$8</f>
        <v>0</v>
      </c>
      <c r="F919" s="193" t="s">
        <v>488</v>
      </c>
      <c r="G919" s="193" t="s">
        <v>171</v>
      </c>
      <c r="H919" s="193">
        <f>'Buildings - Grid Electricity'!B471</f>
        <v>0</v>
      </c>
      <c r="I919" s="193">
        <f>'Buildings - Grid Electricity'!C471</f>
        <v>0</v>
      </c>
      <c r="J919" s="193" t="str">
        <f>'Buildings - Grid Electricity'!D471</f>
        <v/>
      </c>
      <c r="K919" s="237"/>
      <c r="L919" s="237"/>
      <c r="M919" s="193" t="str">
        <f>'Buildings - Grid Electricity'!E471</f>
        <v/>
      </c>
      <c r="N919" s="193" t="str">
        <f>'Buildings - Grid Electricity'!F471</f>
        <v/>
      </c>
      <c r="O919" s="237"/>
      <c r="P919" s="193">
        <f>'Buildings - Grid Electricity'!G471</f>
        <v>0</v>
      </c>
      <c r="Q919" s="193" t="str">
        <f>'Buildings - Grid Electricity'!H471</f>
        <v/>
      </c>
      <c r="R919" s="193">
        <f>'Buildings - Grid Electricity'!I471</f>
        <v>0</v>
      </c>
      <c r="S919" s="193" t="str">
        <f>'Buildings - Grid Electricity'!J471</f>
        <v/>
      </c>
      <c r="T919" s="193" t="str">
        <f>'Buildings - Grid Electricity'!K471</f>
        <v/>
      </c>
      <c r="U919" s="193" t="str">
        <f>'Buildings - Grid Electricity'!L471</f>
        <v/>
      </c>
      <c r="V919" s="193" t="str">
        <f>'Buildings - Grid Electricity'!M471</f>
        <v/>
      </c>
      <c r="W919" s="193" t="str">
        <f>'Buildings - Grid Electricity'!N471</f>
        <v/>
      </c>
      <c r="X919" s="193">
        <f>'Buildings - Grid Electricity'!O471</f>
        <v>0</v>
      </c>
      <c r="Y919" s="193">
        <f>'Buildings - Grid Electricity'!P471</f>
        <v>0</v>
      </c>
      <c r="Z919" s="193" t="str">
        <f>'Buildings - Grid Electricity'!Q471</f>
        <v/>
      </c>
      <c r="AA919" s="193" t="str">
        <f>'Buildings - Grid Electricity'!R471</f>
        <v/>
      </c>
      <c r="AB919" s="193" t="str">
        <f>'Buildings - Grid Electricity'!S471</f>
        <v/>
      </c>
      <c r="AC919" s="193" t="str">
        <f>'Buildings - Grid Electricity'!T471</f>
        <v/>
      </c>
      <c r="AD919" s="193" t="str">
        <f>'Buildings - Grid Electricity'!U471</f>
        <v/>
      </c>
      <c r="AE919" s="193" t="str">
        <f>'Buildings - Grid Electricity'!V471</f>
        <v/>
      </c>
      <c r="AF919" s="193" t="str">
        <f>'Buildings - Grid Electricity'!W471</f>
        <v/>
      </c>
      <c r="AG919" s="193" t="str">
        <f>'Buildings - Grid Electricity'!X471</f>
        <v/>
      </c>
      <c r="AI919" s="193">
        <f t="shared" si="18"/>
        <v>0</v>
      </c>
      <c r="AJ919" s="193">
        <f t="shared" si="19"/>
        <v>0</v>
      </c>
    </row>
    <row r="920" spans="2:36" x14ac:dyDescent="0.35">
      <c r="B920" s="193" t="e">
        <f>"2024"&amp;MATCH(Totals!D920,OrgType,0)&amp;"_"&amp;MATCH(Totals!E920,Organisations,0)&amp;"_"&amp;LEFT(Totals!F920,1)&amp;"_"&amp;LEFT(G920,1)&amp;"_"&amp;COUNTIF($G$3:G920,G920)</f>
        <v>#N/A</v>
      </c>
      <c r="C920" s="193">
        <v>2025</v>
      </c>
      <c r="D920" s="193">
        <f>Introduction!$D$7</f>
        <v>0</v>
      </c>
      <c r="E920" s="193">
        <f>Introduction!$D$8</f>
        <v>0</v>
      </c>
      <c r="F920" s="193" t="s">
        <v>488</v>
      </c>
      <c r="G920" s="193" t="s">
        <v>171</v>
      </c>
      <c r="H920" s="193">
        <f>'Buildings - Grid Electricity'!B472</f>
        <v>0</v>
      </c>
      <c r="I920" s="193">
        <f>'Buildings - Grid Electricity'!C472</f>
        <v>0</v>
      </c>
      <c r="J920" s="193" t="str">
        <f>'Buildings - Grid Electricity'!D472</f>
        <v/>
      </c>
      <c r="K920" s="237"/>
      <c r="L920" s="237"/>
      <c r="M920" s="193" t="str">
        <f>'Buildings - Grid Electricity'!E472</f>
        <v/>
      </c>
      <c r="N920" s="193" t="str">
        <f>'Buildings - Grid Electricity'!F472</f>
        <v/>
      </c>
      <c r="O920" s="237"/>
      <c r="P920" s="193">
        <f>'Buildings - Grid Electricity'!G472</f>
        <v>0</v>
      </c>
      <c r="Q920" s="193" t="str">
        <f>'Buildings - Grid Electricity'!H472</f>
        <v/>
      </c>
      <c r="R920" s="193">
        <f>'Buildings - Grid Electricity'!I472</f>
        <v>0</v>
      </c>
      <c r="S920" s="193" t="str">
        <f>'Buildings - Grid Electricity'!J472</f>
        <v/>
      </c>
      <c r="T920" s="193" t="str">
        <f>'Buildings - Grid Electricity'!K472</f>
        <v/>
      </c>
      <c r="U920" s="193" t="str">
        <f>'Buildings - Grid Electricity'!L472</f>
        <v/>
      </c>
      <c r="V920" s="193" t="str">
        <f>'Buildings - Grid Electricity'!M472</f>
        <v/>
      </c>
      <c r="W920" s="193" t="str">
        <f>'Buildings - Grid Electricity'!N472</f>
        <v/>
      </c>
      <c r="X920" s="193">
        <f>'Buildings - Grid Electricity'!O472</f>
        <v>0</v>
      </c>
      <c r="Y920" s="193">
        <f>'Buildings - Grid Electricity'!P472</f>
        <v>0</v>
      </c>
      <c r="Z920" s="193" t="str">
        <f>'Buildings - Grid Electricity'!Q472</f>
        <v/>
      </c>
      <c r="AA920" s="193" t="str">
        <f>'Buildings - Grid Electricity'!R472</f>
        <v/>
      </c>
      <c r="AB920" s="193" t="str">
        <f>'Buildings - Grid Electricity'!S472</f>
        <v/>
      </c>
      <c r="AC920" s="193" t="str">
        <f>'Buildings - Grid Electricity'!T472</f>
        <v/>
      </c>
      <c r="AD920" s="193" t="str">
        <f>'Buildings - Grid Electricity'!U472</f>
        <v/>
      </c>
      <c r="AE920" s="193" t="str">
        <f>'Buildings - Grid Electricity'!V472</f>
        <v/>
      </c>
      <c r="AF920" s="193" t="str">
        <f>'Buildings - Grid Electricity'!W472</f>
        <v/>
      </c>
      <c r="AG920" s="193" t="str">
        <f>'Buildings - Grid Electricity'!X472</f>
        <v/>
      </c>
      <c r="AI920" s="193">
        <f t="shared" si="18"/>
        <v>0</v>
      </c>
      <c r="AJ920" s="193">
        <f t="shared" si="19"/>
        <v>0</v>
      </c>
    </row>
    <row r="921" spans="2:36" x14ac:dyDescent="0.35">
      <c r="B921" s="193" t="e">
        <f>"2024"&amp;MATCH(Totals!D921,OrgType,0)&amp;"_"&amp;MATCH(Totals!E921,Organisations,0)&amp;"_"&amp;LEFT(Totals!F921,1)&amp;"_"&amp;LEFT(G921,1)&amp;"_"&amp;COUNTIF($G$3:G921,G921)</f>
        <v>#N/A</v>
      </c>
      <c r="C921" s="193">
        <v>2025</v>
      </c>
      <c r="D921" s="193">
        <f>Introduction!$D$7</f>
        <v>0</v>
      </c>
      <c r="E921" s="193">
        <f>Introduction!$D$8</f>
        <v>0</v>
      </c>
      <c r="F921" s="193" t="s">
        <v>488</v>
      </c>
      <c r="G921" s="193" t="s">
        <v>171</v>
      </c>
      <c r="H921" s="193">
        <f>'Buildings - Grid Electricity'!B473</f>
        <v>0</v>
      </c>
      <c r="I921" s="193">
        <f>'Buildings - Grid Electricity'!C473</f>
        <v>0</v>
      </c>
      <c r="J921" s="193" t="str">
        <f>'Buildings - Grid Electricity'!D473</f>
        <v/>
      </c>
      <c r="K921" s="237"/>
      <c r="L921" s="237"/>
      <c r="M921" s="193" t="str">
        <f>'Buildings - Grid Electricity'!E473</f>
        <v/>
      </c>
      <c r="N921" s="193" t="str">
        <f>'Buildings - Grid Electricity'!F473</f>
        <v/>
      </c>
      <c r="O921" s="237"/>
      <c r="P921" s="193">
        <f>'Buildings - Grid Electricity'!G473</f>
        <v>0</v>
      </c>
      <c r="Q921" s="193" t="str">
        <f>'Buildings - Grid Electricity'!H473</f>
        <v/>
      </c>
      <c r="R921" s="193">
        <f>'Buildings - Grid Electricity'!I473</f>
        <v>0</v>
      </c>
      <c r="S921" s="193" t="str">
        <f>'Buildings - Grid Electricity'!J473</f>
        <v/>
      </c>
      <c r="T921" s="193" t="str">
        <f>'Buildings - Grid Electricity'!K473</f>
        <v/>
      </c>
      <c r="U921" s="193" t="str">
        <f>'Buildings - Grid Electricity'!L473</f>
        <v/>
      </c>
      <c r="V921" s="193" t="str">
        <f>'Buildings - Grid Electricity'!M473</f>
        <v/>
      </c>
      <c r="W921" s="193" t="str">
        <f>'Buildings - Grid Electricity'!N473</f>
        <v/>
      </c>
      <c r="X921" s="193">
        <f>'Buildings - Grid Electricity'!O473</f>
        <v>0</v>
      </c>
      <c r="Y921" s="193">
        <f>'Buildings - Grid Electricity'!P473</f>
        <v>0</v>
      </c>
      <c r="Z921" s="193" t="str">
        <f>'Buildings - Grid Electricity'!Q473</f>
        <v/>
      </c>
      <c r="AA921" s="193" t="str">
        <f>'Buildings - Grid Electricity'!R473</f>
        <v/>
      </c>
      <c r="AB921" s="193" t="str">
        <f>'Buildings - Grid Electricity'!S473</f>
        <v/>
      </c>
      <c r="AC921" s="193" t="str">
        <f>'Buildings - Grid Electricity'!T473</f>
        <v/>
      </c>
      <c r="AD921" s="193" t="str">
        <f>'Buildings - Grid Electricity'!U473</f>
        <v/>
      </c>
      <c r="AE921" s="193" t="str">
        <f>'Buildings - Grid Electricity'!V473</f>
        <v/>
      </c>
      <c r="AF921" s="193" t="str">
        <f>'Buildings - Grid Electricity'!W473</f>
        <v/>
      </c>
      <c r="AG921" s="193" t="str">
        <f>'Buildings - Grid Electricity'!X473</f>
        <v/>
      </c>
      <c r="AI921" s="193">
        <f t="shared" si="18"/>
        <v>0</v>
      </c>
      <c r="AJ921" s="193">
        <f t="shared" si="19"/>
        <v>0</v>
      </c>
    </row>
    <row r="922" spans="2:36" x14ac:dyDescent="0.35">
      <c r="B922" s="193" t="e">
        <f>"2024"&amp;MATCH(Totals!D922,OrgType,0)&amp;"_"&amp;MATCH(Totals!E922,Organisations,0)&amp;"_"&amp;LEFT(Totals!F922,1)&amp;"_"&amp;LEFT(G922,1)&amp;"_"&amp;COUNTIF($G$3:G922,G922)</f>
        <v>#N/A</v>
      </c>
      <c r="C922" s="193">
        <v>2025</v>
      </c>
      <c r="D922" s="193">
        <f>Introduction!$D$7</f>
        <v>0</v>
      </c>
      <c r="E922" s="193">
        <f>Introduction!$D$8</f>
        <v>0</v>
      </c>
      <c r="F922" s="193" t="s">
        <v>488</v>
      </c>
      <c r="G922" s="193" t="s">
        <v>171</v>
      </c>
      <c r="H922" s="193">
        <f>'Buildings - Grid Electricity'!B474</f>
        <v>0</v>
      </c>
      <c r="I922" s="193">
        <f>'Buildings - Grid Electricity'!C474</f>
        <v>0</v>
      </c>
      <c r="J922" s="193" t="str">
        <f>'Buildings - Grid Electricity'!D474</f>
        <v/>
      </c>
      <c r="K922" s="237"/>
      <c r="L922" s="237"/>
      <c r="M922" s="193" t="str">
        <f>'Buildings - Grid Electricity'!E474</f>
        <v/>
      </c>
      <c r="N922" s="193" t="str">
        <f>'Buildings - Grid Electricity'!F474</f>
        <v/>
      </c>
      <c r="O922" s="237"/>
      <c r="P922" s="193">
        <f>'Buildings - Grid Electricity'!G474</f>
        <v>0</v>
      </c>
      <c r="Q922" s="193" t="str">
        <f>'Buildings - Grid Electricity'!H474</f>
        <v/>
      </c>
      <c r="R922" s="193">
        <f>'Buildings - Grid Electricity'!I474</f>
        <v>0</v>
      </c>
      <c r="S922" s="193" t="str">
        <f>'Buildings - Grid Electricity'!J474</f>
        <v/>
      </c>
      <c r="T922" s="193" t="str">
        <f>'Buildings - Grid Electricity'!K474</f>
        <v/>
      </c>
      <c r="U922" s="193" t="str">
        <f>'Buildings - Grid Electricity'!L474</f>
        <v/>
      </c>
      <c r="V922" s="193" t="str">
        <f>'Buildings - Grid Electricity'!M474</f>
        <v/>
      </c>
      <c r="W922" s="193" t="str">
        <f>'Buildings - Grid Electricity'!N474</f>
        <v/>
      </c>
      <c r="X922" s="193">
        <f>'Buildings - Grid Electricity'!O474</f>
        <v>0</v>
      </c>
      <c r="Y922" s="193">
        <f>'Buildings - Grid Electricity'!P474</f>
        <v>0</v>
      </c>
      <c r="Z922" s="193" t="str">
        <f>'Buildings - Grid Electricity'!Q474</f>
        <v/>
      </c>
      <c r="AA922" s="193" t="str">
        <f>'Buildings - Grid Electricity'!R474</f>
        <v/>
      </c>
      <c r="AB922" s="193" t="str">
        <f>'Buildings - Grid Electricity'!S474</f>
        <v/>
      </c>
      <c r="AC922" s="193" t="str">
        <f>'Buildings - Grid Electricity'!T474</f>
        <v/>
      </c>
      <c r="AD922" s="193" t="str">
        <f>'Buildings - Grid Electricity'!U474</f>
        <v/>
      </c>
      <c r="AE922" s="193" t="str">
        <f>'Buildings - Grid Electricity'!V474</f>
        <v/>
      </c>
      <c r="AF922" s="193" t="str">
        <f>'Buildings - Grid Electricity'!W474</f>
        <v/>
      </c>
      <c r="AG922" s="193" t="str">
        <f>'Buildings - Grid Electricity'!X474</f>
        <v/>
      </c>
      <c r="AI922" s="193">
        <f t="shared" si="18"/>
        <v>0</v>
      </c>
      <c r="AJ922" s="193">
        <f t="shared" si="19"/>
        <v>0</v>
      </c>
    </row>
    <row r="923" spans="2:36" x14ac:dyDescent="0.35">
      <c r="B923" s="193" t="e">
        <f>"2024"&amp;MATCH(Totals!D923,OrgType,0)&amp;"_"&amp;MATCH(Totals!E923,Organisations,0)&amp;"_"&amp;LEFT(Totals!F923,1)&amp;"_"&amp;LEFT(G923,1)&amp;"_"&amp;COUNTIF($G$3:G923,G923)</f>
        <v>#N/A</v>
      </c>
      <c r="C923" s="193">
        <v>2025</v>
      </c>
      <c r="D923" s="193">
        <f>Introduction!$D$7</f>
        <v>0</v>
      </c>
      <c r="E923" s="193">
        <f>Introduction!$D$8</f>
        <v>0</v>
      </c>
      <c r="F923" s="193" t="s">
        <v>488</v>
      </c>
      <c r="G923" s="193" t="s">
        <v>171</v>
      </c>
      <c r="H923" s="193">
        <f>'Buildings - Grid Electricity'!B475</f>
        <v>0</v>
      </c>
      <c r="I923" s="193">
        <f>'Buildings - Grid Electricity'!C475</f>
        <v>0</v>
      </c>
      <c r="J923" s="193" t="str">
        <f>'Buildings - Grid Electricity'!D475</f>
        <v/>
      </c>
      <c r="K923" s="237"/>
      <c r="L923" s="237"/>
      <c r="M923" s="193" t="str">
        <f>'Buildings - Grid Electricity'!E475</f>
        <v/>
      </c>
      <c r="N923" s="193" t="str">
        <f>'Buildings - Grid Electricity'!F475</f>
        <v/>
      </c>
      <c r="O923" s="237"/>
      <c r="P923" s="193">
        <f>'Buildings - Grid Electricity'!G475</f>
        <v>0</v>
      </c>
      <c r="Q923" s="193" t="str">
        <f>'Buildings - Grid Electricity'!H475</f>
        <v/>
      </c>
      <c r="R923" s="193">
        <f>'Buildings - Grid Electricity'!I475</f>
        <v>0</v>
      </c>
      <c r="S923" s="193" t="str">
        <f>'Buildings - Grid Electricity'!J475</f>
        <v/>
      </c>
      <c r="T923" s="193" t="str">
        <f>'Buildings - Grid Electricity'!K475</f>
        <v/>
      </c>
      <c r="U923" s="193" t="str">
        <f>'Buildings - Grid Electricity'!L475</f>
        <v/>
      </c>
      <c r="V923" s="193" t="str">
        <f>'Buildings - Grid Electricity'!M475</f>
        <v/>
      </c>
      <c r="W923" s="193" t="str">
        <f>'Buildings - Grid Electricity'!N475</f>
        <v/>
      </c>
      <c r="X923" s="193">
        <f>'Buildings - Grid Electricity'!O475</f>
        <v>0</v>
      </c>
      <c r="Y923" s="193">
        <f>'Buildings - Grid Electricity'!P475</f>
        <v>0</v>
      </c>
      <c r="Z923" s="193" t="str">
        <f>'Buildings - Grid Electricity'!Q475</f>
        <v/>
      </c>
      <c r="AA923" s="193" t="str">
        <f>'Buildings - Grid Electricity'!R475</f>
        <v/>
      </c>
      <c r="AB923" s="193" t="str">
        <f>'Buildings - Grid Electricity'!S475</f>
        <v/>
      </c>
      <c r="AC923" s="193" t="str">
        <f>'Buildings - Grid Electricity'!T475</f>
        <v/>
      </c>
      <c r="AD923" s="193" t="str">
        <f>'Buildings - Grid Electricity'!U475</f>
        <v/>
      </c>
      <c r="AE923" s="193" t="str">
        <f>'Buildings - Grid Electricity'!V475</f>
        <v/>
      </c>
      <c r="AF923" s="193" t="str">
        <f>'Buildings - Grid Electricity'!W475</f>
        <v/>
      </c>
      <c r="AG923" s="193" t="str">
        <f>'Buildings - Grid Electricity'!X475</f>
        <v/>
      </c>
      <c r="AI923" s="193">
        <f t="shared" si="18"/>
        <v>0</v>
      </c>
      <c r="AJ923" s="193">
        <f t="shared" si="19"/>
        <v>0</v>
      </c>
    </row>
    <row r="924" spans="2:36" x14ac:dyDescent="0.35">
      <c r="B924" s="193" t="e">
        <f>"2024"&amp;MATCH(Totals!D924,OrgType,0)&amp;"_"&amp;MATCH(Totals!E924,Organisations,0)&amp;"_"&amp;LEFT(Totals!F924,1)&amp;"_"&amp;LEFT(G924,1)&amp;"_"&amp;COUNTIF($G$3:G924,G924)</f>
        <v>#N/A</v>
      </c>
      <c r="C924" s="193">
        <v>2025</v>
      </c>
      <c r="D924" s="193">
        <f>Introduction!$D$7</f>
        <v>0</v>
      </c>
      <c r="E924" s="193">
        <f>Introduction!$D$8</f>
        <v>0</v>
      </c>
      <c r="F924" s="193" t="s">
        <v>488</v>
      </c>
      <c r="G924" s="193" t="s">
        <v>171</v>
      </c>
      <c r="H924" s="193">
        <f>'Buildings - Grid Electricity'!B476</f>
        <v>0</v>
      </c>
      <c r="I924" s="193">
        <f>'Buildings - Grid Electricity'!C476</f>
        <v>0</v>
      </c>
      <c r="J924" s="193" t="str">
        <f>'Buildings - Grid Electricity'!D476</f>
        <v/>
      </c>
      <c r="K924" s="237"/>
      <c r="L924" s="237"/>
      <c r="M924" s="193" t="str">
        <f>'Buildings - Grid Electricity'!E476</f>
        <v/>
      </c>
      <c r="N924" s="193" t="str">
        <f>'Buildings - Grid Electricity'!F476</f>
        <v/>
      </c>
      <c r="O924" s="237"/>
      <c r="P924" s="193">
        <f>'Buildings - Grid Electricity'!G476</f>
        <v>0</v>
      </c>
      <c r="Q924" s="193" t="str">
        <f>'Buildings - Grid Electricity'!H476</f>
        <v/>
      </c>
      <c r="R924" s="193">
        <f>'Buildings - Grid Electricity'!I476</f>
        <v>0</v>
      </c>
      <c r="S924" s="193" t="str">
        <f>'Buildings - Grid Electricity'!J476</f>
        <v/>
      </c>
      <c r="T924" s="193" t="str">
        <f>'Buildings - Grid Electricity'!K476</f>
        <v/>
      </c>
      <c r="U924" s="193" t="str">
        <f>'Buildings - Grid Electricity'!L476</f>
        <v/>
      </c>
      <c r="V924" s="193" t="str">
        <f>'Buildings - Grid Electricity'!M476</f>
        <v/>
      </c>
      <c r="W924" s="193" t="str">
        <f>'Buildings - Grid Electricity'!N476</f>
        <v/>
      </c>
      <c r="X924" s="193">
        <f>'Buildings - Grid Electricity'!O476</f>
        <v>0</v>
      </c>
      <c r="Y924" s="193">
        <f>'Buildings - Grid Electricity'!P476</f>
        <v>0</v>
      </c>
      <c r="Z924" s="193" t="str">
        <f>'Buildings - Grid Electricity'!Q476</f>
        <v/>
      </c>
      <c r="AA924" s="193" t="str">
        <f>'Buildings - Grid Electricity'!R476</f>
        <v/>
      </c>
      <c r="AB924" s="193" t="str">
        <f>'Buildings - Grid Electricity'!S476</f>
        <v/>
      </c>
      <c r="AC924" s="193" t="str">
        <f>'Buildings - Grid Electricity'!T476</f>
        <v/>
      </c>
      <c r="AD924" s="193" t="str">
        <f>'Buildings - Grid Electricity'!U476</f>
        <v/>
      </c>
      <c r="AE924" s="193" t="str">
        <f>'Buildings - Grid Electricity'!V476</f>
        <v/>
      </c>
      <c r="AF924" s="193" t="str">
        <f>'Buildings - Grid Electricity'!W476</f>
        <v/>
      </c>
      <c r="AG924" s="193" t="str">
        <f>'Buildings - Grid Electricity'!X476</f>
        <v/>
      </c>
      <c r="AI924" s="193">
        <f t="shared" si="18"/>
        <v>0</v>
      </c>
      <c r="AJ924" s="193">
        <f t="shared" si="19"/>
        <v>0</v>
      </c>
    </row>
    <row r="925" spans="2:36" x14ac:dyDescent="0.35">
      <c r="B925" s="193" t="e">
        <f>"2024"&amp;MATCH(Totals!D925,OrgType,0)&amp;"_"&amp;MATCH(Totals!E925,Organisations,0)&amp;"_"&amp;LEFT(Totals!F925,1)&amp;"_"&amp;LEFT(G925,1)&amp;"_"&amp;COUNTIF($G$3:G925,G925)</f>
        <v>#N/A</v>
      </c>
      <c r="C925" s="193">
        <v>2025</v>
      </c>
      <c r="D925" s="193">
        <f>Introduction!$D$7</f>
        <v>0</v>
      </c>
      <c r="E925" s="193">
        <f>Introduction!$D$8</f>
        <v>0</v>
      </c>
      <c r="F925" s="193" t="s">
        <v>488</v>
      </c>
      <c r="G925" s="193" t="s">
        <v>171</v>
      </c>
      <c r="H925" s="193">
        <f>'Buildings - Grid Electricity'!B477</f>
        <v>0</v>
      </c>
      <c r="I925" s="193">
        <f>'Buildings - Grid Electricity'!C477</f>
        <v>0</v>
      </c>
      <c r="J925" s="193" t="str">
        <f>'Buildings - Grid Electricity'!D477</f>
        <v/>
      </c>
      <c r="K925" s="237"/>
      <c r="L925" s="237"/>
      <c r="M925" s="193" t="str">
        <f>'Buildings - Grid Electricity'!E477</f>
        <v/>
      </c>
      <c r="N925" s="193" t="str">
        <f>'Buildings - Grid Electricity'!F477</f>
        <v/>
      </c>
      <c r="O925" s="237"/>
      <c r="P925" s="193">
        <f>'Buildings - Grid Electricity'!G477</f>
        <v>0</v>
      </c>
      <c r="Q925" s="193" t="str">
        <f>'Buildings - Grid Electricity'!H477</f>
        <v/>
      </c>
      <c r="R925" s="193">
        <f>'Buildings - Grid Electricity'!I477</f>
        <v>0</v>
      </c>
      <c r="S925" s="193" t="str">
        <f>'Buildings - Grid Electricity'!J477</f>
        <v/>
      </c>
      <c r="T925" s="193" t="str">
        <f>'Buildings - Grid Electricity'!K477</f>
        <v/>
      </c>
      <c r="U925" s="193" t="str">
        <f>'Buildings - Grid Electricity'!L477</f>
        <v/>
      </c>
      <c r="V925" s="193" t="str">
        <f>'Buildings - Grid Electricity'!M477</f>
        <v/>
      </c>
      <c r="W925" s="193" t="str">
        <f>'Buildings - Grid Electricity'!N477</f>
        <v/>
      </c>
      <c r="X925" s="193">
        <f>'Buildings - Grid Electricity'!O477</f>
        <v>0</v>
      </c>
      <c r="Y925" s="193">
        <f>'Buildings - Grid Electricity'!P477</f>
        <v>0</v>
      </c>
      <c r="Z925" s="193" t="str">
        <f>'Buildings - Grid Electricity'!Q477</f>
        <v/>
      </c>
      <c r="AA925" s="193" t="str">
        <f>'Buildings - Grid Electricity'!R477</f>
        <v/>
      </c>
      <c r="AB925" s="193" t="str">
        <f>'Buildings - Grid Electricity'!S477</f>
        <v/>
      </c>
      <c r="AC925" s="193" t="str">
        <f>'Buildings - Grid Electricity'!T477</f>
        <v/>
      </c>
      <c r="AD925" s="193" t="str">
        <f>'Buildings - Grid Electricity'!U477</f>
        <v/>
      </c>
      <c r="AE925" s="193" t="str">
        <f>'Buildings - Grid Electricity'!V477</f>
        <v/>
      </c>
      <c r="AF925" s="193" t="str">
        <f>'Buildings - Grid Electricity'!W477</f>
        <v/>
      </c>
      <c r="AG925" s="193" t="str">
        <f>'Buildings - Grid Electricity'!X477</f>
        <v/>
      </c>
      <c r="AI925" s="193">
        <f t="shared" si="18"/>
        <v>0</v>
      </c>
      <c r="AJ925" s="193">
        <f t="shared" si="19"/>
        <v>0</v>
      </c>
    </row>
    <row r="926" spans="2:36" x14ac:dyDescent="0.35">
      <c r="B926" s="193" t="e">
        <f>"2024"&amp;MATCH(Totals!D926,OrgType,0)&amp;"_"&amp;MATCH(Totals!E926,Organisations,0)&amp;"_"&amp;LEFT(Totals!F926,1)&amp;"_"&amp;LEFT(G926,1)&amp;"_"&amp;COUNTIF($G$3:G926,G926)</f>
        <v>#N/A</v>
      </c>
      <c r="C926" s="193">
        <v>2025</v>
      </c>
      <c r="D926" s="193">
        <f>Introduction!$D$7</f>
        <v>0</v>
      </c>
      <c r="E926" s="193">
        <f>Introduction!$D$8</f>
        <v>0</v>
      </c>
      <c r="F926" s="193" t="s">
        <v>488</v>
      </c>
      <c r="G926" s="193" t="s">
        <v>171</v>
      </c>
      <c r="H926" s="193">
        <f>'Buildings - Grid Electricity'!B478</f>
        <v>0</v>
      </c>
      <c r="I926" s="193">
        <f>'Buildings - Grid Electricity'!C478</f>
        <v>0</v>
      </c>
      <c r="J926" s="193" t="str">
        <f>'Buildings - Grid Electricity'!D478</f>
        <v/>
      </c>
      <c r="K926" s="237"/>
      <c r="L926" s="237"/>
      <c r="M926" s="193" t="str">
        <f>'Buildings - Grid Electricity'!E478</f>
        <v/>
      </c>
      <c r="N926" s="193" t="str">
        <f>'Buildings - Grid Electricity'!F478</f>
        <v/>
      </c>
      <c r="O926" s="237"/>
      <c r="P926" s="193">
        <f>'Buildings - Grid Electricity'!G478</f>
        <v>0</v>
      </c>
      <c r="Q926" s="193" t="str">
        <f>'Buildings - Grid Electricity'!H478</f>
        <v/>
      </c>
      <c r="R926" s="193">
        <f>'Buildings - Grid Electricity'!I478</f>
        <v>0</v>
      </c>
      <c r="S926" s="193" t="str">
        <f>'Buildings - Grid Electricity'!J478</f>
        <v/>
      </c>
      <c r="T926" s="193" t="str">
        <f>'Buildings - Grid Electricity'!K478</f>
        <v/>
      </c>
      <c r="U926" s="193" t="str">
        <f>'Buildings - Grid Electricity'!L478</f>
        <v/>
      </c>
      <c r="V926" s="193" t="str">
        <f>'Buildings - Grid Electricity'!M478</f>
        <v/>
      </c>
      <c r="W926" s="193" t="str">
        <f>'Buildings - Grid Electricity'!N478</f>
        <v/>
      </c>
      <c r="X926" s="193">
        <f>'Buildings - Grid Electricity'!O478</f>
        <v>0</v>
      </c>
      <c r="Y926" s="193">
        <f>'Buildings - Grid Electricity'!P478</f>
        <v>0</v>
      </c>
      <c r="Z926" s="193" t="str">
        <f>'Buildings - Grid Electricity'!Q478</f>
        <v/>
      </c>
      <c r="AA926" s="193" t="str">
        <f>'Buildings - Grid Electricity'!R478</f>
        <v/>
      </c>
      <c r="AB926" s="193" t="str">
        <f>'Buildings - Grid Electricity'!S478</f>
        <v/>
      </c>
      <c r="AC926" s="193" t="str">
        <f>'Buildings - Grid Electricity'!T478</f>
        <v/>
      </c>
      <c r="AD926" s="193" t="str">
        <f>'Buildings - Grid Electricity'!U478</f>
        <v/>
      </c>
      <c r="AE926" s="193" t="str">
        <f>'Buildings - Grid Electricity'!V478</f>
        <v/>
      </c>
      <c r="AF926" s="193" t="str">
        <f>'Buildings - Grid Electricity'!W478</f>
        <v/>
      </c>
      <c r="AG926" s="193" t="str">
        <f>'Buildings - Grid Electricity'!X478</f>
        <v/>
      </c>
      <c r="AI926" s="193">
        <f t="shared" si="18"/>
        <v>0</v>
      </c>
      <c r="AJ926" s="193">
        <f t="shared" si="19"/>
        <v>0</v>
      </c>
    </row>
    <row r="927" spans="2:36" x14ac:dyDescent="0.35">
      <c r="B927" s="193" t="e">
        <f>"2024"&amp;MATCH(Totals!D927,OrgType,0)&amp;"_"&amp;MATCH(Totals!E927,Organisations,0)&amp;"_"&amp;LEFT(Totals!F927,1)&amp;"_"&amp;LEFT(G927,1)&amp;"_"&amp;COUNTIF($G$3:G927,G927)</f>
        <v>#N/A</v>
      </c>
      <c r="C927" s="193">
        <v>2025</v>
      </c>
      <c r="D927" s="193">
        <f>Introduction!$D$7</f>
        <v>0</v>
      </c>
      <c r="E927" s="193">
        <f>Introduction!$D$8</f>
        <v>0</v>
      </c>
      <c r="F927" s="193" t="s">
        <v>488</v>
      </c>
      <c r="G927" s="193" t="s">
        <v>171</v>
      </c>
      <c r="H927" s="193">
        <f>'Buildings - Grid Electricity'!B479</f>
        <v>0</v>
      </c>
      <c r="I927" s="193">
        <f>'Buildings - Grid Electricity'!C479</f>
        <v>0</v>
      </c>
      <c r="J927" s="193" t="str">
        <f>'Buildings - Grid Electricity'!D479</f>
        <v/>
      </c>
      <c r="K927" s="237"/>
      <c r="L927" s="237"/>
      <c r="M927" s="193" t="str">
        <f>'Buildings - Grid Electricity'!E479</f>
        <v/>
      </c>
      <c r="N927" s="193" t="str">
        <f>'Buildings - Grid Electricity'!F479</f>
        <v/>
      </c>
      <c r="O927" s="237"/>
      <c r="P927" s="193">
        <f>'Buildings - Grid Electricity'!G479</f>
        <v>0</v>
      </c>
      <c r="Q927" s="193" t="str">
        <f>'Buildings - Grid Electricity'!H479</f>
        <v/>
      </c>
      <c r="R927" s="193">
        <f>'Buildings - Grid Electricity'!I479</f>
        <v>0</v>
      </c>
      <c r="S927" s="193" t="str">
        <f>'Buildings - Grid Electricity'!J479</f>
        <v/>
      </c>
      <c r="T927" s="193" t="str">
        <f>'Buildings - Grid Electricity'!K479</f>
        <v/>
      </c>
      <c r="U927" s="193" t="str">
        <f>'Buildings - Grid Electricity'!L479</f>
        <v/>
      </c>
      <c r="V927" s="193" t="str">
        <f>'Buildings - Grid Electricity'!M479</f>
        <v/>
      </c>
      <c r="W927" s="193" t="str">
        <f>'Buildings - Grid Electricity'!N479</f>
        <v/>
      </c>
      <c r="X927" s="193">
        <f>'Buildings - Grid Electricity'!O479</f>
        <v>0</v>
      </c>
      <c r="Y927" s="193">
        <f>'Buildings - Grid Electricity'!P479</f>
        <v>0</v>
      </c>
      <c r="Z927" s="193" t="str">
        <f>'Buildings - Grid Electricity'!Q479</f>
        <v/>
      </c>
      <c r="AA927" s="193" t="str">
        <f>'Buildings - Grid Electricity'!R479</f>
        <v/>
      </c>
      <c r="AB927" s="193" t="str">
        <f>'Buildings - Grid Electricity'!S479</f>
        <v/>
      </c>
      <c r="AC927" s="193" t="str">
        <f>'Buildings - Grid Electricity'!T479</f>
        <v/>
      </c>
      <c r="AD927" s="193" t="str">
        <f>'Buildings - Grid Electricity'!U479</f>
        <v/>
      </c>
      <c r="AE927" s="193" t="str">
        <f>'Buildings - Grid Electricity'!V479</f>
        <v/>
      </c>
      <c r="AF927" s="193" t="str">
        <f>'Buildings - Grid Electricity'!W479</f>
        <v/>
      </c>
      <c r="AG927" s="193" t="str">
        <f>'Buildings - Grid Electricity'!X479</f>
        <v/>
      </c>
      <c r="AI927" s="193">
        <f t="shared" si="18"/>
        <v>0</v>
      </c>
      <c r="AJ927" s="193">
        <f t="shared" si="19"/>
        <v>0</v>
      </c>
    </row>
    <row r="928" spans="2:36" x14ac:dyDescent="0.35">
      <c r="B928" s="193" t="e">
        <f>"2024"&amp;MATCH(Totals!D928,OrgType,0)&amp;"_"&amp;MATCH(Totals!E928,Organisations,0)&amp;"_"&amp;LEFT(Totals!F928,1)&amp;"_"&amp;LEFT(G928,1)&amp;"_"&amp;COUNTIF($G$3:G928,G928)</f>
        <v>#N/A</v>
      </c>
      <c r="C928" s="193">
        <v>2025</v>
      </c>
      <c r="D928" s="193">
        <f>Introduction!$D$7</f>
        <v>0</v>
      </c>
      <c r="E928" s="193">
        <f>Introduction!$D$8</f>
        <v>0</v>
      </c>
      <c r="F928" s="193" t="s">
        <v>488</v>
      </c>
      <c r="G928" s="193" t="s">
        <v>171</v>
      </c>
      <c r="H928" s="193">
        <f>'Buildings - Grid Electricity'!B480</f>
        <v>0</v>
      </c>
      <c r="I928" s="193">
        <f>'Buildings - Grid Electricity'!C480</f>
        <v>0</v>
      </c>
      <c r="J928" s="193" t="str">
        <f>'Buildings - Grid Electricity'!D480</f>
        <v/>
      </c>
      <c r="K928" s="237"/>
      <c r="L928" s="237"/>
      <c r="M928" s="193" t="str">
        <f>'Buildings - Grid Electricity'!E480</f>
        <v/>
      </c>
      <c r="N928" s="193" t="str">
        <f>'Buildings - Grid Electricity'!F480</f>
        <v/>
      </c>
      <c r="O928" s="237"/>
      <c r="P928" s="193">
        <f>'Buildings - Grid Electricity'!G480</f>
        <v>0</v>
      </c>
      <c r="Q928" s="193" t="str">
        <f>'Buildings - Grid Electricity'!H480</f>
        <v/>
      </c>
      <c r="R928" s="193">
        <f>'Buildings - Grid Electricity'!I480</f>
        <v>0</v>
      </c>
      <c r="S928" s="193" t="str">
        <f>'Buildings - Grid Electricity'!J480</f>
        <v/>
      </c>
      <c r="T928" s="193" t="str">
        <f>'Buildings - Grid Electricity'!K480</f>
        <v/>
      </c>
      <c r="U928" s="193" t="str">
        <f>'Buildings - Grid Electricity'!L480</f>
        <v/>
      </c>
      <c r="V928" s="193" t="str">
        <f>'Buildings - Grid Electricity'!M480</f>
        <v/>
      </c>
      <c r="W928" s="193" t="str">
        <f>'Buildings - Grid Electricity'!N480</f>
        <v/>
      </c>
      <c r="X928" s="193">
        <f>'Buildings - Grid Electricity'!O480</f>
        <v>0</v>
      </c>
      <c r="Y928" s="193">
        <f>'Buildings - Grid Electricity'!P480</f>
        <v>0</v>
      </c>
      <c r="Z928" s="193" t="str">
        <f>'Buildings - Grid Electricity'!Q480</f>
        <v/>
      </c>
      <c r="AA928" s="193" t="str">
        <f>'Buildings - Grid Electricity'!R480</f>
        <v/>
      </c>
      <c r="AB928" s="193" t="str">
        <f>'Buildings - Grid Electricity'!S480</f>
        <v/>
      </c>
      <c r="AC928" s="193" t="str">
        <f>'Buildings - Grid Electricity'!T480</f>
        <v/>
      </c>
      <c r="AD928" s="193" t="str">
        <f>'Buildings - Grid Electricity'!U480</f>
        <v/>
      </c>
      <c r="AE928" s="193" t="str">
        <f>'Buildings - Grid Electricity'!V480</f>
        <v/>
      </c>
      <c r="AF928" s="193" t="str">
        <f>'Buildings - Grid Electricity'!W480</f>
        <v/>
      </c>
      <c r="AG928" s="193" t="str">
        <f>'Buildings - Grid Electricity'!X480</f>
        <v/>
      </c>
      <c r="AI928" s="193">
        <f t="shared" si="18"/>
        <v>0</v>
      </c>
      <c r="AJ928" s="193">
        <f t="shared" si="19"/>
        <v>0</v>
      </c>
    </row>
    <row r="929" spans="2:36" x14ac:dyDescent="0.35">
      <c r="B929" s="193" t="e">
        <f>"2024"&amp;MATCH(Totals!D929,OrgType,0)&amp;"_"&amp;MATCH(Totals!E929,Organisations,0)&amp;"_"&amp;LEFT(Totals!F929,1)&amp;"_"&amp;LEFT(G929,1)&amp;"_"&amp;COUNTIF($G$3:G929,G929)</f>
        <v>#N/A</v>
      </c>
      <c r="C929" s="193">
        <v>2025</v>
      </c>
      <c r="D929" s="193">
        <f>Introduction!$D$7</f>
        <v>0</v>
      </c>
      <c r="E929" s="193">
        <f>Introduction!$D$8</f>
        <v>0</v>
      </c>
      <c r="F929" s="193" t="s">
        <v>488</v>
      </c>
      <c r="G929" s="193" t="s">
        <v>171</v>
      </c>
      <c r="H929" s="193">
        <f>'Buildings - Grid Electricity'!B481</f>
        <v>0</v>
      </c>
      <c r="I929" s="193">
        <f>'Buildings - Grid Electricity'!C481</f>
        <v>0</v>
      </c>
      <c r="J929" s="193" t="str">
        <f>'Buildings - Grid Electricity'!D481</f>
        <v/>
      </c>
      <c r="K929" s="237"/>
      <c r="L929" s="237"/>
      <c r="M929" s="193" t="str">
        <f>'Buildings - Grid Electricity'!E481</f>
        <v/>
      </c>
      <c r="N929" s="193" t="str">
        <f>'Buildings - Grid Electricity'!F481</f>
        <v/>
      </c>
      <c r="O929" s="237"/>
      <c r="P929" s="193">
        <f>'Buildings - Grid Electricity'!G481</f>
        <v>0</v>
      </c>
      <c r="Q929" s="193" t="str">
        <f>'Buildings - Grid Electricity'!H481</f>
        <v/>
      </c>
      <c r="R929" s="193">
        <f>'Buildings - Grid Electricity'!I481</f>
        <v>0</v>
      </c>
      <c r="S929" s="193" t="str">
        <f>'Buildings - Grid Electricity'!J481</f>
        <v/>
      </c>
      <c r="T929" s="193" t="str">
        <f>'Buildings - Grid Electricity'!K481</f>
        <v/>
      </c>
      <c r="U929" s="193" t="str">
        <f>'Buildings - Grid Electricity'!L481</f>
        <v/>
      </c>
      <c r="V929" s="193" t="str">
        <f>'Buildings - Grid Electricity'!M481</f>
        <v/>
      </c>
      <c r="W929" s="193" t="str">
        <f>'Buildings - Grid Electricity'!N481</f>
        <v/>
      </c>
      <c r="X929" s="193">
        <f>'Buildings - Grid Electricity'!O481</f>
        <v>0</v>
      </c>
      <c r="Y929" s="193">
        <f>'Buildings - Grid Electricity'!P481</f>
        <v>0</v>
      </c>
      <c r="Z929" s="193" t="str">
        <f>'Buildings - Grid Electricity'!Q481</f>
        <v/>
      </c>
      <c r="AA929" s="193" t="str">
        <f>'Buildings - Grid Electricity'!R481</f>
        <v/>
      </c>
      <c r="AB929" s="193" t="str">
        <f>'Buildings - Grid Electricity'!S481</f>
        <v/>
      </c>
      <c r="AC929" s="193" t="str">
        <f>'Buildings - Grid Electricity'!T481</f>
        <v/>
      </c>
      <c r="AD929" s="193" t="str">
        <f>'Buildings - Grid Electricity'!U481</f>
        <v/>
      </c>
      <c r="AE929" s="193" t="str">
        <f>'Buildings - Grid Electricity'!V481</f>
        <v/>
      </c>
      <c r="AF929" s="193" t="str">
        <f>'Buildings - Grid Electricity'!W481</f>
        <v/>
      </c>
      <c r="AG929" s="193" t="str">
        <f>'Buildings - Grid Electricity'!X481</f>
        <v/>
      </c>
      <c r="AI929" s="193">
        <f t="shared" si="18"/>
        <v>0</v>
      </c>
      <c r="AJ929" s="193">
        <f t="shared" si="19"/>
        <v>0</v>
      </c>
    </row>
    <row r="930" spans="2:36" x14ac:dyDescent="0.35">
      <c r="B930" s="193" t="e">
        <f>"2024"&amp;MATCH(Totals!D930,OrgType,0)&amp;"_"&amp;MATCH(Totals!E930,Organisations,0)&amp;"_"&amp;LEFT(Totals!F930,1)&amp;"_"&amp;LEFT(G930,1)&amp;"_"&amp;COUNTIF($G$3:G930,G930)</f>
        <v>#N/A</v>
      </c>
      <c r="C930" s="193">
        <v>2025</v>
      </c>
      <c r="D930" s="193">
        <f>Introduction!$D$7</f>
        <v>0</v>
      </c>
      <c r="E930" s="193">
        <f>Introduction!$D$8</f>
        <v>0</v>
      </c>
      <c r="F930" s="193" t="s">
        <v>488</v>
      </c>
      <c r="G930" s="193" t="s">
        <v>171</v>
      </c>
      <c r="H930" s="193">
        <f>'Buildings - Grid Electricity'!B482</f>
        <v>0</v>
      </c>
      <c r="I930" s="193">
        <f>'Buildings - Grid Electricity'!C482</f>
        <v>0</v>
      </c>
      <c r="J930" s="193" t="str">
        <f>'Buildings - Grid Electricity'!D482</f>
        <v/>
      </c>
      <c r="K930" s="237"/>
      <c r="L930" s="237"/>
      <c r="M930" s="193" t="str">
        <f>'Buildings - Grid Electricity'!E482</f>
        <v/>
      </c>
      <c r="N930" s="193" t="str">
        <f>'Buildings - Grid Electricity'!F482</f>
        <v/>
      </c>
      <c r="O930" s="237"/>
      <c r="P930" s="193">
        <f>'Buildings - Grid Electricity'!G482</f>
        <v>0</v>
      </c>
      <c r="Q930" s="193" t="str">
        <f>'Buildings - Grid Electricity'!H482</f>
        <v/>
      </c>
      <c r="R930" s="193">
        <f>'Buildings - Grid Electricity'!I482</f>
        <v>0</v>
      </c>
      <c r="S930" s="193" t="str">
        <f>'Buildings - Grid Electricity'!J482</f>
        <v/>
      </c>
      <c r="T930" s="193" t="str">
        <f>'Buildings - Grid Electricity'!K482</f>
        <v/>
      </c>
      <c r="U930" s="193" t="str">
        <f>'Buildings - Grid Electricity'!L482</f>
        <v/>
      </c>
      <c r="V930" s="193" t="str">
        <f>'Buildings - Grid Electricity'!M482</f>
        <v/>
      </c>
      <c r="W930" s="193" t="str">
        <f>'Buildings - Grid Electricity'!N482</f>
        <v/>
      </c>
      <c r="X930" s="193">
        <f>'Buildings - Grid Electricity'!O482</f>
        <v>0</v>
      </c>
      <c r="Y930" s="193">
        <f>'Buildings - Grid Electricity'!P482</f>
        <v>0</v>
      </c>
      <c r="Z930" s="193" t="str">
        <f>'Buildings - Grid Electricity'!Q482</f>
        <v/>
      </c>
      <c r="AA930" s="193" t="str">
        <f>'Buildings - Grid Electricity'!R482</f>
        <v/>
      </c>
      <c r="AB930" s="193" t="str">
        <f>'Buildings - Grid Electricity'!S482</f>
        <v/>
      </c>
      <c r="AC930" s="193" t="str">
        <f>'Buildings - Grid Electricity'!T482</f>
        <v/>
      </c>
      <c r="AD930" s="193" t="str">
        <f>'Buildings - Grid Electricity'!U482</f>
        <v/>
      </c>
      <c r="AE930" s="193" t="str">
        <f>'Buildings - Grid Electricity'!V482</f>
        <v/>
      </c>
      <c r="AF930" s="193" t="str">
        <f>'Buildings - Grid Electricity'!W482</f>
        <v/>
      </c>
      <c r="AG930" s="193" t="str">
        <f>'Buildings - Grid Electricity'!X482</f>
        <v/>
      </c>
      <c r="AI930" s="193">
        <f t="shared" si="18"/>
        <v>0</v>
      </c>
      <c r="AJ930" s="193">
        <f t="shared" si="19"/>
        <v>0</v>
      </c>
    </row>
    <row r="931" spans="2:36" x14ac:dyDescent="0.35">
      <c r="B931" s="193" t="e">
        <f>"2024"&amp;MATCH(Totals!D931,OrgType,0)&amp;"_"&amp;MATCH(Totals!E931,Organisations,0)&amp;"_"&amp;LEFT(Totals!F931,1)&amp;"_"&amp;LEFT(G931,1)&amp;"_"&amp;COUNTIF($G$3:G931,G931)</f>
        <v>#N/A</v>
      </c>
      <c r="C931" s="193">
        <v>2025</v>
      </c>
      <c r="D931" s="193">
        <f>Introduction!$D$7</f>
        <v>0</v>
      </c>
      <c r="E931" s="193">
        <f>Introduction!$D$8</f>
        <v>0</v>
      </c>
      <c r="F931" s="193" t="s">
        <v>488</v>
      </c>
      <c r="G931" s="193" t="s">
        <v>171</v>
      </c>
      <c r="H931" s="193">
        <f>'Buildings - Grid Electricity'!B483</f>
        <v>0</v>
      </c>
      <c r="I931" s="193">
        <f>'Buildings - Grid Electricity'!C483</f>
        <v>0</v>
      </c>
      <c r="J931" s="193" t="str">
        <f>'Buildings - Grid Electricity'!D483</f>
        <v/>
      </c>
      <c r="K931" s="237"/>
      <c r="L931" s="237"/>
      <c r="M931" s="193" t="str">
        <f>'Buildings - Grid Electricity'!E483</f>
        <v/>
      </c>
      <c r="N931" s="193" t="str">
        <f>'Buildings - Grid Electricity'!F483</f>
        <v/>
      </c>
      <c r="O931" s="237"/>
      <c r="P931" s="193">
        <f>'Buildings - Grid Electricity'!G483</f>
        <v>0</v>
      </c>
      <c r="Q931" s="193" t="str">
        <f>'Buildings - Grid Electricity'!H483</f>
        <v/>
      </c>
      <c r="R931" s="193">
        <f>'Buildings - Grid Electricity'!I483</f>
        <v>0</v>
      </c>
      <c r="S931" s="193" t="str">
        <f>'Buildings - Grid Electricity'!J483</f>
        <v/>
      </c>
      <c r="T931" s="193" t="str">
        <f>'Buildings - Grid Electricity'!K483</f>
        <v/>
      </c>
      <c r="U931" s="193" t="str">
        <f>'Buildings - Grid Electricity'!L483</f>
        <v/>
      </c>
      <c r="V931" s="193" t="str">
        <f>'Buildings - Grid Electricity'!M483</f>
        <v/>
      </c>
      <c r="W931" s="193" t="str">
        <f>'Buildings - Grid Electricity'!N483</f>
        <v/>
      </c>
      <c r="X931" s="193">
        <f>'Buildings - Grid Electricity'!O483</f>
        <v>0</v>
      </c>
      <c r="Y931" s="193">
        <f>'Buildings - Grid Electricity'!P483</f>
        <v>0</v>
      </c>
      <c r="Z931" s="193" t="str">
        <f>'Buildings - Grid Electricity'!Q483</f>
        <v/>
      </c>
      <c r="AA931" s="193" t="str">
        <f>'Buildings - Grid Electricity'!R483</f>
        <v/>
      </c>
      <c r="AB931" s="193" t="str">
        <f>'Buildings - Grid Electricity'!S483</f>
        <v/>
      </c>
      <c r="AC931" s="193" t="str">
        <f>'Buildings - Grid Electricity'!T483</f>
        <v/>
      </c>
      <c r="AD931" s="193" t="str">
        <f>'Buildings - Grid Electricity'!U483</f>
        <v/>
      </c>
      <c r="AE931" s="193" t="str">
        <f>'Buildings - Grid Electricity'!V483</f>
        <v/>
      </c>
      <c r="AF931" s="193" t="str">
        <f>'Buildings - Grid Electricity'!W483</f>
        <v/>
      </c>
      <c r="AG931" s="193" t="str">
        <f>'Buildings - Grid Electricity'!X483</f>
        <v/>
      </c>
      <c r="AI931" s="193">
        <f t="shared" si="18"/>
        <v>0</v>
      </c>
      <c r="AJ931" s="193">
        <f t="shared" si="19"/>
        <v>0</v>
      </c>
    </row>
    <row r="932" spans="2:36" x14ac:dyDescent="0.35">
      <c r="B932" s="193" t="e">
        <f>"2024"&amp;MATCH(Totals!D932,OrgType,0)&amp;"_"&amp;MATCH(Totals!E932,Organisations,0)&amp;"_"&amp;LEFT(Totals!F932,1)&amp;"_"&amp;LEFT(G932,1)&amp;"_"&amp;COUNTIF($G$3:G932,G932)</f>
        <v>#N/A</v>
      </c>
      <c r="C932" s="193">
        <v>2025</v>
      </c>
      <c r="D932" s="193">
        <f>Introduction!$D$7</f>
        <v>0</v>
      </c>
      <c r="E932" s="193">
        <f>Introduction!$D$8</f>
        <v>0</v>
      </c>
      <c r="F932" s="193" t="s">
        <v>488</v>
      </c>
      <c r="G932" s="193" t="s">
        <v>171</v>
      </c>
      <c r="H932" s="193">
        <f>'Buildings - Grid Electricity'!B484</f>
        <v>0</v>
      </c>
      <c r="I932" s="193">
        <f>'Buildings - Grid Electricity'!C484</f>
        <v>0</v>
      </c>
      <c r="J932" s="193" t="str">
        <f>'Buildings - Grid Electricity'!D484</f>
        <v/>
      </c>
      <c r="K932" s="237"/>
      <c r="L932" s="237"/>
      <c r="M932" s="193" t="str">
        <f>'Buildings - Grid Electricity'!E484</f>
        <v/>
      </c>
      <c r="N932" s="193" t="str">
        <f>'Buildings - Grid Electricity'!F484</f>
        <v/>
      </c>
      <c r="O932" s="237"/>
      <c r="P932" s="193">
        <f>'Buildings - Grid Electricity'!G484</f>
        <v>0</v>
      </c>
      <c r="Q932" s="193" t="str">
        <f>'Buildings - Grid Electricity'!H484</f>
        <v/>
      </c>
      <c r="R932" s="193">
        <f>'Buildings - Grid Electricity'!I484</f>
        <v>0</v>
      </c>
      <c r="S932" s="193" t="str">
        <f>'Buildings - Grid Electricity'!J484</f>
        <v/>
      </c>
      <c r="T932" s="193" t="str">
        <f>'Buildings - Grid Electricity'!K484</f>
        <v/>
      </c>
      <c r="U932" s="193" t="str">
        <f>'Buildings - Grid Electricity'!L484</f>
        <v/>
      </c>
      <c r="V932" s="193" t="str">
        <f>'Buildings - Grid Electricity'!M484</f>
        <v/>
      </c>
      <c r="W932" s="193" t="str">
        <f>'Buildings - Grid Electricity'!N484</f>
        <v/>
      </c>
      <c r="X932" s="193">
        <f>'Buildings - Grid Electricity'!O484</f>
        <v>0</v>
      </c>
      <c r="Y932" s="193">
        <f>'Buildings - Grid Electricity'!P484</f>
        <v>0</v>
      </c>
      <c r="Z932" s="193" t="str">
        <f>'Buildings - Grid Electricity'!Q484</f>
        <v/>
      </c>
      <c r="AA932" s="193" t="str">
        <f>'Buildings - Grid Electricity'!R484</f>
        <v/>
      </c>
      <c r="AB932" s="193" t="str">
        <f>'Buildings - Grid Electricity'!S484</f>
        <v/>
      </c>
      <c r="AC932" s="193" t="str">
        <f>'Buildings - Grid Electricity'!T484</f>
        <v/>
      </c>
      <c r="AD932" s="193" t="str">
        <f>'Buildings - Grid Electricity'!U484</f>
        <v/>
      </c>
      <c r="AE932" s="193" t="str">
        <f>'Buildings - Grid Electricity'!V484</f>
        <v/>
      </c>
      <c r="AF932" s="193" t="str">
        <f>'Buildings - Grid Electricity'!W484</f>
        <v/>
      </c>
      <c r="AG932" s="193" t="str">
        <f>'Buildings - Grid Electricity'!X484</f>
        <v/>
      </c>
      <c r="AI932" s="193">
        <f t="shared" si="18"/>
        <v>0</v>
      </c>
      <c r="AJ932" s="193">
        <f t="shared" si="19"/>
        <v>0</v>
      </c>
    </row>
    <row r="933" spans="2:36" x14ac:dyDescent="0.35">
      <c r="B933" s="193" t="e">
        <f>"2024"&amp;MATCH(Totals!D933,OrgType,0)&amp;"_"&amp;MATCH(Totals!E933,Organisations,0)&amp;"_"&amp;LEFT(Totals!F933,1)&amp;"_"&amp;LEFT(G933,1)&amp;"_"&amp;COUNTIF($G$3:G933,G933)</f>
        <v>#N/A</v>
      </c>
      <c r="C933" s="193">
        <v>2025</v>
      </c>
      <c r="D933" s="193">
        <f>Introduction!$D$7</f>
        <v>0</v>
      </c>
      <c r="E933" s="193">
        <f>Introduction!$D$8</f>
        <v>0</v>
      </c>
      <c r="F933" s="193" t="s">
        <v>488</v>
      </c>
      <c r="G933" s="193" t="s">
        <v>171</v>
      </c>
      <c r="H933" s="193">
        <f>'Buildings - Grid Electricity'!B485</f>
        <v>0</v>
      </c>
      <c r="I933" s="193">
        <f>'Buildings - Grid Electricity'!C485</f>
        <v>0</v>
      </c>
      <c r="J933" s="193" t="str">
        <f>'Buildings - Grid Electricity'!D485</f>
        <v/>
      </c>
      <c r="K933" s="237"/>
      <c r="L933" s="237"/>
      <c r="M933" s="193" t="str">
        <f>'Buildings - Grid Electricity'!E485</f>
        <v/>
      </c>
      <c r="N933" s="193" t="str">
        <f>'Buildings - Grid Electricity'!F485</f>
        <v/>
      </c>
      <c r="O933" s="237"/>
      <c r="P933" s="193">
        <f>'Buildings - Grid Electricity'!G485</f>
        <v>0</v>
      </c>
      <c r="Q933" s="193" t="str">
        <f>'Buildings - Grid Electricity'!H485</f>
        <v/>
      </c>
      <c r="R933" s="193">
        <f>'Buildings - Grid Electricity'!I485</f>
        <v>0</v>
      </c>
      <c r="S933" s="193" t="str">
        <f>'Buildings - Grid Electricity'!J485</f>
        <v/>
      </c>
      <c r="T933" s="193" t="str">
        <f>'Buildings - Grid Electricity'!K485</f>
        <v/>
      </c>
      <c r="U933" s="193" t="str">
        <f>'Buildings - Grid Electricity'!L485</f>
        <v/>
      </c>
      <c r="V933" s="193" t="str">
        <f>'Buildings - Grid Electricity'!M485</f>
        <v/>
      </c>
      <c r="W933" s="193" t="str">
        <f>'Buildings - Grid Electricity'!N485</f>
        <v/>
      </c>
      <c r="X933" s="193">
        <f>'Buildings - Grid Electricity'!O485</f>
        <v>0</v>
      </c>
      <c r="Y933" s="193">
        <f>'Buildings - Grid Electricity'!P485</f>
        <v>0</v>
      </c>
      <c r="Z933" s="193" t="str">
        <f>'Buildings - Grid Electricity'!Q485</f>
        <v/>
      </c>
      <c r="AA933" s="193" t="str">
        <f>'Buildings - Grid Electricity'!R485</f>
        <v/>
      </c>
      <c r="AB933" s="193" t="str">
        <f>'Buildings - Grid Electricity'!S485</f>
        <v/>
      </c>
      <c r="AC933" s="193" t="str">
        <f>'Buildings - Grid Electricity'!T485</f>
        <v/>
      </c>
      <c r="AD933" s="193" t="str">
        <f>'Buildings - Grid Electricity'!U485</f>
        <v/>
      </c>
      <c r="AE933" s="193" t="str">
        <f>'Buildings - Grid Electricity'!V485</f>
        <v/>
      </c>
      <c r="AF933" s="193" t="str">
        <f>'Buildings - Grid Electricity'!W485</f>
        <v/>
      </c>
      <c r="AG933" s="193" t="str">
        <f>'Buildings - Grid Electricity'!X485</f>
        <v/>
      </c>
      <c r="AI933" s="193">
        <f t="shared" si="18"/>
        <v>0</v>
      </c>
      <c r="AJ933" s="193">
        <f t="shared" si="19"/>
        <v>0</v>
      </c>
    </row>
    <row r="934" spans="2:36" x14ac:dyDescent="0.35">
      <c r="B934" s="193" t="e">
        <f>"2024"&amp;MATCH(Totals!D934,OrgType,0)&amp;"_"&amp;MATCH(Totals!E934,Organisations,0)&amp;"_"&amp;LEFT(Totals!F934,1)&amp;"_"&amp;LEFT(G934,1)&amp;"_"&amp;COUNTIF($G$3:G934,G934)</f>
        <v>#N/A</v>
      </c>
      <c r="C934" s="193">
        <v>2025</v>
      </c>
      <c r="D934" s="193">
        <f>Introduction!$D$7</f>
        <v>0</v>
      </c>
      <c r="E934" s="193">
        <f>Introduction!$D$8</f>
        <v>0</v>
      </c>
      <c r="F934" s="193" t="s">
        <v>488</v>
      </c>
      <c r="G934" s="193" t="s">
        <v>171</v>
      </c>
      <c r="H934" s="193">
        <f>'Buildings - Grid Electricity'!B486</f>
        <v>0</v>
      </c>
      <c r="I934" s="193">
        <f>'Buildings - Grid Electricity'!C486</f>
        <v>0</v>
      </c>
      <c r="J934" s="193" t="str">
        <f>'Buildings - Grid Electricity'!D486</f>
        <v/>
      </c>
      <c r="K934" s="237"/>
      <c r="L934" s="237"/>
      <c r="M934" s="193" t="str">
        <f>'Buildings - Grid Electricity'!E486</f>
        <v/>
      </c>
      <c r="N934" s="193" t="str">
        <f>'Buildings - Grid Electricity'!F486</f>
        <v/>
      </c>
      <c r="O934" s="237"/>
      <c r="P934" s="193">
        <f>'Buildings - Grid Electricity'!G486</f>
        <v>0</v>
      </c>
      <c r="Q934" s="193" t="str">
        <f>'Buildings - Grid Electricity'!H486</f>
        <v/>
      </c>
      <c r="R934" s="193">
        <f>'Buildings - Grid Electricity'!I486</f>
        <v>0</v>
      </c>
      <c r="S934" s="193" t="str">
        <f>'Buildings - Grid Electricity'!J486</f>
        <v/>
      </c>
      <c r="T934" s="193" t="str">
        <f>'Buildings - Grid Electricity'!K486</f>
        <v/>
      </c>
      <c r="U934" s="193" t="str">
        <f>'Buildings - Grid Electricity'!L486</f>
        <v/>
      </c>
      <c r="V934" s="193" t="str">
        <f>'Buildings - Grid Electricity'!M486</f>
        <v/>
      </c>
      <c r="W934" s="193" t="str">
        <f>'Buildings - Grid Electricity'!N486</f>
        <v/>
      </c>
      <c r="X934" s="193">
        <f>'Buildings - Grid Electricity'!O486</f>
        <v>0</v>
      </c>
      <c r="Y934" s="193">
        <f>'Buildings - Grid Electricity'!P486</f>
        <v>0</v>
      </c>
      <c r="Z934" s="193" t="str">
        <f>'Buildings - Grid Electricity'!Q486</f>
        <v/>
      </c>
      <c r="AA934" s="193" t="str">
        <f>'Buildings - Grid Electricity'!R486</f>
        <v/>
      </c>
      <c r="AB934" s="193" t="str">
        <f>'Buildings - Grid Electricity'!S486</f>
        <v/>
      </c>
      <c r="AC934" s="193" t="str">
        <f>'Buildings - Grid Electricity'!T486</f>
        <v/>
      </c>
      <c r="AD934" s="193" t="str">
        <f>'Buildings - Grid Electricity'!U486</f>
        <v/>
      </c>
      <c r="AE934" s="193" t="str">
        <f>'Buildings - Grid Electricity'!V486</f>
        <v/>
      </c>
      <c r="AF934" s="193" t="str">
        <f>'Buildings - Grid Electricity'!W486</f>
        <v/>
      </c>
      <c r="AG934" s="193" t="str">
        <f>'Buildings - Grid Electricity'!X486</f>
        <v/>
      </c>
      <c r="AI934" s="193">
        <f t="shared" si="18"/>
        <v>0</v>
      </c>
      <c r="AJ934" s="193">
        <f t="shared" si="19"/>
        <v>0</v>
      </c>
    </row>
    <row r="935" spans="2:36" x14ac:dyDescent="0.35">
      <c r="B935" s="193" t="e">
        <f>"2024"&amp;MATCH(Totals!D935,OrgType,0)&amp;"_"&amp;MATCH(Totals!E935,Organisations,0)&amp;"_"&amp;LEFT(Totals!F935,1)&amp;"_"&amp;LEFT(G935,1)&amp;"_"&amp;COUNTIF($G$3:G935,G935)</f>
        <v>#N/A</v>
      </c>
      <c r="C935" s="193">
        <v>2025</v>
      </c>
      <c r="D935" s="193">
        <f>Introduction!$D$7</f>
        <v>0</v>
      </c>
      <c r="E935" s="193">
        <f>Introduction!$D$8</f>
        <v>0</v>
      </c>
      <c r="F935" s="193" t="s">
        <v>488</v>
      </c>
      <c r="G935" s="193" t="s">
        <v>171</v>
      </c>
      <c r="H935" s="193">
        <f>'Buildings - Grid Electricity'!B487</f>
        <v>0</v>
      </c>
      <c r="I935" s="193">
        <f>'Buildings - Grid Electricity'!C487</f>
        <v>0</v>
      </c>
      <c r="J935" s="193" t="str">
        <f>'Buildings - Grid Electricity'!D487</f>
        <v/>
      </c>
      <c r="K935" s="237"/>
      <c r="L935" s="237"/>
      <c r="M935" s="193" t="str">
        <f>'Buildings - Grid Electricity'!E487</f>
        <v/>
      </c>
      <c r="N935" s="193" t="str">
        <f>'Buildings - Grid Electricity'!F487</f>
        <v/>
      </c>
      <c r="O935" s="237"/>
      <c r="P935" s="193">
        <f>'Buildings - Grid Electricity'!G487</f>
        <v>0</v>
      </c>
      <c r="Q935" s="193" t="str">
        <f>'Buildings - Grid Electricity'!H487</f>
        <v/>
      </c>
      <c r="R935" s="193">
        <f>'Buildings - Grid Electricity'!I487</f>
        <v>0</v>
      </c>
      <c r="S935" s="193" t="str">
        <f>'Buildings - Grid Electricity'!J487</f>
        <v/>
      </c>
      <c r="T935" s="193" t="str">
        <f>'Buildings - Grid Electricity'!K487</f>
        <v/>
      </c>
      <c r="U935" s="193" t="str">
        <f>'Buildings - Grid Electricity'!L487</f>
        <v/>
      </c>
      <c r="V935" s="193" t="str">
        <f>'Buildings - Grid Electricity'!M487</f>
        <v/>
      </c>
      <c r="W935" s="193" t="str">
        <f>'Buildings - Grid Electricity'!N487</f>
        <v/>
      </c>
      <c r="X935" s="193">
        <f>'Buildings - Grid Electricity'!O487</f>
        <v>0</v>
      </c>
      <c r="Y935" s="193">
        <f>'Buildings - Grid Electricity'!P487</f>
        <v>0</v>
      </c>
      <c r="Z935" s="193" t="str">
        <f>'Buildings - Grid Electricity'!Q487</f>
        <v/>
      </c>
      <c r="AA935" s="193" t="str">
        <f>'Buildings - Grid Electricity'!R487</f>
        <v/>
      </c>
      <c r="AB935" s="193" t="str">
        <f>'Buildings - Grid Electricity'!S487</f>
        <v/>
      </c>
      <c r="AC935" s="193" t="str">
        <f>'Buildings - Grid Electricity'!T487</f>
        <v/>
      </c>
      <c r="AD935" s="193" t="str">
        <f>'Buildings - Grid Electricity'!U487</f>
        <v/>
      </c>
      <c r="AE935" s="193" t="str">
        <f>'Buildings - Grid Electricity'!V487</f>
        <v/>
      </c>
      <c r="AF935" s="193" t="str">
        <f>'Buildings - Grid Electricity'!W487</f>
        <v/>
      </c>
      <c r="AG935" s="193" t="str">
        <f>'Buildings - Grid Electricity'!X487</f>
        <v/>
      </c>
      <c r="AI935" s="193">
        <f t="shared" si="18"/>
        <v>0</v>
      </c>
      <c r="AJ935" s="193">
        <f t="shared" si="19"/>
        <v>0</v>
      </c>
    </row>
    <row r="936" spans="2:36" x14ac:dyDescent="0.35">
      <c r="B936" s="193" t="e">
        <f>"2024"&amp;MATCH(Totals!D936,OrgType,0)&amp;"_"&amp;MATCH(Totals!E936,Organisations,0)&amp;"_"&amp;LEFT(Totals!F936,1)&amp;"_"&amp;LEFT(G936,1)&amp;"_"&amp;COUNTIF($G$3:G936,G936)</f>
        <v>#N/A</v>
      </c>
      <c r="C936" s="193">
        <v>2025</v>
      </c>
      <c r="D936" s="193">
        <f>Introduction!$D$7</f>
        <v>0</v>
      </c>
      <c r="E936" s="193">
        <f>Introduction!$D$8</f>
        <v>0</v>
      </c>
      <c r="F936" s="193" t="s">
        <v>488</v>
      </c>
      <c r="G936" s="193" t="s">
        <v>171</v>
      </c>
      <c r="H936" s="193">
        <f>'Buildings - Grid Electricity'!B488</f>
        <v>0</v>
      </c>
      <c r="I936" s="193">
        <f>'Buildings - Grid Electricity'!C488</f>
        <v>0</v>
      </c>
      <c r="J936" s="193" t="str">
        <f>'Buildings - Grid Electricity'!D488</f>
        <v/>
      </c>
      <c r="K936" s="237"/>
      <c r="L936" s="237"/>
      <c r="M936" s="193" t="str">
        <f>'Buildings - Grid Electricity'!E488</f>
        <v/>
      </c>
      <c r="N936" s="193" t="str">
        <f>'Buildings - Grid Electricity'!F488</f>
        <v/>
      </c>
      <c r="O936" s="237"/>
      <c r="P936" s="193">
        <f>'Buildings - Grid Electricity'!G488</f>
        <v>0</v>
      </c>
      <c r="Q936" s="193" t="str">
        <f>'Buildings - Grid Electricity'!H488</f>
        <v/>
      </c>
      <c r="R936" s="193">
        <f>'Buildings - Grid Electricity'!I488</f>
        <v>0</v>
      </c>
      <c r="S936" s="193" t="str">
        <f>'Buildings - Grid Electricity'!J488</f>
        <v/>
      </c>
      <c r="T936" s="193" t="str">
        <f>'Buildings - Grid Electricity'!K488</f>
        <v/>
      </c>
      <c r="U936" s="193" t="str">
        <f>'Buildings - Grid Electricity'!L488</f>
        <v/>
      </c>
      <c r="V936" s="193" t="str">
        <f>'Buildings - Grid Electricity'!M488</f>
        <v/>
      </c>
      <c r="W936" s="193" t="str">
        <f>'Buildings - Grid Electricity'!N488</f>
        <v/>
      </c>
      <c r="X936" s="193">
        <f>'Buildings - Grid Electricity'!O488</f>
        <v>0</v>
      </c>
      <c r="Y936" s="193">
        <f>'Buildings - Grid Electricity'!P488</f>
        <v>0</v>
      </c>
      <c r="Z936" s="193" t="str">
        <f>'Buildings - Grid Electricity'!Q488</f>
        <v/>
      </c>
      <c r="AA936" s="193" t="str">
        <f>'Buildings - Grid Electricity'!R488</f>
        <v/>
      </c>
      <c r="AB936" s="193" t="str">
        <f>'Buildings - Grid Electricity'!S488</f>
        <v/>
      </c>
      <c r="AC936" s="193" t="str">
        <f>'Buildings - Grid Electricity'!T488</f>
        <v/>
      </c>
      <c r="AD936" s="193" t="str">
        <f>'Buildings - Grid Electricity'!U488</f>
        <v/>
      </c>
      <c r="AE936" s="193" t="str">
        <f>'Buildings - Grid Electricity'!V488</f>
        <v/>
      </c>
      <c r="AF936" s="193" t="str">
        <f>'Buildings - Grid Electricity'!W488</f>
        <v/>
      </c>
      <c r="AG936" s="193" t="str">
        <f>'Buildings - Grid Electricity'!X488</f>
        <v/>
      </c>
      <c r="AI936" s="193">
        <f t="shared" si="18"/>
        <v>0</v>
      </c>
      <c r="AJ936" s="193">
        <f t="shared" si="19"/>
        <v>0</v>
      </c>
    </row>
    <row r="937" spans="2:36" x14ac:dyDescent="0.35">
      <c r="B937" s="193" t="e">
        <f>"2024"&amp;MATCH(Totals!D937,OrgType,0)&amp;"_"&amp;MATCH(Totals!E937,Organisations,0)&amp;"_"&amp;LEFT(Totals!F937,1)&amp;"_"&amp;LEFT(G937,1)&amp;"_"&amp;COUNTIF($G$3:G937,G937)</f>
        <v>#N/A</v>
      </c>
      <c r="C937" s="193">
        <v>2025</v>
      </c>
      <c r="D937" s="193">
        <f>Introduction!$D$7</f>
        <v>0</v>
      </c>
      <c r="E937" s="193">
        <f>Introduction!$D$8</f>
        <v>0</v>
      </c>
      <c r="F937" s="193" t="s">
        <v>488</v>
      </c>
      <c r="G937" s="193" t="s">
        <v>171</v>
      </c>
      <c r="H937" s="193">
        <f>'Buildings - Grid Electricity'!B489</f>
        <v>0</v>
      </c>
      <c r="I937" s="193">
        <f>'Buildings - Grid Electricity'!C489</f>
        <v>0</v>
      </c>
      <c r="J937" s="193" t="str">
        <f>'Buildings - Grid Electricity'!D489</f>
        <v/>
      </c>
      <c r="K937" s="237"/>
      <c r="L937" s="237"/>
      <c r="M937" s="193" t="str">
        <f>'Buildings - Grid Electricity'!E489</f>
        <v/>
      </c>
      <c r="N937" s="193" t="str">
        <f>'Buildings - Grid Electricity'!F489</f>
        <v/>
      </c>
      <c r="O937" s="237"/>
      <c r="P937" s="193">
        <f>'Buildings - Grid Electricity'!G489</f>
        <v>0</v>
      </c>
      <c r="Q937" s="193" t="str">
        <f>'Buildings - Grid Electricity'!H489</f>
        <v/>
      </c>
      <c r="R937" s="193">
        <f>'Buildings - Grid Electricity'!I489</f>
        <v>0</v>
      </c>
      <c r="S937" s="193" t="str">
        <f>'Buildings - Grid Electricity'!J489</f>
        <v/>
      </c>
      <c r="T937" s="193" t="str">
        <f>'Buildings - Grid Electricity'!K489</f>
        <v/>
      </c>
      <c r="U937" s="193" t="str">
        <f>'Buildings - Grid Electricity'!L489</f>
        <v/>
      </c>
      <c r="V937" s="193" t="str">
        <f>'Buildings - Grid Electricity'!M489</f>
        <v/>
      </c>
      <c r="W937" s="193" t="str">
        <f>'Buildings - Grid Electricity'!N489</f>
        <v/>
      </c>
      <c r="X937" s="193">
        <f>'Buildings - Grid Electricity'!O489</f>
        <v>0</v>
      </c>
      <c r="Y937" s="193">
        <f>'Buildings - Grid Electricity'!P489</f>
        <v>0</v>
      </c>
      <c r="Z937" s="193" t="str">
        <f>'Buildings - Grid Electricity'!Q489</f>
        <v/>
      </c>
      <c r="AA937" s="193" t="str">
        <f>'Buildings - Grid Electricity'!R489</f>
        <v/>
      </c>
      <c r="AB937" s="193" t="str">
        <f>'Buildings - Grid Electricity'!S489</f>
        <v/>
      </c>
      <c r="AC937" s="193" t="str">
        <f>'Buildings - Grid Electricity'!T489</f>
        <v/>
      </c>
      <c r="AD937" s="193" t="str">
        <f>'Buildings - Grid Electricity'!U489</f>
        <v/>
      </c>
      <c r="AE937" s="193" t="str">
        <f>'Buildings - Grid Electricity'!V489</f>
        <v/>
      </c>
      <c r="AF937" s="193" t="str">
        <f>'Buildings - Grid Electricity'!W489</f>
        <v/>
      </c>
      <c r="AG937" s="193" t="str">
        <f>'Buildings - Grid Electricity'!X489</f>
        <v/>
      </c>
      <c r="AI937" s="193">
        <f t="shared" si="18"/>
        <v>0</v>
      </c>
      <c r="AJ937" s="193">
        <f t="shared" si="19"/>
        <v>0</v>
      </c>
    </row>
    <row r="938" spans="2:36" x14ac:dyDescent="0.35">
      <c r="B938" s="193" t="e">
        <f>"2024"&amp;MATCH(Totals!D938,OrgType,0)&amp;"_"&amp;MATCH(Totals!E938,Organisations,0)&amp;"_"&amp;LEFT(Totals!F938,1)&amp;"_"&amp;LEFT(G938,1)&amp;"_"&amp;COUNTIF($G$3:G938,G938)</f>
        <v>#N/A</v>
      </c>
      <c r="C938" s="193">
        <v>2025</v>
      </c>
      <c r="D938" s="193">
        <f>Introduction!$D$7</f>
        <v>0</v>
      </c>
      <c r="E938" s="193">
        <f>Introduction!$D$8</f>
        <v>0</v>
      </c>
      <c r="F938" s="193" t="s">
        <v>488</v>
      </c>
      <c r="G938" s="193" t="s">
        <v>171</v>
      </c>
      <c r="H938" s="193">
        <f>'Buildings - Grid Electricity'!B490</f>
        <v>0</v>
      </c>
      <c r="I938" s="193">
        <f>'Buildings - Grid Electricity'!C490</f>
        <v>0</v>
      </c>
      <c r="J938" s="193" t="str">
        <f>'Buildings - Grid Electricity'!D490</f>
        <v/>
      </c>
      <c r="K938" s="237"/>
      <c r="L938" s="237"/>
      <c r="M938" s="193" t="str">
        <f>'Buildings - Grid Electricity'!E490</f>
        <v/>
      </c>
      <c r="N938" s="193" t="str">
        <f>'Buildings - Grid Electricity'!F490</f>
        <v/>
      </c>
      <c r="O938" s="237"/>
      <c r="P938" s="193">
        <f>'Buildings - Grid Electricity'!G490</f>
        <v>0</v>
      </c>
      <c r="Q938" s="193" t="str">
        <f>'Buildings - Grid Electricity'!H490</f>
        <v/>
      </c>
      <c r="R938" s="193">
        <f>'Buildings - Grid Electricity'!I490</f>
        <v>0</v>
      </c>
      <c r="S938" s="193" t="str">
        <f>'Buildings - Grid Electricity'!J490</f>
        <v/>
      </c>
      <c r="T938" s="193" t="str">
        <f>'Buildings - Grid Electricity'!K490</f>
        <v/>
      </c>
      <c r="U938" s="193" t="str">
        <f>'Buildings - Grid Electricity'!L490</f>
        <v/>
      </c>
      <c r="V938" s="193" t="str">
        <f>'Buildings - Grid Electricity'!M490</f>
        <v/>
      </c>
      <c r="W938" s="193" t="str">
        <f>'Buildings - Grid Electricity'!N490</f>
        <v/>
      </c>
      <c r="X938" s="193">
        <f>'Buildings - Grid Electricity'!O490</f>
        <v>0</v>
      </c>
      <c r="Y938" s="193">
        <f>'Buildings - Grid Electricity'!P490</f>
        <v>0</v>
      </c>
      <c r="Z938" s="193" t="str">
        <f>'Buildings - Grid Electricity'!Q490</f>
        <v/>
      </c>
      <c r="AA938" s="193" t="str">
        <f>'Buildings - Grid Electricity'!R490</f>
        <v/>
      </c>
      <c r="AB938" s="193" t="str">
        <f>'Buildings - Grid Electricity'!S490</f>
        <v/>
      </c>
      <c r="AC938" s="193" t="str">
        <f>'Buildings - Grid Electricity'!T490</f>
        <v/>
      </c>
      <c r="AD938" s="193" t="str">
        <f>'Buildings - Grid Electricity'!U490</f>
        <v/>
      </c>
      <c r="AE938" s="193" t="str">
        <f>'Buildings - Grid Electricity'!V490</f>
        <v/>
      </c>
      <c r="AF938" s="193" t="str">
        <f>'Buildings - Grid Electricity'!W490</f>
        <v/>
      </c>
      <c r="AG938" s="193" t="str">
        <f>'Buildings - Grid Electricity'!X490</f>
        <v/>
      </c>
      <c r="AI938" s="193">
        <f t="shared" si="18"/>
        <v>0</v>
      </c>
      <c r="AJ938" s="193">
        <f t="shared" si="19"/>
        <v>0</v>
      </c>
    </row>
    <row r="939" spans="2:36" x14ac:dyDescent="0.35">
      <c r="B939" s="193" t="e">
        <f>"2024"&amp;MATCH(Totals!D939,OrgType,0)&amp;"_"&amp;MATCH(Totals!E939,Organisations,0)&amp;"_"&amp;LEFT(Totals!F939,1)&amp;"_"&amp;LEFT(G939,1)&amp;"_"&amp;COUNTIF($G$3:G939,G939)</f>
        <v>#N/A</v>
      </c>
      <c r="C939" s="193">
        <v>2025</v>
      </c>
      <c r="D939" s="193">
        <f>Introduction!$D$7</f>
        <v>0</v>
      </c>
      <c r="E939" s="193">
        <f>Introduction!$D$8</f>
        <v>0</v>
      </c>
      <c r="F939" s="193" t="s">
        <v>488</v>
      </c>
      <c r="G939" s="193" t="s">
        <v>171</v>
      </c>
      <c r="H939" s="193">
        <f>'Buildings - Grid Electricity'!B491</f>
        <v>0</v>
      </c>
      <c r="I939" s="193">
        <f>'Buildings - Grid Electricity'!C491</f>
        <v>0</v>
      </c>
      <c r="J939" s="193" t="str">
        <f>'Buildings - Grid Electricity'!D491</f>
        <v/>
      </c>
      <c r="K939" s="237"/>
      <c r="L939" s="237"/>
      <c r="M939" s="193" t="str">
        <f>'Buildings - Grid Electricity'!E491</f>
        <v/>
      </c>
      <c r="N939" s="193" t="str">
        <f>'Buildings - Grid Electricity'!F491</f>
        <v/>
      </c>
      <c r="O939" s="237"/>
      <c r="P939" s="193">
        <f>'Buildings - Grid Electricity'!G491</f>
        <v>0</v>
      </c>
      <c r="Q939" s="193" t="str">
        <f>'Buildings - Grid Electricity'!H491</f>
        <v/>
      </c>
      <c r="R939" s="193">
        <f>'Buildings - Grid Electricity'!I491</f>
        <v>0</v>
      </c>
      <c r="S939" s="193" t="str">
        <f>'Buildings - Grid Electricity'!J491</f>
        <v/>
      </c>
      <c r="T939" s="193" t="str">
        <f>'Buildings - Grid Electricity'!K491</f>
        <v/>
      </c>
      <c r="U939" s="193" t="str">
        <f>'Buildings - Grid Electricity'!L491</f>
        <v/>
      </c>
      <c r="V939" s="193" t="str">
        <f>'Buildings - Grid Electricity'!M491</f>
        <v/>
      </c>
      <c r="W939" s="193" t="str">
        <f>'Buildings - Grid Electricity'!N491</f>
        <v/>
      </c>
      <c r="X939" s="193">
        <f>'Buildings - Grid Electricity'!O491</f>
        <v>0</v>
      </c>
      <c r="Y939" s="193">
        <f>'Buildings - Grid Electricity'!P491</f>
        <v>0</v>
      </c>
      <c r="Z939" s="193" t="str">
        <f>'Buildings - Grid Electricity'!Q491</f>
        <v/>
      </c>
      <c r="AA939" s="193" t="str">
        <f>'Buildings - Grid Electricity'!R491</f>
        <v/>
      </c>
      <c r="AB939" s="193" t="str">
        <f>'Buildings - Grid Electricity'!S491</f>
        <v/>
      </c>
      <c r="AC939" s="193" t="str">
        <f>'Buildings - Grid Electricity'!T491</f>
        <v/>
      </c>
      <c r="AD939" s="193" t="str">
        <f>'Buildings - Grid Electricity'!U491</f>
        <v/>
      </c>
      <c r="AE939" s="193" t="str">
        <f>'Buildings - Grid Electricity'!V491</f>
        <v/>
      </c>
      <c r="AF939" s="193" t="str">
        <f>'Buildings - Grid Electricity'!W491</f>
        <v/>
      </c>
      <c r="AG939" s="193" t="str">
        <f>'Buildings - Grid Electricity'!X491</f>
        <v/>
      </c>
      <c r="AI939" s="193">
        <f t="shared" si="18"/>
        <v>0</v>
      </c>
      <c r="AJ939" s="193">
        <f t="shared" si="19"/>
        <v>0</v>
      </c>
    </row>
    <row r="940" spans="2:36" x14ac:dyDescent="0.35">
      <c r="B940" s="193" t="e">
        <f>"2024"&amp;MATCH(Totals!D940,OrgType,0)&amp;"_"&amp;MATCH(Totals!E940,Organisations,0)&amp;"_"&amp;LEFT(Totals!F940,1)&amp;"_"&amp;LEFT(G940,1)&amp;"_"&amp;COUNTIF($G$3:G940,G940)</f>
        <v>#N/A</v>
      </c>
      <c r="C940" s="193">
        <v>2025</v>
      </c>
      <c r="D940" s="193">
        <f>Introduction!$D$7</f>
        <v>0</v>
      </c>
      <c r="E940" s="193">
        <f>Introduction!$D$8</f>
        <v>0</v>
      </c>
      <c r="F940" s="193" t="s">
        <v>488</v>
      </c>
      <c r="G940" s="193" t="s">
        <v>171</v>
      </c>
      <c r="H940" s="193">
        <f>'Buildings - Grid Electricity'!B492</f>
        <v>0</v>
      </c>
      <c r="I940" s="193">
        <f>'Buildings - Grid Electricity'!C492</f>
        <v>0</v>
      </c>
      <c r="J940" s="193" t="str">
        <f>'Buildings - Grid Electricity'!D492</f>
        <v/>
      </c>
      <c r="K940" s="237"/>
      <c r="L940" s="237"/>
      <c r="M940" s="193" t="str">
        <f>'Buildings - Grid Electricity'!E492</f>
        <v/>
      </c>
      <c r="N940" s="193" t="str">
        <f>'Buildings - Grid Electricity'!F492</f>
        <v/>
      </c>
      <c r="O940" s="237"/>
      <c r="P940" s="193">
        <f>'Buildings - Grid Electricity'!G492</f>
        <v>0</v>
      </c>
      <c r="Q940" s="193" t="str">
        <f>'Buildings - Grid Electricity'!H492</f>
        <v/>
      </c>
      <c r="R940" s="193">
        <f>'Buildings - Grid Electricity'!I492</f>
        <v>0</v>
      </c>
      <c r="S940" s="193" t="str">
        <f>'Buildings - Grid Electricity'!J492</f>
        <v/>
      </c>
      <c r="T940" s="193" t="str">
        <f>'Buildings - Grid Electricity'!K492</f>
        <v/>
      </c>
      <c r="U940" s="193" t="str">
        <f>'Buildings - Grid Electricity'!L492</f>
        <v/>
      </c>
      <c r="V940" s="193" t="str">
        <f>'Buildings - Grid Electricity'!M492</f>
        <v/>
      </c>
      <c r="W940" s="193" t="str">
        <f>'Buildings - Grid Electricity'!N492</f>
        <v/>
      </c>
      <c r="X940" s="193">
        <f>'Buildings - Grid Electricity'!O492</f>
        <v>0</v>
      </c>
      <c r="Y940" s="193">
        <f>'Buildings - Grid Electricity'!P492</f>
        <v>0</v>
      </c>
      <c r="Z940" s="193" t="str">
        <f>'Buildings - Grid Electricity'!Q492</f>
        <v/>
      </c>
      <c r="AA940" s="193" t="str">
        <f>'Buildings - Grid Electricity'!R492</f>
        <v/>
      </c>
      <c r="AB940" s="193" t="str">
        <f>'Buildings - Grid Electricity'!S492</f>
        <v/>
      </c>
      <c r="AC940" s="193" t="str">
        <f>'Buildings - Grid Electricity'!T492</f>
        <v/>
      </c>
      <c r="AD940" s="193" t="str">
        <f>'Buildings - Grid Electricity'!U492</f>
        <v/>
      </c>
      <c r="AE940" s="193" t="str">
        <f>'Buildings - Grid Electricity'!V492</f>
        <v/>
      </c>
      <c r="AF940" s="193" t="str">
        <f>'Buildings - Grid Electricity'!W492</f>
        <v/>
      </c>
      <c r="AG940" s="193" t="str">
        <f>'Buildings - Grid Electricity'!X492</f>
        <v/>
      </c>
      <c r="AI940" s="193">
        <f t="shared" si="18"/>
        <v>0</v>
      </c>
      <c r="AJ940" s="193">
        <f t="shared" si="19"/>
        <v>0</v>
      </c>
    </row>
    <row r="941" spans="2:36" x14ac:dyDescent="0.35">
      <c r="B941" s="193" t="e">
        <f>"2024"&amp;MATCH(Totals!D941,OrgType,0)&amp;"_"&amp;MATCH(Totals!E941,Organisations,0)&amp;"_"&amp;LEFT(Totals!F941,1)&amp;"_"&amp;LEFT(G941,1)&amp;"_"&amp;COUNTIF($G$3:G941,G941)</f>
        <v>#N/A</v>
      </c>
      <c r="C941" s="193">
        <v>2025</v>
      </c>
      <c r="D941" s="193">
        <f>Introduction!$D$7</f>
        <v>0</v>
      </c>
      <c r="E941" s="193">
        <f>Introduction!$D$8</f>
        <v>0</v>
      </c>
      <c r="F941" s="193" t="s">
        <v>488</v>
      </c>
      <c r="G941" s="193" t="s">
        <v>171</v>
      </c>
      <c r="H941" s="193">
        <f>'Buildings - Grid Electricity'!B493</f>
        <v>0</v>
      </c>
      <c r="I941" s="193">
        <f>'Buildings - Grid Electricity'!C493</f>
        <v>0</v>
      </c>
      <c r="J941" s="193" t="str">
        <f>'Buildings - Grid Electricity'!D493</f>
        <v/>
      </c>
      <c r="K941" s="237"/>
      <c r="L941" s="237"/>
      <c r="M941" s="193" t="str">
        <f>'Buildings - Grid Electricity'!E493</f>
        <v/>
      </c>
      <c r="N941" s="193" t="str">
        <f>'Buildings - Grid Electricity'!F493</f>
        <v/>
      </c>
      <c r="O941" s="237"/>
      <c r="P941" s="193">
        <f>'Buildings - Grid Electricity'!G493</f>
        <v>0</v>
      </c>
      <c r="Q941" s="193" t="str">
        <f>'Buildings - Grid Electricity'!H493</f>
        <v/>
      </c>
      <c r="R941" s="193">
        <f>'Buildings - Grid Electricity'!I493</f>
        <v>0</v>
      </c>
      <c r="S941" s="193" t="str">
        <f>'Buildings - Grid Electricity'!J493</f>
        <v/>
      </c>
      <c r="T941" s="193" t="str">
        <f>'Buildings - Grid Electricity'!K493</f>
        <v/>
      </c>
      <c r="U941" s="193" t="str">
        <f>'Buildings - Grid Electricity'!L493</f>
        <v/>
      </c>
      <c r="V941" s="193" t="str">
        <f>'Buildings - Grid Electricity'!M493</f>
        <v/>
      </c>
      <c r="W941" s="193" t="str">
        <f>'Buildings - Grid Electricity'!N493</f>
        <v/>
      </c>
      <c r="X941" s="193">
        <f>'Buildings - Grid Electricity'!O493</f>
        <v>0</v>
      </c>
      <c r="Y941" s="193">
        <f>'Buildings - Grid Electricity'!P493</f>
        <v>0</v>
      </c>
      <c r="Z941" s="193" t="str">
        <f>'Buildings - Grid Electricity'!Q493</f>
        <v/>
      </c>
      <c r="AA941" s="193" t="str">
        <f>'Buildings - Grid Electricity'!R493</f>
        <v/>
      </c>
      <c r="AB941" s="193" t="str">
        <f>'Buildings - Grid Electricity'!S493</f>
        <v/>
      </c>
      <c r="AC941" s="193" t="str">
        <f>'Buildings - Grid Electricity'!T493</f>
        <v/>
      </c>
      <c r="AD941" s="193" t="str">
        <f>'Buildings - Grid Electricity'!U493</f>
        <v/>
      </c>
      <c r="AE941" s="193" t="str">
        <f>'Buildings - Grid Electricity'!V493</f>
        <v/>
      </c>
      <c r="AF941" s="193" t="str">
        <f>'Buildings - Grid Electricity'!W493</f>
        <v/>
      </c>
      <c r="AG941" s="193" t="str">
        <f>'Buildings - Grid Electricity'!X493</f>
        <v/>
      </c>
      <c r="AI941" s="193">
        <f t="shared" si="18"/>
        <v>0</v>
      </c>
      <c r="AJ941" s="193">
        <f t="shared" si="19"/>
        <v>0</v>
      </c>
    </row>
    <row r="942" spans="2:36" x14ac:dyDescent="0.35">
      <c r="B942" s="193" t="e">
        <f>"2024"&amp;MATCH(Totals!D942,OrgType,0)&amp;"_"&amp;MATCH(Totals!E942,Organisations,0)&amp;"_"&amp;LEFT(Totals!F942,1)&amp;"_"&amp;LEFT(G942,1)&amp;"_"&amp;COUNTIF($G$3:G942,G942)</f>
        <v>#N/A</v>
      </c>
      <c r="C942" s="193">
        <v>2025</v>
      </c>
      <c r="D942" s="193">
        <f>Introduction!$D$7</f>
        <v>0</v>
      </c>
      <c r="E942" s="193">
        <f>Introduction!$D$8</f>
        <v>0</v>
      </c>
      <c r="F942" s="193" t="s">
        <v>488</v>
      </c>
      <c r="G942" s="193" t="s">
        <v>171</v>
      </c>
      <c r="H942" s="193">
        <f>'Buildings - Grid Electricity'!B494</f>
        <v>0</v>
      </c>
      <c r="I942" s="193">
        <f>'Buildings - Grid Electricity'!C494</f>
        <v>0</v>
      </c>
      <c r="J942" s="193" t="str">
        <f>'Buildings - Grid Electricity'!D494</f>
        <v/>
      </c>
      <c r="K942" s="237"/>
      <c r="L942" s="237"/>
      <c r="M942" s="193" t="str">
        <f>'Buildings - Grid Electricity'!E494</f>
        <v/>
      </c>
      <c r="N942" s="193" t="str">
        <f>'Buildings - Grid Electricity'!F494</f>
        <v/>
      </c>
      <c r="O942" s="237"/>
      <c r="P942" s="193">
        <f>'Buildings - Grid Electricity'!G494</f>
        <v>0</v>
      </c>
      <c r="Q942" s="193" t="str">
        <f>'Buildings - Grid Electricity'!H494</f>
        <v/>
      </c>
      <c r="R942" s="193">
        <f>'Buildings - Grid Electricity'!I494</f>
        <v>0</v>
      </c>
      <c r="S942" s="193" t="str">
        <f>'Buildings - Grid Electricity'!J494</f>
        <v/>
      </c>
      <c r="T942" s="193" t="str">
        <f>'Buildings - Grid Electricity'!K494</f>
        <v/>
      </c>
      <c r="U942" s="193" t="str">
        <f>'Buildings - Grid Electricity'!L494</f>
        <v/>
      </c>
      <c r="V942" s="193" t="str">
        <f>'Buildings - Grid Electricity'!M494</f>
        <v/>
      </c>
      <c r="W942" s="193" t="str">
        <f>'Buildings - Grid Electricity'!N494</f>
        <v/>
      </c>
      <c r="X942" s="193">
        <f>'Buildings - Grid Electricity'!O494</f>
        <v>0</v>
      </c>
      <c r="Y942" s="193">
        <f>'Buildings - Grid Electricity'!P494</f>
        <v>0</v>
      </c>
      <c r="Z942" s="193" t="str">
        <f>'Buildings - Grid Electricity'!Q494</f>
        <v/>
      </c>
      <c r="AA942" s="193" t="str">
        <f>'Buildings - Grid Electricity'!R494</f>
        <v/>
      </c>
      <c r="AB942" s="193" t="str">
        <f>'Buildings - Grid Electricity'!S494</f>
        <v/>
      </c>
      <c r="AC942" s="193" t="str">
        <f>'Buildings - Grid Electricity'!T494</f>
        <v/>
      </c>
      <c r="AD942" s="193" t="str">
        <f>'Buildings - Grid Electricity'!U494</f>
        <v/>
      </c>
      <c r="AE942" s="193" t="str">
        <f>'Buildings - Grid Electricity'!V494</f>
        <v/>
      </c>
      <c r="AF942" s="193" t="str">
        <f>'Buildings - Grid Electricity'!W494</f>
        <v/>
      </c>
      <c r="AG942" s="193" t="str">
        <f>'Buildings - Grid Electricity'!X494</f>
        <v/>
      </c>
      <c r="AI942" s="193">
        <f t="shared" si="18"/>
        <v>0</v>
      </c>
      <c r="AJ942" s="193">
        <f t="shared" si="19"/>
        <v>0</v>
      </c>
    </row>
    <row r="943" spans="2:36" x14ac:dyDescent="0.35">
      <c r="B943" s="193" t="e">
        <f>"2024"&amp;MATCH(Totals!D943,OrgType,0)&amp;"_"&amp;MATCH(Totals!E943,Organisations,0)&amp;"_"&amp;LEFT(Totals!F943,1)&amp;"_"&amp;LEFT(G943,1)&amp;"_"&amp;COUNTIF($G$3:G943,G943)</f>
        <v>#N/A</v>
      </c>
      <c r="C943" s="193">
        <v>2025</v>
      </c>
      <c r="D943" s="193">
        <f>Introduction!$D$7</f>
        <v>0</v>
      </c>
      <c r="E943" s="193">
        <f>Introduction!$D$8</f>
        <v>0</v>
      </c>
      <c r="F943" s="193" t="s">
        <v>488</v>
      </c>
      <c r="G943" s="193" t="s">
        <v>171</v>
      </c>
      <c r="H943" s="193">
        <f>'Buildings - Grid Electricity'!B495</f>
        <v>0</v>
      </c>
      <c r="I943" s="193">
        <f>'Buildings - Grid Electricity'!C495</f>
        <v>0</v>
      </c>
      <c r="J943" s="193" t="str">
        <f>'Buildings - Grid Electricity'!D495</f>
        <v/>
      </c>
      <c r="K943" s="237"/>
      <c r="L943" s="237"/>
      <c r="M943" s="193" t="str">
        <f>'Buildings - Grid Electricity'!E495</f>
        <v/>
      </c>
      <c r="N943" s="193" t="str">
        <f>'Buildings - Grid Electricity'!F495</f>
        <v/>
      </c>
      <c r="O943" s="237"/>
      <c r="P943" s="193">
        <f>'Buildings - Grid Electricity'!G495</f>
        <v>0</v>
      </c>
      <c r="Q943" s="193" t="str">
        <f>'Buildings - Grid Electricity'!H495</f>
        <v/>
      </c>
      <c r="R943" s="193">
        <f>'Buildings - Grid Electricity'!I495</f>
        <v>0</v>
      </c>
      <c r="S943" s="193" t="str">
        <f>'Buildings - Grid Electricity'!J495</f>
        <v/>
      </c>
      <c r="T943" s="193" t="str">
        <f>'Buildings - Grid Electricity'!K495</f>
        <v/>
      </c>
      <c r="U943" s="193" t="str">
        <f>'Buildings - Grid Electricity'!L495</f>
        <v/>
      </c>
      <c r="V943" s="193" t="str">
        <f>'Buildings - Grid Electricity'!M495</f>
        <v/>
      </c>
      <c r="W943" s="193" t="str">
        <f>'Buildings - Grid Electricity'!N495</f>
        <v/>
      </c>
      <c r="X943" s="193">
        <f>'Buildings - Grid Electricity'!O495</f>
        <v>0</v>
      </c>
      <c r="Y943" s="193">
        <f>'Buildings - Grid Electricity'!P495</f>
        <v>0</v>
      </c>
      <c r="Z943" s="193" t="str">
        <f>'Buildings - Grid Electricity'!Q495</f>
        <v/>
      </c>
      <c r="AA943" s="193" t="str">
        <f>'Buildings - Grid Electricity'!R495</f>
        <v/>
      </c>
      <c r="AB943" s="193" t="str">
        <f>'Buildings - Grid Electricity'!S495</f>
        <v/>
      </c>
      <c r="AC943" s="193" t="str">
        <f>'Buildings - Grid Electricity'!T495</f>
        <v/>
      </c>
      <c r="AD943" s="193" t="str">
        <f>'Buildings - Grid Electricity'!U495</f>
        <v/>
      </c>
      <c r="AE943" s="193" t="str">
        <f>'Buildings - Grid Electricity'!V495</f>
        <v/>
      </c>
      <c r="AF943" s="193" t="str">
        <f>'Buildings - Grid Electricity'!W495</f>
        <v/>
      </c>
      <c r="AG943" s="193" t="str">
        <f>'Buildings - Grid Electricity'!X495</f>
        <v/>
      </c>
      <c r="AI943" s="193">
        <f t="shared" si="18"/>
        <v>0</v>
      </c>
      <c r="AJ943" s="193">
        <f t="shared" si="19"/>
        <v>0</v>
      </c>
    </row>
    <row r="944" spans="2:36" x14ac:dyDescent="0.35">
      <c r="B944" s="193" t="e">
        <f>"2024"&amp;MATCH(Totals!D944,OrgType,0)&amp;"_"&amp;MATCH(Totals!E944,Organisations,0)&amp;"_"&amp;LEFT(Totals!F944,1)&amp;"_"&amp;LEFT(G944,1)&amp;"_"&amp;COUNTIF($G$3:G944,G944)</f>
        <v>#N/A</v>
      </c>
      <c r="C944" s="193">
        <v>2025</v>
      </c>
      <c r="D944" s="193">
        <f>Introduction!$D$7</f>
        <v>0</v>
      </c>
      <c r="E944" s="193">
        <f>Introduction!$D$8</f>
        <v>0</v>
      </c>
      <c r="F944" s="193" t="s">
        <v>488</v>
      </c>
      <c r="G944" s="193" t="s">
        <v>171</v>
      </c>
      <c r="H944" s="193">
        <f>'Buildings - Grid Electricity'!B496</f>
        <v>0</v>
      </c>
      <c r="I944" s="193">
        <f>'Buildings - Grid Electricity'!C496</f>
        <v>0</v>
      </c>
      <c r="J944" s="193" t="str">
        <f>'Buildings - Grid Electricity'!D496</f>
        <v/>
      </c>
      <c r="K944" s="237"/>
      <c r="L944" s="237"/>
      <c r="M944" s="193" t="str">
        <f>'Buildings - Grid Electricity'!E496</f>
        <v/>
      </c>
      <c r="N944" s="193" t="str">
        <f>'Buildings - Grid Electricity'!F496</f>
        <v/>
      </c>
      <c r="O944" s="237"/>
      <c r="P944" s="193">
        <f>'Buildings - Grid Electricity'!G496</f>
        <v>0</v>
      </c>
      <c r="Q944" s="193" t="str">
        <f>'Buildings - Grid Electricity'!H496</f>
        <v/>
      </c>
      <c r="R944" s="193">
        <f>'Buildings - Grid Electricity'!I496</f>
        <v>0</v>
      </c>
      <c r="S944" s="193" t="str">
        <f>'Buildings - Grid Electricity'!J496</f>
        <v/>
      </c>
      <c r="T944" s="193" t="str">
        <f>'Buildings - Grid Electricity'!K496</f>
        <v/>
      </c>
      <c r="U944" s="193" t="str">
        <f>'Buildings - Grid Electricity'!L496</f>
        <v/>
      </c>
      <c r="V944" s="193" t="str">
        <f>'Buildings - Grid Electricity'!M496</f>
        <v/>
      </c>
      <c r="W944" s="193" t="str">
        <f>'Buildings - Grid Electricity'!N496</f>
        <v/>
      </c>
      <c r="X944" s="193">
        <f>'Buildings - Grid Electricity'!O496</f>
        <v>0</v>
      </c>
      <c r="Y944" s="193">
        <f>'Buildings - Grid Electricity'!P496</f>
        <v>0</v>
      </c>
      <c r="Z944" s="193" t="str">
        <f>'Buildings - Grid Electricity'!Q496</f>
        <v/>
      </c>
      <c r="AA944" s="193" t="str">
        <f>'Buildings - Grid Electricity'!R496</f>
        <v/>
      </c>
      <c r="AB944" s="193" t="str">
        <f>'Buildings - Grid Electricity'!S496</f>
        <v/>
      </c>
      <c r="AC944" s="193" t="str">
        <f>'Buildings - Grid Electricity'!T496</f>
        <v/>
      </c>
      <c r="AD944" s="193" t="str">
        <f>'Buildings - Grid Electricity'!U496</f>
        <v/>
      </c>
      <c r="AE944" s="193" t="str">
        <f>'Buildings - Grid Electricity'!V496</f>
        <v/>
      </c>
      <c r="AF944" s="193" t="str">
        <f>'Buildings - Grid Electricity'!W496</f>
        <v/>
      </c>
      <c r="AG944" s="193" t="str">
        <f>'Buildings - Grid Electricity'!X496</f>
        <v/>
      </c>
      <c r="AI944" s="193">
        <f t="shared" si="18"/>
        <v>0</v>
      </c>
      <c r="AJ944" s="193">
        <f t="shared" si="19"/>
        <v>0</v>
      </c>
    </row>
    <row r="945" spans="2:36" x14ac:dyDescent="0.35">
      <c r="B945" s="193" t="e">
        <f>"2024"&amp;MATCH(Totals!D945,OrgType,0)&amp;"_"&amp;MATCH(Totals!E945,Organisations,0)&amp;"_"&amp;LEFT(Totals!F945,1)&amp;"_"&amp;LEFT(G945,1)&amp;"_"&amp;COUNTIF($G$3:G945,G945)</f>
        <v>#N/A</v>
      </c>
      <c r="C945" s="193">
        <v>2025</v>
      </c>
      <c r="D945" s="193">
        <f>Introduction!$D$7</f>
        <v>0</v>
      </c>
      <c r="E945" s="193">
        <f>Introduction!$D$8</f>
        <v>0</v>
      </c>
      <c r="F945" s="193" t="s">
        <v>488</v>
      </c>
      <c r="G945" s="193" t="s">
        <v>171</v>
      </c>
      <c r="H945" s="193">
        <f>'Buildings - Grid Electricity'!B497</f>
        <v>0</v>
      </c>
      <c r="I945" s="193">
        <f>'Buildings - Grid Electricity'!C497</f>
        <v>0</v>
      </c>
      <c r="J945" s="193" t="str">
        <f>'Buildings - Grid Electricity'!D497</f>
        <v/>
      </c>
      <c r="K945" s="237"/>
      <c r="L945" s="237"/>
      <c r="M945" s="193" t="str">
        <f>'Buildings - Grid Electricity'!E497</f>
        <v/>
      </c>
      <c r="N945" s="193" t="str">
        <f>'Buildings - Grid Electricity'!F497</f>
        <v/>
      </c>
      <c r="O945" s="237"/>
      <c r="P945" s="193">
        <f>'Buildings - Grid Electricity'!G497</f>
        <v>0</v>
      </c>
      <c r="Q945" s="193" t="str">
        <f>'Buildings - Grid Electricity'!H497</f>
        <v/>
      </c>
      <c r="R945" s="193">
        <f>'Buildings - Grid Electricity'!I497</f>
        <v>0</v>
      </c>
      <c r="S945" s="193" t="str">
        <f>'Buildings - Grid Electricity'!J497</f>
        <v/>
      </c>
      <c r="T945" s="193" t="str">
        <f>'Buildings - Grid Electricity'!K497</f>
        <v/>
      </c>
      <c r="U945" s="193" t="str">
        <f>'Buildings - Grid Electricity'!L497</f>
        <v/>
      </c>
      <c r="V945" s="193" t="str">
        <f>'Buildings - Grid Electricity'!M497</f>
        <v/>
      </c>
      <c r="W945" s="193" t="str">
        <f>'Buildings - Grid Electricity'!N497</f>
        <v/>
      </c>
      <c r="X945" s="193">
        <f>'Buildings - Grid Electricity'!O497</f>
        <v>0</v>
      </c>
      <c r="Y945" s="193">
        <f>'Buildings - Grid Electricity'!P497</f>
        <v>0</v>
      </c>
      <c r="Z945" s="193" t="str">
        <f>'Buildings - Grid Electricity'!Q497</f>
        <v/>
      </c>
      <c r="AA945" s="193" t="str">
        <f>'Buildings - Grid Electricity'!R497</f>
        <v/>
      </c>
      <c r="AB945" s="193" t="str">
        <f>'Buildings - Grid Electricity'!S497</f>
        <v/>
      </c>
      <c r="AC945" s="193" t="str">
        <f>'Buildings - Grid Electricity'!T497</f>
        <v/>
      </c>
      <c r="AD945" s="193" t="str">
        <f>'Buildings - Grid Electricity'!U497</f>
        <v/>
      </c>
      <c r="AE945" s="193" t="str">
        <f>'Buildings - Grid Electricity'!V497</f>
        <v/>
      </c>
      <c r="AF945" s="193" t="str">
        <f>'Buildings - Grid Electricity'!W497</f>
        <v/>
      </c>
      <c r="AG945" s="193" t="str">
        <f>'Buildings - Grid Electricity'!X497</f>
        <v/>
      </c>
      <c r="AI945" s="193">
        <f t="shared" si="18"/>
        <v>0</v>
      </c>
      <c r="AJ945" s="193">
        <f t="shared" si="19"/>
        <v>0</v>
      </c>
    </row>
    <row r="946" spans="2:36" x14ac:dyDescent="0.35">
      <c r="B946" s="193" t="e">
        <f>"2024"&amp;MATCH(Totals!D946,OrgType,0)&amp;"_"&amp;MATCH(Totals!E946,Organisations,0)&amp;"_"&amp;LEFT(Totals!F946,1)&amp;"_"&amp;LEFT(G946,1)&amp;"_"&amp;COUNTIF($G$3:G946,G946)</f>
        <v>#N/A</v>
      </c>
      <c r="C946" s="193">
        <v>2025</v>
      </c>
      <c r="D946" s="193">
        <f>Introduction!$D$7</f>
        <v>0</v>
      </c>
      <c r="E946" s="193">
        <f>Introduction!$D$8</f>
        <v>0</v>
      </c>
      <c r="F946" s="193" t="s">
        <v>488</v>
      </c>
      <c r="G946" s="193" t="s">
        <v>171</v>
      </c>
      <c r="H946" s="193">
        <f>'Buildings - Grid Electricity'!B498</f>
        <v>0</v>
      </c>
      <c r="I946" s="193">
        <f>'Buildings - Grid Electricity'!C498</f>
        <v>0</v>
      </c>
      <c r="J946" s="193" t="str">
        <f>'Buildings - Grid Electricity'!D498</f>
        <v/>
      </c>
      <c r="K946" s="237"/>
      <c r="L946" s="237"/>
      <c r="M946" s="193" t="str">
        <f>'Buildings - Grid Electricity'!E498</f>
        <v/>
      </c>
      <c r="N946" s="193" t="str">
        <f>'Buildings - Grid Electricity'!F498</f>
        <v/>
      </c>
      <c r="O946" s="237"/>
      <c r="P946" s="193">
        <f>'Buildings - Grid Electricity'!G498</f>
        <v>0</v>
      </c>
      <c r="Q946" s="193" t="str">
        <f>'Buildings - Grid Electricity'!H498</f>
        <v/>
      </c>
      <c r="R946" s="193">
        <f>'Buildings - Grid Electricity'!I498</f>
        <v>0</v>
      </c>
      <c r="S946" s="193" t="str">
        <f>'Buildings - Grid Electricity'!J498</f>
        <v/>
      </c>
      <c r="T946" s="193" t="str">
        <f>'Buildings - Grid Electricity'!K498</f>
        <v/>
      </c>
      <c r="U946" s="193" t="str">
        <f>'Buildings - Grid Electricity'!L498</f>
        <v/>
      </c>
      <c r="V946" s="193" t="str">
        <f>'Buildings - Grid Electricity'!M498</f>
        <v/>
      </c>
      <c r="W946" s="193" t="str">
        <f>'Buildings - Grid Electricity'!N498</f>
        <v/>
      </c>
      <c r="X946" s="193">
        <f>'Buildings - Grid Electricity'!O498</f>
        <v>0</v>
      </c>
      <c r="Y946" s="193">
        <f>'Buildings - Grid Electricity'!P498</f>
        <v>0</v>
      </c>
      <c r="Z946" s="193" t="str">
        <f>'Buildings - Grid Electricity'!Q498</f>
        <v/>
      </c>
      <c r="AA946" s="193" t="str">
        <f>'Buildings - Grid Electricity'!R498</f>
        <v/>
      </c>
      <c r="AB946" s="193" t="str">
        <f>'Buildings - Grid Electricity'!S498</f>
        <v/>
      </c>
      <c r="AC946" s="193" t="str">
        <f>'Buildings - Grid Electricity'!T498</f>
        <v/>
      </c>
      <c r="AD946" s="193" t="str">
        <f>'Buildings - Grid Electricity'!U498</f>
        <v/>
      </c>
      <c r="AE946" s="193" t="str">
        <f>'Buildings - Grid Electricity'!V498</f>
        <v/>
      </c>
      <c r="AF946" s="193" t="str">
        <f>'Buildings - Grid Electricity'!W498</f>
        <v/>
      </c>
      <c r="AG946" s="193" t="str">
        <f>'Buildings - Grid Electricity'!X498</f>
        <v/>
      </c>
      <c r="AI946" s="193">
        <f t="shared" si="18"/>
        <v>0</v>
      </c>
      <c r="AJ946" s="193">
        <f t="shared" si="19"/>
        <v>0</v>
      </c>
    </row>
    <row r="947" spans="2:36" x14ac:dyDescent="0.35">
      <c r="B947" s="193" t="e">
        <f>"2024"&amp;MATCH(Totals!D947,OrgType,0)&amp;"_"&amp;MATCH(Totals!E947,Organisations,0)&amp;"_"&amp;LEFT(Totals!F947,1)&amp;"_"&amp;LEFT(G947,1)&amp;"_"&amp;COUNTIF($G$3:G947,G947)</f>
        <v>#N/A</v>
      </c>
      <c r="C947" s="193">
        <v>2025</v>
      </c>
      <c r="D947" s="193">
        <f>Introduction!$D$7</f>
        <v>0</v>
      </c>
      <c r="E947" s="193">
        <f>Introduction!$D$8</f>
        <v>0</v>
      </c>
      <c r="F947" s="193" t="s">
        <v>488</v>
      </c>
      <c r="G947" s="193" t="s">
        <v>171</v>
      </c>
      <c r="H947" s="193">
        <f>'Buildings - Grid Electricity'!B499</f>
        <v>0</v>
      </c>
      <c r="I947" s="193">
        <f>'Buildings - Grid Electricity'!C499</f>
        <v>0</v>
      </c>
      <c r="J947" s="193" t="str">
        <f>'Buildings - Grid Electricity'!D499</f>
        <v/>
      </c>
      <c r="K947" s="237"/>
      <c r="L947" s="237"/>
      <c r="M947" s="193" t="str">
        <f>'Buildings - Grid Electricity'!E499</f>
        <v/>
      </c>
      <c r="N947" s="193" t="str">
        <f>'Buildings - Grid Electricity'!F499</f>
        <v/>
      </c>
      <c r="O947" s="237"/>
      <c r="P947" s="193">
        <f>'Buildings - Grid Electricity'!G499</f>
        <v>0</v>
      </c>
      <c r="Q947" s="193" t="str">
        <f>'Buildings - Grid Electricity'!H499</f>
        <v/>
      </c>
      <c r="R947" s="193">
        <f>'Buildings - Grid Electricity'!I499</f>
        <v>0</v>
      </c>
      <c r="S947" s="193" t="str">
        <f>'Buildings - Grid Electricity'!J499</f>
        <v/>
      </c>
      <c r="T947" s="193" t="str">
        <f>'Buildings - Grid Electricity'!K499</f>
        <v/>
      </c>
      <c r="U947" s="193" t="str">
        <f>'Buildings - Grid Electricity'!L499</f>
        <v/>
      </c>
      <c r="V947" s="193" t="str">
        <f>'Buildings - Grid Electricity'!M499</f>
        <v/>
      </c>
      <c r="W947" s="193" t="str">
        <f>'Buildings - Grid Electricity'!N499</f>
        <v/>
      </c>
      <c r="X947" s="193">
        <f>'Buildings - Grid Electricity'!O499</f>
        <v>0</v>
      </c>
      <c r="Y947" s="193">
        <f>'Buildings - Grid Electricity'!P499</f>
        <v>0</v>
      </c>
      <c r="Z947" s="193" t="str">
        <f>'Buildings - Grid Electricity'!Q499</f>
        <v/>
      </c>
      <c r="AA947" s="193" t="str">
        <f>'Buildings - Grid Electricity'!R499</f>
        <v/>
      </c>
      <c r="AB947" s="193" t="str">
        <f>'Buildings - Grid Electricity'!S499</f>
        <v/>
      </c>
      <c r="AC947" s="193" t="str">
        <f>'Buildings - Grid Electricity'!T499</f>
        <v/>
      </c>
      <c r="AD947" s="193" t="str">
        <f>'Buildings - Grid Electricity'!U499</f>
        <v/>
      </c>
      <c r="AE947" s="193" t="str">
        <f>'Buildings - Grid Electricity'!V499</f>
        <v/>
      </c>
      <c r="AF947" s="193" t="str">
        <f>'Buildings - Grid Electricity'!W499</f>
        <v/>
      </c>
      <c r="AG947" s="193" t="str">
        <f>'Buildings - Grid Electricity'!X499</f>
        <v/>
      </c>
      <c r="AI947" s="193">
        <f t="shared" si="18"/>
        <v>0</v>
      </c>
      <c r="AJ947" s="193">
        <f t="shared" si="19"/>
        <v>0</v>
      </c>
    </row>
    <row r="948" spans="2:36" x14ac:dyDescent="0.35">
      <c r="B948" s="193" t="e">
        <f>"2024"&amp;MATCH(Totals!D948,OrgType,0)&amp;"_"&amp;MATCH(Totals!E948,Organisations,0)&amp;"_"&amp;LEFT(Totals!F948,1)&amp;"_"&amp;LEFT(G948,1)&amp;"_"&amp;COUNTIF($G$3:G948,G948)</f>
        <v>#N/A</v>
      </c>
      <c r="C948" s="193">
        <v>2025</v>
      </c>
      <c r="D948" s="193">
        <f>Introduction!$D$7</f>
        <v>0</v>
      </c>
      <c r="E948" s="193">
        <f>Introduction!$D$8</f>
        <v>0</v>
      </c>
      <c r="F948" s="193" t="s">
        <v>488</v>
      </c>
      <c r="G948" s="193" t="s">
        <v>171</v>
      </c>
      <c r="H948" s="193">
        <f>'Buildings - Grid Electricity'!B500</f>
        <v>0</v>
      </c>
      <c r="I948" s="193">
        <f>'Buildings - Grid Electricity'!C500</f>
        <v>0</v>
      </c>
      <c r="J948" s="193" t="str">
        <f>'Buildings - Grid Electricity'!D500</f>
        <v/>
      </c>
      <c r="K948" s="237"/>
      <c r="L948" s="237"/>
      <c r="M948" s="193" t="str">
        <f>'Buildings - Grid Electricity'!E500</f>
        <v/>
      </c>
      <c r="N948" s="193" t="str">
        <f>'Buildings - Grid Electricity'!F500</f>
        <v/>
      </c>
      <c r="O948" s="237"/>
      <c r="P948" s="193">
        <f>'Buildings - Grid Electricity'!G500</f>
        <v>0</v>
      </c>
      <c r="Q948" s="193" t="str">
        <f>'Buildings - Grid Electricity'!H500</f>
        <v/>
      </c>
      <c r="R948" s="193">
        <f>'Buildings - Grid Electricity'!I500</f>
        <v>0</v>
      </c>
      <c r="S948" s="193" t="str">
        <f>'Buildings - Grid Electricity'!J500</f>
        <v/>
      </c>
      <c r="T948" s="193" t="str">
        <f>'Buildings - Grid Electricity'!K500</f>
        <v/>
      </c>
      <c r="U948" s="193" t="str">
        <f>'Buildings - Grid Electricity'!L500</f>
        <v/>
      </c>
      <c r="V948" s="193" t="str">
        <f>'Buildings - Grid Electricity'!M500</f>
        <v/>
      </c>
      <c r="W948" s="193" t="str">
        <f>'Buildings - Grid Electricity'!N500</f>
        <v/>
      </c>
      <c r="X948" s="193">
        <f>'Buildings - Grid Electricity'!O500</f>
        <v>0</v>
      </c>
      <c r="Y948" s="193">
        <f>'Buildings - Grid Electricity'!P500</f>
        <v>0</v>
      </c>
      <c r="Z948" s="193" t="str">
        <f>'Buildings - Grid Electricity'!Q500</f>
        <v/>
      </c>
      <c r="AA948" s="193" t="str">
        <f>'Buildings - Grid Electricity'!R500</f>
        <v/>
      </c>
      <c r="AB948" s="193" t="str">
        <f>'Buildings - Grid Electricity'!S500</f>
        <v/>
      </c>
      <c r="AC948" s="193" t="str">
        <f>'Buildings - Grid Electricity'!T500</f>
        <v/>
      </c>
      <c r="AD948" s="193" t="str">
        <f>'Buildings - Grid Electricity'!U500</f>
        <v/>
      </c>
      <c r="AE948" s="193" t="str">
        <f>'Buildings - Grid Electricity'!V500</f>
        <v/>
      </c>
      <c r="AF948" s="193" t="str">
        <f>'Buildings - Grid Electricity'!W500</f>
        <v/>
      </c>
      <c r="AG948" s="193" t="str">
        <f>'Buildings - Grid Electricity'!X500</f>
        <v/>
      </c>
      <c r="AI948" s="193">
        <f t="shared" si="18"/>
        <v>0</v>
      </c>
      <c r="AJ948" s="193">
        <f t="shared" si="19"/>
        <v>0</v>
      </c>
    </row>
    <row r="949" spans="2:36" x14ac:dyDescent="0.35">
      <c r="B949" s="193" t="e">
        <f>"2024"&amp;MATCH(Totals!D949,OrgType,0)&amp;"_"&amp;MATCH(Totals!E949,Organisations,0)&amp;"_"&amp;LEFT(Totals!F949,1)&amp;"_"&amp;LEFT(G949,1)&amp;"_"&amp;COUNTIF($G$3:G949,G949)</f>
        <v>#N/A</v>
      </c>
      <c r="C949" s="193">
        <v>2025</v>
      </c>
      <c r="D949" s="193">
        <f>Introduction!$D$7</f>
        <v>0</v>
      </c>
      <c r="E949" s="193">
        <f>Introduction!$D$8</f>
        <v>0</v>
      </c>
      <c r="F949" s="193" t="s">
        <v>488</v>
      </c>
      <c r="G949" s="193" t="s">
        <v>490</v>
      </c>
      <c r="H949" s="193">
        <f>'Buildings - Heat &amp; Fuels'!B7</f>
        <v>0</v>
      </c>
      <c r="I949" s="193">
        <f>'Buildings - Heat &amp; Fuels'!C7</f>
        <v>0</v>
      </c>
      <c r="J949" s="193" t="str">
        <f>'Buildings - Heat &amp; Fuels'!D7</f>
        <v/>
      </c>
      <c r="K949" s="237"/>
      <c r="L949" s="237"/>
      <c r="M949" s="193">
        <f>'Buildings - Heat &amp; Fuels'!E7</f>
        <v>0</v>
      </c>
      <c r="N949" s="193">
        <f>'Buildings - Heat &amp; Fuels'!F7</f>
        <v>0</v>
      </c>
      <c r="O949" s="237"/>
      <c r="P949" s="193">
        <f>'Buildings - Heat &amp; Fuels'!G7</f>
        <v>0</v>
      </c>
      <c r="Q949" s="193" t="str">
        <f>'Buildings - Heat &amp; Fuels'!H7</f>
        <v/>
      </c>
      <c r="R949" s="193">
        <f>'Buildings - Heat &amp; Fuels'!I7</f>
        <v>0</v>
      </c>
      <c r="S949" s="193">
        <f>'Buildings - Heat &amp; Fuels'!J7</f>
        <v>0</v>
      </c>
      <c r="T949" s="193" t="str">
        <f>'Buildings - Heat &amp; Fuels'!K7</f>
        <v/>
      </c>
      <c r="U949" s="193" t="str">
        <f>'Buildings - Heat &amp; Fuels'!L7</f>
        <v/>
      </c>
      <c r="V949" s="193" t="str">
        <f>'Buildings - Heat &amp; Fuels'!M7</f>
        <v/>
      </c>
      <c r="W949" s="193" t="str">
        <f>'Buildings - Heat &amp; Fuels'!N7</f>
        <v/>
      </c>
      <c r="X949" s="193">
        <f>'Buildings - Heat &amp; Fuels'!O7</f>
        <v>0</v>
      </c>
      <c r="Y949" s="193">
        <f>'Buildings - Heat &amp; Fuels'!P7</f>
        <v>0</v>
      </c>
      <c r="Z949" s="193" t="str">
        <f>'Buildings - Heat &amp; Fuels'!Q7</f>
        <v/>
      </c>
      <c r="AA949" s="193" t="str">
        <f>'Buildings - Heat &amp; Fuels'!R7</f>
        <v/>
      </c>
      <c r="AB949" s="193" t="str">
        <f>'Buildings - Heat &amp; Fuels'!S7</f>
        <v/>
      </c>
      <c r="AC949" s="193" t="str">
        <f>'Buildings - Heat &amp; Fuels'!T7</f>
        <v/>
      </c>
      <c r="AD949" s="193" t="str">
        <f>'Buildings - Heat &amp; Fuels'!U7</f>
        <v/>
      </c>
      <c r="AE949" s="193" t="str">
        <f>'Buildings - Heat &amp; Fuels'!V7</f>
        <v/>
      </c>
      <c r="AF949" s="193" t="str">
        <f>'Buildings - Heat &amp; Fuels'!W7</f>
        <v/>
      </c>
      <c r="AG949" s="193" t="str">
        <f>'Buildings - Heat &amp; Fuels'!X7</f>
        <v/>
      </c>
      <c r="AI949" s="193">
        <f t="shared" si="18"/>
        <v>0</v>
      </c>
      <c r="AJ949" s="193">
        <f t="shared" si="19"/>
        <v>0</v>
      </c>
    </row>
    <row r="950" spans="2:36" x14ac:dyDescent="0.35">
      <c r="B950" s="193" t="e">
        <f>"2024"&amp;MATCH(Totals!D950,OrgType,0)&amp;"_"&amp;MATCH(Totals!E950,Organisations,0)&amp;"_"&amp;LEFT(Totals!F950,1)&amp;"_"&amp;LEFT(G950,1)&amp;"_"&amp;COUNTIF($G$3:G950,G950)</f>
        <v>#N/A</v>
      </c>
      <c r="C950" s="193">
        <v>2025</v>
      </c>
      <c r="D950" s="193">
        <f>Introduction!$D$7</f>
        <v>0</v>
      </c>
      <c r="E950" s="193">
        <f>Introduction!$D$8</f>
        <v>0</v>
      </c>
      <c r="F950" s="193" t="s">
        <v>488</v>
      </c>
      <c r="G950" s="193" t="s">
        <v>490</v>
      </c>
      <c r="H950" s="193">
        <f>'Buildings - Heat &amp; Fuels'!B8</f>
        <v>0</v>
      </c>
      <c r="I950" s="193">
        <f>'Buildings - Heat &amp; Fuels'!C8</f>
        <v>0</v>
      </c>
      <c r="J950" s="193" t="str">
        <f>'Buildings - Heat &amp; Fuels'!D8</f>
        <v/>
      </c>
      <c r="K950" s="237"/>
      <c r="L950" s="237"/>
      <c r="M950" s="193">
        <f>'Buildings - Heat &amp; Fuels'!E8</f>
        <v>0</v>
      </c>
      <c r="N950" s="193">
        <f>'Buildings - Heat &amp; Fuels'!F8</f>
        <v>0</v>
      </c>
      <c r="O950" s="237"/>
      <c r="P950" s="193">
        <f>'Buildings - Heat &amp; Fuels'!G8</f>
        <v>0</v>
      </c>
      <c r="Q950" s="193" t="str">
        <f>'Buildings - Heat &amp; Fuels'!H8</f>
        <v/>
      </c>
      <c r="R950" s="193">
        <f>'Buildings - Heat &amp; Fuels'!I8</f>
        <v>0</v>
      </c>
      <c r="S950" s="193">
        <f>'Buildings - Heat &amp; Fuels'!J8</f>
        <v>0</v>
      </c>
      <c r="T950" s="193" t="str">
        <f>'Buildings - Heat &amp; Fuels'!K8</f>
        <v/>
      </c>
      <c r="U950" s="193" t="str">
        <f>'Buildings - Heat &amp; Fuels'!L8</f>
        <v/>
      </c>
      <c r="V950" s="193" t="str">
        <f>'Buildings - Heat &amp; Fuels'!M8</f>
        <v/>
      </c>
      <c r="W950" s="193" t="str">
        <f>'Buildings - Heat &amp; Fuels'!N8</f>
        <v/>
      </c>
      <c r="X950" s="193">
        <f>'Buildings - Heat &amp; Fuels'!O8</f>
        <v>0</v>
      </c>
      <c r="Y950" s="193">
        <f>'Buildings - Heat &amp; Fuels'!P8</f>
        <v>0</v>
      </c>
      <c r="Z950" s="193" t="str">
        <f>'Buildings - Heat &amp; Fuels'!Q8</f>
        <v/>
      </c>
      <c r="AA950" s="193" t="str">
        <f>'Buildings - Heat &amp; Fuels'!R8</f>
        <v/>
      </c>
      <c r="AB950" s="193" t="str">
        <f>'Buildings - Heat &amp; Fuels'!S8</f>
        <v/>
      </c>
      <c r="AC950" s="193" t="str">
        <f>'Buildings - Heat &amp; Fuels'!T8</f>
        <v/>
      </c>
      <c r="AD950" s="193" t="str">
        <f>'Buildings - Heat &amp; Fuels'!U8</f>
        <v/>
      </c>
      <c r="AE950" s="193" t="str">
        <f>'Buildings - Heat &amp; Fuels'!V8</f>
        <v/>
      </c>
      <c r="AF950" s="193" t="str">
        <f>'Buildings - Heat &amp; Fuels'!W8</f>
        <v/>
      </c>
      <c r="AG950" s="193" t="str">
        <f>'Buildings - Heat &amp; Fuels'!X8</f>
        <v/>
      </c>
      <c r="AI950" s="193">
        <f t="shared" si="18"/>
        <v>0</v>
      </c>
      <c r="AJ950" s="193">
        <f t="shared" si="19"/>
        <v>0</v>
      </c>
    </row>
    <row r="951" spans="2:36" x14ac:dyDescent="0.35">
      <c r="B951" s="193" t="e">
        <f>"2024"&amp;MATCH(Totals!D951,OrgType,0)&amp;"_"&amp;MATCH(Totals!E951,Organisations,0)&amp;"_"&amp;LEFT(Totals!F951,1)&amp;"_"&amp;LEFT(G951,1)&amp;"_"&amp;COUNTIF($G$3:G951,G951)</f>
        <v>#N/A</v>
      </c>
      <c r="C951" s="193">
        <v>2025</v>
      </c>
      <c r="D951" s="193">
        <f>Introduction!$D$7</f>
        <v>0</v>
      </c>
      <c r="E951" s="193">
        <f>Introduction!$D$8</f>
        <v>0</v>
      </c>
      <c r="F951" s="193" t="s">
        <v>488</v>
      </c>
      <c r="G951" s="193" t="s">
        <v>490</v>
      </c>
      <c r="H951" s="193">
        <f>'Buildings - Heat &amp; Fuels'!B9</f>
        <v>0</v>
      </c>
      <c r="I951" s="193">
        <f>'Buildings - Heat &amp; Fuels'!C9</f>
        <v>0</v>
      </c>
      <c r="J951" s="193" t="str">
        <f>'Buildings - Heat &amp; Fuels'!D9</f>
        <v/>
      </c>
      <c r="K951" s="237"/>
      <c r="L951" s="237"/>
      <c r="M951" s="193">
        <f>'Buildings - Heat &amp; Fuels'!E9</f>
        <v>0</v>
      </c>
      <c r="N951" s="193">
        <f>'Buildings - Heat &amp; Fuels'!F9</f>
        <v>0</v>
      </c>
      <c r="O951" s="237"/>
      <c r="P951" s="193">
        <f>'Buildings - Heat &amp; Fuels'!G9</f>
        <v>0</v>
      </c>
      <c r="Q951" s="193" t="str">
        <f>'Buildings - Heat &amp; Fuels'!H9</f>
        <v/>
      </c>
      <c r="R951" s="193">
        <f>'Buildings - Heat &amp; Fuels'!I9</f>
        <v>0</v>
      </c>
      <c r="S951" s="193">
        <f>'Buildings - Heat &amp; Fuels'!J9</f>
        <v>0</v>
      </c>
      <c r="T951" s="193" t="str">
        <f>'Buildings - Heat &amp; Fuels'!K9</f>
        <v/>
      </c>
      <c r="U951" s="193" t="str">
        <f>'Buildings - Heat &amp; Fuels'!L9</f>
        <v/>
      </c>
      <c r="V951" s="193" t="str">
        <f>'Buildings - Heat &amp; Fuels'!M9</f>
        <v/>
      </c>
      <c r="W951" s="193" t="str">
        <f>'Buildings - Heat &amp; Fuels'!N9</f>
        <v/>
      </c>
      <c r="X951" s="193">
        <f>'Buildings - Heat &amp; Fuels'!O9</f>
        <v>0</v>
      </c>
      <c r="Y951" s="193">
        <f>'Buildings - Heat &amp; Fuels'!P9</f>
        <v>0</v>
      </c>
      <c r="Z951" s="193" t="str">
        <f>'Buildings - Heat &amp; Fuels'!Q9</f>
        <v/>
      </c>
      <c r="AA951" s="193" t="str">
        <f>'Buildings - Heat &amp; Fuels'!R9</f>
        <v/>
      </c>
      <c r="AB951" s="193" t="str">
        <f>'Buildings - Heat &amp; Fuels'!S9</f>
        <v/>
      </c>
      <c r="AC951" s="193" t="str">
        <f>'Buildings - Heat &amp; Fuels'!T9</f>
        <v/>
      </c>
      <c r="AD951" s="193" t="str">
        <f>'Buildings - Heat &amp; Fuels'!U9</f>
        <v/>
      </c>
      <c r="AE951" s="193" t="str">
        <f>'Buildings - Heat &amp; Fuels'!V9</f>
        <v/>
      </c>
      <c r="AF951" s="193" t="str">
        <f>'Buildings - Heat &amp; Fuels'!W9</f>
        <v/>
      </c>
      <c r="AG951" s="193" t="str">
        <f>'Buildings - Heat &amp; Fuels'!X9</f>
        <v/>
      </c>
      <c r="AI951" s="193">
        <f t="shared" si="18"/>
        <v>0</v>
      </c>
      <c r="AJ951" s="193">
        <f t="shared" si="19"/>
        <v>0</v>
      </c>
    </row>
    <row r="952" spans="2:36" x14ac:dyDescent="0.35">
      <c r="B952" s="193" t="e">
        <f>"2024"&amp;MATCH(Totals!D952,OrgType,0)&amp;"_"&amp;MATCH(Totals!E952,Organisations,0)&amp;"_"&amp;LEFT(Totals!F952,1)&amp;"_"&amp;LEFT(G952,1)&amp;"_"&amp;COUNTIF($G$3:G952,G952)</f>
        <v>#N/A</v>
      </c>
      <c r="C952" s="193">
        <v>2025</v>
      </c>
      <c r="D952" s="193">
        <f>Introduction!$D$7</f>
        <v>0</v>
      </c>
      <c r="E952" s="193">
        <f>Introduction!$D$8</f>
        <v>0</v>
      </c>
      <c r="F952" s="193" t="s">
        <v>488</v>
      </c>
      <c r="G952" s="193" t="s">
        <v>490</v>
      </c>
      <c r="H952" s="193">
        <f>'Buildings - Heat &amp; Fuels'!B183</f>
        <v>0</v>
      </c>
      <c r="I952" s="193">
        <f>'Buildings - Heat &amp; Fuels'!C183</f>
        <v>0</v>
      </c>
      <c r="J952" s="193" t="str">
        <f>'Buildings - Heat &amp; Fuels'!D183</f>
        <v/>
      </c>
      <c r="K952" s="237"/>
      <c r="L952" s="237"/>
      <c r="M952" s="193">
        <f>'Buildings - Heat &amp; Fuels'!E183</f>
        <v>0</v>
      </c>
      <c r="N952" s="193">
        <f>'Buildings - Heat &amp; Fuels'!F183</f>
        <v>0</v>
      </c>
      <c r="O952" s="237"/>
      <c r="P952" s="193">
        <f>'Buildings - Heat &amp; Fuels'!G183</f>
        <v>0</v>
      </c>
      <c r="Q952" s="193" t="str">
        <f>'Buildings - Heat &amp; Fuels'!H183</f>
        <v/>
      </c>
      <c r="R952" s="193">
        <f>'Buildings - Heat &amp; Fuels'!I183</f>
        <v>0</v>
      </c>
      <c r="S952" s="193">
        <f>'Buildings - Heat &amp; Fuels'!J183</f>
        <v>0</v>
      </c>
      <c r="T952" s="193" t="str">
        <f>'Buildings - Heat &amp; Fuels'!K183</f>
        <v/>
      </c>
      <c r="U952" s="193" t="str">
        <f>'Buildings - Heat &amp; Fuels'!L183</f>
        <v/>
      </c>
      <c r="V952" s="193" t="str">
        <f>'Buildings - Heat &amp; Fuels'!M183</f>
        <v/>
      </c>
      <c r="W952" s="193" t="str">
        <f>'Buildings - Heat &amp; Fuels'!N183</f>
        <v/>
      </c>
      <c r="X952" s="193">
        <f>'Buildings - Heat &amp; Fuels'!O183</f>
        <v>0</v>
      </c>
      <c r="Y952" s="193">
        <f>'Buildings - Heat &amp; Fuels'!P183</f>
        <v>0</v>
      </c>
      <c r="Z952" s="193" t="str">
        <f>'Buildings - Heat &amp; Fuels'!Q183</f>
        <v/>
      </c>
      <c r="AA952" s="193" t="str">
        <f>'Buildings - Heat &amp; Fuels'!R183</f>
        <v/>
      </c>
      <c r="AB952" s="193" t="str">
        <f>'Buildings - Heat &amp; Fuels'!S183</f>
        <v/>
      </c>
      <c r="AC952" s="193" t="str">
        <f>'Buildings - Heat &amp; Fuels'!T183</f>
        <v/>
      </c>
      <c r="AD952" s="193" t="str">
        <f>'Buildings - Heat &amp; Fuels'!U183</f>
        <v/>
      </c>
      <c r="AE952" s="193" t="str">
        <f>'Buildings - Heat &amp; Fuels'!V183</f>
        <v/>
      </c>
      <c r="AF952" s="193" t="str">
        <f>'Buildings - Heat &amp; Fuels'!W183</f>
        <v/>
      </c>
      <c r="AG952" s="193" t="str">
        <f>'Buildings - Heat &amp; Fuels'!X183</f>
        <v/>
      </c>
      <c r="AI952" s="193">
        <f t="shared" si="18"/>
        <v>0</v>
      </c>
      <c r="AJ952" s="193">
        <f t="shared" si="19"/>
        <v>0</v>
      </c>
    </row>
    <row r="953" spans="2:36" x14ac:dyDescent="0.35">
      <c r="B953" s="193" t="e">
        <f>"2024"&amp;MATCH(Totals!D953,OrgType,0)&amp;"_"&amp;MATCH(Totals!E953,Organisations,0)&amp;"_"&amp;LEFT(Totals!F953,1)&amp;"_"&amp;LEFT(G953,1)&amp;"_"&amp;COUNTIF($G$3:G953,G953)</f>
        <v>#N/A</v>
      </c>
      <c r="C953" s="193">
        <v>2025</v>
      </c>
      <c r="D953" s="193">
        <f>Introduction!$D$7</f>
        <v>0</v>
      </c>
      <c r="E953" s="193">
        <f>Introduction!$D$8</f>
        <v>0</v>
      </c>
      <c r="F953" s="193" t="s">
        <v>488</v>
      </c>
      <c r="G953" s="193" t="s">
        <v>490</v>
      </c>
      <c r="H953" s="193">
        <f>'Buildings - Heat &amp; Fuels'!B184</f>
        <v>0</v>
      </c>
      <c r="I953" s="193">
        <f>'Buildings - Heat &amp; Fuels'!C184</f>
        <v>0</v>
      </c>
      <c r="J953" s="193" t="str">
        <f>'Buildings - Heat &amp; Fuels'!D184</f>
        <v/>
      </c>
      <c r="K953" s="237"/>
      <c r="L953" s="237"/>
      <c r="M953" s="193">
        <f>'Buildings - Heat &amp; Fuels'!E184</f>
        <v>0</v>
      </c>
      <c r="N953" s="193">
        <f>'Buildings - Heat &amp; Fuels'!F184</f>
        <v>0</v>
      </c>
      <c r="O953" s="237"/>
      <c r="P953" s="193">
        <f>'Buildings - Heat &amp; Fuels'!G184</f>
        <v>0</v>
      </c>
      <c r="Q953" s="193" t="str">
        <f>'Buildings - Heat &amp; Fuels'!H184</f>
        <v/>
      </c>
      <c r="R953" s="193">
        <f>'Buildings - Heat &amp; Fuels'!I184</f>
        <v>0</v>
      </c>
      <c r="S953" s="193">
        <f>'Buildings - Heat &amp; Fuels'!J184</f>
        <v>0</v>
      </c>
      <c r="T953" s="193" t="str">
        <f>'Buildings - Heat &amp; Fuels'!K184</f>
        <v/>
      </c>
      <c r="U953" s="193" t="str">
        <f>'Buildings - Heat &amp; Fuels'!L184</f>
        <v/>
      </c>
      <c r="V953" s="193" t="str">
        <f>'Buildings - Heat &amp; Fuels'!M184</f>
        <v/>
      </c>
      <c r="W953" s="193" t="str">
        <f>'Buildings - Heat &amp; Fuels'!N184</f>
        <v/>
      </c>
      <c r="X953" s="193">
        <f>'Buildings - Heat &amp; Fuels'!O184</f>
        <v>0</v>
      </c>
      <c r="Y953" s="193">
        <f>'Buildings - Heat &amp; Fuels'!P184</f>
        <v>0</v>
      </c>
      <c r="Z953" s="193" t="str">
        <f>'Buildings - Heat &amp; Fuels'!Q184</f>
        <v/>
      </c>
      <c r="AA953" s="193" t="str">
        <f>'Buildings - Heat &amp; Fuels'!R184</f>
        <v/>
      </c>
      <c r="AB953" s="193" t="str">
        <f>'Buildings - Heat &amp; Fuels'!S184</f>
        <v/>
      </c>
      <c r="AC953" s="193" t="str">
        <f>'Buildings - Heat &amp; Fuels'!T184</f>
        <v/>
      </c>
      <c r="AD953" s="193" t="str">
        <f>'Buildings - Heat &amp; Fuels'!U184</f>
        <v/>
      </c>
      <c r="AE953" s="193" t="str">
        <f>'Buildings - Heat &amp; Fuels'!V184</f>
        <v/>
      </c>
      <c r="AF953" s="193" t="str">
        <f>'Buildings - Heat &amp; Fuels'!W184</f>
        <v/>
      </c>
      <c r="AG953" s="193" t="str">
        <f>'Buildings - Heat &amp; Fuels'!X184</f>
        <v/>
      </c>
      <c r="AI953" s="193">
        <f t="shared" si="18"/>
        <v>0</v>
      </c>
      <c r="AJ953" s="193">
        <f t="shared" si="19"/>
        <v>0</v>
      </c>
    </row>
    <row r="954" spans="2:36" x14ac:dyDescent="0.35">
      <c r="B954" s="193" t="e">
        <f>"2024"&amp;MATCH(Totals!D954,OrgType,0)&amp;"_"&amp;MATCH(Totals!E954,Organisations,0)&amp;"_"&amp;LEFT(Totals!F954,1)&amp;"_"&amp;LEFT(G954,1)&amp;"_"&amp;COUNTIF($G$3:G954,G954)</f>
        <v>#N/A</v>
      </c>
      <c r="C954" s="193">
        <v>2025</v>
      </c>
      <c r="D954" s="193">
        <f>Introduction!$D$7</f>
        <v>0</v>
      </c>
      <c r="E954" s="193">
        <f>Introduction!$D$8</f>
        <v>0</v>
      </c>
      <c r="F954" s="193" t="s">
        <v>488</v>
      </c>
      <c r="G954" s="193" t="s">
        <v>490</v>
      </c>
      <c r="H954" s="193">
        <f>'Buildings - Heat &amp; Fuels'!B185</f>
        <v>0</v>
      </c>
      <c r="I954" s="193">
        <f>'Buildings - Heat &amp; Fuels'!C185</f>
        <v>0</v>
      </c>
      <c r="J954" s="193" t="str">
        <f>'Buildings - Heat &amp; Fuels'!D185</f>
        <v/>
      </c>
      <c r="K954" s="237"/>
      <c r="L954" s="237"/>
      <c r="M954" s="193">
        <f>'Buildings - Heat &amp; Fuels'!E185</f>
        <v>0</v>
      </c>
      <c r="N954" s="193">
        <f>'Buildings - Heat &amp; Fuels'!F185</f>
        <v>0</v>
      </c>
      <c r="O954" s="237"/>
      <c r="P954" s="193">
        <f>'Buildings - Heat &amp; Fuels'!G185</f>
        <v>0</v>
      </c>
      <c r="Q954" s="193" t="str">
        <f>'Buildings - Heat &amp; Fuels'!H185</f>
        <v/>
      </c>
      <c r="R954" s="193">
        <f>'Buildings - Heat &amp; Fuels'!I185</f>
        <v>0</v>
      </c>
      <c r="S954" s="193">
        <f>'Buildings - Heat &amp; Fuels'!J185</f>
        <v>0</v>
      </c>
      <c r="T954" s="193" t="str">
        <f>'Buildings - Heat &amp; Fuels'!K185</f>
        <v/>
      </c>
      <c r="U954" s="193" t="str">
        <f>'Buildings - Heat &amp; Fuels'!L185</f>
        <v/>
      </c>
      <c r="V954" s="193" t="str">
        <f>'Buildings - Heat &amp; Fuels'!M185</f>
        <v/>
      </c>
      <c r="W954" s="193" t="str">
        <f>'Buildings - Heat &amp; Fuels'!N185</f>
        <v/>
      </c>
      <c r="X954" s="193">
        <f>'Buildings - Heat &amp; Fuels'!O185</f>
        <v>0</v>
      </c>
      <c r="Y954" s="193">
        <f>'Buildings - Heat &amp; Fuels'!P185</f>
        <v>0</v>
      </c>
      <c r="Z954" s="193" t="str">
        <f>'Buildings - Heat &amp; Fuels'!Q185</f>
        <v/>
      </c>
      <c r="AA954" s="193" t="str">
        <f>'Buildings - Heat &amp; Fuels'!R185</f>
        <v/>
      </c>
      <c r="AB954" s="193" t="str">
        <f>'Buildings - Heat &amp; Fuels'!S185</f>
        <v/>
      </c>
      <c r="AC954" s="193" t="str">
        <f>'Buildings - Heat &amp; Fuels'!T185</f>
        <v/>
      </c>
      <c r="AD954" s="193" t="str">
        <f>'Buildings - Heat &amp; Fuels'!U185</f>
        <v/>
      </c>
      <c r="AE954" s="193" t="str">
        <f>'Buildings - Heat &amp; Fuels'!V185</f>
        <v/>
      </c>
      <c r="AF954" s="193" t="str">
        <f>'Buildings - Heat &amp; Fuels'!W185</f>
        <v/>
      </c>
      <c r="AG954" s="193" t="str">
        <f>'Buildings - Heat &amp; Fuels'!X185</f>
        <v/>
      </c>
      <c r="AI954" s="193">
        <f t="shared" si="18"/>
        <v>0</v>
      </c>
      <c r="AJ954" s="193">
        <f t="shared" si="19"/>
        <v>0</v>
      </c>
    </row>
    <row r="955" spans="2:36" x14ac:dyDescent="0.35">
      <c r="B955" s="193" t="e">
        <f>"2024"&amp;MATCH(Totals!D955,OrgType,0)&amp;"_"&amp;MATCH(Totals!E955,Organisations,0)&amp;"_"&amp;LEFT(Totals!F955,1)&amp;"_"&amp;LEFT(G955,1)&amp;"_"&amp;COUNTIF($G$3:G955,G955)</f>
        <v>#N/A</v>
      </c>
      <c r="C955" s="193">
        <v>2025</v>
      </c>
      <c r="D955" s="193">
        <f>Introduction!$D$7</f>
        <v>0</v>
      </c>
      <c r="E955" s="193">
        <f>Introduction!$D$8</f>
        <v>0</v>
      </c>
      <c r="F955" s="193" t="s">
        <v>488</v>
      </c>
      <c r="G955" s="193" t="s">
        <v>490</v>
      </c>
      <c r="H955" s="193">
        <f>'Buildings - Heat &amp; Fuels'!B186</f>
        <v>0</v>
      </c>
      <c r="I955" s="193">
        <f>'Buildings - Heat &amp; Fuels'!C186</f>
        <v>0</v>
      </c>
      <c r="J955" s="193" t="str">
        <f>'Buildings - Heat &amp; Fuels'!D186</f>
        <v/>
      </c>
      <c r="K955" s="237"/>
      <c r="L955" s="237"/>
      <c r="M955" s="193">
        <f>'Buildings - Heat &amp; Fuels'!E186</f>
        <v>0</v>
      </c>
      <c r="N955" s="193">
        <f>'Buildings - Heat &amp; Fuels'!F186</f>
        <v>0</v>
      </c>
      <c r="O955" s="237"/>
      <c r="P955" s="193">
        <f>'Buildings - Heat &amp; Fuels'!G186</f>
        <v>0</v>
      </c>
      <c r="Q955" s="193" t="str">
        <f>'Buildings - Heat &amp; Fuels'!H186</f>
        <v/>
      </c>
      <c r="R955" s="193">
        <f>'Buildings - Heat &amp; Fuels'!I186</f>
        <v>0</v>
      </c>
      <c r="S955" s="193">
        <f>'Buildings - Heat &amp; Fuels'!J186</f>
        <v>0</v>
      </c>
      <c r="T955" s="193" t="str">
        <f>'Buildings - Heat &amp; Fuels'!K186</f>
        <v/>
      </c>
      <c r="U955" s="193" t="str">
        <f>'Buildings - Heat &amp; Fuels'!L186</f>
        <v/>
      </c>
      <c r="V955" s="193" t="str">
        <f>'Buildings - Heat &amp; Fuels'!M186</f>
        <v/>
      </c>
      <c r="W955" s="193" t="str">
        <f>'Buildings - Heat &amp; Fuels'!N186</f>
        <v/>
      </c>
      <c r="X955" s="193">
        <f>'Buildings - Heat &amp; Fuels'!O186</f>
        <v>0</v>
      </c>
      <c r="Y955" s="193">
        <f>'Buildings - Heat &amp; Fuels'!P186</f>
        <v>0</v>
      </c>
      <c r="Z955" s="193" t="str">
        <f>'Buildings - Heat &amp; Fuels'!Q186</f>
        <v/>
      </c>
      <c r="AA955" s="193" t="str">
        <f>'Buildings - Heat &amp; Fuels'!R186</f>
        <v/>
      </c>
      <c r="AB955" s="193" t="str">
        <f>'Buildings - Heat &amp; Fuels'!S186</f>
        <v/>
      </c>
      <c r="AC955" s="193" t="str">
        <f>'Buildings - Heat &amp; Fuels'!T186</f>
        <v/>
      </c>
      <c r="AD955" s="193" t="str">
        <f>'Buildings - Heat &amp; Fuels'!U186</f>
        <v/>
      </c>
      <c r="AE955" s="193" t="str">
        <f>'Buildings - Heat &amp; Fuels'!V186</f>
        <v/>
      </c>
      <c r="AF955" s="193" t="str">
        <f>'Buildings - Heat &amp; Fuels'!W186</f>
        <v/>
      </c>
      <c r="AG955" s="193" t="str">
        <f>'Buildings - Heat &amp; Fuels'!X186</f>
        <v/>
      </c>
      <c r="AI955" s="193">
        <f t="shared" si="18"/>
        <v>0</v>
      </c>
      <c r="AJ955" s="193">
        <f t="shared" si="19"/>
        <v>0</v>
      </c>
    </row>
    <row r="956" spans="2:36" x14ac:dyDescent="0.35">
      <c r="B956" s="193" t="e">
        <f>"2024"&amp;MATCH(Totals!D956,OrgType,0)&amp;"_"&amp;MATCH(Totals!E956,Organisations,0)&amp;"_"&amp;LEFT(Totals!F956,1)&amp;"_"&amp;LEFT(G956,1)&amp;"_"&amp;COUNTIF($G$3:G956,G956)</f>
        <v>#N/A</v>
      </c>
      <c r="C956" s="193">
        <v>2025</v>
      </c>
      <c r="D956" s="193">
        <f>Introduction!$D$7</f>
        <v>0</v>
      </c>
      <c r="E956" s="193">
        <f>Introduction!$D$8</f>
        <v>0</v>
      </c>
      <c r="F956" s="193" t="s">
        <v>488</v>
      </c>
      <c r="G956" s="193" t="s">
        <v>490</v>
      </c>
      <c r="H956" s="193">
        <f>'Buildings - Heat &amp; Fuels'!B187</f>
        <v>0</v>
      </c>
      <c r="I956" s="193">
        <f>'Buildings - Heat &amp; Fuels'!C187</f>
        <v>0</v>
      </c>
      <c r="J956" s="193" t="str">
        <f>'Buildings - Heat &amp; Fuels'!D187</f>
        <v/>
      </c>
      <c r="K956" s="237"/>
      <c r="L956" s="237"/>
      <c r="M956" s="193">
        <f>'Buildings - Heat &amp; Fuels'!E187</f>
        <v>0</v>
      </c>
      <c r="N956" s="193">
        <f>'Buildings - Heat &amp; Fuels'!F187</f>
        <v>0</v>
      </c>
      <c r="O956" s="237"/>
      <c r="P956" s="193">
        <f>'Buildings - Heat &amp; Fuels'!G187</f>
        <v>0</v>
      </c>
      <c r="Q956" s="193" t="str">
        <f>'Buildings - Heat &amp; Fuels'!H187</f>
        <v/>
      </c>
      <c r="R956" s="193">
        <f>'Buildings - Heat &amp; Fuels'!I187</f>
        <v>0</v>
      </c>
      <c r="S956" s="193">
        <f>'Buildings - Heat &amp; Fuels'!J187</f>
        <v>0</v>
      </c>
      <c r="T956" s="193" t="str">
        <f>'Buildings - Heat &amp; Fuels'!K187</f>
        <v/>
      </c>
      <c r="U956" s="193" t="str">
        <f>'Buildings - Heat &amp; Fuels'!L187</f>
        <v/>
      </c>
      <c r="V956" s="193" t="str">
        <f>'Buildings - Heat &amp; Fuels'!M187</f>
        <v/>
      </c>
      <c r="W956" s="193" t="str">
        <f>'Buildings - Heat &amp; Fuels'!N187</f>
        <v/>
      </c>
      <c r="X956" s="193">
        <f>'Buildings - Heat &amp; Fuels'!O187</f>
        <v>0</v>
      </c>
      <c r="Y956" s="193">
        <f>'Buildings - Heat &amp; Fuels'!P187</f>
        <v>0</v>
      </c>
      <c r="Z956" s="193" t="str">
        <f>'Buildings - Heat &amp; Fuels'!Q187</f>
        <v/>
      </c>
      <c r="AA956" s="193" t="str">
        <f>'Buildings - Heat &amp; Fuels'!R187</f>
        <v/>
      </c>
      <c r="AB956" s="193" t="str">
        <f>'Buildings - Heat &amp; Fuels'!S187</f>
        <v/>
      </c>
      <c r="AC956" s="193" t="str">
        <f>'Buildings - Heat &amp; Fuels'!T187</f>
        <v/>
      </c>
      <c r="AD956" s="193" t="str">
        <f>'Buildings - Heat &amp; Fuels'!U187</f>
        <v/>
      </c>
      <c r="AE956" s="193" t="str">
        <f>'Buildings - Heat &amp; Fuels'!V187</f>
        <v/>
      </c>
      <c r="AF956" s="193" t="str">
        <f>'Buildings - Heat &amp; Fuels'!W187</f>
        <v/>
      </c>
      <c r="AG956" s="193" t="str">
        <f>'Buildings - Heat &amp; Fuels'!X187</f>
        <v/>
      </c>
      <c r="AI956" s="193">
        <f t="shared" si="18"/>
        <v>0</v>
      </c>
      <c r="AJ956" s="193">
        <f t="shared" si="19"/>
        <v>0</v>
      </c>
    </row>
    <row r="957" spans="2:36" x14ac:dyDescent="0.35">
      <c r="B957" s="193" t="e">
        <f>"2024"&amp;MATCH(Totals!D957,OrgType,0)&amp;"_"&amp;MATCH(Totals!E957,Organisations,0)&amp;"_"&amp;LEFT(Totals!F957,1)&amp;"_"&amp;LEFT(G957,1)&amp;"_"&amp;COUNTIF($G$3:G957,G957)</f>
        <v>#N/A</v>
      </c>
      <c r="C957" s="193">
        <v>2025</v>
      </c>
      <c r="D957" s="193">
        <f>Introduction!$D$7</f>
        <v>0</v>
      </c>
      <c r="E957" s="193">
        <f>Introduction!$D$8</f>
        <v>0</v>
      </c>
      <c r="F957" s="193" t="s">
        <v>488</v>
      </c>
      <c r="G957" s="193" t="s">
        <v>490</v>
      </c>
      <c r="H957" s="193">
        <f>'Buildings - Heat &amp; Fuels'!B188</f>
        <v>0</v>
      </c>
      <c r="I957" s="193">
        <f>'Buildings - Heat &amp; Fuels'!C188</f>
        <v>0</v>
      </c>
      <c r="J957" s="193" t="str">
        <f>'Buildings - Heat &amp; Fuels'!D188</f>
        <v/>
      </c>
      <c r="K957" s="237"/>
      <c r="L957" s="237"/>
      <c r="M957" s="193">
        <f>'Buildings - Heat &amp; Fuels'!E188</f>
        <v>0</v>
      </c>
      <c r="N957" s="193">
        <f>'Buildings - Heat &amp; Fuels'!F188</f>
        <v>0</v>
      </c>
      <c r="O957" s="237"/>
      <c r="P957" s="193">
        <f>'Buildings - Heat &amp; Fuels'!G188</f>
        <v>0</v>
      </c>
      <c r="Q957" s="193" t="str">
        <f>'Buildings - Heat &amp; Fuels'!H188</f>
        <v/>
      </c>
      <c r="R957" s="193">
        <f>'Buildings - Heat &amp; Fuels'!I188</f>
        <v>0</v>
      </c>
      <c r="S957" s="193">
        <f>'Buildings - Heat &amp; Fuels'!J188</f>
        <v>0</v>
      </c>
      <c r="T957" s="193" t="str">
        <f>'Buildings - Heat &amp; Fuels'!K188</f>
        <v/>
      </c>
      <c r="U957" s="193" t="str">
        <f>'Buildings - Heat &amp; Fuels'!L188</f>
        <v/>
      </c>
      <c r="V957" s="193" t="str">
        <f>'Buildings - Heat &amp; Fuels'!M188</f>
        <v/>
      </c>
      <c r="W957" s="193" t="str">
        <f>'Buildings - Heat &amp; Fuels'!N188</f>
        <v/>
      </c>
      <c r="X957" s="193">
        <f>'Buildings - Heat &amp; Fuels'!O188</f>
        <v>0</v>
      </c>
      <c r="Y957" s="193">
        <f>'Buildings - Heat &amp; Fuels'!P188</f>
        <v>0</v>
      </c>
      <c r="Z957" s="193" t="str">
        <f>'Buildings - Heat &amp; Fuels'!Q188</f>
        <v/>
      </c>
      <c r="AA957" s="193" t="str">
        <f>'Buildings - Heat &amp; Fuels'!R188</f>
        <v/>
      </c>
      <c r="AB957" s="193" t="str">
        <f>'Buildings - Heat &amp; Fuels'!S188</f>
        <v/>
      </c>
      <c r="AC957" s="193" t="str">
        <f>'Buildings - Heat &amp; Fuels'!T188</f>
        <v/>
      </c>
      <c r="AD957" s="193" t="str">
        <f>'Buildings - Heat &amp; Fuels'!U188</f>
        <v/>
      </c>
      <c r="AE957" s="193" t="str">
        <f>'Buildings - Heat &amp; Fuels'!V188</f>
        <v/>
      </c>
      <c r="AF957" s="193" t="str">
        <f>'Buildings - Heat &amp; Fuels'!W188</f>
        <v/>
      </c>
      <c r="AG957" s="193" t="str">
        <f>'Buildings - Heat &amp; Fuels'!X188</f>
        <v/>
      </c>
      <c r="AI957" s="193">
        <f t="shared" si="18"/>
        <v>0</v>
      </c>
      <c r="AJ957" s="193">
        <f t="shared" si="19"/>
        <v>0</v>
      </c>
    </row>
    <row r="958" spans="2:36" x14ac:dyDescent="0.35">
      <c r="B958" s="193" t="e">
        <f>"2024"&amp;MATCH(Totals!D958,OrgType,0)&amp;"_"&amp;MATCH(Totals!E958,Organisations,0)&amp;"_"&amp;LEFT(Totals!F958,1)&amp;"_"&amp;LEFT(G958,1)&amp;"_"&amp;COUNTIF($G$3:G958,G958)</f>
        <v>#N/A</v>
      </c>
      <c r="C958" s="193">
        <v>2025</v>
      </c>
      <c r="D958" s="193">
        <f>Introduction!$D$7</f>
        <v>0</v>
      </c>
      <c r="E958" s="193">
        <f>Introduction!$D$8</f>
        <v>0</v>
      </c>
      <c r="F958" s="193" t="s">
        <v>488</v>
      </c>
      <c r="G958" s="193" t="s">
        <v>490</v>
      </c>
      <c r="H958" s="193">
        <f>'Buildings - Heat &amp; Fuels'!B189</f>
        <v>0</v>
      </c>
      <c r="I958" s="193">
        <f>'Buildings - Heat &amp; Fuels'!C189</f>
        <v>0</v>
      </c>
      <c r="J958" s="193" t="str">
        <f>'Buildings - Heat &amp; Fuels'!D189</f>
        <v/>
      </c>
      <c r="K958" s="237"/>
      <c r="L958" s="237"/>
      <c r="M958" s="193">
        <f>'Buildings - Heat &amp; Fuels'!E189</f>
        <v>0</v>
      </c>
      <c r="N958" s="193">
        <f>'Buildings - Heat &amp; Fuels'!F189</f>
        <v>0</v>
      </c>
      <c r="O958" s="237"/>
      <c r="P958" s="193">
        <f>'Buildings - Heat &amp; Fuels'!G189</f>
        <v>0</v>
      </c>
      <c r="Q958" s="193" t="str">
        <f>'Buildings - Heat &amp; Fuels'!H189</f>
        <v/>
      </c>
      <c r="R958" s="193">
        <f>'Buildings - Heat &amp; Fuels'!I189</f>
        <v>0</v>
      </c>
      <c r="S958" s="193">
        <f>'Buildings - Heat &amp; Fuels'!J189</f>
        <v>0</v>
      </c>
      <c r="T958" s="193" t="str">
        <f>'Buildings - Heat &amp; Fuels'!K189</f>
        <v/>
      </c>
      <c r="U958" s="193" t="str">
        <f>'Buildings - Heat &amp; Fuels'!L189</f>
        <v/>
      </c>
      <c r="V958" s="193" t="str">
        <f>'Buildings - Heat &amp; Fuels'!M189</f>
        <v/>
      </c>
      <c r="W958" s="193" t="str">
        <f>'Buildings - Heat &amp; Fuels'!N189</f>
        <v/>
      </c>
      <c r="X958" s="193">
        <f>'Buildings - Heat &amp; Fuels'!O189</f>
        <v>0</v>
      </c>
      <c r="Y958" s="193">
        <f>'Buildings - Heat &amp; Fuels'!P189</f>
        <v>0</v>
      </c>
      <c r="Z958" s="193" t="str">
        <f>'Buildings - Heat &amp; Fuels'!Q189</f>
        <v/>
      </c>
      <c r="AA958" s="193" t="str">
        <f>'Buildings - Heat &amp; Fuels'!R189</f>
        <v/>
      </c>
      <c r="AB958" s="193" t="str">
        <f>'Buildings - Heat &amp; Fuels'!S189</f>
        <v/>
      </c>
      <c r="AC958" s="193" t="str">
        <f>'Buildings - Heat &amp; Fuels'!T189</f>
        <v/>
      </c>
      <c r="AD958" s="193" t="str">
        <f>'Buildings - Heat &amp; Fuels'!U189</f>
        <v/>
      </c>
      <c r="AE958" s="193" t="str">
        <f>'Buildings - Heat &amp; Fuels'!V189</f>
        <v/>
      </c>
      <c r="AF958" s="193" t="str">
        <f>'Buildings - Heat &amp; Fuels'!W189</f>
        <v/>
      </c>
      <c r="AG958" s="193" t="str">
        <f>'Buildings - Heat &amp; Fuels'!X189</f>
        <v/>
      </c>
      <c r="AI958" s="193">
        <f t="shared" si="18"/>
        <v>0</v>
      </c>
      <c r="AJ958" s="193">
        <f t="shared" si="19"/>
        <v>0</v>
      </c>
    </row>
    <row r="959" spans="2:36" x14ac:dyDescent="0.35">
      <c r="B959" s="193" t="e">
        <f>"2024"&amp;MATCH(Totals!D959,OrgType,0)&amp;"_"&amp;MATCH(Totals!E959,Organisations,0)&amp;"_"&amp;LEFT(Totals!F959,1)&amp;"_"&amp;LEFT(G959,1)&amp;"_"&amp;COUNTIF($G$3:G959,G959)</f>
        <v>#N/A</v>
      </c>
      <c r="C959" s="193">
        <v>2025</v>
      </c>
      <c r="D959" s="193">
        <f>Introduction!$D$7</f>
        <v>0</v>
      </c>
      <c r="E959" s="193">
        <f>Introduction!$D$8</f>
        <v>0</v>
      </c>
      <c r="F959" s="193" t="s">
        <v>488</v>
      </c>
      <c r="G959" s="193" t="s">
        <v>490</v>
      </c>
      <c r="H959" s="193">
        <f>'Buildings - Heat &amp; Fuels'!B190</f>
        <v>0</v>
      </c>
      <c r="I959" s="193">
        <f>'Buildings - Heat &amp; Fuels'!C190</f>
        <v>0</v>
      </c>
      <c r="J959" s="193" t="str">
        <f>'Buildings - Heat &amp; Fuels'!D190</f>
        <v/>
      </c>
      <c r="K959" s="237"/>
      <c r="L959" s="237"/>
      <c r="M959" s="193">
        <f>'Buildings - Heat &amp; Fuels'!E190</f>
        <v>0</v>
      </c>
      <c r="N959" s="193">
        <f>'Buildings - Heat &amp; Fuels'!F190</f>
        <v>0</v>
      </c>
      <c r="O959" s="237"/>
      <c r="P959" s="193">
        <f>'Buildings - Heat &amp; Fuels'!G190</f>
        <v>0</v>
      </c>
      <c r="Q959" s="193" t="str">
        <f>'Buildings - Heat &amp; Fuels'!H190</f>
        <v/>
      </c>
      <c r="R959" s="193">
        <f>'Buildings - Heat &amp; Fuels'!I190</f>
        <v>0</v>
      </c>
      <c r="S959" s="193">
        <f>'Buildings - Heat &amp; Fuels'!J190</f>
        <v>0</v>
      </c>
      <c r="T959" s="193" t="str">
        <f>'Buildings - Heat &amp; Fuels'!K190</f>
        <v/>
      </c>
      <c r="U959" s="193" t="str">
        <f>'Buildings - Heat &amp; Fuels'!L190</f>
        <v/>
      </c>
      <c r="V959" s="193" t="str">
        <f>'Buildings - Heat &amp; Fuels'!M190</f>
        <v/>
      </c>
      <c r="W959" s="193" t="str">
        <f>'Buildings - Heat &amp; Fuels'!N190</f>
        <v/>
      </c>
      <c r="X959" s="193">
        <f>'Buildings - Heat &amp; Fuels'!O190</f>
        <v>0</v>
      </c>
      <c r="Y959" s="193">
        <f>'Buildings - Heat &amp; Fuels'!P190</f>
        <v>0</v>
      </c>
      <c r="Z959" s="193" t="str">
        <f>'Buildings - Heat &amp; Fuels'!Q190</f>
        <v/>
      </c>
      <c r="AA959" s="193" t="str">
        <f>'Buildings - Heat &amp; Fuels'!R190</f>
        <v/>
      </c>
      <c r="AB959" s="193" t="str">
        <f>'Buildings - Heat &amp; Fuels'!S190</f>
        <v/>
      </c>
      <c r="AC959" s="193" t="str">
        <f>'Buildings - Heat &amp; Fuels'!T190</f>
        <v/>
      </c>
      <c r="AD959" s="193" t="str">
        <f>'Buildings - Heat &amp; Fuels'!U190</f>
        <v/>
      </c>
      <c r="AE959" s="193" t="str">
        <f>'Buildings - Heat &amp; Fuels'!V190</f>
        <v/>
      </c>
      <c r="AF959" s="193" t="str">
        <f>'Buildings - Heat &amp; Fuels'!W190</f>
        <v/>
      </c>
      <c r="AG959" s="193" t="str">
        <f>'Buildings - Heat &amp; Fuels'!X190</f>
        <v/>
      </c>
      <c r="AI959" s="193">
        <f t="shared" si="18"/>
        <v>0</v>
      </c>
      <c r="AJ959" s="193">
        <f t="shared" si="19"/>
        <v>0</v>
      </c>
    </row>
    <row r="960" spans="2:36" x14ac:dyDescent="0.35">
      <c r="B960" s="193" t="e">
        <f>"2024"&amp;MATCH(Totals!D960,OrgType,0)&amp;"_"&amp;MATCH(Totals!E960,Organisations,0)&amp;"_"&amp;LEFT(Totals!F960,1)&amp;"_"&amp;LEFT(G960,1)&amp;"_"&amp;COUNTIF($G$3:G960,G960)</f>
        <v>#N/A</v>
      </c>
      <c r="C960" s="193">
        <v>2025</v>
      </c>
      <c r="D960" s="193">
        <f>Introduction!$D$7</f>
        <v>0</v>
      </c>
      <c r="E960" s="193">
        <f>Introduction!$D$8</f>
        <v>0</v>
      </c>
      <c r="F960" s="193" t="s">
        <v>488</v>
      </c>
      <c r="G960" s="193" t="s">
        <v>490</v>
      </c>
      <c r="H960" s="193">
        <f>'Buildings - Heat &amp; Fuels'!B191</f>
        <v>0</v>
      </c>
      <c r="I960" s="193">
        <f>'Buildings - Heat &amp; Fuels'!C191</f>
        <v>0</v>
      </c>
      <c r="J960" s="193" t="str">
        <f>'Buildings - Heat &amp; Fuels'!D191</f>
        <v/>
      </c>
      <c r="K960" s="237"/>
      <c r="L960" s="237"/>
      <c r="M960" s="193">
        <f>'Buildings - Heat &amp; Fuels'!E191</f>
        <v>0</v>
      </c>
      <c r="N960" s="193">
        <f>'Buildings - Heat &amp; Fuels'!F191</f>
        <v>0</v>
      </c>
      <c r="O960" s="237"/>
      <c r="P960" s="193">
        <f>'Buildings - Heat &amp; Fuels'!G191</f>
        <v>0</v>
      </c>
      <c r="Q960" s="193" t="str">
        <f>'Buildings - Heat &amp; Fuels'!H191</f>
        <v/>
      </c>
      <c r="R960" s="193">
        <f>'Buildings - Heat &amp; Fuels'!I191</f>
        <v>0</v>
      </c>
      <c r="S960" s="193">
        <f>'Buildings - Heat &amp; Fuels'!J191</f>
        <v>0</v>
      </c>
      <c r="T960" s="193" t="str">
        <f>'Buildings - Heat &amp; Fuels'!K191</f>
        <v/>
      </c>
      <c r="U960" s="193" t="str">
        <f>'Buildings - Heat &amp; Fuels'!L191</f>
        <v/>
      </c>
      <c r="V960" s="193" t="str">
        <f>'Buildings - Heat &amp; Fuels'!M191</f>
        <v/>
      </c>
      <c r="W960" s="193" t="str">
        <f>'Buildings - Heat &amp; Fuels'!N191</f>
        <v/>
      </c>
      <c r="X960" s="193">
        <f>'Buildings - Heat &amp; Fuels'!O191</f>
        <v>0</v>
      </c>
      <c r="Y960" s="193">
        <f>'Buildings - Heat &amp; Fuels'!P191</f>
        <v>0</v>
      </c>
      <c r="Z960" s="193" t="str">
        <f>'Buildings - Heat &amp; Fuels'!Q191</f>
        <v/>
      </c>
      <c r="AA960" s="193" t="str">
        <f>'Buildings - Heat &amp; Fuels'!R191</f>
        <v/>
      </c>
      <c r="AB960" s="193" t="str">
        <f>'Buildings - Heat &amp; Fuels'!S191</f>
        <v/>
      </c>
      <c r="AC960" s="193" t="str">
        <f>'Buildings - Heat &amp; Fuels'!T191</f>
        <v/>
      </c>
      <c r="AD960" s="193" t="str">
        <f>'Buildings - Heat &amp; Fuels'!U191</f>
        <v/>
      </c>
      <c r="AE960" s="193" t="str">
        <f>'Buildings - Heat &amp; Fuels'!V191</f>
        <v/>
      </c>
      <c r="AF960" s="193" t="str">
        <f>'Buildings - Heat &amp; Fuels'!W191</f>
        <v/>
      </c>
      <c r="AG960" s="193" t="str">
        <f>'Buildings - Heat &amp; Fuels'!X191</f>
        <v/>
      </c>
      <c r="AI960" s="193">
        <f t="shared" si="18"/>
        <v>0</v>
      </c>
      <c r="AJ960" s="193">
        <f t="shared" si="19"/>
        <v>0</v>
      </c>
    </row>
    <row r="961" spans="2:36" x14ac:dyDescent="0.35">
      <c r="B961" s="193" t="e">
        <f>"2024"&amp;MATCH(Totals!D961,OrgType,0)&amp;"_"&amp;MATCH(Totals!E961,Organisations,0)&amp;"_"&amp;LEFT(Totals!F961,1)&amp;"_"&amp;LEFT(G961,1)&amp;"_"&amp;COUNTIF($G$3:G961,G961)</f>
        <v>#N/A</v>
      </c>
      <c r="C961" s="193">
        <v>2025</v>
      </c>
      <c r="D961" s="193">
        <f>Introduction!$D$7</f>
        <v>0</v>
      </c>
      <c r="E961" s="193">
        <f>Introduction!$D$8</f>
        <v>0</v>
      </c>
      <c r="F961" s="193" t="s">
        <v>488</v>
      </c>
      <c r="G961" s="193" t="s">
        <v>490</v>
      </c>
      <c r="H961" s="193">
        <f>'Buildings - Heat &amp; Fuels'!B192</f>
        <v>0</v>
      </c>
      <c r="I961" s="193">
        <f>'Buildings - Heat &amp; Fuels'!C192</f>
        <v>0</v>
      </c>
      <c r="J961" s="193" t="str">
        <f>'Buildings - Heat &amp; Fuels'!D192</f>
        <v/>
      </c>
      <c r="K961" s="237"/>
      <c r="L961" s="237"/>
      <c r="M961" s="193">
        <f>'Buildings - Heat &amp; Fuels'!E192</f>
        <v>0</v>
      </c>
      <c r="N961" s="193">
        <f>'Buildings - Heat &amp; Fuels'!F192</f>
        <v>0</v>
      </c>
      <c r="O961" s="237"/>
      <c r="P961" s="193">
        <f>'Buildings - Heat &amp; Fuels'!G192</f>
        <v>0</v>
      </c>
      <c r="Q961" s="193" t="str">
        <f>'Buildings - Heat &amp; Fuels'!H192</f>
        <v/>
      </c>
      <c r="R961" s="193">
        <f>'Buildings - Heat &amp; Fuels'!I192</f>
        <v>0</v>
      </c>
      <c r="S961" s="193">
        <f>'Buildings - Heat &amp; Fuels'!J192</f>
        <v>0</v>
      </c>
      <c r="T961" s="193" t="str">
        <f>'Buildings - Heat &amp; Fuels'!K192</f>
        <v/>
      </c>
      <c r="U961" s="193" t="str">
        <f>'Buildings - Heat &amp; Fuels'!L192</f>
        <v/>
      </c>
      <c r="V961" s="193" t="str">
        <f>'Buildings - Heat &amp; Fuels'!M192</f>
        <v/>
      </c>
      <c r="W961" s="193" t="str">
        <f>'Buildings - Heat &amp; Fuels'!N192</f>
        <v/>
      </c>
      <c r="X961" s="193">
        <f>'Buildings - Heat &amp; Fuels'!O192</f>
        <v>0</v>
      </c>
      <c r="Y961" s="193">
        <f>'Buildings - Heat &amp; Fuels'!P192</f>
        <v>0</v>
      </c>
      <c r="Z961" s="193" t="str">
        <f>'Buildings - Heat &amp; Fuels'!Q192</f>
        <v/>
      </c>
      <c r="AA961" s="193" t="str">
        <f>'Buildings - Heat &amp; Fuels'!R192</f>
        <v/>
      </c>
      <c r="AB961" s="193" t="str">
        <f>'Buildings - Heat &amp; Fuels'!S192</f>
        <v/>
      </c>
      <c r="AC961" s="193" t="str">
        <f>'Buildings - Heat &amp; Fuels'!T192</f>
        <v/>
      </c>
      <c r="AD961" s="193" t="str">
        <f>'Buildings - Heat &amp; Fuels'!U192</f>
        <v/>
      </c>
      <c r="AE961" s="193" t="str">
        <f>'Buildings - Heat &amp; Fuels'!V192</f>
        <v/>
      </c>
      <c r="AF961" s="193" t="str">
        <f>'Buildings - Heat &amp; Fuels'!W192</f>
        <v/>
      </c>
      <c r="AG961" s="193" t="str">
        <f>'Buildings - Heat &amp; Fuels'!X192</f>
        <v/>
      </c>
      <c r="AI961" s="193">
        <f t="shared" si="18"/>
        <v>0</v>
      </c>
      <c r="AJ961" s="193">
        <f t="shared" si="19"/>
        <v>0</v>
      </c>
    </row>
    <row r="962" spans="2:36" x14ac:dyDescent="0.35">
      <c r="B962" s="193" t="e">
        <f>"2024"&amp;MATCH(Totals!D962,OrgType,0)&amp;"_"&amp;MATCH(Totals!E962,Organisations,0)&amp;"_"&amp;LEFT(Totals!F962,1)&amp;"_"&amp;LEFT(G962,1)&amp;"_"&amp;COUNTIF($G$3:G962,G962)</f>
        <v>#N/A</v>
      </c>
      <c r="C962" s="193">
        <v>2025</v>
      </c>
      <c r="D962" s="193">
        <f>Introduction!$D$7</f>
        <v>0</v>
      </c>
      <c r="E962" s="193">
        <f>Introduction!$D$8</f>
        <v>0</v>
      </c>
      <c r="F962" s="193" t="s">
        <v>488</v>
      </c>
      <c r="G962" s="193" t="s">
        <v>490</v>
      </c>
      <c r="H962" s="193">
        <f>'Buildings - Heat &amp; Fuels'!B193</f>
        <v>0</v>
      </c>
      <c r="I962" s="193">
        <f>'Buildings - Heat &amp; Fuels'!C193</f>
        <v>0</v>
      </c>
      <c r="J962" s="193" t="str">
        <f>'Buildings - Heat &amp; Fuels'!D193</f>
        <v/>
      </c>
      <c r="K962" s="237"/>
      <c r="L962" s="237"/>
      <c r="M962" s="193">
        <f>'Buildings - Heat &amp; Fuels'!E193</f>
        <v>0</v>
      </c>
      <c r="N962" s="193">
        <f>'Buildings - Heat &amp; Fuels'!F193</f>
        <v>0</v>
      </c>
      <c r="O962" s="237"/>
      <c r="P962" s="193">
        <f>'Buildings - Heat &amp; Fuels'!G193</f>
        <v>0</v>
      </c>
      <c r="Q962" s="193" t="str">
        <f>'Buildings - Heat &amp; Fuels'!H193</f>
        <v/>
      </c>
      <c r="R962" s="193">
        <f>'Buildings - Heat &amp; Fuels'!I193</f>
        <v>0</v>
      </c>
      <c r="S962" s="193">
        <f>'Buildings - Heat &amp; Fuels'!J193</f>
        <v>0</v>
      </c>
      <c r="T962" s="193" t="str">
        <f>'Buildings - Heat &amp; Fuels'!K193</f>
        <v/>
      </c>
      <c r="U962" s="193" t="str">
        <f>'Buildings - Heat &amp; Fuels'!L193</f>
        <v/>
      </c>
      <c r="V962" s="193" t="str">
        <f>'Buildings - Heat &amp; Fuels'!M193</f>
        <v/>
      </c>
      <c r="W962" s="193" t="str">
        <f>'Buildings - Heat &amp; Fuels'!N193</f>
        <v/>
      </c>
      <c r="X962" s="193">
        <f>'Buildings - Heat &amp; Fuels'!O193</f>
        <v>0</v>
      </c>
      <c r="Y962" s="193">
        <f>'Buildings - Heat &amp; Fuels'!P193</f>
        <v>0</v>
      </c>
      <c r="Z962" s="193" t="str">
        <f>'Buildings - Heat &amp; Fuels'!Q193</f>
        <v/>
      </c>
      <c r="AA962" s="193" t="str">
        <f>'Buildings - Heat &amp; Fuels'!R193</f>
        <v/>
      </c>
      <c r="AB962" s="193" t="str">
        <f>'Buildings - Heat &amp; Fuels'!S193</f>
        <v/>
      </c>
      <c r="AC962" s="193" t="str">
        <f>'Buildings - Heat &amp; Fuels'!T193</f>
        <v/>
      </c>
      <c r="AD962" s="193" t="str">
        <f>'Buildings - Heat &amp; Fuels'!U193</f>
        <v/>
      </c>
      <c r="AE962" s="193" t="str">
        <f>'Buildings - Heat &amp; Fuels'!V193</f>
        <v/>
      </c>
      <c r="AF962" s="193" t="str">
        <f>'Buildings - Heat &amp; Fuels'!W193</f>
        <v/>
      </c>
      <c r="AG962" s="193" t="str">
        <f>'Buildings - Heat &amp; Fuels'!X193</f>
        <v/>
      </c>
      <c r="AI962" s="193">
        <f t="shared" si="18"/>
        <v>0</v>
      </c>
      <c r="AJ962" s="193">
        <f t="shared" si="19"/>
        <v>0</v>
      </c>
    </row>
    <row r="963" spans="2:36" x14ac:dyDescent="0.35">
      <c r="B963" s="193" t="e">
        <f>"2024"&amp;MATCH(Totals!D963,OrgType,0)&amp;"_"&amp;MATCH(Totals!E963,Organisations,0)&amp;"_"&amp;LEFT(Totals!F963,1)&amp;"_"&amp;LEFT(G963,1)&amp;"_"&amp;COUNTIF($G$3:G963,G963)</f>
        <v>#N/A</v>
      </c>
      <c r="C963" s="193">
        <v>2025</v>
      </c>
      <c r="D963" s="193">
        <f>Introduction!$D$7</f>
        <v>0</v>
      </c>
      <c r="E963" s="193">
        <f>Introduction!$D$8</f>
        <v>0</v>
      </c>
      <c r="F963" s="193" t="s">
        <v>488</v>
      </c>
      <c r="G963" s="193" t="s">
        <v>490</v>
      </c>
      <c r="H963" s="193">
        <f>'Buildings - Heat &amp; Fuels'!B194</f>
        <v>0</v>
      </c>
      <c r="I963" s="193">
        <f>'Buildings - Heat &amp; Fuels'!C194</f>
        <v>0</v>
      </c>
      <c r="J963" s="193" t="str">
        <f>'Buildings - Heat &amp; Fuels'!D194</f>
        <v/>
      </c>
      <c r="K963" s="237"/>
      <c r="L963" s="237"/>
      <c r="M963" s="193">
        <f>'Buildings - Heat &amp; Fuels'!E194</f>
        <v>0</v>
      </c>
      <c r="N963" s="193">
        <f>'Buildings - Heat &amp; Fuels'!F194</f>
        <v>0</v>
      </c>
      <c r="O963" s="237"/>
      <c r="P963" s="193">
        <f>'Buildings - Heat &amp; Fuels'!G194</f>
        <v>0</v>
      </c>
      <c r="Q963" s="193" t="str">
        <f>'Buildings - Heat &amp; Fuels'!H194</f>
        <v/>
      </c>
      <c r="R963" s="193">
        <f>'Buildings - Heat &amp; Fuels'!I194</f>
        <v>0</v>
      </c>
      <c r="S963" s="193">
        <f>'Buildings - Heat &amp; Fuels'!J194</f>
        <v>0</v>
      </c>
      <c r="T963" s="193" t="str">
        <f>'Buildings - Heat &amp; Fuels'!K194</f>
        <v/>
      </c>
      <c r="U963" s="193" t="str">
        <f>'Buildings - Heat &amp; Fuels'!L194</f>
        <v/>
      </c>
      <c r="V963" s="193" t="str">
        <f>'Buildings - Heat &amp; Fuels'!M194</f>
        <v/>
      </c>
      <c r="W963" s="193" t="str">
        <f>'Buildings - Heat &amp; Fuels'!N194</f>
        <v/>
      </c>
      <c r="X963" s="193">
        <f>'Buildings - Heat &amp; Fuels'!O194</f>
        <v>0</v>
      </c>
      <c r="Y963" s="193">
        <f>'Buildings - Heat &amp; Fuels'!P194</f>
        <v>0</v>
      </c>
      <c r="Z963" s="193" t="str">
        <f>'Buildings - Heat &amp; Fuels'!Q194</f>
        <v/>
      </c>
      <c r="AA963" s="193" t="str">
        <f>'Buildings - Heat &amp; Fuels'!R194</f>
        <v/>
      </c>
      <c r="AB963" s="193" t="str">
        <f>'Buildings - Heat &amp; Fuels'!S194</f>
        <v/>
      </c>
      <c r="AC963" s="193" t="str">
        <f>'Buildings - Heat &amp; Fuels'!T194</f>
        <v/>
      </c>
      <c r="AD963" s="193" t="str">
        <f>'Buildings - Heat &amp; Fuels'!U194</f>
        <v/>
      </c>
      <c r="AE963" s="193" t="str">
        <f>'Buildings - Heat &amp; Fuels'!V194</f>
        <v/>
      </c>
      <c r="AF963" s="193" t="str">
        <f>'Buildings - Heat &amp; Fuels'!W194</f>
        <v/>
      </c>
      <c r="AG963" s="193" t="str">
        <f>'Buildings - Heat &amp; Fuels'!X194</f>
        <v/>
      </c>
      <c r="AI963" s="193">
        <f t="shared" si="18"/>
        <v>0</v>
      </c>
      <c r="AJ963" s="193">
        <f t="shared" si="19"/>
        <v>0</v>
      </c>
    </row>
    <row r="964" spans="2:36" x14ac:dyDescent="0.35">
      <c r="B964" s="193" t="e">
        <f>"2024"&amp;MATCH(Totals!D964,OrgType,0)&amp;"_"&amp;MATCH(Totals!E964,Organisations,0)&amp;"_"&amp;LEFT(Totals!F964,1)&amp;"_"&amp;LEFT(G964,1)&amp;"_"&amp;COUNTIF($G$3:G964,G964)</f>
        <v>#N/A</v>
      </c>
      <c r="C964" s="193">
        <v>2025</v>
      </c>
      <c r="D964" s="193">
        <f>Introduction!$D$7</f>
        <v>0</v>
      </c>
      <c r="E964" s="193">
        <f>Introduction!$D$8</f>
        <v>0</v>
      </c>
      <c r="F964" s="193" t="s">
        <v>488</v>
      </c>
      <c r="G964" s="193" t="s">
        <v>490</v>
      </c>
      <c r="H964" s="193">
        <f>'Buildings - Heat &amp; Fuels'!B195</f>
        <v>0</v>
      </c>
      <c r="I964" s="193">
        <f>'Buildings - Heat &amp; Fuels'!C195</f>
        <v>0</v>
      </c>
      <c r="J964" s="193" t="str">
        <f>'Buildings - Heat &amp; Fuels'!D195</f>
        <v/>
      </c>
      <c r="K964" s="237"/>
      <c r="L964" s="237"/>
      <c r="M964" s="193">
        <f>'Buildings - Heat &amp; Fuels'!E195</f>
        <v>0</v>
      </c>
      <c r="N964" s="193">
        <f>'Buildings - Heat &amp; Fuels'!F195</f>
        <v>0</v>
      </c>
      <c r="O964" s="237"/>
      <c r="P964" s="193">
        <f>'Buildings - Heat &amp; Fuels'!G195</f>
        <v>0</v>
      </c>
      <c r="Q964" s="193" t="str">
        <f>'Buildings - Heat &amp; Fuels'!H195</f>
        <v/>
      </c>
      <c r="R964" s="193">
        <f>'Buildings - Heat &amp; Fuels'!I195</f>
        <v>0</v>
      </c>
      <c r="S964" s="193">
        <f>'Buildings - Heat &amp; Fuels'!J195</f>
        <v>0</v>
      </c>
      <c r="T964" s="193" t="str">
        <f>'Buildings - Heat &amp; Fuels'!K195</f>
        <v/>
      </c>
      <c r="U964" s="193" t="str">
        <f>'Buildings - Heat &amp; Fuels'!L195</f>
        <v/>
      </c>
      <c r="V964" s="193" t="str">
        <f>'Buildings - Heat &amp; Fuels'!M195</f>
        <v/>
      </c>
      <c r="W964" s="193" t="str">
        <f>'Buildings - Heat &amp; Fuels'!N195</f>
        <v/>
      </c>
      <c r="X964" s="193">
        <f>'Buildings - Heat &amp; Fuels'!O195</f>
        <v>0</v>
      </c>
      <c r="Y964" s="193">
        <f>'Buildings - Heat &amp; Fuels'!P195</f>
        <v>0</v>
      </c>
      <c r="Z964" s="193" t="str">
        <f>'Buildings - Heat &amp; Fuels'!Q195</f>
        <v/>
      </c>
      <c r="AA964" s="193" t="str">
        <f>'Buildings - Heat &amp; Fuels'!R195</f>
        <v/>
      </c>
      <c r="AB964" s="193" t="str">
        <f>'Buildings - Heat &amp; Fuels'!S195</f>
        <v/>
      </c>
      <c r="AC964" s="193" t="str">
        <f>'Buildings - Heat &amp; Fuels'!T195</f>
        <v/>
      </c>
      <c r="AD964" s="193" t="str">
        <f>'Buildings - Heat &amp; Fuels'!U195</f>
        <v/>
      </c>
      <c r="AE964" s="193" t="str">
        <f>'Buildings - Heat &amp; Fuels'!V195</f>
        <v/>
      </c>
      <c r="AF964" s="193" t="str">
        <f>'Buildings - Heat &amp; Fuels'!W195</f>
        <v/>
      </c>
      <c r="AG964" s="193" t="str">
        <f>'Buildings - Heat &amp; Fuels'!X195</f>
        <v/>
      </c>
      <c r="AI964" s="193">
        <f t="shared" si="18"/>
        <v>0</v>
      </c>
      <c r="AJ964" s="193">
        <f t="shared" si="19"/>
        <v>0</v>
      </c>
    </row>
    <row r="965" spans="2:36" x14ac:dyDescent="0.35">
      <c r="B965" s="193" t="e">
        <f>"2024"&amp;MATCH(Totals!D965,OrgType,0)&amp;"_"&amp;MATCH(Totals!E965,Organisations,0)&amp;"_"&amp;LEFT(Totals!F965,1)&amp;"_"&amp;LEFT(G965,1)&amp;"_"&amp;COUNTIF($G$3:G965,G965)</f>
        <v>#N/A</v>
      </c>
      <c r="C965" s="193">
        <v>2025</v>
      </c>
      <c r="D965" s="193">
        <f>Introduction!$D$7</f>
        <v>0</v>
      </c>
      <c r="E965" s="193">
        <f>Introduction!$D$8</f>
        <v>0</v>
      </c>
      <c r="F965" s="193" t="s">
        <v>488</v>
      </c>
      <c r="G965" s="193" t="s">
        <v>490</v>
      </c>
      <c r="H965" s="193">
        <f>'Buildings - Heat &amp; Fuels'!B196</f>
        <v>0</v>
      </c>
      <c r="I965" s="193">
        <f>'Buildings - Heat &amp; Fuels'!C196</f>
        <v>0</v>
      </c>
      <c r="J965" s="193" t="str">
        <f>'Buildings - Heat &amp; Fuels'!D196</f>
        <v/>
      </c>
      <c r="K965" s="237"/>
      <c r="L965" s="237"/>
      <c r="M965" s="193">
        <f>'Buildings - Heat &amp; Fuels'!E196</f>
        <v>0</v>
      </c>
      <c r="N965" s="193">
        <f>'Buildings - Heat &amp; Fuels'!F196</f>
        <v>0</v>
      </c>
      <c r="O965" s="237"/>
      <c r="P965" s="193">
        <f>'Buildings - Heat &amp; Fuels'!G196</f>
        <v>0</v>
      </c>
      <c r="Q965" s="193" t="str">
        <f>'Buildings - Heat &amp; Fuels'!H196</f>
        <v/>
      </c>
      <c r="R965" s="193">
        <f>'Buildings - Heat &amp; Fuels'!I196</f>
        <v>0</v>
      </c>
      <c r="S965" s="193">
        <f>'Buildings - Heat &amp; Fuels'!J196</f>
        <v>0</v>
      </c>
      <c r="T965" s="193" t="str">
        <f>'Buildings - Heat &amp; Fuels'!K196</f>
        <v/>
      </c>
      <c r="U965" s="193" t="str">
        <f>'Buildings - Heat &amp; Fuels'!L196</f>
        <v/>
      </c>
      <c r="V965" s="193" t="str">
        <f>'Buildings - Heat &amp; Fuels'!M196</f>
        <v/>
      </c>
      <c r="W965" s="193" t="str">
        <f>'Buildings - Heat &amp; Fuels'!N196</f>
        <v/>
      </c>
      <c r="X965" s="193">
        <f>'Buildings - Heat &amp; Fuels'!O196</f>
        <v>0</v>
      </c>
      <c r="Y965" s="193">
        <f>'Buildings - Heat &amp; Fuels'!P196</f>
        <v>0</v>
      </c>
      <c r="Z965" s="193" t="str">
        <f>'Buildings - Heat &amp; Fuels'!Q196</f>
        <v/>
      </c>
      <c r="AA965" s="193" t="str">
        <f>'Buildings - Heat &amp; Fuels'!R196</f>
        <v/>
      </c>
      <c r="AB965" s="193" t="str">
        <f>'Buildings - Heat &amp; Fuels'!S196</f>
        <v/>
      </c>
      <c r="AC965" s="193" t="str">
        <f>'Buildings - Heat &amp; Fuels'!T196</f>
        <v/>
      </c>
      <c r="AD965" s="193" t="str">
        <f>'Buildings - Heat &amp; Fuels'!U196</f>
        <v/>
      </c>
      <c r="AE965" s="193" t="str">
        <f>'Buildings - Heat &amp; Fuels'!V196</f>
        <v/>
      </c>
      <c r="AF965" s="193" t="str">
        <f>'Buildings - Heat &amp; Fuels'!W196</f>
        <v/>
      </c>
      <c r="AG965" s="193" t="str">
        <f>'Buildings - Heat &amp; Fuels'!X196</f>
        <v/>
      </c>
      <c r="AI965" s="193">
        <f t="shared" si="18"/>
        <v>0</v>
      </c>
      <c r="AJ965" s="193">
        <f t="shared" si="19"/>
        <v>0</v>
      </c>
    </row>
    <row r="966" spans="2:36" x14ac:dyDescent="0.35">
      <c r="B966" s="193" t="e">
        <f>"2024"&amp;MATCH(Totals!D966,OrgType,0)&amp;"_"&amp;MATCH(Totals!E966,Organisations,0)&amp;"_"&amp;LEFT(Totals!F966,1)&amp;"_"&amp;LEFT(G966,1)&amp;"_"&amp;COUNTIF($G$3:G966,G966)</f>
        <v>#N/A</v>
      </c>
      <c r="C966" s="193">
        <v>2025</v>
      </c>
      <c r="D966" s="193">
        <f>Introduction!$D$7</f>
        <v>0</v>
      </c>
      <c r="E966" s="193">
        <f>Introduction!$D$8</f>
        <v>0</v>
      </c>
      <c r="F966" s="193" t="s">
        <v>488</v>
      </c>
      <c r="G966" s="193" t="s">
        <v>490</v>
      </c>
      <c r="H966" s="193">
        <f>'Buildings - Heat &amp; Fuels'!B197</f>
        <v>0</v>
      </c>
      <c r="I966" s="193">
        <f>'Buildings - Heat &amp; Fuels'!C197</f>
        <v>0</v>
      </c>
      <c r="J966" s="193" t="str">
        <f>'Buildings - Heat &amp; Fuels'!D197</f>
        <v/>
      </c>
      <c r="K966" s="237"/>
      <c r="L966" s="237"/>
      <c r="M966" s="193">
        <f>'Buildings - Heat &amp; Fuels'!E197</f>
        <v>0</v>
      </c>
      <c r="N966" s="193">
        <f>'Buildings - Heat &amp; Fuels'!F197</f>
        <v>0</v>
      </c>
      <c r="O966" s="237"/>
      <c r="P966" s="193">
        <f>'Buildings - Heat &amp; Fuels'!G197</f>
        <v>0</v>
      </c>
      <c r="Q966" s="193" t="str">
        <f>'Buildings - Heat &amp; Fuels'!H197</f>
        <v/>
      </c>
      <c r="R966" s="193">
        <f>'Buildings - Heat &amp; Fuels'!I197</f>
        <v>0</v>
      </c>
      <c r="S966" s="193">
        <f>'Buildings - Heat &amp; Fuels'!J197</f>
        <v>0</v>
      </c>
      <c r="T966" s="193" t="str">
        <f>'Buildings - Heat &amp; Fuels'!K197</f>
        <v/>
      </c>
      <c r="U966" s="193" t="str">
        <f>'Buildings - Heat &amp; Fuels'!L197</f>
        <v/>
      </c>
      <c r="V966" s="193" t="str">
        <f>'Buildings - Heat &amp; Fuels'!M197</f>
        <v/>
      </c>
      <c r="W966" s="193" t="str">
        <f>'Buildings - Heat &amp; Fuels'!N197</f>
        <v/>
      </c>
      <c r="X966" s="193">
        <f>'Buildings - Heat &amp; Fuels'!O197</f>
        <v>0</v>
      </c>
      <c r="Y966" s="193">
        <f>'Buildings - Heat &amp; Fuels'!P197</f>
        <v>0</v>
      </c>
      <c r="Z966" s="193" t="str">
        <f>'Buildings - Heat &amp; Fuels'!Q197</f>
        <v/>
      </c>
      <c r="AA966" s="193" t="str">
        <f>'Buildings - Heat &amp; Fuels'!R197</f>
        <v/>
      </c>
      <c r="AB966" s="193" t="str">
        <f>'Buildings - Heat &amp; Fuels'!S197</f>
        <v/>
      </c>
      <c r="AC966" s="193" t="str">
        <f>'Buildings - Heat &amp; Fuels'!T197</f>
        <v/>
      </c>
      <c r="AD966" s="193" t="str">
        <f>'Buildings - Heat &amp; Fuels'!U197</f>
        <v/>
      </c>
      <c r="AE966" s="193" t="str">
        <f>'Buildings - Heat &amp; Fuels'!V197</f>
        <v/>
      </c>
      <c r="AF966" s="193" t="str">
        <f>'Buildings - Heat &amp; Fuels'!W197</f>
        <v/>
      </c>
      <c r="AG966" s="193" t="str">
        <f>'Buildings - Heat &amp; Fuels'!X197</f>
        <v/>
      </c>
      <c r="AI966" s="193">
        <f t="shared" si="18"/>
        <v>0</v>
      </c>
      <c r="AJ966" s="193">
        <f t="shared" si="19"/>
        <v>0</v>
      </c>
    </row>
    <row r="967" spans="2:36" x14ac:dyDescent="0.35">
      <c r="B967" s="193" t="e">
        <f>"2024"&amp;MATCH(Totals!D967,OrgType,0)&amp;"_"&amp;MATCH(Totals!E967,Organisations,0)&amp;"_"&amp;LEFT(Totals!F967,1)&amp;"_"&amp;LEFT(G967,1)&amp;"_"&amp;COUNTIF($G$3:G967,G967)</f>
        <v>#N/A</v>
      </c>
      <c r="C967" s="193">
        <v>2025</v>
      </c>
      <c r="D967" s="193">
        <f>Introduction!$D$7</f>
        <v>0</v>
      </c>
      <c r="E967" s="193">
        <f>Introduction!$D$8</f>
        <v>0</v>
      </c>
      <c r="F967" s="193" t="s">
        <v>488</v>
      </c>
      <c r="G967" s="193" t="s">
        <v>490</v>
      </c>
      <c r="H967" s="193">
        <f>'Buildings - Heat &amp; Fuels'!B198</f>
        <v>0</v>
      </c>
      <c r="I967" s="193">
        <f>'Buildings - Heat &amp; Fuels'!C198</f>
        <v>0</v>
      </c>
      <c r="J967" s="193" t="str">
        <f>'Buildings - Heat &amp; Fuels'!D198</f>
        <v/>
      </c>
      <c r="K967" s="237"/>
      <c r="L967" s="237"/>
      <c r="M967" s="193">
        <f>'Buildings - Heat &amp; Fuels'!E198</f>
        <v>0</v>
      </c>
      <c r="N967" s="193">
        <f>'Buildings - Heat &amp; Fuels'!F198</f>
        <v>0</v>
      </c>
      <c r="O967" s="237"/>
      <c r="P967" s="193">
        <f>'Buildings - Heat &amp; Fuels'!G198</f>
        <v>0</v>
      </c>
      <c r="Q967" s="193" t="str">
        <f>'Buildings - Heat &amp; Fuels'!H198</f>
        <v/>
      </c>
      <c r="R967" s="193">
        <f>'Buildings - Heat &amp; Fuels'!I198</f>
        <v>0</v>
      </c>
      <c r="S967" s="193">
        <f>'Buildings - Heat &amp; Fuels'!J198</f>
        <v>0</v>
      </c>
      <c r="T967" s="193" t="str">
        <f>'Buildings - Heat &amp; Fuels'!K198</f>
        <v/>
      </c>
      <c r="U967" s="193" t="str">
        <f>'Buildings - Heat &amp; Fuels'!L198</f>
        <v/>
      </c>
      <c r="V967" s="193" t="str">
        <f>'Buildings - Heat &amp; Fuels'!M198</f>
        <v/>
      </c>
      <c r="W967" s="193" t="str">
        <f>'Buildings - Heat &amp; Fuels'!N198</f>
        <v/>
      </c>
      <c r="X967" s="193">
        <f>'Buildings - Heat &amp; Fuels'!O198</f>
        <v>0</v>
      </c>
      <c r="Y967" s="193">
        <f>'Buildings - Heat &amp; Fuels'!P198</f>
        <v>0</v>
      </c>
      <c r="Z967" s="193" t="str">
        <f>'Buildings - Heat &amp; Fuels'!Q198</f>
        <v/>
      </c>
      <c r="AA967" s="193" t="str">
        <f>'Buildings - Heat &amp; Fuels'!R198</f>
        <v/>
      </c>
      <c r="AB967" s="193" t="str">
        <f>'Buildings - Heat &amp; Fuels'!S198</f>
        <v/>
      </c>
      <c r="AC967" s="193" t="str">
        <f>'Buildings - Heat &amp; Fuels'!T198</f>
        <v/>
      </c>
      <c r="AD967" s="193" t="str">
        <f>'Buildings - Heat &amp; Fuels'!U198</f>
        <v/>
      </c>
      <c r="AE967" s="193" t="str">
        <f>'Buildings - Heat &amp; Fuels'!V198</f>
        <v/>
      </c>
      <c r="AF967" s="193" t="str">
        <f>'Buildings - Heat &amp; Fuels'!W198</f>
        <v/>
      </c>
      <c r="AG967" s="193" t="str">
        <f>'Buildings - Heat &amp; Fuels'!X198</f>
        <v/>
      </c>
      <c r="AI967" s="193">
        <f t="shared" si="18"/>
        <v>0</v>
      </c>
      <c r="AJ967" s="193">
        <f t="shared" si="19"/>
        <v>0</v>
      </c>
    </row>
    <row r="968" spans="2:36" x14ac:dyDescent="0.35">
      <c r="B968" s="193" t="e">
        <f>"2024"&amp;MATCH(Totals!D968,OrgType,0)&amp;"_"&amp;MATCH(Totals!E968,Organisations,0)&amp;"_"&amp;LEFT(Totals!F968,1)&amp;"_"&amp;LEFT(G968,1)&amp;"_"&amp;COUNTIF($G$3:G968,G968)</f>
        <v>#N/A</v>
      </c>
      <c r="C968" s="193">
        <v>2025</v>
      </c>
      <c r="D968" s="193">
        <f>Introduction!$D$7</f>
        <v>0</v>
      </c>
      <c r="E968" s="193">
        <f>Introduction!$D$8</f>
        <v>0</v>
      </c>
      <c r="F968" s="193" t="s">
        <v>488</v>
      </c>
      <c r="G968" s="193" t="s">
        <v>490</v>
      </c>
      <c r="H968" s="193">
        <f>'Buildings - Heat &amp; Fuels'!B199</f>
        <v>0</v>
      </c>
      <c r="I968" s="193">
        <f>'Buildings - Heat &amp; Fuels'!C199</f>
        <v>0</v>
      </c>
      <c r="J968" s="193" t="str">
        <f>'Buildings - Heat &amp; Fuels'!D199</f>
        <v/>
      </c>
      <c r="K968" s="237"/>
      <c r="L968" s="237"/>
      <c r="M968" s="193">
        <f>'Buildings - Heat &amp; Fuels'!E199</f>
        <v>0</v>
      </c>
      <c r="N968" s="193">
        <f>'Buildings - Heat &amp; Fuels'!F199</f>
        <v>0</v>
      </c>
      <c r="O968" s="237"/>
      <c r="P968" s="193">
        <f>'Buildings - Heat &amp; Fuels'!G199</f>
        <v>0</v>
      </c>
      <c r="Q968" s="193" t="str">
        <f>'Buildings - Heat &amp; Fuels'!H199</f>
        <v/>
      </c>
      <c r="R968" s="193">
        <f>'Buildings - Heat &amp; Fuels'!I199</f>
        <v>0</v>
      </c>
      <c r="S968" s="193">
        <f>'Buildings - Heat &amp; Fuels'!J199</f>
        <v>0</v>
      </c>
      <c r="T968" s="193" t="str">
        <f>'Buildings - Heat &amp; Fuels'!K199</f>
        <v/>
      </c>
      <c r="U968" s="193" t="str">
        <f>'Buildings - Heat &amp; Fuels'!L199</f>
        <v/>
      </c>
      <c r="V968" s="193" t="str">
        <f>'Buildings - Heat &amp; Fuels'!M199</f>
        <v/>
      </c>
      <c r="W968" s="193" t="str">
        <f>'Buildings - Heat &amp; Fuels'!N199</f>
        <v/>
      </c>
      <c r="X968" s="193">
        <f>'Buildings - Heat &amp; Fuels'!O199</f>
        <v>0</v>
      </c>
      <c r="Y968" s="193">
        <f>'Buildings - Heat &amp; Fuels'!P199</f>
        <v>0</v>
      </c>
      <c r="Z968" s="193" t="str">
        <f>'Buildings - Heat &amp; Fuels'!Q199</f>
        <v/>
      </c>
      <c r="AA968" s="193" t="str">
        <f>'Buildings - Heat &amp; Fuels'!R199</f>
        <v/>
      </c>
      <c r="AB968" s="193" t="str">
        <f>'Buildings - Heat &amp; Fuels'!S199</f>
        <v/>
      </c>
      <c r="AC968" s="193" t="str">
        <f>'Buildings - Heat &amp; Fuels'!T199</f>
        <v/>
      </c>
      <c r="AD968" s="193" t="str">
        <f>'Buildings - Heat &amp; Fuels'!U199</f>
        <v/>
      </c>
      <c r="AE968" s="193" t="str">
        <f>'Buildings - Heat &amp; Fuels'!V199</f>
        <v/>
      </c>
      <c r="AF968" s="193" t="str">
        <f>'Buildings - Heat &amp; Fuels'!W199</f>
        <v/>
      </c>
      <c r="AG968" s="193" t="str">
        <f>'Buildings - Heat &amp; Fuels'!X199</f>
        <v/>
      </c>
      <c r="AI968" s="193">
        <f t="shared" si="18"/>
        <v>0</v>
      </c>
      <c r="AJ968" s="193">
        <f t="shared" si="19"/>
        <v>0</v>
      </c>
    </row>
    <row r="969" spans="2:36" x14ac:dyDescent="0.35">
      <c r="B969" s="193" t="e">
        <f>"2024"&amp;MATCH(Totals!D969,OrgType,0)&amp;"_"&amp;MATCH(Totals!E969,Organisations,0)&amp;"_"&amp;LEFT(Totals!F969,1)&amp;"_"&amp;LEFT(G969,1)&amp;"_"&amp;COUNTIF($G$3:G969,G969)</f>
        <v>#N/A</v>
      </c>
      <c r="C969" s="193">
        <v>2025</v>
      </c>
      <c r="D969" s="193">
        <f>Introduction!$D$7</f>
        <v>0</v>
      </c>
      <c r="E969" s="193">
        <f>Introduction!$D$8</f>
        <v>0</v>
      </c>
      <c r="F969" s="193" t="s">
        <v>488</v>
      </c>
      <c r="G969" s="193" t="s">
        <v>490</v>
      </c>
      <c r="H969" s="193">
        <f>'Buildings - Heat &amp; Fuels'!B200</f>
        <v>0</v>
      </c>
      <c r="I969" s="193">
        <f>'Buildings - Heat &amp; Fuels'!C200</f>
        <v>0</v>
      </c>
      <c r="J969" s="193" t="str">
        <f>'Buildings - Heat &amp; Fuels'!D200</f>
        <v/>
      </c>
      <c r="K969" s="237"/>
      <c r="L969" s="237"/>
      <c r="M969" s="193">
        <f>'Buildings - Heat &amp; Fuels'!E200</f>
        <v>0</v>
      </c>
      <c r="N969" s="193">
        <f>'Buildings - Heat &amp; Fuels'!F200</f>
        <v>0</v>
      </c>
      <c r="O969" s="237"/>
      <c r="P969" s="193">
        <f>'Buildings - Heat &amp; Fuels'!G200</f>
        <v>0</v>
      </c>
      <c r="Q969" s="193" t="str">
        <f>'Buildings - Heat &amp; Fuels'!H200</f>
        <v/>
      </c>
      <c r="R969" s="193">
        <f>'Buildings - Heat &amp; Fuels'!I200</f>
        <v>0</v>
      </c>
      <c r="S969" s="193">
        <f>'Buildings - Heat &amp; Fuels'!J200</f>
        <v>0</v>
      </c>
      <c r="T969" s="193" t="str">
        <f>'Buildings - Heat &amp; Fuels'!K200</f>
        <v/>
      </c>
      <c r="U969" s="193" t="str">
        <f>'Buildings - Heat &amp; Fuels'!L200</f>
        <v/>
      </c>
      <c r="V969" s="193" t="str">
        <f>'Buildings - Heat &amp; Fuels'!M200</f>
        <v/>
      </c>
      <c r="W969" s="193" t="str">
        <f>'Buildings - Heat &amp; Fuels'!N200</f>
        <v/>
      </c>
      <c r="X969" s="193">
        <f>'Buildings - Heat &amp; Fuels'!O200</f>
        <v>0</v>
      </c>
      <c r="Y969" s="193">
        <f>'Buildings - Heat &amp; Fuels'!P200</f>
        <v>0</v>
      </c>
      <c r="Z969" s="193" t="str">
        <f>'Buildings - Heat &amp; Fuels'!Q200</f>
        <v/>
      </c>
      <c r="AA969" s="193" t="str">
        <f>'Buildings - Heat &amp; Fuels'!R200</f>
        <v/>
      </c>
      <c r="AB969" s="193" t="str">
        <f>'Buildings - Heat &amp; Fuels'!S200</f>
        <v/>
      </c>
      <c r="AC969" s="193" t="str">
        <f>'Buildings - Heat &amp; Fuels'!T200</f>
        <v/>
      </c>
      <c r="AD969" s="193" t="str">
        <f>'Buildings - Heat &amp; Fuels'!U200</f>
        <v/>
      </c>
      <c r="AE969" s="193" t="str">
        <f>'Buildings - Heat &amp; Fuels'!V200</f>
        <v/>
      </c>
      <c r="AF969" s="193" t="str">
        <f>'Buildings - Heat &amp; Fuels'!W200</f>
        <v/>
      </c>
      <c r="AG969" s="193" t="str">
        <f>'Buildings - Heat &amp; Fuels'!X200</f>
        <v/>
      </c>
      <c r="AI969" s="193">
        <f t="shared" si="18"/>
        <v>0</v>
      </c>
      <c r="AJ969" s="193">
        <f t="shared" si="19"/>
        <v>0</v>
      </c>
    </row>
    <row r="970" spans="2:36" x14ac:dyDescent="0.35">
      <c r="B970" s="193" t="e">
        <f>"2024"&amp;MATCH(Totals!D970,OrgType,0)&amp;"_"&amp;MATCH(Totals!E970,Organisations,0)&amp;"_"&amp;LEFT(Totals!F970,1)&amp;"_"&amp;LEFT(G970,1)&amp;"_"&amp;COUNTIF($G$3:G970,G970)</f>
        <v>#N/A</v>
      </c>
      <c r="C970" s="193">
        <v>2025</v>
      </c>
      <c r="D970" s="193">
        <f>Introduction!$D$7</f>
        <v>0</v>
      </c>
      <c r="E970" s="193">
        <f>Introduction!$D$8</f>
        <v>0</v>
      </c>
      <c r="F970" s="193" t="s">
        <v>488</v>
      </c>
      <c r="G970" s="193" t="s">
        <v>490</v>
      </c>
      <c r="H970" s="193">
        <f>'Buildings - Heat &amp; Fuels'!B201</f>
        <v>0</v>
      </c>
      <c r="I970" s="193">
        <f>'Buildings - Heat &amp; Fuels'!C201</f>
        <v>0</v>
      </c>
      <c r="J970" s="193" t="str">
        <f>'Buildings - Heat &amp; Fuels'!D201</f>
        <v/>
      </c>
      <c r="K970" s="237"/>
      <c r="L970" s="237"/>
      <c r="M970" s="193">
        <f>'Buildings - Heat &amp; Fuels'!E201</f>
        <v>0</v>
      </c>
      <c r="N970" s="193">
        <f>'Buildings - Heat &amp; Fuels'!F201</f>
        <v>0</v>
      </c>
      <c r="O970" s="237"/>
      <c r="P970" s="193">
        <f>'Buildings - Heat &amp; Fuels'!G201</f>
        <v>0</v>
      </c>
      <c r="Q970" s="193" t="str">
        <f>'Buildings - Heat &amp; Fuels'!H201</f>
        <v/>
      </c>
      <c r="R970" s="193">
        <f>'Buildings - Heat &amp; Fuels'!I201</f>
        <v>0</v>
      </c>
      <c r="S970" s="193">
        <f>'Buildings - Heat &amp; Fuels'!J201</f>
        <v>0</v>
      </c>
      <c r="T970" s="193" t="str">
        <f>'Buildings - Heat &amp; Fuels'!K201</f>
        <v/>
      </c>
      <c r="U970" s="193" t="str">
        <f>'Buildings - Heat &amp; Fuels'!L201</f>
        <v/>
      </c>
      <c r="V970" s="193" t="str">
        <f>'Buildings - Heat &amp; Fuels'!M201</f>
        <v/>
      </c>
      <c r="W970" s="193" t="str">
        <f>'Buildings - Heat &amp; Fuels'!N201</f>
        <v/>
      </c>
      <c r="X970" s="193">
        <f>'Buildings - Heat &amp; Fuels'!O201</f>
        <v>0</v>
      </c>
      <c r="Y970" s="193">
        <f>'Buildings - Heat &amp; Fuels'!P201</f>
        <v>0</v>
      </c>
      <c r="Z970" s="193" t="str">
        <f>'Buildings - Heat &amp; Fuels'!Q201</f>
        <v/>
      </c>
      <c r="AA970" s="193" t="str">
        <f>'Buildings - Heat &amp; Fuels'!R201</f>
        <v/>
      </c>
      <c r="AB970" s="193" t="str">
        <f>'Buildings - Heat &amp; Fuels'!S201</f>
        <v/>
      </c>
      <c r="AC970" s="193" t="str">
        <f>'Buildings - Heat &amp; Fuels'!T201</f>
        <v/>
      </c>
      <c r="AD970" s="193" t="str">
        <f>'Buildings - Heat &amp; Fuels'!U201</f>
        <v/>
      </c>
      <c r="AE970" s="193" t="str">
        <f>'Buildings - Heat &amp; Fuels'!V201</f>
        <v/>
      </c>
      <c r="AF970" s="193" t="str">
        <f>'Buildings - Heat &amp; Fuels'!W201</f>
        <v/>
      </c>
      <c r="AG970" s="193" t="str">
        <f>'Buildings - Heat &amp; Fuels'!X201</f>
        <v/>
      </c>
      <c r="AI970" s="193">
        <f t="shared" si="18"/>
        <v>0</v>
      </c>
      <c r="AJ970" s="193">
        <f t="shared" si="19"/>
        <v>0</v>
      </c>
    </row>
    <row r="971" spans="2:36" x14ac:dyDescent="0.35">
      <c r="B971" s="193" t="e">
        <f>"2024"&amp;MATCH(Totals!D971,OrgType,0)&amp;"_"&amp;MATCH(Totals!E971,Organisations,0)&amp;"_"&amp;LEFT(Totals!F971,1)&amp;"_"&amp;LEFT(G971,1)&amp;"_"&amp;COUNTIF($G$3:G971,G971)</f>
        <v>#N/A</v>
      </c>
      <c r="C971" s="193">
        <v>2025</v>
      </c>
      <c r="D971" s="193">
        <f>Introduction!$D$7</f>
        <v>0</v>
      </c>
      <c r="E971" s="193">
        <f>Introduction!$D$8</f>
        <v>0</v>
      </c>
      <c r="F971" s="193" t="s">
        <v>488</v>
      </c>
      <c r="G971" s="193" t="s">
        <v>490</v>
      </c>
      <c r="H971" s="193">
        <f>'Buildings - Heat &amp; Fuels'!B202</f>
        <v>0</v>
      </c>
      <c r="I971" s="193">
        <f>'Buildings - Heat &amp; Fuels'!C202</f>
        <v>0</v>
      </c>
      <c r="J971" s="193" t="str">
        <f>'Buildings - Heat &amp; Fuels'!D202</f>
        <v/>
      </c>
      <c r="K971" s="237"/>
      <c r="L971" s="237"/>
      <c r="M971" s="193">
        <f>'Buildings - Heat &amp; Fuels'!E202</f>
        <v>0</v>
      </c>
      <c r="N971" s="193">
        <f>'Buildings - Heat &amp; Fuels'!F202</f>
        <v>0</v>
      </c>
      <c r="O971" s="237"/>
      <c r="P971" s="193">
        <f>'Buildings - Heat &amp; Fuels'!G202</f>
        <v>0</v>
      </c>
      <c r="Q971" s="193" t="str">
        <f>'Buildings - Heat &amp; Fuels'!H202</f>
        <v/>
      </c>
      <c r="R971" s="193">
        <f>'Buildings - Heat &amp; Fuels'!I202</f>
        <v>0</v>
      </c>
      <c r="S971" s="193">
        <f>'Buildings - Heat &amp; Fuels'!J202</f>
        <v>0</v>
      </c>
      <c r="T971" s="193" t="str">
        <f>'Buildings - Heat &amp; Fuels'!K202</f>
        <v/>
      </c>
      <c r="U971" s="193" t="str">
        <f>'Buildings - Heat &amp; Fuels'!L202</f>
        <v/>
      </c>
      <c r="V971" s="193" t="str">
        <f>'Buildings - Heat &amp; Fuels'!M202</f>
        <v/>
      </c>
      <c r="W971" s="193" t="str">
        <f>'Buildings - Heat &amp; Fuels'!N202</f>
        <v/>
      </c>
      <c r="X971" s="193">
        <f>'Buildings - Heat &amp; Fuels'!O202</f>
        <v>0</v>
      </c>
      <c r="Y971" s="193">
        <f>'Buildings - Heat &amp; Fuels'!P202</f>
        <v>0</v>
      </c>
      <c r="Z971" s="193" t="str">
        <f>'Buildings - Heat &amp; Fuels'!Q202</f>
        <v/>
      </c>
      <c r="AA971" s="193" t="str">
        <f>'Buildings - Heat &amp; Fuels'!R202</f>
        <v/>
      </c>
      <c r="AB971" s="193" t="str">
        <f>'Buildings - Heat &amp; Fuels'!S202</f>
        <v/>
      </c>
      <c r="AC971" s="193" t="str">
        <f>'Buildings - Heat &amp; Fuels'!T202</f>
        <v/>
      </c>
      <c r="AD971" s="193" t="str">
        <f>'Buildings - Heat &amp; Fuels'!U202</f>
        <v/>
      </c>
      <c r="AE971" s="193" t="str">
        <f>'Buildings - Heat &amp; Fuels'!V202</f>
        <v/>
      </c>
      <c r="AF971" s="193" t="str">
        <f>'Buildings - Heat &amp; Fuels'!W202</f>
        <v/>
      </c>
      <c r="AG971" s="193" t="str">
        <f>'Buildings - Heat &amp; Fuels'!X202</f>
        <v/>
      </c>
      <c r="AI971" s="193">
        <f t="shared" si="18"/>
        <v>0</v>
      </c>
      <c r="AJ971" s="193">
        <f t="shared" si="19"/>
        <v>0</v>
      </c>
    </row>
    <row r="972" spans="2:36" x14ac:dyDescent="0.35">
      <c r="B972" s="193" t="e">
        <f>"2024"&amp;MATCH(Totals!D972,OrgType,0)&amp;"_"&amp;MATCH(Totals!E972,Organisations,0)&amp;"_"&amp;LEFT(Totals!F972,1)&amp;"_"&amp;LEFT(G972,1)&amp;"_"&amp;COUNTIF($G$3:G972,G972)</f>
        <v>#N/A</v>
      </c>
      <c r="C972" s="193">
        <v>2025</v>
      </c>
      <c r="D972" s="193">
        <f>Introduction!$D$7</f>
        <v>0</v>
      </c>
      <c r="E972" s="193">
        <f>Introduction!$D$8</f>
        <v>0</v>
      </c>
      <c r="F972" s="193" t="s">
        <v>488</v>
      </c>
      <c r="G972" s="193" t="s">
        <v>490</v>
      </c>
      <c r="H972" s="193">
        <f>'Buildings - Heat &amp; Fuels'!B203</f>
        <v>0</v>
      </c>
      <c r="I972" s="193">
        <f>'Buildings - Heat &amp; Fuels'!C203</f>
        <v>0</v>
      </c>
      <c r="J972" s="193" t="str">
        <f>'Buildings - Heat &amp; Fuels'!D203</f>
        <v/>
      </c>
      <c r="K972" s="237"/>
      <c r="L972" s="237"/>
      <c r="M972" s="193">
        <f>'Buildings - Heat &amp; Fuels'!E203</f>
        <v>0</v>
      </c>
      <c r="N972" s="193">
        <f>'Buildings - Heat &amp; Fuels'!F203</f>
        <v>0</v>
      </c>
      <c r="O972" s="237"/>
      <c r="P972" s="193">
        <f>'Buildings - Heat &amp; Fuels'!G203</f>
        <v>0</v>
      </c>
      <c r="Q972" s="193" t="str">
        <f>'Buildings - Heat &amp; Fuels'!H203</f>
        <v/>
      </c>
      <c r="R972" s="193">
        <f>'Buildings - Heat &amp; Fuels'!I203</f>
        <v>0</v>
      </c>
      <c r="S972" s="193">
        <f>'Buildings - Heat &amp; Fuels'!J203</f>
        <v>0</v>
      </c>
      <c r="T972" s="193" t="str">
        <f>'Buildings - Heat &amp; Fuels'!K203</f>
        <v/>
      </c>
      <c r="U972" s="193" t="str">
        <f>'Buildings - Heat &amp; Fuels'!L203</f>
        <v/>
      </c>
      <c r="V972" s="193" t="str">
        <f>'Buildings - Heat &amp; Fuels'!M203</f>
        <v/>
      </c>
      <c r="W972" s="193" t="str">
        <f>'Buildings - Heat &amp; Fuels'!N203</f>
        <v/>
      </c>
      <c r="X972" s="193">
        <f>'Buildings - Heat &amp; Fuels'!O203</f>
        <v>0</v>
      </c>
      <c r="Y972" s="193">
        <f>'Buildings - Heat &amp; Fuels'!P203</f>
        <v>0</v>
      </c>
      <c r="Z972" s="193" t="str">
        <f>'Buildings - Heat &amp; Fuels'!Q203</f>
        <v/>
      </c>
      <c r="AA972" s="193" t="str">
        <f>'Buildings - Heat &amp; Fuels'!R203</f>
        <v/>
      </c>
      <c r="AB972" s="193" t="str">
        <f>'Buildings - Heat &amp; Fuels'!S203</f>
        <v/>
      </c>
      <c r="AC972" s="193" t="str">
        <f>'Buildings - Heat &amp; Fuels'!T203</f>
        <v/>
      </c>
      <c r="AD972" s="193" t="str">
        <f>'Buildings - Heat &amp; Fuels'!U203</f>
        <v/>
      </c>
      <c r="AE972" s="193" t="str">
        <f>'Buildings - Heat &amp; Fuels'!V203</f>
        <v/>
      </c>
      <c r="AF972" s="193" t="str">
        <f>'Buildings - Heat &amp; Fuels'!W203</f>
        <v/>
      </c>
      <c r="AG972" s="193" t="str">
        <f>'Buildings - Heat &amp; Fuels'!X203</f>
        <v/>
      </c>
      <c r="AI972" s="193">
        <f t="shared" si="18"/>
        <v>0</v>
      </c>
      <c r="AJ972" s="193">
        <f t="shared" si="19"/>
        <v>0</v>
      </c>
    </row>
    <row r="973" spans="2:36" x14ac:dyDescent="0.35">
      <c r="B973" s="193" t="e">
        <f>"2024"&amp;MATCH(Totals!D973,OrgType,0)&amp;"_"&amp;MATCH(Totals!E973,Organisations,0)&amp;"_"&amp;LEFT(Totals!F973,1)&amp;"_"&amp;LEFT(G973,1)&amp;"_"&amp;COUNTIF($G$3:G973,G973)</f>
        <v>#N/A</v>
      </c>
      <c r="C973" s="193">
        <v>2025</v>
      </c>
      <c r="D973" s="193">
        <f>Introduction!$D$7</f>
        <v>0</v>
      </c>
      <c r="E973" s="193">
        <f>Introduction!$D$8</f>
        <v>0</v>
      </c>
      <c r="F973" s="193" t="s">
        <v>488</v>
      </c>
      <c r="G973" s="193" t="s">
        <v>490</v>
      </c>
      <c r="H973" s="193">
        <f>'Buildings - Heat &amp; Fuels'!B204</f>
        <v>0</v>
      </c>
      <c r="I973" s="193">
        <f>'Buildings - Heat &amp; Fuels'!C204</f>
        <v>0</v>
      </c>
      <c r="J973" s="193" t="str">
        <f>'Buildings - Heat &amp; Fuels'!D204</f>
        <v/>
      </c>
      <c r="K973" s="237"/>
      <c r="L973" s="237"/>
      <c r="M973" s="193">
        <f>'Buildings - Heat &amp; Fuels'!E204</f>
        <v>0</v>
      </c>
      <c r="N973" s="193">
        <f>'Buildings - Heat &amp; Fuels'!F204</f>
        <v>0</v>
      </c>
      <c r="O973" s="237"/>
      <c r="P973" s="193">
        <f>'Buildings - Heat &amp; Fuels'!G204</f>
        <v>0</v>
      </c>
      <c r="Q973" s="193" t="str">
        <f>'Buildings - Heat &amp; Fuels'!H204</f>
        <v/>
      </c>
      <c r="R973" s="193">
        <f>'Buildings - Heat &amp; Fuels'!I204</f>
        <v>0</v>
      </c>
      <c r="S973" s="193">
        <f>'Buildings - Heat &amp; Fuels'!J204</f>
        <v>0</v>
      </c>
      <c r="T973" s="193" t="str">
        <f>'Buildings - Heat &amp; Fuels'!K204</f>
        <v/>
      </c>
      <c r="U973" s="193" t="str">
        <f>'Buildings - Heat &amp; Fuels'!L204</f>
        <v/>
      </c>
      <c r="V973" s="193" t="str">
        <f>'Buildings - Heat &amp; Fuels'!M204</f>
        <v/>
      </c>
      <c r="W973" s="193" t="str">
        <f>'Buildings - Heat &amp; Fuels'!N204</f>
        <v/>
      </c>
      <c r="X973" s="193">
        <f>'Buildings - Heat &amp; Fuels'!O204</f>
        <v>0</v>
      </c>
      <c r="Y973" s="193">
        <f>'Buildings - Heat &amp; Fuels'!P204</f>
        <v>0</v>
      </c>
      <c r="Z973" s="193" t="str">
        <f>'Buildings - Heat &amp; Fuels'!Q204</f>
        <v/>
      </c>
      <c r="AA973" s="193" t="str">
        <f>'Buildings - Heat &amp; Fuels'!R204</f>
        <v/>
      </c>
      <c r="AB973" s="193" t="str">
        <f>'Buildings - Heat &amp; Fuels'!S204</f>
        <v/>
      </c>
      <c r="AC973" s="193" t="str">
        <f>'Buildings - Heat &amp; Fuels'!T204</f>
        <v/>
      </c>
      <c r="AD973" s="193" t="str">
        <f>'Buildings - Heat &amp; Fuels'!U204</f>
        <v/>
      </c>
      <c r="AE973" s="193" t="str">
        <f>'Buildings - Heat &amp; Fuels'!V204</f>
        <v/>
      </c>
      <c r="AF973" s="193" t="str">
        <f>'Buildings - Heat &amp; Fuels'!W204</f>
        <v/>
      </c>
      <c r="AG973" s="193" t="str">
        <f>'Buildings - Heat &amp; Fuels'!X204</f>
        <v/>
      </c>
      <c r="AI973" s="193">
        <f t="shared" si="18"/>
        <v>0</v>
      </c>
      <c r="AJ973" s="193">
        <f t="shared" si="19"/>
        <v>0</v>
      </c>
    </row>
    <row r="974" spans="2:36" x14ac:dyDescent="0.35">
      <c r="B974" s="193" t="e">
        <f>"2024"&amp;MATCH(Totals!D974,OrgType,0)&amp;"_"&amp;MATCH(Totals!E974,Organisations,0)&amp;"_"&amp;LEFT(Totals!F974,1)&amp;"_"&amp;LEFT(G974,1)&amp;"_"&amp;COUNTIF($G$3:G974,G974)</f>
        <v>#N/A</v>
      </c>
      <c r="C974" s="193">
        <v>2025</v>
      </c>
      <c r="D974" s="193">
        <f>Introduction!$D$7</f>
        <v>0</v>
      </c>
      <c r="E974" s="193">
        <f>Introduction!$D$8</f>
        <v>0</v>
      </c>
      <c r="F974" s="193" t="s">
        <v>488</v>
      </c>
      <c r="G974" s="193" t="s">
        <v>490</v>
      </c>
      <c r="H974" s="193">
        <f>'Buildings - Heat &amp; Fuels'!B205</f>
        <v>0</v>
      </c>
      <c r="I974" s="193">
        <f>'Buildings - Heat &amp; Fuels'!C205</f>
        <v>0</v>
      </c>
      <c r="J974" s="193" t="str">
        <f>'Buildings - Heat &amp; Fuels'!D205</f>
        <v/>
      </c>
      <c r="K974" s="237"/>
      <c r="L974" s="237"/>
      <c r="M974" s="193">
        <f>'Buildings - Heat &amp; Fuels'!E205</f>
        <v>0</v>
      </c>
      <c r="N974" s="193">
        <f>'Buildings - Heat &amp; Fuels'!F205</f>
        <v>0</v>
      </c>
      <c r="O974" s="237"/>
      <c r="P974" s="193">
        <f>'Buildings - Heat &amp; Fuels'!G205</f>
        <v>0</v>
      </c>
      <c r="Q974" s="193" t="str">
        <f>'Buildings - Heat &amp; Fuels'!H205</f>
        <v/>
      </c>
      <c r="R974" s="193">
        <f>'Buildings - Heat &amp; Fuels'!I205</f>
        <v>0</v>
      </c>
      <c r="S974" s="193">
        <f>'Buildings - Heat &amp; Fuels'!J205</f>
        <v>0</v>
      </c>
      <c r="T974" s="193" t="str">
        <f>'Buildings - Heat &amp; Fuels'!K205</f>
        <v/>
      </c>
      <c r="U974" s="193" t="str">
        <f>'Buildings - Heat &amp; Fuels'!L205</f>
        <v/>
      </c>
      <c r="V974" s="193" t="str">
        <f>'Buildings - Heat &amp; Fuels'!M205</f>
        <v/>
      </c>
      <c r="W974" s="193" t="str">
        <f>'Buildings - Heat &amp; Fuels'!N205</f>
        <v/>
      </c>
      <c r="X974" s="193">
        <f>'Buildings - Heat &amp; Fuels'!O205</f>
        <v>0</v>
      </c>
      <c r="Y974" s="193">
        <f>'Buildings - Heat &amp; Fuels'!P205</f>
        <v>0</v>
      </c>
      <c r="Z974" s="193" t="str">
        <f>'Buildings - Heat &amp; Fuels'!Q205</f>
        <v/>
      </c>
      <c r="AA974" s="193" t="str">
        <f>'Buildings - Heat &amp; Fuels'!R205</f>
        <v/>
      </c>
      <c r="AB974" s="193" t="str">
        <f>'Buildings - Heat &amp; Fuels'!S205</f>
        <v/>
      </c>
      <c r="AC974" s="193" t="str">
        <f>'Buildings - Heat &amp; Fuels'!T205</f>
        <v/>
      </c>
      <c r="AD974" s="193" t="str">
        <f>'Buildings - Heat &amp; Fuels'!U205</f>
        <v/>
      </c>
      <c r="AE974" s="193" t="str">
        <f>'Buildings - Heat &amp; Fuels'!V205</f>
        <v/>
      </c>
      <c r="AF974" s="193" t="str">
        <f>'Buildings - Heat &amp; Fuels'!W205</f>
        <v/>
      </c>
      <c r="AG974" s="193" t="str">
        <f>'Buildings - Heat &amp; Fuels'!X205</f>
        <v/>
      </c>
      <c r="AI974" s="193">
        <f t="shared" si="18"/>
        <v>0</v>
      </c>
      <c r="AJ974" s="193">
        <f t="shared" si="19"/>
        <v>0</v>
      </c>
    </row>
    <row r="975" spans="2:36" x14ac:dyDescent="0.35">
      <c r="B975" s="193" t="e">
        <f>"2024"&amp;MATCH(Totals!D975,OrgType,0)&amp;"_"&amp;MATCH(Totals!E975,Organisations,0)&amp;"_"&amp;LEFT(Totals!F975,1)&amp;"_"&amp;LEFT(G975,1)&amp;"_"&amp;COUNTIF($G$3:G975,G975)</f>
        <v>#N/A</v>
      </c>
      <c r="C975" s="193">
        <v>2025</v>
      </c>
      <c r="D975" s="193">
        <f>Introduction!$D$7</f>
        <v>0</v>
      </c>
      <c r="E975" s="193">
        <f>Introduction!$D$8</f>
        <v>0</v>
      </c>
      <c r="F975" s="193" t="s">
        <v>488</v>
      </c>
      <c r="G975" s="193" t="s">
        <v>490</v>
      </c>
      <c r="H975" s="193">
        <f>'Buildings - Heat &amp; Fuels'!B206</f>
        <v>0</v>
      </c>
      <c r="I975" s="193">
        <f>'Buildings - Heat &amp; Fuels'!C206</f>
        <v>0</v>
      </c>
      <c r="J975" s="193" t="str">
        <f>'Buildings - Heat &amp; Fuels'!D206</f>
        <v/>
      </c>
      <c r="K975" s="237"/>
      <c r="L975" s="237"/>
      <c r="M975" s="193">
        <f>'Buildings - Heat &amp; Fuels'!E206</f>
        <v>0</v>
      </c>
      <c r="N975" s="193">
        <f>'Buildings - Heat &amp; Fuels'!F206</f>
        <v>0</v>
      </c>
      <c r="O975" s="237"/>
      <c r="P975" s="193">
        <f>'Buildings - Heat &amp; Fuels'!G206</f>
        <v>0</v>
      </c>
      <c r="Q975" s="193" t="str">
        <f>'Buildings - Heat &amp; Fuels'!H206</f>
        <v/>
      </c>
      <c r="R975" s="193">
        <f>'Buildings - Heat &amp; Fuels'!I206</f>
        <v>0</v>
      </c>
      <c r="S975" s="193">
        <f>'Buildings - Heat &amp; Fuels'!J206</f>
        <v>0</v>
      </c>
      <c r="T975" s="193" t="str">
        <f>'Buildings - Heat &amp; Fuels'!K206</f>
        <v/>
      </c>
      <c r="U975" s="193" t="str">
        <f>'Buildings - Heat &amp; Fuels'!L206</f>
        <v/>
      </c>
      <c r="V975" s="193" t="str">
        <f>'Buildings - Heat &amp; Fuels'!M206</f>
        <v/>
      </c>
      <c r="W975" s="193" t="str">
        <f>'Buildings - Heat &amp; Fuels'!N206</f>
        <v/>
      </c>
      <c r="X975" s="193">
        <f>'Buildings - Heat &amp; Fuels'!O206</f>
        <v>0</v>
      </c>
      <c r="Y975" s="193">
        <f>'Buildings - Heat &amp; Fuels'!P206</f>
        <v>0</v>
      </c>
      <c r="Z975" s="193" t="str">
        <f>'Buildings - Heat &amp; Fuels'!Q206</f>
        <v/>
      </c>
      <c r="AA975" s="193" t="str">
        <f>'Buildings - Heat &amp; Fuels'!R206</f>
        <v/>
      </c>
      <c r="AB975" s="193" t="str">
        <f>'Buildings - Heat &amp; Fuels'!S206</f>
        <v/>
      </c>
      <c r="AC975" s="193" t="str">
        <f>'Buildings - Heat &amp; Fuels'!T206</f>
        <v/>
      </c>
      <c r="AD975" s="193" t="str">
        <f>'Buildings - Heat &amp; Fuels'!U206</f>
        <v/>
      </c>
      <c r="AE975" s="193" t="str">
        <f>'Buildings - Heat &amp; Fuels'!V206</f>
        <v/>
      </c>
      <c r="AF975" s="193" t="str">
        <f>'Buildings - Heat &amp; Fuels'!W206</f>
        <v/>
      </c>
      <c r="AG975" s="193" t="str">
        <f>'Buildings - Heat &amp; Fuels'!X206</f>
        <v/>
      </c>
      <c r="AI975" s="193">
        <f t="shared" si="18"/>
        <v>0</v>
      </c>
      <c r="AJ975" s="193">
        <f t="shared" si="19"/>
        <v>0</v>
      </c>
    </row>
    <row r="976" spans="2:36" x14ac:dyDescent="0.35">
      <c r="B976" s="193" t="e">
        <f>"2024"&amp;MATCH(Totals!D976,OrgType,0)&amp;"_"&amp;MATCH(Totals!E976,Organisations,0)&amp;"_"&amp;LEFT(Totals!F976,1)&amp;"_"&amp;LEFT(G976,1)&amp;"_"&amp;COUNTIF($G$3:G976,G976)</f>
        <v>#N/A</v>
      </c>
      <c r="C976" s="193">
        <v>2025</v>
      </c>
      <c r="D976" s="193">
        <f>Introduction!$D$7</f>
        <v>0</v>
      </c>
      <c r="E976" s="193">
        <f>Introduction!$D$8</f>
        <v>0</v>
      </c>
      <c r="F976" s="193" t="s">
        <v>488</v>
      </c>
      <c r="G976" s="193" t="s">
        <v>490</v>
      </c>
      <c r="H976" s="193">
        <f>'Buildings - Heat &amp; Fuels'!B207</f>
        <v>0</v>
      </c>
      <c r="I976" s="193">
        <f>'Buildings - Heat &amp; Fuels'!C207</f>
        <v>0</v>
      </c>
      <c r="J976" s="193" t="str">
        <f>'Buildings - Heat &amp; Fuels'!D207</f>
        <v/>
      </c>
      <c r="K976" s="237"/>
      <c r="L976" s="237"/>
      <c r="M976" s="193">
        <f>'Buildings - Heat &amp; Fuels'!E207</f>
        <v>0</v>
      </c>
      <c r="N976" s="193">
        <f>'Buildings - Heat &amp; Fuels'!F207</f>
        <v>0</v>
      </c>
      <c r="O976" s="237"/>
      <c r="P976" s="193">
        <f>'Buildings - Heat &amp; Fuels'!G207</f>
        <v>0</v>
      </c>
      <c r="Q976" s="193" t="str">
        <f>'Buildings - Heat &amp; Fuels'!H207</f>
        <v/>
      </c>
      <c r="R976" s="193">
        <f>'Buildings - Heat &amp; Fuels'!I207</f>
        <v>0</v>
      </c>
      <c r="S976" s="193">
        <f>'Buildings - Heat &amp; Fuels'!J207</f>
        <v>0</v>
      </c>
      <c r="T976" s="193" t="str">
        <f>'Buildings - Heat &amp; Fuels'!K207</f>
        <v/>
      </c>
      <c r="U976" s="193" t="str">
        <f>'Buildings - Heat &amp; Fuels'!L207</f>
        <v/>
      </c>
      <c r="V976" s="193" t="str">
        <f>'Buildings - Heat &amp; Fuels'!M207</f>
        <v/>
      </c>
      <c r="W976" s="193" t="str">
        <f>'Buildings - Heat &amp; Fuels'!N207</f>
        <v/>
      </c>
      <c r="X976" s="193">
        <f>'Buildings - Heat &amp; Fuels'!O207</f>
        <v>0</v>
      </c>
      <c r="Y976" s="193">
        <f>'Buildings - Heat &amp; Fuels'!P207</f>
        <v>0</v>
      </c>
      <c r="Z976" s="193" t="str">
        <f>'Buildings - Heat &amp; Fuels'!Q207</f>
        <v/>
      </c>
      <c r="AA976" s="193" t="str">
        <f>'Buildings - Heat &amp; Fuels'!R207</f>
        <v/>
      </c>
      <c r="AB976" s="193" t="str">
        <f>'Buildings - Heat &amp; Fuels'!S207</f>
        <v/>
      </c>
      <c r="AC976" s="193" t="str">
        <f>'Buildings - Heat &amp; Fuels'!T207</f>
        <v/>
      </c>
      <c r="AD976" s="193" t="str">
        <f>'Buildings - Heat &amp; Fuels'!U207</f>
        <v/>
      </c>
      <c r="AE976" s="193" t="str">
        <f>'Buildings - Heat &amp; Fuels'!V207</f>
        <v/>
      </c>
      <c r="AF976" s="193" t="str">
        <f>'Buildings - Heat &amp; Fuels'!W207</f>
        <v/>
      </c>
      <c r="AG976" s="193" t="str">
        <f>'Buildings - Heat &amp; Fuels'!X207</f>
        <v/>
      </c>
      <c r="AI976" s="193">
        <f t="shared" si="18"/>
        <v>0</v>
      </c>
      <c r="AJ976" s="193">
        <f t="shared" si="19"/>
        <v>0</v>
      </c>
    </row>
    <row r="977" spans="2:36" x14ac:dyDescent="0.35">
      <c r="B977" s="193" t="e">
        <f>"2024"&amp;MATCH(Totals!D977,OrgType,0)&amp;"_"&amp;MATCH(Totals!E977,Organisations,0)&amp;"_"&amp;LEFT(Totals!F977,1)&amp;"_"&amp;LEFT(G977,1)&amp;"_"&amp;COUNTIF($G$3:G977,G977)</f>
        <v>#N/A</v>
      </c>
      <c r="C977" s="193">
        <v>2025</v>
      </c>
      <c r="D977" s="193">
        <f>Introduction!$D$7</f>
        <v>0</v>
      </c>
      <c r="E977" s="193">
        <f>Introduction!$D$8</f>
        <v>0</v>
      </c>
      <c r="F977" s="193" t="s">
        <v>488</v>
      </c>
      <c r="G977" s="193" t="s">
        <v>490</v>
      </c>
      <c r="H977" s="193">
        <f>'Buildings - Heat &amp; Fuels'!B208</f>
        <v>0</v>
      </c>
      <c r="I977" s="193">
        <f>'Buildings - Heat &amp; Fuels'!C208</f>
        <v>0</v>
      </c>
      <c r="J977" s="193" t="str">
        <f>'Buildings - Heat &amp; Fuels'!D208</f>
        <v/>
      </c>
      <c r="K977" s="237"/>
      <c r="L977" s="237"/>
      <c r="M977" s="193">
        <f>'Buildings - Heat &amp; Fuels'!E208</f>
        <v>0</v>
      </c>
      <c r="N977" s="193">
        <f>'Buildings - Heat &amp; Fuels'!F208</f>
        <v>0</v>
      </c>
      <c r="O977" s="237"/>
      <c r="P977" s="193">
        <f>'Buildings - Heat &amp; Fuels'!G208</f>
        <v>0</v>
      </c>
      <c r="Q977" s="193" t="str">
        <f>'Buildings - Heat &amp; Fuels'!H208</f>
        <v/>
      </c>
      <c r="R977" s="193">
        <f>'Buildings - Heat &amp; Fuels'!I208</f>
        <v>0</v>
      </c>
      <c r="S977" s="193">
        <f>'Buildings - Heat &amp; Fuels'!J208</f>
        <v>0</v>
      </c>
      <c r="T977" s="193" t="str">
        <f>'Buildings - Heat &amp; Fuels'!K208</f>
        <v/>
      </c>
      <c r="U977" s="193" t="str">
        <f>'Buildings - Heat &amp; Fuels'!L208</f>
        <v/>
      </c>
      <c r="V977" s="193" t="str">
        <f>'Buildings - Heat &amp; Fuels'!M208</f>
        <v/>
      </c>
      <c r="W977" s="193" t="str">
        <f>'Buildings - Heat &amp; Fuels'!N208</f>
        <v/>
      </c>
      <c r="X977" s="193">
        <f>'Buildings - Heat &amp; Fuels'!O208</f>
        <v>0</v>
      </c>
      <c r="Y977" s="193">
        <f>'Buildings - Heat &amp; Fuels'!P208</f>
        <v>0</v>
      </c>
      <c r="Z977" s="193" t="str">
        <f>'Buildings - Heat &amp; Fuels'!Q208</f>
        <v/>
      </c>
      <c r="AA977" s="193" t="str">
        <f>'Buildings - Heat &amp; Fuels'!R208</f>
        <v/>
      </c>
      <c r="AB977" s="193" t="str">
        <f>'Buildings - Heat &amp; Fuels'!S208</f>
        <v/>
      </c>
      <c r="AC977" s="193" t="str">
        <f>'Buildings - Heat &amp; Fuels'!T208</f>
        <v/>
      </c>
      <c r="AD977" s="193" t="str">
        <f>'Buildings - Heat &amp; Fuels'!U208</f>
        <v/>
      </c>
      <c r="AE977" s="193" t="str">
        <f>'Buildings - Heat &amp; Fuels'!V208</f>
        <v/>
      </c>
      <c r="AF977" s="193" t="str">
        <f>'Buildings - Heat &amp; Fuels'!W208</f>
        <v/>
      </c>
      <c r="AG977" s="193" t="str">
        <f>'Buildings - Heat &amp; Fuels'!X208</f>
        <v/>
      </c>
      <c r="AI977" s="193">
        <f t="shared" si="18"/>
        <v>0</v>
      </c>
      <c r="AJ977" s="193">
        <f t="shared" si="19"/>
        <v>0</v>
      </c>
    </row>
    <row r="978" spans="2:36" x14ac:dyDescent="0.35">
      <c r="B978" s="193" t="e">
        <f>"2024"&amp;MATCH(Totals!D978,OrgType,0)&amp;"_"&amp;MATCH(Totals!E978,Organisations,0)&amp;"_"&amp;LEFT(Totals!F978,1)&amp;"_"&amp;LEFT(G978,1)&amp;"_"&amp;COUNTIF($G$3:G978,G978)</f>
        <v>#N/A</v>
      </c>
      <c r="C978" s="193">
        <v>2025</v>
      </c>
      <c r="D978" s="193">
        <f>Introduction!$D$7</f>
        <v>0</v>
      </c>
      <c r="E978" s="193">
        <f>Introduction!$D$8</f>
        <v>0</v>
      </c>
      <c r="F978" s="193" t="s">
        <v>488</v>
      </c>
      <c r="G978" s="193" t="s">
        <v>490</v>
      </c>
      <c r="H978" s="193">
        <f>'Buildings - Heat &amp; Fuels'!B209</f>
        <v>0</v>
      </c>
      <c r="I978" s="193">
        <f>'Buildings - Heat &amp; Fuels'!C209</f>
        <v>0</v>
      </c>
      <c r="J978" s="193" t="str">
        <f>'Buildings - Heat &amp; Fuels'!D209</f>
        <v/>
      </c>
      <c r="K978" s="237"/>
      <c r="L978" s="237"/>
      <c r="M978" s="193">
        <f>'Buildings - Heat &amp; Fuels'!E209</f>
        <v>0</v>
      </c>
      <c r="N978" s="193">
        <f>'Buildings - Heat &amp; Fuels'!F209</f>
        <v>0</v>
      </c>
      <c r="O978" s="237"/>
      <c r="P978" s="193">
        <f>'Buildings - Heat &amp; Fuels'!G209</f>
        <v>0</v>
      </c>
      <c r="Q978" s="193" t="str">
        <f>'Buildings - Heat &amp; Fuels'!H209</f>
        <v/>
      </c>
      <c r="R978" s="193">
        <f>'Buildings - Heat &amp; Fuels'!I209</f>
        <v>0</v>
      </c>
      <c r="S978" s="193">
        <f>'Buildings - Heat &amp; Fuels'!J209</f>
        <v>0</v>
      </c>
      <c r="T978" s="193" t="str">
        <f>'Buildings - Heat &amp; Fuels'!K209</f>
        <v/>
      </c>
      <c r="U978" s="193" t="str">
        <f>'Buildings - Heat &amp; Fuels'!L209</f>
        <v/>
      </c>
      <c r="V978" s="193" t="str">
        <f>'Buildings - Heat &amp; Fuels'!M209</f>
        <v/>
      </c>
      <c r="W978" s="193" t="str">
        <f>'Buildings - Heat &amp; Fuels'!N209</f>
        <v/>
      </c>
      <c r="X978" s="193">
        <f>'Buildings - Heat &amp; Fuels'!O209</f>
        <v>0</v>
      </c>
      <c r="Y978" s="193">
        <f>'Buildings - Heat &amp; Fuels'!P209</f>
        <v>0</v>
      </c>
      <c r="Z978" s="193" t="str">
        <f>'Buildings - Heat &amp; Fuels'!Q209</f>
        <v/>
      </c>
      <c r="AA978" s="193" t="str">
        <f>'Buildings - Heat &amp; Fuels'!R209</f>
        <v/>
      </c>
      <c r="AB978" s="193" t="str">
        <f>'Buildings - Heat &amp; Fuels'!S209</f>
        <v/>
      </c>
      <c r="AC978" s="193" t="str">
        <f>'Buildings - Heat &amp; Fuels'!T209</f>
        <v/>
      </c>
      <c r="AD978" s="193" t="str">
        <f>'Buildings - Heat &amp; Fuels'!U209</f>
        <v/>
      </c>
      <c r="AE978" s="193" t="str">
        <f>'Buildings - Heat &amp; Fuels'!V209</f>
        <v/>
      </c>
      <c r="AF978" s="193" t="str">
        <f>'Buildings - Heat &amp; Fuels'!W209</f>
        <v/>
      </c>
      <c r="AG978" s="193" t="str">
        <f>'Buildings - Heat &amp; Fuels'!X209</f>
        <v/>
      </c>
      <c r="AI978" s="193">
        <f t="shared" si="18"/>
        <v>0</v>
      </c>
      <c r="AJ978" s="193">
        <f t="shared" si="19"/>
        <v>0</v>
      </c>
    </row>
    <row r="979" spans="2:36" x14ac:dyDescent="0.35">
      <c r="B979" s="193" t="e">
        <f>"2024"&amp;MATCH(Totals!D979,OrgType,0)&amp;"_"&amp;MATCH(Totals!E979,Organisations,0)&amp;"_"&amp;LEFT(Totals!F979,1)&amp;"_"&amp;LEFT(G979,1)&amp;"_"&amp;COUNTIF($G$3:G979,G979)</f>
        <v>#N/A</v>
      </c>
      <c r="C979" s="193">
        <v>2025</v>
      </c>
      <c r="D979" s="193">
        <f>Introduction!$D$7</f>
        <v>0</v>
      </c>
      <c r="E979" s="193">
        <f>Introduction!$D$8</f>
        <v>0</v>
      </c>
      <c r="F979" s="193" t="s">
        <v>488</v>
      </c>
      <c r="G979" s="193" t="s">
        <v>490</v>
      </c>
      <c r="H979" s="193">
        <f>'Buildings - Heat &amp; Fuels'!B210</f>
        <v>0</v>
      </c>
      <c r="I979" s="193">
        <f>'Buildings - Heat &amp; Fuels'!C210</f>
        <v>0</v>
      </c>
      <c r="J979" s="193" t="str">
        <f>'Buildings - Heat &amp; Fuels'!D210</f>
        <v/>
      </c>
      <c r="K979" s="237"/>
      <c r="L979" s="237"/>
      <c r="M979" s="193">
        <f>'Buildings - Heat &amp; Fuels'!E210</f>
        <v>0</v>
      </c>
      <c r="N979" s="193">
        <f>'Buildings - Heat &amp; Fuels'!F210</f>
        <v>0</v>
      </c>
      <c r="O979" s="237"/>
      <c r="P979" s="193">
        <f>'Buildings - Heat &amp; Fuels'!G210</f>
        <v>0</v>
      </c>
      <c r="Q979" s="193" t="str">
        <f>'Buildings - Heat &amp; Fuels'!H210</f>
        <v/>
      </c>
      <c r="R979" s="193">
        <f>'Buildings - Heat &amp; Fuels'!I210</f>
        <v>0</v>
      </c>
      <c r="S979" s="193">
        <f>'Buildings - Heat &amp; Fuels'!J210</f>
        <v>0</v>
      </c>
      <c r="T979" s="193" t="str">
        <f>'Buildings - Heat &amp; Fuels'!K210</f>
        <v/>
      </c>
      <c r="U979" s="193" t="str">
        <f>'Buildings - Heat &amp; Fuels'!L210</f>
        <v/>
      </c>
      <c r="V979" s="193" t="str">
        <f>'Buildings - Heat &amp; Fuels'!M210</f>
        <v/>
      </c>
      <c r="W979" s="193" t="str">
        <f>'Buildings - Heat &amp; Fuels'!N210</f>
        <v/>
      </c>
      <c r="X979" s="193">
        <f>'Buildings - Heat &amp; Fuels'!O210</f>
        <v>0</v>
      </c>
      <c r="Y979" s="193">
        <f>'Buildings - Heat &amp; Fuels'!P210</f>
        <v>0</v>
      </c>
      <c r="Z979" s="193" t="str">
        <f>'Buildings - Heat &amp; Fuels'!Q210</f>
        <v/>
      </c>
      <c r="AA979" s="193" t="str">
        <f>'Buildings - Heat &amp; Fuels'!R210</f>
        <v/>
      </c>
      <c r="AB979" s="193" t="str">
        <f>'Buildings - Heat &amp; Fuels'!S210</f>
        <v/>
      </c>
      <c r="AC979" s="193" t="str">
        <f>'Buildings - Heat &amp; Fuels'!T210</f>
        <v/>
      </c>
      <c r="AD979" s="193" t="str">
        <f>'Buildings - Heat &amp; Fuels'!U210</f>
        <v/>
      </c>
      <c r="AE979" s="193" t="str">
        <f>'Buildings - Heat &amp; Fuels'!V210</f>
        <v/>
      </c>
      <c r="AF979" s="193" t="str">
        <f>'Buildings - Heat &amp; Fuels'!W210</f>
        <v/>
      </c>
      <c r="AG979" s="193" t="str">
        <f>'Buildings - Heat &amp; Fuels'!X210</f>
        <v/>
      </c>
      <c r="AI979" s="193">
        <f t="shared" si="18"/>
        <v>0</v>
      </c>
      <c r="AJ979" s="193">
        <f t="shared" si="19"/>
        <v>0</v>
      </c>
    </row>
    <row r="980" spans="2:36" x14ac:dyDescent="0.35">
      <c r="B980" s="193" t="e">
        <f>"2024"&amp;MATCH(Totals!D980,OrgType,0)&amp;"_"&amp;MATCH(Totals!E980,Organisations,0)&amp;"_"&amp;LEFT(Totals!F980,1)&amp;"_"&amp;LEFT(G980,1)&amp;"_"&amp;COUNTIF($G$3:G980,G980)</f>
        <v>#N/A</v>
      </c>
      <c r="C980" s="193">
        <v>2025</v>
      </c>
      <c r="D980" s="193">
        <f>Introduction!$D$7</f>
        <v>0</v>
      </c>
      <c r="E980" s="193">
        <f>Introduction!$D$8</f>
        <v>0</v>
      </c>
      <c r="F980" s="193" t="s">
        <v>488</v>
      </c>
      <c r="G980" s="193" t="s">
        <v>490</v>
      </c>
      <c r="H980" s="193">
        <f>'Buildings - Heat &amp; Fuels'!B211</f>
        <v>0</v>
      </c>
      <c r="I980" s="193">
        <f>'Buildings - Heat &amp; Fuels'!C211</f>
        <v>0</v>
      </c>
      <c r="J980" s="193" t="str">
        <f>'Buildings - Heat &amp; Fuels'!D211</f>
        <v/>
      </c>
      <c r="K980" s="237"/>
      <c r="L980" s="237"/>
      <c r="M980" s="193">
        <f>'Buildings - Heat &amp; Fuels'!E211</f>
        <v>0</v>
      </c>
      <c r="N980" s="193">
        <f>'Buildings - Heat &amp; Fuels'!F211</f>
        <v>0</v>
      </c>
      <c r="O980" s="237"/>
      <c r="P980" s="193">
        <f>'Buildings - Heat &amp; Fuels'!G211</f>
        <v>0</v>
      </c>
      <c r="Q980" s="193" t="str">
        <f>'Buildings - Heat &amp; Fuels'!H211</f>
        <v/>
      </c>
      <c r="R980" s="193">
        <f>'Buildings - Heat &amp; Fuels'!I211</f>
        <v>0</v>
      </c>
      <c r="S980" s="193">
        <f>'Buildings - Heat &amp; Fuels'!J211</f>
        <v>0</v>
      </c>
      <c r="T980" s="193" t="str">
        <f>'Buildings - Heat &amp; Fuels'!K211</f>
        <v/>
      </c>
      <c r="U980" s="193" t="str">
        <f>'Buildings - Heat &amp; Fuels'!L211</f>
        <v/>
      </c>
      <c r="V980" s="193" t="str">
        <f>'Buildings - Heat &amp; Fuels'!M211</f>
        <v/>
      </c>
      <c r="W980" s="193" t="str">
        <f>'Buildings - Heat &amp; Fuels'!N211</f>
        <v/>
      </c>
      <c r="X980" s="193">
        <f>'Buildings - Heat &amp; Fuels'!O211</f>
        <v>0</v>
      </c>
      <c r="Y980" s="193">
        <f>'Buildings - Heat &amp; Fuels'!P211</f>
        <v>0</v>
      </c>
      <c r="Z980" s="193" t="str">
        <f>'Buildings - Heat &amp; Fuels'!Q211</f>
        <v/>
      </c>
      <c r="AA980" s="193" t="str">
        <f>'Buildings - Heat &amp; Fuels'!R211</f>
        <v/>
      </c>
      <c r="AB980" s="193" t="str">
        <f>'Buildings - Heat &amp; Fuels'!S211</f>
        <v/>
      </c>
      <c r="AC980" s="193" t="str">
        <f>'Buildings - Heat &amp; Fuels'!T211</f>
        <v/>
      </c>
      <c r="AD980" s="193" t="str">
        <f>'Buildings - Heat &amp; Fuels'!U211</f>
        <v/>
      </c>
      <c r="AE980" s="193" t="str">
        <f>'Buildings - Heat &amp; Fuels'!V211</f>
        <v/>
      </c>
      <c r="AF980" s="193" t="str">
        <f>'Buildings - Heat &amp; Fuels'!W211</f>
        <v/>
      </c>
      <c r="AG980" s="193" t="str">
        <f>'Buildings - Heat &amp; Fuels'!X211</f>
        <v/>
      </c>
      <c r="AI980" s="193">
        <f t="shared" si="18"/>
        <v>0</v>
      </c>
      <c r="AJ980" s="193">
        <f t="shared" si="19"/>
        <v>0</v>
      </c>
    </row>
    <row r="981" spans="2:36" x14ac:dyDescent="0.35">
      <c r="B981" s="193" t="e">
        <f>"2024"&amp;MATCH(Totals!D981,OrgType,0)&amp;"_"&amp;MATCH(Totals!E981,Organisations,0)&amp;"_"&amp;LEFT(Totals!F981,1)&amp;"_"&amp;LEFT(G981,1)&amp;"_"&amp;COUNTIF($G$3:G981,G981)</f>
        <v>#N/A</v>
      </c>
      <c r="C981" s="193">
        <v>2025</v>
      </c>
      <c r="D981" s="193">
        <f>Introduction!$D$7</f>
        <v>0</v>
      </c>
      <c r="E981" s="193">
        <f>Introduction!$D$8</f>
        <v>0</v>
      </c>
      <c r="F981" s="193" t="s">
        <v>488</v>
      </c>
      <c r="G981" s="193" t="s">
        <v>490</v>
      </c>
      <c r="H981" s="193">
        <f>'Buildings - Heat &amp; Fuels'!B212</f>
        <v>0</v>
      </c>
      <c r="I981" s="193">
        <f>'Buildings - Heat &amp; Fuels'!C212</f>
        <v>0</v>
      </c>
      <c r="J981" s="193" t="str">
        <f>'Buildings - Heat &amp; Fuels'!D212</f>
        <v/>
      </c>
      <c r="K981" s="237"/>
      <c r="L981" s="237"/>
      <c r="M981" s="193">
        <f>'Buildings - Heat &amp; Fuels'!E212</f>
        <v>0</v>
      </c>
      <c r="N981" s="193">
        <f>'Buildings - Heat &amp; Fuels'!F212</f>
        <v>0</v>
      </c>
      <c r="O981" s="237"/>
      <c r="P981" s="193">
        <f>'Buildings - Heat &amp; Fuels'!G212</f>
        <v>0</v>
      </c>
      <c r="Q981" s="193" t="str">
        <f>'Buildings - Heat &amp; Fuels'!H212</f>
        <v/>
      </c>
      <c r="R981" s="193">
        <f>'Buildings - Heat &amp; Fuels'!I212</f>
        <v>0</v>
      </c>
      <c r="S981" s="193">
        <f>'Buildings - Heat &amp; Fuels'!J212</f>
        <v>0</v>
      </c>
      <c r="T981" s="193" t="str">
        <f>'Buildings - Heat &amp; Fuels'!K212</f>
        <v/>
      </c>
      <c r="U981" s="193" t="str">
        <f>'Buildings - Heat &amp; Fuels'!L212</f>
        <v/>
      </c>
      <c r="V981" s="193" t="str">
        <f>'Buildings - Heat &amp; Fuels'!M212</f>
        <v/>
      </c>
      <c r="W981" s="193" t="str">
        <f>'Buildings - Heat &amp; Fuels'!N212</f>
        <v/>
      </c>
      <c r="X981" s="193">
        <f>'Buildings - Heat &amp; Fuels'!O212</f>
        <v>0</v>
      </c>
      <c r="Y981" s="193">
        <f>'Buildings - Heat &amp; Fuels'!P212</f>
        <v>0</v>
      </c>
      <c r="Z981" s="193" t="str">
        <f>'Buildings - Heat &amp; Fuels'!Q212</f>
        <v/>
      </c>
      <c r="AA981" s="193" t="str">
        <f>'Buildings - Heat &amp; Fuels'!R212</f>
        <v/>
      </c>
      <c r="AB981" s="193" t="str">
        <f>'Buildings - Heat &amp; Fuels'!S212</f>
        <v/>
      </c>
      <c r="AC981" s="193" t="str">
        <f>'Buildings - Heat &amp; Fuels'!T212</f>
        <v/>
      </c>
      <c r="AD981" s="193" t="str">
        <f>'Buildings - Heat &amp; Fuels'!U212</f>
        <v/>
      </c>
      <c r="AE981" s="193" t="str">
        <f>'Buildings - Heat &amp; Fuels'!V212</f>
        <v/>
      </c>
      <c r="AF981" s="193" t="str">
        <f>'Buildings - Heat &amp; Fuels'!W212</f>
        <v/>
      </c>
      <c r="AG981" s="193" t="str">
        <f>'Buildings - Heat &amp; Fuels'!X212</f>
        <v/>
      </c>
      <c r="AI981" s="193">
        <f t="shared" si="18"/>
        <v>0</v>
      </c>
      <c r="AJ981" s="193">
        <f t="shared" si="19"/>
        <v>0</v>
      </c>
    </row>
    <row r="982" spans="2:36" x14ac:dyDescent="0.35">
      <c r="B982" s="193" t="e">
        <f>"2024"&amp;MATCH(Totals!D982,OrgType,0)&amp;"_"&amp;MATCH(Totals!E982,Organisations,0)&amp;"_"&amp;LEFT(Totals!F982,1)&amp;"_"&amp;LEFT(G982,1)&amp;"_"&amp;COUNTIF($G$3:G982,G982)</f>
        <v>#N/A</v>
      </c>
      <c r="C982" s="193">
        <v>2025</v>
      </c>
      <c r="D982" s="193">
        <f>Introduction!$D$7</f>
        <v>0</v>
      </c>
      <c r="E982" s="193">
        <f>Introduction!$D$8</f>
        <v>0</v>
      </c>
      <c r="F982" s="193" t="s">
        <v>488</v>
      </c>
      <c r="G982" s="193" t="s">
        <v>490</v>
      </c>
      <c r="H982" s="193">
        <f>'Buildings - Heat &amp; Fuels'!B213</f>
        <v>0</v>
      </c>
      <c r="I982" s="193">
        <f>'Buildings - Heat &amp; Fuels'!C213</f>
        <v>0</v>
      </c>
      <c r="J982" s="193" t="str">
        <f>'Buildings - Heat &amp; Fuels'!D213</f>
        <v/>
      </c>
      <c r="K982" s="237"/>
      <c r="L982" s="237"/>
      <c r="M982" s="193">
        <f>'Buildings - Heat &amp; Fuels'!E213</f>
        <v>0</v>
      </c>
      <c r="N982" s="193">
        <f>'Buildings - Heat &amp; Fuels'!F213</f>
        <v>0</v>
      </c>
      <c r="O982" s="237"/>
      <c r="P982" s="193">
        <f>'Buildings - Heat &amp; Fuels'!G213</f>
        <v>0</v>
      </c>
      <c r="Q982" s="193" t="str">
        <f>'Buildings - Heat &amp; Fuels'!H213</f>
        <v/>
      </c>
      <c r="R982" s="193">
        <f>'Buildings - Heat &amp; Fuels'!I213</f>
        <v>0</v>
      </c>
      <c r="S982" s="193">
        <f>'Buildings - Heat &amp; Fuels'!J213</f>
        <v>0</v>
      </c>
      <c r="T982" s="193" t="str">
        <f>'Buildings - Heat &amp; Fuels'!K213</f>
        <v/>
      </c>
      <c r="U982" s="193" t="str">
        <f>'Buildings - Heat &amp; Fuels'!L213</f>
        <v/>
      </c>
      <c r="V982" s="193" t="str">
        <f>'Buildings - Heat &amp; Fuels'!M213</f>
        <v/>
      </c>
      <c r="W982" s="193" t="str">
        <f>'Buildings - Heat &amp; Fuels'!N213</f>
        <v/>
      </c>
      <c r="X982" s="193">
        <f>'Buildings - Heat &amp; Fuels'!O213</f>
        <v>0</v>
      </c>
      <c r="Y982" s="193">
        <f>'Buildings - Heat &amp; Fuels'!P213</f>
        <v>0</v>
      </c>
      <c r="Z982" s="193" t="str">
        <f>'Buildings - Heat &amp; Fuels'!Q213</f>
        <v/>
      </c>
      <c r="AA982" s="193" t="str">
        <f>'Buildings - Heat &amp; Fuels'!R213</f>
        <v/>
      </c>
      <c r="AB982" s="193" t="str">
        <f>'Buildings - Heat &amp; Fuels'!S213</f>
        <v/>
      </c>
      <c r="AC982" s="193" t="str">
        <f>'Buildings - Heat &amp; Fuels'!T213</f>
        <v/>
      </c>
      <c r="AD982" s="193" t="str">
        <f>'Buildings - Heat &amp; Fuels'!U213</f>
        <v/>
      </c>
      <c r="AE982" s="193" t="str">
        <f>'Buildings - Heat &amp; Fuels'!V213</f>
        <v/>
      </c>
      <c r="AF982" s="193" t="str">
        <f>'Buildings - Heat &amp; Fuels'!W213</f>
        <v/>
      </c>
      <c r="AG982" s="193" t="str">
        <f>'Buildings - Heat &amp; Fuels'!X213</f>
        <v/>
      </c>
      <c r="AI982" s="193">
        <f t="shared" si="18"/>
        <v>0</v>
      </c>
      <c r="AJ982" s="193">
        <f t="shared" si="19"/>
        <v>0</v>
      </c>
    </row>
    <row r="983" spans="2:36" x14ac:dyDescent="0.35">
      <c r="B983" s="193" t="e">
        <f>"2024"&amp;MATCH(Totals!D983,OrgType,0)&amp;"_"&amp;MATCH(Totals!E983,Organisations,0)&amp;"_"&amp;LEFT(Totals!F983,1)&amp;"_"&amp;LEFT(G983,1)&amp;"_"&amp;COUNTIF($G$3:G983,G983)</f>
        <v>#N/A</v>
      </c>
      <c r="C983" s="193">
        <v>2025</v>
      </c>
      <c r="D983" s="193">
        <f>Introduction!$D$7</f>
        <v>0</v>
      </c>
      <c r="E983" s="193">
        <f>Introduction!$D$8</f>
        <v>0</v>
      </c>
      <c r="F983" s="193" t="s">
        <v>488</v>
      </c>
      <c r="G983" s="193" t="s">
        <v>490</v>
      </c>
      <c r="H983" s="193">
        <f>'Buildings - Heat &amp; Fuels'!B214</f>
        <v>0</v>
      </c>
      <c r="I983" s="193">
        <f>'Buildings - Heat &amp; Fuels'!C214</f>
        <v>0</v>
      </c>
      <c r="J983" s="193" t="str">
        <f>'Buildings - Heat &amp; Fuels'!D214</f>
        <v/>
      </c>
      <c r="K983" s="237"/>
      <c r="L983" s="237"/>
      <c r="M983" s="193">
        <f>'Buildings - Heat &amp; Fuels'!E214</f>
        <v>0</v>
      </c>
      <c r="N983" s="193">
        <f>'Buildings - Heat &amp; Fuels'!F214</f>
        <v>0</v>
      </c>
      <c r="O983" s="237"/>
      <c r="P983" s="193">
        <f>'Buildings - Heat &amp; Fuels'!G214</f>
        <v>0</v>
      </c>
      <c r="Q983" s="193" t="str">
        <f>'Buildings - Heat &amp; Fuels'!H214</f>
        <v/>
      </c>
      <c r="R983" s="193">
        <f>'Buildings - Heat &amp; Fuels'!I214</f>
        <v>0</v>
      </c>
      <c r="S983" s="193">
        <f>'Buildings - Heat &amp; Fuels'!J214</f>
        <v>0</v>
      </c>
      <c r="T983" s="193" t="str">
        <f>'Buildings - Heat &amp; Fuels'!K214</f>
        <v/>
      </c>
      <c r="U983" s="193" t="str">
        <f>'Buildings - Heat &amp; Fuels'!L214</f>
        <v/>
      </c>
      <c r="V983" s="193" t="str">
        <f>'Buildings - Heat &amp; Fuels'!M214</f>
        <v/>
      </c>
      <c r="W983" s="193" t="str">
        <f>'Buildings - Heat &amp; Fuels'!N214</f>
        <v/>
      </c>
      <c r="X983" s="193">
        <f>'Buildings - Heat &amp; Fuels'!O214</f>
        <v>0</v>
      </c>
      <c r="Y983" s="193">
        <f>'Buildings - Heat &amp; Fuels'!P214</f>
        <v>0</v>
      </c>
      <c r="Z983" s="193" t="str">
        <f>'Buildings - Heat &amp; Fuels'!Q214</f>
        <v/>
      </c>
      <c r="AA983" s="193" t="str">
        <f>'Buildings - Heat &amp; Fuels'!R214</f>
        <v/>
      </c>
      <c r="AB983" s="193" t="str">
        <f>'Buildings - Heat &amp; Fuels'!S214</f>
        <v/>
      </c>
      <c r="AC983" s="193" t="str">
        <f>'Buildings - Heat &amp; Fuels'!T214</f>
        <v/>
      </c>
      <c r="AD983" s="193" t="str">
        <f>'Buildings - Heat &amp; Fuels'!U214</f>
        <v/>
      </c>
      <c r="AE983" s="193" t="str">
        <f>'Buildings - Heat &amp; Fuels'!V214</f>
        <v/>
      </c>
      <c r="AF983" s="193" t="str">
        <f>'Buildings - Heat &amp; Fuels'!W214</f>
        <v/>
      </c>
      <c r="AG983" s="193" t="str">
        <f>'Buildings - Heat &amp; Fuels'!X214</f>
        <v/>
      </c>
      <c r="AI983" s="193">
        <f t="shared" si="18"/>
        <v>0</v>
      </c>
      <c r="AJ983" s="193">
        <f t="shared" si="19"/>
        <v>0</v>
      </c>
    </row>
    <row r="984" spans="2:36" x14ac:dyDescent="0.35">
      <c r="B984" s="193" t="e">
        <f>"2024"&amp;MATCH(Totals!D984,OrgType,0)&amp;"_"&amp;MATCH(Totals!E984,Organisations,0)&amp;"_"&amp;LEFT(Totals!F984,1)&amp;"_"&amp;LEFT(G984,1)&amp;"_"&amp;COUNTIF($G$3:G984,G984)</f>
        <v>#N/A</v>
      </c>
      <c r="C984" s="193">
        <v>2025</v>
      </c>
      <c r="D984" s="193">
        <f>Introduction!$D$7</f>
        <v>0</v>
      </c>
      <c r="E984" s="193">
        <f>Introduction!$D$8</f>
        <v>0</v>
      </c>
      <c r="F984" s="193" t="s">
        <v>488</v>
      </c>
      <c r="G984" s="193" t="s">
        <v>490</v>
      </c>
      <c r="H984" s="193">
        <f>'Buildings - Heat &amp; Fuels'!B215</f>
        <v>0</v>
      </c>
      <c r="I984" s="193">
        <f>'Buildings - Heat &amp; Fuels'!C215</f>
        <v>0</v>
      </c>
      <c r="J984" s="193" t="str">
        <f>'Buildings - Heat &amp; Fuels'!D215</f>
        <v/>
      </c>
      <c r="K984" s="237"/>
      <c r="L984" s="237"/>
      <c r="M984" s="193">
        <f>'Buildings - Heat &amp; Fuels'!E215</f>
        <v>0</v>
      </c>
      <c r="N984" s="193">
        <f>'Buildings - Heat &amp; Fuels'!F215</f>
        <v>0</v>
      </c>
      <c r="O984" s="237"/>
      <c r="P984" s="193">
        <f>'Buildings - Heat &amp; Fuels'!G215</f>
        <v>0</v>
      </c>
      <c r="Q984" s="193" t="str">
        <f>'Buildings - Heat &amp; Fuels'!H215</f>
        <v/>
      </c>
      <c r="R984" s="193">
        <f>'Buildings - Heat &amp; Fuels'!I215</f>
        <v>0</v>
      </c>
      <c r="S984" s="193">
        <f>'Buildings - Heat &amp; Fuels'!J215</f>
        <v>0</v>
      </c>
      <c r="T984" s="193" t="str">
        <f>'Buildings - Heat &amp; Fuels'!K215</f>
        <v/>
      </c>
      <c r="U984" s="193" t="str">
        <f>'Buildings - Heat &amp; Fuels'!L215</f>
        <v/>
      </c>
      <c r="V984" s="193" t="str">
        <f>'Buildings - Heat &amp; Fuels'!M215</f>
        <v/>
      </c>
      <c r="W984" s="193" t="str">
        <f>'Buildings - Heat &amp; Fuels'!N215</f>
        <v/>
      </c>
      <c r="X984" s="193">
        <f>'Buildings - Heat &amp; Fuels'!O215</f>
        <v>0</v>
      </c>
      <c r="Y984" s="193">
        <f>'Buildings - Heat &amp; Fuels'!P215</f>
        <v>0</v>
      </c>
      <c r="Z984" s="193" t="str">
        <f>'Buildings - Heat &amp; Fuels'!Q215</f>
        <v/>
      </c>
      <c r="AA984" s="193" t="str">
        <f>'Buildings - Heat &amp; Fuels'!R215</f>
        <v/>
      </c>
      <c r="AB984" s="193" t="str">
        <f>'Buildings - Heat &amp; Fuels'!S215</f>
        <v/>
      </c>
      <c r="AC984" s="193" t="str">
        <f>'Buildings - Heat &amp; Fuels'!T215</f>
        <v/>
      </c>
      <c r="AD984" s="193" t="str">
        <f>'Buildings - Heat &amp; Fuels'!U215</f>
        <v/>
      </c>
      <c r="AE984" s="193" t="str">
        <f>'Buildings - Heat &amp; Fuels'!V215</f>
        <v/>
      </c>
      <c r="AF984" s="193" t="str">
        <f>'Buildings - Heat &amp; Fuels'!W215</f>
        <v/>
      </c>
      <c r="AG984" s="193" t="str">
        <f>'Buildings - Heat &amp; Fuels'!X215</f>
        <v/>
      </c>
      <c r="AI984" s="193">
        <f t="shared" si="18"/>
        <v>0</v>
      </c>
      <c r="AJ984" s="193">
        <f t="shared" si="19"/>
        <v>0</v>
      </c>
    </row>
    <row r="985" spans="2:36" x14ac:dyDescent="0.35">
      <c r="B985" s="193" t="e">
        <f>"2024"&amp;MATCH(Totals!D985,OrgType,0)&amp;"_"&amp;MATCH(Totals!E985,Organisations,0)&amp;"_"&amp;LEFT(Totals!F985,1)&amp;"_"&amp;LEFT(G985,1)&amp;"_"&amp;COUNTIF($G$3:G985,G985)</f>
        <v>#N/A</v>
      </c>
      <c r="C985" s="193">
        <v>2025</v>
      </c>
      <c r="D985" s="193">
        <f>Introduction!$D$7</f>
        <v>0</v>
      </c>
      <c r="E985" s="193">
        <f>Introduction!$D$8</f>
        <v>0</v>
      </c>
      <c r="F985" s="193" t="s">
        <v>488</v>
      </c>
      <c r="G985" s="193" t="s">
        <v>490</v>
      </c>
      <c r="H985" s="193">
        <f>'Buildings - Heat &amp; Fuels'!B216</f>
        <v>0</v>
      </c>
      <c r="I985" s="193">
        <f>'Buildings - Heat &amp; Fuels'!C216</f>
        <v>0</v>
      </c>
      <c r="J985" s="193" t="str">
        <f>'Buildings - Heat &amp; Fuels'!D216</f>
        <v/>
      </c>
      <c r="K985" s="237"/>
      <c r="L985" s="237"/>
      <c r="M985" s="193">
        <f>'Buildings - Heat &amp; Fuels'!E216</f>
        <v>0</v>
      </c>
      <c r="N985" s="193">
        <f>'Buildings - Heat &amp; Fuels'!F216</f>
        <v>0</v>
      </c>
      <c r="O985" s="237"/>
      <c r="P985" s="193">
        <f>'Buildings - Heat &amp; Fuels'!G216</f>
        <v>0</v>
      </c>
      <c r="Q985" s="193" t="str">
        <f>'Buildings - Heat &amp; Fuels'!H216</f>
        <v/>
      </c>
      <c r="R985" s="193">
        <f>'Buildings - Heat &amp; Fuels'!I216</f>
        <v>0</v>
      </c>
      <c r="S985" s="193">
        <f>'Buildings - Heat &amp; Fuels'!J216</f>
        <v>0</v>
      </c>
      <c r="T985" s="193" t="str">
        <f>'Buildings - Heat &amp; Fuels'!K216</f>
        <v/>
      </c>
      <c r="U985" s="193" t="str">
        <f>'Buildings - Heat &amp; Fuels'!L216</f>
        <v/>
      </c>
      <c r="V985" s="193" t="str">
        <f>'Buildings - Heat &amp; Fuels'!M216</f>
        <v/>
      </c>
      <c r="W985" s="193" t="str">
        <f>'Buildings - Heat &amp; Fuels'!N216</f>
        <v/>
      </c>
      <c r="X985" s="193">
        <f>'Buildings - Heat &amp; Fuels'!O216</f>
        <v>0</v>
      </c>
      <c r="Y985" s="193">
        <f>'Buildings - Heat &amp; Fuels'!P216</f>
        <v>0</v>
      </c>
      <c r="Z985" s="193" t="str">
        <f>'Buildings - Heat &amp; Fuels'!Q216</f>
        <v/>
      </c>
      <c r="AA985" s="193" t="str">
        <f>'Buildings - Heat &amp; Fuels'!R216</f>
        <v/>
      </c>
      <c r="AB985" s="193" t="str">
        <f>'Buildings - Heat &amp; Fuels'!S216</f>
        <v/>
      </c>
      <c r="AC985" s="193" t="str">
        <f>'Buildings - Heat &amp; Fuels'!T216</f>
        <v/>
      </c>
      <c r="AD985" s="193" t="str">
        <f>'Buildings - Heat &amp; Fuels'!U216</f>
        <v/>
      </c>
      <c r="AE985" s="193" t="str">
        <f>'Buildings - Heat &amp; Fuels'!V216</f>
        <v/>
      </c>
      <c r="AF985" s="193" t="str">
        <f>'Buildings - Heat &amp; Fuels'!W216</f>
        <v/>
      </c>
      <c r="AG985" s="193" t="str">
        <f>'Buildings - Heat &amp; Fuels'!X216</f>
        <v/>
      </c>
      <c r="AI985" s="193">
        <f t="shared" si="18"/>
        <v>0</v>
      </c>
      <c r="AJ985" s="193">
        <f t="shared" si="19"/>
        <v>0</v>
      </c>
    </row>
    <row r="986" spans="2:36" x14ac:dyDescent="0.35">
      <c r="B986" s="193" t="e">
        <f>"2024"&amp;MATCH(Totals!D986,OrgType,0)&amp;"_"&amp;MATCH(Totals!E986,Organisations,0)&amp;"_"&amp;LEFT(Totals!F986,1)&amp;"_"&amp;LEFT(G986,1)&amp;"_"&amp;COUNTIF($G$3:G986,G986)</f>
        <v>#N/A</v>
      </c>
      <c r="C986" s="193">
        <v>2025</v>
      </c>
      <c r="D986" s="193">
        <f>Introduction!$D$7</f>
        <v>0</v>
      </c>
      <c r="E986" s="193">
        <f>Introduction!$D$8</f>
        <v>0</v>
      </c>
      <c r="F986" s="193" t="s">
        <v>488</v>
      </c>
      <c r="G986" s="193" t="s">
        <v>490</v>
      </c>
      <c r="H986" s="193">
        <f>'Buildings - Heat &amp; Fuels'!B217</f>
        <v>0</v>
      </c>
      <c r="I986" s="193">
        <f>'Buildings - Heat &amp; Fuels'!C217</f>
        <v>0</v>
      </c>
      <c r="J986" s="193" t="str">
        <f>'Buildings - Heat &amp; Fuels'!D217</f>
        <v/>
      </c>
      <c r="K986" s="237"/>
      <c r="L986" s="237"/>
      <c r="M986" s="193">
        <f>'Buildings - Heat &amp; Fuels'!E217</f>
        <v>0</v>
      </c>
      <c r="N986" s="193">
        <f>'Buildings - Heat &amp; Fuels'!F217</f>
        <v>0</v>
      </c>
      <c r="O986" s="237"/>
      <c r="P986" s="193">
        <f>'Buildings - Heat &amp; Fuels'!G217</f>
        <v>0</v>
      </c>
      <c r="Q986" s="193" t="str">
        <f>'Buildings - Heat &amp; Fuels'!H217</f>
        <v/>
      </c>
      <c r="R986" s="193">
        <f>'Buildings - Heat &amp; Fuels'!I217</f>
        <v>0</v>
      </c>
      <c r="S986" s="193">
        <f>'Buildings - Heat &amp; Fuels'!J217</f>
        <v>0</v>
      </c>
      <c r="T986" s="193" t="str">
        <f>'Buildings - Heat &amp; Fuels'!K217</f>
        <v/>
      </c>
      <c r="U986" s="193" t="str">
        <f>'Buildings - Heat &amp; Fuels'!L217</f>
        <v/>
      </c>
      <c r="V986" s="193" t="str">
        <f>'Buildings - Heat &amp; Fuels'!M217</f>
        <v/>
      </c>
      <c r="W986" s="193" t="str">
        <f>'Buildings - Heat &amp; Fuels'!N217</f>
        <v/>
      </c>
      <c r="X986" s="193">
        <f>'Buildings - Heat &amp; Fuels'!O217</f>
        <v>0</v>
      </c>
      <c r="Y986" s="193">
        <f>'Buildings - Heat &amp; Fuels'!P217</f>
        <v>0</v>
      </c>
      <c r="Z986" s="193" t="str">
        <f>'Buildings - Heat &amp; Fuels'!Q217</f>
        <v/>
      </c>
      <c r="AA986" s="193" t="str">
        <f>'Buildings - Heat &amp; Fuels'!R217</f>
        <v/>
      </c>
      <c r="AB986" s="193" t="str">
        <f>'Buildings - Heat &amp; Fuels'!S217</f>
        <v/>
      </c>
      <c r="AC986" s="193" t="str">
        <f>'Buildings - Heat &amp; Fuels'!T217</f>
        <v/>
      </c>
      <c r="AD986" s="193" t="str">
        <f>'Buildings - Heat &amp; Fuels'!U217</f>
        <v/>
      </c>
      <c r="AE986" s="193" t="str">
        <f>'Buildings - Heat &amp; Fuels'!V217</f>
        <v/>
      </c>
      <c r="AF986" s="193" t="str">
        <f>'Buildings - Heat &amp; Fuels'!W217</f>
        <v/>
      </c>
      <c r="AG986" s="193" t="str">
        <f>'Buildings - Heat &amp; Fuels'!X217</f>
        <v/>
      </c>
      <c r="AI986" s="193">
        <f t="shared" si="18"/>
        <v>0</v>
      </c>
      <c r="AJ986" s="193">
        <f t="shared" si="19"/>
        <v>0</v>
      </c>
    </row>
    <row r="987" spans="2:36" x14ac:dyDescent="0.35">
      <c r="B987" s="193" t="e">
        <f>"2024"&amp;MATCH(Totals!D987,OrgType,0)&amp;"_"&amp;MATCH(Totals!E987,Organisations,0)&amp;"_"&amp;LEFT(Totals!F987,1)&amp;"_"&amp;LEFT(G987,1)&amp;"_"&amp;COUNTIF($G$3:G987,G987)</f>
        <v>#N/A</v>
      </c>
      <c r="C987" s="193">
        <v>2025</v>
      </c>
      <c r="D987" s="193">
        <f>Introduction!$D$7</f>
        <v>0</v>
      </c>
      <c r="E987" s="193">
        <f>Introduction!$D$8</f>
        <v>0</v>
      </c>
      <c r="F987" s="193" t="s">
        <v>488</v>
      </c>
      <c r="G987" s="193" t="s">
        <v>490</v>
      </c>
      <c r="H987" s="193">
        <f>'Buildings - Heat &amp; Fuels'!B218</f>
        <v>0</v>
      </c>
      <c r="I987" s="193">
        <f>'Buildings - Heat &amp; Fuels'!C218</f>
        <v>0</v>
      </c>
      <c r="J987" s="193" t="str">
        <f>'Buildings - Heat &amp; Fuels'!D218</f>
        <v/>
      </c>
      <c r="K987" s="237"/>
      <c r="L987" s="237"/>
      <c r="M987" s="193">
        <f>'Buildings - Heat &amp; Fuels'!E218</f>
        <v>0</v>
      </c>
      <c r="N987" s="193">
        <f>'Buildings - Heat &amp; Fuels'!F218</f>
        <v>0</v>
      </c>
      <c r="O987" s="237"/>
      <c r="P987" s="193">
        <f>'Buildings - Heat &amp; Fuels'!G218</f>
        <v>0</v>
      </c>
      <c r="Q987" s="193" t="str">
        <f>'Buildings - Heat &amp; Fuels'!H218</f>
        <v/>
      </c>
      <c r="R987" s="193">
        <f>'Buildings - Heat &amp; Fuels'!I218</f>
        <v>0</v>
      </c>
      <c r="S987" s="193">
        <f>'Buildings - Heat &amp; Fuels'!J218</f>
        <v>0</v>
      </c>
      <c r="T987" s="193" t="str">
        <f>'Buildings - Heat &amp; Fuels'!K218</f>
        <v/>
      </c>
      <c r="U987" s="193" t="str">
        <f>'Buildings - Heat &amp; Fuels'!L218</f>
        <v/>
      </c>
      <c r="V987" s="193" t="str">
        <f>'Buildings - Heat &amp; Fuels'!M218</f>
        <v/>
      </c>
      <c r="W987" s="193" t="str">
        <f>'Buildings - Heat &amp; Fuels'!N218</f>
        <v/>
      </c>
      <c r="X987" s="193">
        <f>'Buildings - Heat &amp; Fuels'!O218</f>
        <v>0</v>
      </c>
      <c r="Y987" s="193">
        <f>'Buildings - Heat &amp; Fuels'!P218</f>
        <v>0</v>
      </c>
      <c r="Z987" s="193" t="str">
        <f>'Buildings - Heat &amp; Fuels'!Q218</f>
        <v/>
      </c>
      <c r="AA987" s="193" t="str">
        <f>'Buildings - Heat &amp; Fuels'!R218</f>
        <v/>
      </c>
      <c r="AB987" s="193" t="str">
        <f>'Buildings - Heat &amp; Fuels'!S218</f>
        <v/>
      </c>
      <c r="AC987" s="193" t="str">
        <f>'Buildings - Heat &amp; Fuels'!T218</f>
        <v/>
      </c>
      <c r="AD987" s="193" t="str">
        <f>'Buildings - Heat &amp; Fuels'!U218</f>
        <v/>
      </c>
      <c r="AE987" s="193" t="str">
        <f>'Buildings - Heat &amp; Fuels'!V218</f>
        <v/>
      </c>
      <c r="AF987" s="193" t="str">
        <f>'Buildings - Heat &amp; Fuels'!W218</f>
        <v/>
      </c>
      <c r="AG987" s="193" t="str">
        <f>'Buildings - Heat &amp; Fuels'!X218</f>
        <v/>
      </c>
      <c r="AI987" s="193">
        <f t="shared" si="18"/>
        <v>0</v>
      </c>
      <c r="AJ987" s="193">
        <f t="shared" si="19"/>
        <v>0</v>
      </c>
    </row>
    <row r="988" spans="2:36" x14ac:dyDescent="0.35">
      <c r="B988" s="193" t="e">
        <f>"2024"&amp;MATCH(Totals!D988,OrgType,0)&amp;"_"&amp;MATCH(Totals!E988,Organisations,0)&amp;"_"&amp;LEFT(Totals!F988,1)&amp;"_"&amp;LEFT(G988,1)&amp;"_"&amp;COUNTIF($G$3:G988,G988)</f>
        <v>#N/A</v>
      </c>
      <c r="C988" s="193">
        <v>2025</v>
      </c>
      <c r="D988" s="193">
        <f>Introduction!$D$7</f>
        <v>0</v>
      </c>
      <c r="E988" s="193">
        <f>Introduction!$D$8</f>
        <v>0</v>
      </c>
      <c r="F988" s="193" t="s">
        <v>488</v>
      </c>
      <c r="G988" s="193" t="s">
        <v>490</v>
      </c>
      <c r="H988" s="193">
        <f>'Buildings - Heat &amp; Fuels'!B219</f>
        <v>0</v>
      </c>
      <c r="I988" s="193">
        <f>'Buildings - Heat &amp; Fuels'!C219</f>
        <v>0</v>
      </c>
      <c r="J988" s="193" t="str">
        <f>'Buildings - Heat &amp; Fuels'!D219</f>
        <v/>
      </c>
      <c r="K988" s="237"/>
      <c r="L988" s="237"/>
      <c r="M988" s="193">
        <f>'Buildings - Heat &amp; Fuels'!E219</f>
        <v>0</v>
      </c>
      <c r="N988" s="193">
        <f>'Buildings - Heat &amp; Fuels'!F219</f>
        <v>0</v>
      </c>
      <c r="O988" s="237"/>
      <c r="P988" s="193">
        <f>'Buildings - Heat &amp; Fuels'!G219</f>
        <v>0</v>
      </c>
      <c r="Q988" s="193" t="str">
        <f>'Buildings - Heat &amp; Fuels'!H219</f>
        <v/>
      </c>
      <c r="R988" s="193">
        <f>'Buildings - Heat &amp; Fuels'!I219</f>
        <v>0</v>
      </c>
      <c r="S988" s="193">
        <f>'Buildings - Heat &amp; Fuels'!J219</f>
        <v>0</v>
      </c>
      <c r="T988" s="193" t="str">
        <f>'Buildings - Heat &amp; Fuels'!K219</f>
        <v/>
      </c>
      <c r="U988" s="193" t="str">
        <f>'Buildings - Heat &amp; Fuels'!L219</f>
        <v/>
      </c>
      <c r="V988" s="193" t="str">
        <f>'Buildings - Heat &amp; Fuels'!M219</f>
        <v/>
      </c>
      <c r="W988" s="193" t="str">
        <f>'Buildings - Heat &amp; Fuels'!N219</f>
        <v/>
      </c>
      <c r="X988" s="193">
        <f>'Buildings - Heat &amp; Fuels'!O219</f>
        <v>0</v>
      </c>
      <c r="Y988" s="193">
        <f>'Buildings - Heat &amp; Fuels'!P219</f>
        <v>0</v>
      </c>
      <c r="Z988" s="193" t="str">
        <f>'Buildings - Heat &amp; Fuels'!Q219</f>
        <v/>
      </c>
      <c r="AA988" s="193" t="str">
        <f>'Buildings - Heat &amp; Fuels'!R219</f>
        <v/>
      </c>
      <c r="AB988" s="193" t="str">
        <f>'Buildings - Heat &amp; Fuels'!S219</f>
        <v/>
      </c>
      <c r="AC988" s="193" t="str">
        <f>'Buildings - Heat &amp; Fuels'!T219</f>
        <v/>
      </c>
      <c r="AD988" s="193" t="str">
        <f>'Buildings - Heat &amp; Fuels'!U219</f>
        <v/>
      </c>
      <c r="AE988" s="193" t="str">
        <f>'Buildings - Heat &amp; Fuels'!V219</f>
        <v/>
      </c>
      <c r="AF988" s="193" t="str">
        <f>'Buildings - Heat &amp; Fuels'!W219</f>
        <v/>
      </c>
      <c r="AG988" s="193" t="str">
        <f>'Buildings - Heat &amp; Fuels'!X219</f>
        <v/>
      </c>
      <c r="AI988" s="193">
        <f t="shared" si="18"/>
        <v>0</v>
      </c>
      <c r="AJ988" s="193">
        <f t="shared" si="19"/>
        <v>0</v>
      </c>
    </row>
    <row r="989" spans="2:36" x14ac:dyDescent="0.35">
      <c r="B989" s="193" t="e">
        <f>"2024"&amp;MATCH(Totals!D989,OrgType,0)&amp;"_"&amp;MATCH(Totals!E989,Organisations,0)&amp;"_"&amp;LEFT(Totals!F989,1)&amp;"_"&amp;LEFT(G989,1)&amp;"_"&amp;COUNTIF($G$3:G989,G989)</f>
        <v>#N/A</v>
      </c>
      <c r="C989" s="193">
        <v>2025</v>
      </c>
      <c r="D989" s="193">
        <f>Introduction!$D$7</f>
        <v>0</v>
      </c>
      <c r="E989" s="193">
        <f>Introduction!$D$8</f>
        <v>0</v>
      </c>
      <c r="F989" s="193" t="s">
        <v>488</v>
      </c>
      <c r="G989" s="193" t="s">
        <v>490</v>
      </c>
      <c r="H989" s="193">
        <f>'Buildings - Heat &amp; Fuels'!B220</f>
        <v>0</v>
      </c>
      <c r="I989" s="193">
        <f>'Buildings - Heat &amp; Fuels'!C220</f>
        <v>0</v>
      </c>
      <c r="J989" s="193" t="str">
        <f>'Buildings - Heat &amp; Fuels'!D220</f>
        <v/>
      </c>
      <c r="K989" s="237"/>
      <c r="L989" s="237"/>
      <c r="M989" s="193">
        <f>'Buildings - Heat &amp; Fuels'!E220</f>
        <v>0</v>
      </c>
      <c r="N989" s="193">
        <f>'Buildings - Heat &amp; Fuels'!F220</f>
        <v>0</v>
      </c>
      <c r="O989" s="237"/>
      <c r="P989" s="193">
        <f>'Buildings - Heat &amp; Fuels'!G220</f>
        <v>0</v>
      </c>
      <c r="Q989" s="193" t="str">
        <f>'Buildings - Heat &amp; Fuels'!H220</f>
        <v/>
      </c>
      <c r="R989" s="193">
        <f>'Buildings - Heat &amp; Fuels'!I220</f>
        <v>0</v>
      </c>
      <c r="S989" s="193">
        <f>'Buildings - Heat &amp; Fuels'!J220</f>
        <v>0</v>
      </c>
      <c r="T989" s="193" t="str">
        <f>'Buildings - Heat &amp; Fuels'!K220</f>
        <v/>
      </c>
      <c r="U989" s="193" t="str">
        <f>'Buildings - Heat &amp; Fuels'!L220</f>
        <v/>
      </c>
      <c r="V989" s="193" t="str">
        <f>'Buildings - Heat &amp; Fuels'!M220</f>
        <v/>
      </c>
      <c r="W989" s="193" t="str">
        <f>'Buildings - Heat &amp; Fuels'!N220</f>
        <v/>
      </c>
      <c r="X989" s="193">
        <f>'Buildings - Heat &amp; Fuels'!O220</f>
        <v>0</v>
      </c>
      <c r="Y989" s="193">
        <f>'Buildings - Heat &amp; Fuels'!P220</f>
        <v>0</v>
      </c>
      <c r="Z989" s="193" t="str">
        <f>'Buildings - Heat &amp; Fuels'!Q220</f>
        <v/>
      </c>
      <c r="AA989" s="193" t="str">
        <f>'Buildings - Heat &amp; Fuels'!R220</f>
        <v/>
      </c>
      <c r="AB989" s="193" t="str">
        <f>'Buildings - Heat &amp; Fuels'!S220</f>
        <v/>
      </c>
      <c r="AC989" s="193" t="str">
        <f>'Buildings - Heat &amp; Fuels'!T220</f>
        <v/>
      </c>
      <c r="AD989" s="193" t="str">
        <f>'Buildings - Heat &amp; Fuels'!U220</f>
        <v/>
      </c>
      <c r="AE989" s="193" t="str">
        <f>'Buildings - Heat &amp; Fuels'!V220</f>
        <v/>
      </c>
      <c r="AF989" s="193" t="str">
        <f>'Buildings - Heat &amp; Fuels'!W220</f>
        <v/>
      </c>
      <c r="AG989" s="193" t="str">
        <f>'Buildings - Heat &amp; Fuels'!X220</f>
        <v/>
      </c>
      <c r="AI989" s="193">
        <f t="shared" si="18"/>
        <v>0</v>
      </c>
      <c r="AJ989" s="193">
        <f t="shared" si="19"/>
        <v>0</v>
      </c>
    </row>
    <row r="990" spans="2:36" x14ac:dyDescent="0.35">
      <c r="B990" s="193" t="e">
        <f>"2024"&amp;MATCH(Totals!D990,OrgType,0)&amp;"_"&amp;MATCH(Totals!E990,Organisations,0)&amp;"_"&amp;LEFT(Totals!F990,1)&amp;"_"&amp;LEFT(G990,1)&amp;"_"&amp;COUNTIF($G$3:G990,G990)</f>
        <v>#N/A</v>
      </c>
      <c r="C990" s="193">
        <v>2025</v>
      </c>
      <c r="D990" s="193">
        <f>Introduction!$D$7</f>
        <v>0</v>
      </c>
      <c r="E990" s="193">
        <f>Introduction!$D$8</f>
        <v>0</v>
      </c>
      <c r="F990" s="193" t="s">
        <v>488</v>
      </c>
      <c r="G990" s="193" t="s">
        <v>490</v>
      </c>
      <c r="H990" s="193">
        <f>'Buildings - Heat &amp; Fuels'!B221</f>
        <v>0</v>
      </c>
      <c r="I990" s="193">
        <f>'Buildings - Heat &amp; Fuels'!C221</f>
        <v>0</v>
      </c>
      <c r="J990" s="193" t="str">
        <f>'Buildings - Heat &amp; Fuels'!D221</f>
        <v/>
      </c>
      <c r="K990" s="237"/>
      <c r="L990" s="237"/>
      <c r="M990" s="193">
        <f>'Buildings - Heat &amp; Fuels'!E221</f>
        <v>0</v>
      </c>
      <c r="N990" s="193">
        <f>'Buildings - Heat &amp; Fuels'!F221</f>
        <v>0</v>
      </c>
      <c r="O990" s="237"/>
      <c r="P990" s="193">
        <f>'Buildings - Heat &amp; Fuels'!G221</f>
        <v>0</v>
      </c>
      <c r="Q990" s="193" t="str">
        <f>'Buildings - Heat &amp; Fuels'!H221</f>
        <v/>
      </c>
      <c r="R990" s="193">
        <f>'Buildings - Heat &amp; Fuels'!I221</f>
        <v>0</v>
      </c>
      <c r="S990" s="193">
        <f>'Buildings - Heat &amp; Fuels'!J221</f>
        <v>0</v>
      </c>
      <c r="T990" s="193" t="str">
        <f>'Buildings - Heat &amp; Fuels'!K221</f>
        <v/>
      </c>
      <c r="U990" s="193" t="str">
        <f>'Buildings - Heat &amp; Fuels'!L221</f>
        <v/>
      </c>
      <c r="V990" s="193" t="str">
        <f>'Buildings - Heat &amp; Fuels'!M221</f>
        <v/>
      </c>
      <c r="W990" s="193" t="str">
        <f>'Buildings - Heat &amp; Fuels'!N221</f>
        <v/>
      </c>
      <c r="X990" s="193">
        <f>'Buildings - Heat &amp; Fuels'!O221</f>
        <v>0</v>
      </c>
      <c r="Y990" s="193">
        <f>'Buildings - Heat &amp; Fuels'!P221</f>
        <v>0</v>
      </c>
      <c r="Z990" s="193" t="str">
        <f>'Buildings - Heat &amp; Fuels'!Q221</f>
        <v/>
      </c>
      <c r="AA990" s="193" t="str">
        <f>'Buildings - Heat &amp; Fuels'!R221</f>
        <v/>
      </c>
      <c r="AB990" s="193" t="str">
        <f>'Buildings - Heat &amp; Fuels'!S221</f>
        <v/>
      </c>
      <c r="AC990" s="193" t="str">
        <f>'Buildings - Heat &amp; Fuels'!T221</f>
        <v/>
      </c>
      <c r="AD990" s="193" t="str">
        <f>'Buildings - Heat &amp; Fuels'!U221</f>
        <v/>
      </c>
      <c r="AE990" s="193" t="str">
        <f>'Buildings - Heat &amp; Fuels'!V221</f>
        <v/>
      </c>
      <c r="AF990" s="193" t="str">
        <f>'Buildings - Heat &amp; Fuels'!W221</f>
        <v/>
      </c>
      <c r="AG990" s="193" t="str">
        <f>'Buildings - Heat &amp; Fuels'!X221</f>
        <v/>
      </c>
      <c r="AI990" s="193">
        <f t="shared" si="18"/>
        <v>0</v>
      </c>
      <c r="AJ990" s="193">
        <f t="shared" si="19"/>
        <v>0</v>
      </c>
    </row>
    <row r="991" spans="2:36" x14ac:dyDescent="0.35">
      <c r="B991" s="193" t="e">
        <f>"2024"&amp;MATCH(Totals!D991,OrgType,0)&amp;"_"&amp;MATCH(Totals!E991,Organisations,0)&amp;"_"&amp;LEFT(Totals!F991,1)&amp;"_"&amp;LEFT(G991,1)&amp;"_"&amp;COUNTIF($G$3:G991,G991)</f>
        <v>#N/A</v>
      </c>
      <c r="C991" s="193">
        <v>2025</v>
      </c>
      <c r="D991" s="193">
        <f>Introduction!$D$7</f>
        <v>0</v>
      </c>
      <c r="E991" s="193">
        <f>Introduction!$D$8</f>
        <v>0</v>
      </c>
      <c r="F991" s="193" t="s">
        <v>488</v>
      </c>
      <c r="G991" s="193" t="s">
        <v>490</v>
      </c>
      <c r="H991" s="193">
        <f>'Buildings - Heat &amp; Fuels'!B222</f>
        <v>0</v>
      </c>
      <c r="I991" s="193">
        <f>'Buildings - Heat &amp; Fuels'!C222</f>
        <v>0</v>
      </c>
      <c r="J991" s="193" t="str">
        <f>'Buildings - Heat &amp; Fuels'!D222</f>
        <v/>
      </c>
      <c r="K991" s="237"/>
      <c r="L991" s="237"/>
      <c r="M991" s="193">
        <f>'Buildings - Heat &amp; Fuels'!E222</f>
        <v>0</v>
      </c>
      <c r="N991" s="193">
        <f>'Buildings - Heat &amp; Fuels'!F222</f>
        <v>0</v>
      </c>
      <c r="O991" s="237"/>
      <c r="P991" s="193">
        <f>'Buildings - Heat &amp; Fuels'!G222</f>
        <v>0</v>
      </c>
      <c r="Q991" s="193" t="str">
        <f>'Buildings - Heat &amp; Fuels'!H222</f>
        <v/>
      </c>
      <c r="R991" s="193">
        <f>'Buildings - Heat &amp; Fuels'!I222</f>
        <v>0</v>
      </c>
      <c r="S991" s="193">
        <f>'Buildings - Heat &amp; Fuels'!J222</f>
        <v>0</v>
      </c>
      <c r="T991" s="193" t="str">
        <f>'Buildings - Heat &amp; Fuels'!K222</f>
        <v/>
      </c>
      <c r="U991" s="193" t="str">
        <f>'Buildings - Heat &amp; Fuels'!L222</f>
        <v/>
      </c>
      <c r="V991" s="193" t="str">
        <f>'Buildings - Heat &amp; Fuels'!M222</f>
        <v/>
      </c>
      <c r="W991" s="193" t="str">
        <f>'Buildings - Heat &amp; Fuels'!N222</f>
        <v/>
      </c>
      <c r="X991" s="193">
        <f>'Buildings - Heat &amp; Fuels'!O222</f>
        <v>0</v>
      </c>
      <c r="Y991" s="193">
        <f>'Buildings - Heat &amp; Fuels'!P222</f>
        <v>0</v>
      </c>
      <c r="Z991" s="193" t="str">
        <f>'Buildings - Heat &amp; Fuels'!Q222</f>
        <v/>
      </c>
      <c r="AA991" s="193" t="str">
        <f>'Buildings - Heat &amp; Fuels'!R222</f>
        <v/>
      </c>
      <c r="AB991" s="193" t="str">
        <f>'Buildings - Heat &amp; Fuels'!S222</f>
        <v/>
      </c>
      <c r="AC991" s="193" t="str">
        <f>'Buildings - Heat &amp; Fuels'!T222</f>
        <v/>
      </c>
      <c r="AD991" s="193" t="str">
        <f>'Buildings - Heat &amp; Fuels'!U222</f>
        <v/>
      </c>
      <c r="AE991" s="193" t="str">
        <f>'Buildings - Heat &amp; Fuels'!V222</f>
        <v/>
      </c>
      <c r="AF991" s="193" t="str">
        <f>'Buildings - Heat &amp; Fuels'!W222</f>
        <v/>
      </c>
      <c r="AG991" s="193" t="str">
        <f>'Buildings - Heat &amp; Fuels'!X222</f>
        <v/>
      </c>
      <c r="AI991" s="193">
        <f t="shared" si="18"/>
        <v>0</v>
      </c>
      <c r="AJ991" s="193">
        <f t="shared" si="19"/>
        <v>0</v>
      </c>
    </row>
    <row r="992" spans="2:36" x14ac:dyDescent="0.35">
      <c r="B992" s="193" t="e">
        <f>"2024"&amp;MATCH(Totals!D992,OrgType,0)&amp;"_"&amp;MATCH(Totals!E992,Organisations,0)&amp;"_"&amp;LEFT(Totals!F992,1)&amp;"_"&amp;LEFT(G992,1)&amp;"_"&amp;COUNTIF($G$3:G992,G992)</f>
        <v>#N/A</v>
      </c>
      <c r="C992" s="193">
        <v>2025</v>
      </c>
      <c r="D992" s="193">
        <f>Introduction!$D$7</f>
        <v>0</v>
      </c>
      <c r="E992" s="193">
        <f>Introduction!$D$8</f>
        <v>0</v>
      </c>
      <c r="F992" s="193" t="s">
        <v>488</v>
      </c>
      <c r="G992" s="193" t="s">
        <v>490</v>
      </c>
      <c r="H992" s="193">
        <f>'Buildings - Heat &amp; Fuels'!B223</f>
        <v>0</v>
      </c>
      <c r="I992" s="193">
        <f>'Buildings - Heat &amp; Fuels'!C223</f>
        <v>0</v>
      </c>
      <c r="J992" s="193" t="str">
        <f>'Buildings - Heat &amp; Fuels'!D223</f>
        <v/>
      </c>
      <c r="K992" s="237"/>
      <c r="L992" s="237"/>
      <c r="M992" s="193">
        <f>'Buildings - Heat &amp; Fuels'!E223</f>
        <v>0</v>
      </c>
      <c r="N992" s="193">
        <f>'Buildings - Heat &amp; Fuels'!F223</f>
        <v>0</v>
      </c>
      <c r="O992" s="237"/>
      <c r="P992" s="193">
        <f>'Buildings - Heat &amp; Fuels'!G223</f>
        <v>0</v>
      </c>
      <c r="Q992" s="193" t="str">
        <f>'Buildings - Heat &amp; Fuels'!H223</f>
        <v/>
      </c>
      <c r="R992" s="193">
        <f>'Buildings - Heat &amp; Fuels'!I223</f>
        <v>0</v>
      </c>
      <c r="S992" s="193">
        <f>'Buildings - Heat &amp; Fuels'!J223</f>
        <v>0</v>
      </c>
      <c r="T992" s="193" t="str">
        <f>'Buildings - Heat &amp; Fuels'!K223</f>
        <v/>
      </c>
      <c r="U992" s="193" t="str">
        <f>'Buildings - Heat &amp; Fuels'!L223</f>
        <v/>
      </c>
      <c r="V992" s="193" t="str">
        <f>'Buildings - Heat &amp; Fuels'!M223</f>
        <v/>
      </c>
      <c r="W992" s="193" t="str">
        <f>'Buildings - Heat &amp; Fuels'!N223</f>
        <v/>
      </c>
      <c r="X992" s="193">
        <f>'Buildings - Heat &amp; Fuels'!O223</f>
        <v>0</v>
      </c>
      <c r="Y992" s="193">
        <f>'Buildings - Heat &amp; Fuels'!P223</f>
        <v>0</v>
      </c>
      <c r="Z992" s="193" t="str">
        <f>'Buildings - Heat &amp; Fuels'!Q223</f>
        <v/>
      </c>
      <c r="AA992" s="193" t="str">
        <f>'Buildings - Heat &amp; Fuels'!R223</f>
        <v/>
      </c>
      <c r="AB992" s="193" t="str">
        <f>'Buildings - Heat &amp; Fuels'!S223</f>
        <v/>
      </c>
      <c r="AC992" s="193" t="str">
        <f>'Buildings - Heat &amp; Fuels'!T223</f>
        <v/>
      </c>
      <c r="AD992" s="193" t="str">
        <f>'Buildings - Heat &amp; Fuels'!U223</f>
        <v/>
      </c>
      <c r="AE992" s="193" t="str">
        <f>'Buildings - Heat &amp; Fuels'!V223</f>
        <v/>
      </c>
      <c r="AF992" s="193" t="str">
        <f>'Buildings - Heat &amp; Fuels'!W223</f>
        <v/>
      </c>
      <c r="AG992" s="193" t="str">
        <f>'Buildings - Heat &amp; Fuels'!X223</f>
        <v/>
      </c>
      <c r="AI992" s="193">
        <f t="shared" si="18"/>
        <v>0</v>
      </c>
      <c r="AJ992" s="193">
        <f t="shared" si="19"/>
        <v>0</v>
      </c>
    </row>
    <row r="993" spans="2:36" x14ac:dyDescent="0.35">
      <c r="B993" s="193" t="e">
        <f>"2024"&amp;MATCH(Totals!D993,OrgType,0)&amp;"_"&amp;MATCH(Totals!E993,Organisations,0)&amp;"_"&amp;LEFT(Totals!F993,1)&amp;"_"&amp;LEFT(G993,1)&amp;"_"&amp;COUNTIF($G$3:G993,G993)</f>
        <v>#N/A</v>
      </c>
      <c r="C993" s="193">
        <v>2025</v>
      </c>
      <c r="D993" s="193">
        <f>Introduction!$D$7</f>
        <v>0</v>
      </c>
      <c r="E993" s="193">
        <f>Introduction!$D$8</f>
        <v>0</v>
      </c>
      <c r="F993" s="193" t="s">
        <v>488</v>
      </c>
      <c r="G993" s="193" t="s">
        <v>490</v>
      </c>
      <c r="H993" s="193">
        <f>'Buildings - Heat &amp; Fuels'!B224</f>
        <v>0</v>
      </c>
      <c r="I993" s="193">
        <f>'Buildings - Heat &amp; Fuels'!C224</f>
        <v>0</v>
      </c>
      <c r="J993" s="193" t="str">
        <f>'Buildings - Heat &amp; Fuels'!D224</f>
        <v/>
      </c>
      <c r="K993" s="237"/>
      <c r="L993" s="237"/>
      <c r="M993" s="193">
        <f>'Buildings - Heat &amp; Fuels'!E224</f>
        <v>0</v>
      </c>
      <c r="N993" s="193">
        <f>'Buildings - Heat &amp; Fuels'!F224</f>
        <v>0</v>
      </c>
      <c r="O993" s="237"/>
      <c r="P993" s="193">
        <f>'Buildings - Heat &amp; Fuels'!G224</f>
        <v>0</v>
      </c>
      <c r="Q993" s="193" t="str">
        <f>'Buildings - Heat &amp; Fuels'!H224</f>
        <v/>
      </c>
      <c r="R993" s="193">
        <f>'Buildings - Heat &amp; Fuels'!I224</f>
        <v>0</v>
      </c>
      <c r="S993" s="193">
        <f>'Buildings - Heat &amp; Fuels'!J224</f>
        <v>0</v>
      </c>
      <c r="T993" s="193" t="str">
        <f>'Buildings - Heat &amp; Fuels'!K224</f>
        <v/>
      </c>
      <c r="U993" s="193" t="str">
        <f>'Buildings - Heat &amp; Fuels'!L224</f>
        <v/>
      </c>
      <c r="V993" s="193" t="str">
        <f>'Buildings - Heat &amp; Fuels'!M224</f>
        <v/>
      </c>
      <c r="W993" s="193" t="str">
        <f>'Buildings - Heat &amp; Fuels'!N224</f>
        <v/>
      </c>
      <c r="X993" s="193">
        <f>'Buildings - Heat &amp; Fuels'!O224</f>
        <v>0</v>
      </c>
      <c r="Y993" s="193">
        <f>'Buildings - Heat &amp; Fuels'!P224</f>
        <v>0</v>
      </c>
      <c r="Z993" s="193" t="str">
        <f>'Buildings - Heat &amp; Fuels'!Q224</f>
        <v/>
      </c>
      <c r="AA993" s="193" t="str">
        <f>'Buildings - Heat &amp; Fuels'!R224</f>
        <v/>
      </c>
      <c r="AB993" s="193" t="str">
        <f>'Buildings - Heat &amp; Fuels'!S224</f>
        <v/>
      </c>
      <c r="AC993" s="193" t="str">
        <f>'Buildings - Heat &amp; Fuels'!T224</f>
        <v/>
      </c>
      <c r="AD993" s="193" t="str">
        <f>'Buildings - Heat &amp; Fuels'!U224</f>
        <v/>
      </c>
      <c r="AE993" s="193" t="str">
        <f>'Buildings - Heat &amp; Fuels'!V224</f>
        <v/>
      </c>
      <c r="AF993" s="193" t="str">
        <f>'Buildings - Heat &amp; Fuels'!W224</f>
        <v/>
      </c>
      <c r="AG993" s="193" t="str">
        <f>'Buildings - Heat &amp; Fuels'!X224</f>
        <v/>
      </c>
      <c r="AI993" s="193">
        <f t="shared" si="18"/>
        <v>0</v>
      </c>
      <c r="AJ993" s="193">
        <f t="shared" si="19"/>
        <v>0</v>
      </c>
    </row>
    <row r="994" spans="2:36" x14ac:dyDescent="0.35">
      <c r="B994" s="193" t="e">
        <f>"2024"&amp;MATCH(Totals!D994,OrgType,0)&amp;"_"&amp;MATCH(Totals!E994,Organisations,0)&amp;"_"&amp;LEFT(Totals!F994,1)&amp;"_"&amp;LEFT(G994,1)&amp;"_"&amp;COUNTIF($G$3:G994,G994)</f>
        <v>#N/A</v>
      </c>
      <c r="C994" s="193">
        <v>2025</v>
      </c>
      <c r="D994" s="193">
        <f>Introduction!$D$7</f>
        <v>0</v>
      </c>
      <c r="E994" s="193">
        <f>Introduction!$D$8</f>
        <v>0</v>
      </c>
      <c r="F994" s="193" t="s">
        <v>488</v>
      </c>
      <c r="G994" s="193" t="s">
        <v>490</v>
      </c>
      <c r="H994" s="193">
        <f>'Buildings - Heat &amp; Fuels'!B225</f>
        <v>0</v>
      </c>
      <c r="I994" s="193">
        <f>'Buildings - Heat &amp; Fuels'!C225</f>
        <v>0</v>
      </c>
      <c r="J994" s="193" t="str">
        <f>'Buildings - Heat &amp; Fuels'!D225</f>
        <v/>
      </c>
      <c r="K994" s="237"/>
      <c r="L994" s="237"/>
      <c r="M994" s="193">
        <f>'Buildings - Heat &amp; Fuels'!E225</f>
        <v>0</v>
      </c>
      <c r="N994" s="193">
        <f>'Buildings - Heat &amp; Fuels'!F225</f>
        <v>0</v>
      </c>
      <c r="O994" s="237"/>
      <c r="P994" s="193">
        <f>'Buildings - Heat &amp; Fuels'!G225</f>
        <v>0</v>
      </c>
      <c r="Q994" s="193" t="str">
        <f>'Buildings - Heat &amp; Fuels'!H225</f>
        <v/>
      </c>
      <c r="R994" s="193">
        <f>'Buildings - Heat &amp; Fuels'!I225</f>
        <v>0</v>
      </c>
      <c r="S994" s="193">
        <f>'Buildings - Heat &amp; Fuels'!J225</f>
        <v>0</v>
      </c>
      <c r="T994" s="193" t="str">
        <f>'Buildings - Heat &amp; Fuels'!K225</f>
        <v/>
      </c>
      <c r="U994" s="193" t="str">
        <f>'Buildings - Heat &amp; Fuels'!L225</f>
        <v/>
      </c>
      <c r="V994" s="193" t="str">
        <f>'Buildings - Heat &amp; Fuels'!M225</f>
        <v/>
      </c>
      <c r="W994" s="193" t="str">
        <f>'Buildings - Heat &amp; Fuels'!N225</f>
        <v/>
      </c>
      <c r="X994" s="193">
        <f>'Buildings - Heat &amp; Fuels'!O225</f>
        <v>0</v>
      </c>
      <c r="Y994" s="193">
        <f>'Buildings - Heat &amp; Fuels'!P225</f>
        <v>0</v>
      </c>
      <c r="Z994" s="193" t="str">
        <f>'Buildings - Heat &amp; Fuels'!Q225</f>
        <v/>
      </c>
      <c r="AA994" s="193" t="str">
        <f>'Buildings - Heat &amp; Fuels'!R225</f>
        <v/>
      </c>
      <c r="AB994" s="193" t="str">
        <f>'Buildings - Heat &amp; Fuels'!S225</f>
        <v/>
      </c>
      <c r="AC994" s="193" t="str">
        <f>'Buildings - Heat &amp; Fuels'!T225</f>
        <v/>
      </c>
      <c r="AD994" s="193" t="str">
        <f>'Buildings - Heat &amp; Fuels'!U225</f>
        <v/>
      </c>
      <c r="AE994" s="193" t="str">
        <f>'Buildings - Heat &amp; Fuels'!V225</f>
        <v/>
      </c>
      <c r="AF994" s="193" t="str">
        <f>'Buildings - Heat &amp; Fuels'!W225</f>
        <v/>
      </c>
      <c r="AG994" s="193" t="str">
        <f>'Buildings - Heat &amp; Fuels'!X225</f>
        <v/>
      </c>
      <c r="AI994" s="193">
        <f t="shared" si="18"/>
        <v>0</v>
      </c>
      <c r="AJ994" s="193">
        <f t="shared" si="19"/>
        <v>0</v>
      </c>
    </row>
    <row r="995" spans="2:36" x14ac:dyDescent="0.35">
      <c r="B995" s="193" t="e">
        <f>"2024"&amp;MATCH(Totals!D995,OrgType,0)&amp;"_"&amp;MATCH(Totals!E995,Organisations,0)&amp;"_"&amp;LEFT(Totals!F995,1)&amp;"_"&amp;LEFT(G995,1)&amp;"_"&amp;COUNTIF($G$3:G995,G995)</f>
        <v>#N/A</v>
      </c>
      <c r="C995" s="193">
        <v>2025</v>
      </c>
      <c r="D995" s="193">
        <f>Introduction!$D$7</f>
        <v>0</v>
      </c>
      <c r="E995" s="193">
        <f>Introduction!$D$8</f>
        <v>0</v>
      </c>
      <c r="F995" s="193" t="s">
        <v>488</v>
      </c>
      <c r="G995" s="193" t="s">
        <v>490</v>
      </c>
      <c r="H995" s="193">
        <f>'Buildings - Heat &amp; Fuels'!B226</f>
        <v>0</v>
      </c>
      <c r="I995" s="193">
        <f>'Buildings - Heat &amp; Fuels'!C226</f>
        <v>0</v>
      </c>
      <c r="J995" s="193" t="str">
        <f>'Buildings - Heat &amp; Fuels'!D226</f>
        <v/>
      </c>
      <c r="K995" s="237"/>
      <c r="L995" s="237"/>
      <c r="M995" s="193">
        <f>'Buildings - Heat &amp; Fuels'!E226</f>
        <v>0</v>
      </c>
      <c r="N995" s="193">
        <f>'Buildings - Heat &amp; Fuels'!F226</f>
        <v>0</v>
      </c>
      <c r="O995" s="237"/>
      <c r="P995" s="193">
        <f>'Buildings - Heat &amp; Fuels'!G226</f>
        <v>0</v>
      </c>
      <c r="Q995" s="193" t="str">
        <f>'Buildings - Heat &amp; Fuels'!H226</f>
        <v/>
      </c>
      <c r="R995" s="193">
        <f>'Buildings - Heat &amp; Fuels'!I226</f>
        <v>0</v>
      </c>
      <c r="S995" s="193">
        <f>'Buildings - Heat &amp; Fuels'!J226</f>
        <v>0</v>
      </c>
      <c r="T995" s="193" t="str">
        <f>'Buildings - Heat &amp; Fuels'!K226</f>
        <v/>
      </c>
      <c r="U995" s="193" t="str">
        <f>'Buildings - Heat &amp; Fuels'!L226</f>
        <v/>
      </c>
      <c r="V995" s="193" t="str">
        <f>'Buildings - Heat &amp; Fuels'!M226</f>
        <v/>
      </c>
      <c r="W995" s="193" t="str">
        <f>'Buildings - Heat &amp; Fuels'!N226</f>
        <v/>
      </c>
      <c r="X995" s="193">
        <f>'Buildings - Heat &amp; Fuels'!O226</f>
        <v>0</v>
      </c>
      <c r="Y995" s="193">
        <f>'Buildings - Heat &amp; Fuels'!P226</f>
        <v>0</v>
      </c>
      <c r="Z995" s="193" t="str">
        <f>'Buildings - Heat &amp; Fuels'!Q226</f>
        <v/>
      </c>
      <c r="AA995" s="193" t="str">
        <f>'Buildings - Heat &amp; Fuels'!R226</f>
        <v/>
      </c>
      <c r="AB995" s="193" t="str">
        <f>'Buildings - Heat &amp; Fuels'!S226</f>
        <v/>
      </c>
      <c r="AC995" s="193" t="str">
        <f>'Buildings - Heat &amp; Fuels'!T226</f>
        <v/>
      </c>
      <c r="AD995" s="193" t="str">
        <f>'Buildings - Heat &amp; Fuels'!U226</f>
        <v/>
      </c>
      <c r="AE995" s="193" t="str">
        <f>'Buildings - Heat &amp; Fuels'!V226</f>
        <v/>
      </c>
      <c r="AF995" s="193" t="str">
        <f>'Buildings - Heat &amp; Fuels'!W226</f>
        <v/>
      </c>
      <c r="AG995" s="193" t="str">
        <f>'Buildings - Heat &amp; Fuels'!X226</f>
        <v/>
      </c>
      <c r="AI995" s="193">
        <f t="shared" si="18"/>
        <v>0</v>
      </c>
      <c r="AJ995" s="193">
        <f t="shared" si="19"/>
        <v>0</v>
      </c>
    </row>
    <row r="996" spans="2:36" x14ac:dyDescent="0.35">
      <c r="B996" s="193" t="e">
        <f>"2024"&amp;MATCH(Totals!D996,OrgType,0)&amp;"_"&amp;MATCH(Totals!E996,Organisations,0)&amp;"_"&amp;LEFT(Totals!F996,1)&amp;"_"&amp;LEFT(G996,1)&amp;"_"&amp;COUNTIF($G$3:G996,G996)</f>
        <v>#N/A</v>
      </c>
      <c r="C996" s="193">
        <v>2025</v>
      </c>
      <c r="D996" s="193">
        <f>Introduction!$D$7</f>
        <v>0</v>
      </c>
      <c r="E996" s="193">
        <f>Introduction!$D$8</f>
        <v>0</v>
      </c>
      <c r="F996" s="193" t="s">
        <v>488</v>
      </c>
      <c r="G996" s="193" t="s">
        <v>490</v>
      </c>
      <c r="H996" s="193">
        <f>'Buildings - Heat &amp; Fuels'!B227</f>
        <v>0</v>
      </c>
      <c r="I996" s="193">
        <f>'Buildings - Heat &amp; Fuels'!C227</f>
        <v>0</v>
      </c>
      <c r="J996" s="193" t="str">
        <f>'Buildings - Heat &amp; Fuels'!D227</f>
        <v/>
      </c>
      <c r="K996" s="237"/>
      <c r="L996" s="237"/>
      <c r="M996" s="193">
        <f>'Buildings - Heat &amp; Fuels'!E227</f>
        <v>0</v>
      </c>
      <c r="N996" s="193">
        <f>'Buildings - Heat &amp; Fuels'!F227</f>
        <v>0</v>
      </c>
      <c r="O996" s="237"/>
      <c r="P996" s="193">
        <f>'Buildings - Heat &amp; Fuels'!G227</f>
        <v>0</v>
      </c>
      <c r="Q996" s="193" t="str">
        <f>'Buildings - Heat &amp; Fuels'!H227</f>
        <v/>
      </c>
      <c r="R996" s="193">
        <f>'Buildings - Heat &amp; Fuels'!I227</f>
        <v>0</v>
      </c>
      <c r="S996" s="193">
        <f>'Buildings - Heat &amp; Fuels'!J227</f>
        <v>0</v>
      </c>
      <c r="T996" s="193" t="str">
        <f>'Buildings - Heat &amp; Fuels'!K227</f>
        <v/>
      </c>
      <c r="U996" s="193" t="str">
        <f>'Buildings - Heat &amp; Fuels'!L227</f>
        <v/>
      </c>
      <c r="V996" s="193" t="str">
        <f>'Buildings - Heat &amp; Fuels'!M227</f>
        <v/>
      </c>
      <c r="W996" s="193" t="str">
        <f>'Buildings - Heat &amp; Fuels'!N227</f>
        <v/>
      </c>
      <c r="X996" s="193">
        <f>'Buildings - Heat &amp; Fuels'!O227</f>
        <v>0</v>
      </c>
      <c r="Y996" s="193">
        <f>'Buildings - Heat &amp; Fuels'!P227</f>
        <v>0</v>
      </c>
      <c r="Z996" s="193" t="str">
        <f>'Buildings - Heat &amp; Fuels'!Q227</f>
        <v/>
      </c>
      <c r="AA996" s="193" t="str">
        <f>'Buildings - Heat &amp; Fuels'!R227</f>
        <v/>
      </c>
      <c r="AB996" s="193" t="str">
        <f>'Buildings - Heat &amp; Fuels'!S227</f>
        <v/>
      </c>
      <c r="AC996" s="193" t="str">
        <f>'Buildings - Heat &amp; Fuels'!T227</f>
        <v/>
      </c>
      <c r="AD996" s="193" t="str">
        <f>'Buildings - Heat &amp; Fuels'!U227</f>
        <v/>
      </c>
      <c r="AE996" s="193" t="str">
        <f>'Buildings - Heat &amp; Fuels'!V227</f>
        <v/>
      </c>
      <c r="AF996" s="193" t="str">
        <f>'Buildings - Heat &amp; Fuels'!W227</f>
        <v/>
      </c>
      <c r="AG996" s="193" t="str">
        <f>'Buildings - Heat &amp; Fuels'!X227</f>
        <v/>
      </c>
      <c r="AI996" s="193">
        <f t="shared" si="18"/>
        <v>0</v>
      </c>
      <c r="AJ996" s="193">
        <f t="shared" si="19"/>
        <v>0</v>
      </c>
    </row>
    <row r="997" spans="2:36" x14ac:dyDescent="0.35">
      <c r="B997" s="193" t="e">
        <f>"2024"&amp;MATCH(Totals!D997,OrgType,0)&amp;"_"&amp;MATCH(Totals!E997,Organisations,0)&amp;"_"&amp;LEFT(Totals!F997,1)&amp;"_"&amp;LEFT(G997,1)&amp;"_"&amp;COUNTIF($G$3:G997,G997)</f>
        <v>#N/A</v>
      </c>
      <c r="C997" s="193">
        <v>2025</v>
      </c>
      <c r="D997" s="193">
        <f>Introduction!$D$7</f>
        <v>0</v>
      </c>
      <c r="E997" s="193">
        <f>Introduction!$D$8</f>
        <v>0</v>
      </c>
      <c r="F997" s="193" t="s">
        <v>488</v>
      </c>
      <c r="G997" s="193" t="s">
        <v>490</v>
      </c>
      <c r="H997" s="193">
        <f>'Buildings - Heat &amp; Fuels'!B228</f>
        <v>0</v>
      </c>
      <c r="I997" s="193">
        <f>'Buildings - Heat &amp; Fuels'!C228</f>
        <v>0</v>
      </c>
      <c r="J997" s="193" t="str">
        <f>'Buildings - Heat &amp; Fuels'!D228</f>
        <v/>
      </c>
      <c r="K997" s="237"/>
      <c r="L997" s="237"/>
      <c r="M997" s="193">
        <f>'Buildings - Heat &amp; Fuels'!E228</f>
        <v>0</v>
      </c>
      <c r="N997" s="193">
        <f>'Buildings - Heat &amp; Fuels'!F228</f>
        <v>0</v>
      </c>
      <c r="O997" s="237"/>
      <c r="P997" s="193">
        <f>'Buildings - Heat &amp; Fuels'!G228</f>
        <v>0</v>
      </c>
      <c r="Q997" s="193" t="str">
        <f>'Buildings - Heat &amp; Fuels'!H228</f>
        <v/>
      </c>
      <c r="R997" s="193">
        <f>'Buildings - Heat &amp; Fuels'!I228</f>
        <v>0</v>
      </c>
      <c r="S997" s="193">
        <f>'Buildings - Heat &amp; Fuels'!J228</f>
        <v>0</v>
      </c>
      <c r="T997" s="193" t="str">
        <f>'Buildings - Heat &amp; Fuels'!K228</f>
        <v/>
      </c>
      <c r="U997" s="193" t="str">
        <f>'Buildings - Heat &amp; Fuels'!L228</f>
        <v/>
      </c>
      <c r="V997" s="193" t="str">
        <f>'Buildings - Heat &amp; Fuels'!M228</f>
        <v/>
      </c>
      <c r="W997" s="193" t="str">
        <f>'Buildings - Heat &amp; Fuels'!N228</f>
        <v/>
      </c>
      <c r="X997" s="193">
        <f>'Buildings - Heat &amp; Fuels'!O228</f>
        <v>0</v>
      </c>
      <c r="Y997" s="193">
        <f>'Buildings - Heat &amp; Fuels'!P228</f>
        <v>0</v>
      </c>
      <c r="Z997" s="193" t="str">
        <f>'Buildings - Heat &amp; Fuels'!Q228</f>
        <v/>
      </c>
      <c r="AA997" s="193" t="str">
        <f>'Buildings - Heat &amp; Fuels'!R228</f>
        <v/>
      </c>
      <c r="AB997" s="193" t="str">
        <f>'Buildings - Heat &amp; Fuels'!S228</f>
        <v/>
      </c>
      <c r="AC997" s="193" t="str">
        <f>'Buildings - Heat &amp; Fuels'!T228</f>
        <v/>
      </c>
      <c r="AD997" s="193" t="str">
        <f>'Buildings - Heat &amp; Fuels'!U228</f>
        <v/>
      </c>
      <c r="AE997" s="193" t="str">
        <f>'Buildings - Heat &amp; Fuels'!V228</f>
        <v/>
      </c>
      <c r="AF997" s="193" t="str">
        <f>'Buildings - Heat &amp; Fuels'!W228</f>
        <v/>
      </c>
      <c r="AG997" s="193" t="str">
        <f>'Buildings - Heat &amp; Fuels'!X228</f>
        <v/>
      </c>
      <c r="AI997" s="193">
        <f t="shared" si="18"/>
        <v>0</v>
      </c>
      <c r="AJ997" s="193">
        <f t="shared" si="19"/>
        <v>0</v>
      </c>
    </row>
    <row r="998" spans="2:36" x14ac:dyDescent="0.35">
      <c r="B998" s="193" t="e">
        <f>"2024"&amp;MATCH(Totals!D998,OrgType,0)&amp;"_"&amp;MATCH(Totals!E998,Organisations,0)&amp;"_"&amp;LEFT(Totals!F998,1)&amp;"_"&amp;LEFT(G998,1)&amp;"_"&amp;COUNTIF($G$3:G998,G998)</f>
        <v>#N/A</v>
      </c>
      <c r="C998" s="193">
        <v>2025</v>
      </c>
      <c r="D998" s="193">
        <f>Introduction!$D$7</f>
        <v>0</v>
      </c>
      <c r="E998" s="193">
        <f>Introduction!$D$8</f>
        <v>0</v>
      </c>
      <c r="F998" s="193" t="s">
        <v>488</v>
      </c>
      <c r="G998" s="193" t="s">
        <v>490</v>
      </c>
      <c r="H998" s="193">
        <f>'Buildings - Heat &amp; Fuels'!B229</f>
        <v>0</v>
      </c>
      <c r="I998" s="193">
        <f>'Buildings - Heat &amp; Fuels'!C229</f>
        <v>0</v>
      </c>
      <c r="J998" s="193" t="str">
        <f>'Buildings - Heat &amp; Fuels'!D229</f>
        <v/>
      </c>
      <c r="K998" s="237"/>
      <c r="L998" s="237"/>
      <c r="M998" s="193">
        <f>'Buildings - Heat &amp; Fuels'!E229</f>
        <v>0</v>
      </c>
      <c r="N998" s="193">
        <f>'Buildings - Heat &amp; Fuels'!F229</f>
        <v>0</v>
      </c>
      <c r="O998" s="237"/>
      <c r="P998" s="193">
        <f>'Buildings - Heat &amp; Fuels'!G229</f>
        <v>0</v>
      </c>
      <c r="Q998" s="193" t="str">
        <f>'Buildings - Heat &amp; Fuels'!H229</f>
        <v/>
      </c>
      <c r="R998" s="193">
        <f>'Buildings - Heat &amp; Fuels'!I229</f>
        <v>0</v>
      </c>
      <c r="S998" s="193">
        <f>'Buildings - Heat &amp; Fuels'!J229</f>
        <v>0</v>
      </c>
      <c r="T998" s="193" t="str">
        <f>'Buildings - Heat &amp; Fuels'!K229</f>
        <v/>
      </c>
      <c r="U998" s="193" t="str">
        <f>'Buildings - Heat &amp; Fuels'!L229</f>
        <v/>
      </c>
      <c r="V998" s="193" t="str">
        <f>'Buildings - Heat &amp; Fuels'!M229</f>
        <v/>
      </c>
      <c r="W998" s="193" t="str">
        <f>'Buildings - Heat &amp; Fuels'!N229</f>
        <v/>
      </c>
      <c r="X998" s="193">
        <f>'Buildings - Heat &amp; Fuels'!O229</f>
        <v>0</v>
      </c>
      <c r="Y998" s="193">
        <f>'Buildings - Heat &amp; Fuels'!P229</f>
        <v>0</v>
      </c>
      <c r="Z998" s="193" t="str">
        <f>'Buildings - Heat &amp; Fuels'!Q229</f>
        <v/>
      </c>
      <c r="AA998" s="193" t="str">
        <f>'Buildings - Heat &amp; Fuels'!R229</f>
        <v/>
      </c>
      <c r="AB998" s="193" t="str">
        <f>'Buildings - Heat &amp; Fuels'!S229</f>
        <v/>
      </c>
      <c r="AC998" s="193" t="str">
        <f>'Buildings - Heat &amp; Fuels'!T229</f>
        <v/>
      </c>
      <c r="AD998" s="193" t="str">
        <f>'Buildings - Heat &amp; Fuels'!U229</f>
        <v/>
      </c>
      <c r="AE998" s="193" t="str">
        <f>'Buildings - Heat &amp; Fuels'!V229</f>
        <v/>
      </c>
      <c r="AF998" s="193" t="str">
        <f>'Buildings - Heat &amp; Fuels'!W229</f>
        <v/>
      </c>
      <c r="AG998" s="193" t="str">
        <f>'Buildings - Heat &amp; Fuels'!X229</f>
        <v/>
      </c>
      <c r="AI998" s="193">
        <f t="shared" si="18"/>
        <v>0</v>
      </c>
      <c r="AJ998" s="193">
        <f t="shared" si="19"/>
        <v>0</v>
      </c>
    </row>
    <row r="999" spans="2:36" x14ac:dyDescent="0.35">
      <c r="B999" s="193" t="e">
        <f>"2024"&amp;MATCH(Totals!D999,OrgType,0)&amp;"_"&amp;MATCH(Totals!E999,Organisations,0)&amp;"_"&amp;LEFT(Totals!F999,1)&amp;"_"&amp;LEFT(G999,1)&amp;"_"&amp;COUNTIF($G$3:G999,G999)</f>
        <v>#N/A</v>
      </c>
      <c r="C999" s="193">
        <v>2025</v>
      </c>
      <c r="D999" s="193">
        <f>Introduction!$D$7</f>
        <v>0</v>
      </c>
      <c r="E999" s="193">
        <f>Introduction!$D$8</f>
        <v>0</v>
      </c>
      <c r="F999" s="193" t="s">
        <v>488</v>
      </c>
      <c r="G999" s="193" t="s">
        <v>490</v>
      </c>
      <c r="H999" s="193">
        <f>'Buildings - Heat &amp; Fuels'!B230</f>
        <v>0</v>
      </c>
      <c r="I999" s="193">
        <f>'Buildings - Heat &amp; Fuels'!C230</f>
        <v>0</v>
      </c>
      <c r="J999" s="193" t="str">
        <f>'Buildings - Heat &amp; Fuels'!D230</f>
        <v/>
      </c>
      <c r="K999" s="237"/>
      <c r="L999" s="237"/>
      <c r="M999" s="193">
        <f>'Buildings - Heat &amp; Fuels'!E230</f>
        <v>0</v>
      </c>
      <c r="N999" s="193">
        <f>'Buildings - Heat &amp; Fuels'!F230</f>
        <v>0</v>
      </c>
      <c r="O999" s="237"/>
      <c r="P999" s="193">
        <f>'Buildings - Heat &amp; Fuels'!G230</f>
        <v>0</v>
      </c>
      <c r="Q999" s="193" t="str">
        <f>'Buildings - Heat &amp; Fuels'!H230</f>
        <v/>
      </c>
      <c r="R999" s="193">
        <f>'Buildings - Heat &amp; Fuels'!I230</f>
        <v>0</v>
      </c>
      <c r="S999" s="193">
        <f>'Buildings - Heat &amp; Fuels'!J230</f>
        <v>0</v>
      </c>
      <c r="T999" s="193" t="str">
        <f>'Buildings - Heat &amp; Fuels'!K230</f>
        <v/>
      </c>
      <c r="U999" s="193" t="str">
        <f>'Buildings - Heat &amp; Fuels'!L230</f>
        <v/>
      </c>
      <c r="V999" s="193" t="str">
        <f>'Buildings - Heat &amp; Fuels'!M230</f>
        <v/>
      </c>
      <c r="W999" s="193" t="str">
        <f>'Buildings - Heat &amp; Fuels'!N230</f>
        <v/>
      </c>
      <c r="X999" s="193">
        <f>'Buildings - Heat &amp; Fuels'!O230</f>
        <v>0</v>
      </c>
      <c r="Y999" s="193">
        <f>'Buildings - Heat &amp; Fuels'!P230</f>
        <v>0</v>
      </c>
      <c r="Z999" s="193" t="str">
        <f>'Buildings - Heat &amp; Fuels'!Q230</f>
        <v/>
      </c>
      <c r="AA999" s="193" t="str">
        <f>'Buildings - Heat &amp; Fuels'!R230</f>
        <v/>
      </c>
      <c r="AB999" s="193" t="str">
        <f>'Buildings - Heat &amp; Fuels'!S230</f>
        <v/>
      </c>
      <c r="AC999" s="193" t="str">
        <f>'Buildings - Heat &amp; Fuels'!T230</f>
        <v/>
      </c>
      <c r="AD999" s="193" t="str">
        <f>'Buildings - Heat &amp; Fuels'!U230</f>
        <v/>
      </c>
      <c r="AE999" s="193" t="str">
        <f>'Buildings - Heat &amp; Fuels'!V230</f>
        <v/>
      </c>
      <c r="AF999" s="193" t="str">
        <f>'Buildings - Heat &amp; Fuels'!W230</f>
        <v/>
      </c>
      <c r="AG999" s="193" t="str">
        <f>'Buildings - Heat &amp; Fuels'!X230</f>
        <v/>
      </c>
      <c r="AI999" s="193">
        <f t="shared" si="18"/>
        <v>0</v>
      </c>
      <c r="AJ999" s="193">
        <f t="shared" si="19"/>
        <v>0</v>
      </c>
    </row>
    <row r="1000" spans="2:36" x14ac:dyDescent="0.35">
      <c r="B1000" s="193" t="e">
        <f>"2024"&amp;MATCH(Totals!D1000,OrgType,0)&amp;"_"&amp;MATCH(Totals!E1000,Organisations,0)&amp;"_"&amp;LEFT(Totals!F1000,1)&amp;"_"&amp;LEFT(G1000,1)&amp;"_"&amp;COUNTIF($G$3:G1000,G1000)</f>
        <v>#N/A</v>
      </c>
      <c r="C1000" s="193">
        <v>2025</v>
      </c>
      <c r="D1000" s="193">
        <f>Introduction!$D$7</f>
        <v>0</v>
      </c>
      <c r="E1000" s="193">
        <f>Introduction!$D$8</f>
        <v>0</v>
      </c>
      <c r="F1000" s="193" t="s">
        <v>488</v>
      </c>
      <c r="G1000" s="193" t="s">
        <v>490</v>
      </c>
      <c r="H1000" s="193">
        <f>'Buildings - Heat &amp; Fuels'!B231</f>
        <v>0</v>
      </c>
      <c r="I1000" s="193">
        <f>'Buildings - Heat &amp; Fuels'!C231</f>
        <v>0</v>
      </c>
      <c r="J1000" s="193" t="str">
        <f>'Buildings - Heat &amp; Fuels'!D231</f>
        <v/>
      </c>
      <c r="K1000" s="237"/>
      <c r="L1000" s="237"/>
      <c r="M1000" s="193">
        <f>'Buildings - Heat &amp; Fuels'!E231</f>
        <v>0</v>
      </c>
      <c r="N1000" s="193">
        <f>'Buildings - Heat &amp; Fuels'!F231</f>
        <v>0</v>
      </c>
      <c r="O1000" s="237"/>
      <c r="P1000" s="193">
        <f>'Buildings - Heat &amp; Fuels'!G231</f>
        <v>0</v>
      </c>
      <c r="Q1000" s="193" t="str">
        <f>'Buildings - Heat &amp; Fuels'!H231</f>
        <v/>
      </c>
      <c r="R1000" s="193">
        <f>'Buildings - Heat &amp; Fuels'!I231</f>
        <v>0</v>
      </c>
      <c r="S1000" s="193">
        <f>'Buildings - Heat &amp; Fuels'!J231</f>
        <v>0</v>
      </c>
      <c r="T1000" s="193" t="str">
        <f>'Buildings - Heat &amp; Fuels'!K231</f>
        <v/>
      </c>
      <c r="U1000" s="193" t="str">
        <f>'Buildings - Heat &amp; Fuels'!L231</f>
        <v/>
      </c>
      <c r="V1000" s="193" t="str">
        <f>'Buildings - Heat &amp; Fuels'!M231</f>
        <v/>
      </c>
      <c r="W1000" s="193" t="str">
        <f>'Buildings - Heat &amp; Fuels'!N231</f>
        <v/>
      </c>
      <c r="X1000" s="193">
        <f>'Buildings - Heat &amp; Fuels'!O231</f>
        <v>0</v>
      </c>
      <c r="Y1000" s="193">
        <f>'Buildings - Heat &amp; Fuels'!P231</f>
        <v>0</v>
      </c>
      <c r="Z1000" s="193" t="str">
        <f>'Buildings - Heat &amp; Fuels'!Q231</f>
        <v/>
      </c>
      <c r="AA1000" s="193" t="str">
        <f>'Buildings - Heat &amp; Fuels'!R231</f>
        <v/>
      </c>
      <c r="AB1000" s="193" t="str">
        <f>'Buildings - Heat &amp; Fuels'!S231</f>
        <v/>
      </c>
      <c r="AC1000" s="193" t="str">
        <f>'Buildings - Heat &amp; Fuels'!T231</f>
        <v/>
      </c>
      <c r="AD1000" s="193" t="str">
        <f>'Buildings - Heat &amp; Fuels'!U231</f>
        <v/>
      </c>
      <c r="AE1000" s="193" t="str">
        <f>'Buildings - Heat &amp; Fuels'!V231</f>
        <v/>
      </c>
      <c r="AF1000" s="193" t="str">
        <f>'Buildings - Heat &amp; Fuels'!W231</f>
        <v/>
      </c>
      <c r="AG1000" s="193" t="str">
        <f>'Buildings - Heat &amp; Fuels'!X231</f>
        <v/>
      </c>
      <c r="AI1000" s="193">
        <f t="shared" si="18"/>
        <v>0</v>
      </c>
      <c r="AJ1000" s="193">
        <f t="shared" si="19"/>
        <v>0</v>
      </c>
    </row>
    <row r="1001" spans="2:36" x14ac:dyDescent="0.35">
      <c r="B1001" s="193" t="e">
        <f>"2024"&amp;MATCH(Totals!D1001,OrgType,0)&amp;"_"&amp;MATCH(Totals!E1001,Organisations,0)&amp;"_"&amp;LEFT(Totals!F1001,1)&amp;"_"&amp;LEFT(G1001,1)&amp;"_"&amp;COUNTIF($G$3:G1001,G1001)</f>
        <v>#N/A</v>
      </c>
      <c r="C1001" s="193">
        <v>2025</v>
      </c>
      <c r="D1001" s="193">
        <f>Introduction!$D$7</f>
        <v>0</v>
      </c>
      <c r="E1001" s="193">
        <f>Introduction!$D$8</f>
        <v>0</v>
      </c>
      <c r="F1001" s="193" t="s">
        <v>488</v>
      </c>
      <c r="G1001" s="193" t="s">
        <v>490</v>
      </c>
      <c r="H1001" s="193">
        <f>'Buildings - Heat &amp; Fuels'!B232</f>
        <v>0</v>
      </c>
      <c r="I1001" s="193">
        <f>'Buildings - Heat &amp; Fuels'!C232</f>
        <v>0</v>
      </c>
      <c r="J1001" s="193" t="str">
        <f>'Buildings - Heat &amp; Fuels'!D232</f>
        <v/>
      </c>
      <c r="K1001" s="237"/>
      <c r="L1001" s="237"/>
      <c r="M1001" s="193">
        <f>'Buildings - Heat &amp; Fuels'!E232</f>
        <v>0</v>
      </c>
      <c r="N1001" s="193">
        <f>'Buildings - Heat &amp; Fuels'!F232</f>
        <v>0</v>
      </c>
      <c r="O1001" s="237"/>
      <c r="P1001" s="193">
        <f>'Buildings - Heat &amp; Fuels'!G232</f>
        <v>0</v>
      </c>
      <c r="Q1001" s="193" t="str">
        <f>'Buildings - Heat &amp; Fuels'!H232</f>
        <v/>
      </c>
      <c r="R1001" s="193">
        <f>'Buildings - Heat &amp; Fuels'!I232</f>
        <v>0</v>
      </c>
      <c r="S1001" s="193">
        <f>'Buildings - Heat &amp; Fuels'!J232</f>
        <v>0</v>
      </c>
      <c r="T1001" s="193" t="str">
        <f>'Buildings - Heat &amp; Fuels'!K232</f>
        <v/>
      </c>
      <c r="U1001" s="193" t="str">
        <f>'Buildings - Heat &amp; Fuels'!L232</f>
        <v/>
      </c>
      <c r="V1001" s="193" t="str">
        <f>'Buildings - Heat &amp; Fuels'!M232</f>
        <v/>
      </c>
      <c r="W1001" s="193" t="str">
        <f>'Buildings - Heat &amp; Fuels'!N232</f>
        <v/>
      </c>
      <c r="X1001" s="193">
        <f>'Buildings - Heat &amp; Fuels'!O232</f>
        <v>0</v>
      </c>
      <c r="Y1001" s="193">
        <f>'Buildings - Heat &amp; Fuels'!P232</f>
        <v>0</v>
      </c>
      <c r="Z1001" s="193" t="str">
        <f>'Buildings - Heat &amp; Fuels'!Q232</f>
        <v/>
      </c>
      <c r="AA1001" s="193" t="str">
        <f>'Buildings - Heat &amp; Fuels'!R232</f>
        <v/>
      </c>
      <c r="AB1001" s="193" t="str">
        <f>'Buildings - Heat &amp; Fuels'!S232</f>
        <v/>
      </c>
      <c r="AC1001" s="193" t="str">
        <f>'Buildings - Heat &amp; Fuels'!T232</f>
        <v/>
      </c>
      <c r="AD1001" s="193" t="str">
        <f>'Buildings - Heat &amp; Fuels'!U232</f>
        <v/>
      </c>
      <c r="AE1001" s="193" t="str">
        <f>'Buildings - Heat &amp; Fuels'!V232</f>
        <v/>
      </c>
      <c r="AF1001" s="193" t="str">
        <f>'Buildings - Heat &amp; Fuels'!W232</f>
        <v/>
      </c>
      <c r="AG1001" s="193" t="str">
        <f>'Buildings - Heat &amp; Fuels'!X232</f>
        <v/>
      </c>
      <c r="AI1001" s="193">
        <f t="shared" si="18"/>
        <v>0</v>
      </c>
      <c r="AJ1001" s="193">
        <f t="shared" si="19"/>
        <v>0</v>
      </c>
    </row>
    <row r="1002" spans="2:36" x14ac:dyDescent="0.35">
      <c r="B1002" s="193" t="e">
        <f>"2024"&amp;MATCH(Totals!D1002,OrgType,0)&amp;"_"&amp;MATCH(Totals!E1002,Organisations,0)&amp;"_"&amp;LEFT(Totals!F1002,1)&amp;"_"&amp;LEFT(G1002,1)&amp;"_"&amp;COUNTIF($G$3:G1002,G1002)</f>
        <v>#N/A</v>
      </c>
      <c r="C1002" s="193">
        <v>2025</v>
      </c>
      <c r="D1002" s="193">
        <f>Introduction!$D$7</f>
        <v>0</v>
      </c>
      <c r="E1002" s="193">
        <f>Introduction!$D$8</f>
        <v>0</v>
      </c>
      <c r="F1002" s="193" t="s">
        <v>488</v>
      </c>
      <c r="G1002" s="193" t="s">
        <v>490</v>
      </c>
      <c r="H1002" s="193">
        <f>'Buildings - Heat &amp; Fuels'!B233</f>
        <v>0</v>
      </c>
      <c r="I1002" s="193">
        <f>'Buildings - Heat &amp; Fuels'!C233</f>
        <v>0</v>
      </c>
      <c r="J1002" s="193" t="str">
        <f>'Buildings - Heat &amp; Fuels'!D233</f>
        <v/>
      </c>
      <c r="K1002" s="237"/>
      <c r="L1002" s="237"/>
      <c r="M1002" s="193">
        <f>'Buildings - Heat &amp; Fuels'!E233</f>
        <v>0</v>
      </c>
      <c r="N1002" s="193">
        <f>'Buildings - Heat &amp; Fuels'!F233</f>
        <v>0</v>
      </c>
      <c r="O1002" s="237"/>
      <c r="P1002" s="193">
        <f>'Buildings - Heat &amp; Fuels'!G233</f>
        <v>0</v>
      </c>
      <c r="Q1002" s="193" t="str">
        <f>'Buildings - Heat &amp; Fuels'!H233</f>
        <v/>
      </c>
      <c r="R1002" s="193">
        <f>'Buildings - Heat &amp; Fuels'!I233</f>
        <v>0</v>
      </c>
      <c r="S1002" s="193">
        <f>'Buildings - Heat &amp; Fuels'!J233</f>
        <v>0</v>
      </c>
      <c r="T1002" s="193" t="str">
        <f>'Buildings - Heat &amp; Fuels'!K233</f>
        <v/>
      </c>
      <c r="U1002" s="193" t="str">
        <f>'Buildings - Heat &amp; Fuels'!L233</f>
        <v/>
      </c>
      <c r="V1002" s="193" t="str">
        <f>'Buildings - Heat &amp; Fuels'!M233</f>
        <v/>
      </c>
      <c r="W1002" s="193" t="str">
        <f>'Buildings - Heat &amp; Fuels'!N233</f>
        <v/>
      </c>
      <c r="X1002" s="193">
        <f>'Buildings - Heat &amp; Fuels'!O233</f>
        <v>0</v>
      </c>
      <c r="Y1002" s="193">
        <f>'Buildings - Heat &amp; Fuels'!P233</f>
        <v>0</v>
      </c>
      <c r="Z1002" s="193" t="str">
        <f>'Buildings - Heat &amp; Fuels'!Q233</f>
        <v/>
      </c>
      <c r="AA1002" s="193" t="str">
        <f>'Buildings - Heat &amp; Fuels'!R233</f>
        <v/>
      </c>
      <c r="AB1002" s="193" t="str">
        <f>'Buildings - Heat &amp; Fuels'!S233</f>
        <v/>
      </c>
      <c r="AC1002" s="193" t="str">
        <f>'Buildings - Heat &amp; Fuels'!T233</f>
        <v/>
      </c>
      <c r="AD1002" s="193" t="str">
        <f>'Buildings - Heat &amp; Fuels'!U233</f>
        <v/>
      </c>
      <c r="AE1002" s="193" t="str">
        <f>'Buildings - Heat &amp; Fuels'!V233</f>
        <v/>
      </c>
      <c r="AF1002" s="193" t="str">
        <f>'Buildings - Heat &amp; Fuels'!W233</f>
        <v/>
      </c>
      <c r="AG1002" s="193" t="str">
        <f>'Buildings - Heat &amp; Fuels'!X233</f>
        <v/>
      </c>
      <c r="AI1002" s="193">
        <f t="shared" si="18"/>
        <v>0</v>
      </c>
      <c r="AJ1002" s="193">
        <f t="shared" si="19"/>
        <v>0</v>
      </c>
    </row>
    <row r="1003" spans="2:36" x14ac:dyDescent="0.35">
      <c r="B1003" s="193" t="e">
        <f>"2024"&amp;MATCH(Totals!D1003,OrgType,0)&amp;"_"&amp;MATCH(Totals!E1003,Organisations,0)&amp;"_"&amp;LEFT(Totals!F1003,1)&amp;"_"&amp;LEFT(G1003,1)&amp;"_"&amp;COUNTIF($G$3:G1003,G1003)</f>
        <v>#N/A</v>
      </c>
      <c r="C1003" s="193">
        <v>2025</v>
      </c>
      <c r="D1003" s="193">
        <f>Introduction!$D$7</f>
        <v>0</v>
      </c>
      <c r="E1003" s="193">
        <f>Introduction!$D$8</f>
        <v>0</v>
      </c>
      <c r="F1003" s="193" t="s">
        <v>488</v>
      </c>
      <c r="G1003" s="193" t="s">
        <v>490</v>
      </c>
      <c r="H1003" s="193">
        <f>'Buildings - Heat &amp; Fuels'!B234</f>
        <v>0</v>
      </c>
      <c r="I1003" s="193">
        <f>'Buildings - Heat &amp; Fuels'!C234</f>
        <v>0</v>
      </c>
      <c r="J1003" s="193" t="str">
        <f>'Buildings - Heat &amp; Fuels'!D234</f>
        <v/>
      </c>
      <c r="K1003" s="237"/>
      <c r="L1003" s="237"/>
      <c r="M1003" s="193">
        <f>'Buildings - Heat &amp; Fuels'!E234</f>
        <v>0</v>
      </c>
      <c r="N1003" s="193">
        <f>'Buildings - Heat &amp; Fuels'!F234</f>
        <v>0</v>
      </c>
      <c r="O1003" s="237"/>
      <c r="P1003" s="193">
        <f>'Buildings - Heat &amp; Fuels'!G234</f>
        <v>0</v>
      </c>
      <c r="Q1003" s="193" t="str">
        <f>'Buildings - Heat &amp; Fuels'!H234</f>
        <v/>
      </c>
      <c r="R1003" s="193">
        <f>'Buildings - Heat &amp; Fuels'!I234</f>
        <v>0</v>
      </c>
      <c r="S1003" s="193">
        <f>'Buildings - Heat &amp; Fuels'!J234</f>
        <v>0</v>
      </c>
      <c r="T1003" s="193" t="str">
        <f>'Buildings - Heat &amp; Fuels'!K234</f>
        <v/>
      </c>
      <c r="U1003" s="193" t="str">
        <f>'Buildings - Heat &amp; Fuels'!L234</f>
        <v/>
      </c>
      <c r="V1003" s="193" t="str">
        <f>'Buildings - Heat &amp; Fuels'!M234</f>
        <v/>
      </c>
      <c r="W1003" s="193" t="str">
        <f>'Buildings - Heat &amp; Fuels'!N234</f>
        <v/>
      </c>
      <c r="X1003" s="193">
        <f>'Buildings - Heat &amp; Fuels'!O234</f>
        <v>0</v>
      </c>
      <c r="Y1003" s="193">
        <f>'Buildings - Heat &amp; Fuels'!P234</f>
        <v>0</v>
      </c>
      <c r="Z1003" s="193" t="str">
        <f>'Buildings - Heat &amp; Fuels'!Q234</f>
        <v/>
      </c>
      <c r="AA1003" s="193" t="str">
        <f>'Buildings - Heat &amp; Fuels'!R234</f>
        <v/>
      </c>
      <c r="AB1003" s="193" t="str">
        <f>'Buildings - Heat &amp; Fuels'!S234</f>
        <v/>
      </c>
      <c r="AC1003" s="193" t="str">
        <f>'Buildings - Heat &amp; Fuels'!T234</f>
        <v/>
      </c>
      <c r="AD1003" s="193" t="str">
        <f>'Buildings - Heat &amp; Fuels'!U234</f>
        <v/>
      </c>
      <c r="AE1003" s="193" t="str">
        <f>'Buildings - Heat &amp; Fuels'!V234</f>
        <v/>
      </c>
      <c r="AF1003" s="193" t="str">
        <f>'Buildings - Heat &amp; Fuels'!W234</f>
        <v/>
      </c>
      <c r="AG1003" s="193" t="str">
        <f>'Buildings - Heat &amp; Fuels'!X234</f>
        <v/>
      </c>
      <c r="AI1003" s="193">
        <f t="shared" si="18"/>
        <v>0</v>
      </c>
      <c r="AJ1003" s="193">
        <f t="shared" si="19"/>
        <v>0</v>
      </c>
    </row>
    <row r="1004" spans="2:36" x14ac:dyDescent="0.35">
      <c r="B1004" s="193" t="e">
        <f>"2024"&amp;MATCH(Totals!D1004,OrgType,0)&amp;"_"&amp;MATCH(Totals!E1004,Organisations,0)&amp;"_"&amp;LEFT(Totals!F1004,1)&amp;"_"&amp;LEFT(G1004,1)&amp;"_"&amp;COUNTIF($G$3:G1004,G1004)</f>
        <v>#N/A</v>
      </c>
      <c r="C1004" s="193">
        <v>2025</v>
      </c>
      <c r="D1004" s="193">
        <f>Introduction!$D$7</f>
        <v>0</v>
      </c>
      <c r="E1004" s="193">
        <f>Introduction!$D$8</f>
        <v>0</v>
      </c>
      <c r="F1004" s="193" t="s">
        <v>488</v>
      </c>
      <c r="G1004" s="193" t="s">
        <v>490</v>
      </c>
      <c r="H1004" s="193">
        <f>'Buildings - Heat &amp; Fuels'!B235</f>
        <v>0</v>
      </c>
      <c r="I1004" s="193">
        <f>'Buildings - Heat &amp; Fuels'!C235</f>
        <v>0</v>
      </c>
      <c r="J1004" s="193" t="str">
        <f>'Buildings - Heat &amp; Fuels'!D235</f>
        <v/>
      </c>
      <c r="K1004" s="237"/>
      <c r="L1004" s="237"/>
      <c r="M1004" s="193">
        <f>'Buildings - Heat &amp; Fuels'!E235</f>
        <v>0</v>
      </c>
      <c r="N1004" s="193">
        <f>'Buildings - Heat &amp; Fuels'!F235</f>
        <v>0</v>
      </c>
      <c r="O1004" s="237"/>
      <c r="P1004" s="193">
        <f>'Buildings - Heat &amp; Fuels'!G235</f>
        <v>0</v>
      </c>
      <c r="Q1004" s="193" t="str">
        <f>'Buildings - Heat &amp; Fuels'!H235</f>
        <v/>
      </c>
      <c r="R1004" s="193">
        <f>'Buildings - Heat &amp; Fuels'!I235</f>
        <v>0</v>
      </c>
      <c r="S1004" s="193">
        <f>'Buildings - Heat &amp; Fuels'!J235</f>
        <v>0</v>
      </c>
      <c r="T1004" s="193" t="str">
        <f>'Buildings - Heat &amp; Fuels'!K235</f>
        <v/>
      </c>
      <c r="U1004" s="193" t="str">
        <f>'Buildings - Heat &amp; Fuels'!L235</f>
        <v/>
      </c>
      <c r="V1004" s="193" t="str">
        <f>'Buildings - Heat &amp; Fuels'!M235</f>
        <v/>
      </c>
      <c r="W1004" s="193" t="str">
        <f>'Buildings - Heat &amp; Fuels'!N235</f>
        <v/>
      </c>
      <c r="X1004" s="193">
        <f>'Buildings - Heat &amp; Fuels'!O235</f>
        <v>0</v>
      </c>
      <c r="Y1004" s="193">
        <f>'Buildings - Heat &amp; Fuels'!P235</f>
        <v>0</v>
      </c>
      <c r="Z1004" s="193" t="str">
        <f>'Buildings - Heat &amp; Fuels'!Q235</f>
        <v/>
      </c>
      <c r="AA1004" s="193" t="str">
        <f>'Buildings - Heat &amp; Fuels'!R235</f>
        <v/>
      </c>
      <c r="AB1004" s="193" t="str">
        <f>'Buildings - Heat &amp; Fuels'!S235</f>
        <v/>
      </c>
      <c r="AC1004" s="193" t="str">
        <f>'Buildings - Heat &amp; Fuels'!T235</f>
        <v/>
      </c>
      <c r="AD1004" s="193" t="str">
        <f>'Buildings - Heat &amp; Fuels'!U235</f>
        <v/>
      </c>
      <c r="AE1004" s="193" t="str">
        <f>'Buildings - Heat &amp; Fuels'!V235</f>
        <v/>
      </c>
      <c r="AF1004" s="193" t="str">
        <f>'Buildings - Heat &amp; Fuels'!W235</f>
        <v/>
      </c>
      <c r="AG1004" s="193" t="str">
        <f>'Buildings - Heat &amp; Fuels'!X235</f>
        <v/>
      </c>
      <c r="AI1004" s="193">
        <f t="shared" si="18"/>
        <v>0</v>
      </c>
      <c r="AJ1004" s="193">
        <f t="shared" si="19"/>
        <v>0</v>
      </c>
    </row>
    <row r="1005" spans="2:36" x14ac:dyDescent="0.35">
      <c r="B1005" s="193" t="e">
        <f>"2024"&amp;MATCH(Totals!D1005,OrgType,0)&amp;"_"&amp;MATCH(Totals!E1005,Organisations,0)&amp;"_"&amp;LEFT(Totals!F1005,1)&amp;"_"&amp;LEFT(G1005,1)&amp;"_"&amp;COUNTIF($G$3:G1005,G1005)</f>
        <v>#N/A</v>
      </c>
      <c r="C1005" s="193">
        <v>2025</v>
      </c>
      <c r="D1005" s="193">
        <f>Introduction!$D$7</f>
        <v>0</v>
      </c>
      <c r="E1005" s="193">
        <f>Introduction!$D$8</f>
        <v>0</v>
      </c>
      <c r="F1005" s="193" t="s">
        <v>488</v>
      </c>
      <c r="G1005" s="193" t="s">
        <v>490</v>
      </c>
      <c r="H1005" s="193">
        <f>'Buildings - Heat &amp; Fuels'!B236</f>
        <v>0</v>
      </c>
      <c r="I1005" s="193">
        <f>'Buildings - Heat &amp; Fuels'!C236</f>
        <v>0</v>
      </c>
      <c r="J1005" s="193" t="str">
        <f>'Buildings - Heat &amp; Fuels'!D236</f>
        <v/>
      </c>
      <c r="K1005" s="237"/>
      <c r="L1005" s="237"/>
      <c r="M1005" s="193">
        <f>'Buildings - Heat &amp; Fuels'!E236</f>
        <v>0</v>
      </c>
      <c r="N1005" s="193">
        <f>'Buildings - Heat &amp; Fuels'!F236</f>
        <v>0</v>
      </c>
      <c r="O1005" s="237"/>
      <c r="P1005" s="193">
        <f>'Buildings - Heat &amp; Fuels'!G236</f>
        <v>0</v>
      </c>
      <c r="Q1005" s="193" t="str">
        <f>'Buildings - Heat &amp; Fuels'!H236</f>
        <v/>
      </c>
      <c r="R1005" s="193">
        <f>'Buildings - Heat &amp; Fuels'!I236</f>
        <v>0</v>
      </c>
      <c r="S1005" s="193">
        <f>'Buildings - Heat &amp; Fuels'!J236</f>
        <v>0</v>
      </c>
      <c r="T1005" s="193" t="str">
        <f>'Buildings - Heat &amp; Fuels'!K236</f>
        <v/>
      </c>
      <c r="U1005" s="193" t="str">
        <f>'Buildings - Heat &amp; Fuels'!L236</f>
        <v/>
      </c>
      <c r="V1005" s="193" t="str">
        <f>'Buildings - Heat &amp; Fuels'!M236</f>
        <v/>
      </c>
      <c r="W1005" s="193" t="str">
        <f>'Buildings - Heat &amp; Fuels'!N236</f>
        <v/>
      </c>
      <c r="X1005" s="193">
        <f>'Buildings - Heat &amp; Fuels'!O236</f>
        <v>0</v>
      </c>
      <c r="Y1005" s="193">
        <f>'Buildings - Heat &amp; Fuels'!P236</f>
        <v>0</v>
      </c>
      <c r="Z1005" s="193" t="str">
        <f>'Buildings - Heat &amp; Fuels'!Q236</f>
        <v/>
      </c>
      <c r="AA1005" s="193" t="str">
        <f>'Buildings - Heat &amp; Fuels'!R236</f>
        <v/>
      </c>
      <c r="AB1005" s="193" t="str">
        <f>'Buildings - Heat &amp; Fuels'!S236</f>
        <v/>
      </c>
      <c r="AC1005" s="193" t="str">
        <f>'Buildings - Heat &amp; Fuels'!T236</f>
        <v/>
      </c>
      <c r="AD1005" s="193" t="str">
        <f>'Buildings - Heat &amp; Fuels'!U236</f>
        <v/>
      </c>
      <c r="AE1005" s="193" t="str">
        <f>'Buildings - Heat &amp; Fuels'!V236</f>
        <v/>
      </c>
      <c r="AF1005" s="193" t="str">
        <f>'Buildings - Heat &amp; Fuels'!W236</f>
        <v/>
      </c>
      <c r="AG1005" s="193" t="str">
        <f>'Buildings - Heat &amp; Fuels'!X236</f>
        <v/>
      </c>
      <c r="AI1005" s="193">
        <f t="shared" si="18"/>
        <v>0</v>
      </c>
      <c r="AJ1005" s="193">
        <f t="shared" si="19"/>
        <v>0</v>
      </c>
    </row>
    <row r="1006" spans="2:36" x14ac:dyDescent="0.35">
      <c r="B1006" s="193" t="e">
        <f>"2024"&amp;MATCH(Totals!D1006,OrgType,0)&amp;"_"&amp;MATCH(Totals!E1006,Organisations,0)&amp;"_"&amp;LEFT(Totals!F1006,1)&amp;"_"&amp;LEFT(G1006,1)&amp;"_"&amp;COUNTIF($G$3:G1006,G1006)</f>
        <v>#N/A</v>
      </c>
      <c r="C1006" s="193">
        <v>2025</v>
      </c>
      <c r="D1006" s="193">
        <f>Introduction!$D$7</f>
        <v>0</v>
      </c>
      <c r="E1006" s="193">
        <f>Introduction!$D$8</f>
        <v>0</v>
      </c>
      <c r="F1006" s="193" t="s">
        <v>488</v>
      </c>
      <c r="G1006" s="193" t="s">
        <v>490</v>
      </c>
      <c r="H1006" s="193">
        <f>'Buildings - Heat &amp; Fuels'!B237</f>
        <v>0</v>
      </c>
      <c r="I1006" s="193">
        <f>'Buildings - Heat &amp; Fuels'!C237</f>
        <v>0</v>
      </c>
      <c r="J1006" s="193" t="str">
        <f>'Buildings - Heat &amp; Fuels'!D237</f>
        <v/>
      </c>
      <c r="K1006" s="237"/>
      <c r="L1006" s="237"/>
      <c r="M1006" s="193">
        <f>'Buildings - Heat &amp; Fuels'!E237</f>
        <v>0</v>
      </c>
      <c r="N1006" s="193">
        <f>'Buildings - Heat &amp; Fuels'!F237</f>
        <v>0</v>
      </c>
      <c r="O1006" s="237"/>
      <c r="P1006" s="193">
        <f>'Buildings - Heat &amp; Fuels'!G237</f>
        <v>0</v>
      </c>
      <c r="Q1006" s="193" t="str">
        <f>'Buildings - Heat &amp; Fuels'!H237</f>
        <v/>
      </c>
      <c r="R1006" s="193">
        <f>'Buildings - Heat &amp; Fuels'!I237</f>
        <v>0</v>
      </c>
      <c r="S1006" s="193">
        <f>'Buildings - Heat &amp; Fuels'!J237</f>
        <v>0</v>
      </c>
      <c r="T1006" s="193" t="str">
        <f>'Buildings - Heat &amp; Fuels'!K237</f>
        <v/>
      </c>
      <c r="U1006" s="193" t="str">
        <f>'Buildings - Heat &amp; Fuels'!L237</f>
        <v/>
      </c>
      <c r="V1006" s="193" t="str">
        <f>'Buildings - Heat &amp; Fuels'!M237</f>
        <v/>
      </c>
      <c r="W1006" s="193" t="str">
        <f>'Buildings - Heat &amp; Fuels'!N237</f>
        <v/>
      </c>
      <c r="X1006" s="193">
        <f>'Buildings - Heat &amp; Fuels'!O237</f>
        <v>0</v>
      </c>
      <c r="Y1006" s="193">
        <f>'Buildings - Heat &amp; Fuels'!P237</f>
        <v>0</v>
      </c>
      <c r="Z1006" s="193" t="str">
        <f>'Buildings - Heat &amp; Fuels'!Q237</f>
        <v/>
      </c>
      <c r="AA1006" s="193" t="str">
        <f>'Buildings - Heat &amp; Fuels'!R237</f>
        <v/>
      </c>
      <c r="AB1006" s="193" t="str">
        <f>'Buildings - Heat &amp; Fuels'!S237</f>
        <v/>
      </c>
      <c r="AC1006" s="193" t="str">
        <f>'Buildings - Heat &amp; Fuels'!T237</f>
        <v/>
      </c>
      <c r="AD1006" s="193" t="str">
        <f>'Buildings - Heat &amp; Fuels'!U237</f>
        <v/>
      </c>
      <c r="AE1006" s="193" t="str">
        <f>'Buildings - Heat &amp; Fuels'!V237</f>
        <v/>
      </c>
      <c r="AF1006" s="193" t="str">
        <f>'Buildings - Heat &amp; Fuels'!W237</f>
        <v/>
      </c>
      <c r="AG1006" s="193" t="str">
        <f>'Buildings - Heat &amp; Fuels'!X237</f>
        <v/>
      </c>
      <c r="AI1006" s="193">
        <f t="shared" si="18"/>
        <v>0</v>
      </c>
      <c r="AJ1006" s="193">
        <f t="shared" si="19"/>
        <v>0</v>
      </c>
    </row>
    <row r="1007" spans="2:36" x14ac:dyDescent="0.35">
      <c r="B1007" s="193" t="e">
        <f>"2024"&amp;MATCH(Totals!D1007,OrgType,0)&amp;"_"&amp;MATCH(Totals!E1007,Organisations,0)&amp;"_"&amp;LEFT(Totals!F1007,1)&amp;"_"&amp;LEFT(G1007,1)&amp;"_"&amp;COUNTIF($G$3:G1007,G1007)</f>
        <v>#N/A</v>
      </c>
      <c r="C1007" s="193">
        <v>2025</v>
      </c>
      <c r="D1007" s="193">
        <f>Introduction!$D$7</f>
        <v>0</v>
      </c>
      <c r="E1007" s="193">
        <f>Introduction!$D$8</f>
        <v>0</v>
      </c>
      <c r="F1007" s="193" t="s">
        <v>488</v>
      </c>
      <c r="G1007" s="193" t="s">
        <v>490</v>
      </c>
      <c r="H1007" s="193">
        <f>'Buildings - Heat &amp; Fuels'!B238</f>
        <v>0</v>
      </c>
      <c r="I1007" s="193">
        <f>'Buildings - Heat &amp; Fuels'!C238</f>
        <v>0</v>
      </c>
      <c r="J1007" s="193" t="str">
        <f>'Buildings - Heat &amp; Fuels'!D238</f>
        <v/>
      </c>
      <c r="K1007" s="237"/>
      <c r="L1007" s="237"/>
      <c r="M1007" s="193">
        <f>'Buildings - Heat &amp; Fuels'!E238</f>
        <v>0</v>
      </c>
      <c r="N1007" s="193">
        <f>'Buildings - Heat &amp; Fuels'!F238</f>
        <v>0</v>
      </c>
      <c r="O1007" s="237"/>
      <c r="P1007" s="193">
        <f>'Buildings - Heat &amp; Fuels'!G238</f>
        <v>0</v>
      </c>
      <c r="Q1007" s="193" t="str">
        <f>'Buildings - Heat &amp; Fuels'!H238</f>
        <v/>
      </c>
      <c r="R1007" s="193">
        <f>'Buildings - Heat &amp; Fuels'!I238</f>
        <v>0</v>
      </c>
      <c r="S1007" s="193">
        <f>'Buildings - Heat &amp; Fuels'!J238</f>
        <v>0</v>
      </c>
      <c r="T1007" s="193" t="str">
        <f>'Buildings - Heat &amp; Fuels'!K238</f>
        <v/>
      </c>
      <c r="U1007" s="193" t="str">
        <f>'Buildings - Heat &amp; Fuels'!L238</f>
        <v/>
      </c>
      <c r="V1007" s="193" t="str">
        <f>'Buildings - Heat &amp; Fuels'!M238</f>
        <v/>
      </c>
      <c r="W1007" s="193" t="str">
        <f>'Buildings - Heat &amp; Fuels'!N238</f>
        <v/>
      </c>
      <c r="X1007" s="193">
        <f>'Buildings - Heat &amp; Fuels'!O238</f>
        <v>0</v>
      </c>
      <c r="Y1007" s="193">
        <f>'Buildings - Heat &amp; Fuels'!P238</f>
        <v>0</v>
      </c>
      <c r="Z1007" s="193" t="str">
        <f>'Buildings - Heat &amp; Fuels'!Q238</f>
        <v/>
      </c>
      <c r="AA1007" s="193" t="str">
        <f>'Buildings - Heat &amp; Fuels'!R238</f>
        <v/>
      </c>
      <c r="AB1007" s="193" t="str">
        <f>'Buildings - Heat &amp; Fuels'!S238</f>
        <v/>
      </c>
      <c r="AC1007" s="193" t="str">
        <f>'Buildings - Heat &amp; Fuels'!T238</f>
        <v/>
      </c>
      <c r="AD1007" s="193" t="str">
        <f>'Buildings - Heat &amp; Fuels'!U238</f>
        <v/>
      </c>
      <c r="AE1007" s="193" t="str">
        <f>'Buildings - Heat &amp; Fuels'!V238</f>
        <v/>
      </c>
      <c r="AF1007" s="193" t="str">
        <f>'Buildings - Heat &amp; Fuels'!W238</f>
        <v/>
      </c>
      <c r="AG1007" s="193" t="str">
        <f>'Buildings - Heat &amp; Fuels'!X238</f>
        <v/>
      </c>
      <c r="AI1007" s="193">
        <f t="shared" si="18"/>
        <v>0</v>
      </c>
      <c r="AJ1007" s="193">
        <f t="shared" si="19"/>
        <v>0</v>
      </c>
    </row>
    <row r="1008" spans="2:36" x14ac:dyDescent="0.35">
      <c r="B1008" s="193" t="e">
        <f>"2024"&amp;MATCH(Totals!D1008,OrgType,0)&amp;"_"&amp;MATCH(Totals!E1008,Organisations,0)&amp;"_"&amp;LEFT(Totals!F1008,1)&amp;"_"&amp;LEFT(G1008,1)&amp;"_"&amp;COUNTIF($G$3:G1008,G1008)</f>
        <v>#N/A</v>
      </c>
      <c r="C1008" s="193">
        <v>2025</v>
      </c>
      <c r="D1008" s="193">
        <f>Introduction!$D$7</f>
        <v>0</v>
      </c>
      <c r="E1008" s="193">
        <f>Introduction!$D$8</f>
        <v>0</v>
      </c>
      <c r="F1008" s="193" t="s">
        <v>488</v>
      </c>
      <c r="G1008" s="193" t="s">
        <v>490</v>
      </c>
      <c r="H1008" s="193">
        <f>'Buildings - Heat &amp; Fuels'!B239</f>
        <v>0</v>
      </c>
      <c r="I1008" s="193">
        <f>'Buildings - Heat &amp; Fuels'!C239</f>
        <v>0</v>
      </c>
      <c r="J1008" s="193" t="str">
        <f>'Buildings - Heat &amp; Fuels'!D239</f>
        <v/>
      </c>
      <c r="K1008" s="237"/>
      <c r="L1008" s="237"/>
      <c r="M1008" s="193">
        <f>'Buildings - Heat &amp; Fuels'!E239</f>
        <v>0</v>
      </c>
      <c r="N1008" s="193">
        <f>'Buildings - Heat &amp; Fuels'!F239</f>
        <v>0</v>
      </c>
      <c r="O1008" s="237"/>
      <c r="P1008" s="193">
        <f>'Buildings - Heat &amp; Fuels'!G239</f>
        <v>0</v>
      </c>
      <c r="Q1008" s="193" t="str">
        <f>'Buildings - Heat &amp; Fuels'!H239</f>
        <v/>
      </c>
      <c r="R1008" s="193">
        <f>'Buildings - Heat &amp; Fuels'!I239</f>
        <v>0</v>
      </c>
      <c r="S1008" s="193">
        <f>'Buildings - Heat &amp; Fuels'!J239</f>
        <v>0</v>
      </c>
      <c r="T1008" s="193" t="str">
        <f>'Buildings - Heat &amp; Fuels'!K239</f>
        <v/>
      </c>
      <c r="U1008" s="193" t="str">
        <f>'Buildings - Heat &amp; Fuels'!L239</f>
        <v/>
      </c>
      <c r="V1008" s="193" t="str">
        <f>'Buildings - Heat &amp; Fuels'!M239</f>
        <v/>
      </c>
      <c r="W1008" s="193" t="str">
        <f>'Buildings - Heat &amp; Fuels'!N239</f>
        <v/>
      </c>
      <c r="X1008" s="193">
        <f>'Buildings - Heat &amp; Fuels'!O239</f>
        <v>0</v>
      </c>
      <c r="Y1008" s="193">
        <f>'Buildings - Heat &amp; Fuels'!P239</f>
        <v>0</v>
      </c>
      <c r="Z1008" s="193" t="str">
        <f>'Buildings - Heat &amp; Fuels'!Q239</f>
        <v/>
      </c>
      <c r="AA1008" s="193" t="str">
        <f>'Buildings - Heat &amp; Fuels'!R239</f>
        <v/>
      </c>
      <c r="AB1008" s="193" t="str">
        <f>'Buildings - Heat &amp; Fuels'!S239</f>
        <v/>
      </c>
      <c r="AC1008" s="193" t="str">
        <f>'Buildings - Heat &amp; Fuels'!T239</f>
        <v/>
      </c>
      <c r="AD1008" s="193" t="str">
        <f>'Buildings - Heat &amp; Fuels'!U239</f>
        <v/>
      </c>
      <c r="AE1008" s="193" t="str">
        <f>'Buildings - Heat &amp; Fuels'!V239</f>
        <v/>
      </c>
      <c r="AF1008" s="193" t="str">
        <f>'Buildings - Heat &amp; Fuels'!W239</f>
        <v/>
      </c>
      <c r="AG1008" s="193" t="str">
        <f>'Buildings - Heat &amp; Fuels'!X239</f>
        <v/>
      </c>
      <c r="AI1008" s="193">
        <f t="shared" si="18"/>
        <v>0</v>
      </c>
      <c r="AJ1008" s="193">
        <f t="shared" si="19"/>
        <v>0</v>
      </c>
    </row>
    <row r="1009" spans="2:36" x14ac:dyDescent="0.35">
      <c r="B1009" s="193" t="e">
        <f>"2024"&amp;MATCH(Totals!D1009,OrgType,0)&amp;"_"&amp;MATCH(Totals!E1009,Organisations,0)&amp;"_"&amp;LEFT(Totals!F1009,1)&amp;"_"&amp;LEFT(G1009,1)&amp;"_"&amp;COUNTIF($G$3:G1009,G1009)</f>
        <v>#N/A</v>
      </c>
      <c r="C1009" s="193">
        <v>2025</v>
      </c>
      <c r="D1009" s="193">
        <f>Introduction!$D$7</f>
        <v>0</v>
      </c>
      <c r="E1009" s="193">
        <f>Introduction!$D$8</f>
        <v>0</v>
      </c>
      <c r="F1009" s="193" t="s">
        <v>488</v>
      </c>
      <c r="G1009" s="193" t="s">
        <v>490</v>
      </c>
      <c r="H1009" s="193">
        <f>'Buildings - Heat &amp; Fuels'!B240</f>
        <v>0</v>
      </c>
      <c r="I1009" s="193">
        <f>'Buildings - Heat &amp; Fuels'!C240</f>
        <v>0</v>
      </c>
      <c r="J1009" s="193" t="str">
        <f>'Buildings - Heat &amp; Fuels'!D240</f>
        <v/>
      </c>
      <c r="K1009" s="237"/>
      <c r="L1009" s="237"/>
      <c r="M1009" s="193">
        <f>'Buildings - Heat &amp; Fuels'!E240</f>
        <v>0</v>
      </c>
      <c r="N1009" s="193">
        <f>'Buildings - Heat &amp; Fuels'!F240</f>
        <v>0</v>
      </c>
      <c r="O1009" s="237"/>
      <c r="P1009" s="193">
        <f>'Buildings - Heat &amp; Fuels'!G240</f>
        <v>0</v>
      </c>
      <c r="Q1009" s="193" t="str">
        <f>'Buildings - Heat &amp; Fuels'!H240</f>
        <v/>
      </c>
      <c r="R1009" s="193">
        <f>'Buildings - Heat &amp; Fuels'!I240</f>
        <v>0</v>
      </c>
      <c r="S1009" s="193">
        <f>'Buildings - Heat &amp; Fuels'!J240</f>
        <v>0</v>
      </c>
      <c r="T1009" s="193" t="str">
        <f>'Buildings - Heat &amp; Fuels'!K240</f>
        <v/>
      </c>
      <c r="U1009" s="193" t="str">
        <f>'Buildings - Heat &amp; Fuels'!L240</f>
        <v/>
      </c>
      <c r="V1009" s="193" t="str">
        <f>'Buildings - Heat &amp; Fuels'!M240</f>
        <v/>
      </c>
      <c r="W1009" s="193" t="str">
        <f>'Buildings - Heat &amp; Fuels'!N240</f>
        <v/>
      </c>
      <c r="X1009" s="193">
        <f>'Buildings - Heat &amp; Fuels'!O240</f>
        <v>0</v>
      </c>
      <c r="Y1009" s="193">
        <f>'Buildings - Heat &amp; Fuels'!P240</f>
        <v>0</v>
      </c>
      <c r="Z1009" s="193" t="str">
        <f>'Buildings - Heat &amp; Fuels'!Q240</f>
        <v/>
      </c>
      <c r="AA1009" s="193" t="str">
        <f>'Buildings - Heat &amp; Fuels'!R240</f>
        <v/>
      </c>
      <c r="AB1009" s="193" t="str">
        <f>'Buildings - Heat &amp; Fuels'!S240</f>
        <v/>
      </c>
      <c r="AC1009" s="193" t="str">
        <f>'Buildings - Heat &amp; Fuels'!T240</f>
        <v/>
      </c>
      <c r="AD1009" s="193" t="str">
        <f>'Buildings - Heat &amp; Fuels'!U240</f>
        <v/>
      </c>
      <c r="AE1009" s="193" t="str">
        <f>'Buildings - Heat &amp; Fuels'!V240</f>
        <v/>
      </c>
      <c r="AF1009" s="193" t="str">
        <f>'Buildings - Heat &amp; Fuels'!W240</f>
        <v/>
      </c>
      <c r="AG1009" s="193" t="str">
        <f>'Buildings - Heat &amp; Fuels'!X240</f>
        <v/>
      </c>
      <c r="AI1009" s="193">
        <f t="shared" si="18"/>
        <v>0</v>
      </c>
      <c r="AJ1009" s="193">
        <f t="shared" si="19"/>
        <v>0</v>
      </c>
    </row>
    <row r="1010" spans="2:36" x14ac:dyDescent="0.35">
      <c r="B1010" s="193" t="e">
        <f>"2024"&amp;MATCH(Totals!D1010,OrgType,0)&amp;"_"&amp;MATCH(Totals!E1010,Organisations,0)&amp;"_"&amp;LEFT(Totals!F1010,1)&amp;"_"&amp;LEFT(G1010,1)&amp;"_"&amp;COUNTIF($G$3:G1010,G1010)</f>
        <v>#N/A</v>
      </c>
      <c r="C1010" s="193">
        <v>2025</v>
      </c>
      <c r="D1010" s="193">
        <f>Introduction!$D$7</f>
        <v>0</v>
      </c>
      <c r="E1010" s="193">
        <f>Introduction!$D$8</f>
        <v>0</v>
      </c>
      <c r="F1010" s="193" t="s">
        <v>488</v>
      </c>
      <c r="G1010" s="193" t="s">
        <v>490</v>
      </c>
      <c r="H1010" s="193">
        <f>'Buildings - Heat &amp; Fuels'!B241</f>
        <v>0</v>
      </c>
      <c r="I1010" s="193">
        <f>'Buildings - Heat &amp; Fuels'!C241</f>
        <v>0</v>
      </c>
      <c r="J1010" s="193" t="str">
        <f>'Buildings - Heat &amp; Fuels'!D241</f>
        <v/>
      </c>
      <c r="K1010" s="237"/>
      <c r="L1010" s="237"/>
      <c r="M1010" s="193">
        <f>'Buildings - Heat &amp; Fuels'!E241</f>
        <v>0</v>
      </c>
      <c r="N1010" s="193">
        <f>'Buildings - Heat &amp; Fuels'!F241</f>
        <v>0</v>
      </c>
      <c r="O1010" s="237"/>
      <c r="P1010" s="193">
        <f>'Buildings - Heat &amp; Fuels'!G241</f>
        <v>0</v>
      </c>
      <c r="Q1010" s="193" t="str">
        <f>'Buildings - Heat &amp; Fuels'!H241</f>
        <v/>
      </c>
      <c r="R1010" s="193">
        <f>'Buildings - Heat &amp; Fuels'!I241</f>
        <v>0</v>
      </c>
      <c r="S1010" s="193">
        <f>'Buildings - Heat &amp; Fuels'!J241</f>
        <v>0</v>
      </c>
      <c r="T1010" s="193" t="str">
        <f>'Buildings - Heat &amp; Fuels'!K241</f>
        <v/>
      </c>
      <c r="U1010" s="193" t="str">
        <f>'Buildings - Heat &amp; Fuels'!L241</f>
        <v/>
      </c>
      <c r="V1010" s="193" t="str">
        <f>'Buildings - Heat &amp; Fuels'!M241</f>
        <v/>
      </c>
      <c r="W1010" s="193" t="str">
        <f>'Buildings - Heat &amp; Fuels'!N241</f>
        <v/>
      </c>
      <c r="X1010" s="193">
        <f>'Buildings - Heat &amp; Fuels'!O241</f>
        <v>0</v>
      </c>
      <c r="Y1010" s="193">
        <f>'Buildings - Heat &amp; Fuels'!P241</f>
        <v>0</v>
      </c>
      <c r="Z1010" s="193" t="str">
        <f>'Buildings - Heat &amp; Fuels'!Q241</f>
        <v/>
      </c>
      <c r="AA1010" s="193" t="str">
        <f>'Buildings - Heat &amp; Fuels'!R241</f>
        <v/>
      </c>
      <c r="AB1010" s="193" t="str">
        <f>'Buildings - Heat &amp; Fuels'!S241</f>
        <v/>
      </c>
      <c r="AC1010" s="193" t="str">
        <f>'Buildings - Heat &amp; Fuels'!T241</f>
        <v/>
      </c>
      <c r="AD1010" s="193" t="str">
        <f>'Buildings - Heat &amp; Fuels'!U241</f>
        <v/>
      </c>
      <c r="AE1010" s="193" t="str">
        <f>'Buildings - Heat &amp; Fuels'!V241</f>
        <v/>
      </c>
      <c r="AF1010" s="193" t="str">
        <f>'Buildings - Heat &amp; Fuels'!W241</f>
        <v/>
      </c>
      <c r="AG1010" s="193" t="str">
        <f>'Buildings - Heat &amp; Fuels'!X241</f>
        <v/>
      </c>
      <c r="AI1010" s="193">
        <f t="shared" si="18"/>
        <v>0</v>
      </c>
      <c r="AJ1010" s="193">
        <f t="shared" si="19"/>
        <v>0</v>
      </c>
    </row>
    <row r="1011" spans="2:36" x14ac:dyDescent="0.35">
      <c r="B1011" s="193" t="e">
        <f>"2024"&amp;MATCH(Totals!D1011,OrgType,0)&amp;"_"&amp;MATCH(Totals!E1011,Organisations,0)&amp;"_"&amp;LEFT(Totals!F1011,1)&amp;"_"&amp;LEFT(G1011,1)&amp;"_"&amp;COUNTIF($G$3:G1011,G1011)</f>
        <v>#N/A</v>
      </c>
      <c r="C1011" s="193">
        <v>2025</v>
      </c>
      <c r="D1011" s="193">
        <f>Introduction!$D$7</f>
        <v>0</v>
      </c>
      <c r="E1011" s="193">
        <f>Introduction!$D$8</f>
        <v>0</v>
      </c>
      <c r="F1011" s="193" t="s">
        <v>488</v>
      </c>
      <c r="G1011" s="193" t="s">
        <v>490</v>
      </c>
      <c r="H1011" s="193">
        <f>'Buildings - Heat &amp; Fuels'!B242</f>
        <v>0</v>
      </c>
      <c r="I1011" s="193">
        <f>'Buildings - Heat &amp; Fuels'!C242</f>
        <v>0</v>
      </c>
      <c r="J1011" s="193" t="str">
        <f>'Buildings - Heat &amp; Fuels'!D242</f>
        <v/>
      </c>
      <c r="K1011" s="237"/>
      <c r="L1011" s="237"/>
      <c r="M1011" s="193">
        <f>'Buildings - Heat &amp; Fuels'!E242</f>
        <v>0</v>
      </c>
      <c r="N1011" s="193">
        <f>'Buildings - Heat &amp; Fuels'!F242</f>
        <v>0</v>
      </c>
      <c r="O1011" s="237"/>
      <c r="P1011" s="193">
        <f>'Buildings - Heat &amp; Fuels'!G242</f>
        <v>0</v>
      </c>
      <c r="Q1011" s="193" t="str">
        <f>'Buildings - Heat &amp; Fuels'!H242</f>
        <v/>
      </c>
      <c r="R1011" s="193">
        <f>'Buildings - Heat &amp; Fuels'!I242</f>
        <v>0</v>
      </c>
      <c r="S1011" s="193">
        <f>'Buildings - Heat &amp; Fuels'!J242</f>
        <v>0</v>
      </c>
      <c r="T1011" s="193" t="str">
        <f>'Buildings - Heat &amp; Fuels'!K242</f>
        <v/>
      </c>
      <c r="U1011" s="193" t="str">
        <f>'Buildings - Heat &amp; Fuels'!L242</f>
        <v/>
      </c>
      <c r="V1011" s="193" t="str">
        <f>'Buildings - Heat &amp; Fuels'!M242</f>
        <v/>
      </c>
      <c r="W1011" s="193" t="str">
        <f>'Buildings - Heat &amp; Fuels'!N242</f>
        <v/>
      </c>
      <c r="X1011" s="193">
        <f>'Buildings - Heat &amp; Fuels'!O242</f>
        <v>0</v>
      </c>
      <c r="Y1011" s="193">
        <f>'Buildings - Heat &amp; Fuels'!P242</f>
        <v>0</v>
      </c>
      <c r="Z1011" s="193" t="str">
        <f>'Buildings - Heat &amp; Fuels'!Q242</f>
        <v/>
      </c>
      <c r="AA1011" s="193" t="str">
        <f>'Buildings - Heat &amp; Fuels'!R242</f>
        <v/>
      </c>
      <c r="AB1011" s="193" t="str">
        <f>'Buildings - Heat &amp; Fuels'!S242</f>
        <v/>
      </c>
      <c r="AC1011" s="193" t="str">
        <f>'Buildings - Heat &amp; Fuels'!T242</f>
        <v/>
      </c>
      <c r="AD1011" s="193" t="str">
        <f>'Buildings - Heat &amp; Fuels'!U242</f>
        <v/>
      </c>
      <c r="AE1011" s="193" t="str">
        <f>'Buildings - Heat &amp; Fuels'!V242</f>
        <v/>
      </c>
      <c r="AF1011" s="193" t="str">
        <f>'Buildings - Heat &amp; Fuels'!W242</f>
        <v/>
      </c>
      <c r="AG1011" s="193" t="str">
        <f>'Buildings - Heat &amp; Fuels'!X242</f>
        <v/>
      </c>
      <c r="AI1011" s="193">
        <f t="shared" si="18"/>
        <v>0</v>
      </c>
      <c r="AJ1011" s="193">
        <f t="shared" si="19"/>
        <v>0</v>
      </c>
    </row>
    <row r="1012" spans="2:36" x14ac:dyDescent="0.35">
      <c r="B1012" s="193" t="e">
        <f>"2024"&amp;MATCH(Totals!D1012,OrgType,0)&amp;"_"&amp;MATCH(Totals!E1012,Organisations,0)&amp;"_"&amp;LEFT(Totals!F1012,1)&amp;"_"&amp;LEFT(G1012,1)&amp;"_"&amp;COUNTIF($G$3:G1012,G1012)</f>
        <v>#N/A</v>
      </c>
      <c r="C1012" s="193">
        <v>2025</v>
      </c>
      <c r="D1012" s="193">
        <f>Introduction!$D$7</f>
        <v>0</v>
      </c>
      <c r="E1012" s="193">
        <f>Introduction!$D$8</f>
        <v>0</v>
      </c>
      <c r="F1012" s="193" t="s">
        <v>488</v>
      </c>
      <c r="G1012" s="193" t="s">
        <v>490</v>
      </c>
      <c r="H1012" s="193">
        <f>'Buildings - Heat &amp; Fuels'!B243</f>
        <v>0</v>
      </c>
      <c r="I1012" s="193">
        <f>'Buildings - Heat &amp; Fuels'!C243</f>
        <v>0</v>
      </c>
      <c r="J1012" s="193" t="str">
        <f>'Buildings - Heat &amp; Fuels'!D243</f>
        <v/>
      </c>
      <c r="K1012" s="237"/>
      <c r="L1012" s="237"/>
      <c r="M1012" s="193">
        <f>'Buildings - Heat &amp; Fuels'!E243</f>
        <v>0</v>
      </c>
      <c r="N1012" s="193">
        <f>'Buildings - Heat &amp; Fuels'!F243</f>
        <v>0</v>
      </c>
      <c r="O1012" s="237"/>
      <c r="P1012" s="193">
        <f>'Buildings - Heat &amp; Fuels'!G243</f>
        <v>0</v>
      </c>
      <c r="Q1012" s="193" t="str">
        <f>'Buildings - Heat &amp; Fuels'!H243</f>
        <v/>
      </c>
      <c r="R1012" s="193">
        <f>'Buildings - Heat &amp; Fuels'!I243</f>
        <v>0</v>
      </c>
      <c r="S1012" s="193">
        <f>'Buildings - Heat &amp; Fuels'!J243</f>
        <v>0</v>
      </c>
      <c r="T1012" s="193" t="str">
        <f>'Buildings - Heat &amp; Fuels'!K243</f>
        <v/>
      </c>
      <c r="U1012" s="193" t="str">
        <f>'Buildings - Heat &amp; Fuels'!L243</f>
        <v/>
      </c>
      <c r="V1012" s="193" t="str">
        <f>'Buildings - Heat &amp; Fuels'!M243</f>
        <v/>
      </c>
      <c r="W1012" s="193" t="str">
        <f>'Buildings - Heat &amp; Fuels'!N243</f>
        <v/>
      </c>
      <c r="X1012" s="193">
        <f>'Buildings - Heat &amp; Fuels'!O243</f>
        <v>0</v>
      </c>
      <c r="Y1012" s="193">
        <f>'Buildings - Heat &amp; Fuels'!P243</f>
        <v>0</v>
      </c>
      <c r="Z1012" s="193" t="str">
        <f>'Buildings - Heat &amp; Fuels'!Q243</f>
        <v/>
      </c>
      <c r="AA1012" s="193" t="str">
        <f>'Buildings - Heat &amp; Fuels'!R243</f>
        <v/>
      </c>
      <c r="AB1012" s="193" t="str">
        <f>'Buildings - Heat &amp; Fuels'!S243</f>
        <v/>
      </c>
      <c r="AC1012" s="193" t="str">
        <f>'Buildings - Heat &amp; Fuels'!T243</f>
        <v/>
      </c>
      <c r="AD1012" s="193" t="str">
        <f>'Buildings - Heat &amp; Fuels'!U243</f>
        <v/>
      </c>
      <c r="AE1012" s="193" t="str">
        <f>'Buildings - Heat &amp; Fuels'!V243</f>
        <v/>
      </c>
      <c r="AF1012" s="193" t="str">
        <f>'Buildings - Heat &amp; Fuels'!W243</f>
        <v/>
      </c>
      <c r="AG1012" s="193" t="str">
        <f>'Buildings - Heat &amp; Fuels'!X243</f>
        <v/>
      </c>
      <c r="AI1012" s="193">
        <f t="shared" si="18"/>
        <v>0</v>
      </c>
      <c r="AJ1012" s="193">
        <f t="shared" si="19"/>
        <v>0</v>
      </c>
    </row>
    <row r="1013" spans="2:36" x14ac:dyDescent="0.35">
      <c r="B1013" s="193" t="e">
        <f>"2024"&amp;MATCH(Totals!D1013,OrgType,0)&amp;"_"&amp;MATCH(Totals!E1013,Organisations,0)&amp;"_"&amp;LEFT(Totals!F1013,1)&amp;"_"&amp;LEFT(G1013,1)&amp;"_"&amp;COUNTIF($G$3:G1013,G1013)</f>
        <v>#N/A</v>
      </c>
      <c r="C1013" s="193">
        <v>2025</v>
      </c>
      <c r="D1013" s="193">
        <f>Introduction!$D$7</f>
        <v>0</v>
      </c>
      <c r="E1013" s="193">
        <f>Introduction!$D$8</f>
        <v>0</v>
      </c>
      <c r="F1013" s="193" t="s">
        <v>488</v>
      </c>
      <c r="G1013" s="193" t="s">
        <v>490</v>
      </c>
      <c r="H1013" s="193">
        <f>'Buildings - Heat &amp; Fuels'!B244</f>
        <v>0</v>
      </c>
      <c r="I1013" s="193">
        <f>'Buildings - Heat &amp; Fuels'!C244</f>
        <v>0</v>
      </c>
      <c r="J1013" s="193" t="str">
        <f>'Buildings - Heat &amp; Fuels'!D244</f>
        <v/>
      </c>
      <c r="K1013" s="237"/>
      <c r="L1013" s="237"/>
      <c r="M1013" s="193">
        <f>'Buildings - Heat &amp; Fuels'!E244</f>
        <v>0</v>
      </c>
      <c r="N1013" s="193">
        <f>'Buildings - Heat &amp; Fuels'!F244</f>
        <v>0</v>
      </c>
      <c r="O1013" s="237"/>
      <c r="P1013" s="193">
        <f>'Buildings - Heat &amp; Fuels'!G244</f>
        <v>0</v>
      </c>
      <c r="Q1013" s="193" t="str">
        <f>'Buildings - Heat &amp; Fuels'!H244</f>
        <v/>
      </c>
      <c r="R1013" s="193">
        <f>'Buildings - Heat &amp; Fuels'!I244</f>
        <v>0</v>
      </c>
      <c r="S1013" s="193">
        <f>'Buildings - Heat &amp; Fuels'!J244</f>
        <v>0</v>
      </c>
      <c r="T1013" s="193" t="str">
        <f>'Buildings - Heat &amp; Fuels'!K244</f>
        <v/>
      </c>
      <c r="U1013" s="193" t="str">
        <f>'Buildings - Heat &amp; Fuels'!L244</f>
        <v/>
      </c>
      <c r="V1013" s="193" t="str">
        <f>'Buildings - Heat &amp; Fuels'!M244</f>
        <v/>
      </c>
      <c r="W1013" s="193" t="str">
        <f>'Buildings - Heat &amp; Fuels'!N244</f>
        <v/>
      </c>
      <c r="X1013" s="193">
        <f>'Buildings - Heat &amp; Fuels'!O244</f>
        <v>0</v>
      </c>
      <c r="Y1013" s="193">
        <f>'Buildings - Heat &amp; Fuels'!P244</f>
        <v>0</v>
      </c>
      <c r="Z1013" s="193" t="str">
        <f>'Buildings - Heat &amp; Fuels'!Q244</f>
        <v/>
      </c>
      <c r="AA1013" s="193" t="str">
        <f>'Buildings - Heat &amp; Fuels'!R244</f>
        <v/>
      </c>
      <c r="AB1013" s="193" t="str">
        <f>'Buildings - Heat &amp; Fuels'!S244</f>
        <v/>
      </c>
      <c r="AC1013" s="193" t="str">
        <f>'Buildings - Heat &amp; Fuels'!T244</f>
        <v/>
      </c>
      <c r="AD1013" s="193" t="str">
        <f>'Buildings - Heat &amp; Fuels'!U244</f>
        <v/>
      </c>
      <c r="AE1013" s="193" t="str">
        <f>'Buildings - Heat &amp; Fuels'!V244</f>
        <v/>
      </c>
      <c r="AF1013" s="193" t="str">
        <f>'Buildings - Heat &amp; Fuels'!W244</f>
        <v/>
      </c>
      <c r="AG1013" s="193" t="str">
        <f>'Buildings - Heat &amp; Fuels'!X244</f>
        <v/>
      </c>
      <c r="AI1013" s="193">
        <f t="shared" si="18"/>
        <v>0</v>
      </c>
      <c r="AJ1013" s="193">
        <f t="shared" si="19"/>
        <v>0</v>
      </c>
    </row>
    <row r="1014" spans="2:36" x14ac:dyDescent="0.35">
      <c r="B1014" s="193" t="e">
        <f>"2024"&amp;MATCH(Totals!D1014,OrgType,0)&amp;"_"&amp;MATCH(Totals!E1014,Organisations,0)&amp;"_"&amp;LEFT(Totals!F1014,1)&amp;"_"&amp;LEFT(G1014,1)&amp;"_"&amp;COUNTIF($G$3:G1014,G1014)</f>
        <v>#N/A</v>
      </c>
      <c r="C1014" s="193">
        <v>2025</v>
      </c>
      <c r="D1014" s="193">
        <f>Introduction!$D$7</f>
        <v>0</v>
      </c>
      <c r="E1014" s="193">
        <f>Introduction!$D$8</f>
        <v>0</v>
      </c>
      <c r="F1014" s="193" t="s">
        <v>488</v>
      </c>
      <c r="G1014" s="193" t="s">
        <v>490</v>
      </c>
      <c r="H1014" s="193">
        <f>'Buildings - Heat &amp; Fuels'!B245</f>
        <v>0</v>
      </c>
      <c r="I1014" s="193">
        <f>'Buildings - Heat &amp; Fuels'!C245</f>
        <v>0</v>
      </c>
      <c r="J1014" s="193" t="str">
        <f>'Buildings - Heat &amp; Fuels'!D245</f>
        <v/>
      </c>
      <c r="K1014" s="237"/>
      <c r="L1014" s="237"/>
      <c r="M1014" s="193">
        <f>'Buildings - Heat &amp; Fuels'!E245</f>
        <v>0</v>
      </c>
      <c r="N1014" s="193">
        <f>'Buildings - Heat &amp; Fuels'!F245</f>
        <v>0</v>
      </c>
      <c r="O1014" s="237"/>
      <c r="P1014" s="193">
        <f>'Buildings - Heat &amp; Fuels'!G245</f>
        <v>0</v>
      </c>
      <c r="Q1014" s="193" t="str">
        <f>'Buildings - Heat &amp; Fuels'!H245</f>
        <v/>
      </c>
      <c r="R1014" s="193">
        <f>'Buildings - Heat &amp; Fuels'!I245</f>
        <v>0</v>
      </c>
      <c r="S1014" s="193">
        <f>'Buildings - Heat &amp; Fuels'!J245</f>
        <v>0</v>
      </c>
      <c r="T1014" s="193" t="str">
        <f>'Buildings - Heat &amp; Fuels'!K245</f>
        <v/>
      </c>
      <c r="U1014" s="193" t="str">
        <f>'Buildings - Heat &amp; Fuels'!L245</f>
        <v/>
      </c>
      <c r="V1014" s="193" t="str">
        <f>'Buildings - Heat &amp; Fuels'!M245</f>
        <v/>
      </c>
      <c r="W1014" s="193" t="str">
        <f>'Buildings - Heat &amp; Fuels'!N245</f>
        <v/>
      </c>
      <c r="X1014" s="193">
        <f>'Buildings - Heat &amp; Fuels'!O245</f>
        <v>0</v>
      </c>
      <c r="Y1014" s="193">
        <f>'Buildings - Heat &amp; Fuels'!P245</f>
        <v>0</v>
      </c>
      <c r="Z1014" s="193" t="str">
        <f>'Buildings - Heat &amp; Fuels'!Q245</f>
        <v/>
      </c>
      <c r="AA1014" s="193" t="str">
        <f>'Buildings - Heat &amp; Fuels'!R245</f>
        <v/>
      </c>
      <c r="AB1014" s="193" t="str">
        <f>'Buildings - Heat &amp; Fuels'!S245</f>
        <v/>
      </c>
      <c r="AC1014" s="193" t="str">
        <f>'Buildings - Heat &amp; Fuels'!T245</f>
        <v/>
      </c>
      <c r="AD1014" s="193" t="str">
        <f>'Buildings - Heat &amp; Fuels'!U245</f>
        <v/>
      </c>
      <c r="AE1014" s="193" t="str">
        <f>'Buildings - Heat &amp; Fuels'!V245</f>
        <v/>
      </c>
      <c r="AF1014" s="193" t="str">
        <f>'Buildings - Heat &amp; Fuels'!W245</f>
        <v/>
      </c>
      <c r="AG1014" s="193" t="str">
        <f>'Buildings - Heat &amp; Fuels'!X245</f>
        <v/>
      </c>
      <c r="AI1014" s="193">
        <f t="shared" si="18"/>
        <v>0</v>
      </c>
      <c r="AJ1014" s="193">
        <f t="shared" si="19"/>
        <v>0</v>
      </c>
    </row>
    <row r="1015" spans="2:36" x14ac:dyDescent="0.35">
      <c r="B1015" s="193" t="e">
        <f>"2024"&amp;MATCH(Totals!D1015,OrgType,0)&amp;"_"&amp;MATCH(Totals!E1015,Organisations,0)&amp;"_"&amp;LEFT(Totals!F1015,1)&amp;"_"&amp;LEFT(G1015,1)&amp;"_"&amp;COUNTIF($G$3:G1015,G1015)</f>
        <v>#N/A</v>
      </c>
      <c r="C1015" s="193">
        <v>2025</v>
      </c>
      <c r="D1015" s="193">
        <f>Introduction!$D$7</f>
        <v>0</v>
      </c>
      <c r="E1015" s="193">
        <f>Introduction!$D$8</f>
        <v>0</v>
      </c>
      <c r="F1015" s="193" t="s">
        <v>488</v>
      </c>
      <c r="G1015" s="193" t="s">
        <v>490</v>
      </c>
      <c r="H1015" s="193">
        <f>'Buildings - Heat &amp; Fuels'!B246</f>
        <v>0</v>
      </c>
      <c r="I1015" s="193">
        <f>'Buildings - Heat &amp; Fuels'!C246</f>
        <v>0</v>
      </c>
      <c r="J1015" s="193" t="str">
        <f>'Buildings - Heat &amp; Fuels'!D246</f>
        <v/>
      </c>
      <c r="K1015" s="237"/>
      <c r="L1015" s="237"/>
      <c r="M1015" s="193">
        <f>'Buildings - Heat &amp; Fuels'!E246</f>
        <v>0</v>
      </c>
      <c r="N1015" s="193">
        <f>'Buildings - Heat &amp; Fuels'!F246</f>
        <v>0</v>
      </c>
      <c r="O1015" s="237"/>
      <c r="P1015" s="193">
        <f>'Buildings - Heat &amp; Fuels'!G246</f>
        <v>0</v>
      </c>
      <c r="Q1015" s="193" t="str">
        <f>'Buildings - Heat &amp; Fuels'!H246</f>
        <v/>
      </c>
      <c r="R1015" s="193">
        <f>'Buildings - Heat &amp; Fuels'!I246</f>
        <v>0</v>
      </c>
      <c r="S1015" s="193">
        <f>'Buildings - Heat &amp; Fuels'!J246</f>
        <v>0</v>
      </c>
      <c r="T1015" s="193" t="str">
        <f>'Buildings - Heat &amp; Fuels'!K246</f>
        <v/>
      </c>
      <c r="U1015" s="193" t="str">
        <f>'Buildings - Heat &amp; Fuels'!L246</f>
        <v/>
      </c>
      <c r="V1015" s="193" t="str">
        <f>'Buildings - Heat &amp; Fuels'!M246</f>
        <v/>
      </c>
      <c r="W1015" s="193" t="str">
        <f>'Buildings - Heat &amp; Fuels'!N246</f>
        <v/>
      </c>
      <c r="X1015" s="193">
        <f>'Buildings - Heat &amp; Fuels'!O246</f>
        <v>0</v>
      </c>
      <c r="Y1015" s="193">
        <f>'Buildings - Heat &amp; Fuels'!P246</f>
        <v>0</v>
      </c>
      <c r="Z1015" s="193" t="str">
        <f>'Buildings - Heat &amp; Fuels'!Q246</f>
        <v/>
      </c>
      <c r="AA1015" s="193" t="str">
        <f>'Buildings - Heat &amp; Fuels'!R246</f>
        <v/>
      </c>
      <c r="AB1015" s="193" t="str">
        <f>'Buildings - Heat &amp; Fuels'!S246</f>
        <v/>
      </c>
      <c r="AC1015" s="193" t="str">
        <f>'Buildings - Heat &amp; Fuels'!T246</f>
        <v/>
      </c>
      <c r="AD1015" s="193" t="str">
        <f>'Buildings - Heat &amp; Fuels'!U246</f>
        <v/>
      </c>
      <c r="AE1015" s="193" t="str">
        <f>'Buildings - Heat &amp; Fuels'!V246</f>
        <v/>
      </c>
      <c r="AF1015" s="193" t="str">
        <f>'Buildings - Heat &amp; Fuels'!W246</f>
        <v/>
      </c>
      <c r="AG1015" s="193" t="str">
        <f>'Buildings - Heat &amp; Fuels'!X246</f>
        <v/>
      </c>
      <c r="AI1015" s="193">
        <f t="shared" si="18"/>
        <v>0</v>
      </c>
      <c r="AJ1015" s="193">
        <f t="shared" si="19"/>
        <v>0</v>
      </c>
    </row>
    <row r="1016" spans="2:36" x14ac:dyDescent="0.35">
      <c r="B1016" s="193" t="e">
        <f>"2024"&amp;MATCH(Totals!D1016,OrgType,0)&amp;"_"&amp;MATCH(Totals!E1016,Organisations,0)&amp;"_"&amp;LEFT(Totals!F1016,1)&amp;"_"&amp;LEFT(G1016,1)&amp;"_"&amp;COUNTIF($G$3:G1016,G1016)</f>
        <v>#N/A</v>
      </c>
      <c r="C1016" s="193">
        <v>2025</v>
      </c>
      <c r="D1016" s="193">
        <f>Introduction!$D$7</f>
        <v>0</v>
      </c>
      <c r="E1016" s="193">
        <f>Introduction!$D$8</f>
        <v>0</v>
      </c>
      <c r="F1016" s="193" t="s">
        <v>488</v>
      </c>
      <c r="G1016" s="193" t="s">
        <v>490</v>
      </c>
      <c r="H1016" s="193">
        <f>'Buildings - Heat &amp; Fuels'!B247</f>
        <v>0</v>
      </c>
      <c r="I1016" s="193">
        <f>'Buildings - Heat &amp; Fuels'!C247</f>
        <v>0</v>
      </c>
      <c r="J1016" s="193" t="str">
        <f>'Buildings - Heat &amp; Fuels'!D247</f>
        <v/>
      </c>
      <c r="K1016" s="237"/>
      <c r="L1016" s="237"/>
      <c r="M1016" s="193">
        <f>'Buildings - Heat &amp; Fuels'!E247</f>
        <v>0</v>
      </c>
      <c r="N1016" s="193">
        <f>'Buildings - Heat &amp; Fuels'!F247</f>
        <v>0</v>
      </c>
      <c r="O1016" s="237"/>
      <c r="P1016" s="193">
        <f>'Buildings - Heat &amp; Fuels'!G247</f>
        <v>0</v>
      </c>
      <c r="Q1016" s="193" t="str">
        <f>'Buildings - Heat &amp; Fuels'!H247</f>
        <v/>
      </c>
      <c r="R1016" s="193">
        <f>'Buildings - Heat &amp; Fuels'!I247</f>
        <v>0</v>
      </c>
      <c r="S1016" s="193">
        <f>'Buildings - Heat &amp; Fuels'!J247</f>
        <v>0</v>
      </c>
      <c r="T1016" s="193" t="str">
        <f>'Buildings - Heat &amp; Fuels'!K247</f>
        <v/>
      </c>
      <c r="U1016" s="193" t="str">
        <f>'Buildings - Heat &amp; Fuels'!L247</f>
        <v/>
      </c>
      <c r="V1016" s="193" t="str">
        <f>'Buildings - Heat &amp; Fuels'!M247</f>
        <v/>
      </c>
      <c r="W1016" s="193" t="str">
        <f>'Buildings - Heat &amp; Fuels'!N247</f>
        <v/>
      </c>
      <c r="X1016" s="193">
        <f>'Buildings - Heat &amp; Fuels'!O247</f>
        <v>0</v>
      </c>
      <c r="Y1016" s="193">
        <f>'Buildings - Heat &amp; Fuels'!P247</f>
        <v>0</v>
      </c>
      <c r="Z1016" s="193" t="str">
        <f>'Buildings - Heat &amp; Fuels'!Q247</f>
        <v/>
      </c>
      <c r="AA1016" s="193" t="str">
        <f>'Buildings - Heat &amp; Fuels'!R247</f>
        <v/>
      </c>
      <c r="AB1016" s="193" t="str">
        <f>'Buildings - Heat &amp; Fuels'!S247</f>
        <v/>
      </c>
      <c r="AC1016" s="193" t="str">
        <f>'Buildings - Heat &amp; Fuels'!T247</f>
        <v/>
      </c>
      <c r="AD1016" s="193" t="str">
        <f>'Buildings - Heat &amp; Fuels'!U247</f>
        <v/>
      </c>
      <c r="AE1016" s="193" t="str">
        <f>'Buildings - Heat &amp; Fuels'!V247</f>
        <v/>
      </c>
      <c r="AF1016" s="193" t="str">
        <f>'Buildings - Heat &amp; Fuels'!W247</f>
        <v/>
      </c>
      <c r="AG1016" s="193" t="str">
        <f>'Buildings - Heat &amp; Fuels'!X247</f>
        <v/>
      </c>
      <c r="AI1016" s="193">
        <f t="shared" si="18"/>
        <v>0</v>
      </c>
      <c r="AJ1016" s="193">
        <f t="shared" si="19"/>
        <v>0</v>
      </c>
    </row>
    <row r="1017" spans="2:36" x14ac:dyDescent="0.35">
      <c r="B1017" s="193" t="e">
        <f>"2024"&amp;MATCH(Totals!D1017,OrgType,0)&amp;"_"&amp;MATCH(Totals!E1017,Organisations,0)&amp;"_"&amp;LEFT(Totals!F1017,1)&amp;"_"&amp;LEFT(G1017,1)&amp;"_"&amp;COUNTIF($G$3:G1017,G1017)</f>
        <v>#N/A</v>
      </c>
      <c r="C1017" s="193">
        <v>2025</v>
      </c>
      <c r="D1017" s="193">
        <f>Introduction!$D$7</f>
        <v>0</v>
      </c>
      <c r="E1017" s="193">
        <f>Introduction!$D$8</f>
        <v>0</v>
      </c>
      <c r="F1017" s="193" t="s">
        <v>488</v>
      </c>
      <c r="G1017" s="193" t="s">
        <v>490</v>
      </c>
      <c r="H1017" s="193">
        <f>'Buildings - Heat &amp; Fuels'!B248</f>
        <v>0</v>
      </c>
      <c r="I1017" s="193">
        <f>'Buildings - Heat &amp; Fuels'!C248</f>
        <v>0</v>
      </c>
      <c r="J1017" s="193" t="str">
        <f>'Buildings - Heat &amp; Fuels'!D248</f>
        <v/>
      </c>
      <c r="K1017" s="237"/>
      <c r="L1017" s="237"/>
      <c r="M1017" s="193">
        <f>'Buildings - Heat &amp; Fuels'!E248</f>
        <v>0</v>
      </c>
      <c r="N1017" s="193">
        <f>'Buildings - Heat &amp; Fuels'!F248</f>
        <v>0</v>
      </c>
      <c r="O1017" s="237"/>
      <c r="P1017" s="193">
        <f>'Buildings - Heat &amp; Fuels'!G248</f>
        <v>0</v>
      </c>
      <c r="Q1017" s="193" t="str">
        <f>'Buildings - Heat &amp; Fuels'!H248</f>
        <v/>
      </c>
      <c r="R1017" s="193">
        <f>'Buildings - Heat &amp; Fuels'!I248</f>
        <v>0</v>
      </c>
      <c r="S1017" s="193">
        <f>'Buildings - Heat &amp; Fuels'!J248</f>
        <v>0</v>
      </c>
      <c r="T1017" s="193" t="str">
        <f>'Buildings - Heat &amp; Fuels'!K248</f>
        <v/>
      </c>
      <c r="U1017" s="193" t="str">
        <f>'Buildings - Heat &amp; Fuels'!L248</f>
        <v/>
      </c>
      <c r="V1017" s="193" t="str">
        <f>'Buildings - Heat &amp; Fuels'!M248</f>
        <v/>
      </c>
      <c r="W1017" s="193" t="str">
        <f>'Buildings - Heat &amp; Fuels'!N248</f>
        <v/>
      </c>
      <c r="X1017" s="193">
        <f>'Buildings - Heat &amp; Fuels'!O248</f>
        <v>0</v>
      </c>
      <c r="Y1017" s="193">
        <f>'Buildings - Heat &amp; Fuels'!P248</f>
        <v>0</v>
      </c>
      <c r="Z1017" s="193" t="str">
        <f>'Buildings - Heat &amp; Fuels'!Q248</f>
        <v/>
      </c>
      <c r="AA1017" s="193" t="str">
        <f>'Buildings - Heat &amp; Fuels'!R248</f>
        <v/>
      </c>
      <c r="AB1017" s="193" t="str">
        <f>'Buildings - Heat &amp; Fuels'!S248</f>
        <v/>
      </c>
      <c r="AC1017" s="193" t="str">
        <f>'Buildings - Heat &amp; Fuels'!T248</f>
        <v/>
      </c>
      <c r="AD1017" s="193" t="str">
        <f>'Buildings - Heat &amp; Fuels'!U248</f>
        <v/>
      </c>
      <c r="AE1017" s="193" t="str">
        <f>'Buildings - Heat &amp; Fuels'!V248</f>
        <v/>
      </c>
      <c r="AF1017" s="193" t="str">
        <f>'Buildings - Heat &amp; Fuels'!W248</f>
        <v/>
      </c>
      <c r="AG1017" s="193" t="str">
        <f>'Buildings - Heat &amp; Fuels'!X248</f>
        <v/>
      </c>
      <c r="AI1017" s="193">
        <f t="shared" si="18"/>
        <v>0</v>
      </c>
      <c r="AJ1017" s="193">
        <f t="shared" si="19"/>
        <v>0</v>
      </c>
    </row>
    <row r="1018" spans="2:36" x14ac:dyDescent="0.35">
      <c r="B1018" s="193" t="e">
        <f>"2024"&amp;MATCH(Totals!D1018,OrgType,0)&amp;"_"&amp;MATCH(Totals!E1018,Organisations,0)&amp;"_"&amp;LEFT(Totals!F1018,1)&amp;"_"&amp;LEFT(G1018,1)&amp;"_"&amp;COUNTIF($G$3:G1018,G1018)</f>
        <v>#N/A</v>
      </c>
      <c r="C1018" s="193">
        <v>2025</v>
      </c>
      <c r="D1018" s="193">
        <f>Introduction!$D$7</f>
        <v>0</v>
      </c>
      <c r="E1018" s="193">
        <f>Introduction!$D$8</f>
        <v>0</v>
      </c>
      <c r="F1018" s="193" t="s">
        <v>488</v>
      </c>
      <c r="G1018" s="193" t="s">
        <v>490</v>
      </c>
      <c r="H1018" s="193">
        <f>'Buildings - Heat &amp; Fuels'!B249</f>
        <v>0</v>
      </c>
      <c r="I1018" s="193">
        <f>'Buildings - Heat &amp; Fuels'!C249</f>
        <v>0</v>
      </c>
      <c r="J1018" s="193" t="str">
        <f>'Buildings - Heat &amp; Fuels'!D249</f>
        <v/>
      </c>
      <c r="K1018" s="237"/>
      <c r="L1018" s="237"/>
      <c r="M1018" s="193">
        <f>'Buildings - Heat &amp; Fuels'!E249</f>
        <v>0</v>
      </c>
      <c r="N1018" s="193">
        <f>'Buildings - Heat &amp; Fuels'!F249</f>
        <v>0</v>
      </c>
      <c r="O1018" s="237"/>
      <c r="P1018" s="193">
        <f>'Buildings - Heat &amp; Fuels'!G249</f>
        <v>0</v>
      </c>
      <c r="Q1018" s="193" t="str">
        <f>'Buildings - Heat &amp; Fuels'!H249</f>
        <v/>
      </c>
      <c r="R1018" s="193">
        <f>'Buildings - Heat &amp; Fuels'!I249</f>
        <v>0</v>
      </c>
      <c r="S1018" s="193">
        <f>'Buildings - Heat &amp; Fuels'!J249</f>
        <v>0</v>
      </c>
      <c r="T1018" s="193" t="str">
        <f>'Buildings - Heat &amp; Fuels'!K249</f>
        <v/>
      </c>
      <c r="U1018" s="193" t="str">
        <f>'Buildings - Heat &amp; Fuels'!L249</f>
        <v/>
      </c>
      <c r="V1018" s="193" t="str">
        <f>'Buildings - Heat &amp; Fuels'!M249</f>
        <v/>
      </c>
      <c r="W1018" s="193" t="str">
        <f>'Buildings - Heat &amp; Fuels'!N249</f>
        <v/>
      </c>
      <c r="X1018" s="193">
        <f>'Buildings - Heat &amp; Fuels'!O249</f>
        <v>0</v>
      </c>
      <c r="Y1018" s="193">
        <f>'Buildings - Heat &amp; Fuels'!P249</f>
        <v>0</v>
      </c>
      <c r="Z1018" s="193" t="str">
        <f>'Buildings - Heat &amp; Fuels'!Q249</f>
        <v/>
      </c>
      <c r="AA1018" s="193" t="str">
        <f>'Buildings - Heat &amp; Fuels'!R249</f>
        <v/>
      </c>
      <c r="AB1018" s="193" t="str">
        <f>'Buildings - Heat &amp; Fuels'!S249</f>
        <v/>
      </c>
      <c r="AC1018" s="193" t="str">
        <f>'Buildings - Heat &amp; Fuels'!T249</f>
        <v/>
      </c>
      <c r="AD1018" s="193" t="str">
        <f>'Buildings - Heat &amp; Fuels'!U249</f>
        <v/>
      </c>
      <c r="AE1018" s="193" t="str">
        <f>'Buildings - Heat &amp; Fuels'!V249</f>
        <v/>
      </c>
      <c r="AF1018" s="193" t="str">
        <f>'Buildings - Heat &amp; Fuels'!W249</f>
        <v/>
      </c>
      <c r="AG1018" s="193" t="str">
        <f>'Buildings - Heat &amp; Fuels'!X249</f>
        <v/>
      </c>
      <c r="AI1018" s="193">
        <f t="shared" si="18"/>
        <v>0</v>
      </c>
      <c r="AJ1018" s="193">
        <f t="shared" si="19"/>
        <v>0</v>
      </c>
    </row>
    <row r="1019" spans="2:36" x14ac:dyDescent="0.35">
      <c r="B1019" s="193" t="e">
        <f>"2024"&amp;MATCH(Totals!D1019,OrgType,0)&amp;"_"&amp;MATCH(Totals!E1019,Organisations,0)&amp;"_"&amp;LEFT(Totals!F1019,1)&amp;"_"&amp;LEFT(G1019,1)&amp;"_"&amp;COUNTIF($G$3:G1019,G1019)</f>
        <v>#N/A</v>
      </c>
      <c r="C1019" s="193">
        <v>2025</v>
      </c>
      <c r="D1019" s="193">
        <f>Introduction!$D$7</f>
        <v>0</v>
      </c>
      <c r="E1019" s="193">
        <f>Introduction!$D$8</f>
        <v>0</v>
      </c>
      <c r="F1019" s="193" t="s">
        <v>488</v>
      </c>
      <c r="G1019" s="193" t="s">
        <v>490</v>
      </c>
      <c r="H1019" s="193">
        <f>'Buildings - Heat &amp; Fuels'!B250</f>
        <v>0</v>
      </c>
      <c r="I1019" s="193">
        <f>'Buildings - Heat &amp; Fuels'!C250</f>
        <v>0</v>
      </c>
      <c r="J1019" s="193" t="str">
        <f>'Buildings - Heat &amp; Fuels'!D250</f>
        <v/>
      </c>
      <c r="K1019" s="237"/>
      <c r="L1019" s="237"/>
      <c r="M1019" s="193">
        <f>'Buildings - Heat &amp; Fuels'!E250</f>
        <v>0</v>
      </c>
      <c r="N1019" s="193">
        <f>'Buildings - Heat &amp; Fuels'!F250</f>
        <v>0</v>
      </c>
      <c r="O1019" s="237"/>
      <c r="P1019" s="193">
        <f>'Buildings - Heat &amp; Fuels'!G250</f>
        <v>0</v>
      </c>
      <c r="Q1019" s="193" t="str">
        <f>'Buildings - Heat &amp; Fuels'!H250</f>
        <v/>
      </c>
      <c r="R1019" s="193">
        <f>'Buildings - Heat &amp; Fuels'!I250</f>
        <v>0</v>
      </c>
      <c r="S1019" s="193">
        <f>'Buildings - Heat &amp; Fuels'!J250</f>
        <v>0</v>
      </c>
      <c r="T1019" s="193" t="str">
        <f>'Buildings - Heat &amp; Fuels'!K250</f>
        <v/>
      </c>
      <c r="U1019" s="193" t="str">
        <f>'Buildings - Heat &amp; Fuels'!L250</f>
        <v/>
      </c>
      <c r="V1019" s="193" t="str">
        <f>'Buildings - Heat &amp; Fuels'!M250</f>
        <v/>
      </c>
      <c r="W1019" s="193" t="str">
        <f>'Buildings - Heat &amp; Fuels'!N250</f>
        <v/>
      </c>
      <c r="X1019" s="193">
        <f>'Buildings - Heat &amp; Fuels'!O250</f>
        <v>0</v>
      </c>
      <c r="Y1019" s="193">
        <f>'Buildings - Heat &amp; Fuels'!P250</f>
        <v>0</v>
      </c>
      <c r="Z1019" s="193" t="str">
        <f>'Buildings - Heat &amp; Fuels'!Q250</f>
        <v/>
      </c>
      <c r="AA1019" s="193" t="str">
        <f>'Buildings - Heat &amp; Fuels'!R250</f>
        <v/>
      </c>
      <c r="AB1019" s="193" t="str">
        <f>'Buildings - Heat &amp; Fuels'!S250</f>
        <v/>
      </c>
      <c r="AC1019" s="193" t="str">
        <f>'Buildings - Heat &amp; Fuels'!T250</f>
        <v/>
      </c>
      <c r="AD1019" s="193" t="str">
        <f>'Buildings - Heat &amp; Fuels'!U250</f>
        <v/>
      </c>
      <c r="AE1019" s="193" t="str">
        <f>'Buildings - Heat &amp; Fuels'!V250</f>
        <v/>
      </c>
      <c r="AF1019" s="193" t="str">
        <f>'Buildings - Heat &amp; Fuels'!W250</f>
        <v/>
      </c>
      <c r="AG1019" s="193" t="str">
        <f>'Buildings - Heat &amp; Fuels'!X250</f>
        <v/>
      </c>
      <c r="AI1019" s="193">
        <f t="shared" si="18"/>
        <v>0</v>
      </c>
      <c r="AJ1019" s="193">
        <f t="shared" si="19"/>
        <v>0</v>
      </c>
    </row>
    <row r="1020" spans="2:36" x14ac:dyDescent="0.35">
      <c r="B1020" s="193" t="e">
        <f>"2024"&amp;MATCH(Totals!D1020,OrgType,0)&amp;"_"&amp;MATCH(Totals!E1020,Organisations,0)&amp;"_"&amp;LEFT(Totals!F1020,1)&amp;"_"&amp;LEFT(G1020,1)&amp;"_"&amp;COUNTIF($G$3:G1020,G1020)</f>
        <v>#N/A</v>
      </c>
      <c r="C1020" s="193">
        <v>2025</v>
      </c>
      <c r="D1020" s="193">
        <f>Introduction!$D$7</f>
        <v>0</v>
      </c>
      <c r="E1020" s="193">
        <f>Introduction!$D$8</f>
        <v>0</v>
      </c>
      <c r="F1020" s="193" t="s">
        <v>488</v>
      </c>
      <c r="G1020" s="193" t="s">
        <v>490</v>
      </c>
      <c r="H1020" s="193">
        <f>'Buildings - Heat &amp; Fuels'!B251</f>
        <v>0</v>
      </c>
      <c r="I1020" s="193">
        <f>'Buildings - Heat &amp; Fuels'!C251</f>
        <v>0</v>
      </c>
      <c r="J1020" s="193" t="str">
        <f>'Buildings - Heat &amp; Fuels'!D251</f>
        <v/>
      </c>
      <c r="K1020" s="237"/>
      <c r="L1020" s="237"/>
      <c r="M1020" s="193">
        <f>'Buildings - Heat &amp; Fuels'!E251</f>
        <v>0</v>
      </c>
      <c r="N1020" s="193">
        <f>'Buildings - Heat &amp; Fuels'!F251</f>
        <v>0</v>
      </c>
      <c r="O1020" s="237"/>
      <c r="P1020" s="193">
        <f>'Buildings - Heat &amp; Fuels'!G251</f>
        <v>0</v>
      </c>
      <c r="Q1020" s="193" t="str">
        <f>'Buildings - Heat &amp; Fuels'!H251</f>
        <v/>
      </c>
      <c r="R1020" s="193">
        <f>'Buildings - Heat &amp; Fuels'!I251</f>
        <v>0</v>
      </c>
      <c r="S1020" s="193">
        <f>'Buildings - Heat &amp; Fuels'!J251</f>
        <v>0</v>
      </c>
      <c r="T1020" s="193" t="str">
        <f>'Buildings - Heat &amp; Fuels'!K251</f>
        <v/>
      </c>
      <c r="U1020" s="193" t="str">
        <f>'Buildings - Heat &amp; Fuels'!L251</f>
        <v/>
      </c>
      <c r="V1020" s="193" t="str">
        <f>'Buildings - Heat &amp; Fuels'!M251</f>
        <v/>
      </c>
      <c r="W1020" s="193" t="str">
        <f>'Buildings - Heat &amp; Fuels'!N251</f>
        <v/>
      </c>
      <c r="X1020" s="193">
        <f>'Buildings - Heat &amp; Fuels'!O251</f>
        <v>0</v>
      </c>
      <c r="Y1020" s="193">
        <f>'Buildings - Heat &amp; Fuels'!P251</f>
        <v>0</v>
      </c>
      <c r="Z1020" s="193" t="str">
        <f>'Buildings - Heat &amp; Fuels'!Q251</f>
        <v/>
      </c>
      <c r="AA1020" s="193" t="str">
        <f>'Buildings - Heat &amp; Fuels'!R251</f>
        <v/>
      </c>
      <c r="AB1020" s="193" t="str">
        <f>'Buildings - Heat &amp; Fuels'!S251</f>
        <v/>
      </c>
      <c r="AC1020" s="193" t="str">
        <f>'Buildings - Heat &amp; Fuels'!T251</f>
        <v/>
      </c>
      <c r="AD1020" s="193" t="str">
        <f>'Buildings - Heat &amp; Fuels'!U251</f>
        <v/>
      </c>
      <c r="AE1020" s="193" t="str">
        <f>'Buildings - Heat &amp; Fuels'!V251</f>
        <v/>
      </c>
      <c r="AF1020" s="193" t="str">
        <f>'Buildings - Heat &amp; Fuels'!W251</f>
        <v/>
      </c>
      <c r="AG1020" s="193" t="str">
        <f>'Buildings - Heat &amp; Fuels'!X251</f>
        <v/>
      </c>
      <c r="AI1020" s="193">
        <f t="shared" si="18"/>
        <v>0</v>
      </c>
      <c r="AJ1020" s="193">
        <f t="shared" si="19"/>
        <v>0</v>
      </c>
    </row>
    <row r="1021" spans="2:36" x14ac:dyDescent="0.35">
      <c r="B1021" s="193" t="e">
        <f>"2024"&amp;MATCH(Totals!D1021,OrgType,0)&amp;"_"&amp;MATCH(Totals!E1021,Organisations,0)&amp;"_"&amp;LEFT(Totals!F1021,1)&amp;"_"&amp;LEFT(G1021,1)&amp;"_"&amp;COUNTIF($G$3:G1021,G1021)</f>
        <v>#N/A</v>
      </c>
      <c r="C1021" s="193">
        <v>2025</v>
      </c>
      <c r="D1021" s="193">
        <f>Introduction!$D$7</f>
        <v>0</v>
      </c>
      <c r="E1021" s="193">
        <f>Introduction!$D$8</f>
        <v>0</v>
      </c>
      <c r="F1021" s="193" t="s">
        <v>488</v>
      </c>
      <c r="G1021" s="193" t="s">
        <v>490</v>
      </c>
      <c r="H1021" s="193">
        <f>'Buildings - Heat &amp; Fuels'!B252</f>
        <v>0</v>
      </c>
      <c r="I1021" s="193">
        <f>'Buildings - Heat &amp; Fuels'!C252</f>
        <v>0</v>
      </c>
      <c r="J1021" s="193" t="str">
        <f>'Buildings - Heat &amp; Fuels'!D252</f>
        <v/>
      </c>
      <c r="K1021" s="237"/>
      <c r="L1021" s="237"/>
      <c r="M1021" s="193">
        <f>'Buildings - Heat &amp; Fuels'!E252</f>
        <v>0</v>
      </c>
      <c r="N1021" s="193">
        <f>'Buildings - Heat &amp; Fuels'!F252</f>
        <v>0</v>
      </c>
      <c r="O1021" s="237"/>
      <c r="P1021" s="193">
        <f>'Buildings - Heat &amp; Fuels'!G252</f>
        <v>0</v>
      </c>
      <c r="Q1021" s="193" t="str">
        <f>'Buildings - Heat &amp; Fuels'!H252</f>
        <v/>
      </c>
      <c r="R1021" s="193">
        <f>'Buildings - Heat &amp; Fuels'!I252</f>
        <v>0</v>
      </c>
      <c r="S1021" s="193">
        <f>'Buildings - Heat &amp; Fuels'!J252</f>
        <v>0</v>
      </c>
      <c r="T1021" s="193" t="str">
        <f>'Buildings - Heat &amp; Fuels'!K252</f>
        <v/>
      </c>
      <c r="U1021" s="193" t="str">
        <f>'Buildings - Heat &amp; Fuels'!L252</f>
        <v/>
      </c>
      <c r="V1021" s="193" t="str">
        <f>'Buildings - Heat &amp; Fuels'!M252</f>
        <v/>
      </c>
      <c r="W1021" s="193" t="str">
        <f>'Buildings - Heat &amp; Fuels'!N252</f>
        <v/>
      </c>
      <c r="X1021" s="193">
        <f>'Buildings - Heat &amp; Fuels'!O252</f>
        <v>0</v>
      </c>
      <c r="Y1021" s="193">
        <f>'Buildings - Heat &amp; Fuels'!P252</f>
        <v>0</v>
      </c>
      <c r="Z1021" s="193" t="str">
        <f>'Buildings - Heat &amp; Fuels'!Q252</f>
        <v/>
      </c>
      <c r="AA1021" s="193" t="str">
        <f>'Buildings - Heat &amp; Fuels'!R252</f>
        <v/>
      </c>
      <c r="AB1021" s="193" t="str">
        <f>'Buildings - Heat &amp; Fuels'!S252</f>
        <v/>
      </c>
      <c r="AC1021" s="193" t="str">
        <f>'Buildings - Heat &amp; Fuels'!T252</f>
        <v/>
      </c>
      <c r="AD1021" s="193" t="str">
        <f>'Buildings - Heat &amp; Fuels'!U252</f>
        <v/>
      </c>
      <c r="AE1021" s="193" t="str">
        <f>'Buildings - Heat &amp; Fuels'!V252</f>
        <v/>
      </c>
      <c r="AF1021" s="193" t="str">
        <f>'Buildings - Heat &amp; Fuels'!W252</f>
        <v/>
      </c>
      <c r="AG1021" s="193" t="str">
        <f>'Buildings - Heat &amp; Fuels'!X252</f>
        <v/>
      </c>
      <c r="AI1021" s="193">
        <f t="shared" si="18"/>
        <v>0</v>
      </c>
      <c r="AJ1021" s="193">
        <f t="shared" si="19"/>
        <v>0</v>
      </c>
    </row>
    <row r="1022" spans="2:36" x14ac:dyDescent="0.35">
      <c r="B1022" s="193" t="e">
        <f>"2024"&amp;MATCH(Totals!D1022,OrgType,0)&amp;"_"&amp;MATCH(Totals!E1022,Organisations,0)&amp;"_"&amp;LEFT(Totals!F1022,1)&amp;"_"&amp;LEFT(G1022,1)&amp;"_"&amp;COUNTIF($G$3:G1022,G1022)</f>
        <v>#N/A</v>
      </c>
      <c r="C1022" s="193">
        <v>2025</v>
      </c>
      <c r="D1022" s="193">
        <f>Introduction!$D$7</f>
        <v>0</v>
      </c>
      <c r="E1022" s="193">
        <f>Introduction!$D$8</f>
        <v>0</v>
      </c>
      <c r="F1022" s="193" t="s">
        <v>488</v>
      </c>
      <c r="G1022" s="193" t="s">
        <v>490</v>
      </c>
      <c r="H1022" s="193">
        <f>'Buildings - Heat &amp; Fuels'!B253</f>
        <v>0</v>
      </c>
      <c r="I1022" s="193">
        <f>'Buildings - Heat &amp; Fuels'!C253</f>
        <v>0</v>
      </c>
      <c r="J1022" s="193" t="str">
        <f>'Buildings - Heat &amp; Fuels'!D253</f>
        <v/>
      </c>
      <c r="K1022" s="237"/>
      <c r="L1022" s="237"/>
      <c r="M1022" s="193">
        <f>'Buildings - Heat &amp; Fuels'!E253</f>
        <v>0</v>
      </c>
      <c r="N1022" s="193">
        <f>'Buildings - Heat &amp; Fuels'!F253</f>
        <v>0</v>
      </c>
      <c r="O1022" s="237"/>
      <c r="P1022" s="193">
        <f>'Buildings - Heat &amp; Fuels'!G253</f>
        <v>0</v>
      </c>
      <c r="Q1022" s="193" t="str">
        <f>'Buildings - Heat &amp; Fuels'!H253</f>
        <v/>
      </c>
      <c r="R1022" s="193">
        <f>'Buildings - Heat &amp; Fuels'!I253</f>
        <v>0</v>
      </c>
      <c r="S1022" s="193">
        <f>'Buildings - Heat &amp; Fuels'!J253</f>
        <v>0</v>
      </c>
      <c r="T1022" s="193" t="str">
        <f>'Buildings - Heat &amp; Fuels'!K253</f>
        <v/>
      </c>
      <c r="U1022" s="193" t="str">
        <f>'Buildings - Heat &amp; Fuels'!L253</f>
        <v/>
      </c>
      <c r="V1022" s="193" t="str">
        <f>'Buildings - Heat &amp; Fuels'!M253</f>
        <v/>
      </c>
      <c r="W1022" s="193" t="str">
        <f>'Buildings - Heat &amp; Fuels'!N253</f>
        <v/>
      </c>
      <c r="X1022" s="193">
        <f>'Buildings - Heat &amp; Fuels'!O253</f>
        <v>0</v>
      </c>
      <c r="Y1022" s="193">
        <f>'Buildings - Heat &amp; Fuels'!P253</f>
        <v>0</v>
      </c>
      <c r="Z1022" s="193" t="str">
        <f>'Buildings - Heat &amp; Fuels'!Q253</f>
        <v/>
      </c>
      <c r="AA1022" s="193" t="str">
        <f>'Buildings - Heat &amp; Fuels'!R253</f>
        <v/>
      </c>
      <c r="AB1022" s="193" t="str">
        <f>'Buildings - Heat &amp; Fuels'!S253</f>
        <v/>
      </c>
      <c r="AC1022" s="193" t="str">
        <f>'Buildings - Heat &amp; Fuels'!T253</f>
        <v/>
      </c>
      <c r="AD1022" s="193" t="str">
        <f>'Buildings - Heat &amp; Fuels'!U253</f>
        <v/>
      </c>
      <c r="AE1022" s="193" t="str">
        <f>'Buildings - Heat &amp; Fuels'!V253</f>
        <v/>
      </c>
      <c r="AF1022" s="193" t="str">
        <f>'Buildings - Heat &amp; Fuels'!W253</f>
        <v/>
      </c>
      <c r="AG1022" s="193" t="str">
        <f>'Buildings - Heat &amp; Fuels'!X253</f>
        <v/>
      </c>
      <c r="AI1022" s="193">
        <f t="shared" si="18"/>
        <v>0</v>
      </c>
      <c r="AJ1022" s="193">
        <f t="shared" si="19"/>
        <v>0</v>
      </c>
    </row>
    <row r="1023" spans="2:36" x14ac:dyDescent="0.35">
      <c r="B1023" s="193" t="e">
        <f>"2024"&amp;MATCH(Totals!D1023,OrgType,0)&amp;"_"&amp;MATCH(Totals!E1023,Organisations,0)&amp;"_"&amp;LEFT(Totals!F1023,1)&amp;"_"&amp;LEFT(G1023,1)&amp;"_"&amp;COUNTIF($G$3:G1023,G1023)</f>
        <v>#N/A</v>
      </c>
      <c r="C1023" s="193">
        <v>2025</v>
      </c>
      <c r="D1023" s="193">
        <f>Introduction!$D$7</f>
        <v>0</v>
      </c>
      <c r="E1023" s="193">
        <f>Introduction!$D$8</f>
        <v>0</v>
      </c>
      <c r="F1023" s="193" t="s">
        <v>488</v>
      </c>
      <c r="G1023" s="193" t="s">
        <v>490</v>
      </c>
      <c r="H1023" s="193">
        <f>'Buildings - Heat &amp; Fuels'!B254</f>
        <v>0</v>
      </c>
      <c r="I1023" s="193">
        <f>'Buildings - Heat &amp; Fuels'!C254</f>
        <v>0</v>
      </c>
      <c r="J1023" s="193" t="str">
        <f>'Buildings - Heat &amp; Fuels'!D254</f>
        <v/>
      </c>
      <c r="K1023" s="237"/>
      <c r="L1023" s="237"/>
      <c r="M1023" s="193">
        <f>'Buildings - Heat &amp; Fuels'!E254</f>
        <v>0</v>
      </c>
      <c r="N1023" s="193">
        <f>'Buildings - Heat &amp; Fuels'!F254</f>
        <v>0</v>
      </c>
      <c r="O1023" s="237"/>
      <c r="P1023" s="193">
        <f>'Buildings - Heat &amp; Fuels'!G254</f>
        <v>0</v>
      </c>
      <c r="Q1023" s="193" t="str">
        <f>'Buildings - Heat &amp; Fuels'!H254</f>
        <v/>
      </c>
      <c r="R1023" s="193">
        <f>'Buildings - Heat &amp; Fuels'!I254</f>
        <v>0</v>
      </c>
      <c r="S1023" s="193">
        <f>'Buildings - Heat &amp; Fuels'!J254</f>
        <v>0</v>
      </c>
      <c r="T1023" s="193" t="str">
        <f>'Buildings - Heat &amp; Fuels'!K254</f>
        <v/>
      </c>
      <c r="U1023" s="193" t="str">
        <f>'Buildings - Heat &amp; Fuels'!L254</f>
        <v/>
      </c>
      <c r="V1023" s="193" t="str">
        <f>'Buildings - Heat &amp; Fuels'!M254</f>
        <v/>
      </c>
      <c r="W1023" s="193" t="str">
        <f>'Buildings - Heat &amp; Fuels'!N254</f>
        <v/>
      </c>
      <c r="X1023" s="193">
        <f>'Buildings - Heat &amp; Fuels'!O254</f>
        <v>0</v>
      </c>
      <c r="Y1023" s="193">
        <f>'Buildings - Heat &amp; Fuels'!P254</f>
        <v>0</v>
      </c>
      <c r="Z1023" s="193" t="str">
        <f>'Buildings - Heat &amp; Fuels'!Q254</f>
        <v/>
      </c>
      <c r="AA1023" s="193" t="str">
        <f>'Buildings - Heat &amp; Fuels'!R254</f>
        <v/>
      </c>
      <c r="AB1023" s="193" t="str">
        <f>'Buildings - Heat &amp; Fuels'!S254</f>
        <v/>
      </c>
      <c r="AC1023" s="193" t="str">
        <f>'Buildings - Heat &amp; Fuels'!T254</f>
        <v/>
      </c>
      <c r="AD1023" s="193" t="str">
        <f>'Buildings - Heat &amp; Fuels'!U254</f>
        <v/>
      </c>
      <c r="AE1023" s="193" t="str">
        <f>'Buildings - Heat &amp; Fuels'!V254</f>
        <v/>
      </c>
      <c r="AF1023" s="193" t="str">
        <f>'Buildings - Heat &amp; Fuels'!W254</f>
        <v/>
      </c>
      <c r="AG1023" s="193" t="str">
        <f>'Buildings - Heat &amp; Fuels'!X254</f>
        <v/>
      </c>
      <c r="AI1023" s="193">
        <f t="shared" si="18"/>
        <v>0</v>
      </c>
      <c r="AJ1023" s="193">
        <f t="shared" si="19"/>
        <v>0</v>
      </c>
    </row>
    <row r="1024" spans="2:36" x14ac:dyDescent="0.35">
      <c r="B1024" s="193" t="e">
        <f>"2024"&amp;MATCH(Totals!D1024,OrgType,0)&amp;"_"&amp;MATCH(Totals!E1024,Organisations,0)&amp;"_"&amp;LEFT(Totals!F1024,1)&amp;"_"&amp;LEFT(G1024,1)&amp;"_"&amp;COUNTIF($G$3:G1024,G1024)</f>
        <v>#N/A</v>
      </c>
      <c r="C1024" s="193">
        <v>2025</v>
      </c>
      <c r="D1024" s="193">
        <f>Introduction!$D$7</f>
        <v>0</v>
      </c>
      <c r="E1024" s="193">
        <f>Introduction!$D$8</f>
        <v>0</v>
      </c>
      <c r="F1024" s="193" t="s">
        <v>488</v>
      </c>
      <c r="G1024" s="193" t="s">
        <v>490</v>
      </c>
      <c r="H1024" s="193">
        <f>'Buildings - Heat &amp; Fuels'!B255</f>
        <v>0</v>
      </c>
      <c r="I1024" s="193">
        <f>'Buildings - Heat &amp; Fuels'!C255</f>
        <v>0</v>
      </c>
      <c r="J1024" s="193" t="str">
        <f>'Buildings - Heat &amp; Fuels'!D255</f>
        <v/>
      </c>
      <c r="K1024" s="237"/>
      <c r="L1024" s="237"/>
      <c r="M1024" s="193">
        <f>'Buildings - Heat &amp; Fuels'!E255</f>
        <v>0</v>
      </c>
      <c r="N1024" s="193">
        <f>'Buildings - Heat &amp; Fuels'!F255</f>
        <v>0</v>
      </c>
      <c r="O1024" s="237"/>
      <c r="P1024" s="193">
        <f>'Buildings - Heat &amp; Fuels'!G255</f>
        <v>0</v>
      </c>
      <c r="Q1024" s="193" t="str">
        <f>'Buildings - Heat &amp; Fuels'!H255</f>
        <v/>
      </c>
      <c r="R1024" s="193">
        <f>'Buildings - Heat &amp; Fuels'!I255</f>
        <v>0</v>
      </c>
      <c r="S1024" s="193">
        <f>'Buildings - Heat &amp; Fuels'!J255</f>
        <v>0</v>
      </c>
      <c r="T1024" s="193" t="str">
        <f>'Buildings - Heat &amp; Fuels'!K255</f>
        <v/>
      </c>
      <c r="U1024" s="193" t="str">
        <f>'Buildings - Heat &amp; Fuels'!L255</f>
        <v/>
      </c>
      <c r="V1024" s="193" t="str">
        <f>'Buildings - Heat &amp; Fuels'!M255</f>
        <v/>
      </c>
      <c r="W1024" s="193" t="str">
        <f>'Buildings - Heat &amp; Fuels'!N255</f>
        <v/>
      </c>
      <c r="X1024" s="193">
        <f>'Buildings - Heat &amp; Fuels'!O255</f>
        <v>0</v>
      </c>
      <c r="Y1024" s="193">
        <f>'Buildings - Heat &amp; Fuels'!P255</f>
        <v>0</v>
      </c>
      <c r="Z1024" s="193" t="str">
        <f>'Buildings - Heat &amp; Fuels'!Q255</f>
        <v/>
      </c>
      <c r="AA1024" s="193" t="str">
        <f>'Buildings - Heat &amp; Fuels'!R255</f>
        <v/>
      </c>
      <c r="AB1024" s="193" t="str">
        <f>'Buildings - Heat &amp; Fuels'!S255</f>
        <v/>
      </c>
      <c r="AC1024" s="193" t="str">
        <f>'Buildings - Heat &amp; Fuels'!T255</f>
        <v/>
      </c>
      <c r="AD1024" s="193" t="str">
        <f>'Buildings - Heat &amp; Fuels'!U255</f>
        <v/>
      </c>
      <c r="AE1024" s="193" t="str">
        <f>'Buildings - Heat &amp; Fuels'!V255</f>
        <v/>
      </c>
      <c r="AF1024" s="193" t="str">
        <f>'Buildings - Heat &amp; Fuels'!W255</f>
        <v/>
      </c>
      <c r="AG1024" s="193" t="str">
        <f>'Buildings - Heat &amp; Fuels'!X255</f>
        <v/>
      </c>
      <c r="AI1024" s="193">
        <f t="shared" si="18"/>
        <v>0</v>
      </c>
      <c r="AJ1024" s="193">
        <f t="shared" si="19"/>
        <v>0</v>
      </c>
    </row>
    <row r="1025" spans="2:36" x14ac:dyDescent="0.35">
      <c r="B1025" s="193" t="e">
        <f>"2024"&amp;MATCH(Totals!D1025,OrgType,0)&amp;"_"&amp;MATCH(Totals!E1025,Organisations,0)&amp;"_"&amp;LEFT(Totals!F1025,1)&amp;"_"&amp;LEFT(G1025,1)&amp;"_"&amp;COUNTIF($G$3:G1025,G1025)</f>
        <v>#N/A</v>
      </c>
      <c r="C1025" s="193">
        <v>2025</v>
      </c>
      <c r="D1025" s="193">
        <f>Introduction!$D$7</f>
        <v>0</v>
      </c>
      <c r="E1025" s="193">
        <f>Introduction!$D$8</f>
        <v>0</v>
      </c>
      <c r="F1025" s="193" t="s">
        <v>488</v>
      </c>
      <c r="G1025" s="193" t="s">
        <v>490</v>
      </c>
      <c r="H1025" s="193">
        <f>'Buildings - Heat &amp; Fuels'!B256</f>
        <v>0</v>
      </c>
      <c r="I1025" s="193">
        <f>'Buildings - Heat &amp; Fuels'!C256</f>
        <v>0</v>
      </c>
      <c r="J1025" s="193" t="str">
        <f>'Buildings - Heat &amp; Fuels'!D256</f>
        <v/>
      </c>
      <c r="K1025" s="237"/>
      <c r="L1025" s="237"/>
      <c r="M1025" s="193">
        <f>'Buildings - Heat &amp; Fuels'!E256</f>
        <v>0</v>
      </c>
      <c r="N1025" s="193">
        <f>'Buildings - Heat &amp; Fuels'!F256</f>
        <v>0</v>
      </c>
      <c r="O1025" s="237"/>
      <c r="P1025" s="193">
        <f>'Buildings - Heat &amp; Fuels'!G256</f>
        <v>0</v>
      </c>
      <c r="Q1025" s="193" t="str">
        <f>'Buildings - Heat &amp; Fuels'!H256</f>
        <v/>
      </c>
      <c r="R1025" s="193">
        <f>'Buildings - Heat &amp; Fuels'!I256</f>
        <v>0</v>
      </c>
      <c r="S1025" s="193">
        <f>'Buildings - Heat &amp; Fuels'!J256</f>
        <v>0</v>
      </c>
      <c r="T1025" s="193" t="str">
        <f>'Buildings - Heat &amp; Fuels'!K256</f>
        <v/>
      </c>
      <c r="U1025" s="193" t="str">
        <f>'Buildings - Heat &amp; Fuels'!L256</f>
        <v/>
      </c>
      <c r="V1025" s="193" t="str">
        <f>'Buildings - Heat &amp; Fuels'!M256</f>
        <v/>
      </c>
      <c r="W1025" s="193" t="str">
        <f>'Buildings - Heat &amp; Fuels'!N256</f>
        <v/>
      </c>
      <c r="X1025" s="193">
        <f>'Buildings - Heat &amp; Fuels'!O256</f>
        <v>0</v>
      </c>
      <c r="Y1025" s="193">
        <f>'Buildings - Heat &amp; Fuels'!P256</f>
        <v>0</v>
      </c>
      <c r="Z1025" s="193" t="str">
        <f>'Buildings - Heat &amp; Fuels'!Q256</f>
        <v/>
      </c>
      <c r="AA1025" s="193" t="str">
        <f>'Buildings - Heat &amp; Fuels'!R256</f>
        <v/>
      </c>
      <c r="AB1025" s="193" t="str">
        <f>'Buildings - Heat &amp; Fuels'!S256</f>
        <v/>
      </c>
      <c r="AC1025" s="193" t="str">
        <f>'Buildings - Heat &amp; Fuels'!T256</f>
        <v/>
      </c>
      <c r="AD1025" s="193" t="str">
        <f>'Buildings - Heat &amp; Fuels'!U256</f>
        <v/>
      </c>
      <c r="AE1025" s="193" t="str">
        <f>'Buildings - Heat &amp; Fuels'!V256</f>
        <v/>
      </c>
      <c r="AF1025" s="193" t="str">
        <f>'Buildings - Heat &amp; Fuels'!W256</f>
        <v/>
      </c>
      <c r="AG1025" s="193" t="str">
        <f>'Buildings - Heat &amp; Fuels'!X256</f>
        <v/>
      </c>
      <c r="AI1025" s="193">
        <f t="shared" si="18"/>
        <v>0</v>
      </c>
      <c r="AJ1025" s="193">
        <f t="shared" si="19"/>
        <v>0</v>
      </c>
    </row>
    <row r="1026" spans="2:36" x14ac:dyDescent="0.35">
      <c r="B1026" s="193" t="e">
        <f>"2024"&amp;MATCH(Totals!D1026,OrgType,0)&amp;"_"&amp;MATCH(Totals!E1026,Organisations,0)&amp;"_"&amp;LEFT(Totals!F1026,1)&amp;"_"&amp;LEFT(G1026,1)&amp;"_"&amp;COUNTIF($G$3:G1026,G1026)</f>
        <v>#N/A</v>
      </c>
      <c r="C1026" s="193">
        <v>2025</v>
      </c>
      <c r="D1026" s="193">
        <f>Introduction!$D$7</f>
        <v>0</v>
      </c>
      <c r="E1026" s="193">
        <f>Introduction!$D$8</f>
        <v>0</v>
      </c>
      <c r="F1026" s="193" t="s">
        <v>488</v>
      </c>
      <c r="G1026" s="193" t="s">
        <v>490</v>
      </c>
      <c r="H1026" s="193">
        <f>'Buildings - Heat &amp; Fuels'!B257</f>
        <v>0</v>
      </c>
      <c r="I1026" s="193">
        <f>'Buildings - Heat &amp; Fuels'!C257</f>
        <v>0</v>
      </c>
      <c r="J1026" s="193" t="str">
        <f>'Buildings - Heat &amp; Fuels'!D257</f>
        <v/>
      </c>
      <c r="K1026" s="237"/>
      <c r="L1026" s="237"/>
      <c r="M1026" s="193">
        <f>'Buildings - Heat &amp; Fuels'!E257</f>
        <v>0</v>
      </c>
      <c r="N1026" s="193">
        <f>'Buildings - Heat &amp; Fuels'!F257</f>
        <v>0</v>
      </c>
      <c r="O1026" s="237"/>
      <c r="P1026" s="193">
        <f>'Buildings - Heat &amp; Fuels'!G257</f>
        <v>0</v>
      </c>
      <c r="Q1026" s="193" t="str">
        <f>'Buildings - Heat &amp; Fuels'!H257</f>
        <v/>
      </c>
      <c r="R1026" s="193">
        <f>'Buildings - Heat &amp; Fuels'!I257</f>
        <v>0</v>
      </c>
      <c r="S1026" s="193">
        <f>'Buildings - Heat &amp; Fuels'!J257</f>
        <v>0</v>
      </c>
      <c r="T1026" s="193" t="str">
        <f>'Buildings - Heat &amp; Fuels'!K257</f>
        <v/>
      </c>
      <c r="U1026" s="193" t="str">
        <f>'Buildings - Heat &amp; Fuels'!L257</f>
        <v/>
      </c>
      <c r="V1026" s="193" t="str">
        <f>'Buildings - Heat &amp; Fuels'!M257</f>
        <v/>
      </c>
      <c r="W1026" s="193" t="str">
        <f>'Buildings - Heat &amp; Fuels'!N257</f>
        <v/>
      </c>
      <c r="X1026" s="193">
        <f>'Buildings - Heat &amp; Fuels'!O257</f>
        <v>0</v>
      </c>
      <c r="Y1026" s="193">
        <f>'Buildings - Heat &amp; Fuels'!P257</f>
        <v>0</v>
      </c>
      <c r="Z1026" s="193" t="str">
        <f>'Buildings - Heat &amp; Fuels'!Q257</f>
        <v/>
      </c>
      <c r="AA1026" s="193" t="str">
        <f>'Buildings - Heat &amp; Fuels'!R257</f>
        <v/>
      </c>
      <c r="AB1026" s="193" t="str">
        <f>'Buildings - Heat &amp; Fuels'!S257</f>
        <v/>
      </c>
      <c r="AC1026" s="193" t="str">
        <f>'Buildings - Heat &amp; Fuels'!T257</f>
        <v/>
      </c>
      <c r="AD1026" s="193" t="str">
        <f>'Buildings - Heat &amp; Fuels'!U257</f>
        <v/>
      </c>
      <c r="AE1026" s="193" t="str">
        <f>'Buildings - Heat &amp; Fuels'!V257</f>
        <v/>
      </c>
      <c r="AF1026" s="193" t="str">
        <f>'Buildings - Heat &amp; Fuels'!W257</f>
        <v/>
      </c>
      <c r="AG1026" s="193" t="str">
        <f>'Buildings - Heat &amp; Fuels'!X257</f>
        <v/>
      </c>
      <c r="AI1026" s="193">
        <f t="shared" si="18"/>
        <v>0</v>
      </c>
      <c r="AJ1026" s="193">
        <f t="shared" si="19"/>
        <v>0</v>
      </c>
    </row>
    <row r="1027" spans="2:36" x14ac:dyDescent="0.35">
      <c r="B1027" s="193" t="e">
        <f>"2024"&amp;MATCH(Totals!D1027,OrgType,0)&amp;"_"&amp;MATCH(Totals!E1027,Organisations,0)&amp;"_"&amp;LEFT(Totals!F1027,1)&amp;"_"&amp;LEFT(G1027,1)&amp;"_"&amp;COUNTIF($G$3:G1027,G1027)</f>
        <v>#N/A</v>
      </c>
      <c r="C1027" s="193">
        <v>2025</v>
      </c>
      <c r="D1027" s="193">
        <f>Introduction!$D$7</f>
        <v>0</v>
      </c>
      <c r="E1027" s="193">
        <f>Introduction!$D$8</f>
        <v>0</v>
      </c>
      <c r="F1027" s="193" t="s">
        <v>488</v>
      </c>
      <c r="G1027" s="193" t="s">
        <v>490</v>
      </c>
      <c r="H1027" s="193">
        <f>'Buildings - Heat &amp; Fuels'!B258</f>
        <v>0</v>
      </c>
      <c r="I1027" s="193">
        <f>'Buildings - Heat &amp; Fuels'!C258</f>
        <v>0</v>
      </c>
      <c r="J1027" s="193" t="str">
        <f>'Buildings - Heat &amp; Fuels'!D258</f>
        <v/>
      </c>
      <c r="K1027" s="237"/>
      <c r="L1027" s="237"/>
      <c r="M1027" s="193">
        <f>'Buildings - Heat &amp; Fuels'!E258</f>
        <v>0</v>
      </c>
      <c r="N1027" s="193">
        <f>'Buildings - Heat &amp; Fuels'!F258</f>
        <v>0</v>
      </c>
      <c r="O1027" s="237"/>
      <c r="P1027" s="193">
        <f>'Buildings - Heat &amp; Fuels'!G258</f>
        <v>0</v>
      </c>
      <c r="Q1027" s="193" t="str">
        <f>'Buildings - Heat &amp; Fuels'!H258</f>
        <v/>
      </c>
      <c r="R1027" s="193">
        <f>'Buildings - Heat &amp; Fuels'!I258</f>
        <v>0</v>
      </c>
      <c r="S1027" s="193">
        <f>'Buildings - Heat &amp; Fuels'!J258</f>
        <v>0</v>
      </c>
      <c r="T1027" s="193" t="str">
        <f>'Buildings - Heat &amp; Fuels'!K258</f>
        <v/>
      </c>
      <c r="U1027" s="193" t="str">
        <f>'Buildings - Heat &amp; Fuels'!L258</f>
        <v/>
      </c>
      <c r="V1027" s="193" t="str">
        <f>'Buildings - Heat &amp; Fuels'!M258</f>
        <v/>
      </c>
      <c r="W1027" s="193" t="str">
        <f>'Buildings - Heat &amp; Fuels'!N258</f>
        <v/>
      </c>
      <c r="X1027" s="193">
        <f>'Buildings - Heat &amp; Fuels'!O258</f>
        <v>0</v>
      </c>
      <c r="Y1027" s="193">
        <f>'Buildings - Heat &amp; Fuels'!P258</f>
        <v>0</v>
      </c>
      <c r="Z1027" s="193" t="str">
        <f>'Buildings - Heat &amp; Fuels'!Q258</f>
        <v/>
      </c>
      <c r="AA1027" s="193" t="str">
        <f>'Buildings - Heat &amp; Fuels'!R258</f>
        <v/>
      </c>
      <c r="AB1027" s="193" t="str">
        <f>'Buildings - Heat &amp; Fuels'!S258</f>
        <v/>
      </c>
      <c r="AC1027" s="193" t="str">
        <f>'Buildings - Heat &amp; Fuels'!T258</f>
        <v/>
      </c>
      <c r="AD1027" s="193" t="str">
        <f>'Buildings - Heat &amp; Fuels'!U258</f>
        <v/>
      </c>
      <c r="AE1027" s="193" t="str">
        <f>'Buildings - Heat &amp; Fuels'!V258</f>
        <v/>
      </c>
      <c r="AF1027" s="193" t="str">
        <f>'Buildings - Heat &amp; Fuels'!W258</f>
        <v/>
      </c>
      <c r="AG1027" s="193" t="str">
        <f>'Buildings - Heat &amp; Fuels'!X258</f>
        <v/>
      </c>
      <c r="AI1027" s="193">
        <f t="shared" si="18"/>
        <v>0</v>
      </c>
      <c r="AJ1027" s="193">
        <f t="shared" si="19"/>
        <v>0</v>
      </c>
    </row>
    <row r="1028" spans="2:36" x14ac:dyDescent="0.35">
      <c r="B1028" s="193" t="e">
        <f>"2024"&amp;MATCH(Totals!D1028,OrgType,0)&amp;"_"&amp;MATCH(Totals!E1028,Organisations,0)&amp;"_"&amp;LEFT(Totals!F1028,1)&amp;"_"&amp;LEFT(G1028,1)&amp;"_"&amp;COUNTIF($G$3:G1028,G1028)</f>
        <v>#N/A</v>
      </c>
      <c r="C1028" s="193">
        <v>2025</v>
      </c>
      <c r="D1028" s="193">
        <f>Introduction!$D$7</f>
        <v>0</v>
      </c>
      <c r="E1028" s="193">
        <f>Introduction!$D$8</f>
        <v>0</v>
      </c>
      <c r="F1028" s="193" t="s">
        <v>488</v>
      </c>
      <c r="G1028" s="193" t="s">
        <v>490</v>
      </c>
      <c r="H1028" s="193">
        <f>'Buildings - Heat &amp; Fuels'!B259</f>
        <v>0</v>
      </c>
      <c r="I1028" s="193">
        <f>'Buildings - Heat &amp; Fuels'!C259</f>
        <v>0</v>
      </c>
      <c r="J1028" s="193" t="str">
        <f>'Buildings - Heat &amp; Fuels'!D259</f>
        <v/>
      </c>
      <c r="K1028" s="237"/>
      <c r="L1028" s="237"/>
      <c r="M1028" s="193">
        <f>'Buildings - Heat &amp; Fuels'!E259</f>
        <v>0</v>
      </c>
      <c r="N1028" s="193">
        <f>'Buildings - Heat &amp; Fuels'!F259</f>
        <v>0</v>
      </c>
      <c r="O1028" s="237"/>
      <c r="P1028" s="193">
        <f>'Buildings - Heat &amp; Fuels'!G259</f>
        <v>0</v>
      </c>
      <c r="Q1028" s="193" t="str">
        <f>'Buildings - Heat &amp; Fuels'!H259</f>
        <v/>
      </c>
      <c r="R1028" s="193">
        <f>'Buildings - Heat &amp; Fuels'!I259</f>
        <v>0</v>
      </c>
      <c r="S1028" s="193">
        <f>'Buildings - Heat &amp; Fuels'!J259</f>
        <v>0</v>
      </c>
      <c r="T1028" s="193" t="str">
        <f>'Buildings - Heat &amp; Fuels'!K259</f>
        <v/>
      </c>
      <c r="U1028" s="193" t="str">
        <f>'Buildings - Heat &amp; Fuels'!L259</f>
        <v/>
      </c>
      <c r="V1028" s="193" t="str">
        <f>'Buildings - Heat &amp; Fuels'!M259</f>
        <v/>
      </c>
      <c r="W1028" s="193" t="str">
        <f>'Buildings - Heat &amp; Fuels'!N259</f>
        <v/>
      </c>
      <c r="X1028" s="193">
        <f>'Buildings - Heat &amp; Fuels'!O259</f>
        <v>0</v>
      </c>
      <c r="Y1028" s="193">
        <f>'Buildings - Heat &amp; Fuels'!P259</f>
        <v>0</v>
      </c>
      <c r="Z1028" s="193" t="str">
        <f>'Buildings - Heat &amp; Fuels'!Q259</f>
        <v/>
      </c>
      <c r="AA1028" s="193" t="str">
        <f>'Buildings - Heat &amp; Fuels'!R259</f>
        <v/>
      </c>
      <c r="AB1028" s="193" t="str">
        <f>'Buildings - Heat &amp; Fuels'!S259</f>
        <v/>
      </c>
      <c r="AC1028" s="193" t="str">
        <f>'Buildings - Heat &amp; Fuels'!T259</f>
        <v/>
      </c>
      <c r="AD1028" s="193" t="str">
        <f>'Buildings - Heat &amp; Fuels'!U259</f>
        <v/>
      </c>
      <c r="AE1028" s="193" t="str">
        <f>'Buildings - Heat &amp; Fuels'!V259</f>
        <v/>
      </c>
      <c r="AF1028" s="193" t="str">
        <f>'Buildings - Heat &amp; Fuels'!W259</f>
        <v/>
      </c>
      <c r="AG1028" s="193" t="str">
        <f>'Buildings - Heat &amp; Fuels'!X259</f>
        <v/>
      </c>
      <c r="AI1028" s="193">
        <f t="shared" si="18"/>
        <v>0</v>
      </c>
      <c r="AJ1028" s="193">
        <f t="shared" si="19"/>
        <v>0</v>
      </c>
    </row>
    <row r="1029" spans="2:36" x14ac:dyDescent="0.35">
      <c r="B1029" s="193" t="e">
        <f>"2024"&amp;MATCH(Totals!D1029,OrgType,0)&amp;"_"&amp;MATCH(Totals!E1029,Organisations,0)&amp;"_"&amp;LEFT(Totals!F1029,1)&amp;"_"&amp;LEFT(G1029,1)&amp;"_"&amp;COUNTIF($G$3:G1029,G1029)</f>
        <v>#N/A</v>
      </c>
      <c r="C1029" s="193">
        <v>2025</v>
      </c>
      <c r="D1029" s="193">
        <f>Introduction!$D$7</f>
        <v>0</v>
      </c>
      <c r="E1029" s="193">
        <f>Introduction!$D$8</f>
        <v>0</v>
      </c>
      <c r="F1029" s="193" t="s">
        <v>488</v>
      </c>
      <c r="G1029" s="193" t="s">
        <v>490</v>
      </c>
      <c r="H1029" s="193">
        <f>'Buildings - Heat &amp; Fuels'!B260</f>
        <v>0</v>
      </c>
      <c r="I1029" s="193">
        <f>'Buildings - Heat &amp; Fuels'!C260</f>
        <v>0</v>
      </c>
      <c r="J1029" s="193" t="str">
        <f>'Buildings - Heat &amp; Fuels'!D260</f>
        <v/>
      </c>
      <c r="K1029" s="237"/>
      <c r="L1029" s="237"/>
      <c r="M1029" s="193">
        <f>'Buildings - Heat &amp; Fuels'!E260</f>
        <v>0</v>
      </c>
      <c r="N1029" s="193">
        <f>'Buildings - Heat &amp; Fuels'!F260</f>
        <v>0</v>
      </c>
      <c r="O1029" s="237"/>
      <c r="P1029" s="193">
        <f>'Buildings - Heat &amp; Fuels'!G260</f>
        <v>0</v>
      </c>
      <c r="Q1029" s="193" t="str">
        <f>'Buildings - Heat &amp; Fuels'!H260</f>
        <v/>
      </c>
      <c r="R1029" s="193">
        <f>'Buildings - Heat &amp; Fuels'!I260</f>
        <v>0</v>
      </c>
      <c r="S1029" s="193">
        <f>'Buildings - Heat &amp; Fuels'!J260</f>
        <v>0</v>
      </c>
      <c r="T1029" s="193" t="str">
        <f>'Buildings - Heat &amp; Fuels'!K260</f>
        <v/>
      </c>
      <c r="U1029" s="193" t="str">
        <f>'Buildings - Heat &amp; Fuels'!L260</f>
        <v/>
      </c>
      <c r="V1029" s="193" t="str">
        <f>'Buildings - Heat &amp; Fuels'!M260</f>
        <v/>
      </c>
      <c r="W1029" s="193" t="str">
        <f>'Buildings - Heat &amp; Fuels'!N260</f>
        <v/>
      </c>
      <c r="X1029" s="193">
        <f>'Buildings - Heat &amp; Fuels'!O260</f>
        <v>0</v>
      </c>
      <c r="Y1029" s="193">
        <f>'Buildings - Heat &amp; Fuels'!P260</f>
        <v>0</v>
      </c>
      <c r="Z1029" s="193" t="str">
        <f>'Buildings - Heat &amp; Fuels'!Q260</f>
        <v/>
      </c>
      <c r="AA1029" s="193" t="str">
        <f>'Buildings - Heat &amp; Fuels'!R260</f>
        <v/>
      </c>
      <c r="AB1029" s="193" t="str">
        <f>'Buildings - Heat &amp; Fuels'!S260</f>
        <v/>
      </c>
      <c r="AC1029" s="193" t="str">
        <f>'Buildings - Heat &amp; Fuels'!T260</f>
        <v/>
      </c>
      <c r="AD1029" s="193" t="str">
        <f>'Buildings - Heat &amp; Fuels'!U260</f>
        <v/>
      </c>
      <c r="AE1029" s="193" t="str">
        <f>'Buildings - Heat &amp; Fuels'!V260</f>
        <v/>
      </c>
      <c r="AF1029" s="193" t="str">
        <f>'Buildings - Heat &amp; Fuels'!W260</f>
        <v/>
      </c>
      <c r="AG1029" s="193" t="str">
        <f>'Buildings - Heat &amp; Fuels'!X260</f>
        <v/>
      </c>
      <c r="AI1029" s="193">
        <f t="shared" si="18"/>
        <v>0</v>
      </c>
      <c r="AJ1029" s="193">
        <f t="shared" si="19"/>
        <v>0</v>
      </c>
    </row>
    <row r="1030" spans="2:36" x14ac:dyDescent="0.35">
      <c r="B1030" s="193" t="e">
        <f>"2024"&amp;MATCH(Totals!D1030,OrgType,0)&amp;"_"&amp;MATCH(Totals!E1030,Organisations,0)&amp;"_"&amp;LEFT(Totals!F1030,1)&amp;"_"&amp;LEFT(G1030,1)&amp;"_"&amp;COUNTIF($G$3:G1030,G1030)</f>
        <v>#N/A</v>
      </c>
      <c r="C1030" s="193">
        <v>2025</v>
      </c>
      <c r="D1030" s="193">
        <f>Introduction!$D$7</f>
        <v>0</v>
      </c>
      <c r="E1030" s="193">
        <f>Introduction!$D$8</f>
        <v>0</v>
      </c>
      <c r="F1030" s="193" t="s">
        <v>488</v>
      </c>
      <c r="G1030" s="193" t="s">
        <v>490</v>
      </c>
      <c r="H1030" s="193">
        <f>'Buildings - Heat &amp; Fuels'!B261</f>
        <v>0</v>
      </c>
      <c r="I1030" s="193">
        <f>'Buildings - Heat &amp; Fuels'!C261</f>
        <v>0</v>
      </c>
      <c r="J1030" s="193" t="str">
        <f>'Buildings - Heat &amp; Fuels'!D261</f>
        <v/>
      </c>
      <c r="K1030" s="237"/>
      <c r="L1030" s="237"/>
      <c r="M1030" s="193">
        <f>'Buildings - Heat &amp; Fuels'!E261</f>
        <v>0</v>
      </c>
      <c r="N1030" s="193">
        <f>'Buildings - Heat &amp; Fuels'!F261</f>
        <v>0</v>
      </c>
      <c r="O1030" s="237"/>
      <c r="P1030" s="193">
        <f>'Buildings - Heat &amp; Fuels'!G261</f>
        <v>0</v>
      </c>
      <c r="Q1030" s="193" t="str">
        <f>'Buildings - Heat &amp; Fuels'!H261</f>
        <v/>
      </c>
      <c r="R1030" s="193">
        <f>'Buildings - Heat &amp; Fuels'!I261</f>
        <v>0</v>
      </c>
      <c r="S1030" s="193">
        <f>'Buildings - Heat &amp; Fuels'!J261</f>
        <v>0</v>
      </c>
      <c r="T1030" s="193" t="str">
        <f>'Buildings - Heat &amp; Fuels'!K261</f>
        <v/>
      </c>
      <c r="U1030" s="193" t="str">
        <f>'Buildings - Heat &amp; Fuels'!L261</f>
        <v/>
      </c>
      <c r="V1030" s="193" t="str">
        <f>'Buildings - Heat &amp; Fuels'!M261</f>
        <v/>
      </c>
      <c r="W1030" s="193" t="str">
        <f>'Buildings - Heat &amp; Fuels'!N261</f>
        <v/>
      </c>
      <c r="X1030" s="193">
        <f>'Buildings - Heat &amp; Fuels'!O261</f>
        <v>0</v>
      </c>
      <c r="Y1030" s="193">
        <f>'Buildings - Heat &amp; Fuels'!P261</f>
        <v>0</v>
      </c>
      <c r="Z1030" s="193" t="str">
        <f>'Buildings - Heat &amp; Fuels'!Q261</f>
        <v/>
      </c>
      <c r="AA1030" s="193" t="str">
        <f>'Buildings - Heat &amp; Fuels'!R261</f>
        <v/>
      </c>
      <c r="AB1030" s="193" t="str">
        <f>'Buildings - Heat &amp; Fuels'!S261</f>
        <v/>
      </c>
      <c r="AC1030" s="193" t="str">
        <f>'Buildings - Heat &amp; Fuels'!T261</f>
        <v/>
      </c>
      <c r="AD1030" s="193" t="str">
        <f>'Buildings - Heat &amp; Fuels'!U261</f>
        <v/>
      </c>
      <c r="AE1030" s="193" t="str">
        <f>'Buildings - Heat &amp; Fuels'!V261</f>
        <v/>
      </c>
      <c r="AF1030" s="193" t="str">
        <f>'Buildings - Heat &amp; Fuels'!W261</f>
        <v/>
      </c>
      <c r="AG1030" s="193" t="str">
        <f>'Buildings - Heat &amp; Fuels'!X261</f>
        <v/>
      </c>
      <c r="AI1030" s="193">
        <f t="shared" si="18"/>
        <v>0</v>
      </c>
      <c r="AJ1030" s="193">
        <f t="shared" si="19"/>
        <v>0</v>
      </c>
    </row>
    <row r="1031" spans="2:36" x14ac:dyDescent="0.35">
      <c r="B1031" s="193" t="e">
        <f>"2024"&amp;MATCH(Totals!D1031,OrgType,0)&amp;"_"&amp;MATCH(Totals!E1031,Organisations,0)&amp;"_"&amp;LEFT(Totals!F1031,1)&amp;"_"&amp;LEFT(G1031,1)&amp;"_"&amp;COUNTIF($G$3:G1031,G1031)</f>
        <v>#N/A</v>
      </c>
      <c r="C1031" s="193">
        <v>2025</v>
      </c>
      <c r="D1031" s="193">
        <f>Introduction!$D$7</f>
        <v>0</v>
      </c>
      <c r="E1031" s="193">
        <f>Introduction!$D$8</f>
        <v>0</v>
      </c>
      <c r="F1031" s="193" t="s">
        <v>488</v>
      </c>
      <c r="G1031" s="193" t="s">
        <v>490</v>
      </c>
      <c r="H1031" s="193">
        <f>'Buildings - Heat &amp; Fuels'!B262</f>
        <v>0</v>
      </c>
      <c r="I1031" s="193">
        <f>'Buildings - Heat &amp; Fuels'!C262</f>
        <v>0</v>
      </c>
      <c r="J1031" s="193" t="str">
        <f>'Buildings - Heat &amp; Fuels'!D262</f>
        <v/>
      </c>
      <c r="K1031" s="237"/>
      <c r="L1031" s="237"/>
      <c r="M1031" s="193">
        <f>'Buildings - Heat &amp; Fuels'!E262</f>
        <v>0</v>
      </c>
      <c r="N1031" s="193">
        <f>'Buildings - Heat &amp; Fuels'!F262</f>
        <v>0</v>
      </c>
      <c r="O1031" s="237"/>
      <c r="P1031" s="193">
        <f>'Buildings - Heat &amp; Fuels'!G262</f>
        <v>0</v>
      </c>
      <c r="Q1031" s="193" t="str">
        <f>'Buildings - Heat &amp; Fuels'!H262</f>
        <v/>
      </c>
      <c r="R1031" s="193">
        <f>'Buildings - Heat &amp; Fuels'!I262</f>
        <v>0</v>
      </c>
      <c r="S1031" s="193">
        <f>'Buildings - Heat &amp; Fuels'!J262</f>
        <v>0</v>
      </c>
      <c r="T1031" s="193" t="str">
        <f>'Buildings - Heat &amp; Fuels'!K262</f>
        <v/>
      </c>
      <c r="U1031" s="193" t="str">
        <f>'Buildings - Heat &amp; Fuels'!L262</f>
        <v/>
      </c>
      <c r="V1031" s="193" t="str">
        <f>'Buildings - Heat &amp; Fuels'!M262</f>
        <v/>
      </c>
      <c r="W1031" s="193" t="str">
        <f>'Buildings - Heat &amp; Fuels'!N262</f>
        <v/>
      </c>
      <c r="X1031" s="193">
        <f>'Buildings - Heat &amp; Fuels'!O262</f>
        <v>0</v>
      </c>
      <c r="Y1031" s="193">
        <f>'Buildings - Heat &amp; Fuels'!P262</f>
        <v>0</v>
      </c>
      <c r="Z1031" s="193" t="str">
        <f>'Buildings - Heat &amp; Fuels'!Q262</f>
        <v/>
      </c>
      <c r="AA1031" s="193" t="str">
        <f>'Buildings - Heat &amp; Fuels'!R262</f>
        <v/>
      </c>
      <c r="AB1031" s="193" t="str">
        <f>'Buildings - Heat &amp; Fuels'!S262</f>
        <v/>
      </c>
      <c r="AC1031" s="193" t="str">
        <f>'Buildings - Heat &amp; Fuels'!T262</f>
        <v/>
      </c>
      <c r="AD1031" s="193" t="str">
        <f>'Buildings - Heat &amp; Fuels'!U262</f>
        <v/>
      </c>
      <c r="AE1031" s="193" t="str">
        <f>'Buildings - Heat &amp; Fuels'!V262</f>
        <v/>
      </c>
      <c r="AF1031" s="193" t="str">
        <f>'Buildings - Heat &amp; Fuels'!W262</f>
        <v/>
      </c>
      <c r="AG1031" s="193" t="str">
        <f>'Buildings - Heat &amp; Fuels'!X262</f>
        <v/>
      </c>
      <c r="AI1031" s="193">
        <f t="shared" si="18"/>
        <v>0</v>
      </c>
      <c r="AJ1031" s="193">
        <f t="shared" si="19"/>
        <v>0</v>
      </c>
    </row>
    <row r="1032" spans="2:36" x14ac:dyDescent="0.35">
      <c r="B1032" s="193" t="e">
        <f>"2024"&amp;MATCH(Totals!D1032,OrgType,0)&amp;"_"&amp;MATCH(Totals!E1032,Organisations,0)&amp;"_"&amp;LEFT(Totals!F1032,1)&amp;"_"&amp;LEFT(G1032,1)&amp;"_"&amp;COUNTIF($G$3:G1032,G1032)</f>
        <v>#N/A</v>
      </c>
      <c r="C1032" s="193">
        <v>2025</v>
      </c>
      <c r="D1032" s="193">
        <f>Introduction!$D$7</f>
        <v>0</v>
      </c>
      <c r="E1032" s="193">
        <f>Introduction!$D$8</f>
        <v>0</v>
      </c>
      <c r="F1032" s="193" t="s">
        <v>488</v>
      </c>
      <c r="G1032" s="193" t="s">
        <v>490</v>
      </c>
      <c r="H1032" s="193">
        <f>'Buildings - Heat &amp; Fuels'!B263</f>
        <v>0</v>
      </c>
      <c r="I1032" s="193">
        <f>'Buildings - Heat &amp; Fuels'!C263</f>
        <v>0</v>
      </c>
      <c r="J1032" s="193" t="str">
        <f>'Buildings - Heat &amp; Fuels'!D263</f>
        <v/>
      </c>
      <c r="K1032" s="237"/>
      <c r="L1032" s="237"/>
      <c r="M1032" s="193">
        <f>'Buildings - Heat &amp; Fuels'!E263</f>
        <v>0</v>
      </c>
      <c r="N1032" s="193">
        <f>'Buildings - Heat &amp; Fuels'!F263</f>
        <v>0</v>
      </c>
      <c r="O1032" s="237"/>
      <c r="P1032" s="193">
        <f>'Buildings - Heat &amp; Fuels'!G263</f>
        <v>0</v>
      </c>
      <c r="Q1032" s="193" t="str">
        <f>'Buildings - Heat &amp; Fuels'!H263</f>
        <v/>
      </c>
      <c r="R1032" s="193">
        <f>'Buildings - Heat &amp; Fuels'!I263</f>
        <v>0</v>
      </c>
      <c r="S1032" s="193">
        <f>'Buildings - Heat &amp; Fuels'!J263</f>
        <v>0</v>
      </c>
      <c r="T1032" s="193" t="str">
        <f>'Buildings - Heat &amp; Fuels'!K263</f>
        <v/>
      </c>
      <c r="U1032" s="193" t="str">
        <f>'Buildings - Heat &amp; Fuels'!L263</f>
        <v/>
      </c>
      <c r="V1032" s="193" t="str">
        <f>'Buildings - Heat &amp; Fuels'!M263</f>
        <v/>
      </c>
      <c r="W1032" s="193" t="str">
        <f>'Buildings - Heat &amp; Fuels'!N263</f>
        <v/>
      </c>
      <c r="X1032" s="193">
        <f>'Buildings - Heat &amp; Fuels'!O263</f>
        <v>0</v>
      </c>
      <c r="Y1032" s="193">
        <f>'Buildings - Heat &amp; Fuels'!P263</f>
        <v>0</v>
      </c>
      <c r="Z1032" s="193" t="str">
        <f>'Buildings - Heat &amp; Fuels'!Q263</f>
        <v/>
      </c>
      <c r="AA1032" s="193" t="str">
        <f>'Buildings - Heat &amp; Fuels'!R263</f>
        <v/>
      </c>
      <c r="AB1032" s="193" t="str">
        <f>'Buildings - Heat &amp; Fuels'!S263</f>
        <v/>
      </c>
      <c r="AC1032" s="193" t="str">
        <f>'Buildings - Heat &amp; Fuels'!T263</f>
        <v/>
      </c>
      <c r="AD1032" s="193" t="str">
        <f>'Buildings - Heat &amp; Fuels'!U263</f>
        <v/>
      </c>
      <c r="AE1032" s="193" t="str">
        <f>'Buildings - Heat &amp; Fuels'!V263</f>
        <v/>
      </c>
      <c r="AF1032" s="193" t="str">
        <f>'Buildings - Heat &amp; Fuels'!W263</f>
        <v/>
      </c>
      <c r="AG1032" s="193" t="str">
        <f>'Buildings - Heat &amp; Fuels'!X263</f>
        <v/>
      </c>
      <c r="AI1032" s="193">
        <f t="shared" si="18"/>
        <v>0</v>
      </c>
      <c r="AJ1032" s="193">
        <f t="shared" si="19"/>
        <v>0</v>
      </c>
    </row>
    <row r="1033" spans="2:36" x14ac:dyDescent="0.35">
      <c r="B1033" s="193" t="e">
        <f>"2024"&amp;MATCH(Totals!D1033,OrgType,0)&amp;"_"&amp;MATCH(Totals!E1033,Organisations,0)&amp;"_"&amp;LEFT(Totals!F1033,1)&amp;"_"&amp;LEFT(G1033,1)&amp;"_"&amp;COUNTIF($G$3:G1033,G1033)</f>
        <v>#N/A</v>
      </c>
      <c r="C1033" s="193">
        <v>2025</v>
      </c>
      <c r="D1033" s="193">
        <f>Introduction!$D$7</f>
        <v>0</v>
      </c>
      <c r="E1033" s="193">
        <f>Introduction!$D$8</f>
        <v>0</v>
      </c>
      <c r="F1033" s="193" t="s">
        <v>488</v>
      </c>
      <c r="G1033" s="193" t="s">
        <v>490</v>
      </c>
      <c r="H1033" s="193">
        <f>'Buildings - Heat &amp; Fuels'!B264</f>
        <v>0</v>
      </c>
      <c r="I1033" s="193">
        <f>'Buildings - Heat &amp; Fuels'!C264</f>
        <v>0</v>
      </c>
      <c r="J1033" s="193" t="str">
        <f>'Buildings - Heat &amp; Fuels'!D264</f>
        <v/>
      </c>
      <c r="K1033" s="237"/>
      <c r="L1033" s="237"/>
      <c r="M1033" s="193">
        <f>'Buildings - Heat &amp; Fuels'!E264</f>
        <v>0</v>
      </c>
      <c r="N1033" s="193">
        <f>'Buildings - Heat &amp; Fuels'!F264</f>
        <v>0</v>
      </c>
      <c r="O1033" s="237"/>
      <c r="P1033" s="193">
        <f>'Buildings - Heat &amp; Fuels'!G264</f>
        <v>0</v>
      </c>
      <c r="Q1033" s="193" t="str">
        <f>'Buildings - Heat &amp; Fuels'!H264</f>
        <v/>
      </c>
      <c r="R1033" s="193">
        <f>'Buildings - Heat &amp; Fuels'!I264</f>
        <v>0</v>
      </c>
      <c r="S1033" s="193">
        <f>'Buildings - Heat &amp; Fuels'!J264</f>
        <v>0</v>
      </c>
      <c r="T1033" s="193" t="str">
        <f>'Buildings - Heat &amp; Fuels'!K264</f>
        <v/>
      </c>
      <c r="U1033" s="193" t="str">
        <f>'Buildings - Heat &amp; Fuels'!L264</f>
        <v/>
      </c>
      <c r="V1033" s="193" t="str">
        <f>'Buildings - Heat &amp; Fuels'!M264</f>
        <v/>
      </c>
      <c r="W1033" s="193" t="str">
        <f>'Buildings - Heat &amp; Fuels'!N264</f>
        <v/>
      </c>
      <c r="X1033" s="193">
        <f>'Buildings - Heat &amp; Fuels'!O264</f>
        <v>0</v>
      </c>
      <c r="Y1033" s="193">
        <f>'Buildings - Heat &amp; Fuels'!P264</f>
        <v>0</v>
      </c>
      <c r="Z1033" s="193" t="str">
        <f>'Buildings - Heat &amp; Fuels'!Q264</f>
        <v/>
      </c>
      <c r="AA1033" s="193" t="str">
        <f>'Buildings - Heat &amp; Fuels'!R264</f>
        <v/>
      </c>
      <c r="AB1033" s="193" t="str">
        <f>'Buildings - Heat &amp; Fuels'!S264</f>
        <v/>
      </c>
      <c r="AC1033" s="193" t="str">
        <f>'Buildings - Heat &amp; Fuels'!T264</f>
        <v/>
      </c>
      <c r="AD1033" s="193" t="str">
        <f>'Buildings - Heat &amp; Fuels'!U264</f>
        <v/>
      </c>
      <c r="AE1033" s="193" t="str">
        <f>'Buildings - Heat &amp; Fuels'!V264</f>
        <v/>
      </c>
      <c r="AF1033" s="193" t="str">
        <f>'Buildings - Heat &amp; Fuels'!W264</f>
        <v/>
      </c>
      <c r="AG1033" s="193" t="str">
        <f>'Buildings - Heat &amp; Fuels'!X264</f>
        <v/>
      </c>
      <c r="AI1033" s="193">
        <f t="shared" si="18"/>
        <v>0</v>
      </c>
      <c r="AJ1033" s="193">
        <f t="shared" si="19"/>
        <v>0</v>
      </c>
    </row>
    <row r="1034" spans="2:36" x14ac:dyDescent="0.35">
      <c r="B1034" s="193" t="e">
        <f>"2024"&amp;MATCH(Totals!D1034,OrgType,0)&amp;"_"&amp;MATCH(Totals!E1034,Organisations,0)&amp;"_"&amp;LEFT(Totals!F1034,1)&amp;"_"&amp;LEFT(G1034,1)&amp;"_"&amp;COUNTIF($G$3:G1034,G1034)</f>
        <v>#N/A</v>
      </c>
      <c r="C1034" s="193">
        <v>2025</v>
      </c>
      <c r="D1034" s="193">
        <f>Introduction!$D$7</f>
        <v>0</v>
      </c>
      <c r="E1034" s="193">
        <f>Introduction!$D$8</f>
        <v>0</v>
      </c>
      <c r="F1034" s="193" t="s">
        <v>488</v>
      </c>
      <c r="G1034" s="193" t="s">
        <v>490</v>
      </c>
      <c r="H1034" s="193">
        <f>'Buildings - Heat &amp; Fuels'!B265</f>
        <v>0</v>
      </c>
      <c r="I1034" s="193">
        <f>'Buildings - Heat &amp; Fuels'!C265</f>
        <v>0</v>
      </c>
      <c r="J1034" s="193" t="str">
        <f>'Buildings - Heat &amp; Fuels'!D265</f>
        <v/>
      </c>
      <c r="K1034" s="237"/>
      <c r="L1034" s="237"/>
      <c r="M1034" s="193">
        <f>'Buildings - Heat &amp; Fuels'!E265</f>
        <v>0</v>
      </c>
      <c r="N1034" s="193">
        <f>'Buildings - Heat &amp; Fuels'!F265</f>
        <v>0</v>
      </c>
      <c r="O1034" s="237"/>
      <c r="P1034" s="193">
        <f>'Buildings - Heat &amp; Fuels'!G265</f>
        <v>0</v>
      </c>
      <c r="Q1034" s="193" t="str">
        <f>'Buildings - Heat &amp; Fuels'!H265</f>
        <v/>
      </c>
      <c r="R1034" s="193">
        <f>'Buildings - Heat &amp; Fuels'!I265</f>
        <v>0</v>
      </c>
      <c r="S1034" s="193">
        <f>'Buildings - Heat &amp; Fuels'!J265</f>
        <v>0</v>
      </c>
      <c r="T1034" s="193" t="str">
        <f>'Buildings - Heat &amp; Fuels'!K265</f>
        <v/>
      </c>
      <c r="U1034" s="193" t="str">
        <f>'Buildings - Heat &amp; Fuels'!L265</f>
        <v/>
      </c>
      <c r="V1034" s="193" t="str">
        <f>'Buildings - Heat &amp; Fuels'!M265</f>
        <v/>
      </c>
      <c r="W1034" s="193" t="str">
        <f>'Buildings - Heat &amp; Fuels'!N265</f>
        <v/>
      </c>
      <c r="X1034" s="193">
        <f>'Buildings - Heat &amp; Fuels'!O265</f>
        <v>0</v>
      </c>
      <c r="Y1034" s="193">
        <f>'Buildings - Heat &amp; Fuels'!P265</f>
        <v>0</v>
      </c>
      <c r="Z1034" s="193" t="str">
        <f>'Buildings - Heat &amp; Fuels'!Q265</f>
        <v/>
      </c>
      <c r="AA1034" s="193" t="str">
        <f>'Buildings - Heat &amp; Fuels'!R265</f>
        <v/>
      </c>
      <c r="AB1034" s="193" t="str">
        <f>'Buildings - Heat &amp; Fuels'!S265</f>
        <v/>
      </c>
      <c r="AC1034" s="193" t="str">
        <f>'Buildings - Heat &amp; Fuels'!T265</f>
        <v/>
      </c>
      <c r="AD1034" s="193" t="str">
        <f>'Buildings - Heat &amp; Fuels'!U265</f>
        <v/>
      </c>
      <c r="AE1034" s="193" t="str">
        <f>'Buildings - Heat &amp; Fuels'!V265</f>
        <v/>
      </c>
      <c r="AF1034" s="193" t="str">
        <f>'Buildings - Heat &amp; Fuels'!W265</f>
        <v/>
      </c>
      <c r="AG1034" s="193" t="str">
        <f>'Buildings - Heat &amp; Fuels'!X265</f>
        <v/>
      </c>
      <c r="AI1034" s="193">
        <f t="shared" si="18"/>
        <v>0</v>
      </c>
      <c r="AJ1034" s="193">
        <f t="shared" si="19"/>
        <v>0</v>
      </c>
    </row>
    <row r="1035" spans="2:36" x14ac:dyDescent="0.35">
      <c r="B1035" s="193" t="e">
        <f>"2024"&amp;MATCH(Totals!D1035,OrgType,0)&amp;"_"&amp;MATCH(Totals!E1035,Organisations,0)&amp;"_"&amp;LEFT(Totals!F1035,1)&amp;"_"&amp;LEFT(G1035,1)&amp;"_"&amp;COUNTIF($G$3:G1035,G1035)</f>
        <v>#N/A</v>
      </c>
      <c r="C1035" s="193">
        <v>2025</v>
      </c>
      <c r="D1035" s="193">
        <f>Introduction!$D$7</f>
        <v>0</v>
      </c>
      <c r="E1035" s="193">
        <f>Introduction!$D$8</f>
        <v>0</v>
      </c>
      <c r="F1035" s="193" t="s">
        <v>488</v>
      </c>
      <c r="G1035" s="193" t="s">
        <v>490</v>
      </c>
      <c r="H1035" s="193">
        <f>'Buildings - Heat &amp; Fuels'!B266</f>
        <v>0</v>
      </c>
      <c r="I1035" s="193">
        <f>'Buildings - Heat &amp; Fuels'!C266</f>
        <v>0</v>
      </c>
      <c r="J1035" s="193" t="str">
        <f>'Buildings - Heat &amp; Fuels'!D266</f>
        <v/>
      </c>
      <c r="K1035" s="237"/>
      <c r="L1035" s="237"/>
      <c r="M1035" s="193">
        <f>'Buildings - Heat &amp; Fuels'!E266</f>
        <v>0</v>
      </c>
      <c r="N1035" s="193">
        <f>'Buildings - Heat &amp; Fuels'!F266</f>
        <v>0</v>
      </c>
      <c r="O1035" s="237"/>
      <c r="P1035" s="193">
        <f>'Buildings - Heat &amp; Fuels'!G266</f>
        <v>0</v>
      </c>
      <c r="Q1035" s="193" t="str">
        <f>'Buildings - Heat &amp; Fuels'!H266</f>
        <v/>
      </c>
      <c r="R1035" s="193">
        <f>'Buildings - Heat &amp; Fuels'!I266</f>
        <v>0</v>
      </c>
      <c r="S1035" s="193">
        <f>'Buildings - Heat &amp; Fuels'!J266</f>
        <v>0</v>
      </c>
      <c r="T1035" s="193" t="str">
        <f>'Buildings - Heat &amp; Fuels'!K266</f>
        <v/>
      </c>
      <c r="U1035" s="193" t="str">
        <f>'Buildings - Heat &amp; Fuels'!L266</f>
        <v/>
      </c>
      <c r="V1035" s="193" t="str">
        <f>'Buildings - Heat &amp; Fuels'!M266</f>
        <v/>
      </c>
      <c r="W1035" s="193" t="str">
        <f>'Buildings - Heat &amp; Fuels'!N266</f>
        <v/>
      </c>
      <c r="X1035" s="193">
        <f>'Buildings - Heat &amp; Fuels'!O266</f>
        <v>0</v>
      </c>
      <c r="Y1035" s="193">
        <f>'Buildings - Heat &amp; Fuels'!P266</f>
        <v>0</v>
      </c>
      <c r="Z1035" s="193" t="str">
        <f>'Buildings - Heat &amp; Fuels'!Q266</f>
        <v/>
      </c>
      <c r="AA1035" s="193" t="str">
        <f>'Buildings - Heat &amp; Fuels'!R266</f>
        <v/>
      </c>
      <c r="AB1035" s="193" t="str">
        <f>'Buildings - Heat &amp; Fuels'!S266</f>
        <v/>
      </c>
      <c r="AC1035" s="193" t="str">
        <f>'Buildings - Heat &amp; Fuels'!T266</f>
        <v/>
      </c>
      <c r="AD1035" s="193" t="str">
        <f>'Buildings - Heat &amp; Fuels'!U266</f>
        <v/>
      </c>
      <c r="AE1035" s="193" t="str">
        <f>'Buildings - Heat &amp; Fuels'!V266</f>
        <v/>
      </c>
      <c r="AF1035" s="193" t="str">
        <f>'Buildings - Heat &amp; Fuels'!W266</f>
        <v/>
      </c>
      <c r="AG1035" s="193" t="str">
        <f>'Buildings - Heat &amp; Fuels'!X266</f>
        <v/>
      </c>
      <c r="AI1035" s="193">
        <f t="shared" si="18"/>
        <v>0</v>
      </c>
      <c r="AJ1035" s="193">
        <f t="shared" si="19"/>
        <v>0</v>
      </c>
    </row>
    <row r="1036" spans="2:36" x14ac:dyDescent="0.35">
      <c r="B1036" s="193" t="e">
        <f>"2024"&amp;MATCH(Totals!D1036,OrgType,0)&amp;"_"&amp;MATCH(Totals!E1036,Organisations,0)&amp;"_"&amp;LEFT(Totals!F1036,1)&amp;"_"&amp;LEFT(G1036,1)&amp;"_"&amp;COUNTIF($G$3:G1036,G1036)</f>
        <v>#N/A</v>
      </c>
      <c r="C1036" s="193">
        <v>2025</v>
      </c>
      <c r="D1036" s="193">
        <f>Introduction!$D$7</f>
        <v>0</v>
      </c>
      <c r="E1036" s="193">
        <f>Introduction!$D$8</f>
        <v>0</v>
      </c>
      <c r="F1036" s="193" t="s">
        <v>488</v>
      </c>
      <c r="G1036" s="193" t="s">
        <v>490</v>
      </c>
      <c r="H1036" s="193">
        <f>'Buildings - Heat &amp; Fuels'!B267</f>
        <v>0</v>
      </c>
      <c r="I1036" s="193">
        <f>'Buildings - Heat &amp; Fuels'!C267</f>
        <v>0</v>
      </c>
      <c r="J1036" s="193" t="str">
        <f>'Buildings - Heat &amp; Fuels'!D267</f>
        <v/>
      </c>
      <c r="K1036" s="237"/>
      <c r="L1036" s="237"/>
      <c r="M1036" s="193">
        <f>'Buildings - Heat &amp; Fuels'!E267</f>
        <v>0</v>
      </c>
      <c r="N1036" s="193">
        <f>'Buildings - Heat &amp; Fuels'!F267</f>
        <v>0</v>
      </c>
      <c r="O1036" s="237"/>
      <c r="P1036" s="193">
        <f>'Buildings - Heat &amp; Fuels'!G267</f>
        <v>0</v>
      </c>
      <c r="Q1036" s="193" t="str">
        <f>'Buildings - Heat &amp; Fuels'!H267</f>
        <v/>
      </c>
      <c r="R1036" s="193">
        <f>'Buildings - Heat &amp; Fuels'!I267</f>
        <v>0</v>
      </c>
      <c r="S1036" s="193">
        <f>'Buildings - Heat &amp; Fuels'!J267</f>
        <v>0</v>
      </c>
      <c r="T1036" s="193" t="str">
        <f>'Buildings - Heat &amp; Fuels'!K267</f>
        <v/>
      </c>
      <c r="U1036" s="193" t="str">
        <f>'Buildings - Heat &amp; Fuels'!L267</f>
        <v/>
      </c>
      <c r="V1036" s="193" t="str">
        <f>'Buildings - Heat &amp; Fuels'!M267</f>
        <v/>
      </c>
      <c r="W1036" s="193" t="str">
        <f>'Buildings - Heat &amp; Fuels'!N267</f>
        <v/>
      </c>
      <c r="X1036" s="193">
        <f>'Buildings - Heat &amp; Fuels'!O267</f>
        <v>0</v>
      </c>
      <c r="Y1036" s="193">
        <f>'Buildings - Heat &amp; Fuels'!P267</f>
        <v>0</v>
      </c>
      <c r="Z1036" s="193" t="str">
        <f>'Buildings - Heat &amp; Fuels'!Q267</f>
        <v/>
      </c>
      <c r="AA1036" s="193" t="str">
        <f>'Buildings - Heat &amp; Fuels'!R267</f>
        <v/>
      </c>
      <c r="AB1036" s="193" t="str">
        <f>'Buildings - Heat &amp; Fuels'!S267</f>
        <v/>
      </c>
      <c r="AC1036" s="193" t="str">
        <f>'Buildings - Heat &amp; Fuels'!T267</f>
        <v/>
      </c>
      <c r="AD1036" s="193" t="str">
        <f>'Buildings - Heat &amp; Fuels'!U267</f>
        <v/>
      </c>
      <c r="AE1036" s="193" t="str">
        <f>'Buildings - Heat &amp; Fuels'!V267</f>
        <v/>
      </c>
      <c r="AF1036" s="193" t="str">
        <f>'Buildings - Heat &amp; Fuels'!W267</f>
        <v/>
      </c>
      <c r="AG1036" s="193" t="str">
        <f>'Buildings - Heat &amp; Fuels'!X267</f>
        <v/>
      </c>
      <c r="AI1036" s="193">
        <f t="shared" si="18"/>
        <v>0</v>
      </c>
      <c r="AJ1036" s="193">
        <f t="shared" si="19"/>
        <v>0</v>
      </c>
    </row>
    <row r="1037" spans="2:36" x14ac:dyDescent="0.35">
      <c r="B1037" s="193" t="e">
        <f>"2024"&amp;MATCH(Totals!D1037,OrgType,0)&amp;"_"&amp;MATCH(Totals!E1037,Organisations,0)&amp;"_"&amp;LEFT(Totals!F1037,1)&amp;"_"&amp;LEFT(G1037,1)&amp;"_"&amp;COUNTIF($G$3:G1037,G1037)</f>
        <v>#N/A</v>
      </c>
      <c r="C1037" s="193">
        <v>2025</v>
      </c>
      <c r="D1037" s="193">
        <f>Introduction!$D$7</f>
        <v>0</v>
      </c>
      <c r="E1037" s="193">
        <f>Introduction!$D$8</f>
        <v>0</v>
      </c>
      <c r="F1037" s="193" t="s">
        <v>488</v>
      </c>
      <c r="G1037" s="193" t="s">
        <v>490</v>
      </c>
      <c r="H1037" s="193">
        <f>'Buildings - Heat &amp; Fuels'!B268</f>
        <v>0</v>
      </c>
      <c r="I1037" s="193">
        <f>'Buildings - Heat &amp; Fuels'!C268</f>
        <v>0</v>
      </c>
      <c r="J1037" s="193" t="str">
        <f>'Buildings - Heat &amp; Fuels'!D268</f>
        <v/>
      </c>
      <c r="K1037" s="237"/>
      <c r="L1037" s="237"/>
      <c r="M1037" s="193">
        <f>'Buildings - Heat &amp; Fuels'!E268</f>
        <v>0</v>
      </c>
      <c r="N1037" s="193">
        <f>'Buildings - Heat &amp; Fuels'!F268</f>
        <v>0</v>
      </c>
      <c r="O1037" s="237"/>
      <c r="P1037" s="193">
        <f>'Buildings - Heat &amp; Fuels'!G268</f>
        <v>0</v>
      </c>
      <c r="Q1037" s="193" t="str">
        <f>'Buildings - Heat &amp; Fuels'!H268</f>
        <v/>
      </c>
      <c r="R1037" s="193">
        <f>'Buildings - Heat &amp; Fuels'!I268</f>
        <v>0</v>
      </c>
      <c r="S1037" s="193">
        <f>'Buildings - Heat &amp; Fuels'!J268</f>
        <v>0</v>
      </c>
      <c r="T1037" s="193" t="str">
        <f>'Buildings - Heat &amp; Fuels'!K268</f>
        <v/>
      </c>
      <c r="U1037" s="193" t="str">
        <f>'Buildings - Heat &amp; Fuels'!L268</f>
        <v/>
      </c>
      <c r="V1037" s="193" t="str">
        <f>'Buildings - Heat &amp; Fuels'!M268</f>
        <v/>
      </c>
      <c r="W1037" s="193" t="str">
        <f>'Buildings - Heat &amp; Fuels'!N268</f>
        <v/>
      </c>
      <c r="X1037" s="193">
        <f>'Buildings - Heat &amp; Fuels'!O268</f>
        <v>0</v>
      </c>
      <c r="Y1037" s="193">
        <f>'Buildings - Heat &amp; Fuels'!P268</f>
        <v>0</v>
      </c>
      <c r="Z1037" s="193" t="str">
        <f>'Buildings - Heat &amp; Fuels'!Q268</f>
        <v/>
      </c>
      <c r="AA1037" s="193" t="str">
        <f>'Buildings - Heat &amp; Fuels'!R268</f>
        <v/>
      </c>
      <c r="AB1037" s="193" t="str">
        <f>'Buildings - Heat &amp; Fuels'!S268</f>
        <v/>
      </c>
      <c r="AC1037" s="193" t="str">
        <f>'Buildings - Heat &amp; Fuels'!T268</f>
        <v/>
      </c>
      <c r="AD1037" s="193" t="str">
        <f>'Buildings - Heat &amp; Fuels'!U268</f>
        <v/>
      </c>
      <c r="AE1037" s="193" t="str">
        <f>'Buildings - Heat &amp; Fuels'!V268</f>
        <v/>
      </c>
      <c r="AF1037" s="193" t="str">
        <f>'Buildings - Heat &amp; Fuels'!W268</f>
        <v/>
      </c>
      <c r="AG1037" s="193" t="str">
        <f>'Buildings - Heat &amp; Fuels'!X268</f>
        <v/>
      </c>
      <c r="AI1037" s="193">
        <f t="shared" si="18"/>
        <v>0</v>
      </c>
      <c r="AJ1037" s="193">
        <f t="shared" si="19"/>
        <v>0</v>
      </c>
    </row>
    <row r="1038" spans="2:36" x14ac:dyDescent="0.35">
      <c r="B1038" s="193" t="e">
        <f>"2024"&amp;MATCH(Totals!D1038,OrgType,0)&amp;"_"&amp;MATCH(Totals!E1038,Organisations,0)&amp;"_"&amp;LEFT(Totals!F1038,1)&amp;"_"&amp;LEFT(G1038,1)&amp;"_"&amp;COUNTIF($G$3:G1038,G1038)</f>
        <v>#N/A</v>
      </c>
      <c r="C1038" s="193">
        <v>2025</v>
      </c>
      <c r="D1038" s="193">
        <f>Introduction!$D$7</f>
        <v>0</v>
      </c>
      <c r="E1038" s="193">
        <f>Introduction!$D$8</f>
        <v>0</v>
      </c>
      <c r="F1038" s="193" t="s">
        <v>488</v>
      </c>
      <c r="G1038" s="193" t="s">
        <v>490</v>
      </c>
      <c r="H1038" s="193">
        <f>'Buildings - Heat &amp; Fuels'!B269</f>
        <v>0</v>
      </c>
      <c r="I1038" s="193">
        <f>'Buildings - Heat &amp; Fuels'!C269</f>
        <v>0</v>
      </c>
      <c r="J1038" s="193" t="str">
        <f>'Buildings - Heat &amp; Fuels'!D269</f>
        <v/>
      </c>
      <c r="K1038" s="237"/>
      <c r="L1038" s="237"/>
      <c r="M1038" s="193">
        <f>'Buildings - Heat &amp; Fuels'!E269</f>
        <v>0</v>
      </c>
      <c r="N1038" s="193">
        <f>'Buildings - Heat &amp; Fuels'!F269</f>
        <v>0</v>
      </c>
      <c r="O1038" s="237"/>
      <c r="P1038" s="193">
        <f>'Buildings - Heat &amp; Fuels'!G269</f>
        <v>0</v>
      </c>
      <c r="Q1038" s="193" t="str">
        <f>'Buildings - Heat &amp; Fuels'!H269</f>
        <v/>
      </c>
      <c r="R1038" s="193">
        <f>'Buildings - Heat &amp; Fuels'!I269</f>
        <v>0</v>
      </c>
      <c r="S1038" s="193">
        <f>'Buildings - Heat &amp; Fuels'!J269</f>
        <v>0</v>
      </c>
      <c r="T1038" s="193" t="str">
        <f>'Buildings - Heat &amp; Fuels'!K269</f>
        <v/>
      </c>
      <c r="U1038" s="193" t="str">
        <f>'Buildings - Heat &amp; Fuels'!L269</f>
        <v/>
      </c>
      <c r="V1038" s="193" t="str">
        <f>'Buildings - Heat &amp; Fuels'!M269</f>
        <v/>
      </c>
      <c r="W1038" s="193" t="str">
        <f>'Buildings - Heat &amp; Fuels'!N269</f>
        <v/>
      </c>
      <c r="X1038" s="193">
        <f>'Buildings - Heat &amp; Fuels'!O269</f>
        <v>0</v>
      </c>
      <c r="Y1038" s="193">
        <f>'Buildings - Heat &amp; Fuels'!P269</f>
        <v>0</v>
      </c>
      <c r="Z1038" s="193" t="str">
        <f>'Buildings - Heat &amp; Fuels'!Q269</f>
        <v/>
      </c>
      <c r="AA1038" s="193" t="str">
        <f>'Buildings - Heat &amp; Fuels'!R269</f>
        <v/>
      </c>
      <c r="AB1038" s="193" t="str">
        <f>'Buildings - Heat &amp; Fuels'!S269</f>
        <v/>
      </c>
      <c r="AC1038" s="193" t="str">
        <f>'Buildings - Heat &amp; Fuels'!T269</f>
        <v/>
      </c>
      <c r="AD1038" s="193" t="str">
        <f>'Buildings - Heat &amp; Fuels'!U269</f>
        <v/>
      </c>
      <c r="AE1038" s="193" t="str">
        <f>'Buildings - Heat &amp; Fuels'!V269</f>
        <v/>
      </c>
      <c r="AF1038" s="193" t="str">
        <f>'Buildings - Heat &amp; Fuels'!W269</f>
        <v/>
      </c>
      <c r="AG1038" s="193" t="str">
        <f>'Buildings - Heat &amp; Fuels'!X269</f>
        <v/>
      </c>
      <c r="AI1038" s="193">
        <f t="shared" si="18"/>
        <v>0</v>
      </c>
      <c r="AJ1038" s="193">
        <f t="shared" si="19"/>
        <v>0</v>
      </c>
    </row>
    <row r="1039" spans="2:36" x14ac:dyDescent="0.35">
      <c r="B1039" s="193" t="e">
        <f>"2024"&amp;MATCH(Totals!D1039,OrgType,0)&amp;"_"&amp;MATCH(Totals!E1039,Organisations,0)&amp;"_"&amp;LEFT(Totals!F1039,1)&amp;"_"&amp;LEFT(G1039,1)&amp;"_"&amp;COUNTIF($G$3:G1039,G1039)</f>
        <v>#N/A</v>
      </c>
      <c r="C1039" s="193">
        <v>2025</v>
      </c>
      <c r="D1039" s="193">
        <f>Introduction!$D$7</f>
        <v>0</v>
      </c>
      <c r="E1039" s="193">
        <f>Introduction!$D$8</f>
        <v>0</v>
      </c>
      <c r="F1039" s="193" t="s">
        <v>488</v>
      </c>
      <c r="G1039" s="193" t="s">
        <v>490</v>
      </c>
      <c r="H1039" s="193">
        <f>'Buildings - Heat &amp; Fuels'!B270</f>
        <v>0</v>
      </c>
      <c r="I1039" s="193">
        <f>'Buildings - Heat &amp; Fuels'!C270</f>
        <v>0</v>
      </c>
      <c r="J1039" s="193" t="str">
        <f>'Buildings - Heat &amp; Fuels'!D270</f>
        <v/>
      </c>
      <c r="K1039" s="237"/>
      <c r="L1039" s="237"/>
      <c r="M1039" s="193">
        <f>'Buildings - Heat &amp; Fuels'!E270</f>
        <v>0</v>
      </c>
      <c r="N1039" s="193">
        <f>'Buildings - Heat &amp; Fuels'!F270</f>
        <v>0</v>
      </c>
      <c r="O1039" s="237"/>
      <c r="P1039" s="193">
        <f>'Buildings - Heat &amp; Fuels'!G270</f>
        <v>0</v>
      </c>
      <c r="Q1039" s="193" t="str">
        <f>'Buildings - Heat &amp; Fuels'!H270</f>
        <v/>
      </c>
      <c r="R1039" s="193">
        <f>'Buildings - Heat &amp; Fuels'!I270</f>
        <v>0</v>
      </c>
      <c r="S1039" s="193">
        <f>'Buildings - Heat &amp; Fuels'!J270</f>
        <v>0</v>
      </c>
      <c r="T1039" s="193" t="str">
        <f>'Buildings - Heat &amp; Fuels'!K270</f>
        <v/>
      </c>
      <c r="U1039" s="193" t="str">
        <f>'Buildings - Heat &amp; Fuels'!L270</f>
        <v/>
      </c>
      <c r="V1039" s="193" t="str">
        <f>'Buildings - Heat &amp; Fuels'!M270</f>
        <v/>
      </c>
      <c r="W1039" s="193" t="str">
        <f>'Buildings - Heat &amp; Fuels'!N270</f>
        <v/>
      </c>
      <c r="X1039" s="193">
        <f>'Buildings - Heat &amp; Fuels'!O270</f>
        <v>0</v>
      </c>
      <c r="Y1039" s="193">
        <f>'Buildings - Heat &amp; Fuels'!P270</f>
        <v>0</v>
      </c>
      <c r="Z1039" s="193" t="str">
        <f>'Buildings - Heat &amp; Fuels'!Q270</f>
        <v/>
      </c>
      <c r="AA1039" s="193" t="str">
        <f>'Buildings - Heat &amp; Fuels'!R270</f>
        <v/>
      </c>
      <c r="AB1039" s="193" t="str">
        <f>'Buildings - Heat &amp; Fuels'!S270</f>
        <v/>
      </c>
      <c r="AC1039" s="193" t="str">
        <f>'Buildings - Heat &amp; Fuels'!T270</f>
        <v/>
      </c>
      <c r="AD1039" s="193" t="str">
        <f>'Buildings - Heat &amp; Fuels'!U270</f>
        <v/>
      </c>
      <c r="AE1039" s="193" t="str">
        <f>'Buildings - Heat &amp; Fuels'!V270</f>
        <v/>
      </c>
      <c r="AF1039" s="193" t="str">
        <f>'Buildings - Heat &amp; Fuels'!W270</f>
        <v/>
      </c>
      <c r="AG1039" s="193" t="str">
        <f>'Buildings - Heat &amp; Fuels'!X270</f>
        <v/>
      </c>
      <c r="AI1039" s="193">
        <f t="shared" si="18"/>
        <v>0</v>
      </c>
      <c r="AJ1039" s="193">
        <f t="shared" si="19"/>
        <v>0</v>
      </c>
    </row>
    <row r="1040" spans="2:36" x14ac:dyDescent="0.35">
      <c r="B1040" s="193" t="e">
        <f>"2024"&amp;MATCH(Totals!D1040,OrgType,0)&amp;"_"&amp;MATCH(Totals!E1040,Organisations,0)&amp;"_"&amp;LEFT(Totals!F1040,1)&amp;"_"&amp;LEFT(G1040,1)&amp;"_"&amp;COUNTIF($G$3:G1040,G1040)</f>
        <v>#N/A</v>
      </c>
      <c r="C1040" s="193">
        <v>2025</v>
      </c>
      <c r="D1040" s="193">
        <f>Introduction!$D$7</f>
        <v>0</v>
      </c>
      <c r="E1040" s="193">
        <f>Introduction!$D$8</f>
        <v>0</v>
      </c>
      <c r="F1040" s="193" t="s">
        <v>488</v>
      </c>
      <c r="G1040" s="193" t="s">
        <v>490</v>
      </c>
      <c r="H1040" s="193">
        <f>'Buildings - Heat &amp; Fuels'!B271</f>
        <v>0</v>
      </c>
      <c r="I1040" s="193">
        <f>'Buildings - Heat &amp; Fuels'!C271</f>
        <v>0</v>
      </c>
      <c r="J1040" s="193" t="str">
        <f>'Buildings - Heat &amp; Fuels'!D271</f>
        <v/>
      </c>
      <c r="K1040" s="237"/>
      <c r="L1040" s="237"/>
      <c r="M1040" s="193">
        <f>'Buildings - Heat &amp; Fuels'!E271</f>
        <v>0</v>
      </c>
      <c r="N1040" s="193">
        <f>'Buildings - Heat &amp; Fuels'!F271</f>
        <v>0</v>
      </c>
      <c r="O1040" s="237"/>
      <c r="P1040" s="193">
        <f>'Buildings - Heat &amp; Fuels'!G271</f>
        <v>0</v>
      </c>
      <c r="Q1040" s="193" t="str">
        <f>'Buildings - Heat &amp; Fuels'!H271</f>
        <v/>
      </c>
      <c r="R1040" s="193">
        <f>'Buildings - Heat &amp; Fuels'!I271</f>
        <v>0</v>
      </c>
      <c r="S1040" s="193">
        <f>'Buildings - Heat &amp; Fuels'!J271</f>
        <v>0</v>
      </c>
      <c r="T1040" s="193" t="str">
        <f>'Buildings - Heat &amp; Fuels'!K271</f>
        <v/>
      </c>
      <c r="U1040" s="193" t="str">
        <f>'Buildings - Heat &amp; Fuels'!L271</f>
        <v/>
      </c>
      <c r="V1040" s="193" t="str">
        <f>'Buildings - Heat &amp; Fuels'!M271</f>
        <v/>
      </c>
      <c r="W1040" s="193" t="str">
        <f>'Buildings - Heat &amp; Fuels'!N271</f>
        <v/>
      </c>
      <c r="X1040" s="193">
        <f>'Buildings - Heat &amp; Fuels'!O271</f>
        <v>0</v>
      </c>
      <c r="Y1040" s="193">
        <f>'Buildings - Heat &amp; Fuels'!P271</f>
        <v>0</v>
      </c>
      <c r="Z1040" s="193" t="str">
        <f>'Buildings - Heat &amp; Fuels'!Q271</f>
        <v/>
      </c>
      <c r="AA1040" s="193" t="str">
        <f>'Buildings - Heat &amp; Fuels'!R271</f>
        <v/>
      </c>
      <c r="AB1040" s="193" t="str">
        <f>'Buildings - Heat &amp; Fuels'!S271</f>
        <v/>
      </c>
      <c r="AC1040" s="193" t="str">
        <f>'Buildings - Heat &amp; Fuels'!T271</f>
        <v/>
      </c>
      <c r="AD1040" s="193" t="str">
        <f>'Buildings - Heat &amp; Fuels'!U271</f>
        <v/>
      </c>
      <c r="AE1040" s="193" t="str">
        <f>'Buildings - Heat &amp; Fuels'!V271</f>
        <v/>
      </c>
      <c r="AF1040" s="193" t="str">
        <f>'Buildings - Heat &amp; Fuels'!W271</f>
        <v/>
      </c>
      <c r="AG1040" s="193" t="str">
        <f>'Buildings - Heat &amp; Fuels'!X271</f>
        <v/>
      </c>
      <c r="AI1040" s="193">
        <f t="shared" si="18"/>
        <v>0</v>
      </c>
      <c r="AJ1040" s="193">
        <f t="shared" si="19"/>
        <v>0</v>
      </c>
    </row>
    <row r="1041" spans="2:36" x14ac:dyDescent="0.35">
      <c r="B1041" s="193" t="e">
        <f>"2024"&amp;MATCH(Totals!D1041,OrgType,0)&amp;"_"&amp;MATCH(Totals!E1041,Organisations,0)&amp;"_"&amp;LEFT(Totals!F1041,1)&amp;"_"&amp;LEFT(G1041,1)&amp;"_"&amp;COUNTIF($G$3:G1041,G1041)</f>
        <v>#N/A</v>
      </c>
      <c r="C1041" s="193">
        <v>2025</v>
      </c>
      <c r="D1041" s="193">
        <f>Introduction!$D$7</f>
        <v>0</v>
      </c>
      <c r="E1041" s="193">
        <f>Introduction!$D$8</f>
        <v>0</v>
      </c>
      <c r="F1041" s="193" t="s">
        <v>488</v>
      </c>
      <c r="G1041" s="193" t="s">
        <v>490</v>
      </c>
      <c r="H1041" s="193">
        <f>'Buildings - Heat &amp; Fuels'!B272</f>
        <v>0</v>
      </c>
      <c r="I1041" s="193">
        <f>'Buildings - Heat &amp; Fuels'!C272</f>
        <v>0</v>
      </c>
      <c r="J1041" s="193" t="str">
        <f>'Buildings - Heat &amp; Fuels'!D272</f>
        <v/>
      </c>
      <c r="K1041" s="237"/>
      <c r="L1041" s="237"/>
      <c r="M1041" s="193">
        <f>'Buildings - Heat &amp; Fuels'!E272</f>
        <v>0</v>
      </c>
      <c r="N1041" s="193">
        <f>'Buildings - Heat &amp; Fuels'!F272</f>
        <v>0</v>
      </c>
      <c r="O1041" s="237"/>
      <c r="P1041" s="193">
        <f>'Buildings - Heat &amp; Fuels'!G272</f>
        <v>0</v>
      </c>
      <c r="Q1041" s="193" t="str">
        <f>'Buildings - Heat &amp; Fuels'!H272</f>
        <v/>
      </c>
      <c r="R1041" s="193">
        <f>'Buildings - Heat &amp; Fuels'!I272</f>
        <v>0</v>
      </c>
      <c r="S1041" s="193">
        <f>'Buildings - Heat &amp; Fuels'!J272</f>
        <v>0</v>
      </c>
      <c r="T1041" s="193" t="str">
        <f>'Buildings - Heat &amp; Fuels'!K272</f>
        <v/>
      </c>
      <c r="U1041" s="193" t="str">
        <f>'Buildings - Heat &amp; Fuels'!L272</f>
        <v/>
      </c>
      <c r="V1041" s="193" t="str">
        <f>'Buildings - Heat &amp; Fuels'!M272</f>
        <v/>
      </c>
      <c r="W1041" s="193" t="str">
        <f>'Buildings - Heat &amp; Fuels'!N272</f>
        <v/>
      </c>
      <c r="X1041" s="193">
        <f>'Buildings - Heat &amp; Fuels'!O272</f>
        <v>0</v>
      </c>
      <c r="Y1041" s="193">
        <f>'Buildings - Heat &amp; Fuels'!P272</f>
        <v>0</v>
      </c>
      <c r="Z1041" s="193" t="str">
        <f>'Buildings - Heat &amp; Fuels'!Q272</f>
        <v/>
      </c>
      <c r="AA1041" s="193" t="str">
        <f>'Buildings - Heat &amp; Fuels'!R272</f>
        <v/>
      </c>
      <c r="AB1041" s="193" t="str">
        <f>'Buildings - Heat &amp; Fuels'!S272</f>
        <v/>
      </c>
      <c r="AC1041" s="193" t="str">
        <f>'Buildings - Heat &amp; Fuels'!T272</f>
        <v/>
      </c>
      <c r="AD1041" s="193" t="str">
        <f>'Buildings - Heat &amp; Fuels'!U272</f>
        <v/>
      </c>
      <c r="AE1041" s="193" t="str">
        <f>'Buildings - Heat &amp; Fuels'!V272</f>
        <v/>
      </c>
      <c r="AF1041" s="193" t="str">
        <f>'Buildings - Heat &amp; Fuels'!W272</f>
        <v/>
      </c>
      <c r="AG1041" s="193" t="str">
        <f>'Buildings - Heat &amp; Fuels'!X272</f>
        <v/>
      </c>
      <c r="AI1041" s="193">
        <f t="shared" si="18"/>
        <v>0</v>
      </c>
      <c r="AJ1041" s="193">
        <f t="shared" si="19"/>
        <v>0</v>
      </c>
    </row>
    <row r="1042" spans="2:36" x14ac:dyDescent="0.35">
      <c r="B1042" s="193" t="e">
        <f>"2024"&amp;MATCH(Totals!D1042,OrgType,0)&amp;"_"&amp;MATCH(Totals!E1042,Organisations,0)&amp;"_"&amp;LEFT(Totals!F1042,1)&amp;"_"&amp;LEFT(G1042,1)&amp;"_"&amp;COUNTIF($G$3:G1042,G1042)</f>
        <v>#N/A</v>
      </c>
      <c r="C1042" s="193">
        <v>2025</v>
      </c>
      <c r="D1042" s="193">
        <f>Introduction!$D$7</f>
        <v>0</v>
      </c>
      <c r="E1042" s="193">
        <f>Introduction!$D$8</f>
        <v>0</v>
      </c>
      <c r="F1042" s="193" t="s">
        <v>488</v>
      </c>
      <c r="G1042" s="193" t="s">
        <v>490</v>
      </c>
      <c r="H1042" s="193">
        <f>'Buildings - Heat &amp; Fuels'!B273</f>
        <v>0</v>
      </c>
      <c r="I1042" s="193">
        <f>'Buildings - Heat &amp; Fuels'!C273</f>
        <v>0</v>
      </c>
      <c r="J1042" s="193" t="str">
        <f>'Buildings - Heat &amp; Fuels'!D273</f>
        <v/>
      </c>
      <c r="K1042" s="237"/>
      <c r="L1042" s="237"/>
      <c r="M1042" s="193">
        <f>'Buildings - Heat &amp; Fuels'!E273</f>
        <v>0</v>
      </c>
      <c r="N1042" s="193">
        <f>'Buildings - Heat &amp; Fuels'!F273</f>
        <v>0</v>
      </c>
      <c r="O1042" s="237"/>
      <c r="P1042" s="193">
        <f>'Buildings - Heat &amp; Fuels'!G273</f>
        <v>0</v>
      </c>
      <c r="Q1042" s="193" t="str">
        <f>'Buildings - Heat &amp; Fuels'!H273</f>
        <v/>
      </c>
      <c r="R1042" s="193">
        <f>'Buildings - Heat &amp; Fuels'!I273</f>
        <v>0</v>
      </c>
      <c r="S1042" s="193">
        <f>'Buildings - Heat &amp; Fuels'!J273</f>
        <v>0</v>
      </c>
      <c r="T1042" s="193" t="str">
        <f>'Buildings - Heat &amp; Fuels'!K273</f>
        <v/>
      </c>
      <c r="U1042" s="193" t="str">
        <f>'Buildings - Heat &amp; Fuels'!L273</f>
        <v/>
      </c>
      <c r="V1042" s="193" t="str">
        <f>'Buildings - Heat &amp; Fuels'!M273</f>
        <v/>
      </c>
      <c r="W1042" s="193" t="str">
        <f>'Buildings - Heat &amp; Fuels'!N273</f>
        <v/>
      </c>
      <c r="X1042" s="193">
        <f>'Buildings - Heat &amp; Fuels'!O273</f>
        <v>0</v>
      </c>
      <c r="Y1042" s="193">
        <f>'Buildings - Heat &amp; Fuels'!P273</f>
        <v>0</v>
      </c>
      <c r="Z1042" s="193" t="str">
        <f>'Buildings - Heat &amp; Fuels'!Q273</f>
        <v/>
      </c>
      <c r="AA1042" s="193" t="str">
        <f>'Buildings - Heat &amp; Fuels'!R273</f>
        <v/>
      </c>
      <c r="AB1042" s="193" t="str">
        <f>'Buildings - Heat &amp; Fuels'!S273</f>
        <v/>
      </c>
      <c r="AC1042" s="193" t="str">
        <f>'Buildings - Heat &amp; Fuels'!T273</f>
        <v/>
      </c>
      <c r="AD1042" s="193" t="str">
        <f>'Buildings - Heat &amp; Fuels'!U273</f>
        <v/>
      </c>
      <c r="AE1042" s="193" t="str">
        <f>'Buildings - Heat &amp; Fuels'!V273</f>
        <v/>
      </c>
      <c r="AF1042" s="193" t="str">
        <f>'Buildings - Heat &amp; Fuels'!W273</f>
        <v/>
      </c>
      <c r="AG1042" s="193" t="str">
        <f>'Buildings - Heat &amp; Fuels'!X273</f>
        <v/>
      </c>
      <c r="AI1042" s="193">
        <f t="shared" si="18"/>
        <v>0</v>
      </c>
      <c r="AJ1042" s="193">
        <f t="shared" si="19"/>
        <v>0</v>
      </c>
    </row>
    <row r="1043" spans="2:36" x14ac:dyDescent="0.35">
      <c r="B1043" s="193" t="e">
        <f>"2024"&amp;MATCH(Totals!D1043,OrgType,0)&amp;"_"&amp;MATCH(Totals!E1043,Organisations,0)&amp;"_"&amp;LEFT(Totals!F1043,1)&amp;"_"&amp;LEFT(G1043,1)&amp;"_"&amp;COUNTIF($G$3:G1043,G1043)</f>
        <v>#N/A</v>
      </c>
      <c r="C1043" s="193">
        <v>2025</v>
      </c>
      <c r="D1043" s="193">
        <f>Introduction!$D$7</f>
        <v>0</v>
      </c>
      <c r="E1043" s="193">
        <f>Introduction!$D$8</f>
        <v>0</v>
      </c>
      <c r="F1043" s="193" t="s">
        <v>488</v>
      </c>
      <c r="G1043" s="193" t="s">
        <v>490</v>
      </c>
      <c r="H1043" s="193">
        <f>'Buildings - Heat &amp; Fuels'!B274</f>
        <v>0</v>
      </c>
      <c r="I1043" s="193">
        <f>'Buildings - Heat &amp; Fuels'!C274</f>
        <v>0</v>
      </c>
      <c r="J1043" s="193" t="str">
        <f>'Buildings - Heat &amp; Fuels'!D274</f>
        <v/>
      </c>
      <c r="K1043" s="237"/>
      <c r="L1043" s="237"/>
      <c r="M1043" s="193">
        <f>'Buildings - Heat &amp; Fuels'!E274</f>
        <v>0</v>
      </c>
      <c r="N1043" s="193">
        <f>'Buildings - Heat &amp; Fuels'!F274</f>
        <v>0</v>
      </c>
      <c r="O1043" s="237"/>
      <c r="P1043" s="193">
        <f>'Buildings - Heat &amp; Fuels'!G274</f>
        <v>0</v>
      </c>
      <c r="Q1043" s="193" t="str">
        <f>'Buildings - Heat &amp; Fuels'!H274</f>
        <v/>
      </c>
      <c r="R1043" s="193">
        <f>'Buildings - Heat &amp; Fuels'!I274</f>
        <v>0</v>
      </c>
      <c r="S1043" s="193">
        <f>'Buildings - Heat &amp; Fuels'!J274</f>
        <v>0</v>
      </c>
      <c r="T1043" s="193" t="str">
        <f>'Buildings - Heat &amp; Fuels'!K274</f>
        <v/>
      </c>
      <c r="U1043" s="193" t="str">
        <f>'Buildings - Heat &amp; Fuels'!L274</f>
        <v/>
      </c>
      <c r="V1043" s="193" t="str">
        <f>'Buildings - Heat &amp; Fuels'!M274</f>
        <v/>
      </c>
      <c r="W1043" s="193" t="str">
        <f>'Buildings - Heat &amp; Fuels'!N274</f>
        <v/>
      </c>
      <c r="X1043" s="193">
        <f>'Buildings - Heat &amp; Fuels'!O274</f>
        <v>0</v>
      </c>
      <c r="Y1043" s="193">
        <f>'Buildings - Heat &amp; Fuels'!P274</f>
        <v>0</v>
      </c>
      <c r="Z1043" s="193" t="str">
        <f>'Buildings - Heat &amp; Fuels'!Q274</f>
        <v/>
      </c>
      <c r="AA1043" s="193" t="str">
        <f>'Buildings - Heat &amp; Fuels'!R274</f>
        <v/>
      </c>
      <c r="AB1043" s="193" t="str">
        <f>'Buildings - Heat &amp; Fuels'!S274</f>
        <v/>
      </c>
      <c r="AC1043" s="193" t="str">
        <f>'Buildings - Heat &amp; Fuels'!T274</f>
        <v/>
      </c>
      <c r="AD1043" s="193" t="str">
        <f>'Buildings - Heat &amp; Fuels'!U274</f>
        <v/>
      </c>
      <c r="AE1043" s="193" t="str">
        <f>'Buildings - Heat &amp; Fuels'!V274</f>
        <v/>
      </c>
      <c r="AF1043" s="193" t="str">
        <f>'Buildings - Heat &amp; Fuels'!W274</f>
        <v/>
      </c>
      <c r="AG1043" s="193" t="str">
        <f>'Buildings - Heat &amp; Fuels'!X274</f>
        <v/>
      </c>
      <c r="AI1043" s="193">
        <f t="shared" si="18"/>
        <v>0</v>
      </c>
      <c r="AJ1043" s="193">
        <f t="shared" si="19"/>
        <v>0</v>
      </c>
    </row>
    <row r="1044" spans="2:36" x14ac:dyDescent="0.35">
      <c r="B1044" s="193" t="e">
        <f>"2024"&amp;MATCH(Totals!D1044,OrgType,0)&amp;"_"&amp;MATCH(Totals!E1044,Organisations,0)&amp;"_"&amp;LEFT(Totals!F1044,1)&amp;"_"&amp;LEFT(G1044,1)&amp;"_"&amp;COUNTIF($G$3:G1044,G1044)</f>
        <v>#N/A</v>
      </c>
      <c r="C1044" s="193">
        <v>2025</v>
      </c>
      <c r="D1044" s="193">
        <f>Introduction!$D$7</f>
        <v>0</v>
      </c>
      <c r="E1044" s="193">
        <f>Introduction!$D$8</f>
        <v>0</v>
      </c>
      <c r="F1044" s="193" t="s">
        <v>488</v>
      </c>
      <c r="G1044" s="193" t="s">
        <v>490</v>
      </c>
      <c r="H1044" s="193">
        <f>'Buildings - Heat &amp; Fuels'!B275</f>
        <v>0</v>
      </c>
      <c r="I1044" s="193">
        <f>'Buildings - Heat &amp; Fuels'!C275</f>
        <v>0</v>
      </c>
      <c r="J1044" s="193" t="str">
        <f>'Buildings - Heat &amp; Fuels'!D275</f>
        <v/>
      </c>
      <c r="K1044" s="237"/>
      <c r="L1044" s="237"/>
      <c r="M1044" s="193">
        <f>'Buildings - Heat &amp; Fuels'!E275</f>
        <v>0</v>
      </c>
      <c r="N1044" s="193">
        <f>'Buildings - Heat &amp; Fuels'!F275</f>
        <v>0</v>
      </c>
      <c r="O1044" s="237"/>
      <c r="P1044" s="193">
        <f>'Buildings - Heat &amp; Fuels'!G275</f>
        <v>0</v>
      </c>
      <c r="Q1044" s="193" t="str">
        <f>'Buildings - Heat &amp; Fuels'!H275</f>
        <v/>
      </c>
      <c r="R1044" s="193">
        <f>'Buildings - Heat &amp; Fuels'!I275</f>
        <v>0</v>
      </c>
      <c r="S1044" s="193">
        <f>'Buildings - Heat &amp; Fuels'!J275</f>
        <v>0</v>
      </c>
      <c r="T1044" s="193" t="str">
        <f>'Buildings - Heat &amp; Fuels'!K275</f>
        <v/>
      </c>
      <c r="U1044" s="193" t="str">
        <f>'Buildings - Heat &amp; Fuels'!L275</f>
        <v/>
      </c>
      <c r="V1044" s="193" t="str">
        <f>'Buildings - Heat &amp; Fuels'!M275</f>
        <v/>
      </c>
      <c r="W1044" s="193" t="str">
        <f>'Buildings - Heat &amp; Fuels'!N275</f>
        <v/>
      </c>
      <c r="X1044" s="193">
        <f>'Buildings - Heat &amp; Fuels'!O275</f>
        <v>0</v>
      </c>
      <c r="Y1044" s="193">
        <f>'Buildings - Heat &amp; Fuels'!P275</f>
        <v>0</v>
      </c>
      <c r="Z1044" s="193" t="str">
        <f>'Buildings - Heat &amp; Fuels'!Q275</f>
        <v/>
      </c>
      <c r="AA1044" s="193" t="str">
        <f>'Buildings - Heat &amp; Fuels'!R275</f>
        <v/>
      </c>
      <c r="AB1044" s="193" t="str">
        <f>'Buildings - Heat &amp; Fuels'!S275</f>
        <v/>
      </c>
      <c r="AC1044" s="193" t="str">
        <f>'Buildings - Heat &amp; Fuels'!T275</f>
        <v/>
      </c>
      <c r="AD1044" s="193" t="str">
        <f>'Buildings - Heat &amp; Fuels'!U275</f>
        <v/>
      </c>
      <c r="AE1044" s="193" t="str">
        <f>'Buildings - Heat &amp; Fuels'!V275</f>
        <v/>
      </c>
      <c r="AF1044" s="193" t="str">
        <f>'Buildings - Heat &amp; Fuels'!W275</f>
        <v/>
      </c>
      <c r="AG1044" s="193" t="str">
        <f>'Buildings - Heat &amp; Fuels'!X275</f>
        <v/>
      </c>
      <c r="AI1044" s="193">
        <f t="shared" si="18"/>
        <v>0</v>
      </c>
      <c r="AJ1044" s="193">
        <f t="shared" si="19"/>
        <v>0</v>
      </c>
    </row>
    <row r="1045" spans="2:36" x14ac:dyDescent="0.35">
      <c r="B1045" s="193" t="e">
        <f>"2024"&amp;MATCH(Totals!D1045,OrgType,0)&amp;"_"&amp;MATCH(Totals!E1045,Organisations,0)&amp;"_"&amp;LEFT(Totals!F1045,1)&amp;"_"&amp;LEFT(G1045,1)&amp;"_"&amp;COUNTIF($G$3:G1045,G1045)</f>
        <v>#N/A</v>
      </c>
      <c r="C1045" s="193">
        <v>2025</v>
      </c>
      <c r="D1045" s="193">
        <f>Introduction!$D$7</f>
        <v>0</v>
      </c>
      <c r="E1045" s="193">
        <f>Introduction!$D$8</f>
        <v>0</v>
      </c>
      <c r="F1045" s="193" t="s">
        <v>488</v>
      </c>
      <c r="G1045" s="193" t="s">
        <v>490</v>
      </c>
      <c r="H1045" s="193">
        <f>'Buildings - Heat &amp; Fuels'!B276</f>
        <v>0</v>
      </c>
      <c r="I1045" s="193">
        <f>'Buildings - Heat &amp; Fuels'!C276</f>
        <v>0</v>
      </c>
      <c r="J1045" s="193" t="str">
        <f>'Buildings - Heat &amp; Fuels'!D276</f>
        <v/>
      </c>
      <c r="K1045" s="237"/>
      <c r="L1045" s="237"/>
      <c r="M1045" s="193">
        <f>'Buildings - Heat &amp; Fuels'!E276</f>
        <v>0</v>
      </c>
      <c r="N1045" s="193">
        <f>'Buildings - Heat &amp; Fuels'!F276</f>
        <v>0</v>
      </c>
      <c r="O1045" s="237"/>
      <c r="P1045" s="193">
        <f>'Buildings - Heat &amp; Fuels'!G276</f>
        <v>0</v>
      </c>
      <c r="Q1045" s="193" t="str">
        <f>'Buildings - Heat &amp; Fuels'!H276</f>
        <v/>
      </c>
      <c r="R1045" s="193">
        <f>'Buildings - Heat &amp; Fuels'!I276</f>
        <v>0</v>
      </c>
      <c r="S1045" s="193">
        <f>'Buildings - Heat &amp; Fuels'!J276</f>
        <v>0</v>
      </c>
      <c r="T1045" s="193" t="str">
        <f>'Buildings - Heat &amp; Fuels'!K276</f>
        <v/>
      </c>
      <c r="U1045" s="193" t="str">
        <f>'Buildings - Heat &amp; Fuels'!L276</f>
        <v/>
      </c>
      <c r="V1045" s="193" t="str">
        <f>'Buildings - Heat &amp; Fuels'!M276</f>
        <v/>
      </c>
      <c r="W1045" s="193" t="str">
        <f>'Buildings - Heat &amp; Fuels'!N276</f>
        <v/>
      </c>
      <c r="X1045" s="193">
        <f>'Buildings - Heat &amp; Fuels'!O276</f>
        <v>0</v>
      </c>
      <c r="Y1045" s="193">
        <f>'Buildings - Heat &amp; Fuels'!P276</f>
        <v>0</v>
      </c>
      <c r="Z1045" s="193" t="str">
        <f>'Buildings - Heat &amp; Fuels'!Q276</f>
        <v/>
      </c>
      <c r="AA1045" s="193" t="str">
        <f>'Buildings - Heat &amp; Fuels'!R276</f>
        <v/>
      </c>
      <c r="AB1045" s="193" t="str">
        <f>'Buildings - Heat &amp; Fuels'!S276</f>
        <v/>
      </c>
      <c r="AC1045" s="193" t="str">
        <f>'Buildings - Heat &amp; Fuels'!T276</f>
        <v/>
      </c>
      <c r="AD1045" s="193" t="str">
        <f>'Buildings - Heat &amp; Fuels'!U276</f>
        <v/>
      </c>
      <c r="AE1045" s="193" t="str">
        <f>'Buildings - Heat &amp; Fuels'!V276</f>
        <v/>
      </c>
      <c r="AF1045" s="193" t="str">
        <f>'Buildings - Heat &amp; Fuels'!W276</f>
        <v/>
      </c>
      <c r="AG1045" s="193" t="str">
        <f>'Buildings - Heat &amp; Fuels'!X276</f>
        <v/>
      </c>
      <c r="AI1045" s="193">
        <f t="shared" si="18"/>
        <v>0</v>
      </c>
      <c r="AJ1045" s="193">
        <f t="shared" si="19"/>
        <v>0</v>
      </c>
    </row>
    <row r="1046" spans="2:36" x14ac:dyDescent="0.35">
      <c r="B1046" s="193" t="e">
        <f>"2024"&amp;MATCH(Totals!D1046,OrgType,0)&amp;"_"&amp;MATCH(Totals!E1046,Organisations,0)&amp;"_"&amp;LEFT(Totals!F1046,1)&amp;"_"&amp;LEFT(G1046,1)&amp;"_"&amp;COUNTIF($G$3:G1046,G1046)</f>
        <v>#N/A</v>
      </c>
      <c r="C1046" s="193">
        <v>2025</v>
      </c>
      <c r="D1046" s="193">
        <f>Introduction!$D$7</f>
        <v>0</v>
      </c>
      <c r="E1046" s="193">
        <f>Introduction!$D$8</f>
        <v>0</v>
      </c>
      <c r="F1046" s="193" t="s">
        <v>488</v>
      </c>
      <c r="G1046" s="193" t="s">
        <v>490</v>
      </c>
      <c r="H1046" s="193">
        <f>'Buildings - Heat &amp; Fuels'!B277</f>
        <v>0</v>
      </c>
      <c r="I1046" s="193">
        <f>'Buildings - Heat &amp; Fuels'!C277</f>
        <v>0</v>
      </c>
      <c r="J1046" s="193" t="str">
        <f>'Buildings - Heat &amp; Fuels'!D277</f>
        <v/>
      </c>
      <c r="K1046" s="237"/>
      <c r="L1046" s="237"/>
      <c r="M1046" s="193">
        <f>'Buildings - Heat &amp; Fuels'!E277</f>
        <v>0</v>
      </c>
      <c r="N1046" s="193">
        <f>'Buildings - Heat &amp; Fuels'!F277</f>
        <v>0</v>
      </c>
      <c r="O1046" s="237"/>
      <c r="P1046" s="193">
        <f>'Buildings - Heat &amp; Fuels'!G277</f>
        <v>0</v>
      </c>
      <c r="Q1046" s="193" t="str">
        <f>'Buildings - Heat &amp; Fuels'!H277</f>
        <v/>
      </c>
      <c r="R1046" s="193">
        <f>'Buildings - Heat &amp; Fuels'!I277</f>
        <v>0</v>
      </c>
      <c r="S1046" s="193">
        <f>'Buildings - Heat &amp; Fuels'!J277</f>
        <v>0</v>
      </c>
      <c r="T1046" s="193" t="str">
        <f>'Buildings - Heat &amp; Fuels'!K277</f>
        <v/>
      </c>
      <c r="U1046" s="193" t="str">
        <f>'Buildings - Heat &amp; Fuels'!L277</f>
        <v/>
      </c>
      <c r="V1046" s="193" t="str">
        <f>'Buildings - Heat &amp; Fuels'!M277</f>
        <v/>
      </c>
      <c r="W1046" s="193" t="str">
        <f>'Buildings - Heat &amp; Fuels'!N277</f>
        <v/>
      </c>
      <c r="X1046" s="193">
        <f>'Buildings - Heat &amp; Fuels'!O277</f>
        <v>0</v>
      </c>
      <c r="Y1046" s="193">
        <f>'Buildings - Heat &amp; Fuels'!P277</f>
        <v>0</v>
      </c>
      <c r="Z1046" s="193" t="str">
        <f>'Buildings - Heat &amp; Fuels'!Q277</f>
        <v/>
      </c>
      <c r="AA1046" s="193" t="str">
        <f>'Buildings - Heat &amp; Fuels'!R277</f>
        <v/>
      </c>
      <c r="AB1046" s="193" t="str">
        <f>'Buildings - Heat &amp; Fuels'!S277</f>
        <v/>
      </c>
      <c r="AC1046" s="193" t="str">
        <f>'Buildings - Heat &amp; Fuels'!T277</f>
        <v/>
      </c>
      <c r="AD1046" s="193" t="str">
        <f>'Buildings - Heat &amp; Fuels'!U277</f>
        <v/>
      </c>
      <c r="AE1046" s="193" t="str">
        <f>'Buildings - Heat &amp; Fuels'!V277</f>
        <v/>
      </c>
      <c r="AF1046" s="193" t="str">
        <f>'Buildings - Heat &amp; Fuels'!W277</f>
        <v/>
      </c>
      <c r="AG1046" s="193" t="str">
        <f>'Buildings - Heat &amp; Fuels'!X277</f>
        <v/>
      </c>
      <c r="AI1046" s="193">
        <f t="shared" si="18"/>
        <v>0</v>
      </c>
      <c r="AJ1046" s="193">
        <f t="shared" si="19"/>
        <v>0</v>
      </c>
    </row>
    <row r="1047" spans="2:36" x14ac:dyDescent="0.35">
      <c r="B1047" s="193" t="e">
        <f>"2024"&amp;MATCH(Totals!D1047,OrgType,0)&amp;"_"&amp;MATCH(Totals!E1047,Organisations,0)&amp;"_"&amp;LEFT(Totals!F1047,1)&amp;"_"&amp;LEFT(G1047,1)&amp;"_"&amp;COUNTIF($G$3:G1047,G1047)</f>
        <v>#N/A</v>
      </c>
      <c r="C1047" s="193">
        <v>2025</v>
      </c>
      <c r="D1047" s="193">
        <f>Introduction!$D$7</f>
        <v>0</v>
      </c>
      <c r="E1047" s="193">
        <f>Introduction!$D$8</f>
        <v>0</v>
      </c>
      <c r="F1047" s="193" t="s">
        <v>488</v>
      </c>
      <c r="G1047" s="193" t="s">
        <v>490</v>
      </c>
      <c r="H1047" s="193">
        <f>'Buildings - Heat &amp; Fuels'!B278</f>
        <v>0</v>
      </c>
      <c r="I1047" s="193">
        <f>'Buildings - Heat &amp; Fuels'!C278</f>
        <v>0</v>
      </c>
      <c r="J1047" s="193" t="str">
        <f>'Buildings - Heat &amp; Fuels'!D278</f>
        <v/>
      </c>
      <c r="K1047" s="237"/>
      <c r="L1047" s="237"/>
      <c r="M1047" s="193">
        <f>'Buildings - Heat &amp; Fuels'!E278</f>
        <v>0</v>
      </c>
      <c r="N1047" s="193">
        <f>'Buildings - Heat &amp; Fuels'!F278</f>
        <v>0</v>
      </c>
      <c r="O1047" s="237"/>
      <c r="P1047" s="193">
        <f>'Buildings - Heat &amp; Fuels'!G278</f>
        <v>0</v>
      </c>
      <c r="Q1047" s="193" t="str">
        <f>'Buildings - Heat &amp; Fuels'!H278</f>
        <v/>
      </c>
      <c r="R1047" s="193">
        <f>'Buildings - Heat &amp; Fuels'!I278</f>
        <v>0</v>
      </c>
      <c r="S1047" s="193">
        <f>'Buildings - Heat &amp; Fuels'!J278</f>
        <v>0</v>
      </c>
      <c r="T1047" s="193" t="str">
        <f>'Buildings - Heat &amp; Fuels'!K278</f>
        <v/>
      </c>
      <c r="U1047" s="193" t="str">
        <f>'Buildings - Heat &amp; Fuels'!L278</f>
        <v/>
      </c>
      <c r="V1047" s="193" t="str">
        <f>'Buildings - Heat &amp; Fuels'!M278</f>
        <v/>
      </c>
      <c r="W1047" s="193" t="str">
        <f>'Buildings - Heat &amp; Fuels'!N278</f>
        <v/>
      </c>
      <c r="X1047" s="193">
        <f>'Buildings - Heat &amp; Fuels'!O278</f>
        <v>0</v>
      </c>
      <c r="Y1047" s="193">
        <f>'Buildings - Heat &amp; Fuels'!P278</f>
        <v>0</v>
      </c>
      <c r="Z1047" s="193" t="str">
        <f>'Buildings - Heat &amp; Fuels'!Q278</f>
        <v/>
      </c>
      <c r="AA1047" s="193" t="str">
        <f>'Buildings - Heat &amp; Fuels'!R278</f>
        <v/>
      </c>
      <c r="AB1047" s="193" t="str">
        <f>'Buildings - Heat &amp; Fuels'!S278</f>
        <v/>
      </c>
      <c r="AC1047" s="193" t="str">
        <f>'Buildings - Heat &amp; Fuels'!T278</f>
        <v/>
      </c>
      <c r="AD1047" s="193" t="str">
        <f>'Buildings - Heat &amp; Fuels'!U278</f>
        <v/>
      </c>
      <c r="AE1047" s="193" t="str">
        <f>'Buildings - Heat &amp; Fuels'!V278</f>
        <v/>
      </c>
      <c r="AF1047" s="193" t="str">
        <f>'Buildings - Heat &amp; Fuels'!W278</f>
        <v/>
      </c>
      <c r="AG1047" s="193" t="str">
        <f>'Buildings - Heat &amp; Fuels'!X278</f>
        <v/>
      </c>
      <c r="AI1047" s="193">
        <f t="shared" si="18"/>
        <v>0</v>
      </c>
      <c r="AJ1047" s="193">
        <f t="shared" si="19"/>
        <v>0</v>
      </c>
    </row>
    <row r="1048" spans="2:36" x14ac:dyDescent="0.35">
      <c r="B1048" s="193" t="e">
        <f>"2024"&amp;MATCH(Totals!D1048,OrgType,0)&amp;"_"&amp;MATCH(Totals!E1048,Organisations,0)&amp;"_"&amp;LEFT(Totals!F1048,1)&amp;"_"&amp;LEFT(G1048,1)&amp;"_"&amp;COUNTIF($G$3:G1048,G1048)</f>
        <v>#N/A</v>
      </c>
      <c r="C1048" s="193">
        <v>2025</v>
      </c>
      <c r="D1048" s="193">
        <f>Introduction!$D$7</f>
        <v>0</v>
      </c>
      <c r="E1048" s="193">
        <f>Introduction!$D$8</f>
        <v>0</v>
      </c>
      <c r="F1048" s="193" t="s">
        <v>488</v>
      </c>
      <c r="G1048" s="193" t="s">
        <v>490</v>
      </c>
      <c r="H1048" s="193">
        <f>'Buildings - Heat &amp; Fuels'!B279</f>
        <v>0</v>
      </c>
      <c r="I1048" s="193">
        <f>'Buildings - Heat &amp; Fuels'!C279</f>
        <v>0</v>
      </c>
      <c r="J1048" s="193" t="str">
        <f>'Buildings - Heat &amp; Fuels'!D279</f>
        <v/>
      </c>
      <c r="K1048" s="237"/>
      <c r="L1048" s="237"/>
      <c r="M1048" s="193">
        <f>'Buildings - Heat &amp; Fuels'!E279</f>
        <v>0</v>
      </c>
      <c r="N1048" s="193">
        <f>'Buildings - Heat &amp; Fuels'!F279</f>
        <v>0</v>
      </c>
      <c r="O1048" s="237"/>
      <c r="P1048" s="193">
        <f>'Buildings - Heat &amp; Fuels'!G279</f>
        <v>0</v>
      </c>
      <c r="Q1048" s="193" t="str">
        <f>'Buildings - Heat &amp; Fuels'!H279</f>
        <v/>
      </c>
      <c r="R1048" s="193">
        <f>'Buildings - Heat &amp; Fuels'!I279</f>
        <v>0</v>
      </c>
      <c r="S1048" s="193">
        <f>'Buildings - Heat &amp; Fuels'!J279</f>
        <v>0</v>
      </c>
      <c r="T1048" s="193" t="str">
        <f>'Buildings - Heat &amp; Fuels'!K279</f>
        <v/>
      </c>
      <c r="U1048" s="193" t="str">
        <f>'Buildings - Heat &amp; Fuels'!L279</f>
        <v/>
      </c>
      <c r="V1048" s="193" t="str">
        <f>'Buildings - Heat &amp; Fuels'!M279</f>
        <v/>
      </c>
      <c r="W1048" s="193" t="str">
        <f>'Buildings - Heat &amp; Fuels'!N279</f>
        <v/>
      </c>
      <c r="X1048" s="193">
        <f>'Buildings - Heat &amp; Fuels'!O279</f>
        <v>0</v>
      </c>
      <c r="Y1048" s="193">
        <f>'Buildings - Heat &amp; Fuels'!P279</f>
        <v>0</v>
      </c>
      <c r="Z1048" s="193" t="str">
        <f>'Buildings - Heat &amp; Fuels'!Q279</f>
        <v/>
      </c>
      <c r="AA1048" s="193" t="str">
        <f>'Buildings - Heat &amp; Fuels'!R279</f>
        <v/>
      </c>
      <c r="AB1048" s="193" t="str">
        <f>'Buildings - Heat &amp; Fuels'!S279</f>
        <v/>
      </c>
      <c r="AC1048" s="193" t="str">
        <f>'Buildings - Heat &amp; Fuels'!T279</f>
        <v/>
      </c>
      <c r="AD1048" s="193" t="str">
        <f>'Buildings - Heat &amp; Fuels'!U279</f>
        <v/>
      </c>
      <c r="AE1048" s="193" t="str">
        <f>'Buildings - Heat &amp; Fuels'!V279</f>
        <v/>
      </c>
      <c r="AF1048" s="193" t="str">
        <f>'Buildings - Heat &amp; Fuels'!W279</f>
        <v/>
      </c>
      <c r="AG1048" s="193" t="str">
        <f>'Buildings - Heat &amp; Fuels'!X279</f>
        <v/>
      </c>
      <c r="AI1048" s="193">
        <f t="shared" si="18"/>
        <v>0</v>
      </c>
      <c r="AJ1048" s="193">
        <f t="shared" si="19"/>
        <v>0</v>
      </c>
    </row>
    <row r="1049" spans="2:36" x14ac:dyDescent="0.35">
      <c r="B1049" s="193" t="e">
        <f>"2024"&amp;MATCH(Totals!D1049,OrgType,0)&amp;"_"&amp;MATCH(Totals!E1049,Organisations,0)&amp;"_"&amp;LEFT(Totals!F1049,1)&amp;"_"&amp;LEFT(G1049,1)&amp;"_"&amp;COUNTIF($G$3:G1049,G1049)</f>
        <v>#N/A</v>
      </c>
      <c r="C1049" s="193">
        <v>2025</v>
      </c>
      <c r="D1049" s="193">
        <f>Introduction!$D$7</f>
        <v>0</v>
      </c>
      <c r="E1049" s="193">
        <f>Introduction!$D$8</f>
        <v>0</v>
      </c>
      <c r="F1049" s="193" t="s">
        <v>488</v>
      </c>
      <c r="G1049" s="193" t="s">
        <v>490</v>
      </c>
      <c r="H1049" s="193">
        <f>'Buildings - Heat &amp; Fuels'!B280</f>
        <v>0</v>
      </c>
      <c r="I1049" s="193">
        <f>'Buildings - Heat &amp; Fuels'!C280</f>
        <v>0</v>
      </c>
      <c r="J1049" s="193" t="str">
        <f>'Buildings - Heat &amp; Fuels'!D280</f>
        <v/>
      </c>
      <c r="K1049" s="237"/>
      <c r="L1049" s="237"/>
      <c r="M1049" s="193">
        <f>'Buildings - Heat &amp; Fuels'!E280</f>
        <v>0</v>
      </c>
      <c r="N1049" s="193">
        <f>'Buildings - Heat &amp; Fuels'!F280</f>
        <v>0</v>
      </c>
      <c r="O1049" s="237"/>
      <c r="P1049" s="193">
        <f>'Buildings - Heat &amp; Fuels'!G280</f>
        <v>0</v>
      </c>
      <c r="Q1049" s="193" t="str">
        <f>'Buildings - Heat &amp; Fuels'!H280</f>
        <v/>
      </c>
      <c r="R1049" s="193">
        <f>'Buildings - Heat &amp; Fuels'!I280</f>
        <v>0</v>
      </c>
      <c r="S1049" s="193">
        <f>'Buildings - Heat &amp; Fuels'!J280</f>
        <v>0</v>
      </c>
      <c r="T1049" s="193" t="str">
        <f>'Buildings - Heat &amp; Fuels'!K280</f>
        <v/>
      </c>
      <c r="U1049" s="193" t="str">
        <f>'Buildings - Heat &amp; Fuels'!L280</f>
        <v/>
      </c>
      <c r="V1049" s="193" t="str">
        <f>'Buildings - Heat &amp; Fuels'!M280</f>
        <v/>
      </c>
      <c r="W1049" s="193" t="str">
        <f>'Buildings - Heat &amp; Fuels'!N280</f>
        <v/>
      </c>
      <c r="X1049" s="193">
        <f>'Buildings - Heat &amp; Fuels'!O280</f>
        <v>0</v>
      </c>
      <c r="Y1049" s="193">
        <f>'Buildings - Heat &amp; Fuels'!P280</f>
        <v>0</v>
      </c>
      <c r="Z1049" s="193" t="str">
        <f>'Buildings - Heat &amp; Fuels'!Q280</f>
        <v/>
      </c>
      <c r="AA1049" s="193" t="str">
        <f>'Buildings - Heat &amp; Fuels'!R280</f>
        <v/>
      </c>
      <c r="AB1049" s="193" t="str">
        <f>'Buildings - Heat &amp; Fuels'!S280</f>
        <v/>
      </c>
      <c r="AC1049" s="193" t="str">
        <f>'Buildings - Heat &amp; Fuels'!T280</f>
        <v/>
      </c>
      <c r="AD1049" s="193" t="str">
        <f>'Buildings - Heat &amp; Fuels'!U280</f>
        <v/>
      </c>
      <c r="AE1049" s="193" t="str">
        <f>'Buildings - Heat &amp; Fuels'!V280</f>
        <v/>
      </c>
      <c r="AF1049" s="193" t="str">
        <f>'Buildings - Heat &amp; Fuels'!W280</f>
        <v/>
      </c>
      <c r="AG1049" s="193" t="str">
        <f>'Buildings - Heat &amp; Fuels'!X280</f>
        <v/>
      </c>
      <c r="AI1049" s="193">
        <f t="shared" si="18"/>
        <v>0</v>
      </c>
      <c r="AJ1049" s="193">
        <f t="shared" si="19"/>
        <v>0</v>
      </c>
    </row>
    <row r="1050" spans="2:36" x14ac:dyDescent="0.35">
      <c r="B1050" s="193" t="e">
        <f>"2024"&amp;MATCH(Totals!D1050,OrgType,0)&amp;"_"&amp;MATCH(Totals!E1050,Organisations,0)&amp;"_"&amp;LEFT(Totals!F1050,1)&amp;"_"&amp;LEFT(G1050,1)&amp;"_"&amp;COUNTIF($G$3:G1050,G1050)</f>
        <v>#N/A</v>
      </c>
      <c r="C1050" s="193">
        <v>2025</v>
      </c>
      <c r="D1050" s="193">
        <f>Introduction!$D$7</f>
        <v>0</v>
      </c>
      <c r="E1050" s="193">
        <f>Introduction!$D$8</f>
        <v>0</v>
      </c>
      <c r="F1050" s="193" t="s">
        <v>488</v>
      </c>
      <c r="G1050" s="193" t="s">
        <v>490</v>
      </c>
      <c r="H1050" s="193">
        <f>'Buildings - Heat &amp; Fuels'!B281</f>
        <v>0</v>
      </c>
      <c r="I1050" s="193">
        <f>'Buildings - Heat &amp; Fuels'!C281</f>
        <v>0</v>
      </c>
      <c r="J1050" s="193" t="str">
        <f>'Buildings - Heat &amp; Fuels'!D281</f>
        <v/>
      </c>
      <c r="K1050" s="237"/>
      <c r="L1050" s="237"/>
      <c r="M1050" s="193">
        <f>'Buildings - Heat &amp; Fuels'!E281</f>
        <v>0</v>
      </c>
      <c r="N1050" s="193">
        <f>'Buildings - Heat &amp; Fuels'!F281</f>
        <v>0</v>
      </c>
      <c r="O1050" s="237"/>
      <c r="P1050" s="193">
        <f>'Buildings - Heat &amp; Fuels'!G281</f>
        <v>0</v>
      </c>
      <c r="Q1050" s="193" t="str">
        <f>'Buildings - Heat &amp; Fuels'!H281</f>
        <v/>
      </c>
      <c r="R1050" s="193">
        <f>'Buildings - Heat &amp; Fuels'!I281</f>
        <v>0</v>
      </c>
      <c r="S1050" s="193">
        <f>'Buildings - Heat &amp; Fuels'!J281</f>
        <v>0</v>
      </c>
      <c r="T1050" s="193" t="str">
        <f>'Buildings - Heat &amp; Fuels'!K281</f>
        <v/>
      </c>
      <c r="U1050" s="193" t="str">
        <f>'Buildings - Heat &amp; Fuels'!L281</f>
        <v/>
      </c>
      <c r="V1050" s="193" t="str">
        <f>'Buildings - Heat &amp; Fuels'!M281</f>
        <v/>
      </c>
      <c r="W1050" s="193" t="str">
        <f>'Buildings - Heat &amp; Fuels'!N281</f>
        <v/>
      </c>
      <c r="X1050" s="193">
        <f>'Buildings - Heat &amp; Fuels'!O281</f>
        <v>0</v>
      </c>
      <c r="Y1050" s="193">
        <f>'Buildings - Heat &amp; Fuels'!P281</f>
        <v>0</v>
      </c>
      <c r="Z1050" s="193" t="str">
        <f>'Buildings - Heat &amp; Fuels'!Q281</f>
        <v/>
      </c>
      <c r="AA1050" s="193" t="str">
        <f>'Buildings - Heat &amp; Fuels'!R281</f>
        <v/>
      </c>
      <c r="AB1050" s="193" t="str">
        <f>'Buildings - Heat &amp; Fuels'!S281</f>
        <v/>
      </c>
      <c r="AC1050" s="193" t="str">
        <f>'Buildings - Heat &amp; Fuels'!T281</f>
        <v/>
      </c>
      <c r="AD1050" s="193" t="str">
        <f>'Buildings - Heat &amp; Fuels'!U281</f>
        <v/>
      </c>
      <c r="AE1050" s="193" t="str">
        <f>'Buildings - Heat &amp; Fuels'!V281</f>
        <v/>
      </c>
      <c r="AF1050" s="193" t="str">
        <f>'Buildings - Heat &amp; Fuels'!W281</f>
        <v/>
      </c>
      <c r="AG1050" s="193" t="str">
        <f>'Buildings - Heat &amp; Fuels'!X281</f>
        <v/>
      </c>
      <c r="AI1050" s="193">
        <f t="shared" si="18"/>
        <v>0</v>
      </c>
      <c r="AJ1050" s="193">
        <f t="shared" si="19"/>
        <v>0</v>
      </c>
    </row>
    <row r="1051" spans="2:36" x14ac:dyDescent="0.35">
      <c r="B1051" s="193" t="e">
        <f>"2024"&amp;MATCH(Totals!D1051,OrgType,0)&amp;"_"&amp;MATCH(Totals!E1051,Organisations,0)&amp;"_"&amp;LEFT(Totals!F1051,1)&amp;"_"&amp;LEFT(G1051,1)&amp;"_"&amp;COUNTIF($G$3:G1051,G1051)</f>
        <v>#N/A</v>
      </c>
      <c r="C1051" s="193">
        <v>2025</v>
      </c>
      <c r="D1051" s="193">
        <f>Introduction!$D$7</f>
        <v>0</v>
      </c>
      <c r="E1051" s="193">
        <f>Introduction!$D$8</f>
        <v>0</v>
      </c>
      <c r="F1051" s="193" t="s">
        <v>488</v>
      </c>
      <c r="G1051" s="193" t="s">
        <v>490</v>
      </c>
      <c r="H1051" s="193">
        <f>'Buildings - Heat &amp; Fuels'!B282</f>
        <v>0</v>
      </c>
      <c r="I1051" s="193">
        <f>'Buildings - Heat &amp; Fuels'!C282</f>
        <v>0</v>
      </c>
      <c r="J1051" s="193" t="str">
        <f>'Buildings - Heat &amp; Fuels'!D282</f>
        <v/>
      </c>
      <c r="K1051" s="237"/>
      <c r="L1051" s="237"/>
      <c r="M1051" s="193">
        <f>'Buildings - Heat &amp; Fuels'!E282</f>
        <v>0</v>
      </c>
      <c r="N1051" s="193">
        <f>'Buildings - Heat &amp; Fuels'!F282</f>
        <v>0</v>
      </c>
      <c r="O1051" s="237"/>
      <c r="P1051" s="193">
        <f>'Buildings - Heat &amp; Fuels'!G282</f>
        <v>0</v>
      </c>
      <c r="Q1051" s="193" t="str">
        <f>'Buildings - Heat &amp; Fuels'!H282</f>
        <v/>
      </c>
      <c r="R1051" s="193">
        <f>'Buildings - Heat &amp; Fuels'!I282</f>
        <v>0</v>
      </c>
      <c r="S1051" s="193">
        <f>'Buildings - Heat &amp; Fuels'!J282</f>
        <v>0</v>
      </c>
      <c r="T1051" s="193" t="str">
        <f>'Buildings - Heat &amp; Fuels'!K282</f>
        <v/>
      </c>
      <c r="U1051" s="193" t="str">
        <f>'Buildings - Heat &amp; Fuels'!L282</f>
        <v/>
      </c>
      <c r="V1051" s="193" t="str">
        <f>'Buildings - Heat &amp; Fuels'!M282</f>
        <v/>
      </c>
      <c r="W1051" s="193" t="str">
        <f>'Buildings - Heat &amp; Fuels'!N282</f>
        <v/>
      </c>
      <c r="X1051" s="193">
        <f>'Buildings - Heat &amp; Fuels'!O282</f>
        <v>0</v>
      </c>
      <c r="Y1051" s="193">
        <f>'Buildings - Heat &amp; Fuels'!P282</f>
        <v>0</v>
      </c>
      <c r="Z1051" s="193" t="str">
        <f>'Buildings - Heat &amp; Fuels'!Q282</f>
        <v/>
      </c>
      <c r="AA1051" s="193" t="str">
        <f>'Buildings - Heat &amp; Fuels'!R282</f>
        <v/>
      </c>
      <c r="AB1051" s="193" t="str">
        <f>'Buildings - Heat &amp; Fuels'!S282</f>
        <v/>
      </c>
      <c r="AC1051" s="193" t="str">
        <f>'Buildings - Heat &amp; Fuels'!T282</f>
        <v/>
      </c>
      <c r="AD1051" s="193" t="str">
        <f>'Buildings - Heat &amp; Fuels'!U282</f>
        <v/>
      </c>
      <c r="AE1051" s="193" t="str">
        <f>'Buildings - Heat &amp; Fuels'!V282</f>
        <v/>
      </c>
      <c r="AF1051" s="193" t="str">
        <f>'Buildings - Heat &amp; Fuels'!W282</f>
        <v/>
      </c>
      <c r="AG1051" s="193" t="str">
        <f>'Buildings - Heat &amp; Fuels'!X282</f>
        <v/>
      </c>
      <c r="AI1051" s="193">
        <f t="shared" si="18"/>
        <v>0</v>
      </c>
      <c r="AJ1051" s="193">
        <f t="shared" si="19"/>
        <v>0</v>
      </c>
    </row>
    <row r="1052" spans="2:36" x14ac:dyDescent="0.35">
      <c r="B1052" s="193" t="e">
        <f>"2024"&amp;MATCH(Totals!D1052,OrgType,0)&amp;"_"&amp;MATCH(Totals!E1052,Organisations,0)&amp;"_"&amp;LEFT(Totals!F1052,1)&amp;"_"&amp;LEFT(G1052,1)&amp;"_"&amp;COUNTIF($G$3:G1052,G1052)</f>
        <v>#N/A</v>
      </c>
      <c r="C1052" s="193">
        <v>2025</v>
      </c>
      <c r="D1052" s="193">
        <f>Introduction!$D$7</f>
        <v>0</v>
      </c>
      <c r="E1052" s="193">
        <f>Introduction!$D$8</f>
        <v>0</v>
      </c>
      <c r="F1052" s="193" t="s">
        <v>488</v>
      </c>
      <c r="G1052" s="193" t="s">
        <v>490</v>
      </c>
      <c r="H1052" s="193">
        <f>'Buildings - Heat &amp; Fuels'!B283</f>
        <v>0</v>
      </c>
      <c r="I1052" s="193">
        <f>'Buildings - Heat &amp; Fuels'!C283</f>
        <v>0</v>
      </c>
      <c r="J1052" s="193" t="str">
        <f>'Buildings - Heat &amp; Fuels'!D283</f>
        <v/>
      </c>
      <c r="K1052" s="237"/>
      <c r="L1052" s="237"/>
      <c r="M1052" s="193">
        <f>'Buildings - Heat &amp; Fuels'!E283</f>
        <v>0</v>
      </c>
      <c r="N1052" s="193">
        <f>'Buildings - Heat &amp; Fuels'!F283</f>
        <v>0</v>
      </c>
      <c r="O1052" s="237"/>
      <c r="P1052" s="193">
        <f>'Buildings - Heat &amp; Fuels'!G283</f>
        <v>0</v>
      </c>
      <c r="Q1052" s="193" t="str">
        <f>'Buildings - Heat &amp; Fuels'!H283</f>
        <v/>
      </c>
      <c r="R1052" s="193">
        <f>'Buildings - Heat &amp; Fuels'!I283</f>
        <v>0</v>
      </c>
      <c r="S1052" s="193">
        <f>'Buildings - Heat &amp; Fuels'!J283</f>
        <v>0</v>
      </c>
      <c r="T1052" s="193" t="str">
        <f>'Buildings - Heat &amp; Fuels'!K283</f>
        <v/>
      </c>
      <c r="U1052" s="193" t="str">
        <f>'Buildings - Heat &amp; Fuels'!L283</f>
        <v/>
      </c>
      <c r="V1052" s="193" t="str">
        <f>'Buildings - Heat &amp; Fuels'!M283</f>
        <v/>
      </c>
      <c r="W1052" s="193" t="str">
        <f>'Buildings - Heat &amp; Fuels'!N283</f>
        <v/>
      </c>
      <c r="X1052" s="193">
        <f>'Buildings - Heat &amp; Fuels'!O283</f>
        <v>0</v>
      </c>
      <c r="Y1052" s="193">
        <f>'Buildings - Heat &amp; Fuels'!P283</f>
        <v>0</v>
      </c>
      <c r="Z1052" s="193" t="str">
        <f>'Buildings - Heat &amp; Fuels'!Q283</f>
        <v/>
      </c>
      <c r="AA1052" s="193" t="str">
        <f>'Buildings - Heat &amp; Fuels'!R283</f>
        <v/>
      </c>
      <c r="AB1052" s="193" t="str">
        <f>'Buildings - Heat &amp; Fuels'!S283</f>
        <v/>
      </c>
      <c r="AC1052" s="193" t="str">
        <f>'Buildings - Heat &amp; Fuels'!T283</f>
        <v/>
      </c>
      <c r="AD1052" s="193" t="str">
        <f>'Buildings - Heat &amp; Fuels'!U283</f>
        <v/>
      </c>
      <c r="AE1052" s="193" t="str">
        <f>'Buildings - Heat &amp; Fuels'!V283</f>
        <v/>
      </c>
      <c r="AF1052" s="193" t="str">
        <f>'Buildings - Heat &amp; Fuels'!W283</f>
        <v/>
      </c>
      <c r="AG1052" s="193" t="str">
        <f>'Buildings - Heat &amp; Fuels'!X283</f>
        <v/>
      </c>
      <c r="AI1052" s="193">
        <f t="shared" si="18"/>
        <v>0</v>
      </c>
      <c r="AJ1052" s="193">
        <f t="shared" si="19"/>
        <v>0</v>
      </c>
    </row>
    <row r="1053" spans="2:36" x14ac:dyDescent="0.35">
      <c r="B1053" s="193" t="e">
        <f>"2024"&amp;MATCH(Totals!D1053,OrgType,0)&amp;"_"&amp;MATCH(Totals!E1053,Organisations,0)&amp;"_"&amp;LEFT(Totals!F1053,1)&amp;"_"&amp;LEFT(G1053,1)&amp;"_"&amp;COUNTIF($G$3:G1053,G1053)</f>
        <v>#N/A</v>
      </c>
      <c r="C1053" s="193">
        <v>2025</v>
      </c>
      <c r="D1053" s="193">
        <f>Introduction!$D$7</f>
        <v>0</v>
      </c>
      <c r="E1053" s="193">
        <f>Introduction!$D$8</f>
        <v>0</v>
      </c>
      <c r="F1053" s="193" t="s">
        <v>488</v>
      </c>
      <c r="G1053" s="193" t="s">
        <v>490</v>
      </c>
      <c r="H1053" s="193">
        <f>'Buildings - Heat &amp; Fuels'!B284</f>
        <v>0</v>
      </c>
      <c r="I1053" s="193">
        <f>'Buildings - Heat &amp; Fuels'!C284</f>
        <v>0</v>
      </c>
      <c r="J1053" s="193" t="str">
        <f>'Buildings - Heat &amp; Fuels'!D284</f>
        <v/>
      </c>
      <c r="K1053" s="237"/>
      <c r="L1053" s="237"/>
      <c r="M1053" s="193">
        <f>'Buildings - Heat &amp; Fuels'!E284</f>
        <v>0</v>
      </c>
      <c r="N1053" s="193">
        <f>'Buildings - Heat &amp; Fuels'!F284</f>
        <v>0</v>
      </c>
      <c r="O1053" s="237"/>
      <c r="P1053" s="193">
        <f>'Buildings - Heat &amp; Fuels'!G284</f>
        <v>0</v>
      </c>
      <c r="Q1053" s="193" t="str">
        <f>'Buildings - Heat &amp; Fuels'!H284</f>
        <v/>
      </c>
      <c r="R1053" s="193">
        <f>'Buildings - Heat &amp; Fuels'!I284</f>
        <v>0</v>
      </c>
      <c r="S1053" s="193">
        <f>'Buildings - Heat &amp; Fuels'!J284</f>
        <v>0</v>
      </c>
      <c r="T1053" s="193" t="str">
        <f>'Buildings - Heat &amp; Fuels'!K284</f>
        <v/>
      </c>
      <c r="U1053" s="193" t="str">
        <f>'Buildings - Heat &amp; Fuels'!L284</f>
        <v/>
      </c>
      <c r="V1053" s="193" t="str">
        <f>'Buildings - Heat &amp; Fuels'!M284</f>
        <v/>
      </c>
      <c r="W1053" s="193" t="str">
        <f>'Buildings - Heat &amp; Fuels'!N284</f>
        <v/>
      </c>
      <c r="X1053" s="193">
        <f>'Buildings - Heat &amp; Fuels'!O284</f>
        <v>0</v>
      </c>
      <c r="Y1053" s="193">
        <f>'Buildings - Heat &amp; Fuels'!P284</f>
        <v>0</v>
      </c>
      <c r="Z1053" s="193" t="str">
        <f>'Buildings - Heat &amp; Fuels'!Q284</f>
        <v/>
      </c>
      <c r="AA1053" s="193" t="str">
        <f>'Buildings - Heat &amp; Fuels'!R284</f>
        <v/>
      </c>
      <c r="AB1053" s="193" t="str">
        <f>'Buildings - Heat &amp; Fuels'!S284</f>
        <v/>
      </c>
      <c r="AC1053" s="193" t="str">
        <f>'Buildings - Heat &amp; Fuels'!T284</f>
        <v/>
      </c>
      <c r="AD1053" s="193" t="str">
        <f>'Buildings - Heat &amp; Fuels'!U284</f>
        <v/>
      </c>
      <c r="AE1053" s="193" t="str">
        <f>'Buildings - Heat &amp; Fuels'!V284</f>
        <v/>
      </c>
      <c r="AF1053" s="193" t="str">
        <f>'Buildings - Heat &amp; Fuels'!W284</f>
        <v/>
      </c>
      <c r="AG1053" s="193" t="str">
        <f>'Buildings - Heat &amp; Fuels'!X284</f>
        <v/>
      </c>
      <c r="AI1053" s="193">
        <f t="shared" si="18"/>
        <v>0</v>
      </c>
      <c r="AJ1053" s="193">
        <f t="shared" si="19"/>
        <v>0</v>
      </c>
    </row>
    <row r="1054" spans="2:36" x14ac:dyDescent="0.35">
      <c r="B1054" s="193" t="e">
        <f>"2024"&amp;MATCH(Totals!D1054,OrgType,0)&amp;"_"&amp;MATCH(Totals!E1054,Organisations,0)&amp;"_"&amp;LEFT(Totals!F1054,1)&amp;"_"&amp;LEFT(G1054,1)&amp;"_"&amp;COUNTIF($G$3:G1054,G1054)</f>
        <v>#N/A</v>
      </c>
      <c r="C1054" s="193">
        <v>2025</v>
      </c>
      <c r="D1054" s="193">
        <f>Introduction!$D$7</f>
        <v>0</v>
      </c>
      <c r="E1054" s="193">
        <f>Introduction!$D$8</f>
        <v>0</v>
      </c>
      <c r="F1054" s="193" t="s">
        <v>488</v>
      </c>
      <c r="G1054" s="193" t="s">
        <v>490</v>
      </c>
      <c r="H1054" s="193">
        <f>'Buildings - Heat &amp; Fuels'!B285</f>
        <v>0</v>
      </c>
      <c r="I1054" s="193">
        <f>'Buildings - Heat &amp; Fuels'!C285</f>
        <v>0</v>
      </c>
      <c r="J1054" s="193" t="str">
        <f>'Buildings - Heat &amp; Fuels'!D285</f>
        <v/>
      </c>
      <c r="K1054" s="237"/>
      <c r="L1054" s="237"/>
      <c r="M1054" s="193">
        <f>'Buildings - Heat &amp; Fuels'!E285</f>
        <v>0</v>
      </c>
      <c r="N1054" s="193">
        <f>'Buildings - Heat &amp; Fuels'!F285</f>
        <v>0</v>
      </c>
      <c r="O1054" s="237"/>
      <c r="P1054" s="193">
        <f>'Buildings - Heat &amp; Fuels'!G285</f>
        <v>0</v>
      </c>
      <c r="Q1054" s="193" t="str">
        <f>'Buildings - Heat &amp; Fuels'!H285</f>
        <v/>
      </c>
      <c r="R1054" s="193">
        <f>'Buildings - Heat &amp; Fuels'!I285</f>
        <v>0</v>
      </c>
      <c r="S1054" s="193">
        <f>'Buildings - Heat &amp; Fuels'!J285</f>
        <v>0</v>
      </c>
      <c r="T1054" s="193" t="str">
        <f>'Buildings - Heat &amp; Fuels'!K285</f>
        <v/>
      </c>
      <c r="U1054" s="193" t="str">
        <f>'Buildings - Heat &amp; Fuels'!L285</f>
        <v/>
      </c>
      <c r="V1054" s="193" t="str">
        <f>'Buildings - Heat &amp; Fuels'!M285</f>
        <v/>
      </c>
      <c r="W1054" s="193" t="str">
        <f>'Buildings - Heat &amp; Fuels'!N285</f>
        <v/>
      </c>
      <c r="X1054" s="193">
        <f>'Buildings - Heat &amp; Fuels'!O285</f>
        <v>0</v>
      </c>
      <c r="Y1054" s="193">
        <f>'Buildings - Heat &amp; Fuels'!P285</f>
        <v>0</v>
      </c>
      <c r="Z1054" s="193" t="str">
        <f>'Buildings - Heat &amp; Fuels'!Q285</f>
        <v/>
      </c>
      <c r="AA1054" s="193" t="str">
        <f>'Buildings - Heat &amp; Fuels'!R285</f>
        <v/>
      </c>
      <c r="AB1054" s="193" t="str">
        <f>'Buildings - Heat &amp; Fuels'!S285</f>
        <v/>
      </c>
      <c r="AC1054" s="193" t="str">
        <f>'Buildings - Heat &amp; Fuels'!T285</f>
        <v/>
      </c>
      <c r="AD1054" s="193" t="str">
        <f>'Buildings - Heat &amp; Fuels'!U285</f>
        <v/>
      </c>
      <c r="AE1054" s="193" t="str">
        <f>'Buildings - Heat &amp; Fuels'!V285</f>
        <v/>
      </c>
      <c r="AF1054" s="193" t="str">
        <f>'Buildings - Heat &amp; Fuels'!W285</f>
        <v/>
      </c>
      <c r="AG1054" s="193" t="str">
        <f>'Buildings - Heat &amp; Fuels'!X285</f>
        <v/>
      </c>
      <c r="AI1054" s="193">
        <f t="shared" si="18"/>
        <v>0</v>
      </c>
      <c r="AJ1054" s="193">
        <f t="shared" si="19"/>
        <v>0</v>
      </c>
    </row>
    <row r="1055" spans="2:36" x14ac:dyDescent="0.35">
      <c r="B1055" s="193" t="e">
        <f>"2024"&amp;MATCH(Totals!D1055,OrgType,0)&amp;"_"&amp;MATCH(Totals!E1055,Organisations,0)&amp;"_"&amp;LEFT(Totals!F1055,1)&amp;"_"&amp;LEFT(G1055,1)&amp;"_"&amp;COUNTIF($G$3:G1055,G1055)</f>
        <v>#N/A</v>
      </c>
      <c r="C1055" s="193">
        <v>2025</v>
      </c>
      <c r="D1055" s="193">
        <f>Introduction!$D$7</f>
        <v>0</v>
      </c>
      <c r="E1055" s="193">
        <f>Introduction!$D$8</f>
        <v>0</v>
      </c>
      <c r="F1055" s="193" t="s">
        <v>488</v>
      </c>
      <c r="G1055" s="193" t="s">
        <v>490</v>
      </c>
      <c r="H1055" s="193">
        <f>'Buildings - Heat &amp; Fuels'!B286</f>
        <v>0</v>
      </c>
      <c r="I1055" s="193">
        <f>'Buildings - Heat &amp; Fuels'!C286</f>
        <v>0</v>
      </c>
      <c r="J1055" s="193" t="str">
        <f>'Buildings - Heat &amp; Fuels'!D286</f>
        <v/>
      </c>
      <c r="K1055" s="237"/>
      <c r="L1055" s="237"/>
      <c r="M1055" s="193">
        <f>'Buildings - Heat &amp; Fuels'!E286</f>
        <v>0</v>
      </c>
      <c r="N1055" s="193">
        <f>'Buildings - Heat &amp; Fuels'!F286</f>
        <v>0</v>
      </c>
      <c r="O1055" s="237"/>
      <c r="P1055" s="193">
        <f>'Buildings - Heat &amp; Fuels'!G286</f>
        <v>0</v>
      </c>
      <c r="Q1055" s="193" t="str">
        <f>'Buildings - Heat &amp; Fuels'!H286</f>
        <v/>
      </c>
      <c r="R1055" s="193">
        <f>'Buildings - Heat &amp; Fuels'!I286</f>
        <v>0</v>
      </c>
      <c r="S1055" s="193">
        <f>'Buildings - Heat &amp; Fuels'!J286</f>
        <v>0</v>
      </c>
      <c r="T1055" s="193" t="str">
        <f>'Buildings - Heat &amp; Fuels'!K286</f>
        <v/>
      </c>
      <c r="U1055" s="193" t="str">
        <f>'Buildings - Heat &amp; Fuels'!L286</f>
        <v/>
      </c>
      <c r="V1055" s="193" t="str">
        <f>'Buildings - Heat &amp; Fuels'!M286</f>
        <v/>
      </c>
      <c r="W1055" s="193" t="str">
        <f>'Buildings - Heat &amp; Fuels'!N286</f>
        <v/>
      </c>
      <c r="X1055" s="193">
        <f>'Buildings - Heat &amp; Fuels'!O286</f>
        <v>0</v>
      </c>
      <c r="Y1055" s="193">
        <f>'Buildings - Heat &amp; Fuels'!P286</f>
        <v>0</v>
      </c>
      <c r="Z1055" s="193" t="str">
        <f>'Buildings - Heat &amp; Fuels'!Q286</f>
        <v/>
      </c>
      <c r="AA1055" s="193" t="str">
        <f>'Buildings - Heat &amp; Fuels'!R286</f>
        <v/>
      </c>
      <c r="AB1055" s="193" t="str">
        <f>'Buildings - Heat &amp; Fuels'!S286</f>
        <v/>
      </c>
      <c r="AC1055" s="193" t="str">
        <f>'Buildings - Heat &amp; Fuels'!T286</f>
        <v/>
      </c>
      <c r="AD1055" s="193" t="str">
        <f>'Buildings - Heat &amp; Fuels'!U286</f>
        <v/>
      </c>
      <c r="AE1055" s="193" t="str">
        <f>'Buildings - Heat &amp; Fuels'!V286</f>
        <v/>
      </c>
      <c r="AF1055" s="193" t="str">
        <f>'Buildings - Heat &amp; Fuels'!W286</f>
        <v/>
      </c>
      <c r="AG1055" s="193" t="str">
        <f>'Buildings - Heat &amp; Fuels'!X286</f>
        <v/>
      </c>
      <c r="AI1055" s="193">
        <f t="shared" si="18"/>
        <v>0</v>
      </c>
      <c r="AJ1055" s="193">
        <f t="shared" si="19"/>
        <v>0</v>
      </c>
    </row>
    <row r="1056" spans="2:36" x14ac:dyDescent="0.35">
      <c r="B1056" s="193" t="e">
        <f>"2024"&amp;MATCH(Totals!D1056,OrgType,0)&amp;"_"&amp;MATCH(Totals!E1056,Organisations,0)&amp;"_"&amp;LEFT(Totals!F1056,1)&amp;"_"&amp;LEFT(G1056,1)&amp;"_"&amp;COUNTIF($G$3:G1056,G1056)</f>
        <v>#N/A</v>
      </c>
      <c r="C1056" s="193">
        <v>2025</v>
      </c>
      <c r="D1056" s="193">
        <f>Introduction!$D$7</f>
        <v>0</v>
      </c>
      <c r="E1056" s="193">
        <f>Introduction!$D$8</f>
        <v>0</v>
      </c>
      <c r="F1056" s="193" t="s">
        <v>488</v>
      </c>
      <c r="G1056" s="193" t="s">
        <v>490</v>
      </c>
      <c r="H1056" s="193">
        <f>'Buildings - Heat &amp; Fuels'!B287</f>
        <v>0</v>
      </c>
      <c r="I1056" s="193">
        <f>'Buildings - Heat &amp; Fuels'!C287</f>
        <v>0</v>
      </c>
      <c r="J1056" s="193" t="str">
        <f>'Buildings - Heat &amp; Fuels'!D287</f>
        <v/>
      </c>
      <c r="K1056" s="237"/>
      <c r="L1056" s="237"/>
      <c r="M1056" s="193">
        <f>'Buildings - Heat &amp; Fuels'!E287</f>
        <v>0</v>
      </c>
      <c r="N1056" s="193">
        <f>'Buildings - Heat &amp; Fuels'!F287</f>
        <v>0</v>
      </c>
      <c r="O1056" s="237"/>
      <c r="P1056" s="193">
        <f>'Buildings - Heat &amp; Fuels'!G287</f>
        <v>0</v>
      </c>
      <c r="Q1056" s="193" t="str">
        <f>'Buildings - Heat &amp; Fuels'!H287</f>
        <v/>
      </c>
      <c r="R1056" s="193">
        <f>'Buildings - Heat &amp; Fuels'!I287</f>
        <v>0</v>
      </c>
      <c r="S1056" s="193">
        <f>'Buildings - Heat &amp; Fuels'!J287</f>
        <v>0</v>
      </c>
      <c r="T1056" s="193" t="str">
        <f>'Buildings - Heat &amp; Fuels'!K287</f>
        <v/>
      </c>
      <c r="U1056" s="193" t="str">
        <f>'Buildings - Heat &amp; Fuels'!L287</f>
        <v/>
      </c>
      <c r="V1056" s="193" t="str">
        <f>'Buildings - Heat &amp; Fuels'!M287</f>
        <v/>
      </c>
      <c r="W1056" s="193" t="str">
        <f>'Buildings - Heat &amp; Fuels'!N287</f>
        <v/>
      </c>
      <c r="X1056" s="193">
        <f>'Buildings - Heat &amp; Fuels'!O287</f>
        <v>0</v>
      </c>
      <c r="Y1056" s="193">
        <f>'Buildings - Heat &amp; Fuels'!P287</f>
        <v>0</v>
      </c>
      <c r="Z1056" s="193" t="str">
        <f>'Buildings - Heat &amp; Fuels'!Q287</f>
        <v/>
      </c>
      <c r="AA1056" s="193" t="str">
        <f>'Buildings - Heat &amp; Fuels'!R287</f>
        <v/>
      </c>
      <c r="AB1056" s="193" t="str">
        <f>'Buildings - Heat &amp; Fuels'!S287</f>
        <v/>
      </c>
      <c r="AC1056" s="193" t="str">
        <f>'Buildings - Heat &amp; Fuels'!T287</f>
        <v/>
      </c>
      <c r="AD1056" s="193" t="str">
        <f>'Buildings - Heat &amp; Fuels'!U287</f>
        <v/>
      </c>
      <c r="AE1056" s="193" t="str">
        <f>'Buildings - Heat &amp; Fuels'!V287</f>
        <v/>
      </c>
      <c r="AF1056" s="193" t="str">
        <f>'Buildings - Heat &amp; Fuels'!W287</f>
        <v/>
      </c>
      <c r="AG1056" s="193" t="str">
        <f>'Buildings - Heat &amp; Fuels'!X287</f>
        <v/>
      </c>
      <c r="AI1056" s="193">
        <f t="shared" si="18"/>
        <v>0</v>
      </c>
      <c r="AJ1056" s="193">
        <f t="shared" si="19"/>
        <v>0</v>
      </c>
    </row>
    <row r="1057" spans="2:36" x14ac:dyDescent="0.35">
      <c r="B1057" s="193" t="e">
        <f>"2024"&amp;MATCH(Totals!D1057,OrgType,0)&amp;"_"&amp;MATCH(Totals!E1057,Organisations,0)&amp;"_"&amp;LEFT(Totals!F1057,1)&amp;"_"&amp;LEFT(G1057,1)&amp;"_"&amp;COUNTIF($G$3:G1057,G1057)</f>
        <v>#N/A</v>
      </c>
      <c r="C1057" s="193">
        <v>2025</v>
      </c>
      <c r="D1057" s="193">
        <f>Introduction!$D$7</f>
        <v>0</v>
      </c>
      <c r="E1057" s="193">
        <f>Introduction!$D$8</f>
        <v>0</v>
      </c>
      <c r="F1057" s="193" t="s">
        <v>488</v>
      </c>
      <c r="G1057" s="193" t="s">
        <v>490</v>
      </c>
      <c r="H1057" s="193">
        <f>'Buildings - Heat &amp; Fuels'!B291</f>
        <v>0</v>
      </c>
      <c r="I1057" s="193">
        <f>'Buildings - Heat &amp; Fuels'!C291</f>
        <v>0</v>
      </c>
      <c r="J1057" s="193" t="str">
        <f>'Buildings - Heat &amp; Fuels'!D288</f>
        <v/>
      </c>
      <c r="K1057" s="237"/>
      <c r="L1057" s="237"/>
      <c r="M1057" s="193">
        <f>'Buildings - Heat &amp; Fuels'!E288</f>
        <v>0</v>
      </c>
      <c r="N1057" s="193">
        <f>'Buildings - Heat &amp; Fuels'!F288</f>
        <v>0</v>
      </c>
      <c r="O1057" s="237"/>
      <c r="P1057" s="193">
        <f>'Buildings - Heat &amp; Fuels'!G288</f>
        <v>0</v>
      </c>
      <c r="Q1057" s="193" t="str">
        <f>'Buildings - Heat &amp; Fuels'!H288</f>
        <v/>
      </c>
      <c r="R1057" s="193">
        <f>'Buildings - Heat &amp; Fuels'!I288</f>
        <v>0</v>
      </c>
      <c r="S1057" s="193">
        <f>'Buildings - Heat &amp; Fuels'!J288</f>
        <v>0</v>
      </c>
      <c r="T1057" s="193" t="str">
        <f>'Buildings - Heat &amp; Fuels'!K288</f>
        <v/>
      </c>
      <c r="U1057" s="193" t="str">
        <f>'Buildings - Heat &amp; Fuels'!L288</f>
        <v/>
      </c>
      <c r="V1057" s="193" t="str">
        <f>'Buildings - Heat &amp; Fuels'!M288</f>
        <v/>
      </c>
      <c r="W1057" s="193" t="str">
        <f>'Buildings - Heat &amp; Fuels'!N288</f>
        <v/>
      </c>
      <c r="X1057" s="193">
        <f>'Buildings - Heat &amp; Fuels'!O288</f>
        <v>0</v>
      </c>
      <c r="Y1057" s="193">
        <f>'Buildings - Heat &amp; Fuels'!P288</f>
        <v>0</v>
      </c>
      <c r="Z1057" s="193" t="str">
        <f>'Buildings - Heat &amp; Fuels'!Q288</f>
        <v/>
      </c>
      <c r="AA1057" s="193" t="str">
        <f>'Buildings - Heat &amp; Fuels'!R288</f>
        <v/>
      </c>
      <c r="AB1057" s="193" t="str">
        <f>'Buildings - Heat &amp; Fuels'!S288</f>
        <v/>
      </c>
      <c r="AC1057" s="193" t="str">
        <f>'Buildings - Heat &amp; Fuels'!T288</f>
        <v/>
      </c>
      <c r="AD1057" s="193" t="str">
        <f>'Buildings - Heat &amp; Fuels'!U288</f>
        <v/>
      </c>
      <c r="AE1057" s="193" t="str">
        <f>'Buildings - Heat &amp; Fuels'!V288</f>
        <v/>
      </c>
      <c r="AF1057" s="193" t="str">
        <f>'Buildings - Heat &amp; Fuels'!W288</f>
        <v/>
      </c>
      <c r="AG1057" s="193" t="str">
        <f>'Buildings - Heat &amp; Fuels'!X288</f>
        <v/>
      </c>
      <c r="AI1057" s="193">
        <f t="shared" si="18"/>
        <v>0</v>
      </c>
      <c r="AJ1057" s="193">
        <f t="shared" si="19"/>
        <v>0</v>
      </c>
    </row>
    <row r="1058" spans="2:36" x14ac:dyDescent="0.35">
      <c r="B1058" s="193" t="e">
        <f>"2024"&amp;MATCH(Totals!D1058,OrgType,0)&amp;"_"&amp;MATCH(Totals!E1058,Organisations,0)&amp;"_"&amp;LEFT(Totals!F1058,1)&amp;"_"&amp;LEFT(G1058,1)&amp;"_"&amp;COUNTIF($G$3:G1058,G1058)</f>
        <v>#N/A</v>
      </c>
      <c r="C1058" s="193">
        <v>2025</v>
      </c>
      <c r="D1058" s="193">
        <f>Introduction!$D$7</f>
        <v>0</v>
      </c>
      <c r="E1058" s="193">
        <f>Introduction!$D$8</f>
        <v>0</v>
      </c>
      <c r="F1058" s="193" t="s">
        <v>488</v>
      </c>
      <c r="G1058" s="193" t="s">
        <v>490</v>
      </c>
      <c r="H1058" s="193">
        <f>'Buildings - Heat &amp; Fuels'!B292</f>
        <v>0</v>
      </c>
      <c r="I1058" s="193">
        <f>'Buildings - Heat &amp; Fuels'!C292</f>
        <v>0</v>
      </c>
      <c r="J1058" s="193" t="str">
        <f>'Buildings - Heat &amp; Fuels'!D289</f>
        <v/>
      </c>
      <c r="K1058" s="237"/>
      <c r="L1058" s="237"/>
      <c r="M1058" s="193">
        <f>'Buildings - Heat &amp; Fuels'!E289</f>
        <v>0</v>
      </c>
      <c r="N1058" s="193">
        <f>'Buildings - Heat &amp; Fuels'!F289</f>
        <v>0</v>
      </c>
      <c r="O1058" s="237"/>
      <c r="P1058" s="193">
        <f>'Buildings - Heat &amp; Fuels'!G289</f>
        <v>0</v>
      </c>
      <c r="Q1058" s="193" t="str">
        <f>'Buildings - Heat &amp; Fuels'!H289</f>
        <v/>
      </c>
      <c r="R1058" s="193">
        <f>'Buildings - Heat &amp; Fuels'!I289</f>
        <v>0</v>
      </c>
      <c r="S1058" s="193">
        <f>'Buildings - Heat &amp; Fuels'!J289</f>
        <v>0</v>
      </c>
      <c r="T1058" s="193" t="str">
        <f>'Buildings - Heat &amp; Fuels'!K289</f>
        <v/>
      </c>
      <c r="U1058" s="193" t="str">
        <f>'Buildings - Heat &amp; Fuels'!L289</f>
        <v/>
      </c>
      <c r="V1058" s="193" t="str">
        <f>'Buildings - Heat &amp; Fuels'!M289</f>
        <v/>
      </c>
      <c r="W1058" s="193" t="str">
        <f>'Buildings - Heat &amp; Fuels'!N289</f>
        <v/>
      </c>
      <c r="X1058" s="193">
        <f>'Buildings - Heat &amp; Fuels'!O289</f>
        <v>0</v>
      </c>
      <c r="Y1058" s="193">
        <f>'Buildings - Heat &amp; Fuels'!P289</f>
        <v>0</v>
      </c>
      <c r="Z1058" s="193" t="str">
        <f>'Buildings - Heat &amp; Fuels'!Q289</f>
        <v/>
      </c>
      <c r="AA1058" s="193" t="str">
        <f>'Buildings - Heat &amp; Fuels'!R289</f>
        <v/>
      </c>
      <c r="AB1058" s="193" t="str">
        <f>'Buildings - Heat &amp; Fuels'!S289</f>
        <v/>
      </c>
      <c r="AC1058" s="193" t="str">
        <f>'Buildings - Heat &amp; Fuels'!T289</f>
        <v/>
      </c>
      <c r="AD1058" s="193" t="str">
        <f>'Buildings - Heat &amp; Fuels'!U289</f>
        <v/>
      </c>
      <c r="AE1058" s="193" t="str">
        <f>'Buildings - Heat &amp; Fuels'!V289</f>
        <v/>
      </c>
      <c r="AF1058" s="193" t="str">
        <f>'Buildings - Heat &amp; Fuels'!W289</f>
        <v/>
      </c>
      <c r="AG1058" s="193" t="str">
        <f>'Buildings - Heat &amp; Fuels'!X289</f>
        <v/>
      </c>
      <c r="AI1058" s="193">
        <f t="shared" si="18"/>
        <v>0</v>
      </c>
      <c r="AJ1058" s="193">
        <f t="shared" si="19"/>
        <v>0</v>
      </c>
    </row>
    <row r="1059" spans="2:36" x14ac:dyDescent="0.35">
      <c r="B1059" s="193" t="e">
        <f>"2024"&amp;MATCH(Totals!D1059,OrgType,0)&amp;"_"&amp;MATCH(Totals!E1059,Organisations,0)&amp;"_"&amp;LEFT(Totals!F1059,1)&amp;"_"&amp;LEFT(G1059,1)&amp;"_"&amp;COUNTIF($G$3:G1059,G1059)</f>
        <v>#N/A</v>
      </c>
      <c r="C1059" s="193">
        <v>2025</v>
      </c>
      <c r="D1059" s="193">
        <f>Introduction!$D$7</f>
        <v>0</v>
      </c>
      <c r="E1059" s="193">
        <f>Introduction!$D$8</f>
        <v>0</v>
      </c>
      <c r="F1059" s="193" t="s">
        <v>488</v>
      </c>
      <c r="G1059" s="193" t="s">
        <v>490</v>
      </c>
      <c r="H1059" s="193">
        <f>'Buildings - Heat &amp; Fuels'!B296</f>
        <v>0</v>
      </c>
      <c r="I1059" s="193">
        <f>'Buildings - Heat &amp; Fuels'!C296</f>
        <v>0</v>
      </c>
      <c r="J1059" s="193" t="str">
        <f>'Buildings - Heat &amp; Fuels'!D290</f>
        <v/>
      </c>
      <c r="K1059" s="237"/>
      <c r="L1059" s="237"/>
      <c r="M1059" s="193">
        <f>'Buildings - Heat &amp; Fuels'!E290</f>
        <v>0</v>
      </c>
      <c r="N1059" s="193">
        <f>'Buildings - Heat &amp; Fuels'!F290</f>
        <v>0</v>
      </c>
      <c r="O1059" s="237"/>
      <c r="P1059" s="193">
        <f>'Buildings - Heat &amp; Fuels'!G290</f>
        <v>0</v>
      </c>
      <c r="Q1059" s="193" t="str">
        <f>'Buildings - Heat &amp; Fuels'!H290</f>
        <v/>
      </c>
      <c r="R1059" s="193">
        <f>'Buildings - Heat &amp; Fuels'!I290</f>
        <v>0</v>
      </c>
      <c r="S1059" s="193">
        <f>'Buildings - Heat &amp; Fuels'!J290</f>
        <v>0</v>
      </c>
      <c r="T1059" s="193" t="str">
        <f>'Buildings - Heat &amp; Fuels'!K290</f>
        <v/>
      </c>
      <c r="U1059" s="193" t="str">
        <f>'Buildings - Heat &amp; Fuels'!L290</f>
        <v/>
      </c>
      <c r="V1059" s="193" t="str">
        <f>'Buildings - Heat &amp; Fuels'!M290</f>
        <v/>
      </c>
      <c r="W1059" s="193" t="str">
        <f>'Buildings - Heat &amp; Fuels'!N290</f>
        <v/>
      </c>
      <c r="X1059" s="193">
        <f>'Buildings - Heat &amp; Fuels'!O290</f>
        <v>0</v>
      </c>
      <c r="Y1059" s="193">
        <f>'Buildings - Heat &amp; Fuels'!P296</f>
        <v>0</v>
      </c>
      <c r="Z1059" s="193" t="str">
        <f>'Buildings - Heat &amp; Fuels'!Q290</f>
        <v/>
      </c>
      <c r="AA1059" s="193" t="str">
        <f>'Buildings - Heat &amp; Fuels'!R290</f>
        <v/>
      </c>
      <c r="AB1059" s="193" t="str">
        <f>'Buildings - Heat &amp; Fuels'!S290</f>
        <v/>
      </c>
      <c r="AC1059" s="193" t="str">
        <f>'Buildings - Heat &amp; Fuels'!T290</f>
        <v/>
      </c>
      <c r="AD1059" s="193" t="str">
        <f>'Buildings - Heat &amp; Fuels'!U290</f>
        <v/>
      </c>
      <c r="AE1059" s="193" t="str">
        <f>'Buildings - Heat &amp; Fuels'!V290</f>
        <v/>
      </c>
      <c r="AF1059" s="193" t="str">
        <f>'Buildings - Heat &amp; Fuels'!W290</f>
        <v/>
      </c>
      <c r="AG1059" s="193" t="str">
        <f>'Buildings - Heat &amp; Fuels'!X290</f>
        <v/>
      </c>
      <c r="AI1059" s="193">
        <f t="shared" si="18"/>
        <v>0</v>
      </c>
      <c r="AJ1059" s="193">
        <f t="shared" si="19"/>
        <v>0</v>
      </c>
    </row>
    <row r="1060" spans="2:36" x14ac:dyDescent="0.35">
      <c r="B1060" s="193" t="e">
        <f>"2024"&amp;MATCH(Totals!D1060,OrgType,0)&amp;"_"&amp;MATCH(Totals!E1060,Organisations,0)&amp;"_"&amp;LEFT(Totals!F1060,1)&amp;"_"&amp;LEFT(G1060,1)&amp;"_"&amp;COUNTIF($G$3:G1060,G1060)</f>
        <v>#N/A</v>
      </c>
      <c r="C1060" s="193">
        <v>2025</v>
      </c>
      <c r="D1060" s="193">
        <f>Introduction!$D$7</f>
        <v>0</v>
      </c>
      <c r="E1060" s="193">
        <f>Introduction!$D$8</f>
        <v>0</v>
      </c>
      <c r="F1060" s="193" t="s">
        <v>488</v>
      </c>
      <c r="G1060" s="193" t="s">
        <v>490</v>
      </c>
      <c r="H1060" s="193">
        <f>'Buildings - Heat &amp; Fuels'!B297</f>
        <v>0</v>
      </c>
      <c r="I1060" s="193">
        <f>'Buildings - Heat &amp; Fuels'!C297</f>
        <v>0</v>
      </c>
      <c r="J1060" s="193" t="str">
        <f>'Buildings - Heat &amp; Fuels'!D291</f>
        <v/>
      </c>
      <c r="K1060" s="237"/>
      <c r="L1060" s="237"/>
      <c r="M1060" s="193">
        <f>'Buildings - Heat &amp; Fuels'!E291</f>
        <v>0</v>
      </c>
      <c r="N1060" s="193">
        <f>'Buildings - Heat &amp; Fuels'!F291</f>
        <v>0</v>
      </c>
      <c r="O1060" s="237"/>
      <c r="P1060" s="193">
        <f>'Buildings - Heat &amp; Fuels'!G291</f>
        <v>0</v>
      </c>
      <c r="Q1060" s="193" t="str">
        <f>'Buildings - Heat &amp; Fuels'!H291</f>
        <v/>
      </c>
      <c r="R1060" s="193">
        <f>'Buildings - Heat &amp; Fuels'!I291</f>
        <v>0</v>
      </c>
      <c r="S1060" s="193">
        <f>'Buildings - Heat &amp; Fuels'!J291</f>
        <v>0</v>
      </c>
      <c r="T1060" s="193" t="str">
        <f>'Buildings - Heat &amp; Fuels'!K291</f>
        <v/>
      </c>
      <c r="U1060" s="193" t="str">
        <f>'Buildings - Heat &amp; Fuels'!L291</f>
        <v/>
      </c>
      <c r="V1060" s="193" t="str">
        <f>'Buildings - Heat &amp; Fuels'!M291</f>
        <v/>
      </c>
      <c r="W1060" s="193" t="str">
        <f>'Buildings - Heat &amp; Fuels'!N291</f>
        <v/>
      </c>
      <c r="X1060" s="193">
        <f>'Buildings - Heat &amp; Fuels'!O291</f>
        <v>0</v>
      </c>
      <c r="Y1060" s="193">
        <f>'Buildings - Heat &amp; Fuels'!P297</f>
        <v>0</v>
      </c>
      <c r="Z1060" s="193" t="str">
        <f>'Buildings - Heat &amp; Fuels'!Q291</f>
        <v/>
      </c>
      <c r="AA1060" s="193" t="str">
        <f>'Buildings - Heat &amp; Fuels'!R291</f>
        <v/>
      </c>
      <c r="AB1060" s="193" t="str">
        <f>'Buildings - Heat &amp; Fuels'!S291</f>
        <v/>
      </c>
      <c r="AC1060" s="193" t="str">
        <f>'Buildings - Heat &amp; Fuels'!T291</f>
        <v/>
      </c>
      <c r="AD1060" s="193" t="str">
        <f>'Buildings - Heat &amp; Fuels'!U291</f>
        <v/>
      </c>
      <c r="AE1060" s="193" t="str">
        <f>'Buildings - Heat &amp; Fuels'!V291</f>
        <v/>
      </c>
      <c r="AF1060" s="193" t="str">
        <f>'Buildings - Heat &amp; Fuels'!W291</f>
        <v/>
      </c>
      <c r="AG1060" s="193" t="str">
        <f>'Buildings - Heat &amp; Fuels'!X291</f>
        <v/>
      </c>
      <c r="AI1060" s="193">
        <f t="shared" si="18"/>
        <v>0</v>
      </c>
      <c r="AJ1060" s="193">
        <f t="shared" si="19"/>
        <v>0</v>
      </c>
    </row>
    <row r="1061" spans="2:36" x14ac:dyDescent="0.35">
      <c r="B1061" s="193" t="e">
        <f>"2024"&amp;MATCH(Totals!D1061,OrgType,0)&amp;"_"&amp;MATCH(Totals!E1061,Organisations,0)&amp;"_"&amp;LEFT(Totals!F1061,1)&amp;"_"&amp;LEFT(G1061,1)&amp;"_"&amp;COUNTIF($G$3:G1061,G1061)</f>
        <v>#N/A</v>
      </c>
      <c r="C1061" s="193">
        <v>2025</v>
      </c>
      <c r="D1061" s="193">
        <f>Introduction!$D$7</f>
        <v>0</v>
      </c>
      <c r="E1061" s="193">
        <f>Introduction!$D$8</f>
        <v>0</v>
      </c>
      <c r="F1061" s="193" t="s">
        <v>488</v>
      </c>
      <c r="G1061" s="193" t="s">
        <v>208</v>
      </c>
      <c r="H1061" s="193">
        <f>'Buildings - Water'!B7</f>
        <v>0</v>
      </c>
      <c r="I1061" s="193">
        <f>'Buildings - Water'!C7</f>
        <v>0</v>
      </c>
      <c r="J1061" s="193" t="str">
        <f>'Buildings - Water'!D7</f>
        <v/>
      </c>
      <c r="K1061" s="237"/>
      <c r="L1061" s="237"/>
      <c r="M1061" s="193" t="str">
        <f>'Buildings - Water'!E7</f>
        <v/>
      </c>
      <c r="N1061" s="193">
        <f>'Buildings - Water'!F7</f>
        <v>0</v>
      </c>
      <c r="O1061" s="237"/>
      <c r="P1061" s="193">
        <f>'Buildings - Water'!G7</f>
        <v>0</v>
      </c>
      <c r="Q1061" s="193" t="str">
        <f>'Buildings - Water'!H7</f>
        <v/>
      </c>
      <c r="R1061" s="193">
        <f>'Buildings - Water'!I7</f>
        <v>0</v>
      </c>
      <c r="S1061" s="193">
        <f>'Buildings - Water'!J7</f>
        <v>0</v>
      </c>
      <c r="T1061" s="193" t="str">
        <f>'Buildings - Water'!K7</f>
        <v/>
      </c>
      <c r="U1061" s="193" t="str">
        <f>'Buildings - Water'!L7</f>
        <v/>
      </c>
      <c r="V1061" s="193" t="str">
        <f>'Buildings - Water'!M7</f>
        <v/>
      </c>
      <c r="W1061" s="193" t="str">
        <f>'Buildings - Water'!N7</f>
        <v/>
      </c>
      <c r="X1061" s="193">
        <f>'Buildings - Water'!O7</f>
        <v>0</v>
      </c>
      <c r="Y1061" s="193">
        <f>'Buildings - Water'!P7</f>
        <v>0</v>
      </c>
      <c r="Z1061" s="193" t="str">
        <f>'Buildings - Water'!Q7</f>
        <v/>
      </c>
      <c r="AA1061" s="193" t="str">
        <f>'Buildings - Water'!R7</f>
        <v/>
      </c>
      <c r="AB1061" s="193" t="str">
        <f>'Buildings - Water'!S7</f>
        <v/>
      </c>
      <c r="AC1061" s="193" t="str">
        <f>'Buildings - Water'!T7</f>
        <v/>
      </c>
      <c r="AD1061" s="193" t="str">
        <f>'Buildings - Water'!U7</f>
        <v/>
      </c>
      <c r="AE1061" s="193" t="str">
        <f>'Buildings - Water'!V7</f>
        <v/>
      </c>
      <c r="AF1061" s="193" t="str">
        <f>'Buildings - Water'!W7</f>
        <v/>
      </c>
      <c r="AG1061" s="193" t="str">
        <f>'Buildings - Water'!X7</f>
        <v/>
      </c>
      <c r="AI1061" s="193">
        <f t="shared" si="18"/>
        <v>0</v>
      </c>
      <c r="AJ1061" s="193">
        <f t="shared" si="19"/>
        <v>0</v>
      </c>
    </row>
    <row r="1062" spans="2:36" x14ac:dyDescent="0.35">
      <c r="B1062" s="193" t="e">
        <f>"2024"&amp;MATCH(Totals!D1062,OrgType,0)&amp;"_"&amp;MATCH(Totals!E1062,Organisations,0)&amp;"_"&amp;LEFT(Totals!F1062,1)&amp;"_"&amp;LEFT(G1062,1)&amp;"_"&amp;COUNTIF($G$3:G1062,G1062)</f>
        <v>#N/A</v>
      </c>
      <c r="C1062" s="193">
        <v>2025</v>
      </c>
      <c r="D1062" s="193">
        <f>Introduction!$D$7</f>
        <v>0</v>
      </c>
      <c r="E1062" s="193">
        <f>Introduction!$D$8</f>
        <v>0</v>
      </c>
      <c r="F1062" s="193" t="s">
        <v>488</v>
      </c>
      <c r="G1062" s="193" t="s">
        <v>208</v>
      </c>
      <c r="H1062" s="193">
        <f>'Buildings - Water'!B8</f>
        <v>0</v>
      </c>
      <c r="I1062" s="193">
        <f>'Buildings - Water'!C8</f>
        <v>0</v>
      </c>
      <c r="J1062" s="193" t="str">
        <f>'Buildings - Water'!D8</f>
        <v/>
      </c>
      <c r="K1062" s="237"/>
      <c r="L1062" s="237"/>
      <c r="M1062" s="193" t="str">
        <f>'Buildings - Water'!E8</f>
        <v/>
      </c>
      <c r="N1062" s="193">
        <f>'Buildings - Water'!F8</f>
        <v>0</v>
      </c>
      <c r="O1062" s="237"/>
      <c r="P1062" s="193">
        <f>'Buildings - Water'!G8</f>
        <v>0</v>
      </c>
      <c r="Q1062" s="193" t="str">
        <f>'Buildings - Water'!H8</f>
        <v/>
      </c>
      <c r="R1062" s="193">
        <f>'Buildings - Water'!I8</f>
        <v>0</v>
      </c>
      <c r="S1062" s="193">
        <f>'Buildings - Water'!J8</f>
        <v>0</v>
      </c>
      <c r="T1062" s="193" t="str">
        <f>'Buildings - Water'!K8</f>
        <v/>
      </c>
      <c r="U1062" s="193" t="str">
        <f>'Buildings - Water'!L8</f>
        <v/>
      </c>
      <c r="V1062" s="193" t="str">
        <f>'Buildings - Water'!M8</f>
        <v/>
      </c>
      <c r="W1062" s="193" t="str">
        <f>'Buildings - Water'!N8</f>
        <v/>
      </c>
      <c r="X1062" s="193">
        <f>'Buildings - Water'!O8</f>
        <v>0</v>
      </c>
      <c r="Y1062" s="193">
        <f>'Buildings - Water'!P8</f>
        <v>0</v>
      </c>
      <c r="Z1062" s="193" t="str">
        <f>'Buildings - Water'!Q8</f>
        <v/>
      </c>
      <c r="AA1062" s="193" t="str">
        <f>'Buildings - Water'!R8</f>
        <v/>
      </c>
      <c r="AB1062" s="193" t="str">
        <f>'Buildings - Water'!S8</f>
        <v/>
      </c>
      <c r="AC1062" s="193" t="str">
        <f>'Buildings - Water'!T8</f>
        <v/>
      </c>
      <c r="AD1062" s="193" t="str">
        <f>'Buildings - Water'!U8</f>
        <v/>
      </c>
      <c r="AE1062" s="193" t="str">
        <f>'Buildings - Water'!V8</f>
        <v/>
      </c>
      <c r="AF1062" s="193" t="str">
        <f>'Buildings - Water'!W8</f>
        <v/>
      </c>
      <c r="AG1062" s="193" t="str">
        <f>'Buildings - Water'!X8</f>
        <v/>
      </c>
      <c r="AI1062" s="193">
        <f t="shared" si="18"/>
        <v>0</v>
      </c>
      <c r="AJ1062" s="193">
        <f t="shared" si="19"/>
        <v>0</v>
      </c>
    </row>
    <row r="1063" spans="2:36" x14ac:dyDescent="0.35">
      <c r="B1063" s="193" t="e">
        <f>"2024"&amp;MATCH(Totals!D1063,OrgType,0)&amp;"_"&amp;MATCH(Totals!E1063,Organisations,0)&amp;"_"&amp;LEFT(Totals!F1063,1)&amp;"_"&amp;LEFT(G1063,1)&amp;"_"&amp;COUNTIF($G$3:G1063,G1063)</f>
        <v>#N/A</v>
      </c>
      <c r="C1063" s="193">
        <v>2025</v>
      </c>
      <c r="D1063" s="193">
        <f>Introduction!$D$7</f>
        <v>0</v>
      </c>
      <c r="E1063" s="193">
        <f>Introduction!$D$8</f>
        <v>0</v>
      </c>
      <c r="F1063" s="193" t="s">
        <v>488</v>
      </c>
      <c r="G1063" s="193" t="s">
        <v>208</v>
      </c>
      <c r="H1063" s="193">
        <f>'Buildings - Water'!B9</f>
        <v>0</v>
      </c>
      <c r="I1063" s="193">
        <f>'Buildings - Water'!C9</f>
        <v>0</v>
      </c>
      <c r="J1063" s="193" t="str">
        <f>'Buildings - Water'!D9</f>
        <v/>
      </c>
      <c r="K1063" s="237"/>
      <c r="L1063" s="237"/>
      <c r="M1063" s="193" t="str">
        <f>'Buildings - Water'!E9</f>
        <v/>
      </c>
      <c r="N1063" s="193">
        <f>'Buildings - Water'!F9</f>
        <v>0</v>
      </c>
      <c r="O1063" s="237"/>
      <c r="P1063" s="193">
        <f>'Buildings - Water'!G9</f>
        <v>0</v>
      </c>
      <c r="Q1063" s="193" t="str">
        <f>'Buildings - Water'!H9</f>
        <v/>
      </c>
      <c r="R1063" s="193">
        <f>'Buildings - Water'!I9</f>
        <v>0</v>
      </c>
      <c r="S1063" s="193">
        <f>'Buildings - Water'!J9</f>
        <v>0</v>
      </c>
      <c r="T1063" s="193" t="str">
        <f>'Buildings - Water'!K9</f>
        <v/>
      </c>
      <c r="U1063" s="193" t="str">
        <f>'Buildings - Water'!L9</f>
        <v/>
      </c>
      <c r="V1063" s="193" t="str">
        <f>'Buildings - Water'!M9</f>
        <v/>
      </c>
      <c r="W1063" s="193" t="str">
        <f>'Buildings - Water'!N9</f>
        <v/>
      </c>
      <c r="X1063" s="193">
        <f>'Buildings - Water'!O9</f>
        <v>0</v>
      </c>
      <c r="Y1063" s="193">
        <f>'Buildings - Water'!P9</f>
        <v>0</v>
      </c>
      <c r="Z1063" s="193" t="str">
        <f>'Buildings - Water'!Q9</f>
        <v/>
      </c>
      <c r="AA1063" s="193" t="str">
        <f>'Buildings - Water'!R9</f>
        <v/>
      </c>
      <c r="AB1063" s="193" t="str">
        <f>'Buildings - Water'!S9</f>
        <v/>
      </c>
      <c r="AC1063" s="193" t="str">
        <f>'Buildings - Water'!T9</f>
        <v/>
      </c>
      <c r="AD1063" s="193" t="str">
        <f>'Buildings - Water'!U9</f>
        <v/>
      </c>
      <c r="AE1063" s="193" t="str">
        <f>'Buildings - Water'!V9</f>
        <v/>
      </c>
      <c r="AF1063" s="193" t="str">
        <f>'Buildings - Water'!W9</f>
        <v/>
      </c>
      <c r="AG1063" s="193" t="str">
        <f>'Buildings - Water'!X9</f>
        <v/>
      </c>
      <c r="AI1063" s="193">
        <f t="shared" si="18"/>
        <v>0</v>
      </c>
      <c r="AJ1063" s="193">
        <f t="shared" si="19"/>
        <v>0</v>
      </c>
    </row>
    <row r="1064" spans="2:36" x14ac:dyDescent="0.35">
      <c r="B1064" s="193" t="e">
        <f>"2024"&amp;MATCH(Totals!D1064,OrgType,0)&amp;"_"&amp;MATCH(Totals!E1064,Organisations,0)&amp;"_"&amp;LEFT(Totals!F1064,1)&amp;"_"&amp;LEFT(G1064,1)&amp;"_"&amp;COUNTIF($G$3:G1064,G1064)</f>
        <v>#N/A</v>
      </c>
      <c r="C1064" s="193">
        <v>2025</v>
      </c>
      <c r="D1064" s="193">
        <f>Introduction!$D$7</f>
        <v>0</v>
      </c>
      <c r="E1064" s="193">
        <f>Introduction!$D$8</f>
        <v>0</v>
      </c>
      <c r="F1064" s="193" t="s">
        <v>488</v>
      </c>
      <c r="G1064" s="193" t="s">
        <v>208</v>
      </c>
      <c r="H1064" s="193">
        <f>'Buildings - Water'!B10</f>
        <v>0</v>
      </c>
      <c r="I1064" s="193">
        <f>'Buildings - Water'!C10</f>
        <v>0</v>
      </c>
      <c r="J1064" s="193" t="str">
        <f>'Buildings - Water'!D10</f>
        <v/>
      </c>
      <c r="K1064" s="237"/>
      <c r="L1064" s="237"/>
      <c r="M1064" s="193" t="str">
        <f>'Buildings - Water'!E10</f>
        <v/>
      </c>
      <c r="N1064" s="193">
        <f>'Buildings - Water'!F10</f>
        <v>0</v>
      </c>
      <c r="O1064" s="237"/>
      <c r="P1064" s="193">
        <f>'Buildings - Water'!G10</f>
        <v>0</v>
      </c>
      <c r="Q1064" s="193" t="str">
        <f>'Buildings - Water'!H10</f>
        <v/>
      </c>
      <c r="R1064" s="193">
        <f>'Buildings - Water'!I10</f>
        <v>0</v>
      </c>
      <c r="S1064" s="193">
        <f>'Buildings - Water'!J10</f>
        <v>0</v>
      </c>
      <c r="T1064" s="193" t="str">
        <f>'Buildings - Water'!K10</f>
        <v/>
      </c>
      <c r="U1064" s="193" t="str">
        <f>'Buildings - Water'!L10</f>
        <v/>
      </c>
      <c r="V1064" s="193" t="str">
        <f>'Buildings - Water'!M10</f>
        <v/>
      </c>
      <c r="W1064" s="193" t="str">
        <f>'Buildings - Water'!N10</f>
        <v/>
      </c>
      <c r="X1064" s="193">
        <f>'Buildings - Water'!O10</f>
        <v>0</v>
      </c>
      <c r="Y1064" s="193">
        <f>'Buildings - Water'!P10</f>
        <v>0</v>
      </c>
      <c r="Z1064" s="193" t="str">
        <f>'Buildings - Water'!Q10</f>
        <v/>
      </c>
      <c r="AA1064" s="193" t="str">
        <f>'Buildings - Water'!R10</f>
        <v/>
      </c>
      <c r="AB1064" s="193" t="str">
        <f>'Buildings - Water'!S10</f>
        <v/>
      </c>
      <c r="AC1064" s="193" t="str">
        <f>'Buildings - Water'!T10</f>
        <v/>
      </c>
      <c r="AD1064" s="193" t="str">
        <f>'Buildings - Water'!U10</f>
        <v/>
      </c>
      <c r="AE1064" s="193" t="str">
        <f>'Buildings - Water'!V10</f>
        <v/>
      </c>
      <c r="AF1064" s="193" t="str">
        <f>'Buildings - Water'!W10</f>
        <v/>
      </c>
      <c r="AG1064" s="193" t="str">
        <f>'Buildings - Water'!X10</f>
        <v/>
      </c>
      <c r="AI1064" s="193">
        <f t="shared" si="18"/>
        <v>0</v>
      </c>
      <c r="AJ1064" s="193">
        <f t="shared" si="19"/>
        <v>0</v>
      </c>
    </row>
    <row r="1065" spans="2:36" x14ac:dyDescent="0.35">
      <c r="B1065" s="193" t="e">
        <f>"2024"&amp;MATCH(Totals!D1065,OrgType,0)&amp;"_"&amp;MATCH(Totals!E1065,Organisations,0)&amp;"_"&amp;LEFT(Totals!F1065,1)&amp;"_"&amp;LEFT(G1065,1)&amp;"_"&amp;COUNTIF($G$3:G1065,G1065)</f>
        <v>#N/A</v>
      </c>
      <c r="C1065" s="193">
        <v>2025</v>
      </c>
      <c r="D1065" s="193">
        <f>Introduction!$D$7</f>
        <v>0</v>
      </c>
      <c r="E1065" s="193">
        <f>Introduction!$D$8</f>
        <v>0</v>
      </c>
      <c r="F1065" s="193" t="s">
        <v>488</v>
      </c>
      <c r="G1065" s="193" t="s">
        <v>208</v>
      </c>
      <c r="H1065" s="193">
        <f>'Buildings - Water'!B11</f>
        <v>0</v>
      </c>
      <c r="I1065" s="193">
        <f>'Buildings - Water'!C11</f>
        <v>0</v>
      </c>
      <c r="J1065" s="193" t="str">
        <f>'Buildings - Water'!D11</f>
        <v/>
      </c>
      <c r="K1065" s="237"/>
      <c r="L1065" s="237"/>
      <c r="M1065" s="193" t="str">
        <f>'Buildings - Water'!E11</f>
        <v/>
      </c>
      <c r="N1065" s="193">
        <f>'Buildings - Water'!F11</f>
        <v>0</v>
      </c>
      <c r="O1065" s="237"/>
      <c r="P1065" s="193">
        <f>'Buildings - Water'!G11</f>
        <v>0</v>
      </c>
      <c r="Q1065" s="193" t="str">
        <f>'Buildings - Water'!H11</f>
        <v/>
      </c>
      <c r="R1065" s="193">
        <f>'Buildings - Water'!I11</f>
        <v>0</v>
      </c>
      <c r="S1065" s="193">
        <f>'Buildings - Water'!J11</f>
        <v>0</v>
      </c>
      <c r="T1065" s="193" t="str">
        <f>'Buildings - Water'!K11</f>
        <v/>
      </c>
      <c r="U1065" s="193" t="str">
        <f>'Buildings - Water'!L11</f>
        <v/>
      </c>
      <c r="V1065" s="193" t="str">
        <f>'Buildings - Water'!M11</f>
        <v/>
      </c>
      <c r="W1065" s="193" t="str">
        <f>'Buildings - Water'!N11</f>
        <v/>
      </c>
      <c r="X1065" s="193">
        <f>'Buildings - Water'!O11</f>
        <v>0</v>
      </c>
      <c r="Y1065" s="193">
        <f>'Buildings - Water'!P11</f>
        <v>0</v>
      </c>
      <c r="Z1065" s="193" t="str">
        <f>'Buildings - Water'!Q11</f>
        <v/>
      </c>
      <c r="AA1065" s="193" t="str">
        <f>'Buildings - Water'!R11</f>
        <v/>
      </c>
      <c r="AB1065" s="193" t="str">
        <f>'Buildings - Water'!S11</f>
        <v/>
      </c>
      <c r="AC1065" s="193" t="str">
        <f>'Buildings - Water'!T11</f>
        <v/>
      </c>
      <c r="AD1065" s="193" t="str">
        <f>'Buildings - Water'!U11</f>
        <v/>
      </c>
      <c r="AE1065" s="193" t="str">
        <f>'Buildings - Water'!V11</f>
        <v/>
      </c>
      <c r="AF1065" s="193" t="str">
        <f>'Buildings - Water'!W11</f>
        <v/>
      </c>
      <c r="AG1065" s="193" t="str">
        <f>'Buildings - Water'!X11</f>
        <v/>
      </c>
      <c r="AI1065" s="193">
        <f t="shared" si="18"/>
        <v>0</v>
      </c>
      <c r="AJ1065" s="193">
        <f t="shared" si="19"/>
        <v>0</v>
      </c>
    </row>
    <row r="1066" spans="2:36" x14ac:dyDescent="0.35">
      <c r="B1066" s="193" t="e">
        <f>"2024"&amp;MATCH(Totals!D1066,OrgType,0)&amp;"_"&amp;MATCH(Totals!E1066,Organisations,0)&amp;"_"&amp;LEFT(Totals!F1066,1)&amp;"_"&amp;LEFT(G1066,1)&amp;"_"&amp;COUNTIF($G$3:G1066,G1066)</f>
        <v>#N/A</v>
      </c>
      <c r="C1066" s="193">
        <v>2025</v>
      </c>
      <c r="D1066" s="193">
        <f>Introduction!$D$7</f>
        <v>0</v>
      </c>
      <c r="E1066" s="193">
        <f>Introduction!$D$8</f>
        <v>0</v>
      </c>
      <c r="F1066" s="193" t="s">
        <v>488</v>
      </c>
      <c r="G1066" s="193" t="s">
        <v>208</v>
      </c>
      <c r="H1066" s="193">
        <f>'Buildings - Water'!B12</f>
        <v>0</v>
      </c>
      <c r="I1066" s="193">
        <f>'Buildings - Water'!C12</f>
        <v>0</v>
      </c>
      <c r="J1066" s="193" t="str">
        <f>'Buildings - Water'!D12</f>
        <v/>
      </c>
      <c r="K1066" s="237"/>
      <c r="L1066" s="237"/>
      <c r="M1066" s="193" t="str">
        <f>'Buildings - Water'!E12</f>
        <v/>
      </c>
      <c r="N1066" s="193">
        <f>'Buildings - Water'!F12</f>
        <v>0</v>
      </c>
      <c r="O1066" s="237"/>
      <c r="P1066" s="193">
        <f>'Buildings - Water'!G12</f>
        <v>0</v>
      </c>
      <c r="Q1066" s="193" t="str">
        <f>'Buildings - Water'!H12</f>
        <v/>
      </c>
      <c r="R1066" s="193">
        <f>'Buildings - Water'!I12</f>
        <v>0</v>
      </c>
      <c r="S1066" s="193">
        <f>'Buildings - Water'!J12</f>
        <v>0</v>
      </c>
      <c r="T1066" s="193" t="str">
        <f>'Buildings - Water'!K12</f>
        <v/>
      </c>
      <c r="U1066" s="193" t="str">
        <f>'Buildings - Water'!L12</f>
        <v/>
      </c>
      <c r="V1066" s="193" t="str">
        <f>'Buildings - Water'!M12</f>
        <v/>
      </c>
      <c r="W1066" s="193" t="str">
        <f>'Buildings - Water'!N12</f>
        <v/>
      </c>
      <c r="X1066" s="193">
        <f>'Buildings - Water'!O12</f>
        <v>0</v>
      </c>
      <c r="Y1066" s="193">
        <f>'Buildings - Water'!P12</f>
        <v>0</v>
      </c>
      <c r="Z1066" s="193" t="str">
        <f>'Buildings - Water'!Q12</f>
        <v/>
      </c>
      <c r="AA1066" s="193" t="str">
        <f>'Buildings - Water'!R12</f>
        <v/>
      </c>
      <c r="AB1066" s="193" t="str">
        <f>'Buildings - Water'!S12</f>
        <v/>
      </c>
      <c r="AC1066" s="193" t="str">
        <f>'Buildings - Water'!T12</f>
        <v/>
      </c>
      <c r="AD1066" s="193" t="str">
        <f>'Buildings - Water'!U12</f>
        <v/>
      </c>
      <c r="AE1066" s="193" t="str">
        <f>'Buildings - Water'!V12</f>
        <v/>
      </c>
      <c r="AF1066" s="193" t="str">
        <f>'Buildings - Water'!W12</f>
        <v/>
      </c>
      <c r="AG1066" s="193" t="str">
        <f>'Buildings - Water'!X12</f>
        <v/>
      </c>
      <c r="AI1066" s="193">
        <f t="shared" si="18"/>
        <v>0</v>
      </c>
      <c r="AJ1066" s="193">
        <f t="shared" si="19"/>
        <v>0</v>
      </c>
    </row>
    <row r="1067" spans="2:36" x14ac:dyDescent="0.35">
      <c r="B1067" s="193" t="e">
        <f>"2024"&amp;MATCH(Totals!D1067,OrgType,0)&amp;"_"&amp;MATCH(Totals!E1067,Organisations,0)&amp;"_"&amp;LEFT(Totals!F1067,1)&amp;"_"&amp;LEFT(G1067,1)&amp;"_"&amp;COUNTIF($G$3:G1067,G1067)</f>
        <v>#N/A</v>
      </c>
      <c r="C1067" s="193">
        <v>2025</v>
      </c>
      <c r="D1067" s="193">
        <f>Introduction!$D$7</f>
        <v>0</v>
      </c>
      <c r="E1067" s="193">
        <f>Introduction!$D$8</f>
        <v>0</v>
      </c>
      <c r="F1067" s="193" t="s">
        <v>488</v>
      </c>
      <c r="G1067" s="193" t="s">
        <v>208</v>
      </c>
      <c r="H1067" s="193">
        <f>'Buildings - Water'!B13</f>
        <v>0</v>
      </c>
      <c r="I1067" s="193">
        <f>'Buildings - Water'!C13</f>
        <v>0</v>
      </c>
      <c r="J1067" s="193" t="str">
        <f>'Buildings - Water'!D13</f>
        <v/>
      </c>
      <c r="K1067" s="237"/>
      <c r="L1067" s="237"/>
      <c r="M1067" s="193" t="str">
        <f>'Buildings - Water'!E13</f>
        <v/>
      </c>
      <c r="N1067" s="193">
        <f>'Buildings - Water'!F13</f>
        <v>0</v>
      </c>
      <c r="O1067" s="237"/>
      <c r="P1067" s="193">
        <f>'Buildings - Water'!G13</f>
        <v>0</v>
      </c>
      <c r="Q1067" s="193" t="str">
        <f>'Buildings - Water'!H13</f>
        <v/>
      </c>
      <c r="R1067" s="193">
        <f>'Buildings - Water'!I13</f>
        <v>0</v>
      </c>
      <c r="S1067" s="193">
        <f>'Buildings - Water'!J13</f>
        <v>0</v>
      </c>
      <c r="T1067" s="193" t="str">
        <f>'Buildings - Water'!K13</f>
        <v/>
      </c>
      <c r="U1067" s="193" t="str">
        <f>'Buildings - Water'!L13</f>
        <v/>
      </c>
      <c r="V1067" s="193" t="str">
        <f>'Buildings - Water'!M13</f>
        <v/>
      </c>
      <c r="W1067" s="193" t="str">
        <f>'Buildings - Water'!N13</f>
        <v/>
      </c>
      <c r="X1067" s="193">
        <f>'Buildings - Water'!O13</f>
        <v>0</v>
      </c>
      <c r="Y1067" s="193">
        <f>'Buildings - Water'!P13</f>
        <v>0</v>
      </c>
      <c r="Z1067" s="193" t="str">
        <f>'Buildings - Water'!Q13</f>
        <v/>
      </c>
      <c r="AA1067" s="193" t="str">
        <f>'Buildings - Water'!R13</f>
        <v/>
      </c>
      <c r="AB1067" s="193" t="str">
        <f>'Buildings - Water'!S13</f>
        <v/>
      </c>
      <c r="AC1067" s="193" t="str">
        <f>'Buildings - Water'!T13</f>
        <v/>
      </c>
      <c r="AD1067" s="193" t="str">
        <f>'Buildings - Water'!U13</f>
        <v/>
      </c>
      <c r="AE1067" s="193" t="str">
        <f>'Buildings - Water'!V13</f>
        <v/>
      </c>
      <c r="AF1067" s="193" t="str">
        <f>'Buildings - Water'!W13</f>
        <v/>
      </c>
      <c r="AG1067" s="193" t="str">
        <f>'Buildings - Water'!X13</f>
        <v/>
      </c>
      <c r="AI1067" s="193">
        <f t="shared" si="18"/>
        <v>0</v>
      </c>
      <c r="AJ1067" s="193">
        <f t="shared" si="19"/>
        <v>0</v>
      </c>
    </row>
    <row r="1068" spans="2:36" x14ac:dyDescent="0.35">
      <c r="B1068" s="193" t="e">
        <f>"2024"&amp;MATCH(Totals!D1068,OrgType,0)&amp;"_"&amp;MATCH(Totals!E1068,Organisations,0)&amp;"_"&amp;LEFT(Totals!F1068,1)&amp;"_"&amp;LEFT(G1068,1)&amp;"_"&amp;COUNTIF($G$3:G1068,G1068)</f>
        <v>#N/A</v>
      </c>
      <c r="C1068" s="193">
        <v>2025</v>
      </c>
      <c r="D1068" s="193">
        <f>Introduction!$D$7</f>
        <v>0</v>
      </c>
      <c r="E1068" s="193">
        <f>Introduction!$D$8</f>
        <v>0</v>
      </c>
      <c r="F1068" s="193" t="s">
        <v>488</v>
      </c>
      <c r="G1068" s="193" t="s">
        <v>208</v>
      </c>
      <c r="H1068" s="193">
        <f>'Buildings - Water'!B14</f>
        <v>0</v>
      </c>
      <c r="I1068" s="193">
        <f>'Buildings - Water'!C14</f>
        <v>0</v>
      </c>
      <c r="J1068" s="193" t="str">
        <f>'Buildings - Water'!D14</f>
        <v/>
      </c>
      <c r="K1068" s="237"/>
      <c r="L1068" s="237"/>
      <c r="M1068" s="193" t="str">
        <f>'Buildings - Water'!E14</f>
        <v/>
      </c>
      <c r="N1068" s="193">
        <f>'Buildings - Water'!F14</f>
        <v>0</v>
      </c>
      <c r="O1068" s="237"/>
      <c r="P1068" s="193">
        <f>'Buildings - Water'!G14</f>
        <v>0</v>
      </c>
      <c r="Q1068" s="193" t="str">
        <f>'Buildings - Water'!H14</f>
        <v/>
      </c>
      <c r="R1068" s="193">
        <f>'Buildings - Water'!I14</f>
        <v>0</v>
      </c>
      <c r="S1068" s="193">
        <f>'Buildings - Water'!J14</f>
        <v>0</v>
      </c>
      <c r="T1068" s="193" t="str">
        <f>'Buildings - Water'!K14</f>
        <v/>
      </c>
      <c r="U1068" s="193" t="str">
        <f>'Buildings - Water'!L14</f>
        <v/>
      </c>
      <c r="V1068" s="193" t="str">
        <f>'Buildings - Water'!M14</f>
        <v/>
      </c>
      <c r="W1068" s="193" t="str">
        <f>'Buildings - Water'!N14</f>
        <v/>
      </c>
      <c r="X1068" s="193">
        <f>'Buildings - Water'!O14</f>
        <v>0</v>
      </c>
      <c r="Y1068" s="193">
        <f>'Buildings - Water'!P14</f>
        <v>0</v>
      </c>
      <c r="Z1068" s="193" t="str">
        <f>'Buildings - Water'!Q14</f>
        <v/>
      </c>
      <c r="AA1068" s="193" t="str">
        <f>'Buildings - Water'!R14</f>
        <v/>
      </c>
      <c r="AB1068" s="193" t="str">
        <f>'Buildings - Water'!S14</f>
        <v/>
      </c>
      <c r="AC1068" s="193" t="str">
        <f>'Buildings - Water'!T14</f>
        <v/>
      </c>
      <c r="AD1068" s="193" t="str">
        <f>'Buildings - Water'!U14</f>
        <v/>
      </c>
      <c r="AE1068" s="193" t="str">
        <f>'Buildings - Water'!V14</f>
        <v/>
      </c>
      <c r="AF1068" s="193" t="str">
        <f>'Buildings - Water'!W14</f>
        <v/>
      </c>
      <c r="AG1068" s="193" t="str">
        <f>'Buildings - Water'!X14</f>
        <v/>
      </c>
      <c r="AI1068" s="193">
        <f t="shared" si="18"/>
        <v>0</v>
      </c>
      <c r="AJ1068" s="193">
        <f t="shared" si="19"/>
        <v>0</v>
      </c>
    </row>
    <row r="1069" spans="2:36" x14ac:dyDescent="0.35">
      <c r="B1069" s="193" t="e">
        <f>"2024"&amp;MATCH(Totals!D1069,OrgType,0)&amp;"_"&amp;MATCH(Totals!E1069,Organisations,0)&amp;"_"&amp;LEFT(Totals!F1069,1)&amp;"_"&amp;LEFT(G1069,1)&amp;"_"&amp;COUNTIF($G$3:G1069,G1069)</f>
        <v>#N/A</v>
      </c>
      <c r="C1069" s="193">
        <v>2025</v>
      </c>
      <c r="D1069" s="193">
        <f>Introduction!$D$7</f>
        <v>0</v>
      </c>
      <c r="E1069" s="193">
        <f>Introduction!$D$8</f>
        <v>0</v>
      </c>
      <c r="F1069" s="193" t="s">
        <v>488</v>
      </c>
      <c r="G1069" s="193" t="s">
        <v>208</v>
      </c>
      <c r="H1069" s="193">
        <f>'Buildings - Water'!B15</f>
        <v>0</v>
      </c>
      <c r="I1069" s="193">
        <f>'Buildings - Water'!C15</f>
        <v>0</v>
      </c>
      <c r="J1069" s="193" t="str">
        <f>'Buildings - Water'!D15</f>
        <v/>
      </c>
      <c r="K1069" s="237"/>
      <c r="L1069" s="237"/>
      <c r="M1069" s="193" t="str">
        <f>'Buildings - Water'!E15</f>
        <v/>
      </c>
      <c r="N1069" s="193">
        <f>'Buildings - Water'!F15</f>
        <v>0</v>
      </c>
      <c r="O1069" s="237"/>
      <c r="P1069" s="193">
        <f>'Buildings - Water'!G15</f>
        <v>0</v>
      </c>
      <c r="Q1069" s="193" t="str">
        <f>'Buildings - Water'!H15</f>
        <v/>
      </c>
      <c r="R1069" s="193">
        <f>'Buildings - Water'!I15</f>
        <v>0</v>
      </c>
      <c r="S1069" s="193">
        <f>'Buildings - Water'!J15</f>
        <v>0</v>
      </c>
      <c r="T1069" s="193" t="str">
        <f>'Buildings - Water'!K15</f>
        <v/>
      </c>
      <c r="U1069" s="193" t="str">
        <f>'Buildings - Water'!L15</f>
        <v/>
      </c>
      <c r="V1069" s="193" t="str">
        <f>'Buildings - Water'!M15</f>
        <v/>
      </c>
      <c r="W1069" s="193" t="str">
        <f>'Buildings - Water'!N15</f>
        <v/>
      </c>
      <c r="X1069" s="193">
        <f>'Buildings - Water'!O15</f>
        <v>0</v>
      </c>
      <c r="Y1069" s="193">
        <f>'Buildings - Water'!P15</f>
        <v>0</v>
      </c>
      <c r="Z1069" s="193" t="str">
        <f>'Buildings - Water'!Q15</f>
        <v/>
      </c>
      <c r="AA1069" s="193" t="str">
        <f>'Buildings - Water'!R15</f>
        <v/>
      </c>
      <c r="AB1069" s="193" t="str">
        <f>'Buildings - Water'!S15</f>
        <v/>
      </c>
      <c r="AC1069" s="193" t="str">
        <f>'Buildings - Water'!T15</f>
        <v/>
      </c>
      <c r="AD1069" s="193" t="str">
        <f>'Buildings - Water'!U15</f>
        <v/>
      </c>
      <c r="AE1069" s="193" t="str">
        <f>'Buildings - Water'!V15</f>
        <v/>
      </c>
      <c r="AF1069" s="193" t="str">
        <f>'Buildings - Water'!W15</f>
        <v/>
      </c>
      <c r="AG1069" s="193" t="str">
        <f>'Buildings - Water'!X15</f>
        <v/>
      </c>
      <c r="AI1069" s="193">
        <f t="shared" si="18"/>
        <v>0</v>
      </c>
      <c r="AJ1069" s="193">
        <f t="shared" si="19"/>
        <v>0</v>
      </c>
    </row>
    <row r="1070" spans="2:36" x14ac:dyDescent="0.35">
      <c r="B1070" s="193" t="e">
        <f>"2024"&amp;MATCH(Totals!D1070,OrgType,0)&amp;"_"&amp;MATCH(Totals!E1070,Organisations,0)&amp;"_"&amp;LEFT(Totals!F1070,1)&amp;"_"&amp;LEFT(G1070,1)&amp;"_"&amp;COUNTIF($G$3:G1070,G1070)</f>
        <v>#N/A</v>
      </c>
      <c r="C1070" s="193">
        <v>2025</v>
      </c>
      <c r="D1070" s="193">
        <f>Introduction!$D$7</f>
        <v>0</v>
      </c>
      <c r="E1070" s="193">
        <f>Introduction!$D$8</f>
        <v>0</v>
      </c>
      <c r="F1070" s="193" t="s">
        <v>488</v>
      </c>
      <c r="G1070" s="193" t="s">
        <v>208</v>
      </c>
      <c r="H1070" s="193">
        <f>'Buildings - Water'!B16</f>
        <v>0</v>
      </c>
      <c r="I1070" s="193">
        <f>'Buildings - Water'!C16</f>
        <v>0</v>
      </c>
      <c r="J1070" s="193" t="str">
        <f>'Buildings - Water'!D16</f>
        <v/>
      </c>
      <c r="K1070" s="237"/>
      <c r="L1070" s="237"/>
      <c r="M1070" s="193" t="str">
        <f>'Buildings - Water'!E16</f>
        <v/>
      </c>
      <c r="N1070" s="193">
        <f>'Buildings - Water'!F16</f>
        <v>0</v>
      </c>
      <c r="O1070" s="237"/>
      <c r="P1070" s="193">
        <f>'Buildings - Water'!G16</f>
        <v>0</v>
      </c>
      <c r="Q1070" s="193" t="str">
        <f>'Buildings - Water'!H16</f>
        <v/>
      </c>
      <c r="R1070" s="193">
        <f>'Buildings - Water'!I16</f>
        <v>0</v>
      </c>
      <c r="S1070" s="193">
        <f>'Buildings - Water'!J16</f>
        <v>0</v>
      </c>
      <c r="T1070" s="193" t="str">
        <f>'Buildings - Water'!K16</f>
        <v/>
      </c>
      <c r="U1070" s="193" t="str">
        <f>'Buildings - Water'!L16</f>
        <v/>
      </c>
      <c r="V1070" s="193" t="str">
        <f>'Buildings - Water'!M16</f>
        <v/>
      </c>
      <c r="W1070" s="193" t="str">
        <f>'Buildings - Water'!N16</f>
        <v/>
      </c>
      <c r="X1070" s="193">
        <f>'Buildings - Water'!O16</f>
        <v>0</v>
      </c>
      <c r="Y1070" s="193">
        <f>'Buildings - Water'!P16</f>
        <v>0</v>
      </c>
      <c r="Z1070" s="193" t="str">
        <f>'Buildings - Water'!Q16</f>
        <v/>
      </c>
      <c r="AA1070" s="193" t="str">
        <f>'Buildings - Water'!R16</f>
        <v/>
      </c>
      <c r="AB1070" s="193" t="str">
        <f>'Buildings - Water'!S16</f>
        <v/>
      </c>
      <c r="AC1070" s="193" t="str">
        <f>'Buildings - Water'!T16</f>
        <v/>
      </c>
      <c r="AD1070" s="193" t="str">
        <f>'Buildings - Water'!U16</f>
        <v/>
      </c>
      <c r="AE1070" s="193" t="str">
        <f>'Buildings - Water'!V16</f>
        <v/>
      </c>
      <c r="AF1070" s="193" t="str">
        <f>'Buildings - Water'!W16</f>
        <v/>
      </c>
      <c r="AG1070" s="193" t="str">
        <f>'Buildings - Water'!X16</f>
        <v/>
      </c>
      <c r="AI1070" s="193">
        <f t="shared" si="18"/>
        <v>0</v>
      </c>
      <c r="AJ1070" s="193">
        <f t="shared" si="19"/>
        <v>0</v>
      </c>
    </row>
    <row r="1071" spans="2:36" x14ac:dyDescent="0.35">
      <c r="B1071" s="193" t="e">
        <f>"2024"&amp;MATCH(Totals!D1071,OrgType,0)&amp;"_"&amp;MATCH(Totals!E1071,Organisations,0)&amp;"_"&amp;LEFT(Totals!F1071,1)&amp;"_"&amp;LEFT(G1071,1)&amp;"_"&amp;COUNTIF($G$3:G1071,G1071)</f>
        <v>#N/A</v>
      </c>
      <c r="C1071" s="193">
        <v>2025</v>
      </c>
      <c r="D1071" s="193">
        <f>Introduction!$D$7</f>
        <v>0</v>
      </c>
      <c r="E1071" s="193">
        <f>Introduction!$D$8</f>
        <v>0</v>
      </c>
      <c r="F1071" s="193" t="s">
        <v>488</v>
      </c>
      <c r="G1071" s="193" t="s">
        <v>208</v>
      </c>
      <c r="H1071" s="193">
        <f>'Buildings - Water'!B17</f>
        <v>0</v>
      </c>
      <c r="I1071" s="193">
        <f>'Buildings - Water'!C17</f>
        <v>0</v>
      </c>
      <c r="J1071" s="193" t="str">
        <f>'Buildings - Water'!D17</f>
        <v/>
      </c>
      <c r="K1071" s="237"/>
      <c r="L1071" s="237"/>
      <c r="M1071" s="193" t="str">
        <f>'Buildings - Water'!E17</f>
        <v/>
      </c>
      <c r="N1071" s="193">
        <f>'Buildings - Water'!F17</f>
        <v>0</v>
      </c>
      <c r="O1071" s="237"/>
      <c r="P1071" s="193">
        <f>'Buildings - Water'!G17</f>
        <v>0</v>
      </c>
      <c r="Q1071" s="193" t="str">
        <f>'Buildings - Water'!H17</f>
        <v/>
      </c>
      <c r="R1071" s="193">
        <f>'Buildings - Water'!I17</f>
        <v>0</v>
      </c>
      <c r="S1071" s="193">
        <f>'Buildings - Water'!J17</f>
        <v>0</v>
      </c>
      <c r="T1071" s="193" t="str">
        <f>'Buildings - Water'!K17</f>
        <v/>
      </c>
      <c r="U1071" s="193" t="str">
        <f>'Buildings - Water'!L17</f>
        <v/>
      </c>
      <c r="V1071" s="193" t="str">
        <f>'Buildings - Water'!M17</f>
        <v/>
      </c>
      <c r="W1071" s="193" t="str">
        <f>'Buildings - Water'!N17</f>
        <v/>
      </c>
      <c r="X1071" s="193">
        <f>'Buildings - Water'!O17</f>
        <v>0</v>
      </c>
      <c r="Y1071" s="193">
        <f>'Buildings - Water'!P17</f>
        <v>0</v>
      </c>
      <c r="Z1071" s="193" t="str">
        <f>'Buildings - Water'!Q17</f>
        <v/>
      </c>
      <c r="AA1071" s="193" t="str">
        <f>'Buildings - Water'!R17</f>
        <v/>
      </c>
      <c r="AB1071" s="193" t="str">
        <f>'Buildings - Water'!S17</f>
        <v/>
      </c>
      <c r="AC1071" s="193" t="str">
        <f>'Buildings - Water'!T17</f>
        <v/>
      </c>
      <c r="AD1071" s="193" t="str">
        <f>'Buildings - Water'!U17</f>
        <v/>
      </c>
      <c r="AE1071" s="193" t="str">
        <f>'Buildings - Water'!V17</f>
        <v/>
      </c>
      <c r="AF1071" s="193" t="str">
        <f>'Buildings - Water'!W17</f>
        <v/>
      </c>
      <c r="AG1071" s="193" t="str">
        <f>'Buildings - Water'!X17</f>
        <v/>
      </c>
      <c r="AI1071" s="193">
        <f t="shared" si="18"/>
        <v>0</v>
      </c>
      <c r="AJ1071" s="193">
        <f t="shared" si="19"/>
        <v>0</v>
      </c>
    </row>
    <row r="1072" spans="2:36" x14ac:dyDescent="0.35">
      <c r="B1072" s="193" t="e">
        <f>"2024"&amp;MATCH(Totals!D1072,OrgType,0)&amp;"_"&amp;MATCH(Totals!E1072,Organisations,0)&amp;"_"&amp;LEFT(Totals!F1072,1)&amp;"_"&amp;LEFT(G1072,1)&amp;"_"&amp;COUNTIF($G$3:G1072,G1072)</f>
        <v>#N/A</v>
      </c>
      <c r="C1072" s="193">
        <v>2025</v>
      </c>
      <c r="D1072" s="193">
        <f>Introduction!$D$7</f>
        <v>0</v>
      </c>
      <c r="E1072" s="193">
        <f>Introduction!$D$8</f>
        <v>0</v>
      </c>
      <c r="F1072" s="193" t="s">
        <v>488</v>
      </c>
      <c r="G1072" s="193" t="s">
        <v>208</v>
      </c>
      <c r="H1072" s="193">
        <f>'Buildings - Water'!B18</f>
        <v>0</v>
      </c>
      <c r="I1072" s="193">
        <f>'Buildings - Water'!C18</f>
        <v>0</v>
      </c>
      <c r="J1072" s="193" t="str">
        <f>'Buildings - Water'!D18</f>
        <v/>
      </c>
      <c r="K1072" s="237"/>
      <c r="L1072" s="237"/>
      <c r="M1072" s="193" t="str">
        <f>'Buildings - Water'!E18</f>
        <v/>
      </c>
      <c r="N1072" s="193">
        <f>'Buildings - Water'!F18</f>
        <v>0</v>
      </c>
      <c r="O1072" s="237"/>
      <c r="P1072" s="193">
        <f>'Buildings - Water'!G18</f>
        <v>0</v>
      </c>
      <c r="Q1072" s="193" t="str">
        <f>'Buildings - Water'!H18</f>
        <v/>
      </c>
      <c r="R1072" s="193">
        <f>'Buildings - Water'!I18</f>
        <v>0</v>
      </c>
      <c r="S1072" s="193">
        <f>'Buildings - Water'!J18</f>
        <v>0</v>
      </c>
      <c r="T1072" s="193" t="str">
        <f>'Buildings - Water'!K18</f>
        <v/>
      </c>
      <c r="U1072" s="193" t="str">
        <f>'Buildings - Water'!L18</f>
        <v/>
      </c>
      <c r="V1072" s="193" t="str">
        <f>'Buildings - Water'!M18</f>
        <v/>
      </c>
      <c r="W1072" s="193" t="str">
        <f>'Buildings - Water'!N18</f>
        <v/>
      </c>
      <c r="X1072" s="193">
        <f>'Buildings - Water'!O18</f>
        <v>0</v>
      </c>
      <c r="Y1072" s="193">
        <f>'Buildings - Water'!P18</f>
        <v>0</v>
      </c>
      <c r="Z1072" s="193" t="str">
        <f>'Buildings - Water'!Q18</f>
        <v/>
      </c>
      <c r="AA1072" s="193" t="str">
        <f>'Buildings - Water'!R18</f>
        <v/>
      </c>
      <c r="AB1072" s="193" t="str">
        <f>'Buildings - Water'!S18</f>
        <v/>
      </c>
      <c r="AC1072" s="193" t="str">
        <f>'Buildings - Water'!T18</f>
        <v/>
      </c>
      <c r="AD1072" s="193" t="str">
        <f>'Buildings - Water'!U18</f>
        <v/>
      </c>
      <c r="AE1072" s="193" t="str">
        <f>'Buildings - Water'!V18</f>
        <v/>
      </c>
      <c r="AF1072" s="193" t="str">
        <f>'Buildings - Water'!W18</f>
        <v/>
      </c>
      <c r="AG1072" s="193" t="str">
        <f>'Buildings - Water'!X18</f>
        <v/>
      </c>
      <c r="AI1072" s="193">
        <f t="shared" si="18"/>
        <v>0</v>
      </c>
      <c r="AJ1072" s="193">
        <f t="shared" si="19"/>
        <v>0</v>
      </c>
    </row>
    <row r="1073" spans="2:36" x14ac:dyDescent="0.35">
      <c r="B1073" s="193" t="e">
        <f>"2024"&amp;MATCH(Totals!D1073,OrgType,0)&amp;"_"&amp;MATCH(Totals!E1073,Organisations,0)&amp;"_"&amp;LEFT(Totals!F1073,1)&amp;"_"&amp;LEFT(G1073,1)&amp;"_"&amp;COUNTIF($G$3:G1073,G1073)</f>
        <v>#N/A</v>
      </c>
      <c r="C1073" s="193">
        <v>2025</v>
      </c>
      <c r="D1073" s="193">
        <f>Introduction!$D$7</f>
        <v>0</v>
      </c>
      <c r="E1073" s="193">
        <f>Introduction!$D$8</f>
        <v>0</v>
      </c>
      <c r="F1073" s="193" t="s">
        <v>488</v>
      </c>
      <c r="G1073" s="193" t="s">
        <v>208</v>
      </c>
      <c r="H1073" s="193">
        <f>'Buildings - Water'!B19</f>
        <v>0</v>
      </c>
      <c r="I1073" s="193">
        <f>'Buildings - Water'!C19</f>
        <v>0</v>
      </c>
      <c r="J1073" s="193" t="str">
        <f>'Buildings - Water'!D19</f>
        <v/>
      </c>
      <c r="K1073" s="237"/>
      <c r="L1073" s="237"/>
      <c r="M1073" s="193" t="str">
        <f>'Buildings - Water'!E19</f>
        <v/>
      </c>
      <c r="N1073" s="193">
        <f>'Buildings - Water'!F19</f>
        <v>0</v>
      </c>
      <c r="O1073" s="237"/>
      <c r="P1073" s="193">
        <f>'Buildings - Water'!G19</f>
        <v>0</v>
      </c>
      <c r="Q1073" s="193" t="str">
        <f>'Buildings - Water'!H19</f>
        <v/>
      </c>
      <c r="R1073" s="193">
        <f>'Buildings - Water'!I19</f>
        <v>0</v>
      </c>
      <c r="S1073" s="193">
        <f>'Buildings - Water'!J19</f>
        <v>0</v>
      </c>
      <c r="T1073" s="193" t="str">
        <f>'Buildings - Water'!K19</f>
        <v/>
      </c>
      <c r="U1073" s="193" t="str">
        <f>'Buildings - Water'!L19</f>
        <v/>
      </c>
      <c r="V1073" s="193" t="str">
        <f>'Buildings - Water'!M19</f>
        <v/>
      </c>
      <c r="W1073" s="193" t="str">
        <f>'Buildings - Water'!N19</f>
        <v/>
      </c>
      <c r="X1073" s="193">
        <f>'Buildings - Water'!O19</f>
        <v>0</v>
      </c>
      <c r="Y1073" s="193">
        <f>'Buildings - Water'!P19</f>
        <v>0</v>
      </c>
      <c r="Z1073" s="193" t="str">
        <f>'Buildings - Water'!Q19</f>
        <v/>
      </c>
      <c r="AA1073" s="193" t="str">
        <f>'Buildings - Water'!R19</f>
        <v/>
      </c>
      <c r="AB1073" s="193" t="str">
        <f>'Buildings - Water'!S19</f>
        <v/>
      </c>
      <c r="AC1073" s="193" t="str">
        <f>'Buildings - Water'!T19</f>
        <v/>
      </c>
      <c r="AD1073" s="193" t="str">
        <f>'Buildings - Water'!U19</f>
        <v/>
      </c>
      <c r="AE1073" s="193" t="str">
        <f>'Buildings - Water'!V19</f>
        <v/>
      </c>
      <c r="AF1073" s="193" t="str">
        <f>'Buildings - Water'!W19</f>
        <v/>
      </c>
      <c r="AG1073" s="193" t="str">
        <f>'Buildings - Water'!X19</f>
        <v/>
      </c>
      <c r="AI1073" s="193">
        <f t="shared" si="18"/>
        <v>0</v>
      </c>
      <c r="AJ1073" s="193">
        <f t="shared" si="19"/>
        <v>0</v>
      </c>
    </row>
    <row r="1074" spans="2:36" x14ac:dyDescent="0.35">
      <c r="B1074" s="193" t="e">
        <f>"2024"&amp;MATCH(Totals!D1074,OrgType,0)&amp;"_"&amp;MATCH(Totals!E1074,Organisations,0)&amp;"_"&amp;LEFT(Totals!F1074,1)&amp;"_"&amp;LEFT(G1074,1)&amp;"_"&amp;COUNTIF($G$3:G1074,G1074)</f>
        <v>#N/A</v>
      </c>
      <c r="C1074" s="193">
        <v>2025</v>
      </c>
      <c r="D1074" s="193">
        <f>Introduction!$D$7</f>
        <v>0</v>
      </c>
      <c r="E1074" s="193">
        <f>Introduction!$D$8</f>
        <v>0</v>
      </c>
      <c r="F1074" s="193" t="s">
        <v>488</v>
      </c>
      <c r="G1074" s="193" t="s">
        <v>208</v>
      </c>
      <c r="H1074" s="193">
        <f>'Buildings - Water'!B20</f>
        <v>0</v>
      </c>
      <c r="I1074" s="193">
        <f>'Buildings - Water'!C20</f>
        <v>0</v>
      </c>
      <c r="J1074" s="193" t="str">
        <f>'Buildings - Water'!D20</f>
        <v/>
      </c>
      <c r="K1074" s="237"/>
      <c r="L1074" s="237"/>
      <c r="M1074" s="193" t="str">
        <f>'Buildings - Water'!E20</f>
        <v/>
      </c>
      <c r="N1074" s="193">
        <f>'Buildings - Water'!F20</f>
        <v>0</v>
      </c>
      <c r="O1074" s="237"/>
      <c r="P1074" s="193">
        <f>'Buildings - Water'!G20</f>
        <v>0</v>
      </c>
      <c r="Q1074" s="193" t="str">
        <f>'Buildings - Water'!H20</f>
        <v/>
      </c>
      <c r="R1074" s="193">
        <f>'Buildings - Water'!I20</f>
        <v>0</v>
      </c>
      <c r="S1074" s="193">
        <f>'Buildings - Water'!J20</f>
        <v>0</v>
      </c>
      <c r="T1074" s="193" t="str">
        <f>'Buildings - Water'!K20</f>
        <v/>
      </c>
      <c r="U1074" s="193" t="str">
        <f>'Buildings - Water'!L20</f>
        <v/>
      </c>
      <c r="V1074" s="193" t="str">
        <f>'Buildings - Water'!M20</f>
        <v/>
      </c>
      <c r="W1074" s="193" t="str">
        <f>'Buildings - Water'!N20</f>
        <v/>
      </c>
      <c r="X1074" s="193">
        <f>'Buildings - Water'!O20</f>
        <v>0</v>
      </c>
      <c r="Y1074" s="193">
        <f>'Buildings - Water'!P20</f>
        <v>0</v>
      </c>
      <c r="Z1074" s="193" t="str">
        <f>'Buildings - Water'!Q20</f>
        <v/>
      </c>
      <c r="AA1074" s="193" t="str">
        <f>'Buildings - Water'!R20</f>
        <v/>
      </c>
      <c r="AB1074" s="193" t="str">
        <f>'Buildings - Water'!S20</f>
        <v/>
      </c>
      <c r="AC1074" s="193" t="str">
        <f>'Buildings - Water'!T20</f>
        <v/>
      </c>
      <c r="AD1074" s="193" t="str">
        <f>'Buildings - Water'!U20</f>
        <v/>
      </c>
      <c r="AE1074" s="193" t="str">
        <f>'Buildings - Water'!V20</f>
        <v/>
      </c>
      <c r="AF1074" s="193" t="str">
        <f>'Buildings - Water'!W20</f>
        <v/>
      </c>
      <c r="AG1074" s="193" t="str">
        <f>'Buildings - Water'!X20</f>
        <v/>
      </c>
      <c r="AI1074" s="193">
        <f t="shared" si="18"/>
        <v>0</v>
      </c>
      <c r="AJ1074" s="193">
        <f t="shared" si="19"/>
        <v>0</v>
      </c>
    </row>
    <row r="1075" spans="2:36" x14ac:dyDescent="0.35">
      <c r="B1075" s="193" t="e">
        <f>"2024"&amp;MATCH(Totals!D1075,OrgType,0)&amp;"_"&amp;MATCH(Totals!E1075,Organisations,0)&amp;"_"&amp;LEFT(Totals!F1075,1)&amp;"_"&amp;LEFT(G1075,1)&amp;"_"&amp;COUNTIF($G$3:G1075,G1075)</f>
        <v>#N/A</v>
      </c>
      <c r="C1075" s="193">
        <v>2025</v>
      </c>
      <c r="D1075" s="193">
        <f>Introduction!$D$7</f>
        <v>0</v>
      </c>
      <c r="E1075" s="193">
        <f>Introduction!$D$8</f>
        <v>0</v>
      </c>
      <c r="F1075" s="193" t="s">
        <v>488</v>
      </c>
      <c r="G1075" s="193" t="s">
        <v>208</v>
      </c>
      <c r="H1075" s="193">
        <f>'Buildings - Water'!B21</f>
        <v>0</v>
      </c>
      <c r="I1075" s="193">
        <f>'Buildings - Water'!C21</f>
        <v>0</v>
      </c>
      <c r="J1075" s="193" t="str">
        <f>'Buildings - Water'!D21</f>
        <v/>
      </c>
      <c r="K1075" s="237"/>
      <c r="L1075" s="237"/>
      <c r="M1075" s="193" t="str">
        <f>'Buildings - Water'!E21</f>
        <v/>
      </c>
      <c r="N1075" s="193">
        <f>'Buildings - Water'!F21</f>
        <v>0</v>
      </c>
      <c r="O1075" s="237"/>
      <c r="P1075" s="193">
        <f>'Buildings - Water'!G21</f>
        <v>0</v>
      </c>
      <c r="Q1075" s="193" t="str">
        <f>'Buildings - Water'!H21</f>
        <v/>
      </c>
      <c r="R1075" s="193">
        <f>'Buildings - Water'!I21</f>
        <v>0</v>
      </c>
      <c r="S1075" s="193">
        <f>'Buildings - Water'!J21</f>
        <v>0</v>
      </c>
      <c r="T1075" s="193" t="str">
        <f>'Buildings - Water'!K21</f>
        <v/>
      </c>
      <c r="U1075" s="193" t="str">
        <f>'Buildings - Water'!L21</f>
        <v/>
      </c>
      <c r="V1075" s="193" t="str">
        <f>'Buildings - Water'!M21</f>
        <v/>
      </c>
      <c r="W1075" s="193" t="str">
        <f>'Buildings - Water'!N21</f>
        <v/>
      </c>
      <c r="X1075" s="193">
        <f>'Buildings - Water'!O21</f>
        <v>0</v>
      </c>
      <c r="Y1075" s="193">
        <f>'Buildings - Water'!P21</f>
        <v>0</v>
      </c>
      <c r="Z1075" s="193" t="str">
        <f>'Buildings - Water'!Q21</f>
        <v/>
      </c>
      <c r="AA1075" s="193" t="str">
        <f>'Buildings - Water'!R21</f>
        <v/>
      </c>
      <c r="AB1075" s="193" t="str">
        <f>'Buildings - Water'!S21</f>
        <v/>
      </c>
      <c r="AC1075" s="193" t="str">
        <f>'Buildings - Water'!T21</f>
        <v/>
      </c>
      <c r="AD1075" s="193" t="str">
        <f>'Buildings - Water'!U21</f>
        <v/>
      </c>
      <c r="AE1075" s="193" t="str">
        <f>'Buildings - Water'!V21</f>
        <v/>
      </c>
      <c r="AF1075" s="193" t="str">
        <f>'Buildings - Water'!W21</f>
        <v/>
      </c>
      <c r="AG1075" s="193" t="str">
        <f>'Buildings - Water'!X21</f>
        <v/>
      </c>
      <c r="AI1075" s="193">
        <f t="shared" si="18"/>
        <v>0</v>
      </c>
      <c r="AJ1075" s="193">
        <f t="shared" si="19"/>
        <v>0</v>
      </c>
    </row>
    <row r="1076" spans="2:36" x14ac:dyDescent="0.35">
      <c r="B1076" s="193" t="e">
        <f>"2024"&amp;MATCH(Totals!D1076,OrgType,0)&amp;"_"&amp;MATCH(Totals!E1076,Organisations,0)&amp;"_"&amp;LEFT(Totals!F1076,1)&amp;"_"&amp;LEFT(G1076,1)&amp;"_"&amp;COUNTIF($G$3:G1076,G1076)</f>
        <v>#N/A</v>
      </c>
      <c r="C1076" s="193">
        <v>2025</v>
      </c>
      <c r="D1076" s="193">
        <f>Introduction!$D$7</f>
        <v>0</v>
      </c>
      <c r="E1076" s="193">
        <f>Introduction!$D$8</f>
        <v>0</v>
      </c>
      <c r="F1076" s="193" t="s">
        <v>488</v>
      </c>
      <c r="G1076" s="193" t="s">
        <v>208</v>
      </c>
      <c r="H1076" s="193">
        <f>'Buildings - Water'!B22</f>
        <v>0</v>
      </c>
      <c r="I1076" s="193">
        <f>'Buildings - Water'!C22</f>
        <v>0</v>
      </c>
      <c r="J1076" s="193" t="str">
        <f>'Buildings - Water'!D22</f>
        <v/>
      </c>
      <c r="K1076" s="237"/>
      <c r="L1076" s="237"/>
      <c r="M1076" s="193" t="str">
        <f>'Buildings - Water'!E22</f>
        <v/>
      </c>
      <c r="N1076" s="193">
        <f>'Buildings - Water'!F22</f>
        <v>0</v>
      </c>
      <c r="O1076" s="237"/>
      <c r="P1076" s="193">
        <f>'Buildings - Water'!G22</f>
        <v>0</v>
      </c>
      <c r="Q1076" s="193" t="str">
        <f>'Buildings - Water'!H22</f>
        <v/>
      </c>
      <c r="R1076" s="193">
        <f>'Buildings - Water'!I22</f>
        <v>0</v>
      </c>
      <c r="S1076" s="193">
        <f>'Buildings - Water'!J22</f>
        <v>0</v>
      </c>
      <c r="T1076" s="193" t="str">
        <f>'Buildings - Water'!K22</f>
        <v/>
      </c>
      <c r="U1076" s="193" t="str">
        <f>'Buildings - Water'!L22</f>
        <v/>
      </c>
      <c r="V1076" s="193" t="str">
        <f>'Buildings - Water'!M22</f>
        <v/>
      </c>
      <c r="W1076" s="193" t="str">
        <f>'Buildings - Water'!N22</f>
        <v/>
      </c>
      <c r="X1076" s="193">
        <f>'Buildings - Water'!O22</f>
        <v>0</v>
      </c>
      <c r="Y1076" s="193">
        <f>'Buildings - Water'!P22</f>
        <v>0</v>
      </c>
      <c r="Z1076" s="193" t="str">
        <f>'Buildings - Water'!Q22</f>
        <v/>
      </c>
      <c r="AA1076" s="193" t="str">
        <f>'Buildings - Water'!R22</f>
        <v/>
      </c>
      <c r="AB1076" s="193" t="str">
        <f>'Buildings - Water'!S22</f>
        <v/>
      </c>
      <c r="AC1076" s="193" t="str">
        <f>'Buildings - Water'!T22</f>
        <v/>
      </c>
      <c r="AD1076" s="193" t="str">
        <f>'Buildings - Water'!U22</f>
        <v/>
      </c>
      <c r="AE1076" s="193" t="str">
        <f>'Buildings - Water'!V22</f>
        <v/>
      </c>
      <c r="AF1076" s="193" t="str">
        <f>'Buildings - Water'!W22</f>
        <v/>
      </c>
      <c r="AG1076" s="193" t="str">
        <f>'Buildings - Water'!X22</f>
        <v/>
      </c>
      <c r="AI1076" s="193">
        <f t="shared" si="18"/>
        <v>0</v>
      </c>
      <c r="AJ1076" s="193">
        <f t="shared" si="19"/>
        <v>0</v>
      </c>
    </row>
    <row r="1077" spans="2:36" x14ac:dyDescent="0.35">
      <c r="B1077" s="193" t="e">
        <f>"2024"&amp;MATCH(Totals!D1077,OrgType,0)&amp;"_"&amp;MATCH(Totals!E1077,Organisations,0)&amp;"_"&amp;LEFT(Totals!F1077,1)&amp;"_"&amp;LEFT(G1077,1)&amp;"_"&amp;COUNTIF($G$3:G1077,G1077)</f>
        <v>#N/A</v>
      </c>
      <c r="C1077" s="193">
        <v>2025</v>
      </c>
      <c r="D1077" s="193">
        <f>Introduction!$D$7</f>
        <v>0</v>
      </c>
      <c r="E1077" s="193">
        <f>Introduction!$D$8</f>
        <v>0</v>
      </c>
      <c r="F1077" s="193" t="s">
        <v>488</v>
      </c>
      <c r="G1077" s="193" t="s">
        <v>208</v>
      </c>
      <c r="H1077" s="193">
        <f>'Buildings - Water'!B23</f>
        <v>0</v>
      </c>
      <c r="I1077" s="193">
        <f>'Buildings - Water'!C23</f>
        <v>0</v>
      </c>
      <c r="J1077" s="193" t="str">
        <f>'Buildings - Water'!D23</f>
        <v/>
      </c>
      <c r="K1077" s="237"/>
      <c r="L1077" s="237"/>
      <c r="M1077" s="193" t="str">
        <f>'Buildings - Water'!E23</f>
        <v/>
      </c>
      <c r="N1077" s="193">
        <f>'Buildings - Water'!F23</f>
        <v>0</v>
      </c>
      <c r="O1077" s="237"/>
      <c r="P1077" s="193">
        <f>'Buildings - Water'!G23</f>
        <v>0</v>
      </c>
      <c r="Q1077" s="193" t="str">
        <f>'Buildings - Water'!H23</f>
        <v/>
      </c>
      <c r="R1077" s="193">
        <f>'Buildings - Water'!I23</f>
        <v>0</v>
      </c>
      <c r="S1077" s="193">
        <f>'Buildings - Water'!J23</f>
        <v>0</v>
      </c>
      <c r="T1077" s="193" t="str">
        <f>'Buildings - Water'!K23</f>
        <v/>
      </c>
      <c r="U1077" s="193" t="str">
        <f>'Buildings - Water'!L23</f>
        <v/>
      </c>
      <c r="V1077" s="193" t="str">
        <f>'Buildings - Water'!M23</f>
        <v/>
      </c>
      <c r="W1077" s="193" t="str">
        <f>'Buildings - Water'!N23</f>
        <v/>
      </c>
      <c r="X1077" s="193">
        <f>'Buildings - Water'!O23</f>
        <v>0</v>
      </c>
      <c r="Y1077" s="193">
        <f>'Buildings - Water'!P23</f>
        <v>0</v>
      </c>
      <c r="Z1077" s="193" t="str">
        <f>'Buildings - Water'!Q23</f>
        <v/>
      </c>
      <c r="AA1077" s="193" t="str">
        <f>'Buildings - Water'!R23</f>
        <v/>
      </c>
      <c r="AB1077" s="193" t="str">
        <f>'Buildings - Water'!S23</f>
        <v/>
      </c>
      <c r="AC1077" s="193" t="str">
        <f>'Buildings - Water'!T23</f>
        <v/>
      </c>
      <c r="AD1077" s="193" t="str">
        <f>'Buildings - Water'!U23</f>
        <v/>
      </c>
      <c r="AE1077" s="193" t="str">
        <f>'Buildings - Water'!V23</f>
        <v/>
      </c>
      <c r="AF1077" s="193" t="str">
        <f>'Buildings - Water'!W23</f>
        <v/>
      </c>
      <c r="AG1077" s="193" t="str">
        <f>'Buildings - Water'!X23</f>
        <v/>
      </c>
      <c r="AI1077" s="193">
        <f t="shared" si="18"/>
        <v>0</v>
      </c>
      <c r="AJ1077" s="193">
        <f t="shared" si="19"/>
        <v>0</v>
      </c>
    </row>
    <row r="1078" spans="2:36" x14ac:dyDescent="0.35">
      <c r="B1078" s="193" t="e">
        <f>"2024"&amp;MATCH(Totals!D1078,OrgType,0)&amp;"_"&amp;MATCH(Totals!E1078,Organisations,0)&amp;"_"&amp;LEFT(Totals!F1078,1)&amp;"_"&amp;LEFT(G1078,1)&amp;"_"&amp;COUNTIF($G$3:G1078,G1078)</f>
        <v>#N/A</v>
      </c>
      <c r="C1078" s="193">
        <v>2025</v>
      </c>
      <c r="D1078" s="193">
        <f>Introduction!$D$7</f>
        <v>0</v>
      </c>
      <c r="E1078" s="193">
        <f>Introduction!$D$8</f>
        <v>0</v>
      </c>
      <c r="F1078" s="193" t="s">
        <v>488</v>
      </c>
      <c r="G1078" s="193" t="s">
        <v>208</v>
      </c>
      <c r="H1078" s="193">
        <f>'Buildings - Water'!B24</f>
        <v>0</v>
      </c>
      <c r="I1078" s="193">
        <f>'Buildings - Water'!C24</f>
        <v>0</v>
      </c>
      <c r="J1078" s="193" t="str">
        <f>'Buildings - Water'!D24</f>
        <v/>
      </c>
      <c r="K1078" s="237"/>
      <c r="L1078" s="237"/>
      <c r="M1078" s="193" t="str">
        <f>'Buildings - Water'!E24</f>
        <v/>
      </c>
      <c r="N1078" s="193">
        <f>'Buildings - Water'!F24</f>
        <v>0</v>
      </c>
      <c r="O1078" s="237"/>
      <c r="P1078" s="193">
        <f>'Buildings - Water'!G24</f>
        <v>0</v>
      </c>
      <c r="Q1078" s="193" t="str">
        <f>'Buildings - Water'!H24</f>
        <v/>
      </c>
      <c r="R1078" s="193">
        <f>'Buildings - Water'!I24</f>
        <v>0</v>
      </c>
      <c r="S1078" s="193">
        <f>'Buildings - Water'!J24</f>
        <v>0</v>
      </c>
      <c r="T1078" s="193" t="str">
        <f>'Buildings - Water'!K24</f>
        <v/>
      </c>
      <c r="U1078" s="193" t="str">
        <f>'Buildings - Water'!L24</f>
        <v/>
      </c>
      <c r="V1078" s="193" t="str">
        <f>'Buildings - Water'!M24</f>
        <v/>
      </c>
      <c r="W1078" s="193" t="str">
        <f>'Buildings - Water'!N24</f>
        <v/>
      </c>
      <c r="X1078" s="193">
        <f>'Buildings - Water'!O24</f>
        <v>0</v>
      </c>
      <c r="Y1078" s="193">
        <f>'Buildings - Water'!P24</f>
        <v>0</v>
      </c>
      <c r="Z1078" s="193" t="str">
        <f>'Buildings - Water'!Q24</f>
        <v/>
      </c>
      <c r="AA1078" s="193" t="str">
        <f>'Buildings - Water'!R24</f>
        <v/>
      </c>
      <c r="AB1078" s="193" t="str">
        <f>'Buildings - Water'!S24</f>
        <v/>
      </c>
      <c r="AC1078" s="193" t="str">
        <f>'Buildings - Water'!T24</f>
        <v/>
      </c>
      <c r="AD1078" s="193" t="str">
        <f>'Buildings - Water'!U24</f>
        <v/>
      </c>
      <c r="AE1078" s="193" t="str">
        <f>'Buildings - Water'!V24</f>
        <v/>
      </c>
      <c r="AF1078" s="193" t="str">
        <f>'Buildings - Water'!W24</f>
        <v/>
      </c>
      <c r="AG1078" s="193" t="str">
        <f>'Buildings - Water'!X24</f>
        <v/>
      </c>
      <c r="AI1078" s="193">
        <f t="shared" si="18"/>
        <v>0</v>
      </c>
      <c r="AJ1078" s="193">
        <f t="shared" si="19"/>
        <v>0</v>
      </c>
    </row>
    <row r="1079" spans="2:36" x14ac:dyDescent="0.35">
      <c r="B1079" s="193" t="e">
        <f>"2024"&amp;MATCH(Totals!D1079,OrgType,0)&amp;"_"&amp;MATCH(Totals!E1079,Organisations,0)&amp;"_"&amp;LEFT(Totals!F1079,1)&amp;"_"&amp;LEFT(G1079,1)&amp;"_"&amp;COUNTIF($G$3:G1079,G1079)</f>
        <v>#N/A</v>
      </c>
      <c r="C1079" s="193">
        <v>2025</v>
      </c>
      <c r="D1079" s="193">
        <f>Introduction!$D$7</f>
        <v>0</v>
      </c>
      <c r="E1079" s="193">
        <f>Introduction!$D$8</f>
        <v>0</v>
      </c>
      <c r="F1079" s="193" t="s">
        <v>488</v>
      </c>
      <c r="G1079" s="193" t="s">
        <v>208</v>
      </c>
      <c r="H1079" s="193">
        <f>'Buildings - Water'!B25</f>
        <v>0</v>
      </c>
      <c r="I1079" s="193">
        <f>'Buildings - Water'!C25</f>
        <v>0</v>
      </c>
      <c r="J1079" s="193" t="str">
        <f>'Buildings - Water'!D25</f>
        <v/>
      </c>
      <c r="K1079" s="237"/>
      <c r="L1079" s="237"/>
      <c r="M1079" s="193" t="str">
        <f>'Buildings - Water'!E25</f>
        <v/>
      </c>
      <c r="N1079" s="193">
        <f>'Buildings - Water'!F25</f>
        <v>0</v>
      </c>
      <c r="O1079" s="237"/>
      <c r="P1079" s="193">
        <f>'Buildings - Water'!G25</f>
        <v>0</v>
      </c>
      <c r="Q1079" s="193" t="str">
        <f>'Buildings - Water'!H25</f>
        <v/>
      </c>
      <c r="R1079" s="193">
        <f>'Buildings - Water'!I25</f>
        <v>0</v>
      </c>
      <c r="S1079" s="193">
        <f>'Buildings - Water'!J25</f>
        <v>0</v>
      </c>
      <c r="T1079" s="193" t="str">
        <f>'Buildings - Water'!K25</f>
        <v/>
      </c>
      <c r="U1079" s="193" t="str">
        <f>'Buildings - Water'!L25</f>
        <v/>
      </c>
      <c r="V1079" s="193" t="str">
        <f>'Buildings - Water'!M25</f>
        <v/>
      </c>
      <c r="W1079" s="193" t="str">
        <f>'Buildings - Water'!N25</f>
        <v/>
      </c>
      <c r="X1079" s="193">
        <f>'Buildings - Water'!O25</f>
        <v>0</v>
      </c>
      <c r="Y1079" s="193">
        <f>'Buildings - Water'!P25</f>
        <v>0</v>
      </c>
      <c r="Z1079" s="193" t="str">
        <f>'Buildings - Water'!Q25</f>
        <v/>
      </c>
      <c r="AA1079" s="193" t="str">
        <f>'Buildings - Water'!R25</f>
        <v/>
      </c>
      <c r="AB1079" s="193" t="str">
        <f>'Buildings - Water'!S25</f>
        <v/>
      </c>
      <c r="AC1079" s="193" t="str">
        <f>'Buildings - Water'!T25</f>
        <v/>
      </c>
      <c r="AD1079" s="193" t="str">
        <f>'Buildings - Water'!U25</f>
        <v/>
      </c>
      <c r="AE1079" s="193" t="str">
        <f>'Buildings - Water'!V25</f>
        <v/>
      </c>
      <c r="AF1079" s="193" t="str">
        <f>'Buildings - Water'!W25</f>
        <v/>
      </c>
      <c r="AG1079" s="193" t="str">
        <f>'Buildings - Water'!X25</f>
        <v/>
      </c>
      <c r="AI1079" s="193">
        <f t="shared" si="18"/>
        <v>0</v>
      </c>
      <c r="AJ1079" s="193">
        <f t="shared" si="19"/>
        <v>0</v>
      </c>
    </row>
    <row r="1080" spans="2:36" x14ac:dyDescent="0.35">
      <c r="B1080" s="193" t="e">
        <f>"2024"&amp;MATCH(Totals!D1080,OrgType,0)&amp;"_"&amp;MATCH(Totals!E1080,Organisations,0)&amp;"_"&amp;LEFT(Totals!F1080,1)&amp;"_"&amp;LEFT(G1080,1)&amp;"_"&amp;COUNTIF($G$3:G1080,G1080)</f>
        <v>#N/A</v>
      </c>
      <c r="C1080" s="193">
        <v>2025</v>
      </c>
      <c r="D1080" s="193">
        <f>Introduction!$D$7</f>
        <v>0</v>
      </c>
      <c r="E1080" s="193">
        <f>Introduction!$D$8</f>
        <v>0</v>
      </c>
      <c r="F1080" s="193" t="s">
        <v>488</v>
      </c>
      <c r="G1080" s="193" t="s">
        <v>208</v>
      </c>
      <c r="H1080" s="193">
        <f>'Buildings - Water'!B26</f>
        <v>0</v>
      </c>
      <c r="I1080" s="193">
        <f>'Buildings - Water'!C26</f>
        <v>0</v>
      </c>
      <c r="J1080" s="193" t="str">
        <f>'Buildings - Water'!D26</f>
        <v/>
      </c>
      <c r="K1080" s="237"/>
      <c r="L1080" s="237"/>
      <c r="M1080" s="193" t="str">
        <f>'Buildings - Water'!E26</f>
        <v/>
      </c>
      <c r="N1080" s="193">
        <f>'Buildings - Water'!F26</f>
        <v>0</v>
      </c>
      <c r="O1080" s="237"/>
      <c r="P1080" s="193">
        <f>'Buildings - Water'!G26</f>
        <v>0</v>
      </c>
      <c r="Q1080" s="193" t="str">
        <f>'Buildings - Water'!H26</f>
        <v/>
      </c>
      <c r="R1080" s="193">
        <f>'Buildings - Water'!I26</f>
        <v>0</v>
      </c>
      <c r="S1080" s="193">
        <f>'Buildings - Water'!J26</f>
        <v>0</v>
      </c>
      <c r="T1080" s="193" t="str">
        <f>'Buildings - Water'!K26</f>
        <v/>
      </c>
      <c r="U1080" s="193" t="str">
        <f>'Buildings - Water'!L26</f>
        <v/>
      </c>
      <c r="V1080" s="193" t="str">
        <f>'Buildings - Water'!M26</f>
        <v/>
      </c>
      <c r="W1080" s="193" t="str">
        <f>'Buildings - Water'!N26</f>
        <v/>
      </c>
      <c r="X1080" s="193">
        <f>'Buildings - Water'!O26</f>
        <v>0</v>
      </c>
      <c r="Y1080" s="193">
        <f>'Buildings - Water'!P26</f>
        <v>0</v>
      </c>
      <c r="Z1080" s="193" t="str">
        <f>'Buildings - Water'!Q26</f>
        <v/>
      </c>
      <c r="AA1080" s="193" t="str">
        <f>'Buildings - Water'!R26</f>
        <v/>
      </c>
      <c r="AB1080" s="193" t="str">
        <f>'Buildings - Water'!S26</f>
        <v/>
      </c>
      <c r="AC1080" s="193" t="str">
        <f>'Buildings - Water'!T26</f>
        <v/>
      </c>
      <c r="AD1080" s="193" t="str">
        <f>'Buildings - Water'!U26</f>
        <v/>
      </c>
      <c r="AE1080" s="193" t="str">
        <f>'Buildings - Water'!V26</f>
        <v/>
      </c>
      <c r="AF1080" s="193" t="str">
        <f>'Buildings - Water'!W26</f>
        <v/>
      </c>
      <c r="AG1080" s="193" t="str">
        <f>'Buildings - Water'!X26</f>
        <v/>
      </c>
      <c r="AI1080" s="193">
        <f t="shared" si="18"/>
        <v>0</v>
      </c>
      <c r="AJ1080" s="193">
        <f t="shared" si="19"/>
        <v>0</v>
      </c>
    </row>
    <row r="1081" spans="2:36" x14ac:dyDescent="0.35">
      <c r="B1081" s="193" t="e">
        <f>"2024"&amp;MATCH(Totals!D1081,OrgType,0)&amp;"_"&amp;MATCH(Totals!E1081,Organisations,0)&amp;"_"&amp;LEFT(Totals!F1081,1)&amp;"_"&amp;LEFT(G1081,1)&amp;"_"&amp;COUNTIF($G$3:G1081,G1081)</f>
        <v>#N/A</v>
      </c>
      <c r="C1081" s="193">
        <v>2025</v>
      </c>
      <c r="D1081" s="193">
        <f>Introduction!$D$7</f>
        <v>0</v>
      </c>
      <c r="E1081" s="193">
        <f>Introduction!$D$8</f>
        <v>0</v>
      </c>
      <c r="F1081" s="193" t="s">
        <v>488</v>
      </c>
      <c r="G1081" s="193" t="s">
        <v>208</v>
      </c>
      <c r="H1081" s="193">
        <f>'Buildings - Water'!B27</f>
        <v>0</v>
      </c>
      <c r="I1081" s="193">
        <f>'Buildings - Water'!C27</f>
        <v>0</v>
      </c>
      <c r="J1081" s="193" t="str">
        <f>'Buildings - Water'!D27</f>
        <v/>
      </c>
      <c r="K1081" s="237"/>
      <c r="L1081" s="237"/>
      <c r="M1081" s="193" t="str">
        <f>'Buildings - Water'!E27</f>
        <v/>
      </c>
      <c r="N1081" s="193">
        <f>'Buildings - Water'!F27</f>
        <v>0</v>
      </c>
      <c r="O1081" s="237"/>
      <c r="P1081" s="193">
        <f>'Buildings - Water'!G27</f>
        <v>0</v>
      </c>
      <c r="Q1081" s="193" t="str">
        <f>'Buildings - Water'!H27</f>
        <v/>
      </c>
      <c r="R1081" s="193">
        <f>'Buildings - Water'!I27</f>
        <v>0</v>
      </c>
      <c r="S1081" s="193">
        <f>'Buildings - Water'!J27</f>
        <v>0</v>
      </c>
      <c r="T1081" s="193" t="str">
        <f>'Buildings - Water'!K27</f>
        <v/>
      </c>
      <c r="U1081" s="193" t="str">
        <f>'Buildings - Water'!L27</f>
        <v/>
      </c>
      <c r="V1081" s="193" t="str">
        <f>'Buildings - Water'!M27</f>
        <v/>
      </c>
      <c r="W1081" s="193" t="str">
        <f>'Buildings - Water'!N27</f>
        <v/>
      </c>
      <c r="X1081" s="193">
        <f>'Buildings - Water'!O27</f>
        <v>0</v>
      </c>
      <c r="Y1081" s="193">
        <f>'Buildings - Water'!P27</f>
        <v>0</v>
      </c>
      <c r="Z1081" s="193" t="str">
        <f>'Buildings - Water'!Q27</f>
        <v/>
      </c>
      <c r="AA1081" s="193" t="str">
        <f>'Buildings - Water'!R27</f>
        <v/>
      </c>
      <c r="AB1081" s="193" t="str">
        <f>'Buildings - Water'!S27</f>
        <v/>
      </c>
      <c r="AC1081" s="193" t="str">
        <f>'Buildings - Water'!T27</f>
        <v/>
      </c>
      <c r="AD1081" s="193" t="str">
        <f>'Buildings - Water'!U27</f>
        <v/>
      </c>
      <c r="AE1081" s="193" t="str">
        <f>'Buildings - Water'!V27</f>
        <v/>
      </c>
      <c r="AF1081" s="193" t="str">
        <f>'Buildings - Water'!W27</f>
        <v/>
      </c>
      <c r="AG1081" s="193" t="str">
        <f>'Buildings - Water'!X27</f>
        <v/>
      </c>
      <c r="AI1081" s="193">
        <f t="shared" si="18"/>
        <v>0</v>
      </c>
      <c r="AJ1081" s="193">
        <f t="shared" si="19"/>
        <v>0</v>
      </c>
    </row>
    <row r="1082" spans="2:36" x14ac:dyDescent="0.35">
      <c r="B1082" s="193" t="e">
        <f>"2024"&amp;MATCH(Totals!D1082,OrgType,0)&amp;"_"&amp;MATCH(Totals!E1082,Organisations,0)&amp;"_"&amp;LEFT(Totals!F1082,1)&amp;"_"&amp;LEFT(G1082,1)&amp;"_"&amp;COUNTIF($G$3:G1082,G1082)</f>
        <v>#N/A</v>
      </c>
      <c r="C1082" s="193">
        <v>2025</v>
      </c>
      <c r="D1082" s="193">
        <f>Introduction!$D$7</f>
        <v>0</v>
      </c>
      <c r="E1082" s="193">
        <f>Introduction!$D$8</f>
        <v>0</v>
      </c>
      <c r="F1082" s="193" t="s">
        <v>488</v>
      </c>
      <c r="G1082" s="193" t="s">
        <v>208</v>
      </c>
      <c r="H1082" s="193">
        <f>'Buildings - Water'!B28</f>
        <v>0</v>
      </c>
      <c r="I1082" s="193">
        <f>'Buildings - Water'!C28</f>
        <v>0</v>
      </c>
      <c r="J1082" s="193" t="str">
        <f>'Buildings - Water'!D28</f>
        <v/>
      </c>
      <c r="K1082" s="237"/>
      <c r="L1082" s="237"/>
      <c r="M1082" s="193" t="str">
        <f>'Buildings - Water'!E28</f>
        <v/>
      </c>
      <c r="N1082" s="193">
        <f>'Buildings - Water'!F28</f>
        <v>0</v>
      </c>
      <c r="O1082" s="237"/>
      <c r="P1082" s="193">
        <f>'Buildings - Water'!G28</f>
        <v>0</v>
      </c>
      <c r="Q1082" s="193" t="str">
        <f>'Buildings - Water'!H28</f>
        <v/>
      </c>
      <c r="R1082" s="193">
        <f>'Buildings - Water'!I28</f>
        <v>0</v>
      </c>
      <c r="S1082" s="193">
        <f>'Buildings - Water'!J28</f>
        <v>0</v>
      </c>
      <c r="T1082" s="193" t="str">
        <f>'Buildings - Water'!K28</f>
        <v/>
      </c>
      <c r="U1082" s="193" t="str">
        <f>'Buildings - Water'!L28</f>
        <v/>
      </c>
      <c r="V1082" s="193" t="str">
        <f>'Buildings - Water'!M28</f>
        <v/>
      </c>
      <c r="W1082" s="193" t="str">
        <f>'Buildings - Water'!N28</f>
        <v/>
      </c>
      <c r="X1082" s="193">
        <f>'Buildings - Water'!O28</f>
        <v>0</v>
      </c>
      <c r="Y1082" s="193">
        <f>'Buildings - Water'!P28</f>
        <v>0</v>
      </c>
      <c r="Z1082" s="193" t="str">
        <f>'Buildings - Water'!Q28</f>
        <v/>
      </c>
      <c r="AA1082" s="193" t="str">
        <f>'Buildings - Water'!R28</f>
        <v/>
      </c>
      <c r="AB1082" s="193" t="str">
        <f>'Buildings - Water'!S28</f>
        <v/>
      </c>
      <c r="AC1082" s="193" t="str">
        <f>'Buildings - Water'!T28</f>
        <v/>
      </c>
      <c r="AD1082" s="193" t="str">
        <f>'Buildings - Water'!U28</f>
        <v/>
      </c>
      <c r="AE1082" s="193" t="str">
        <f>'Buildings - Water'!V28</f>
        <v/>
      </c>
      <c r="AF1082" s="193" t="str">
        <f>'Buildings - Water'!W28</f>
        <v/>
      </c>
      <c r="AG1082" s="193" t="str">
        <f>'Buildings - Water'!X28</f>
        <v/>
      </c>
      <c r="AI1082" s="193">
        <f t="shared" si="18"/>
        <v>0</v>
      </c>
      <c r="AJ1082" s="193">
        <f t="shared" si="19"/>
        <v>0</v>
      </c>
    </row>
    <row r="1083" spans="2:36" x14ac:dyDescent="0.35">
      <c r="B1083" s="193" t="e">
        <f>"2024"&amp;MATCH(Totals!D1083,OrgType,0)&amp;"_"&amp;MATCH(Totals!E1083,Organisations,0)&amp;"_"&amp;LEFT(Totals!F1083,1)&amp;"_"&amp;LEFT(G1083,1)&amp;"_"&amp;COUNTIF($G$3:G1083,G1083)</f>
        <v>#N/A</v>
      </c>
      <c r="C1083" s="193">
        <v>2025</v>
      </c>
      <c r="D1083" s="193">
        <f>Introduction!$D$7</f>
        <v>0</v>
      </c>
      <c r="E1083" s="193">
        <f>Introduction!$D$8</f>
        <v>0</v>
      </c>
      <c r="F1083" s="193" t="s">
        <v>488</v>
      </c>
      <c r="G1083" s="193" t="s">
        <v>208</v>
      </c>
      <c r="H1083" s="193">
        <f>'Buildings - Water'!B29</f>
        <v>0</v>
      </c>
      <c r="I1083" s="193">
        <f>'Buildings - Water'!C29</f>
        <v>0</v>
      </c>
      <c r="J1083" s="193" t="str">
        <f>'Buildings - Water'!D29</f>
        <v/>
      </c>
      <c r="K1083" s="237"/>
      <c r="L1083" s="237"/>
      <c r="M1083" s="193" t="str">
        <f>'Buildings - Water'!E29</f>
        <v/>
      </c>
      <c r="N1083" s="193">
        <f>'Buildings - Water'!F29</f>
        <v>0</v>
      </c>
      <c r="O1083" s="237"/>
      <c r="P1083" s="193">
        <f>'Buildings - Water'!G29</f>
        <v>0</v>
      </c>
      <c r="Q1083" s="193" t="str">
        <f>'Buildings - Water'!H29</f>
        <v/>
      </c>
      <c r="R1083" s="193">
        <f>'Buildings - Water'!I29</f>
        <v>0</v>
      </c>
      <c r="S1083" s="193">
        <f>'Buildings - Water'!J29</f>
        <v>0</v>
      </c>
      <c r="T1083" s="193" t="str">
        <f>'Buildings - Water'!K29</f>
        <v/>
      </c>
      <c r="U1083" s="193" t="str">
        <f>'Buildings - Water'!L29</f>
        <v/>
      </c>
      <c r="V1083" s="193" t="str">
        <f>'Buildings - Water'!M29</f>
        <v/>
      </c>
      <c r="W1083" s="193" t="str">
        <f>'Buildings - Water'!N29</f>
        <v/>
      </c>
      <c r="X1083" s="193">
        <f>'Buildings - Water'!O29</f>
        <v>0</v>
      </c>
      <c r="Y1083" s="193">
        <f>'Buildings - Water'!P29</f>
        <v>0</v>
      </c>
      <c r="Z1083" s="193" t="str">
        <f>'Buildings - Water'!Q29</f>
        <v/>
      </c>
      <c r="AA1083" s="193" t="str">
        <f>'Buildings - Water'!R29</f>
        <v/>
      </c>
      <c r="AB1083" s="193" t="str">
        <f>'Buildings - Water'!S29</f>
        <v/>
      </c>
      <c r="AC1083" s="193" t="str">
        <f>'Buildings - Water'!T29</f>
        <v/>
      </c>
      <c r="AD1083" s="193" t="str">
        <f>'Buildings - Water'!U29</f>
        <v/>
      </c>
      <c r="AE1083" s="193" t="str">
        <f>'Buildings - Water'!V29</f>
        <v/>
      </c>
      <c r="AF1083" s="193" t="str">
        <f>'Buildings - Water'!W29</f>
        <v/>
      </c>
      <c r="AG1083" s="193" t="str">
        <f>'Buildings - Water'!X29</f>
        <v/>
      </c>
      <c r="AI1083" s="193">
        <f t="shared" si="18"/>
        <v>0</v>
      </c>
      <c r="AJ1083" s="193">
        <f t="shared" si="19"/>
        <v>0</v>
      </c>
    </row>
    <row r="1084" spans="2:36" x14ac:dyDescent="0.35">
      <c r="B1084" s="193" t="e">
        <f>"2024"&amp;MATCH(Totals!D1084,OrgType,0)&amp;"_"&amp;MATCH(Totals!E1084,Organisations,0)&amp;"_"&amp;LEFT(Totals!F1084,1)&amp;"_"&amp;LEFT(G1084,1)&amp;"_"&amp;COUNTIF($G$3:G1084,G1084)</f>
        <v>#N/A</v>
      </c>
      <c r="C1084" s="193">
        <v>2025</v>
      </c>
      <c r="D1084" s="193">
        <f>Introduction!$D$7</f>
        <v>0</v>
      </c>
      <c r="E1084" s="193">
        <f>Introduction!$D$8</f>
        <v>0</v>
      </c>
      <c r="F1084" s="193" t="s">
        <v>488</v>
      </c>
      <c r="G1084" s="193" t="s">
        <v>208</v>
      </c>
      <c r="H1084" s="193">
        <f>'Buildings - Water'!B30</f>
        <v>0</v>
      </c>
      <c r="I1084" s="193">
        <f>'Buildings - Water'!C30</f>
        <v>0</v>
      </c>
      <c r="J1084" s="193" t="str">
        <f>'Buildings - Water'!D30</f>
        <v/>
      </c>
      <c r="K1084" s="237"/>
      <c r="L1084" s="237"/>
      <c r="M1084" s="193" t="str">
        <f>'Buildings - Water'!E30</f>
        <v/>
      </c>
      <c r="N1084" s="193">
        <f>'Buildings - Water'!F30</f>
        <v>0</v>
      </c>
      <c r="O1084" s="237"/>
      <c r="P1084" s="193">
        <f>'Buildings - Water'!G30</f>
        <v>0</v>
      </c>
      <c r="Q1084" s="193" t="str">
        <f>'Buildings - Water'!H30</f>
        <v/>
      </c>
      <c r="R1084" s="193">
        <f>'Buildings - Water'!I30</f>
        <v>0</v>
      </c>
      <c r="S1084" s="193">
        <f>'Buildings - Water'!J30</f>
        <v>0</v>
      </c>
      <c r="T1084" s="193" t="str">
        <f>'Buildings - Water'!K30</f>
        <v/>
      </c>
      <c r="U1084" s="193" t="str">
        <f>'Buildings - Water'!L30</f>
        <v/>
      </c>
      <c r="V1084" s="193" t="str">
        <f>'Buildings - Water'!M30</f>
        <v/>
      </c>
      <c r="W1084" s="193" t="str">
        <f>'Buildings - Water'!N30</f>
        <v/>
      </c>
      <c r="X1084" s="193">
        <f>'Buildings - Water'!O30</f>
        <v>0</v>
      </c>
      <c r="Y1084" s="193">
        <f>'Buildings - Water'!P30</f>
        <v>0</v>
      </c>
      <c r="Z1084" s="193" t="str">
        <f>'Buildings - Water'!Q30</f>
        <v/>
      </c>
      <c r="AA1084" s="193" t="str">
        <f>'Buildings - Water'!R30</f>
        <v/>
      </c>
      <c r="AB1084" s="193" t="str">
        <f>'Buildings - Water'!S30</f>
        <v/>
      </c>
      <c r="AC1084" s="193" t="str">
        <f>'Buildings - Water'!T30</f>
        <v/>
      </c>
      <c r="AD1084" s="193" t="str">
        <f>'Buildings - Water'!U30</f>
        <v/>
      </c>
      <c r="AE1084" s="193" t="str">
        <f>'Buildings - Water'!V30</f>
        <v/>
      </c>
      <c r="AF1084" s="193" t="str">
        <f>'Buildings - Water'!W30</f>
        <v/>
      </c>
      <c r="AG1084" s="193" t="str">
        <f>'Buildings - Water'!X30</f>
        <v/>
      </c>
      <c r="AI1084" s="193">
        <f t="shared" si="18"/>
        <v>0</v>
      </c>
      <c r="AJ1084" s="193">
        <f t="shared" si="19"/>
        <v>0</v>
      </c>
    </row>
    <row r="1085" spans="2:36" x14ac:dyDescent="0.35">
      <c r="B1085" s="193" t="e">
        <f>"2024"&amp;MATCH(Totals!D1085,OrgType,0)&amp;"_"&amp;MATCH(Totals!E1085,Organisations,0)&amp;"_"&amp;LEFT(Totals!F1085,1)&amp;"_"&amp;LEFT(G1085,1)&amp;"_"&amp;COUNTIF($G$3:G1085,G1085)</f>
        <v>#N/A</v>
      </c>
      <c r="C1085" s="193">
        <v>2025</v>
      </c>
      <c r="D1085" s="193">
        <f>Introduction!$D$7</f>
        <v>0</v>
      </c>
      <c r="E1085" s="193">
        <f>Introduction!$D$8</f>
        <v>0</v>
      </c>
      <c r="F1085" s="193" t="s">
        <v>488</v>
      </c>
      <c r="G1085" s="193" t="s">
        <v>208</v>
      </c>
      <c r="H1085" s="193">
        <f>'Buildings - Water'!B31</f>
        <v>0</v>
      </c>
      <c r="I1085" s="193">
        <f>'Buildings - Water'!C31</f>
        <v>0</v>
      </c>
      <c r="J1085" s="193" t="str">
        <f>'Buildings - Water'!D31</f>
        <v/>
      </c>
      <c r="K1085" s="237"/>
      <c r="L1085" s="237"/>
      <c r="M1085" s="193" t="str">
        <f>'Buildings - Water'!E31</f>
        <v/>
      </c>
      <c r="N1085" s="193">
        <f>'Buildings - Water'!F31</f>
        <v>0</v>
      </c>
      <c r="O1085" s="237"/>
      <c r="P1085" s="193">
        <f>'Buildings - Water'!G31</f>
        <v>0</v>
      </c>
      <c r="Q1085" s="193" t="str">
        <f>'Buildings - Water'!H31</f>
        <v/>
      </c>
      <c r="R1085" s="193">
        <f>'Buildings - Water'!I31</f>
        <v>0</v>
      </c>
      <c r="S1085" s="193">
        <f>'Buildings - Water'!J31</f>
        <v>0</v>
      </c>
      <c r="T1085" s="193" t="str">
        <f>'Buildings - Water'!K31</f>
        <v/>
      </c>
      <c r="U1085" s="193" t="str">
        <f>'Buildings - Water'!L31</f>
        <v/>
      </c>
      <c r="V1085" s="193" t="str">
        <f>'Buildings - Water'!M31</f>
        <v/>
      </c>
      <c r="W1085" s="193" t="str">
        <f>'Buildings - Water'!N31</f>
        <v/>
      </c>
      <c r="X1085" s="193">
        <f>'Buildings - Water'!O31</f>
        <v>0</v>
      </c>
      <c r="Y1085" s="193">
        <f>'Buildings - Water'!P31</f>
        <v>0</v>
      </c>
      <c r="Z1085" s="193" t="str">
        <f>'Buildings - Water'!Q31</f>
        <v/>
      </c>
      <c r="AA1085" s="193" t="str">
        <f>'Buildings - Water'!R31</f>
        <v/>
      </c>
      <c r="AB1085" s="193" t="str">
        <f>'Buildings - Water'!S31</f>
        <v/>
      </c>
      <c r="AC1085" s="193" t="str">
        <f>'Buildings - Water'!T31</f>
        <v/>
      </c>
      <c r="AD1085" s="193" t="str">
        <f>'Buildings - Water'!U31</f>
        <v/>
      </c>
      <c r="AE1085" s="193" t="str">
        <f>'Buildings - Water'!V31</f>
        <v/>
      </c>
      <c r="AF1085" s="193" t="str">
        <f>'Buildings - Water'!W31</f>
        <v/>
      </c>
      <c r="AG1085" s="193" t="str">
        <f>'Buildings - Water'!X31</f>
        <v/>
      </c>
      <c r="AI1085" s="193">
        <f t="shared" si="18"/>
        <v>0</v>
      </c>
      <c r="AJ1085" s="193">
        <f t="shared" si="19"/>
        <v>0</v>
      </c>
    </row>
    <row r="1086" spans="2:36" x14ac:dyDescent="0.35">
      <c r="B1086" s="193" t="e">
        <f>"2024"&amp;MATCH(Totals!D1086,OrgType,0)&amp;"_"&amp;MATCH(Totals!E1086,Organisations,0)&amp;"_"&amp;LEFT(Totals!F1086,1)&amp;"_"&amp;LEFT(G1086,1)&amp;"_"&amp;COUNTIF($G$3:G1086,G1086)</f>
        <v>#N/A</v>
      </c>
      <c r="C1086" s="193">
        <v>2025</v>
      </c>
      <c r="D1086" s="193">
        <f>Introduction!$D$7</f>
        <v>0</v>
      </c>
      <c r="E1086" s="193">
        <f>Introduction!$D$8</f>
        <v>0</v>
      </c>
      <c r="F1086" s="193" t="s">
        <v>488</v>
      </c>
      <c r="G1086" s="193" t="s">
        <v>208</v>
      </c>
      <c r="H1086" s="193">
        <f>'Buildings - Water'!B32</f>
        <v>0</v>
      </c>
      <c r="I1086" s="193">
        <f>'Buildings - Water'!C32</f>
        <v>0</v>
      </c>
      <c r="J1086" s="193" t="str">
        <f>'Buildings - Water'!D32</f>
        <v/>
      </c>
      <c r="K1086" s="237"/>
      <c r="L1086" s="237"/>
      <c r="M1086" s="193" t="str">
        <f>'Buildings - Water'!E32</f>
        <v/>
      </c>
      <c r="N1086" s="193">
        <f>'Buildings - Water'!F32</f>
        <v>0</v>
      </c>
      <c r="O1086" s="237"/>
      <c r="P1086" s="193">
        <f>'Buildings - Water'!G32</f>
        <v>0</v>
      </c>
      <c r="Q1086" s="193" t="str">
        <f>'Buildings - Water'!H32</f>
        <v/>
      </c>
      <c r="R1086" s="193">
        <f>'Buildings - Water'!I32</f>
        <v>0</v>
      </c>
      <c r="S1086" s="193">
        <f>'Buildings - Water'!J32</f>
        <v>0</v>
      </c>
      <c r="T1086" s="193" t="str">
        <f>'Buildings - Water'!K32</f>
        <v/>
      </c>
      <c r="U1086" s="193" t="str">
        <f>'Buildings - Water'!L32</f>
        <v/>
      </c>
      <c r="V1086" s="193" t="str">
        <f>'Buildings - Water'!M32</f>
        <v/>
      </c>
      <c r="W1086" s="193" t="str">
        <f>'Buildings - Water'!N32</f>
        <v/>
      </c>
      <c r="X1086" s="193">
        <f>'Buildings - Water'!O32</f>
        <v>0</v>
      </c>
      <c r="Y1086" s="193">
        <f>'Buildings - Water'!P32</f>
        <v>0</v>
      </c>
      <c r="Z1086" s="193" t="str">
        <f>'Buildings - Water'!Q32</f>
        <v/>
      </c>
      <c r="AA1086" s="193" t="str">
        <f>'Buildings - Water'!R32</f>
        <v/>
      </c>
      <c r="AB1086" s="193" t="str">
        <f>'Buildings - Water'!S32</f>
        <v/>
      </c>
      <c r="AC1086" s="193" t="str">
        <f>'Buildings - Water'!T32</f>
        <v/>
      </c>
      <c r="AD1086" s="193" t="str">
        <f>'Buildings - Water'!U32</f>
        <v/>
      </c>
      <c r="AE1086" s="193" t="str">
        <f>'Buildings - Water'!V32</f>
        <v/>
      </c>
      <c r="AF1086" s="193" t="str">
        <f>'Buildings - Water'!W32</f>
        <v/>
      </c>
      <c r="AG1086" s="193" t="str">
        <f>'Buildings - Water'!X32</f>
        <v/>
      </c>
      <c r="AI1086" s="193">
        <f t="shared" si="18"/>
        <v>0</v>
      </c>
      <c r="AJ1086" s="193">
        <f t="shared" si="19"/>
        <v>0</v>
      </c>
    </row>
    <row r="1087" spans="2:36" x14ac:dyDescent="0.35">
      <c r="B1087" s="193" t="e">
        <f>"2024"&amp;MATCH(Totals!D1087,OrgType,0)&amp;"_"&amp;MATCH(Totals!E1087,Organisations,0)&amp;"_"&amp;LEFT(Totals!F1087,1)&amp;"_"&amp;LEFT(G1087,1)&amp;"_"&amp;COUNTIF($G$3:G1087,G1087)</f>
        <v>#N/A</v>
      </c>
      <c r="C1087" s="193">
        <v>2025</v>
      </c>
      <c r="D1087" s="193">
        <f>Introduction!$D$7</f>
        <v>0</v>
      </c>
      <c r="E1087" s="193">
        <f>Introduction!$D$8</f>
        <v>0</v>
      </c>
      <c r="F1087" s="193" t="s">
        <v>488</v>
      </c>
      <c r="G1087" s="193" t="s">
        <v>208</v>
      </c>
      <c r="H1087" s="193">
        <f>'Buildings - Water'!B33</f>
        <v>0</v>
      </c>
      <c r="I1087" s="193">
        <f>'Buildings - Water'!C33</f>
        <v>0</v>
      </c>
      <c r="J1087" s="193" t="str">
        <f>'Buildings - Water'!D33</f>
        <v/>
      </c>
      <c r="K1087" s="237"/>
      <c r="L1087" s="237"/>
      <c r="M1087" s="193" t="str">
        <f>'Buildings - Water'!E33</f>
        <v/>
      </c>
      <c r="N1087" s="193">
        <f>'Buildings - Water'!F33</f>
        <v>0</v>
      </c>
      <c r="O1087" s="237"/>
      <c r="P1087" s="193">
        <f>'Buildings - Water'!G33</f>
        <v>0</v>
      </c>
      <c r="Q1087" s="193" t="str">
        <f>'Buildings - Water'!H33</f>
        <v/>
      </c>
      <c r="R1087" s="193">
        <f>'Buildings - Water'!I33</f>
        <v>0</v>
      </c>
      <c r="S1087" s="193">
        <f>'Buildings - Water'!J33</f>
        <v>0</v>
      </c>
      <c r="T1087" s="193" t="str">
        <f>'Buildings - Water'!K33</f>
        <v/>
      </c>
      <c r="U1087" s="193" t="str">
        <f>'Buildings - Water'!L33</f>
        <v/>
      </c>
      <c r="V1087" s="193" t="str">
        <f>'Buildings - Water'!M33</f>
        <v/>
      </c>
      <c r="W1087" s="193" t="str">
        <f>'Buildings - Water'!N33</f>
        <v/>
      </c>
      <c r="X1087" s="193">
        <f>'Buildings - Water'!O33</f>
        <v>0</v>
      </c>
      <c r="Y1087" s="193">
        <f>'Buildings - Water'!P33</f>
        <v>0</v>
      </c>
      <c r="Z1087" s="193" t="str">
        <f>'Buildings - Water'!Q33</f>
        <v/>
      </c>
      <c r="AA1087" s="193" t="str">
        <f>'Buildings - Water'!R33</f>
        <v/>
      </c>
      <c r="AB1087" s="193" t="str">
        <f>'Buildings - Water'!S33</f>
        <v/>
      </c>
      <c r="AC1087" s="193" t="str">
        <f>'Buildings - Water'!T33</f>
        <v/>
      </c>
      <c r="AD1087" s="193" t="str">
        <f>'Buildings - Water'!U33</f>
        <v/>
      </c>
      <c r="AE1087" s="193" t="str">
        <f>'Buildings - Water'!V33</f>
        <v/>
      </c>
      <c r="AF1087" s="193" t="str">
        <f>'Buildings - Water'!W33</f>
        <v/>
      </c>
      <c r="AG1087" s="193" t="str">
        <f>'Buildings - Water'!X33</f>
        <v/>
      </c>
      <c r="AI1087" s="193">
        <f t="shared" si="18"/>
        <v>0</v>
      </c>
      <c r="AJ1087" s="193">
        <f t="shared" si="19"/>
        <v>0</v>
      </c>
    </row>
    <row r="1088" spans="2:36" x14ac:dyDescent="0.35">
      <c r="B1088" s="193" t="e">
        <f>"2024"&amp;MATCH(Totals!D1088,OrgType,0)&amp;"_"&amp;MATCH(Totals!E1088,Organisations,0)&amp;"_"&amp;LEFT(Totals!F1088,1)&amp;"_"&amp;LEFT(G1088,1)&amp;"_"&amp;COUNTIF($G$3:G1088,G1088)</f>
        <v>#N/A</v>
      </c>
      <c r="C1088" s="193">
        <v>2025</v>
      </c>
      <c r="D1088" s="193">
        <f>Introduction!$D$7</f>
        <v>0</v>
      </c>
      <c r="E1088" s="193">
        <f>Introduction!$D$8</f>
        <v>0</v>
      </c>
      <c r="F1088" s="193" t="s">
        <v>488</v>
      </c>
      <c r="G1088" s="193" t="s">
        <v>208</v>
      </c>
      <c r="H1088" s="193">
        <f>'Buildings - Water'!B34</f>
        <v>0</v>
      </c>
      <c r="I1088" s="193">
        <f>'Buildings - Water'!C34</f>
        <v>0</v>
      </c>
      <c r="J1088" s="193" t="str">
        <f>'Buildings - Water'!D34</f>
        <v/>
      </c>
      <c r="K1088" s="237"/>
      <c r="L1088" s="237"/>
      <c r="M1088" s="193" t="str">
        <f>'Buildings - Water'!E34</f>
        <v/>
      </c>
      <c r="N1088" s="193">
        <f>'Buildings - Water'!F34</f>
        <v>0</v>
      </c>
      <c r="O1088" s="237"/>
      <c r="P1088" s="193">
        <f>'Buildings - Water'!G34</f>
        <v>0</v>
      </c>
      <c r="Q1088" s="193" t="str">
        <f>'Buildings - Water'!H34</f>
        <v/>
      </c>
      <c r="R1088" s="193">
        <f>'Buildings - Water'!I34</f>
        <v>0</v>
      </c>
      <c r="S1088" s="193">
        <f>'Buildings - Water'!J34</f>
        <v>0</v>
      </c>
      <c r="T1088" s="193" t="str">
        <f>'Buildings - Water'!K34</f>
        <v/>
      </c>
      <c r="U1088" s="193" t="str">
        <f>'Buildings - Water'!L34</f>
        <v/>
      </c>
      <c r="V1088" s="193" t="str">
        <f>'Buildings - Water'!M34</f>
        <v/>
      </c>
      <c r="W1088" s="193" t="str">
        <f>'Buildings - Water'!N34</f>
        <v/>
      </c>
      <c r="X1088" s="193">
        <f>'Buildings - Water'!O34</f>
        <v>0</v>
      </c>
      <c r="Y1088" s="193">
        <f>'Buildings - Water'!P34</f>
        <v>0</v>
      </c>
      <c r="Z1088" s="193" t="str">
        <f>'Buildings - Water'!Q34</f>
        <v/>
      </c>
      <c r="AA1088" s="193" t="str">
        <f>'Buildings - Water'!R34</f>
        <v/>
      </c>
      <c r="AB1088" s="193" t="str">
        <f>'Buildings - Water'!S34</f>
        <v/>
      </c>
      <c r="AC1088" s="193" t="str">
        <f>'Buildings - Water'!T34</f>
        <v/>
      </c>
      <c r="AD1088" s="193" t="str">
        <f>'Buildings - Water'!U34</f>
        <v/>
      </c>
      <c r="AE1088" s="193" t="str">
        <f>'Buildings - Water'!V34</f>
        <v/>
      </c>
      <c r="AF1088" s="193" t="str">
        <f>'Buildings - Water'!W34</f>
        <v/>
      </c>
      <c r="AG1088" s="193" t="str">
        <f>'Buildings - Water'!X34</f>
        <v/>
      </c>
      <c r="AI1088" s="193">
        <f t="shared" si="18"/>
        <v>0</v>
      </c>
      <c r="AJ1088" s="193">
        <f t="shared" si="19"/>
        <v>0</v>
      </c>
    </row>
    <row r="1089" spans="2:36" x14ac:dyDescent="0.35">
      <c r="B1089" s="193" t="e">
        <f>"2024"&amp;MATCH(Totals!D1089,OrgType,0)&amp;"_"&amp;MATCH(Totals!E1089,Organisations,0)&amp;"_"&amp;LEFT(Totals!F1089,1)&amp;"_"&amp;LEFT(G1089,1)&amp;"_"&amp;COUNTIF($G$3:G1089,G1089)</f>
        <v>#N/A</v>
      </c>
      <c r="C1089" s="193">
        <v>2025</v>
      </c>
      <c r="D1089" s="193">
        <f>Introduction!$D$7</f>
        <v>0</v>
      </c>
      <c r="E1089" s="193">
        <f>Introduction!$D$8</f>
        <v>0</v>
      </c>
      <c r="F1089" s="193" t="s">
        <v>488</v>
      </c>
      <c r="G1089" s="193" t="s">
        <v>208</v>
      </c>
      <c r="H1089" s="193">
        <f>'Buildings - Water'!B35</f>
        <v>0</v>
      </c>
      <c r="I1089" s="193">
        <f>'Buildings - Water'!C35</f>
        <v>0</v>
      </c>
      <c r="J1089" s="193" t="str">
        <f>'Buildings - Water'!D35</f>
        <v/>
      </c>
      <c r="K1089" s="237"/>
      <c r="L1089" s="237"/>
      <c r="M1089" s="193" t="str">
        <f>'Buildings - Water'!E35</f>
        <v/>
      </c>
      <c r="N1089" s="193">
        <f>'Buildings - Water'!F35</f>
        <v>0</v>
      </c>
      <c r="O1089" s="237"/>
      <c r="P1089" s="193">
        <f>'Buildings - Water'!G35</f>
        <v>0</v>
      </c>
      <c r="Q1089" s="193" t="str">
        <f>'Buildings - Water'!H35</f>
        <v/>
      </c>
      <c r="R1089" s="193">
        <f>'Buildings - Water'!I35</f>
        <v>0</v>
      </c>
      <c r="S1089" s="193">
        <f>'Buildings - Water'!J35</f>
        <v>0</v>
      </c>
      <c r="T1089" s="193" t="str">
        <f>'Buildings - Water'!K35</f>
        <v/>
      </c>
      <c r="U1089" s="193" t="str">
        <f>'Buildings - Water'!L35</f>
        <v/>
      </c>
      <c r="V1089" s="193" t="str">
        <f>'Buildings - Water'!M35</f>
        <v/>
      </c>
      <c r="W1089" s="193" t="str">
        <f>'Buildings - Water'!N35</f>
        <v/>
      </c>
      <c r="X1089" s="193">
        <f>'Buildings - Water'!O35</f>
        <v>0</v>
      </c>
      <c r="Y1089" s="193">
        <f>'Buildings - Water'!P35</f>
        <v>0</v>
      </c>
      <c r="Z1089" s="193" t="str">
        <f>'Buildings - Water'!Q35</f>
        <v/>
      </c>
      <c r="AA1089" s="193" t="str">
        <f>'Buildings - Water'!R35</f>
        <v/>
      </c>
      <c r="AB1089" s="193" t="str">
        <f>'Buildings - Water'!S35</f>
        <v/>
      </c>
      <c r="AC1089" s="193" t="str">
        <f>'Buildings - Water'!T35</f>
        <v/>
      </c>
      <c r="AD1089" s="193" t="str">
        <f>'Buildings - Water'!U35</f>
        <v/>
      </c>
      <c r="AE1089" s="193" t="str">
        <f>'Buildings - Water'!V35</f>
        <v/>
      </c>
      <c r="AF1089" s="193" t="str">
        <f>'Buildings - Water'!W35</f>
        <v/>
      </c>
      <c r="AG1089" s="193" t="str">
        <f>'Buildings - Water'!X35</f>
        <v/>
      </c>
      <c r="AI1089" s="193">
        <f t="shared" si="18"/>
        <v>0</v>
      </c>
      <c r="AJ1089" s="193">
        <f t="shared" si="19"/>
        <v>0</v>
      </c>
    </row>
    <row r="1090" spans="2:36" x14ac:dyDescent="0.35">
      <c r="B1090" s="193" t="e">
        <f>"2024"&amp;MATCH(Totals!D1090,OrgType,0)&amp;"_"&amp;MATCH(Totals!E1090,Organisations,0)&amp;"_"&amp;LEFT(Totals!F1090,1)&amp;"_"&amp;LEFT(G1090,1)&amp;"_"&amp;COUNTIF($G$3:G1090,G1090)</f>
        <v>#N/A</v>
      </c>
      <c r="C1090" s="193">
        <v>2025</v>
      </c>
      <c r="D1090" s="193">
        <f>Introduction!$D$7</f>
        <v>0</v>
      </c>
      <c r="E1090" s="193">
        <f>Introduction!$D$8</f>
        <v>0</v>
      </c>
      <c r="F1090" s="193" t="s">
        <v>488</v>
      </c>
      <c r="G1090" s="193" t="s">
        <v>208</v>
      </c>
      <c r="H1090" s="193">
        <f>'Buildings - Water'!B36</f>
        <v>0</v>
      </c>
      <c r="I1090" s="193">
        <f>'Buildings - Water'!C36</f>
        <v>0</v>
      </c>
      <c r="J1090" s="193" t="str">
        <f>'Buildings - Water'!D36</f>
        <v/>
      </c>
      <c r="K1090" s="237"/>
      <c r="L1090" s="237"/>
      <c r="M1090" s="193" t="str">
        <f>'Buildings - Water'!E36</f>
        <v/>
      </c>
      <c r="N1090" s="193">
        <f>'Buildings - Water'!F36</f>
        <v>0</v>
      </c>
      <c r="O1090" s="237"/>
      <c r="P1090" s="193">
        <f>'Buildings - Water'!G36</f>
        <v>0</v>
      </c>
      <c r="Q1090" s="193" t="str">
        <f>'Buildings - Water'!H36</f>
        <v/>
      </c>
      <c r="R1090" s="193">
        <f>'Buildings - Water'!I36</f>
        <v>0</v>
      </c>
      <c r="S1090" s="193">
        <f>'Buildings - Water'!J36</f>
        <v>0</v>
      </c>
      <c r="T1090" s="193" t="str">
        <f>'Buildings - Water'!K36</f>
        <v/>
      </c>
      <c r="U1090" s="193" t="str">
        <f>'Buildings - Water'!L36</f>
        <v/>
      </c>
      <c r="V1090" s="193" t="str">
        <f>'Buildings - Water'!M36</f>
        <v/>
      </c>
      <c r="W1090" s="193" t="str">
        <f>'Buildings - Water'!N36</f>
        <v/>
      </c>
      <c r="X1090" s="193">
        <f>'Buildings - Water'!O36</f>
        <v>0</v>
      </c>
      <c r="Y1090" s="193">
        <f>'Buildings - Water'!P36</f>
        <v>0</v>
      </c>
      <c r="Z1090" s="193" t="str">
        <f>'Buildings - Water'!Q36</f>
        <v/>
      </c>
      <c r="AA1090" s="193" t="str">
        <f>'Buildings - Water'!R36</f>
        <v/>
      </c>
      <c r="AB1090" s="193" t="str">
        <f>'Buildings - Water'!S36</f>
        <v/>
      </c>
      <c r="AC1090" s="193" t="str">
        <f>'Buildings - Water'!T36</f>
        <v/>
      </c>
      <c r="AD1090" s="193" t="str">
        <f>'Buildings - Water'!U36</f>
        <v/>
      </c>
      <c r="AE1090" s="193" t="str">
        <f>'Buildings - Water'!V36</f>
        <v/>
      </c>
      <c r="AF1090" s="193" t="str">
        <f>'Buildings - Water'!W36</f>
        <v/>
      </c>
      <c r="AG1090" s="193" t="str">
        <f>'Buildings - Water'!X36</f>
        <v/>
      </c>
      <c r="AI1090" s="193">
        <f t="shared" si="18"/>
        <v>0</v>
      </c>
      <c r="AJ1090" s="193">
        <f t="shared" si="19"/>
        <v>0</v>
      </c>
    </row>
    <row r="1091" spans="2:36" x14ac:dyDescent="0.35">
      <c r="B1091" s="193" t="e">
        <f>"2024"&amp;MATCH(Totals!D1091,OrgType,0)&amp;"_"&amp;MATCH(Totals!E1091,Organisations,0)&amp;"_"&amp;LEFT(Totals!F1091,1)&amp;"_"&amp;LEFT(G1091,1)&amp;"_"&amp;COUNTIF($G$3:G1091,G1091)</f>
        <v>#N/A</v>
      </c>
      <c r="C1091" s="193">
        <v>2025</v>
      </c>
      <c r="D1091" s="193">
        <f>Introduction!$D$7</f>
        <v>0</v>
      </c>
      <c r="E1091" s="193">
        <f>Introduction!$D$8</f>
        <v>0</v>
      </c>
      <c r="F1091" s="193" t="s">
        <v>488</v>
      </c>
      <c r="G1091" s="193" t="s">
        <v>208</v>
      </c>
      <c r="H1091" s="193">
        <f>'Buildings - Water'!B37</f>
        <v>0</v>
      </c>
      <c r="I1091" s="193">
        <f>'Buildings - Water'!C37</f>
        <v>0</v>
      </c>
      <c r="J1091" s="193" t="str">
        <f>'Buildings - Water'!D37</f>
        <v/>
      </c>
      <c r="K1091" s="237"/>
      <c r="L1091" s="237"/>
      <c r="M1091" s="193" t="str">
        <f>'Buildings - Water'!E37</f>
        <v/>
      </c>
      <c r="N1091" s="193">
        <f>'Buildings - Water'!F37</f>
        <v>0</v>
      </c>
      <c r="O1091" s="237"/>
      <c r="P1091" s="193">
        <f>'Buildings - Water'!G37</f>
        <v>0</v>
      </c>
      <c r="Q1091" s="193" t="str">
        <f>'Buildings - Water'!H37</f>
        <v/>
      </c>
      <c r="R1091" s="193">
        <f>'Buildings - Water'!I37</f>
        <v>0</v>
      </c>
      <c r="S1091" s="193">
        <f>'Buildings - Water'!J37</f>
        <v>0</v>
      </c>
      <c r="T1091" s="193" t="str">
        <f>'Buildings - Water'!K37</f>
        <v/>
      </c>
      <c r="U1091" s="193" t="str">
        <f>'Buildings - Water'!L37</f>
        <v/>
      </c>
      <c r="V1091" s="193" t="str">
        <f>'Buildings - Water'!M37</f>
        <v/>
      </c>
      <c r="W1091" s="193" t="str">
        <f>'Buildings - Water'!N37</f>
        <v/>
      </c>
      <c r="X1091" s="193">
        <f>'Buildings - Water'!O37</f>
        <v>0</v>
      </c>
      <c r="Y1091" s="193">
        <f>'Buildings - Water'!P37</f>
        <v>0</v>
      </c>
      <c r="Z1091" s="193" t="str">
        <f>'Buildings - Water'!Q37</f>
        <v/>
      </c>
      <c r="AA1091" s="193" t="str">
        <f>'Buildings - Water'!R37</f>
        <v/>
      </c>
      <c r="AB1091" s="193" t="str">
        <f>'Buildings - Water'!S37</f>
        <v/>
      </c>
      <c r="AC1091" s="193" t="str">
        <f>'Buildings - Water'!T37</f>
        <v/>
      </c>
      <c r="AD1091" s="193" t="str">
        <f>'Buildings - Water'!U37</f>
        <v/>
      </c>
      <c r="AE1091" s="193" t="str">
        <f>'Buildings - Water'!V37</f>
        <v/>
      </c>
      <c r="AF1091" s="193" t="str">
        <f>'Buildings - Water'!W37</f>
        <v/>
      </c>
      <c r="AG1091" s="193" t="str">
        <f>'Buildings - Water'!X37</f>
        <v/>
      </c>
      <c r="AI1091" s="193">
        <f t="shared" si="18"/>
        <v>0</v>
      </c>
      <c r="AJ1091" s="193">
        <f t="shared" si="19"/>
        <v>0</v>
      </c>
    </row>
    <row r="1092" spans="2:36" x14ac:dyDescent="0.35">
      <c r="B1092" s="193" t="e">
        <f>"2024"&amp;MATCH(Totals!D1092,OrgType,0)&amp;"_"&amp;MATCH(Totals!E1092,Organisations,0)&amp;"_"&amp;LEFT(Totals!F1092,1)&amp;"_"&amp;LEFT(G1092,1)&amp;"_"&amp;COUNTIF($G$3:G1092,G1092)</f>
        <v>#N/A</v>
      </c>
      <c r="C1092" s="193">
        <v>2025</v>
      </c>
      <c r="D1092" s="193">
        <f>Introduction!$D$7</f>
        <v>0</v>
      </c>
      <c r="E1092" s="193">
        <f>Introduction!$D$8</f>
        <v>0</v>
      </c>
      <c r="F1092" s="193" t="s">
        <v>488</v>
      </c>
      <c r="G1092" s="193" t="s">
        <v>208</v>
      </c>
      <c r="H1092" s="193">
        <f>'Buildings - Water'!B38</f>
        <v>0</v>
      </c>
      <c r="I1092" s="193">
        <f>'Buildings - Water'!C38</f>
        <v>0</v>
      </c>
      <c r="J1092" s="193" t="str">
        <f>'Buildings - Water'!D38</f>
        <v/>
      </c>
      <c r="K1092" s="237"/>
      <c r="L1092" s="237"/>
      <c r="M1092" s="193" t="str">
        <f>'Buildings - Water'!E38</f>
        <v/>
      </c>
      <c r="N1092" s="193">
        <f>'Buildings - Water'!F38</f>
        <v>0</v>
      </c>
      <c r="O1092" s="237"/>
      <c r="P1092" s="193">
        <f>'Buildings - Water'!G38</f>
        <v>0</v>
      </c>
      <c r="Q1092" s="193" t="str">
        <f>'Buildings - Water'!H38</f>
        <v/>
      </c>
      <c r="R1092" s="193">
        <f>'Buildings - Water'!I38</f>
        <v>0</v>
      </c>
      <c r="S1092" s="193">
        <f>'Buildings - Water'!J38</f>
        <v>0</v>
      </c>
      <c r="T1092" s="193" t="str">
        <f>'Buildings - Water'!K38</f>
        <v/>
      </c>
      <c r="U1092" s="193" t="str">
        <f>'Buildings - Water'!L38</f>
        <v/>
      </c>
      <c r="V1092" s="193" t="str">
        <f>'Buildings - Water'!M38</f>
        <v/>
      </c>
      <c r="W1092" s="193" t="str">
        <f>'Buildings - Water'!N38</f>
        <v/>
      </c>
      <c r="X1092" s="193">
        <f>'Buildings - Water'!O38</f>
        <v>0</v>
      </c>
      <c r="Y1092" s="193">
        <f>'Buildings - Water'!P38</f>
        <v>0</v>
      </c>
      <c r="Z1092" s="193" t="str">
        <f>'Buildings - Water'!Q38</f>
        <v/>
      </c>
      <c r="AA1092" s="193" t="str">
        <f>'Buildings - Water'!R38</f>
        <v/>
      </c>
      <c r="AB1092" s="193" t="str">
        <f>'Buildings - Water'!S38</f>
        <v/>
      </c>
      <c r="AC1092" s="193" t="str">
        <f>'Buildings - Water'!T38</f>
        <v/>
      </c>
      <c r="AD1092" s="193" t="str">
        <f>'Buildings - Water'!U38</f>
        <v/>
      </c>
      <c r="AE1092" s="193" t="str">
        <f>'Buildings - Water'!V38</f>
        <v/>
      </c>
      <c r="AF1092" s="193" t="str">
        <f>'Buildings - Water'!W38</f>
        <v/>
      </c>
      <c r="AG1092" s="193" t="str">
        <f>'Buildings - Water'!X38</f>
        <v/>
      </c>
      <c r="AI1092" s="193">
        <f t="shared" si="18"/>
        <v>0</v>
      </c>
      <c r="AJ1092" s="193">
        <f t="shared" si="19"/>
        <v>0</v>
      </c>
    </row>
    <row r="1093" spans="2:36" x14ac:dyDescent="0.35">
      <c r="B1093" s="193" t="e">
        <f>"2024"&amp;MATCH(Totals!D1093,OrgType,0)&amp;"_"&amp;MATCH(Totals!E1093,Organisations,0)&amp;"_"&amp;LEFT(Totals!F1093,1)&amp;"_"&amp;LEFT(G1093,1)&amp;"_"&amp;COUNTIF($G$3:G1093,G1093)</f>
        <v>#N/A</v>
      </c>
      <c r="C1093" s="193">
        <v>2025</v>
      </c>
      <c r="D1093" s="193">
        <f>Introduction!$D$7</f>
        <v>0</v>
      </c>
      <c r="E1093" s="193">
        <f>Introduction!$D$8</f>
        <v>0</v>
      </c>
      <c r="F1093" s="193" t="s">
        <v>488</v>
      </c>
      <c r="G1093" s="193" t="s">
        <v>208</v>
      </c>
      <c r="H1093" s="193">
        <f>'Buildings - Water'!B39</f>
        <v>0</v>
      </c>
      <c r="I1093" s="193">
        <f>'Buildings - Water'!C39</f>
        <v>0</v>
      </c>
      <c r="J1093" s="193" t="str">
        <f>'Buildings - Water'!D39</f>
        <v/>
      </c>
      <c r="K1093" s="237"/>
      <c r="L1093" s="237"/>
      <c r="M1093" s="193" t="str">
        <f>'Buildings - Water'!E39</f>
        <v/>
      </c>
      <c r="N1093" s="193">
        <f>'Buildings - Water'!F39</f>
        <v>0</v>
      </c>
      <c r="O1093" s="237"/>
      <c r="P1093" s="193">
        <f>'Buildings - Water'!G39</f>
        <v>0</v>
      </c>
      <c r="Q1093" s="193" t="str">
        <f>'Buildings - Water'!H39</f>
        <v/>
      </c>
      <c r="R1093" s="193">
        <f>'Buildings - Water'!I39</f>
        <v>0</v>
      </c>
      <c r="S1093" s="193">
        <f>'Buildings - Water'!J39</f>
        <v>0</v>
      </c>
      <c r="T1093" s="193" t="str">
        <f>'Buildings - Water'!K39</f>
        <v/>
      </c>
      <c r="U1093" s="193" t="str">
        <f>'Buildings - Water'!L39</f>
        <v/>
      </c>
      <c r="V1093" s="193" t="str">
        <f>'Buildings - Water'!M39</f>
        <v/>
      </c>
      <c r="W1093" s="193" t="str">
        <f>'Buildings - Water'!N39</f>
        <v/>
      </c>
      <c r="X1093" s="193">
        <f>'Buildings - Water'!O39</f>
        <v>0</v>
      </c>
      <c r="Y1093" s="193">
        <f>'Buildings - Water'!P39</f>
        <v>0</v>
      </c>
      <c r="Z1093" s="193" t="str">
        <f>'Buildings - Water'!Q39</f>
        <v/>
      </c>
      <c r="AA1093" s="193" t="str">
        <f>'Buildings - Water'!R39</f>
        <v/>
      </c>
      <c r="AB1093" s="193" t="str">
        <f>'Buildings - Water'!S39</f>
        <v/>
      </c>
      <c r="AC1093" s="193" t="str">
        <f>'Buildings - Water'!T39</f>
        <v/>
      </c>
      <c r="AD1093" s="193" t="str">
        <f>'Buildings - Water'!U39</f>
        <v/>
      </c>
      <c r="AE1093" s="193" t="str">
        <f>'Buildings - Water'!V39</f>
        <v/>
      </c>
      <c r="AF1093" s="193" t="str">
        <f>'Buildings - Water'!W39</f>
        <v/>
      </c>
      <c r="AG1093" s="193" t="str">
        <f>'Buildings - Water'!X39</f>
        <v/>
      </c>
      <c r="AI1093" s="193">
        <f t="shared" si="18"/>
        <v>0</v>
      </c>
      <c r="AJ1093" s="193">
        <f t="shared" si="19"/>
        <v>0</v>
      </c>
    </row>
    <row r="1094" spans="2:36" x14ac:dyDescent="0.35">
      <c r="B1094" s="193" t="e">
        <f>"2024"&amp;MATCH(Totals!D1094,OrgType,0)&amp;"_"&amp;MATCH(Totals!E1094,Organisations,0)&amp;"_"&amp;LEFT(Totals!F1094,1)&amp;"_"&amp;LEFT(G1094,1)&amp;"_"&amp;COUNTIF($G$3:G1094,G1094)</f>
        <v>#N/A</v>
      </c>
      <c r="C1094" s="193">
        <v>2025</v>
      </c>
      <c r="D1094" s="193">
        <f>Introduction!$D$7</f>
        <v>0</v>
      </c>
      <c r="E1094" s="193">
        <f>Introduction!$D$8</f>
        <v>0</v>
      </c>
      <c r="F1094" s="193" t="s">
        <v>488</v>
      </c>
      <c r="G1094" s="193" t="s">
        <v>208</v>
      </c>
      <c r="H1094" s="193">
        <f>'Buildings - Water'!B40</f>
        <v>0</v>
      </c>
      <c r="I1094" s="193">
        <f>'Buildings - Water'!C40</f>
        <v>0</v>
      </c>
      <c r="J1094" s="193" t="str">
        <f>'Buildings - Water'!D40</f>
        <v/>
      </c>
      <c r="K1094" s="237"/>
      <c r="L1094" s="237"/>
      <c r="M1094" s="193" t="str">
        <f>'Buildings - Water'!E40</f>
        <v/>
      </c>
      <c r="N1094" s="193">
        <f>'Buildings - Water'!F40</f>
        <v>0</v>
      </c>
      <c r="O1094" s="237"/>
      <c r="P1094" s="193">
        <f>'Buildings - Water'!G40</f>
        <v>0</v>
      </c>
      <c r="Q1094" s="193" t="str">
        <f>'Buildings - Water'!H40</f>
        <v/>
      </c>
      <c r="R1094" s="193">
        <f>'Buildings - Water'!I40</f>
        <v>0</v>
      </c>
      <c r="S1094" s="193">
        <f>'Buildings - Water'!J40</f>
        <v>0</v>
      </c>
      <c r="T1094" s="193" t="str">
        <f>'Buildings - Water'!K40</f>
        <v/>
      </c>
      <c r="U1094" s="193" t="str">
        <f>'Buildings - Water'!L40</f>
        <v/>
      </c>
      <c r="V1094" s="193" t="str">
        <f>'Buildings - Water'!M40</f>
        <v/>
      </c>
      <c r="W1094" s="193" t="str">
        <f>'Buildings - Water'!N40</f>
        <v/>
      </c>
      <c r="X1094" s="193">
        <f>'Buildings - Water'!O40</f>
        <v>0</v>
      </c>
      <c r="Y1094" s="193">
        <f>'Buildings - Water'!P40</f>
        <v>0</v>
      </c>
      <c r="Z1094" s="193" t="str">
        <f>'Buildings - Water'!Q40</f>
        <v/>
      </c>
      <c r="AA1094" s="193" t="str">
        <f>'Buildings - Water'!R40</f>
        <v/>
      </c>
      <c r="AB1094" s="193" t="str">
        <f>'Buildings - Water'!S40</f>
        <v/>
      </c>
      <c r="AC1094" s="193" t="str">
        <f>'Buildings - Water'!T40</f>
        <v/>
      </c>
      <c r="AD1094" s="193" t="str">
        <f>'Buildings - Water'!U40</f>
        <v/>
      </c>
      <c r="AE1094" s="193" t="str">
        <f>'Buildings - Water'!V40</f>
        <v/>
      </c>
      <c r="AF1094" s="193" t="str">
        <f>'Buildings - Water'!W40</f>
        <v/>
      </c>
      <c r="AG1094" s="193" t="str">
        <f>'Buildings - Water'!X40</f>
        <v/>
      </c>
      <c r="AI1094" s="193">
        <f t="shared" si="18"/>
        <v>0</v>
      </c>
      <c r="AJ1094" s="193">
        <f t="shared" si="19"/>
        <v>0</v>
      </c>
    </row>
    <row r="1095" spans="2:36" x14ac:dyDescent="0.35">
      <c r="B1095" s="193" t="e">
        <f>"2024"&amp;MATCH(Totals!D1095,OrgType,0)&amp;"_"&amp;MATCH(Totals!E1095,Organisations,0)&amp;"_"&amp;LEFT(Totals!F1095,1)&amp;"_"&amp;LEFT(G1095,1)&amp;"_"&amp;COUNTIF($G$3:G1095,G1095)</f>
        <v>#N/A</v>
      </c>
      <c r="C1095" s="193">
        <v>2025</v>
      </c>
      <c r="D1095" s="193">
        <f>Introduction!$D$7</f>
        <v>0</v>
      </c>
      <c r="E1095" s="193">
        <f>Introduction!$D$8</f>
        <v>0</v>
      </c>
      <c r="F1095" s="193" t="s">
        <v>488</v>
      </c>
      <c r="G1095" s="193" t="s">
        <v>208</v>
      </c>
      <c r="H1095" s="193">
        <f>'Buildings - Water'!B41</f>
        <v>0</v>
      </c>
      <c r="I1095" s="193">
        <f>'Buildings - Water'!C41</f>
        <v>0</v>
      </c>
      <c r="J1095" s="193" t="str">
        <f>'Buildings - Water'!D41</f>
        <v/>
      </c>
      <c r="K1095" s="237"/>
      <c r="L1095" s="237"/>
      <c r="M1095" s="193" t="str">
        <f>'Buildings - Water'!E41</f>
        <v/>
      </c>
      <c r="N1095" s="193">
        <f>'Buildings - Water'!F41</f>
        <v>0</v>
      </c>
      <c r="O1095" s="237"/>
      <c r="P1095" s="193">
        <f>'Buildings - Water'!G41</f>
        <v>0</v>
      </c>
      <c r="Q1095" s="193" t="str">
        <f>'Buildings - Water'!H41</f>
        <v/>
      </c>
      <c r="R1095" s="193">
        <f>'Buildings - Water'!I41</f>
        <v>0</v>
      </c>
      <c r="S1095" s="193">
        <f>'Buildings - Water'!J41</f>
        <v>0</v>
      </c>
      <c r="T1095" s="193" t="str">
        <f>'Buildings - Water'!K41</f>
        <v/>
      </c>
      <c r="U1095" s="193" t="str">
        <f>'Buildings - Water'!L41</f>
        <v/>
      </c>
      <c r="V1095" s="193" t="str">
        <f>'Buildings - Water'!M41</f>
        <v/>
      </c>
      <c r="W1095" s="193" t="str">
        <f>'Buildings - Water'!N41</f>
        <v/>
      </c>
      <c r="X1095" s="193">
        <f>'Buildings - Water'!O41</f>
        <v>0</v>
      </c>
      <c r="Y1095" s="193">
        <f>'Buildings - Water'!P41</f>
        <v>0</v>
      </c>
      <c r="Z1095" s="193" t="str">
        <f>'Buildings - Water'!Q41</f>
        <v/>
      </c>
      <c r="AA1095" s="193" t="str">
        <f>'Buildings - Water'!R41</f>
        <v/>
      </c>
      <c r="AB1095" s="193" t="str">
        <f>'Buildings - Water'!S41</f>
        <v/>
      </c>
      <c r="AC1095" s="193" t="str">
        <f>'Buildings - Water'!T41</f>
        <v/>
      </c>
      <c r="AD1095" s="193" t="str">
        <f>'Buildings - Water'!U41</f>
        <v/>
      </c>
      <c r="AE1095" s="193" t="str">
        <f>'Buildings - Water'!V41</f>
        <v/>
      </c>
      <c r="AF1095" s="193" t="str">
        <f>'Buildings - Water'!W41</f>
        <v/>
      </c>
      <c r="AG1095" s="193" t="str">
        <f>'Buildings - Water'!X41</f>
        <v/>
      </c>
      <c r="AI1095" s="193">
        <f t="shared" si="18"/>
        <v>0</v>
      </c>
      <c r="AJ1095" s="193">
        <f t="shared" si="19"/>
        <v>0</v>
      </c>
    </row>
    <row r="1096" spans="2:36" x14ac:dyDescent="0.35">
      <c r="B1096" s="193" t="e">
        <f>"2024"&amp;MATCH(Totals!D1096,OrgType,0)&amp;"_"&amp;MATCH(Totals!E1096,Organisations,0)&amp;"_"&amp;LEFT(Totals!F1096,1)&amp;"_"&amp;LEFT(G1096,1)&amp;"_"&amp;COUNTIF($G$3:G1096,G1096)</f>
        <v>#N/A</v>
      </c>
      <c r="C1096" s="193">
        <v>2025</v>
      </c>
      <c r="D1096" s="193">
        <f>Introduction!$D$7</f>
        <v>0</v>
      </c>
      <c r="E1096" s="193">
        <f>Introduction!$D$8</f>
        <v>0</v>
      </c>
      <c r="F1096" s="193" t="s">
        <v>488</v>
      </c>
      <c r="G1096" s="193" t="s">
        <v>208</v>
      </c>
      <c r="H1096" s="193">
        <f>'Buildings - Water'!B42</f>
        <v>0</v>
      </c>
      <c r="I1096" s="193">
        <f>'Buildings - Water'!C42</f>
        <v>0</v>
      </c>
      <c r="J1096" s="193" t="str">
        <f>'Buildings - Water'!D42</f>
        <v/>
      </c>
      <c r="K1096" s="237"/>
      <c r="L1096" s="237"/>
      <c r="M1096" s="193" t="str">
        <f>'Buildings - Water'!E42</f>
        <v/>
      </c>
      <c r="N1096" s="193">
        <f>'Buildings - Water'!F42</f>
        <v>0</v>
      </c>
      <c r="O1096" s="237"/>
      <c r="P1096" s="193">
        <f>'Buildings - Water'!G42</f>
        <v>0</v>
      </c>
      <c r="Q1096" s="193" t="str">
        <f>'Buildings - Water'!H42</f>
        <v/>
      </c>
      <c r="R1096" s="193">
        <f>'Buildings - Water'!I42</f>
        <v>0</v>
      </c>
      <c r="S1096" s="193">
        <f>'Buildings - Water'!J42</f>
        <v>0</v>
      </c>
      <c r="T1096" s="193" t="str">
        <f>'Buildings - Water'!K42</f>
        <v/>
      </c>
      <c r="U1096" s="193" t="str">
        <f>'Buildings - Water'!L42</f>
        <v/>
      </c>
      <c r="V1096" s="193" t="str">
        <f>'Buildings - Water'!M42</f>
        <v/>
      </c>
      <c r="W1096" s="193" t="str">
        <f>'Buildings - Water'!N42</f>
        <v/>
      </c>
      <c r="X1096" s="193">
        <f>'Buildings - Water'!O42</f>
        <v>0</v>
      </c>
      <c r="Y1096" s="193">
        <f>'Buildings - Water'!P42</f>
        <v>0</v>
      </c>
      <c r="Z1096" s="193" t="str">
        <f>'Buildings - Water'!Q42</f>
        <v/>
      </c>
      <c r="AA1096" s="193" t="str">
        <f>'Buildings - Water'!R42</f>
        <v/>
      </c>
      <c r="AB1096" s="193" t="str">
        <f>'Buildings - Water'!S42</f>
        <v/>
      </c>
      <c r="AC1096" s="193" t="str">
        <f>'Buildings - Water'!T42</f>
        <v/>
      </c>
      <c r="AD1096" s="193" t="str">
        <f>'Buildings - Water'!U42</f>
        <v/>
      </c>
      <c r="AE1096" s="193" t="str">
        <f>'Buildings - Water'!V42</f>
        <v/>
      </c>
      <c r="AF1096" s="193" t="str">
        <f>'Buildings - Water'!W42</f>
        <v/>
      </c>
      <c r="AG1096" s="193" t="str">
        <f>'Buildings - Water'!X42</f>
        <v/>
      </c>
      <c r="AI1096" s="193">
        <f t="shared" si="18"/>
        <v>0</v>
      </c>
      <c r="AJ1096" s="193">
        <f t="shared" si="19"/>
        <v>0</v>
      </c>
    </row>
    <row r="1097" spans="2:36" x14ac:dyDescent="0.35">
      <c r="B1097" s="193" t="e">
        <f>"2024"&amp;MATCH(Totals!D1097,OrgType,0)&amp;"_"&amp;MATCH(Totals!E1097,Organisations,0)&amp;"_"&amp;LEFT(Totals!F1097,1)&amp;"_"&amp;LEFT(G1097,1)&amp;"_"&amp;COUNTIF($G$3:G1097,G1097)</f>
        <v>#N/A</v>
      </c>
      <c r="C1097" s="193">
        <v>2025</v>
      </c>
      <c r="D1097" s="193">
        <f>Introduction!$D$7</f>
        <v>0</v>
      </c>
      <c r="E1097" s="193">
        <f>Introduction!$D$8</f>
        <v>0</v>
      </c>
      <c r="F1097" s="193" t="s">
        <v>488</v>
      </c>
      <c r="G1097" s="193" t="s">
        <v>208</v>
      </c>
      <c r="H1097" s="193">
        <f>'Buildings - Water'!B43</f>
        <v>0</v>
      </c>
      <c r="I1097" s="193">
        <f>'Buildings - Water'!C43</f>
        <v>0</v>
      </c>
      <c r="J1097" s="193" t="str">
        <f>'Buildings - Water'!D43</f>
        <v/>
      </c>
      <c r="K1097" s="237"/>
      <c r="L1097" s="237"/>
      <c r="M1097" s="193" t="str">
        <f>'Buildings - Water'!E43</f>
        <v/>
      </c>
      <c r="N1097" s="193">
        <f>'Buildings - Water'!F43</f>
        <v>0</v>
      </c>
      <c r="O1097" s="237"/>
      <c r="P1097" s="193">
        <f>'Buildings - Water'!G43</f>
        <v>0</v>
      </c>
      <c r="Q1097" s="193" t="str">
        <f>'Buildings - Water'!H43</f>
        <v/>
      </c>
      <c r="R1097" s="193">
        <f>'Buildings - Water'!I43</f>
        <v>0</v>
      </c>
      <c r="S1097" s="193">
        <f>'Buildings - Water'!J43</f>
        <v>0</v>
      </c>
      <c r="T1097" s="193" t="str">
        <f>'Buildings - Water'!K43</f>
        <v/>
      </c>
      <c r="U1097" s="193" t="str">
        <f>'Buildings - Water'!L43</f>
        <v/>
      </c>
      <c r="V1097" s="193" t="str">
        <f>'Buildings - Water'!M43</f>
        <v/>
      </c>
      <c r="W1097" s="193" t="str">
        <f>'Buildings - Water'!N43</f>
        <v/>
      </c>
      <c r="X1097" s="193">
        <f>'Buildings - Water'!O43</f>
        <v>0</v>
      </c>
      <c r="Y1097" s="193">
        <f>'Buildings - Water'!P43</f>
        <v>0</v>
      </c>
      <c r="Z1097" s="193" t="str">
        <f>'Buildings - Water'!Q43</f>
        <v/>
      </c>
      <c r="AA1097" s="193" t="str">
        <f>'Buildings - Water'!R43</f>
        <v/>
      </c>
      <c r="AB1097" s="193" t="str">
        <f>'Buildings - Water'!S43</f>
        <v/>
      </c>
      <c r="AC1097" s="193" t="str">
        <f>'Buildings - Water'!T43</f>
        <v/>
      </c>
      <c r="AD1097" s="193" t="str">
        <f>'Buildings - Water'!U43</f>
        <v/>
      </c>
      <c r="AE1097" s="193" t="str">
        <f>'Buildings - Water'!V43</f>
        <v/>
      </c>
      <c r="AF1097" s="193" t="str">
        <f>'Buildings - Water'!W43</f>
        <v/>
      </c>
      <c r="AG1097" s="193" t="str">
        <f>'Buildings - Water'!X43</f>
        <v/>
      </c>
      <c r="AI1097" s="193">
        <f t="shared" si="18"/>
        <v>0</v>
      </c>
      <c r="AJ1097" s="193">
        <f t="shared" si="19"/>
        <v>0</v>
      </c>
    </row>
    <row r="1098" spans="2:36" x14ac:dyDescent="0.35">
      <c r="B1098" s="193" t="e">
        <f>"2024"&amp;MATCH(Totals!D1098,OrgType,0)&amp;"_"&amp;MATCH(Totals!E1098,Organisations,0)&amp;"_"&amp;LEFT(Totals!F1098,1)&amp;"_"&amp;LEFT(G1098,1)&amp;"_"&amp;COUNTIF($G$3:G1098,G1098)</f>
        <v>#N/A</v>
      </c>
      <c r="C1098" s="193">
        <v>2025</v>
      </c>
      <c r="D1098" s="193">
        <f>Introduction!$D$7</f>
        <v>0</v>
      </c>
      <c r="E1098" s="193">
        <f>Introduction!$D$8</f>
        <v>0</v>
      </c>
      <c r="F1098" s="193" t="s">
        <v>488</v>
      </c>
      <c r="G1098" s="193" t="s">
        <v>208</v>
      </c>
      <c r="H1098" s="193">
        <f>'Buildings - Water'!B44</f>
        <v>0</v>
      </c>
      <c r="I1098" s="193">
        <f>'Buildings - Water'!C44</f>
        <v>0</v>
      </c>
      <c r="J1098" s="193" t="str">
        <f>'Buildings - Water'!D44</f>
        <v/>
      </c>
      <c r="K1098" s="237"/>
      <c r="L1098" s="237"/>
      <c r="M1098" s="193" t="str">
        <f>'Buildings - Water'!E44</f>
        <v/>
      </c>
      <c r="N1098" s="193">
        <f>'Buildings - Water'!F44</f>
        <v>0</v>
      </c>
      <c r="O1098" s="237"/>
      <c r="P1098" s="193">
        <f>'Buildings - Water'!G44</f>
        <v>0</v>
      </c>
      <c r="Q1098" s="193" t="str">
        <f>'Buildings - Water'!H44</f>
        <v/>
      </c>
      <c r="R1098" s="193">
        <f>'Buildings - Water'!I44</f>
        <v>0</v>
      </c>
      <c r="S1098" s="193">
        <f>'Buildings - Water'!J44</f>
        <v>0</v>
      </c>
      <c r="T1098" s="193" t="str">
        <f>'Buildings - Water'!K44</f>
        <v/>
      </c>
      <c r="U1098" s="193" t="str">
        <f>'Buildings - Water'!L44</f>
        <v/>
      </c>
      <c r="V1098" s="193" t="str">
        <f>'Buildings - Water'!M44</f>
        <v/>
      </c>
      <c r="W1098" s="193" t="str">
        <f>'Buildings - Water'!N44</f>
        <v/>
      </c>
      <c r="X1098" s="193">
        <f>'Buildings - Water'!O44</f>
        <v>0</v>
      </c>
      <c r="Y1098" s="193">
        <f>'Buildings - Water'!P44</f>
        <v>0</v>
      </c>
      <c r="Z1098" s="193" t="str">
        <f>'Buildings - Water'!Q44</f>
        <v/>
      </c>
      <c r="AA1098" s="193" t="str">
        <f>'Buildings - Water'!R44</f>
        <v/>
      </c>
      <c r="AB1098" s="193" t="str">
        <f>'Buildings - Water'!S44</f>
        <v/>
      </c>
      <c r="AC1098" s="193" t="str">
        <f>'Buildings - Water'!T44</f>
        <v/>
      </c>
      <c r="AD1098" s="193" t="str">
        <f>'Buildings - Water'!U44</f>
        <v/>
      </c>
      <c r="AE1098" s="193" t="str">
        <f>'Buildings - Water'!V44</f>
        <v/>
      </c>
      <c r="AF1098" s="193" t="str">
        <f>'Buildings - Water'!W44</f>
        <v/>
      </c>
      <c r="AG1098" s="193" t="str">
        <f>'Buildings - Water'!X44</f>
        <v/>
      </c>
      <c r="AI1098" s="193">
        <f t="shared" si="18"/>
        <v>0</v>
      </c>
      <c r="AJ1098" s="193">
        <f t="shared" si="19"/>
        <v>0</v>
      </c>
    </row>
    <row r="1099" spans="2:36" x14ac:dyDescent="0.35">
      <c r="B1099" s="193" t="e">
        <f>"2024"&amp;MATCH(Totals!D1099,OrgType,0)&amp;"_"&amp;MATCH(Totals!E1099,Organisations,0)&amp;"_"&amp;LEFT(Totals!F1099,1)&amp;"_"&amp;LEFT(G1099,1)&amp;"_"&amp;COUNTIF($G$3:G1099,G1099)</f>
        <v>#N/A</v>
      </c>
      <c r="C1099" s="193">
        <v>2025</v>
      </c>
      <c r="D1099" s="193">
        <f>Introduction!$D$7</f>
        <v>0</v>
      </c>
      <c r="E1099" s="193">
        <f>Introduction!$D$8</f>
        <v>0</v>
      </c>
      <c r="F1099" s="193" t="s">
        <v>488</v>
      </c>
      <c r="G1099" s="193" t="s">
        <v>208</v>
      </c>
      <c r="H1099" s="193">
        <f>'Buildings - Water'!B45</f>
        <v>0</v>
      </c>
      <c r="I1099" s="193">
        <f>'Buildings - Water'!C45</f>
        <v>0</v>
      </c>
      <c r="J1099" s="193" t="str">
        <f>'Buildings - Water'!D45</f>
        <v/>
      </c>
      <c r="K1099" s="237"/>
      <c r="L1099" s="237"/>
      <c r="M1099" s="193" t="str">
        <f>'Buildings - Water'!E45</f>
        <v/>
      </c>
      <c r="N1099" s="193">
        <f>'Buildings - Water'!F45</f>
        <v>0</v>
      </c>
      <c r="O1099" s="237"/>
      <c r="P1099" s="193">
        <f>'Buildings - Water'!G45</f>
        <v>0</v>
      </c>
      <c r="Q1099" s="193" t="str">
        <f>'Buildings - Water'!H45</f>
        <v/>
      </c>
      <c r="R1099" s="193">
        <f>'Buildings - Water'!I45</f>
        <v>0</v>
      </c>
      <c r="S1099" s="193">
        <f>'Buildings - Water'!J45</f>
        <v>0</v>
      </c>
      <c r="T1099" s="193" t="str">
        <f>'Buildings - Water'!K45</f>
        <v/>
      </c>
      <c r="U1099" s="193" t="str">
        <f>'Buildings - Water'!L45</f>
        <v/>
      </c>
      <c r="V1099" s="193" t="str">
        <f>'Buildings - Water'!M45</f>
        <v/>
      </c>
      <c r="W1099" s="193" t="str">
        <f>'Buildings - Water'!N45</f>
        <v/>
      </c>
      <c r="X1099" s="193">
        <f>'Buildings - Water'!O45</f>
        <v>0</v>
      </c>
      <c r="Y1099" s="193">
        <f>'Buildings - Water'!P45</f>
        <v>0</v>
      </c>
      <c r="Z1099" s="193" t="str">
        <f>'Buildings - Water'!Q45</f>
        <v/>
      </c>
      <c r="AA1099" s="193" t="str">
        <f>'Buildings - Water'!R45</f>
        <v/>
      </c>
      <c r="AB1099" s="193" t="str">
        <f>'Buildings - Water'!S45</f>
        <v/>
      </c>
      <c r="AC1099" s="193" t="str">
        <f>'Buildings - Water'!T45</f>
        <v/>
      </c>
      <c r="AD1099" s="193" t="str">
        <f>'Buildings - Water'!U45</f>
        <v/>
      </c>
      <c r="AE1099" s="193" t="str">
        <f>'Buildings - Water'!V45</f>
        <v/>
      </c>
      <c r="AF1099" s="193" t="str">
        <f>'Buildings - Water'!W45</f>
        <v/>
      </c>
      <c r="AG1099" s="193" t="str">
        <f>'Buildings - Water'!X45</f>
        <v/>
      </c>
      <c r="AI1099" s="193">
        <f t="shared" si="18"/>
        <v>0</v>
      </c>
      <c r="AJ1099" s="193">
        <f t="shared" si="19"/>
        <v>0</v>
      </c>
    </row>
    <row r="1100" spans="2:36" x14ac:dyDescent="0.35">
      <c r="B1100" s="193" t="e">
        <f>"2024"&amp;MATCH(Totals!D1100,OrgType,0)&amp;"_"&amp;MATCH(Totals!E1100,Organisations,0)&amp;"_"&amp;LEFT(Totals!F1100,1)&amp;"_"&amp;LEFT(G1100,1)&amp;"_"&amp;COUNTIF($G$3:G1100,G1100)</f>
        <v>#N/A</v>
      </c>
      <c r="C1100" s="193">
        <v>2025</v>
      </c>
      <c r="D1100" s="193">
        <f>Introduction!$D$7</f>
        <v>0</v>
      </c>
      <c r="E1100" s="193">
        <f>Introduction!$D$8</f>
        <v>0</v>
      </c>
      <c r="F1100" s="193" t="s">
        <v>488</v>
      </c>
      <c r="G1100" s="193" t="s">
        <v>208</v>
      </c>
      <c r="H1100" s="193">
        <f>'Buildings - Water'!B46</f>
        <v>0</v>
      </c>
      <c r="I1100" s="193">
        <f>'Buildings - Water'!C46</f>
        <v>0</v>
      </c>
      <c r="J1100" s="193" t="str">
        <f>'Buildings - Water'!D46</f>
        <v/>
      </c>
      <c r="K1100" s="237"/>
      <c r="L1100" s="237"/>
      <c r="M1100" s="193" t="str">
        <f>'Buildings - Water'!E46</f>
        <v/>
      </c>
      <c r="N1100" s="193">
        <f>'Buildings - Water'!F46</f>
        <v>0</v>
      </c>
      <c r="O1100" s="237"/>
      <c r="P1100" s="193">
        <f>'Buildings - Water'!G46</f>
        <v>0</v>
      </c>
      <c r="Q1100" s="193" t="str">
        <f>'Buildings - Water'!H46</f>
        <v/>
      </c>
      <c r="R1100" s="193">
        <f>'Buildings - Water'!I46</f>
        <v>0</v>
      </c>
      <c r="S1100" s="193">
        <f>'Buildings - Water'!J46</f>
        <v>0</v>
      </c>
      <c r="T1100" s="193" t="str">
        <f>'Buildings - Water'!K46</f>
        <v/>
      </c>
      <c r="U1100" s="193" t="str">
        <f>'Buildings - Water'!L46</f>
        <v/>
      </c>
      <c r="V1100" s="193" t="str">
        <f>'Buildings - Water'!M46</f>
        <v/>
      </c>
      <c r="W1100" s="193" t="str">
        <f>'Buildings - Water'!N46</f>
        <v/>
      </c>
      <c r="X1100" s="193">
        <f>'Buildings - Water'!O46</f>
        <v>0</v>
      </c>
      <c r="Y1100" s="193">
        <f>'Buildings - Water'!P46</f>
        <v>0</v>
      </c>
      <c r="Z1100" s="193" t="str">
        <f>'Buildings - Water'!Q46</f>
        <v/>
      </c>
      <c r="AA1100" s="193" t="str">
        <f>'Buildings - Water'!R46</f>
        <v/>
      </c>
      <c r="AB1100" s="193" t="str">
        <f>'Buildings - Water'!S46</f>
        <v/>
      </c>
      <c r="AC1100" s="193" t="str">
        <f>'Buildings - Water'!T46</f>
        <v/>
      </c>
      <c r="AD1100" s="193" t="str">
        <f>'Buildings - Water'!U46</f>
        <v/>
      </c>
      <c r="AE1100" s="193" t="str">
        <f>'Buildings - Water'!V46</f>
        <v/>
      </c>
      <c r="AF1100" s="193" t="str">
        <f>'Buildings - Water'!W46</f>
        <v/>
      </c>
      <c r="AG1100" s="193" t="str">
        <f>'Buildings - Water'!X46</f>
        <v/>
      </c>
      <c r="AI1100" s="193">
        <f t="shared" si="18"/>
        <v>0</v>
      </c>
      <c r="AJ1100" s="193">
        <f t="shared" si="19"/>
        <v>0</v>
      </c>
    </row>
    <row r="1101" spans="2:36" x14ac:dyDescent="0.35">
      <c r="B1101" s="193" t="e">
        <f>"2024"&amp;MATCH(Totals!D1101,OrgType,0)&amp;"_"&amp;MATCH(Totals!E1101,Organisations,0)&amp;"_"&amp;LEFT(Totals!F1101,1)&amp;"_"&amp;LEFT(G1101,1)&amp;"_"&amp;COUNTIF($G$3:G1101,G1101)</f>
        <v>#N/A</v>
      </c>
      <c r="C1101" s="193">
        <v>2025</v>
      </c>
      <c r="D1101" s="193">
        <f>Introduction!$D$7</f>
        <v>0</v>
      </c>
      <c r="E1101" s="193">
        <f>Introduction!$D$8</f>
        <v>0</v>
      </c>
      <c r="F1101" s="193" t="s">
        <v>488</v>
      </c>
      <c r="G1101" s="193" t="s">
        <v>208</v>
      </c>
      <c r="H1101" s="193">
        <f>'Buildings - Water'!B47</f>
        <v>0</v>
      </c>
      <c r="I1101" s="193">
        <f>'Buildings - Water'!C47</f>
        <v>0</v>
      </c>
      <c r="J1101" s="193" t="str">
        <f>'Buildings - Water'!D47</f>
        <v/>
      </c>
      <c r="K1101" s="237"/>
      <c r="L1101" s="237"/>
      <c r="M1101" s="193" t="str">
        <f>'Buildings - Water'!E47</f>
        <v/>
      </c>
      <c r="N1101" s="193">
        <f>'Buildings - Water'!F47</f>
        <v>0</v>
      </c>
      <c r="O1101" s="237"/>
      <c r="P1101" s="193">
        <f>'Buildings - Water'!G47</f>
        <v>0</v>
      </c>
      <c r="Q1101" s="193" t="str">
        <f>'Buildings - Water'!H47</f>
        <v/>
      </c>
      <c r="R1101" s="193">
        <f>'Buildings - Water'!I47</f>
        <v>0</v>
      </c>
      <c r="S1101" s="193">
        <f>'Buildings - Water'!J47</f>
        <v>0</v>
      </c>
      <c r="T1101" s="193" t="str">
        <f>'Buildings - Water'!K47</f>
        <v/>
      </c>
      <c r="U1101" s="193" t="str">
        <f>'Buildings - Water'!L47</f>
        <v/>
      </c>
      <c r="V1101" s="193" t="str">
        <f>'Buildings - Water'!M47</f>
        <v/>
      </c>
      <c r="W1101" s="193" t="str">
        <f>'Buildings - Water'!N47</f>
        <v/>
      </c>
      <c r="X1101" s="193">
        <f>'Buildings - Water'!O47</f>
        <v>0</v>
      </c>
      <c r="Y1101" s="193">
        <f>'Buildings - Water'!P47</f>
        <v>0</v>
      </c>
      <c r="Z1101" s="193" t="str">
        <f>'Buildings - Water'!Q47</f>
        <v/>
      </c>
      <c r="AA1101" s="193" t="str">
        <f>'Buildings - Water'!R47</f>
        <v/>
      </c>
      <c r="AB1101" s="193" t="str">
        <f>'Buildings - Water'!S47</f>
        <v/>
      </c>
      <c r="AC1101" s="193" t="str">
        <f>'Buildings - Water'!T47</f>
        <v/>
      </c>
      <c r="AD1101" s="193" t="str">
        <f>'Buildings - Water'!U47</f>
        <v/>
      </c>
      <c r="AE1101" s="193" t="str">
        <f>'Buildings - Water'!V47</f>
        <v/>
      </c>
      <c r="AF1101" s="193" t="str">
        <f>'Buildings - Water'!W47</f>
        <v/>
      </c>
      <c r="AG1101" s="193" t="str">
        <f>'Buildings - Water'!X47</f>
        <v/>
      </c>
      <c r="AI1101" s="193">
        <f t="shared" si="18"/>
        <v>0</v>
      </c>
      <c r="AJ1101" s="193">
        <f t="shared" si="19"/>
        <v>0</v>
      </c>
    </row>
    <row r="1102" spans="2:36" x14ac:dyDescent="0.35">
      <c r="B1102" s="193" t="e">
        <f>"2024"&amp;MATCH(Totals!D1102,OrgType,0)&amp;"_"&amp;MATCH(Totals!E1102,Organisations,0)&amp;"_"&amp;LEFT(Totals!F1102,1)&amp;"_"&amp;LEFT(G1102,1)&amp;"_"&amp;COUNTIF($G$3:G1102,G1102)</f>
        <v>#N/A</v>
      </c>
      <c r="C1102" s="193">
        <v>2025</v>
      </c>
      <c r="D1102" s="193">
        <f>Introduction!$D$7</f>
        <v>0</v>
      </c>
      <c r="E1102" s="193">
        <f>Introduction!$D$8</f>
        <v>0</v>
      </c>
      <c r="F1102" s="193" t="s">
        <v>488</v>
      </c>
      <c r="G1102" s="193" t="s">
        <v>208</v>
      </c>
      <c r="H1102" s="193">
        <f>'Buildings - Water'!B48</f>
        <v>0</v>
      </c>
      <c r="I1102" s="193">
        <f>'Buildings - Water'!C48</f>
        <v>0</v>
      </c>
      <c r="J1102" s="193" t="str">
        <f>'Buildings - Water'!D48</f>
        <v/>
      </c>
      <c r="K1102" s="237"/>
      <c r="L1102" s="237"/>
      <c r="M1102" s="193" t="str">
        <f>'Buildings - Water'!E48</f>
        <v/>
      </c>
      <c r="N1102" s="193">
        <f>'Buildings - Water'!F48</f>
        <v>0</v>
      </c>
      <c r="O1102" s="237"/>
      <c r="P1102" s="193">
        <f>'Buildings - Water'!G48</f>
        <v>0</v>
      </c>
      <c r="Q1102" s="193" t="str">
        <f>'Buildings - Water'!H48</f>
        <v/>
      </c>
      <c r="R1102" s="193">
        <f>'Buildings - Water'!I48</f>
        <v>0</v>
      </c>
      <c r="S1102" s="193">
        <f>'Buildings - Water'!J48</f>
        <v>0</v>
      </c>
      <c r="T1102" s="193" t="str">
        <f>'Buildings - Water'!K48</f>
        <v/>
      </c>
      <c r="U1102" s="193" t="str">
        <f>'Buildings - Water'!L48</f>
        <v/>
      </c>
      <c r="V1102" s="193" t="str">
        <f>'Buildings - Water'!M48</f>
        <v/>
      </c>
      <c r="W1102" s="193" t="str">
        <f>'Buildings - Water'!N48</f>
        <v/>
      </c>
      <c r="X1102" s="193">
        <f>'Buildings - Water'!O48</f>
        <v>0</v>
      </c>
      <c r="Y1102" s="193">
        <f>'Buildings - Water'!P48</f>
        <v>0</v>
      </c>
      <c r="Z1102" s="193" t="str">
        <f>'Buildings - Water'!Q48</f>
        <v/>
      </c>
      <c r="AA1102" s="193" t="str">
        <f>'Buildings - Water'!R48</f>
        <v/>
      </c>
      <c r="AB1102" s="193" t="str">
        <f>'Buildings - Water'!S48</f>
        <v/>
      </c>
      <c r="AC1102" s="193" t="str">
        <f>'Buildings - Water'!T48</f>
        <v/>
      </c>
      <c r="AD1102" s="193" t="str">
        <f>'Buildings - Water'!U48</f>
        <v/>
      </c>
      <c r="AE1102" s="193" t="str">
        <f>'Buildings - Water'!V48</f>
        <v/>
      </c>
      <c r="AF1102" s="193" t="str">
        <f>'Buildings - Water'!W48</f>
        <v/>
      </c>
      <c r="AG1102" s="193" t="str">
        <f>'Buildings - Water'!X48</f>
        <v/>
      </c>
      <c r="AI1102" s="193">
        <f t="shared" si="18"/>
        <v>0</v>
      </c>
      <c r="AJ1102" s="193">
        <f t="shared" si="19"/>
        <v>0</v>
      </c>
    </row>
    <row r="1103" spans="2:36" x14ac:dyDescent="0.35">
      <c r="B1103" s="193" t="e">
        <f>"2024"&amp;MATCH(Totals!D1103,OrgType,0)&amp;"_"&amp;MATCH(Totals!E1103,Organisations,0)&amp;"_"&amp;LEFT(Totals!F1103,1)&amp;"_"&amp;LEFT(G1103,1)&amp;"_"&amp;COUNTIF($G$3:G1103,G1103)</f>
        <v>#N/A</v>
      </c>
      <c r="C1103" s="193">
        <v>2025</v>
      </c>
      <c r="D1103" s="193">
        <f>Introduction!$D$7</f>
        <v>0</v>
      </c>
      <c r="E1103" s="193">
        <f>Introduction!$D$8</f>
        <v>0</v>
      </c>
      <c r="F1103" s="193" t="s">
        <v>488</v>
      </c>
      <c r="G1103" s="193" t="s">
        <v>208</v>
      </c>
      <c r="H1103" s="193">
        <f>'Buildings - Water'!B49</f>
        <v>0</v>
      </c>
      <c r="I1103" s="193">
        <f>'Buildings - Water'!C49</f>
        <v>0</v>
      </c>
      <c r="J1103" s="193" t="str">
        <f>'Buildings - Water'!D49</f>
        <v/>
      </c>
      <c r="K1103" s="237"/>
      <c r="L1103" s="237"/>
      <c r="M1103" s="193" t="str">
        <f>'Buildings - Water'!E49</f>
        <v/>
      </c>
      <c r="N1103" s="193">
        <f>'Buildings - Water'!F49</f>
        <v>0</v>
      </c>
      <c r="O1103" s="237"/>
      <c r="P1103" s="193">
        <f>'Buildings - Water'!G49</f>
        <v>0</v>
      </c>
      <c r="Q1103" s="193" t="str">
        <f>'Buildings - Water'!H49</f>
        <v/>
      </c>
      <c r="R1103" s="193">
        <f>'Buildings - Water'!I49</f>
        <v>0</v>
      </c>
      <c r="S1103" s="193">
        <f>'Buildings - Water'!J49</f>
        <v>0</v>
      </c>
      <c r="T1103" s="193" t="str">
        <f>'Buildings - Water'!K49</f>
        <v/>
      </c>
      <c r="U1103" s="193" t="str">
        <f>'Buildings - Water'!L49</f>
        <v/>
      </c>
      <c r="V1103" s="193" t="str">
        <f>'Buildings - Water'!M49</f>
        <v/>
      </c>
      <c r="W1103" s="193" t="str">
        <f>'Buildings - Water'!N49</f>
        <v/>
      </c>
      <c r="X1103" s="193">
        <f>'Buildings - Water'!O49</f>
        <v>0</v>
      </c>
      <c r="Y1103" s="193">
        <f>'Buildings - Water'!P49</f>
        <v>0</v>
      </c>
      <c r="Z1103" s="193" t="str">
        <f>'Buildings - Water'!Q49</f>
        <v/>
      </c>
      <c r="AA1103" s="193" t="str">
        <f>'Buildings - Water'!R49</f>
        <v/>
      </c>
      <c r="AB1103" s="193" t="str">
        <f>'Buildings - Water'!S49</f>
        <v/>
      </c>
      <c r="AC1103" s="193" t="str">
        <f>'Buildings - Water'!T49</f>
        <v/>
      </c>
      <c r="AD1103" s="193" t="str">
        <f>'Buildings - Water'!U49</f>
        <v/>
      </c>
      <c r="AE1103" s="193" t="str">
        <f>'Buildings - Water'!V49</f>
        <v/>
      </c>
      <c r="AF1103" s="193" t="str">
        <f>'Buildings - Water'!W49</f>
        <v/>
      </c>
      <c r="AG1103" s="193" t="str">
        <f>'Buildings - Water'!X49</f>
        <v/>
      </c>
      <c r="AI1103" s="193">
        <f t="shared" si="18"/>
        <v>0</v>
      </c>
      <c r="AJ1103" s="193">
        <f t="shared" si="19"/>
        <v>0</v>
      </c>
    </row>
    <row r="1104" spans="2:36" x14ac:dyDescent="0.35">
      <c r="B1104" s="193" t="e">
        <f>"2024"&amp;MATCH(Totals!D1104,OrgType,0)&amp;"_"&amp;MATCH(Totals!E1104,Organisations,0)&amp;"_"&amp;LEFT(Totals!F1104,1)&amp;"_"&amp;LEFT(G1104,1)&amp;"_"&amp;COUNTIF($G$3:G1104,G1104)</f>
        <v>#N/A</v>
      </c>
      <c r="C1104" s="193">
        <v>2025</v>
      </c>
      <c r="D1104" s="193">
        <f>Introduction!$D$7</f>
        <v>0</v>
      </c>
      <c r="E1104" s="193">
        <f>Introduction!$D$8</f>
        <v>0</v>
      </c>
      <c r="F1104" s="193" t="s">
        <v>488</v>
      </c>
      <c r="G1104" s="193" t="s">
        <v>208</v>
      </c>
      <c r="H1104" s="193">
        <f>'Buildings - Water'!B50</f>
        <v>0</v>
      </c>
      <c r="I1104" s="193">
        <f>'Buildings - Water'!C50</f>
        <v>0</v>
      </c>
      <c r="J1104" s="193" t="str">
        <f>'Buildings - Water'!D50</f>
        <v/>
      </c>
      <c r="K1104" s="237"/>
      <c r="L1104" s="237"/>
      <c r="M1104" s="193" t="str">
        <f>'Buildings - Water'!E50</f>
        <v/>
      </c>
      <c r="N1104" s="193">
        <f>'Buildings - Water'!F50</f>
        <v>0</v>
      </c>
      <c r="O1104" s="237"/>
      <c r="P1104" s="193">
        <f>'Buildings - Water'!G50</f>
        <v>0</v>
      </c>
      <c r="Q1104" s="193" t="str">
        <f>'Buildings - Water'!H50</f>
        <v/>
      </c>
      <c r="R1104" s="193">
        <f>'Buildings - Water'!I50</f>
        <v>0</v>
      </c>
      <c r="S1104" s="193">
        <f>'Buildings - Water'!J50</f>
        <v>0</v>
      </c>
      <c r="T1104" s="193" t="str">
        <f>'Buildings - Water'!K50</f>
        <v/>
      </c>
      <c r="U1104" s="193" t="str">
        <f>'Buildings - Water'!L50</f>
        <v/>
      </c>
      <c r="V1104" s="193" t="str">
        <f>'Buildings - Water'!M50</f>
        <v/>
      </c>
      <c r="W1104" s="193" t="str">
        <f>'Buildings - Water'!N50</f>
        <v/>
      </c>
      <c r="X1104" s="193">
        <f>'Buildings - Water'!O50</f>
        <v>0</v>
      </c>
      <c r="Y1104" s="193">
        <f>'Buildings - Water'!P50</f>
        <v>0</v>
      </c>
      <c r="Z1104" s="193" t="str">
        <f>'Buildings - Water'!Q50</f>
        <v/>
      </c>
      <c r="AA1104" s="193" t="str">
        <f>'Buildings - Water'!R50</f>
        <v/>
      </c>
      <c r="AB1104" s="193" t="str">
        <f>'Buildings - Water'!S50</f>
        <v/>
      </c>
      <c r="AC1104" s="193" t="str">
        <f>'Buildings - Water'!T50</f>
        <v/>
      </c>
      <c r="AD1104" s="193" t="str">
        <f>'Buildings - Water'!U50</f>
        <v/>
      </c>
      <c r="AE1104" s="193" t="str">
        <f>'Buildings - Water'!V50</f>
        <v/>
      </c>
      <c r="AF1104" s="193" t="str">
        <f>'Buildings - Water'!W50</f>
        <v/>
      </c>
      <c r="AG1104" s="193" t="str">
        <f>'Buildings - Water'!X50</f>
        <v/>
      </c>
      <c r="AI1104" s="193">
        <f t="shared" si="18"/>
        <v>0</v>
      </c>
      <c r="AJ1104" s="193">
        <f t="shared" si="19"/>
        <v>0</v>
      </c>
    </row>
    <row r="1105" spans="2:36" x14ac:dyDescent="0.35">
      <c r="B1105" s="193" t="e">
        <f>"2024"&amp;MATCH(Totals!D1105,OrgType,0)&amp;"_"&amp;MATCH(Totals!E1105,Organisations,0)&amp;"_"&amp;LEFT(Totals!F1105,1)&amp;"_"&amp;LEFT(G1105,1)&amp;"_"&amp;COUNTIF($G$3:G1105,G1105)</f>
        <v>#N/A</v>
      </c>
      <c r="C1105" s="193">
        <v>2025</v>
      </c>
      <c r="D1105" s="193">
        <f>Introduction!$D$7</f>
        <v>0</v>
      </c>
      <c r="E1105" s="193">
        <f>Introduction!$D$8</f>
        <v>0</v>
      </c>
      <c r="F1105" s="193" t="s">
        <v>488</v>
      </c>
      <c r="G1105" s="193" t="s">
        <v>208</v>
      </c>
      <c r="H1105" s="193">
        <f>'Buildings - Water'!B51</f>
        <v>0</v>
      </c>
      <c r="I1105" s="193">
        <f>'Buildings - Water'!C51</f>
        <v>0</v>
      </c>
      <c r="J1105" s="193" t="str">
        <f>'Buildings - Water'!D51</f>
        <v/>
      </c>
      <c r="K1105" s="237"/>
      <c r="L1105" s="237"/>
      <c r="M1105" s="193" t="str">
        <f>'Buildings - Water'!E51</f>
        <v/>
      </c>
      <c r="N1105" s="193">
        <f>'Buildings - Water'!F51</f>
        <v>0</v>
      </c>
      <c r="O1105" s="237"/>
      <c r="P1105" s="193">
        <f>'Buildings - Water'!G51</f>
        <v>0</v>
      </c>
      <c r="Q1105" s="193" t="str">
        <f>'Buildings - Water'!H51</f>
        <v/>
      </c>
      <c r="R1105" s="193">
        <f>'Buildings - Water'!I51</f>
        <v>0</v>
      </c>
      <c r="S1105" s="193">
        <f>'Buildings - Water'!J51</f>
        <v>0</v>
      </c>
      <c r="T1105" s="193" t="str">
        <f>'Buildings - Water'!K51</f>
        <v/>
      </c>
      <c r="U1105" s="193" t="str">
        <f>'Buildings - Water'!L51</f>
        <v/>
      </c>
      <c r="V1105" s="193" t="str">
        <f>'Buildings - Water'!M51</f>
        <v/>
      </c>
      <c r="W1105" s="193" t="str">
        <f>'Buildings - Water'!N51</f>
        <v/>
      </c>
      <c r="X1105" s="193">
        <f>'Buildings - Water'!O51</f>
        <v>0</v>
      </c>
      <c r="Y1105" s="193">
        <f>'Buildings - Water'!P51</f>
        <v>0</v>
      </c>
      <c r="Z1105" s="193" t="str">
        <f>'Buildings - Water'!Q51</f>
        <v/>
      </c>
      <c r="AA1105" s="193" t="str">
        <f>'Buildings - Water'!R51</f>
        <v/>
      </c>
      <c r="AB1105" s="193" t="str">
        <f>'Buildings - Water'!S51</f>
        <v/>
      </c>
      <c r="AC1105" s="193" t="str">
        <f>'Buildings - Water'!T51</f>
        <v/>
      </c>
      <c r="AD1105" s="193" t="str">
        <f>'Buildings - Water'!U51</f>
        <v/>
      </c>
      <c r="AE1105" s="193" t="str">
        <f>'Buildings - Water'!V51</f>
        <v/>
      </c>
      <c r="AF1105" s="193" t="str">
        <f>'Buildings - Water'!W51</f>
        <v/>
      </c>
      <c r="AG1105" s="193" t="str">
        <f>'Buildings - Water'!X51</f>
        <v/>
      </c>
      <c r="AI1105" s="193">
        <f t="shared" si="18"/>
        <v>0</v>
      </c>
      <c r="AJ1105" s="193">
        <f t="shared" si="19"/>
        <v>0</v>
      </c>
    </row>
    <row r="1106" spans="2:36" x14ac:dyDescent="0.35">
      <c r="B1106" s="193" t="e">
        <f>"2024"&amp;MATCH(Totals!D1106,OrgType,0)&amp;"_"&amp;MATCH(Totals!E1106,Organisations,0)&amp;"_"&amp;LEFT(Totals!F1106,1)&amp;"_"&amp;LEFT(G1106,1)&amp;"_"&amp;COUNTIF($G$3:G1106,G1106)</f>
        <v>#N/A</v>
      </c>
      <c r="C1106" s="193">
        <v>2025</v>
      </c>
      <c r="D1106" s="193">
        <f>Introduction!$D$7</f>
        <v>0</v>
      </c>
      <c r="E1106" s="193">
        <f>Introduction!$D$8</f>
        <v>0</v>
      </c>
      <c r="F1106" s="193" t="s">
        <v>488</v>
      </c>
      <c r="G1106" s="193" t="s">
        <v>208</v>
      </c>
      <c r="H1106" s="193">
        <f>'Buildings - Water'!B52</f>
        <v>0</v>
      </c>
      <c r="I1106" s="193">
        <f>'Buildings - Water'!C52</f>
        <v>0</v>
      </c>
      <c r="J1106" s="193" t="str">
        <f>'Buildings - Water'!D52</f>
        <v/>
      </c>
      <c r="K1106" s="237"/>
      <c r="L1106" s="237"/>
      <c r="M1106" s="193" t="str">
        <f>'Buildings - Water'!E52</f>
        <v/>
      </c>
      <c r="N1106" s="193">
        <f>'Buildings - Water'!F52</f>
        <v>0</v>
      </c>
      <c r="O1106" s="237"/>
      <c r="P1106" s="193">
        <f>'Buildings - Water'!G52</f>
        <v>0</v>
      </c>
      <c r="Q1106" s="193" t="str">
        <f>'Buildings - Water'!H52</f>
        <v/>
      </c>
      <c r="R1106" s="193">
        <f>'Buildings - Water'!I52</f>
        <v>0</v>
      </c>
      <c r="S1106" s="193">
        <f>'Buildings - Water'!J52</f>
        <v>0</v>
      </c>
      <c r="T1106" s="193" t="str">
        <f>'Buildings - Water'!K52</f>
        <v/>
      </c>
      <c r="U1106" s="193" t="str">
        <f>'Buildings - Water'!L52</f>
        <v/>
      </c>
      <c r="V1106" s="193" t="str">
        <f>'Buildings - Water'!M52</f>
        <v/>
      </c>
      <c r="W1106" s="193" t="str">
        <f>'Buildings - Water'!N52</f>
        <v/>
      </c>
      <c r="X1106" s="193">
        <f>'Buildings - Water'!O52</f>
        <v>0</v>
      </c>
      <c r="Y1106" s="193">
        <f>'Buildings - Water'!P52</f>
        <v>0</v>
      </c>
      <c r="Z1106" s="193" t="str">
        <f>'Buildings - Water'!Q52</f>
        <v/>
      </c>
      <c r="AA1106" s="193" t="str">
        <f>'Buildings - Water'!R52</f>
        <v/>
      </c>
      <c r="AB1106" s="193" t="str">
        <f>'Buildings - Water'!S52</f>
        <v/>
      </c>
      <c r="AC1106" s="193" t="str">
        <f>'Buildings - Water'!T52</f>
        <v/>
      </c>
      <c r="AD1106" s="193" t="str">
        <f>'Buildings - Water'!U52</f>
        <v/>
      </c>
      <c r="AE1106" s="193" t="str">
        <f>'Buildings - Water'!V52</f>
        <v/>
      </c>
      <c r="AF1106" s="193" t="str">
        <f>'Buildings - Water'!W52</f>
        <v/>
      </c>
      <c r="AG1106" s="193" t="str">
        <f>'Buildings - Water'!X52</f>
        <v/>
      </c>
      <c r="AI1106" s="193">
        <f t="shared" si="18"/>
        <v>0</v>
      </c>
      <c r="AJ1106" s="193">
        <f t="shared" si="19"/>
        <v>0</v>
      </c>
    </row>
    <row r="1107" spans="2:36" x14ac:dyDescent="0.35">
      <c r="B1107" s="193" t="e">
        <f>"2024"&amp;MATCH(Totals!D1107,OrgType,0)&amp;"_"&amp;MATCH(Totals!E1107,Organisations,0)&amp;"_"&amp;LEFT(Totals!F1107,1)&amp;"_"&amp;LEFT(G1107,1)&amp;"_"&amp;COUNTIF($G$3:G1107,G1107)</f>
        <v>#N/A</v>
      </c>
      <c r="C1107" s="193">
        <v>2025</v>
      </c>
      <c r="D1107" s="193">
        <f>Introduction!$D$7</f>
        <v>0</v>
      </c>
      <c r="E1107" s="193">
        <f>Introduction!$D$8</f>
        <v>0</v>
      </c>
      <c r="F1107" s="193" t="s">
        <v>488</v>
      </c>
      <c r="G1107" s="193" t="s">
        <v>208</v>
      </c>
      <c r="H1107" s="193">
        <f>'Buildings - Water'!B53</f>
        <v>0</v>
      </c>
      <c r="I1107" s="193">
        <f>'Buildings - Water'!C53</f>
        <v>0</v>
      </c>
      <c r="J1107" s="193" t="str">
        <f>'Buildings - Water'!D53</f>
        <v/>
      </c>
      <c r="K1107" s="237"/>
      <c r="L1107" s="237"/>
      <c r="M1107" s="193" t="str">
        <f>'Buildings - Water'!E53</f>
        <v/>
      </c>
      <c r="N1107" s="193">
        <f>'Buildings - Water'!F53</f>
        <v>0</v>
      </c>
      <c r="O1107" s="237"/>
      <c r="P1107" s="193">
        <f>'Buildings - Water'!G53</f>
        <v>0</v>
      </c>
      <c r="Q1107" s="193" t="str">
        <f>'Buildings - Water'!H53</f>
        <v/>
      </c>
      <c r="R1107" s="193">
        <f>'Buildings - Water'!I53</f>
        <v>0</v>
      </c>
      <c r="S1107" s="193">
        <f>'Buildings - Water'!J53</f>
        <v>0</v>
      </c>
      <c r="T1107" s="193" t="str">
        <f>'Buildings - Water'!K53</f>
        <v/>
      </c>
      <c r="U1107" s="193" t="str">
        <f>'Buildings - Water'!L53</f>
        <v/>
      </c>
      <c r="V1107" s="193" t="str">
        <f>'Buildings - Water'!M53</f>
        <v/>
      </c>
      <c r="W1107" s="193" t="str">
        <f>'Buildings - Water'!N53</f>
        <v/>
      </c>
      <c r="X1107" s="193">
        <f>'Buildings - Water'!O53</f>
        <v>0</v>
      </c>
      <c r="Y1107" s="193">
        <f>'Buildings - Water'!P53</f>
        <v>0</v>
      </c>
      <c r="Z1107" s="193" t="str">
        <f>'Buildings - Water'!Q53</f>
        <v/>
      </c>
      <c r="AA1107" s="193" t="str">
        <f>'Buildings - Water'!R53</f>
        <v/>
      </c>
      <c r="AB1107" s="193" t="str">
        <f>'Buildings - Water'!S53</f>
        <v/>
      </c>
      <c r="AC1107" s="193" t="str">
        <f>'Buildings - Water'!T53</f>
        <v/>
      </c>
      <c r="AD1107" s="193" t="str">
        <f>'Buildings - Water'!U53</f>
        <v/>
      </c>
      <c r="AE1107" s="193" t="str">
        <f>'Buildings - Water'!V53</f>
        <v/>
      </c>
      <c r="AF1107" s="193" t="str">
        <f>'Buildings - Water'!W53</f>
        <v/>
      </c>
      <c r="AG1107" s="193" t="str">
        <f>'Buildings - Water'!X53</f>
        <v/>
      </c>
      <c r="AI1107" s="193">
        <f t="shared" si="18"/>
        <v>0</v>
      </c>
      <c r="AJ1107" s="193">
        <f t="shared" si="19"/>
        <v>0</v>
      </c>
    </row>
    <row r="1108" spans="2:36" x14ac:dyDescent="0.35">
      <c r="B1108" s="193" t="e">
        <f>"2024"&amp;MATCH(Totals!D1108,OrgType,0)&amp;"_"&amp;MATCH(Totals!E1108,Organisations,0)&amp;"_"&amp;LEFT(Totals!F1108,1)&amp;"_"&amp;LEFT(G1108,1)&amp;"_"&amp;COUNTIF($G$3:G1108,G1108)</f>
        <v>#N/A</v>
      </c>
      <c r="C1108" s="193">
        <v>2025</v>
      </c>
      <c r="D1108" s="193">
        <f>Introduction!$D$7</f>
        <v>0</v>
      </c>
      <c r="E1108" s="193">
        <f>Introduction!$D$8</f>
        <v>0</v>
      </c>
      <c r="F1108" s="193" t="s">
        <v>488</v>
      </c>
      <c r="G1108" s="193" t="s">
        <v>208</v>
      </c>
      <c r="H1108" s="193">
        <f>'Buildings - Water'!B54</f>
        <v>0</v>
      </c>
      <c r="I1108" s="193">
        <f>'Buildings - Water'!C54</f>
        <v>0</v>
      </c>
      <c r="J1108" s="193" t="str">
        <f>'Buildings - Water'!D54</f>
        <v/>
      </c>
      <c r="K1108" s="237"/>
      <c r="L1108" s="237"/>
      <c r="M1108" s="193" t="str">
        <f>'Buildings - Water'!E54</f>
        <v/>
      </c>
      <c r="N1108" s="193">
        <f>'Buildings - Water'!F54</f>
        <v>0</v>
      </c>
      <c r="O1108" s="237"/>
      <c r="P1108" s="193">
        <f>'Buildings - Water'!G54</f>
        <v>0</v>
      </c>
      <c r="Q1108" s="193" t="str">
        <f>'Buildings - Water'!H54</f>
        <v/>
      </c>
      <c r="R1108" s="193">
        <f>'Buildings - Water'!I54</f>
        <v>0</v>
      </c>
      <c r="S1108" s="193">
        <f>'Buildings - Water'!J54</f>
        <v>0</v>
      </c>
      <c r="T1108" s="193" t="str">
        <f>'Buildings - Water'!K54</f>
        <v/>
      </c>
      <c r="U1108" s="193" t="str">
        <f>'Buildings - Water'!L54</f>
        <v/>
      </c>
      <c r="V1108" s="193" t="str">
        <f>'Buildings - Water'!M54</f>
        <v/>
      </c>
      <c r="W1108" s="193" t="str">
        <f>'Buildings - Water'!N54</f>
        <v/>
      </c>
      <c r="X1108" s="193">
        <f>'Buildings - Water'!O54</f>
        <v>0</v>
      </c>
      <c r="Y1108" s="193">
        <f>'Buildings - Water'!P54</f>
        <v>0</v>
      </c>
      <c r="Z1108" s="193" t="str">
        <f>'Buildings - Water'!Q54</f>
        <v/>
      </c>
      <c r="AA1108" s="193" t="str">
        <f>'Buildings - Water'!R54</f>
        <v/>
      </c>
      <c r="AB1108" s="193" t="str">
        <f>'Buildings - Water'!S54</f>
        <v/>
      </c>
      <c r="AC1108" s="193" t="str">
        <f>'Buildings - Water'!T54</f>
        <v/>
      </c>
      <c r="AD1108" s="193" t="str">
        <f>'Buildings - Water'!U54</f>
        <v/>
      </c>
      <c r="AE1108" s="193" t="str">
        <f>'Buildings - Water'!V54</f>
        <v/>
      </c>
      <c r="AF1108" s="193" t="str">
        <f>'Buildings - Water'!W54</f>
        <v/>
      </c>
      <c r="AG1108" s="193" t="str">
        <f>'Buildings - Water'!X54</f>
        <v/>
      </c>
      <c r="AI1108" s="193">
        <f t="shared" si="18"/>
        <v>0</v>
      </c>
      <c r="AJ1108" s="193">
        <f t="shared" si="19"/>
        <v>0</v>
      </c>
    </row>
    <row r="1109" spans="2:36" x14ac:dyDescent="0.35">
      <c r="B1109" s="193" t="e">
        <f>"2024"&amp;MATCH(Totals!D1109,OrgType,0)&amp;"_"&amp;MATCH(Totals!E1109,Organisations,0)&amp;"_"&amp;LEFT(Totals!F1109,1)&amp;"_"&amp;LEFT(G1109,1)&amp;"_"&amp;COUNTIF($G$3:G1109,G1109)</f>
        <v>#N/A</v>
      </c>
      <c r="C1109" s="193">
        <v>2025</v>
      </c>
      <c r="D1109" s="193">
        <f>Introduction!$D$7</f>
        <v>0</v>
      </c>
      <c r="E1109" s="193">
        <f>Introduction!$D$8</f>
        <v>0</v>
      </c>
      <c r="F1109" s="193" t="s">
        <v>488</v>
      </c>
      <c r="G1109" s="193" t="s">
        <v>208</v>
      </c>
      <c r="H1109" s="193">
        <f>'Buildings - Water'!B55</f>
        <v>0</v>
      </c>
      <c r="I1109" s="193">
        <f>'Buildings - Water'!C55</f>
        <v>0</v>
      </c>
      <c r="J1109" s="193" t="str">
        <f>'Buildings - Water'!D55</f>
        <v/>
      </c>
      <c r="K1109" s="237"/>
      <c r="L1109" s="237"/>
      <c r="M1109" s="193" t="str">
        <f>'Buildings - Water'!E55</f>
        <v/>
      </c>
      <c r="N1109" s="193">
        <f>'Buildings - Water'!F55</f>
        <v>0</v>
      </c>
      <c r="O1109" s="237"/>
      <c r="P1109" s="193">
        <f>'Buildings - Water'!G55</f>
        <v>0</v>
      </c>
      <c r="Q1109" s="193" t="str">
        <f>'Buildings - Water'!H55</f>
        <v/>
      </c>
      <c r="R1109" s="193">
        <f>'Buildings - Water'!I55</f>
        <v>0</v>
      </c>
      <c r="S1109" s="193">
        <f>'Buildings - Water'!J55</f>
        <v>0</v>
      </c>
      <c r="T1109" s="193" t="str">
        <f>'Buildings - Water'!K55</f>
        <v/>
      </c>
      <c r="U1109" s="193" t="str">
        <f>'Buildings - Water'!L55</f>
        <v/>
      </c>
      <c r="V1109" s="193" t="str">
        <f>'Buildings - Water'!M55</f>
        <v/>
      </c>
      <c r="W1109" s="193" t="str">
        <f>'Buildings - Water'!N55</f>
        <v/>
      </c>
      <c r="X1109" s="193">
        <f>'Buildings - Water'!O55</f>
        <v>0</v>
      </c>
      <c r="Y1109" s="193">
        <f>'Buildings - Water'!P55</f>
        <v>0</v>
      </c>
      <c r="Z1109" s="193" t="str">
        <f>'Buildings - Water'!Q55</f>
        <v/>
      </c>
      <c r="AA1109" s="193" t="str">
        <f>'Buildings - Water'!R55</f>
        <v/>
      </c>
      <c r="AB1109" s="193" t="str">
        <f>'Buildings - Water'!S55</f>
        <v/>
      </c>
      <c r="AC1109" s="193" t="str">
        <f>'Buildings - Water'!T55</f>
        <v/>
      </c>
      <c r="AD1109" s="193" t="str">
        <f>'Buildings - Water'!U55</f>
        <v/>
      </c>
      <c r="AE1109" s="193" t="str">
        <f>'Buildings - Water'!V55</f>
        <v/>
      </c>
      <c r="AF1109" s="193" t="str">
        <f>'Buildings - Water'!W55</f>
        <v/>
      </c>
      <c r="AG1109" s="193" t="str">
        <f>'Buildings - Water'!X55</f>
        <v/>
      </c>
      <c r="AI1109" s="193">
        <f t="shared" si="18"/>
        <v>0</v>
      </c>
      <c r="AJ1109" s="193">
        <f t="shared" si="19"/>
        <v>0</v>
      </c>
    </row>
    <row r="1110" spans="2:36" x14ac:dyDescent="0.35">
      <c r="B1110" s="193" t="e">
        <f>"2024"&amp;MATCH(Totals!D1110,OrgType,0)&amp;"_"&amp;MATCH(Totals!E1110,Organisations,0)&amp;"_"&amp;LEFT(Totals!F1110,1)&amp;"_"&amp;LEFT(G1110,1)&amp;"_"&amp;COUNTIF($G$3:G1110,G1110)</f>
        <v>#N/A</v>
      </c>
      <c r="C1110" s="193">
        <v>2025</v>
      </c>
      <c r="D1110" s="193">
        <f>Introduction!$D$7</f>
        <v>0</v>
      </c>
      <c r="E1110" s="193">
        <f>Introduction!$D$8</f>
        <v>0</v>
      </c>
      <c r="F1110" s="193" t="s">
        <v>488</v>
      </c>
      <c r="G1110" s="193" t="s">
        <v>208</v>
      </c>
      <c r="H1110" s="193">
        <f>'Buildings - Water'!B56</f>
        <v>0</v>
      </c>
      <c r="I1110" s="193">
        <f>'Buildings - Water'!C56</f>
        <v>0</v>
      </c>
      <c r="J1110" s="193" t="str">
        <f>'Buildings - Water'!D56</f>
        <v/>
      </c>
      <c r="K1110" s="237"/>
      <c r="L1110" s="237"/>
      <c r="M1110" s="193" t="str">
        <f>'Buildings - Water'!E56</f>
        <v/>
      </c>
      <c r="N1110" s="193">
        <f>'Buildings - Water'!F56</f>
        <v>0</v>
      </c>
      <c r="O1110" s="237"/>
      <c r="P1110" s="193">
        <f>'Buildings - Water'!G56</f>
        <v>0</v>
      </c>
      <c r="Q1110" s="193" t="str">
        <f>'Buildings - Water'!H56</f>
        <v/>
      </c>
      <c r="R1110" s="193">
        <f>'Buildings - Water'!I56</f>
        <v>0</v>
      </c>
      <c r="S1110" s="193">
        <f>'Buildings - Water'!J56</f>
        <v>0</v>
      </c>
      <c r="T1110" s="193" t="str">
        <f>'Buildings - Water'!K56</f>
        <v/>
      </c>
      <c r="U1110" s="193" t="str">
        <f>'Buildings - Water'!L56</f>
        <v/>
      </c>
      <c r="V1110" s="193" t="str">
        <f>'Buildings - Water'!M56</f>
        <v/>
      </c>
      <c r="W1110" s="193" t="str">
        <f>'Buildings - Water'!N56</f>
        <v/>
      </c>
      <c r="X1110" s="193">
        <f>'Buildings - Water'!O56</f>
        <v>0</v>
      </c>
      <c r="Y1110" s="193">
        <f>'Buildings - Water'!P56</f>
        <v>0</v>
      </c>
      <c r="Z1110" s="193" t="str">
        <f>'Buildings - Water'!Q56</f>
        <v/>
      </c>
      <c r="AA1110" s="193" t="str">
        <f>'Buildings - Water'!R56</f>
        <v/>
      </c>
      <c r="AB1110" s="193" t="str">
        <f>'Buildings - Water'!S56</f>
        <v/>
      </c>
      <c r="AC1110" s="193" t="str">
        <f>'Buildings - Water'!T56</f>
        <v/>
      </c>
      <c r="AD1110" s="193" t="str">
        <f>'Buildings - Water'!U56</f>
        <v/>
      </c>
      <c r="AE1110" s="193" t="str">
        <f>'Buildings - Water'!V56</f>
        <v/>
      </c>
      <c r="AF1110" s="193" t="str">
        <f>'Buildings - Water'!W56</f>
        <v/>
      </c>
      <c r="AG1110" s="193" t="str">
        <f>'Buildings - Water'!X56</f>
        <v/>
      </c>
      <c r="AI1110" s="193">
        <f t="shared" si="18"/>
        <v>0</v>
      </c>
      <c r="AJ1110" s="193">
        <f t="shared" si="19"/>
        <v>0</v>
      </c>
    </row>
    <row r="1111" spans="2:36" x14ac:dyDescent="0.35">
      <c r="B1111" s="193" t="e">
        <f>"2024"&amp;MATCH(Totals!D1111,OrgType,0)&amp;"_"&amp;MATCH(Totals!E1111,Organisations,0)&amp;"_"&amp;LEFT(Totals!F1111,1)&amp;"_"&amp;LEFT(G1111,1)&amp;"_"&amp;COUNTIF($G$3:G1111,G1111)</f>
        <v>#N/A</v>
      </c>
      <c r="C1111" s="193">
        <v>2025</v>
      </c>
      <c r="D1111" s="193">
        <f>Introduction!$D$7</f>
        <v>0</v>
      </c>
      <c r="E1111" s="193">
        <f>Introduction!$D$8</f>
        <v>0</v>
      </c>
      <c r="F1111" s="193" t="s">
        <v>488</v>
      </c>
      <c r="G1111" s="193" t="s">
        <v>208</v>
      </c>
      <c r="H1111" s="193">
        <f>'Buildings - Water'!B57</f>
        <v>0</v>
      </c>
      <c r="I1111" s="193">
        <f>'Buildings - Water'!C57</f>
        <v>0</v>
      </c>
      <c r="J1111" s="193" t="str">
        <f>'Buildings - Water'!D57</f>
        <v/>
      </c>
      <c r="K1111" s="237"/>
      <c r="L1111" s="237"/>
      <c r="M1111" s="193" t="str">
        <f>'Buildings - Water'!E57</f>
        <v/>
      </c>
      <c r="N1111" s="193">
        <f>'Buildings - Water'!F57</f>
        <v>0</v>
      </c>
      <c r="O1111" s="237"/>
      <c r="P1111" s="193">
        <f>'Buildings - Water'!G57</f>
        <v>0</v>
      </c>
      <c r="Q1111" s="193" t="str">
        <f>'Buildings - Water'!H57</f>
        <v/>
      </c>
      <c r="R1111" s="193">
        <f>'Buildings - Water'!I57</f>
        <v>0</v>
      </c>
      <c r="S1111" s="193">
        <f>'Buildings - Water'!J57</f>
        <v>0</v>
      </c>
      <c r="T1111" s="193" t="str">
        <f>'Buildings - Water'!K57</f>
        <v/>
      </c>
      <c r="U1111" s="193" t="str">
        <f>'Buildings - Water'!L57</f>
        <v/>
      </c>
      <c r="V1111" s="193" t="str">
        <f>'Buildings - Water'!M57</f>
        <v/>
      </c>
      <c r="W1111" s="193" t="str">
        <f>'Buildings - Water'!N57</f>
        <v/>
      </c>
      <c r="X1111" s="193">
        <f>'Buildings - Water'!O57</f>
        <v>0</v>
      </c>
      <c r="Y1111" s="193">
        <f>'Buildings - Water'!P57</f>
        <v>0</v>
      </c>
      <c r="Z1111" s="193" t="str">
        <f>'Buildings - Water'!Q57</f>
        <v/>
      </c>
      <c r="AA1111" s="193" t="str">
        <f>'Buildings - Water'!R57</f>
        <v/>
      </c>
      <c r="AB1111" s="193" t="str">
        <f>'Buildings - Water'!S57</f>
        <v/>
      </c>
      <c r="AC1111" s="193" t="str">
        <f>'Buildings - Water'!T57</f>
        <v/>
      </c>
      <c r="AD1111" s="193" t="str">
        <f>'Buildings - Water'!U57</f>
        <v/>
      </c>
      <c r="AE1111" s="193" t="str">
        <f>'Buildings - Water'!V57</f>
        <v/>
      </c>
      <c r="AF1111" s="193" t="str">
        <f>'Buildings - Water'!W57</f>
        <v/>
      </c>
      <c r="AG1111" s="193" t="str">
        <f>'Buildings - Water'!X57</f>
        <v/>
      </c>
      <c r="AI1111" s="193">
        <f t="shared" si="18"/>
        <v>0</v>
      </c>
      <c r="AJ1111" s="193">
        <f t="shared" si="19"/>
        <v>0</v>
      </c>
    </row>
    <row r="1112" spans="2:36" x14ac:dyDescent="0.35">
      <c r="B1112" s="193" t="e">
        <f>"2024"&amp;MATCH(Totals!D1112,OrgType,0)&amp;"_"&amp;MATCH(Totals!E1112,Organisations,0)&amp;"_"&amp;LEFT(Totals!F1112,1)&amp;"_"&amp;LEFT(G1112,1)&amp;"_"&amp;COUNTIF($G$3:G1112,G1112)</f>
        <v>#N/A</v>
      </c>
      <c r="C1112" s="193">
        <v>2025</v>
      </c>
      <c r="D1112" s="193">
        <f>Introduction!$D$7</f>
        <v>0</v>
      </c>
      <c r="E1112" s="193">
        <f>Introduction!$D$8</f>
        <v>0</v>
      </c>
      <c r="F1112" s="193" t="s">
        <v>488</v>
      </c>
      <c r="G1112" s="193" t="s">
        <v>208</v>
      </c>
      <c r="H1112" s="193">
        <f>'Buildings - Water'!B58</f>
        <v>0</v>
      </c>
      <c r="I1112" s="193">
        <f>'Buildings - Water'!C58</f>
        <v>0</v>
      </c>
      <c r="J1112" s="193" t="str">
        <f>'Buildings - Water'!D58</f>
        <v/>
      </c>
      <c r="K1112" s="237"/>
      <c r="L1112" s="237"/>
      <c r="M1112" s="193" t="str">
        <f>'Buildings - Water'!E58</f>
        <v/>
      </c>
      <c r="N1112" s="193">
        <f>'Buildings - Water'!F58</f>
        <v>0</v>
      </c>
      <c r="O1112" s="237"/>
      <c r="P1112" s="193">
        <f>'Buildings - Water'!G58</f>
        <v>0</v>
      </c>
      <c r="Q1112" s="193" t="str">
        <f>'Buildings - Water'!H58</f>
        <v/>
      </c>
      <c r="R1112" s="193">
        <f>'Buildings - Water'!I58</f>
        <v>0</v>
      </c>
      <c r="S1112" s="193">
        <f>'Buildings - Water'!J58</f>
        <v>0</v>
      </c>
      <c r="T1112" s="193" t="str">
        <f>'Buildings - Water'!K58</f>
        <v/>
      </c>
      <c r="U1112" s="193" t="str">
        <f>'Buildings - Water'!L58</f>
        <v/>
      </c>
      <c r="V1112" s="193" t="str">
        <f>'Buildings - Water'!M58</f>
        <v/>
      </c>
      <c r="W1112" s="193" t="str">
        <f>'Buildings - Water'!N58</f>
        <v/>
      </c>
      <c r="X1112" s="193">
        <f>'Buildings - Water'!O58</f>
        <v>0</v>
      </c>
      <c r="Y1112" s="193">
        <f>'Buildings - Water'!P58</f>
        <v>0</v>
      </c>
      <c r="Z1112" s="193" t="str">
        <f>'Buildings - Water'!Q58</f>
        <v/>
      </c>
      <c r="AA1112" s="193" t="str">
        <f>'Buildings - Water'!R58</f>
        <v/>
      </c>
      <c r="AB1112" s="193" t="str">
        <f>'Buildings - Water'!S58</f>
        <v/>
      </c>
      <c r="AC1112" s="193" t="str">
        <f>'Buildings - Water'!T58</f>
        <v/>
      </c>
      <c r="AD1112" s="193" t="str">
        <f>'Buildings - Water'!U58</f>
        <v/>
      </c>
      <c r="AE1112" s="193" t="str">
        <f>'Buildings - Water'!V58</f>
        <v/>
      </c>
      <c r="AF1112" s="193" t="str">
        <f>'Buildings - Water'!W58</f>
        <v/>
      </c>
      <c r="AG1112" s="193" t="str">
        <f>'Buildings - Water'!X58</f>
        <v/>
      </c>
      <c r="AI1112" s="193">
        <f t="shared" si="18"/>
        <v>0</v>
      </c>
      <c r="AJ1112" s="193">
        <f t="shared" si="19"/>
        <v>0</v>
      </c>
    </row>
    <row r="1113" spans="2:36" x14ac:dyDescent="0.35">
      <c r="B1113" s="193" t="e">
        <f>"2024"&amp;MATCH(Totals!D1113,OrgType,0)&amp;"_"&amp;MATCH(Totals!E1113,Organisations,0)&amp;"_"&amp;LEFT(Totals!F1113,1)&amp;"_"&amp;LEFT(G1113,1)&amp;"_"&amp;COUNTIF($G$3:G1113,G1113)</f>
        <v>#N/A</v>
      </c>
      <c r="C1113" s="193">
        <v>2025</v>
      </c>
      <c r="D1113" s="193">
        <f>Introduction!$D$7</f>
        <v>0</v>
      </c>
      <c r="E1113" s="193">
        <f>Introduction!$D$8</f>
        <v>0</v>
      </c>
      <c r="F1113" s="193" t="s">
        <v>488</v>
      </c>
      <c r="G1113" s="193" t="s">
        <v>208</v>
      </c>
      <c r="H1113" s="193">
        <f>'Buildings - Water'!B59</f>
        <v>0</v>
      </c>
      <c r="I1113" s="193">
        <f>'Buildings - Water'!C59</f>
        <v>0</v>
      </c>
      <c r="J1113" s="193" t="str">
        <f>'Buildings - Water'!D59</f>
        <v/>
      </c>
      <c r="K1113" s="237"/>
      <c r="L1113" s="237"/>
      <c r="M1113" s="193" t="str">
        <f>'Buildings - Water'!E59</f>
        <v/>
      </c>
      <c r="N1113" s="193">
        <f>'Buildings - Water'!F59</f>
        <v>0</v>
      </c>
      <c r="O1113" s="237"/>
      <c r="P1113" s="193">
        <f>'Buildings - Water'!G59</f>
        <v>0</v>
      </c>
      <c r="Q1113" s="193" t="str">
        <f>'Buildings - Water'!H59</f>
        <v/>
      </c>
      <c r="R1113" s="193">
        <f>'Buildings - Water'!I59</f>
        <v>0</v>
      </c>
      <c r="S1113" s="193">
        <f>'Buildings - Water'!J59</f>
        <v>0</v>
      </c>
      <c r="T1113" s="193" t="str">
        <f>'Buildings - Water'!K59</f>
        <v/>
      </c>
      <c r="U1113" s="193" t="str">
        <f>'Buildings - Water'!L59</f>
        <v/>
      </c>
      <c r="V1113" s="193" t="str">
        <f>'Buildings - Water'!M59</f>
        <v/>
      </c>
      <c r="W1113" s="193" t="str">
        <f>'Buildings - Water'!N59</f>
        <v/>
      </c>
      <c r="X1113" s="193">
        <f>'Buildings - Water'!O59</f>
        <v>0</v>
      </c>
      <c r="Y1113" s="193">
        <f>'Buildings - Water'!P59</f>
        <v>0</v>
      </c>
      <c r="Z1113" s="193" t="str">
        <f>'Buildings - Water'!Q59</f>
        <v/>
      </c>
      <c r="AA1113" s="193" t="str">
        <f>'Buildings - Water'!R59</f>
        <v/>
      </c>
      <c r="AB1113" s="193" t="str">
        <f>'Buildings - Water'!S59</f>
        <v/>
      </c>
      <c r="AC1113" s="193" t="str">
        <f>'Buildings - Water'!T59</f>
        <v/>
      </c>
      <c r="AD1113" s="193" t="str">
        <f>'Buildings - Water'!U59</f>
        <v/>
      </c>
      <c r="AE1113" s="193" t="str">
        <f>'Buildings - Water'!V59</f>
        <v/>
      </c>
      <c r="AF1113" s="193" t="str">
        <f>'Buildings - Water'!W59</f>
        <v/>
      </c>
      <c r="AG1113" s="193" t="str">
        <f>'Buildings - Water'!X59</f>
        <v/>
      </c>
      <c r="AI1113" s="193">
        <f t="shared" si="18"/>
        <v>0</v>
      </c>
      <c r="AJ1113" s="193">
        <f t="shared" si="19"/>
        <v>0</v>
      </c>
    </row>
    <row r="1114" spans="2:36" x14ac:dyDescent="0.35">
      <c r="B1114" s="193" t="e">
        <f>"2024"&amp;MATCH(Totals!D1114,OrgType,0)&amp;"_"&amp;MATCH(Totals!E1114,Organisations,0)&amp;"_"&amp;LEFT(Totals!F1114,1)&amp;"_"&amp;LEFT(G1114,1)&amp;"_"&amp;COUNTIF($G$3:G1114,G1114)</f>
        <v>#N/A</v>
      </c>
      <c r="C1114" s="193">
        <v>2025</v>
      </c>
      <c r="D1114" s="193">
        <f>Introduction!$D$7</f>
        <v>0</v>
      </c>
      <c r="E1114" s="193">
        <f>Introduction!$D$8</f>
        <v>0</v>
      </c>
      <c r="F1114" s="193" t="s">
        <v>488</v>
      </c>
      <c r="G1114" s="193" t="s">
        <v>208</v>
      </c>
      <c r="H1114" s="193">
        <f>'Buildings - Water'!B60</f>
        <v>0</v>
      </c>
      <c r="I1114" s="193">
        <f>'Buildings - Water'!C60</f>
        <v>0</v>
      </c>
      <c r="J1114" s="193" t="str">
        <f>'Buildings - Water'!D60</f>
        <v/>
      </c>
      <c r="K1114" s="237"/>
      <c r="L1114" s="237"/>
      <c r="M1114" s="193" t="str">
        <f>'Buildings - Water'!E60</f>
        <v/>
      </c>
      <c r="N1114" s="193">
        <f>'Buildings - Water'!F60</f>
        <v>0</v>
      </c>
      <c r="O1114" s="237"/>
      <c r="P1114" s="193">
        <f>'Buildings - Water'!G60</f>
        <v>0</v>
      </c>
      <c r="Q1114" s="193" t="str">
        <f>'Buildings - Water'!H60</f>
        <v/>
      </c>
      <c r="R1114" s="193">
        <f>'Buildings - Water'!I60</f>
        <v>0</v>
      </c>
      <c r="S1114" s="193">
        <f>'Buildings - Water'!J60</f>
        <v>0</v>
      </c>
      <c r="T1114" s="193" t="str">
        <f>'Buildings - Water'!K60</f>
        <v/>
      </c>
      <c r="U1114" s="193" t="str">
        <f>'Buildings - Water'!L60</f>
        <v/>
      </c>
      <c r="V1114" s="193" t="str">
        <f>'Buildings - Water'!M60</f>
        <v/>
      </c>
      <c r="W1114" s="193" t="str">
        <f>'Buildings - Water'!N60</f>
        <v/>
      </c>
      <c r="X1114" s="193">
        <f>'Buildings - Water'!O60</f>
        <v>0</v>
      </c>
      <c r="Y1114" s="193">
        <f>'Buildings - Water'!P60</f>
        <v>0</v>
      </c>
      <c r="Z1114" s="193" t="str">
        <f>'Buildings - Water'!Q60</f>
        <v/>
      </c>
      <c r="AA1114" s="193" t="str">
        <f>'Buildings - Water'!R60</f>
        <v/>
      </c>
      <c r="AB1114" s="193" t="str">
        <f>'Buildings - Water'!S60</f>
        <v/>
      </c>
      <c r="AC1114" s="193" t="str">
        <f>'Buildings - Water'!T60</f>
        <v/>
      </c>
      <c r="AD1114" s="193" t="str">
        <f>'Buildings - Water'!U60</f>
        <v/>
      </c>
      <c r="AE1114" s="193" t="str">
        <f>'Buildings - Water'!V60</f>
        <v/>
      </c>
      <c r="AF1114" s="193" t="str">
        <f>'Buildings - Water'!W60</f>
        <v/>
      </c>
      <c r="AG1114" s="193" t="str">
        <f>'Buildings - Water'!X60</f>
        <v/>
      </c>
      <c r="AI1114" s="193">
        <f t="shared" si="18"/>
        <v>0</v>
      </c>
      <c r="AJ1114" s="193">
        <f t="shared" si="19"/>
        <v>0</v>
      </c>
    </row>
    <row r="1115" spans="2:36" x14ac:dyDescent="0.35">
      <c r="B1115" s="193" t="e">
        <f>"2024"&amp;MATCH(Totals!D1115,OrgType,0)&amp;"_"&amp;MATCH(Totals!E1115,Organisations,0)&amp;"_"&amp;LEFT(Totals!F1115,1)&amp;"_"&amp;LEFT(G1115,1)&amp;"_"&amp;COUNTIF($G$3:G1115,G1115)</f>
        <v>#N/A</v>
      </c>
      <c r="C1115" s="193">
        <v>2025</v>
      </c>
      <c r="D1115" s="193">
        <f>Introduction!$D$7</f>
        <v>0</v>
      </c>
      <c r="E1115" s="193">
        <f>Introduction!$D$8</f>
        <v>0</v>
      </c>
      <c r="F1115" s="193" t="s">
        <v>488</v>
      </c>
      <c r="G1115" s="193" t="s">
        <v>208</v>
      </c>
      <c r="H1115" s="193">
        <f>'Buildings - Water'!B61</f>
        <v>0</v>
      </c>
      <c r="I1115" s="193">
        <f>'Buildings - Water'!C61</f>
        <v>0</v>
      </c>
      <c r="J1115" s="193" t="str">
        <f>'Buildings - Water'!D61</f>
        <v/>
      </c>
      <c r="K1115" s="237"/>
      <c r="L1115" s="237"/>
      <c r="M1115" s="193" t="str">
        <f>'Buildings - Water'!E61</f>
        <v/>
      </c>
      <c r="N1115" s="193">
        <f>'Buildings - Water'!F61</f>
        <v>0</v>
      </c>
      <c r="O1115" s="237"/>
      <c r="P1115" s="193">
        <f>'Buildings - Water'!G61</f>
        <v>0</v>
      </c>
      <c r="Q1115" s="193" t="str">
        <f>'Buildings - Water'!H61</f>
        <v/>
      </c>
      <c r="R1115" s="193">
        <f>'Buildings - Water'!I61</f>
        <v>0</v>
      </c>
      <c r="S1115" s="193">
        <f>'Buildings - Water'!J61</f>
        <v>0</v>
      </c>
      <c r="T1115" s="193" t="str">
        <f>'Buildings - Water'!K61</f>
        <v/>
      </c>
      <c r="U1115" s="193" t="str">
        <f>'Buildings - Water'!L61</f>
        <v/>
      </c>
      <c r="V1115" s="193" t="str">
        <f>'Buildings - Water'!M61</f>
        <v/>
      </c>
      <c r="W1115" s="193" t="str">
        <f>'Buildings - Water'!N61</f>
        <v/>
      </c>
      <c r="X1115" s="193">
        <f>'Buildings - Water'!O61</f>
        <v>0</v>
      </c>
      <c r="Y1115" s="193">
        <f>'Buildings - Water'!P61</f>
        <v>0</v>
      </c>
      <c r="Z1115" s="193" t="str">
        <f>'Buildings - Water'!Q61</f>
        <v/>
      </c>
      <c r="AA1115" s="193" t="str">
        <f>'Buildings - Water'!R61</f>
        <v/>
      </c>
      <c r="AB1115" s="193" t="str">
        <f>'Buildings - Water'!S61</f>
        <v/>
      </c>
      <c r="AC1115" s="193" t="str">
        <f>'Buildings - Water'!T61</f>
        <v/>
      </c>
      <c r="AD1115" s="193" t="str">
        <f>'Buildings - Water'!U61</f>
        <v/>
      </c>
      <c r="AE1115" s="193" t="str">
        <f>'Buildings - Water'!V61</f>
        <v/>
      </c>
      <c r="AF1115" s="193" t="str">
        <f>'Buildings - Water'!W61</f>
        <v/>
      </c>
      <c r="AG1115" s="193" t="str">
        <f>'Buildings - Water'!X61</f>
        <v/>
      </c>
      <c r="AI1115" s="193">
        <f t="shared" si="18"/>
        <v>0</v>
      </c>
      <c r="AJ1115" s="193">
        <f t="shared" si="19"/>
        <v>0</v>
      </c>
    </row>
    <row r="1116" spans="2:36" x14ac:dyDescent="0.35">
      <c r="B1116" s="193" t="e">
        <f>"2024"&amp;MATCH(Totals!D1116,OrgType,0)&amp;"_"&amp;MATCH(Totals!E1116,Organisations,0)&amp;"_"&amp;LEFT(Totals!F1116,1)&amp;"_"&amp;LEFT(G1116,1)&amp;"_"&amp;COUNTIF($G$3:G1116,G1116)</f>
        <v>#N/A</v>
      </c>
      <c r="C1116" s="193">
        <v>2025</v>
      </c>
      <c r="D1116" s="193">
        <f>Introduction!$D$7</f>
        <v>0</v>
      </c>
      <c r="E1116" s="193">
        <f>Introduction!$D$8</f>
        <v>0</v>
      </c>
      <c r="F1116" s="193" t="s">
        <v>488</v>
      </c>
      <c r="G1116" s="193" t="s">
        <v>208</v>
      </c>
      <c r="H1116" s="193">
        <f>'Buildings - Water'!B62</f>
        <v>0</v>
      </c>
      <c r="I1116" s="193">
        <f>'Buildings - Water'!C62</f>
        <v>0</v>
      </c>
      <c r="J1116" s="193" t="str">
        <f>'Buildings - Water'!D62</f>
        <v/>
      </c>
      <c r="K1116" s="237"/>
      <c r="L1116" s="237"/>
      <c r="M1116" s="193" t="str">
        <f>'Buildings - Water'!E62</f>
        <v/>
      </c>
      <c r="N1116" s="193">
        <f>'Buildings - Water'!F62</f>
        <v>0</v>
      </c>
      <c r="O1116" s="237"/>
      <c r="P1116" s="193">
        <f>'Buildings - Water'!G62</f>
        <v>0</v>
      </c>
      <c r="Q1116" s="193" t="str">
        <f>'Buildings - Water'!H62</f>
        <v/>
      </c>
      <c r="R1116" s="193">
        <f>'Buildings - Water'!I62</f>
        <v>0</v>
      </c>
      <c r="S1116" s="193">
        <f>'Buildings - Water'!J62</f>
        <v>0</v>
      </c>
      <c r="T1116" s="193" t="str">
        <f>'Buildings - Water'!K62</f>
        <v/>
      </c>
      <c r="U1116" s="193" t="str">
        <f>'Buildings - Water'!L62</f>
        <v/>
      </c>
      <c r="V1116" s="193" t="str">
        <f>'Buildings - Water'!M62</f>
        <v/>
      </c>
      <c r="W1116" s="193" t="str">
        <f>'Buildings - Water'!N62</f>
        <v/>
      </c>
      <c r="X1116" s="193">
        <f>'Buildings - Water'!O62</f>
        <v>0</v>
      </c>
      <c r="Y1116" s="193">
        <f>'Buildings - Water'!P62</f>
        <v>0</v>
      </c>
      <c r="Z1116" s="193" t="str">
        <f>'Buildings - Water'!Q62</f>
        <v/>
      </c>
      <c r="AA1116" s="193" t="str">
        <f>'Buildings - Water'!R62</f>
        <v/>
      </c>
      <c r="AB1116" s="193" t="str">
        <f>'Buildings - Water'!S62</f>
        <v/>
      </c>
      <c r="AC1116" s="193" t="str">
        <f>'Buildings - Water'!T62</f>
        <v/>
      </c>
      <c r="AD1116" s="193" t="str">
        <f>'Buildings - Water'!U62</f>
        <v/>
      </c>
      <c r="AE1116" s="193" t="str">
        <f>'Buildings - Water'!V62</f>
        <v/>
      </c>
      <c r="AF1116" s="193" t="str">
        <f>'Buildings - Water'!W62</f>
        <v/>
      </c>
      <c r="AG1116" s="193" t="str">
        <f>'Buildings - Water'!X62</f>
        <v/>
      </c>
      <c r="AI1116" s="193">
        <f t="shared" si="18"/>
        <v>0</v>
      </c>
      <c r="AJ1116" s="193">
        <f t="shared" si="19"/>
        <v>0</v>
      </c>
    </row>
    <row r="1117" spans="2:36" x14ac:dyDescent="0.35">
      <c r="B1117" s="193" t="e">
        <f>"2024"&amp;MATCH(Totals!D1117,OrgType,0)&amp;"_"&amp;MATCH(Totals!E1117,Organisations,0)&amp;"_"&amp;LEFT(Totals!F1117,1)&amp;"_"&amp;LEFT(G1117,1)&amp;"_"&amp;COUNTIF($G$3:G1117,G1117)</f>
        <v>#N/A</v>
      </c>
      <c r="C1117" s="193">
        <v>2025</v>
      </c>
      <c r="D1117" s="193">
        <f>Introduction!$D$7</f>
        <v>0</v>
      </c>
      <c r="E1117" s="193">
        <f>Introduction!$D$8</f>
        <v>0</v>
      </c>
      <c r="F1117" s="193" t="s">
        <v>488</v>
      </c>
      <c r="G1117" s="193" t="s">
        <v>208</v>
      </c>
      <c r="H1117" s="193">
        <f>'Buildings - Water'!B63</f>
        <v>0</v>
      </c>
      <c r="I1117" s="193">
        <f>'Buildings - Water'!C63</f>
        <v>0</v>
      </c>
      <c r="J1117" s="193" t="str">
        <f>'Buildings - Water'!D63</f>
        <v/>
      </c>
      <c r="K1117" s="237"/>
      <c r="L1117" s="237"/>
      <c r="M1117" s="193" t="str">
        <f>'Buildings - Water'!E63</f>
        <v/>
      </c>
      <c r="N1117" s="193">
        <f>'Buildings - Water'!F63</f>
        <v>0</v>
      </c>
      <c r="O1117" s="237"/>
      <c r="P1117" s="193">
        <f>'Buildings - Water'!G63</f>
        <v>0</v>
      </c>
      <c r="Q1117" s="193" t="str">
        <f>'Buildings - Water'!H63</f>
        <v/>
      </c>
      <c r="R1117" s="193">
        <f>'Buildings - Water'!I63</f>
        <v>0</v>
      </c>
      <c r="S1117" s="193">
        <f>'Buildings - Water'!J63</f>
        <v>0</v>
      </c>
      <c r="T1117" s="193" t="str">
        <f>'Buildings - Water'!K63</f>
        <v/>
      </c>
      <c r="U1117" s="193" t="str">
        <f>'Buildings - Water'!L63</f>
        <v/>
      </c>
      <c r="V1117" s="193" t="str">
        <f>'Buildings - Water'!M63</f>
        <v/>
      </c>
      <c r="W1117" s="193" t="str">
        <f>'Buildings - Water'!N63</f>
        <v/>
      </c>
      <c r="X1117" s="193">
        <f>'Buildings - Water'!O63</f>
        <v>0</v>
      </c>
      <c r="Y1117" s="193">
        <f>'Buildings - Water'!P63</f>
        <v>0</v>
      </c>
      <c r="Z1117" s="193" t="str">
        <f>'Buildings - Water'!Q63</f>
        <v/>
      </c>
      <c r="AA1117" s="193" t="str">
        <f>'Buildings - Water'!R63</f>
        <v/>
      </c>
      <c r="AB1117" s="193" t="str">
        <f>'Buildings - Water'!S63</f>
        <v/>
      </c>
      <c r="AC1117" s="193" t="str">
        <f>'Buildings - Water'!T63</f>
        <v/>
      </c>
      <c r="AD1117" s="193" t="str">
        <f>'Buildings - Water'!U63</f>
        <v/>
      </c>
      <c r="AE1117" s="193" t="str">
        <f>'Buildings - Water'!V63</f>
        <v/>
      </c>
      <c r="AF1117" s="193" t="str">
        <f>'Buildings - Water'!W63</f>
        <v/>
      </c>
      <c r="AG1117" s="193" t="str">
        <f>'Buildings - Water'!X63</f>
        <v/>
      </c>
      <c r="AI1117" s="193">
        <f t="shared" si="18"/>
        <v>0</v>
      </c>
      <c r="AJ1117" s="193">
        <f t="shared" si="19"/>
        <v>0</v>
      </c>
    </row>
    <row r="1118" spans="2:36" x14ac:dyDescent="0.35">
      <c r="B1118" s="193" t="e">
        <f>"2024"&amp;MATCH(Totals!D1118,OrgType,0)&amp;"_"&amp;MATCH(Totals!E1118,Organisations,0)&amp;"_"&amp;LEFT(Totals!F1118,1)&amp;"_"&amp;LEFT(G1118,1)&amp;"_"&amp;COUNTIF($G$3:G1118,G1118)</f>
        <v>#N/A</v>
      </c>
      <c r="C1118" s="193">
        <v>2025</v>
      </c>
      <c r="D1118" s="193">
        <f>Introduction!$D$7</f>
        <v>0</v>
      </c>
      <c r="E1118" s="193">
        <f>Introduction!$D$8</f>
        <v>0</v>
      </c>
      <c r="F1118" s="193" t="s">
        <v>488</v>
      </c>
      <c r="G1118" s="193" t="s">
        <v>208</v>
      </c>
      <c r="H1118" s="193">
        <f>'Buildings - Water'!B64</f>
        <v>0</v>
      </c>
      <c r="I1118" s="193">
        <f>'Buildings - Water'!C64</f>
        <v>0</v>
      </c>
      <c r="J1118" s="193" t="str">
        <f>'Buildings - Water'!D64</f>
        <v/>
      </c>
      <c r="K1118" s="237"/>
      <c r="L1118" s="237"/>
      <c r="M1118" s="193" t="str">
        <f>'Buildings - Water'!E64</f>
        <v/>
      </c>
      <c r="N1118" s="193">
        <f>'Buildings - Water'!F64</f>
        <v>0</v>
      </c>
      <c r="O1118" s="237"/>
      <c r="P1118" s="193">
        <f>'Buildings - Water'!G64</f>
        <v>0</v>
      </c>
      <c r="Q1118" s="193" t="str">
        <f>'Buildings - Water'!H64</f>
        <v/>
      </c>
      <c r="R1118" s="193">
        <f>'Buildings - Water'!I64</f>
        <v>0</v>
      </c>
      <c r="S1118" s="193">
        <f>'Buildings - Water'!J64</f>
        <v>0</v>
      </c>
      <c r="T1118" s="193" t="str">
        <f>'Buildings - Water'!K64</f>
        <v/>
      </c>
      <c r="U1118" s="193" t="str">
        <f>'Buildings - Water'!L64</f>
        <v/>
      </c>
      <c r="V1118" s="193" t="str">
        <f>'Buildings - Water'!M64</f>
        <v/>
      </c>
      <c r="W1118" s="193" t="str">
        <f>'Buildings - Water'!N64</f>
        <v/>
      </c>
      <c r="X1118" s="193">
        <f>'Buildings - Water'!O64</f>
        <v>0</v>
      </c>
      <c r="Y1118" s="193">
        <f>'Buildings - Water'!P64</f>
        <v>0</v>
      </c>
      <c r="Z1118" s="193" t="str">
        <f>'Buildings - Water'!Q64</f>
        <v/>
      </c>
      <c r="AA1118" s="193" t="str">
        <f>'Buildings - Water'!R64</f>
        <v/>
      </c>
      <c r="AB1118" s="193" t="str">
        <f>'Buildings - Water'!S64</f>
        <v/>
      </c>
      <c r="AC1118" s="193" t="str">
        <f>'Buildings - Water'!T64</f>
        <v/>
      </c>
      <c r="AD1118" s="193" t="str">
        <f>'Buildings - Water'!U64</f>
        <v/>
      </c>
      <c r="AE1118" s="193" t="str">
        <f>'Buildings - Water'!V64</f>
        <v/>
      </c>
      <c r="AF1118" s="193" t="str">
        <f>'Buildings - Water'!W64</f>
        <v/>
      </c>
      <c r="AG1118" s="193" t="str">
        <f>'Buildings - Water'!X64</f>
        <v/>
      </c>
      <c r="AI1118" s="193">
        <f t="shared" si="18"/>
        <v>0</v>
      </c>
      <c r="AJ1118" s="193">
        <f t="shared" si="19"/>
        <v>0</v>
      </c>
    </row>
    <row r="1119" spans="2:36" x14ac:dyDescent="0.35">
      <c r="B1119" s="193" t="e">
        <f>"2024"&amp;MATCH(Totals!D1119,OrgType,0)&amp;"_"&amp;MATCH(Totals!E1119,Organisations,0)&amp;"_"&amp;LEFT(Totals!F1119,1)&amp;"_"&amp;LEFT(G1119,1)&amp;"_"&amp;COUNTIF($G$3:G1119,G1119)</f>
        <v>#N/A</v>
      </c>
      <c r="C1119" s="193">
        <v>2025</v>
      </c>
      <c r="D1119" s="193">
        <f>Introduction!$D$7</f>
        <v>0</v>
      </c>
      <c r="E1119" s="193">
        <f>Introduction!$D$8</f>
        <v>0</v>
      </c>
      <c r="F1119" s="193" t="s">
        <v>488</v>
      </c>
      <c r="G1119" s="193" t="s">
        <v>208</v>
      </c>
      <c r="H1119" s="193">
        <f>'Buildings - Water'!B65</f>
        <v>0</v>
      </c>
      <c r="I1119" s="193">
        <f>'Buildings - Water'!C65</f>
        <v>0</v>
      </c>
      <c r="J1119" s="193" t="str">
        <f>'Buildings - Water'!D65</f>
        <v/>
      </c>
      <c r="K1119" s="237"/>
      <c r="L1119" s="237"/>
      <c r="M1119" s="193" t="str">
        <f>'Buildings - Water'!E65</f>
        <v/>
      </c>
      <c r="N1119" s="193">
        <f>'Buildings - Water'!F65</f>
        <v>0</v>
      </c>
      <c r="O1119" s="237"/>
      <c r="P1119" s="193">
        <f>'Buildings - Water'!G65</f>
        <v>0</v>
      </c>
      <c r="Q1119" s="193" t="str">
        <f>'Buildings - Water'!H65</f>
        <v/>
      </c>
      <c r="R1119" s="193">
        <f>'Buildings - Water'!I65</f>
        <v>0</v>
      </c>
      <c r="S1119" s="193">
        <f>'Buildings - Water'!J65</f>
        <v>0</v>
      </c>
      <c r="T1119" s="193" t="str">
        <f>'Buildings - Water'!K65</f>
        <v/>
      </c>
      <c r="U1119" s="193" t="str">
        <f>'Buildings - Water'!L65</f>
        <v/>
      </c>
      <c r="V1119" s="193" t="str">
        <f>'Buildings - Water'!M65</f>
        <v/>
      </c>
      <c r="W1119" s="193" t="str">
        <f>'Buildings - Water'!N65</f>
        <v/>
      </c>
      <c r="X1119" s="193">
        <f>'Buildings - Water'!O65</f>
        <v>0</v>
      </c>
      <c r="Y1119" s="193">
        <f>'Buildings - Water'!P65</f>
        <v>0</v>
      </c>
      <c r="Z1119" s="193" t="str">
        <f>'Buildings - Water'!Q65</f>
        <v/>
      </c>
      <c r="AA1119" s="193" t="str">
        <f>'Buildings - Water'!R65</f>
        <v/>
      </c>
      <c r="AB1119" s="193" t="str">
        <f>'Buildings - Water'!S65</f>
        <v/>
      </c>
      <c r="AC1119" s="193" t="str">
        <f>'Buildings - Water'!T65</f>
        <v/>
      </c>
      <c r="AD1119" s="193" t="str">
        <f>'Buildings - Water'!U65</f>
        <v/>
      </c>
      <c r="AE1119" s="193" t="str">
        <f>'Buildings - Water'!V65</f>
        <v/>
      </c>
      <c r="AF1119" s="193" t="str">
        <f>'Buildings - Water'!W65</f>
        <v/>
      </c>
      <c r="AG1119" s="193" t="str">
        <f>'Buildings - Water'!X65</f>
        <v/>
      </c>
      <c r="AI1119" s="193">
        <f t="shared" si="18"/>
        <v>0</v>
      </c>
      <c r="AJ1119" s="193">
        <f t="shared" si="19"/>
        <v>0</v>
      </c>
    </row>
    <row r="1120" spans="2:36" x14ac:dyDescent="0.35">
      <c r="B1120" s="193" t="e">
        <f>"2024"&amp;MATCH(Totals!D1120,OrgType,0)&amp;"_"&amp;MATCH(Totals!E1120,Organisations,0)&amp;"_"&amp;LEFT(Totals!F1120,1)&amp;"_"&amp;LEFT(G1120,1)&amp;"_"&amp;COUNTIF($G$3:G1120,G1120)</f>
        <v>#N/A</v>
      </c>
      <c r="C1120" s="193">
        <v>2025</v>
      </c>
      <c r="D1120" s="193">
        <f>Introduction!$D$7</f>
        <v>0</v>
      </c>
      <c r="E1120" s="193">
        <f>Introduction!$D$8</f>
        <v>0</v>
      </c>
      <c r="F1120" s="193" t="s">
        <v>488</v>
      </c>
      <c r="G1120" s="193" t="s">
        <v>208</v>
      </c>
      <c r="H1120" s="193">
        <f>'Buildings - Water'!B66</f>
        <v>0</v>
      </c>
      <c r="I1120" s="193">
        <f>'Buildings - Water'!C66</f>
        <v>0</v>
      </c>
      <c r="J1120" s="193" t="str">
        <f>'Buildings - Water'!D66</f>
        <v/>
      </c>
      <c r="K1120" s="237"/>
      <c r="L1120" s="237"/>
      <c r="M1120" s="193" t="str">
        <f>'Buildings - Water'!E66</f>
        <v/>
      </c>
      <c r="N1120" s="193">
        <f>'Buildings - Water'!F66</f>
        <v>0</v>
      </c>
      <c r="O1120" s="237"/>
      <c r="P1120" s="193">
        <f>'Buildings - Water'!G66</f>
        <v>0</v>
      </c>
      <c r="Q1120" s="193" t="str">
        <f>'Buildings - Water'!H66</f>
        <v/>
      </c>
      <c r="R1120" s="193">
        <f>'Buildings - Water'!I66</f>
        <v>0</v>
      </c>
      <c r="S1120" s="193">
        <f>'Buildings - Water'!J66</f>
        <v>0</v>
      </c>
      <c r="T1120" s="193" t="str">
        <f>'Buildings - Water'!K66</f>
        <v/>
      </c>
      <c r="U1120" s="193" t="str">
        <f>'Buildings - Water'!L66</f>
        <v/>
      </c>
      <c r="V1120" s="193" t="str">
        <f>'Buildings - Water'!M66</f>
        <v/>
      </c>
      <c r="W1120" s="193" t="str">
        <f>'Buildings - Water'!N66</f>
        <v/>
      </c>
      <c r="X1120" s="193">
        <f>'Buildings - Water'!O66</f>
        <v>0</v>
      </c>
      <c r="Y1120" s="193">
        <f>'Buildings - Water'!P66</f>
        <v>0</v>
      </c>
      <c r="Z1120" s="193" t="str">
        <f>'Buildings - Water'!Q66</f>
        <v/>
      </c>
      <c r="AA1120" s="193" t="str">
        <f>'Buildings - Water'!R66</f>
        <v/>
      </c>
      <c r="AB1120" s="193" t="str">
        <f>'Buildings - Water'!S66</f>
        <v/>
      </c>
      <c r="AC1120" s="193" t="str">
        <f>'Buildings - Water'!T66</f>
        <v/>
      </c>
      <c r="AD1120" s="193" t="str">
        <f>'Buildings - Water'!U66</f>
        <v/>
      </c>
      <c r="AE1120" s="193" t="str">
        <f>'Buildings - Water'!V66</f>
        <v/>
      </c>
      <c r="AF1120" s="193" t="str">
        <f>'Buildings - Water'!W66</f>
        <v/>
      </c>
      <c r="AG1120" s="193" t="str">
        <f>'Buildings - Water'!X66</f>
        <v/>
      </c>
      <c r="AI1120" s="193">
        <f t="shared" si="18"/>
        <v>0</v>
      </c>
      <c r="AJ1120" s="193">
        <f t="shared" si="19"/>
        <v>0</v>
      </c>
    </row>
    <row r="1121" spans="2:36" x14ac:dyDescent="0.35">
      <c r="B1121" s="193" t="e">
        <f>"2024"&amp;MATCH(Totals!D1121,OrgType,0)&amp;"_"&amp;MATCH(Totals!E1121,Organisations,0)&amp;"_"&amp;LEFT(Totals!F1121,1)&amp;"_"&amp;LEFT(G1121,1)&amp;"_"&amp;COUNTIF($G$3:G1121,G1121)</f>
        <v>#N/A</v>
      </c>
      <c r="C1121" s="193">
        <v>2025</v>
      </c>
      <c r="D1121" s="193">
        <f>Introduction!$D$7</f>
        <v>0</v>
      </c>
      <c r="E1121" s="193">
        <f>Introduction!$D$8</f>
        <v>0</v>
      </c>
      <c r="F1121" s="193" t="s">
        <v>488</v>
      </c>
      <c r="G1121" s="193" t="s">
        <v>208</v>
      </c>
      <c r="H1121" s="193">
        <f>'Buildings - Water'!B67</f>
        <v>0</v>
      </c>
      <c r="I1121" s="193">
        <f>'Buildings - Water'!C67</f>
        <v>0</v>
      </c>
      <c r="J1121" s="193" t="str">
        <f>'Buildings - Water'!D67</f>
        <v/>
      </c>
      <c r="K1121" s="237"/>
      <c r="L1121" s="237"/>
      <c r="M1121" s="193" t="str">
        <f>'Buildings - Water'!E67</f>
        <v/>
      </c>
      <c r="N1121" s="193">
        <f>'Buildings - Water'!F67</f>
        <v>0</v>
      </c>
      <c r="O1121" s="237"/>
      <c r="P1121" s="193">
        <f>'Buildings - Water'!G67</f>
        <v>0</v>
      </c>
      <c r="Q1121" s="193" t="str">
        <f>'Buildings - Water'!H67</f>
        <v/>
      </c>
      <c r="R1121" s="193">
        <f>'Buildings - Water'!I67</f>
        <v>0</v>
      </c>
      <c r="S1121" s="193">
        <f>'Buildings - Water'!J67</f>
        <v>0</v>
      </c>
      <c r="T1121" s="193" t="str">
        <f>'Buildings - Water'!K67</f>
        <v/>
      </c>
      <c r="U1121" s="193" t="str">
        <f>'Buildings - Water'!L67</f>
        <v/>
      </c>
      <c r="V1121" s="193" t="str">
        <f>'Buildings - Water'!M67</f>
        <v/>
      </c>
      <c r="W1121" s="193" t="str">
        <f>'Buildings - Water'!N67</f>
        <v/>
      </c>
      <c r="X1121" s="193">
        <f>'Buildings - Water'!O67</f>
        <v>0</v>
      </c>
      <c r="Y1121" s="193">
        <f>'Buildings - Water'!P67</f>
        <v>0</v>
      </c>
      <c r="Z1121" s="193" t="str">
        <f>'Buildings - Water'!Q67</f>
        <v/>
      </c>
      <c r="AA1121" s="193" t="str">
        <f>'Buildings - Water'!R67</f>
        <v/>
      </c>
      <c r="AB1121" s="193" t="str">
        <f>'Buildings - Water'!S67</f>
        <v/>
      </c>
      <c r="AC1121" s="193" t="str">
        <f>'Buildings - Water'!T67</f>
        <v/>
      </c>
      <c r="AD1121" s="193" t="str">
        <f>'Buildings - Water'!U67</f>
        <v/>
      </c>
      <c r="AE1121" s="193" t="str">
        <f>'Buildings - Water'!V67</f>
        <v/>
      </c>
      <c r="AF1121" s="193" t="str">
        <f>'Buildings - Water'!W67</f>
        <v/>
      </c>
      <c r="AG1121" s="193" t="str">
        <f>'Buildings - Water'!X67</f>
        <v/>
      </c>
      <c r="AI1121" s="193">
        <f t="shared" si="18"/>
        <v>0</v>
      </c>
      <c r="AJ1121" s="193">
        <f t="shared" si="19"/>
        <v>0</v>
      </c>
    </row>
    <row r="1122" spans="2:36" x14ac:dyDescent="0.35">
      <c r="B1122" s="193" t="e">
        <f>"2024"&amp;MATCH(Totals!D1122,OrgType,0)&amp;"_"&amp;MATCH(Totals!E1122,Organisations,0)&amp;"_"&amp;LEFT(Totals!F1122,1)&amp;"_"&amp;LEFT(G1122,1)&amp;"_"&amp;COUNTIF($G$3:G1122,G1122)</f>
        <v>#N/A</v>
      </c>
      <c r="C1122" s="193">
        <v>2025</v>
      </c>
      <c r="D1122" s="193">
        <f>Introduction!$D$7</f>
        <v>0</v>
      </c>
      <c r="E1122" s="193">
        <f>Introduction!$D$8</f>
        <v>0</v>
      </c>
      <c r="F1122" s="193" t="s">
        <v>488</v>
      </c>
      <c r="G1122" s="193" t="s">
        <v>208</v>
      </c>
      <c r="H1122" s="193">
        <f>'Buildings - Water'!B68</f>
        <v>0</v>
      </c>
      <c r="I1122" s="193">
        <f>'Buildings - Water'!C68</f>
        <v>0</v>
      </c>
      <c r="J1122" s="193" t="str">
        <f>'Buildings - Water'!D68</f>
        <v/>
      </c>
      <c r="K1122" s="237"/>
      <c r="L1122" s="237"/>
      <c r="M1122" s="193" t="str">
        <f>'Buildings - Water'!E68</f>
        <v/>
      </c>
      <c r="N1122" s="193">
        <f>'Buildings - Water'!F68</f>
        <v>0</v>
      </c>
      <c r="O1122" s="237"/>
      <c r="P1122" s="193">
        <f>'Buildings - Water'!G68</f>
        <v>0</v>
      </c>
      <c r="Q1122" s="193" t="str">
        <f>'Buildings - Water'!H68</f>
        <v/>
      </c>
      <c r="R1122" s="193">
        <f>'Buildings - Water'!I68</f>
        <v>0</v>
      </c>
      <c r="S1122" s="193">
        <f>'Buildings - Water'!J68</f>
        <v>0</v>
      </c>
      <c r="T1122" s="193" t="str">
        <f>'Buildings - Water'!K68</f>
        <v/>
      </c>
      <c r="U1122" s="193" t="str">
        <f>'Buildings - Water'!L68</f>
        <v/>
      </c>
      <c r="V1122" s="193" t="str">
        <f>'Buildings - Water'!M68</f>
        <v/>
      </c>
      <c r="W1122" s="193" t="str">
        <f>'Buildings - Water'!N68</f>
        <v/>
      </c>
      <c r="X1122" s="193">
        <f>'Buildings - Water'!O68</f>
        <v>0</v>
      </c>
      <c r="Y1122" s="193">
        <f>'Buildings - Water'!P68</f>
        <v>0</v>
      </c>
      <c r="Z1122" s="193" t="str">
        <f>'Buildings - Water'!Q68</f>
        <v/>
      </c>
      <c r="AA1122" s="193" t="str">
        <f>'Buildings - Water'!R68</f>
        <v/>
      </c>
      <c r="AB1122" s="193" t="str">
        <f>'Buildings - Water'!S68</f>
        <v/>
      </c>
      <c r="AC1122" s="193" t="str">
        <f>'Buildings - Water'!T68</f>
        <v/>
      </c>
      <c r="AD1122" s="193" t="str">
        <f>'Buildings - Water'!U68</f>
        <v/>
      </c>
      <c r="AE1122" s="193" t="str">
        <f>'Buildings - Water'!V68</f>
        <v/>
      </c>
      <c r="AF1122" s="193" t="str">
        <f>'Buildings - Water'!W68</f>
        <v/>
      </c>
      <c r="AG1122" s="193" t="str">
        <f>'Buildings - Water'!X68</f>
        <v/>
      </c>
      <c r="AI1122" s="193">
        <f t="shared" si="18"/>
        <v>0</v>
      </c>
      <c r="AJ1122" s="193">
        <f t="shared" si="19"/>
        <v>0</v>
      </c>
    </row>
    <row r="1123" spans="2:36" x14ac:dyDescent="0.35">
      <c r="B1123" s="193" t="e">
        <f>"2024"&amp;MATCH(Totals!D1123,OrgType,0)&amp;"_"&amp;MATCH(Totals!E1123,Organisations,0)&amp;"_"&amp;LEFT(Totals!F1123,1)&amp;"_"&amp;LEFT(G1123,1)&amp;"_"&amp;COUNTIF($G$3:G1123,G1123)</f>
        <v>#N/A</v>
      </c>
      <c r="C1123" s="193">
        <v>2025</v>
      </c>
      <c r="D1123" s="193">
        <f>Introduction!$D$7</f>
        <v>0</v>
      </c>
      <c r="E1123" s="193">
        <f>Introduction!$D$8</f>
        <v>0</v>
      </c>
      <c r="F1123" s="193" t="s">
        <v>488</v>
      </c>
      <c r="G1123" s="193" t="s">
        <v>208</v>
      </c>
      <c r="H1123" s="193">
        <f>'Buildings - Water'!B69</f>
        <v>0</v>
      </c>
      <c r="I1123" s="193">
        <f>'Buildings - Water'!C69</f>
        <v>0</v>
      </c>
      <c r="J1123" s="193" t="str">
        <f>'Buildings - Water'!D69</f>
        <v/>
      </c>
      <c r="K1123" s="237"/>
      <c r="L1123" s="237"/>
      <c r="M1123" s="193" t="str">
        <f>'Buildings - Water'!E69</f>
        <v/>
      </c>
      <c r="N1123" s="193">
        <f>'Buildings - Water'!F69</f>
        <v>0</v>
      </c>
      <c r="O1123" s="237"/>
      <c r="P1123" s="193">
        <f>'Buildings - Water'!G69</f>
        <v>0</v>
      </c>
      <c r="Q1123" s="193" t="str">
        <f>'Buildings - Water'!H69</f>
        <v/>
      </c>
      <c r="R1123" s="193">
        <f>'Buildings - Water'!I69</f>
        <v>0</v>
      </c>
      <c r="S1123" s="193">
        <f>'Buildings - Water'!J69</f>
        <v>0</v>
      </c>
      <c r="T1123" s="193" t="str">
        <f>'Buildings - Water'!K69</f>
        <v/>
      </c>
      <c r="U1123" s="193" t="str">
        <f>'Buildings - Water'!L69</f>
        <v/>
      </c>
      <c r="V1123" s="193" t="str">
        <f>'Buildings - Water'!M69</f>
        <v/>
      </c>
      <c r="W1123" s="193" t="str">
        <f>'Buildings - Water'!N69</f>
        <v/>
      </c>
      <c r="X1123" s="193">
        <f>'Buildings - Water'!O69</f>
        <v>0</v>
      </c>
      <c r="Y1123" s="193">
        <f>'Buildings - Water'!P69</f>
        <v>0</v>
      </c>
      <c r="Z1123" s="193" t="str">
        <f>'Buildings - Water'!Q69</f>
        <v/>
      </c>
      <c r="AA1123" s="193" t="str">
        <f>'Buildings - Water'!R69</f>
        <v/>
      </c>
      <c r="AB1123" s="193" t="str">
        <f>'Buildings - Water'!S69</f>
        <v/>
      </c>
      <c r="AC1123" s="193" t="str">
        <f>'Buildings - Water'!T69</f>
        <v/>
      </c>
      <c r="AD1123" s="193" t="str">
        <f>'Buildings - Water'!U69</f>
        <v/>
      </c>
      <c r="AE1123" s="193" t="str">
        <f>'Buildings - Water'!V69</f>
        <v/>
      </c>
      <c r="AF1123" s="193" t="str">
        <f>'Buildings - Water'!W69</f>
        <v/>
      </c>
      <c r="AG1123" s="193" t="str">
        <f>'Buildings - Water'!X69</f>
        <v/>
      </c>
      <c r="AI1123" s="193">
        <f t="shared" si="18"/>
        <v>0</v>
      </c>
      <c r="AJ1123" s="193">
        <f t="shared" si="19"/>
        <v>0</v>
      </c>
    </row>
    <row r="1124" spans="2:36" x14ac:dyDescent="0.35">
      <c r="B1124" s="193" t="e">
        <f>"2024"&amp;MATCH(Totals!D1124,OrgType,0)&amp;"_"&amp;MATCH(Totals!E1124,Organisations,0)&amp;"_"&amp;LEFT(Totals!F1124,1)&amp;"_"&amp;LEFT(G1124,1)&amp;"_"&amp;COUNTIF($G$3:G1124,G1124)</f>
        <v>#N/A</v>
      </c>
      <c r="C1124" s="193">
        <v>2025</v>
      </c>
      <c r="D1124" s="193">
        <f>Introduction!$D$7</f>
        <v>0</v>
      </c>
      <c r="E1124" s="193">
        <f>Introduction!$D$8</f>
        <v>0</v>
      </c>
      <c r="F1124" s="193" t="s">
        <v>488</v>
      </c>
      <c r="G1124" s="193" t="s">
        <v>208</v>
      </c>
      <c r="H1124" s="193">
        <f>'Buildings - Water'!B70</f>
        <v>0</v>
      </c>
      <c r="I1124" s="193">
        <f>'Buildings - Water'!C70</f>
        <v>0</v>
      </c>
      <c r="J1124" s="193" t="str">
        <f>'Buildings - Water'!D70</f>
        <v/>
      </c>
      <c r="K1124" s="237"/>
      <c r="L1124" s="237"/>
      <c r="M1124" s="193" t="str">
        <f>'Buildings - Water'!E70</f>
        <v/>
      </c>
      <c r="N1124" s="193">
        <f>'Buildings - Water'!F70</f>
        <v>0</v>
      </c>
      <c r="O1124" s="237"/>
      <c r="P1124" s="193">
        <f>'Buildings - Water'!G70</f>
        <v>0</v>
      </c>
      <c r="Q1124" s="193" t="str">
        <f>'Buildings - Water'!H70</f>
        <v/>
      </c>
      <c r="R1124" s="193">
        <f>'Buildings - Water'!I70</f>
        <v>0</v>
      </c>
      <c r="S1124" s="193">
        <f>'Buildings - Water'!J70</f>
        <v>0</v>
      </c>
      <c r="T1124" s="193" t="str">
        <f>'Buildings - Water'!K70</f>
        <v/>
      </c>
      <c r="U1124" s="193" t="str">
        <f>'Buildings - Water'!L70</f>
        <v/>
      </c>
      <c r="V1124" s="193" t="str">
        <f>'Buildings - Water'!M70</f>
        <v/>
      </c>
      <c r="W1124" s="193" t="str">
        <f>'Buildings - Water'!N70</f>
        <v/>
      </c>
      <c r="X1124" s="193">
        <f>'Buildings - Water'!O70</f>
        <v>0</v>
      </c>
      <c r="Y1124" s="193">
        <f>'Buildings - Water'!P70</f>
        <v>0</v>
      </c>
      <c r="Z1124" s="193" t="str">
        <f>'Buildings - Water'!Q70</f>
        <v/>
      </c>
      <c r="AA1124" s="193" t="str">
        <f>'Buildings - Water'!R70</f>
        <v/>
      </c>
      <c r="AB1124" s="193" t="str">
        <f>'Buildings - Water'!S70</f>
        <v/>
      </c>
      <c r="AC1124" s="193" t="str">
        <f>'Buildings - Water'!T70</f>
        <v/>
      </c>
      <c r="AD1124" s="193" t="str">
        <f>'Buildings - Water'!U70</f>
        <v/>
      </c>
      <c r="AE1124" s="193" t="str">
        <f>'Buildings - Water'!V70</f>
        <v/>
      </c>
      <c r="AF1124" s="193" t="str">
        <f>'Buildings - Water'!W70</f>
        <v/>
      </c>
      <c r="AG1124" s="193" t="str">
        <f>'Buildings - Water'!X70</f>
        <v/>
      </c>
      <c r="AI1124" s="193">
        <f t="shared" si="18"/>
        <v>0</v>
      </c>
      <c r="AJ1124" s="193">
        <f t="shared" si="19"/>
        <v>0</v>
      </c>
    </row>
    <row r="1125" spans="2:36" x14ac:dyDescent="0.35">
      <c r="B1125" s="193" t="e">
        <f>"2024"&amp;MATCH(Totals!D1125,OrgType,0)&amp;"_"&amp;MATCH(Totals!E1125,Organisations,0)&amp;"_"&amp;LEFT(Totals!F1125,1)&amp;"_"&amp;LEFT(G1125,1)&amp;"_"&amp;COUNTIF($G$3:G1125,G1125)</f>
        <v>#N/A</v>
      </c>
      <c r="C1125" s="193">
        <v>2025</v>
      </c>
      <c r="D1125" s="193">
        <f>Introduction!$D$7</f>
        <v>0</v>
      </c>
      <c r="E1125" s="193">
        <f>Introduction!$D$8</f>
        <v>0</v>
      </c>
      <c r="F1125" s="193" t="s">
        <v>488</v>
      </c>
      <c r="G1125" s="193" t="s">
        <v>208</v>
      </c>
      <c r="H1125" s="193">
        <f>'Buildings - Water'!B71</f>
        <v>0</v>
      </c>
      <c r="I1125" s="193">
        <f>'Buildings - Water'!C71</f>
        <v>0</v>
      </c>
      <c r="J1125" s="193" t="str">
        <f>'Buildings - Water'!D71</f>
        <v/>
      </c>
      <c r="K1125" s="237"/>
      <c r="L1125" s="237"/>
      <c r="M1125" s="193" t="str">
        <f>'Buildings - Water'!E71</f>
        <v/>
      </c>
      <c r="N1125" s="193">
        <f>'Buildings - Water'!F71</f>
        <v>0</v>
      </c>
      <c r="O1125" s="237"/>
      <c r="P1125" s="193">
        <f>'Buildings - Water'!G71</f>
        <v>0</v>
      </c>
      <c r="Q1125" s="193" t="str">
        <f>'Buildings - Water'!H71</f>
        <v/>
      </c>
      <c r="R1125" s="193">
        <f>'Buildings - Water'!I71</f>
        <v>0</v>
      </c>
      <c r="S1125" s="193">
        <f>'Buildings - Water'!J71</f>
        <v>0</v>
      </c>
      <c r="T1125" s="193" t="str">
        <f>'Buildings - Water'!K71</f>
        <v/>
      </c>
      <c r="U1125" s="193" t="str">
        <f>'Buildings - Water'!L71</f>
        <v/>
      </c>
      <c r="V1125" s="193" t="str">
        <f>'Buildings - Water'!M71</f>
        <v/>
      </c>
      <c r="W1125" s="193" t="str">
        <f>'Buildings - Water'!N71</f>
        <v/>
      </c>
      <c r="X1125" s="193">
        <f>'Buildings - Water'!O71</f>
        <v>0</v>
      </c>
      <c r="Y1125" s="193">
        <f>'Buildings - Water'!P71</f>
        <v>0</v>
      </c>
      <c r="Z1125" s="193" t="str">
        <f>'Buildings - Water'!Q71</f>
        <v/>
      </c>
      <c r="AA1125" s="193" t="str">
        <f>'Buildings - Water'!R71</f>
        <v/>
      </c>
      <c r="AB1125" s="193" t="str">
        <f>'Buildings - Water'!S71</f>
        <v/>
      </c>
      <c r="AC1125" s="193" t="str">
        <f>'Buildings - Water'!T71</f>
        <v/>
      </c>
      <c r="AD1125" s="193" t="str">
        <f>'Buildings - Water'!U71</f>
        <v/>
      </c>
      <c r="AE1125" s="193" t="str">
        <f>'Buildings - Water'!V71</f>
        <v/>
      </c>
      <c r="AF1125" s="193" t="str">
        <f>'Buildings - Water'!W71</f>
        <v/>
      </c>
      <c r="AG1125" s="193" t="str">
        <f>'Buildings - Water'!X71</f>
        <v/>
      </c>
      <c r="AI1125" s="193">
        <f t="shared" si="18"/>
        <v>0</v>
      </c>
      <c r="AJ1125" s="193">
        <f t="shared" si="19"/>
        <v>0</v>
      </c>
    </row>
    <row r="1126" spans="2:36" x14ac:dyDescent="0.35">
      <c r="B1126" s="193" t="e">
        <f>"2024"&amp;MATCH(Totals!D1126,OrgType,0)&amp;"_"&amp;MATCH(Totals!E1126,Organisations,0)&amp;"_"&amp;LEFT(Totals!F1126,1)&amp;"_"&amp;LEFT(G1126,1)&amp;"_"&amp;COUNTIF($G$3:G1126,G1126)</f>
        <v>#N/A</v>
      </c>
      <c r="C1126" s="193">
        <v>2025</v>
      </c>
      <c r="D1126" s="193">
        <f>Introduction!$D$7</f>
        <v>0</v>
      </c>
      <c r="E1126" s="193">
        <f>Introduction!$D$8</f>
        <v>0</v>
      </c>
      <c r="F1126" s="193" t="s">
        <v>488</v>
      </c>
      <c r="G1126" s="193" t="s">
        <v>208</v>
      </c>
      <c r="H1126" s="193">
        <f>'Buildings - Water'!B72</f>
        <v>0</v>
      </c>
      <c r="I1126" s="193">
        <f>'Buildings - Water'!C72</f>
        <v>0</v>
      </c>
      <c r="J1126" s="193" t="str">
        <f>'Buildings - Water'!D72</f>
        <v/>
      </c>
      <c r="K1126" s="237"/>
      <c r="L1126" s="237"/>
      <c r="M1126" s="193" t="str">
        <f>'Buildings - Water'!E72</f>
        <v/>
      </c>
      <c r="N1126" s="193">
        <f>'Buildings - Water'!F72</f>
        <v>0</v>
      </c>
      <c r="O1126" s="237"/>
      <c r="P1126" s="193">
        <f>'Buildings - Water'!G72</f>
        <v>0</v>
      </c>
      <c r="Q1126" s="193" t="str">
        <f>'Buildings - Water'!H72</f>
        <v/>
      </c>
      <c r="R1126" s="193">
        <f>'Buildings - Water'!I72</f>
        <v>0</v>
      </c>
      <c r="S1126" s="193">
        <f>'Buildings - Water'!J72</f>
        <v>0</v>
      </c>
      <c r="T1126" s="193" t="str">
        <f>'Buildings - Water'!K72</f>
        <v/>
      </c>
      <c r="U1126" s="193" t="str">
        <f>'Buildings - Water'!L72</f>
        <v/>
      </c>
      <c r="V1126" s="193" t="str">
        <f>'Buildings - Water'!M72</f>
        <v/>
      </c>
      <c r="W1126" s="193" t="str">
        <f>'Buildings - Water'!N72</f>
        <v/>
      </c>
      <c r="X1126" s="193">
        <f>'Buildings - Water'!O72</f>
        <v>0</v>
      </c>
      <c r="Y1126" s="193">
        <f>'Buildings - Water'!P72</f>
        <v>0</v>
      </c>
      <c r="Z1126" s="193" t="str">
        <f>'Buildings - Water'!Q72</f>
        <v/>
      </c>
      <c r="AA1126" s="193" t="str">
        <f>'Buildings - Water'!R72</f>
        <v/>
      </c>
      <c r="AB1126" s="193" t="str">
        <f>'Buildings - Water'!S72</f>
        <v/>
      </c>
      <c r="AC1126" s="193" t="str">
        <f>'Buildings - Water'!T72</f>
        <v/>
      </c>
      <c r="AD1126" s="193" t="str">
        <f>'Buildings - Water'!U72</f>
        <v/>
      </c>
      <c r="AE1126" s="193" t="str">
        <f>'Buildings - Water'!V72</f>
        <v/>
      </c>
      <c r="AF1126" s="193" t="str">
        <f>'Buildings - Water'!W72</f>
        <v/>
      </c>
      <c r="AG1126" s="193" t="str">
        <f>'Buildings - Water'!X72</f>
        <v/>
      </c>
      <c r="AI1126" s="193">
        <f t="shared" si="18"/>
        <v>0</v>
      </c>
      <c r="AJ1126" s="193">
        <f t="shared" si="19"/>
        <v>0</v>
      </c>
    </row>
    <row r="1127" spans="2:36" x14ac:dyDescent="0.35">
      <c r="B1127" s="193" t="e">
        <f>"2024"&amp;MATCH(Totals!D1127,OrgType,0)&amp;"_"&amp;MATCH(Totals!E1127,Organisations,0)&amp;"_"&amp;LEFT(Totals!F1127,1)&amp;"_"&amp;LEFT(G1127,1)&amp;"_"&amp;COUNTIF($G$3:G1127,G1127)</f>
        <v>#N/A</v>
      </c>
      <c r="C1127" s="193">
        <v>2025</v>
      </c>
      <c r="D1127" s="193">
        <f>Introduction!$D$7</f>
        <v>0</v>
      </c>
      <c r="E1127" s="193">
        <f>Introduction!$D$8</f>
        <v>0</v>
      </c>
      <c r="F1127" s="193" t="s">
        <v>488</v>
      </c>
      <c r="G1127" s="193" t="s">
        <v>208</v>
      </c>
      <c r="H1127" s="193">
        <f>'Buildings - Water'!B73</f>
        <v>0</v>
      </c>
      <c r="I1127" s="193">
        <f>'Buildings - Water'!C73</f>
        <v>0</v>
      </c>
      <c r="J1127" s="193" t="str">
        <f>'Buildings - Water'!D73</f>
        <v/>
      </c>
      <c r="K1127" s="237"/>
      <c r="L1127" s="237"/>
      <c r="M1127" s="193" t="str">
        <f>'Buildings - Water'!E73</f>
        <v/>
      </c>
      <c r="N1127" s="193">
        <f>'Buildings - Water'!F73</f>
        <v>0</v>
      </c>
      <c r="O1127" s="237"/>
      <c r="P1127" s="193">
        <f>'Buildings - Water'!G73</f>
        <v>0</v>
      </c>
      <c r="Q1127" s="193" t="str">
        <f>'Buildings - Water'!H73</f>
        <v/>
      </c>
      <c r="R1127" s="193">
        <f>'Buildings - Water'!I73</f>
        <v>0</v>
      </c>
      <c r="S1127" s="193">
        <f>'Buildings - Water'!J73</f>
        <v>0</v>
      </c>
      <c r="T1127" s="193" t="str">
        <f>'Buildings - Water'!K73</f>
        <v/>
      </c>
      <c r="U1127" s="193" t="str">
        <f>'Buildings - Water'!L73</f>
        <v/>
      </c>
      <c r="V1127" s="193" t="str">
        <f>'Buildings - Water'!M73</f>
        <v/>
      </c>
      <c r="W1127" s="193" t="str">
        <f>'Buildings - Water'!N73</f>
        <v/>
      </c>
      <c r="X1127" s="193">
        <f>'Buildings - Water'!O73</f>
        <v>0</v>
      </c>
      <c r="Y1127" s="193">
        <f>'Buildings - Water'!P73</f>
        <v>0</v>
      </c>
      <c r="Z1127" s="193" t="str">
        <f>'Buildings - Water'!Q73</f>
        <v/>
      </c>
      <c r="AA1127" s="193" t="str">
        <f>'Buildings - Water'!R73</f>
        <v/>
      </c>
      <c r="AB1127" s="193" t="str">
        <f>'Buildings - Water'!S73</f>
        <v/>
      </c>
      <c r="AC1127" s="193" t="str">
        <f>'Buildings - Water'!T73</f>
        <v/>
      </c>
      <c r="AD1127" s="193" t="str">
        <f>'Buildings - Water'!U73</f>
        <v/>
      </c>
      <c r="AE1127" s="193" t="str">
        <f>'Buildings - Water'!V73</f>
        <v/>
      </c>
      <c r="AF1127" s="193" t="str">
        <f>'Buildings - Water'!W73</f>
        <v/>
      </c>
      <c r="AG1127" s="193" t="str">
        <f>'Buildings - Water'!X73</f>
        <v/>
      </c>
      <c r="AI1127" s="193">
        <f t="shared" si="18"/>
        <v>0</v>
      </c>
      <c r="AJ1127" s="193">
        <f t="shared" si="19"/>
        <v>0</v>
      </c>
    </row>
    <row r="1128" spans="2:36" x14ac:dyDescent="0.35">
      <c r="B1128" s="193" t="e">
        <f>"2024"&amp;MATCH(Totals!D1128,OrgType,0)&amp;"_"&amp;MATCH(Totals!E1128,Organisations,0)&amp;"_"&amp;LEFT(Totals!F1128,1)&amp;"_"&amp;LEFT(G1128,1)&amp;"_"&amp;COUNTIF($G$3:G1128,G1128)</f>
        <v>#N/A</v>
      </c>
      <c r="C1128" s="193">
        <v>2025</v>
      </c>
      <c r="D1128" s="193">
        <f>Introduction!$D$7</f>
        <v>0</v>
      </c>
      <c r="E1128" s="193">
        <f>Introduction!$D$8</f>
        <v>0</v>
      </c>
      <c r="F1128" s="193" t="s">
        <v>488</v>
      </c>
      <c r="G1128" s="193" t="s">
        <v>208</v>
      </c>
      <c r="H1128" s="193">
        <f>'Buildings - Water'!B74</f>
        <v>0</v>
      </c>
      <c r="I1128" s="193">
        <f>'Buildings - Water'!C74</f>
        <v>0</v>
      </c>
      <c r="J1128" s="193" t="str">
        <f>'Buildings - Water'!D74</f>
        <v/>
      </c>
      <c r="K1128" s="237"/>
      <c r="L1128" s="237"/>
      <c r="M1128" s="193" t="str">
        <f>'Buildings - Water'!E74</f>
        <v/>
      </c>
      <c r="N1128" s="193">
        <f>'Buildings - Water'!F74</f>
        <v>0</v>
      </c>
      <c r="O1128" s="237"/>
      <c r="P1128" s="193">
        <f>'Buildings - Water'!G74</f>
        <v>0</v>
      </c>
      <c r="Q1128" s="193" t="str">
        <f>'Buildings - Water'!H74</f>
        <v/>
      </c>
      <c r="R1128" s="193">
        <f>'Buildings - Water'!I74</f>
        <v>0</v>
      </c>
      <c r="S1128" s="193">
        <f>'Buildings - Water'!J74</f>
        <v>0</v>
      </c>
      <c r="T1128" s="193" t="str">
        <f>'Buildings - Water'!K74</f>
        <v/>
      </c>
      <c r="U1128" s="193" t="str">
        <f>'Buildings - Water'!L74</f>
        <v/>
      </c>
      <c r="V1128" s="193" t="str">
        <f>'Buildings - Water'!M74</f>
        <v/>
      </c>
      <c r="W1128" s="193" t="str">
        <f>'Buildings - Water'!N74</f>
        <v/>
      </c>
      <c r="X1128" s="193">
        <f>'Buildings - Water'!O74</f>
        <v>0</v>
      </c>
      <c r="Y1128" s="193">
        <f>'Buildings - Water'!P74</f>
        <v>0</v>
      </c>
      <c r="Z1128" s="193" t="str">
        <f>'Buildings - Water'!Q74</f>
        <v/>
      </c>
      <c r="AA1128" s="193" t="str">
        <f>'Buildings - Water'!R74</f>
        <v/>
      </c>
      <c r="AB1128" s="193" t="str">
        <f>'Buildings - Water'!S74</f>
        <v/>
      </c>
      <c r="AC1128" s="193" t="str">
        <f>'Buildings - Water'!T74</f>
        <v/>
      </c>
      <c r="AD1128" s="193" t="str">
        <f>'Buildings - Water'!U74</f>
        <v/>
      </c>
      <c r="AE1128" s="193" t="str">
        <f>'Buildings - Water'!V74</f>
        <v/>
      </c>
      <c r="AF1128" s="193" t="str">
        <f>'Buildings - Water'!W74</f>
        <v/>
      </c>
      <c r="AG1128" s="193" t="str">
        <f>'Buildings - Water'!X74</f>
        <v/>
      </c>
      <c r="AI1128" s="193">
        <f t="shared" si="18"/>
        <v>0</v>
      </c>
      <c r="AJ1128" s="193">
        <f t="shared" si="19"/>
        <v>0</v>
      </c>
    </row>
    <row r="1129" spans="2:36" x14ac:dyDescent="0.35">
      <c r="B1129" s="193" t="e">
        <f>"2024"&amp;MATCH(Totals!D1129,OrgType,0)&amp;"_"&amp;MATCH(Totals!E1129,Organisations,0)&amp;"_"&amp;LEFT(Totals!F1129,1)&amp;"_"&amp;LEFT(G1129,1)&amp;"_"&amp;COUNTIF($G$3:G1129,G1129)</f>
        <v>#N/A</v>
      </c>
      <c r="C1129" s="193">
        <v>2025</v>
      </c>
      <c r="D1129" s="193">
        <f>Introduction!$D$7</f>
        <v>0</v>
      </c>
      <c r="E1129" s="193">
        <f>Introduction!$D$8</f>
        <v>0</v>
      </c>
      <c r="F1129" s="193" t="s">
        <v>488</v>
      </c>
      <c r="G1129" s="193" t="s">
        <v>208</v>
      </c>
      <c r="H1129" s="193">
        <f>'Buildings - Water'!B75</f>
        <v>0</v>
      </c>
      <c r="I1129" s="193">
        <f>'Buildings - Water'!C75</f>
        <v>0</v>
      </c>
      <c r="J1129" s="193" t="str">
        <f>'Buildings - Water'!D75</f>
        <v/>
      </c>
      <c r="K1129" s="237"/>
      <c r="L1129" s="237"/>
      <c r="M1129" s="193" t="str">
        <f>'Buildings - Water'!E75</f>
        <v/>
      </c>
      <c r="N1129" s="193">
        <f>'Buildings - Water'!F75</f>
        <v>0</v>
      </c>
      <c r="O1129" s="237"/>
      <c r="P1129" s="193">
        <f>'Buildings - Water'!G75</f>
        <v>0</v>
      </c>
      <c r="Q1129" s="193" t="str">
        <f>'Buildings - Water'!H75</f>
        <v/>
      </c>
      <c r="R1129" s="193">
        <f>'Buildings - Water'!I75</f>
        <v>0</v>
      </c>
      <c r="S1129" s="193">
        <f>'Buildings - Water'!J75</f>
        <v>0</v>
      </c>
      <c r="T1129" s="193" t="str">
        <f>'Buildings - Water'!K75</f>
        <v/>
      </c>
      <c r="U1129" s="193" t="str">
        <f>'Buildings - Water'!L75</f>
        <v/>
      </c>
      <c r="V1129" s="193" t="str">
        <f>'Buildings - Water'!M75</f>
        <v/>
      </c>
      <c r="W1129" s="193" t="str">
        <f>'Buildings - Water'!N75</f>
        <v/>
      </c>
      <c r="X1129" s="193">
        <f>'Buildings - Water'!O75</f>
        <v>0</v>
      </c>
      <c r="Y1129" s="193">
        <f>'Buildings - Water'!P75</f>
        <v>0</v>
      </c>
      <c r="Z1129" s="193" t="str">
        <f>'Buildings - Water'!Q75</f>
        <v/>
      </c>
      <c r="AA1129" s="193" t="str">
        <f>'Buildings - Water'!R75</f>
        <v/>
      </c>
      <c r="AB1129" s="193" t="str">
        <f>'Buildings - Water'!S75</f>
        <v/>
      </c>
      <c r="AC1129" s="193" t="str">
        <f>'Buildings - Water'!T75</f>
        <v/>
      </c>
      <c r="AD1129" s="193" t="str">
        <f>'Buildings - Water'!U75</f>
        <v/>
      </c>
      <c r="AE1129" s="193" t="str">
        <f>'Buildings - Water'!V75</f>
        <v/>
      </c>
      <c r="AF1129" s="193" t="str">
        <f>'Buildings - Water'!W75</f>
        <v/>
      </c>
      <c r="AG1129" s="193" t="str">
        <f>'Buildings - Water'!X75</f>
        <v/>
      </c>
      <c r="AI1129" s="193">
        <f t="shared" si="18"/>
        <v>0</v>
      </c>
      <c r="AJ1129" s="193">
        <f t="shared" si="19"/>
        <v>0</v>
      </c>
    </row>
    <row r="1130" spans="2:36" x14ac:dyDescent="0.35">
      <c r="B1130" s="193" t="e">
        <f>"2024"&amp;MATCH(Totals!D1130,OrgType,0)&amp;"_"&amp;MATCH(Totals!E1130,Organisations,0)&amp;"_"&amp;LEFT(Totals!F1130,1)&amp;"_"&amp;LEFT(G1130,1)&amp;"_"&amp;COUNTIF($G$3:G1130,G1130)</f>
        <v>#N/A</v>
      </c>
      <c r="C1130" s="193">
        <v>2025</v>
      </c>
      <c r="D1130" s="193">
        <f>Introduction!$D$7</f>
        <v>0</v>
      </c>
      <c r="E1130" s="193">
        <f>Introduction!$D$8</f>
        <v>0</v>
      </c>
      <c r="F1130" s="193" t="s">
        <v>488</v>
      </c>
      <c r="G1130" s="193" t="s">
        <v>208</v>
      </c>
      <c r="H1130" s="193">
        <f>'Buildings - Water'!B76</f>
        <v>0</v>
      </c>
      <c r="I1130" s="193">
        <f>'Buildings - Water'!C76</f>
        <v>0</v>
      </c>
      <c r="J1130" s="193" t="str">
        <f>'Buildings - Water'!D76</f>
        <v/>
      </c>
      <c r="K1130" s="237"/>
      <c r="L1130" s="237"/>
      <c r="M1130" s="193" t="str">
        <f>'Buildings - Water'!E76</f>
        <v/>
      </c>
      <c r="N1130" s="193">
        <f>'Buildings - Water'!F76</f>
        <v>0</v>
      </c>
      <c r="O1130" s="237"/>
      <c r="P1130" s="193">
        <f>'Buildings - Water'!G76</f>
        <v>0</v>
      </c>
      <c r="Q1130" s="193" t="str">
        <f>'Buildings - Water'!H76</f>
        <v/>
      </c>
      <c r="R1130" s="193">
        <f>'Buildings - Water'!I76</f>
        <v>0</v>
      </c>
      <c r="S1130" s="193">
        <f>'Buildings - Water'!J76</f>
        <v>0</v>
      </c>
      <c r="T1130" s="193" t="str">
        <f>'Buildings - Water'!K76</f>
        <v/>
      </c>
      <c r="U1130" s="193" t="str">
        <f>'Buildings - Water'!L76</f>
        <v/>
      </c>
      <c r="V1130" s="193" t="str">
        <f>'Buildings - Water'!M76</f>
        <v/>
      </c>
      <c r="W1130" s="193" t="str">
        <f>'Buildings - Water'!N76</f>
        <v/>
      </c>
      <c r="X1130" s="193">
        <f>'Buildings - Water'!O76</f>
        <v>0</v>
      </c>
      <c r="Y1130" s="193">
        <f>'Buildings - Water'!P76</f>
        <v>0</v>
      </c>
      <c r="Z1130" s="193" t="str">
        <f>'Buildings - Water'!Q76</f>
        <v/>
      </c>
      <c r="AA1130" s="193" t="str">
        <f>'Buildings - Water'!R76</f>
        <v/>
      </c>
      <c r="AB1130" s="193" t="str">
        <f>'Buildings - Water'!S76</f>
        <v/>
      </c>
      <c r="AC1130" s="193" t="str">
        <f>'Buildings - Water'!T76</f>
        <v/>
      </c>
      <c r="AD1130" s="193" t="str">
        <f>'Buildings - Water'!U76</f>
        <v/>
      </c>
      <c r="AE1130" s="193" t="str">
        <f>'Buildings - Water'!V76</f>
        <v/>
      </c>
      <c r="AF1130" s="193" t="str">
        <f>'Buildings - Water'!W76</f>
        <v/>
      </c>
      <c r="AG1130" s="193" t="str">
        <f>'Buildings - Water'!X76</f>
        <v/>
      </c>
      <c r="AI1130" s="193">
        <f t="shared" si="18"/>
        <v>0</v>
      </c>
      <c r="AJ1130" s="193">
        <f t="shared" si="19"/>
        <v>0</v>
      </c>
    </row>
    <row r="1131" spans="2:36" x14ac:dyDescent="0.35">
      <c r="B1131" s="193" t="e">
        <f>"2024"&amp;MATCH(Totals!D1131,OrgType,0)&amp;"_"&amp;MATCH(Totals!E1131,Organisations,0)&amp;"_"&amp;LEFT(Totals!F1131,1)&amp;"_"&amp;LEFT(G1131,1)&amp;"_"&amp;COUNTIF($G$3:G1131,G1131)</f>
        <v>#N/A</v>
      </c>
      <c r="C1131" s="193">
        <v>2025</v>
      </c>
      <c r="D1131" s="193">
        <f>Introduction!$D$7</f>
        <v>0</v>
      </c>
      <c r="E1131" s="193">
        <f>Introduction!$D$8</f>
        <v>0</v>
      </c>
      <c r="F1131" s="193" t="s">
        <v>488</v>
      </c>
      <c r="G1131" s="193" t="s">
        <v>208</v>
      </c>
      <c r="H1131" s="193">
        <f>'Buildings - Water'!B77</f>
        <v>0</v>
      </c>
      <c r="I1131" s="193">
        <f>'Buildings - Water'!C77</f>
        <v>0</v>
      </c>
      <c r="J1131" s="193" t="str">
        <f>'Buildings - Water'!D77</f>
        <v/>
      </c>
      <c r="K1131" s="237"/>
      <c r="L1131" s="237"/>
      <c r="M1131" s="193" t="str">
        <f>'Buildings - Water'!E77</f>
        <v/>
      </c>
      <c r="N1131" s="193">
        <f>'Buildings - Water'!F77</f>
        <v>0</v>
      </c>
      <c r="O1131" s="237"/>
      <c r="P1131" s="193">
        <f>'Buildings - Water'!G77</f>
        <v>0</v>
      </c>
      <c r="Q1131" s="193" t="str">
        <f>'Buildings - Water'!H77</f>
        <v/>
      </c>
      <c r="R1131" s="193">
        <f>'Buildings - Water'!I77</f>
        <v>0</v>
      </c>
      <c r="S1131" s="193">
        <f>'Buildings - Water'!J77</f>
        <v>0</v>
      </c>
      <c r="T1131" s="193" t="str">
        <f>'Buildings - Water'!K77</f>
        <v/>
      </c>
      <c r="U1131" s="193" t="str">
        <f>'Buildings - Water'!L77</f>
        <v/>
      </c>
      <c r="V1131" s="193" t="str">
        <f>'Buildings - Water'!M77</f>
        <v/>
      </c>
      <c r="W1131" s="193" t="str">
        <f>'Buildings - Water'!N77</f>
        <v/>
      </c>
      <c r="X1131" s="193">
        <f>'Buildings - Water'!O77</f>
        <v>0</v>
      </c>
      <c r="Y1131" s="193">
        <f>'Buildings - Water'!P77</f>
        <v>0</v>
      </c>
      <c r="Z1131" s="193" t="str">
        <f>'Buildings - Water'!Q77</f>
        <v/>
      </c>
      <c r="AA1131" s="193" t="str">
        <f>'Buildings - Water'!R77</f>
        <v/>
      </c>
      <c r="AB1131" s="193" t="str">
        <f>'Buildings - Water'!S77</f>
        <v/>
      </c>
      <c r="AC1131" s="193" t="str">
        <f>'Buildings - Water'!T77</f>
        <v/>
      </c>
      <c r="AD1131" s="193" t="str">
        <f>'Buildings - Water'!U77</f>
        <v/>
      </c>
      <c r="AE1131" s="193" t="str">
        <f>'Buildings - Water'!V77</f>
        <v/>
      </c>
      <c r="AF1131" s="193" t="str">
        <f>'Buildings - Water'!W77</f>
        <v/>
      </c>
      <c r="AG1131" s="193" t="str">
        <f>'Buildings - Water'!X77</f>
        <v/>
      </c>
      <c r="AI1131" s="193">
        <f t="shared" si="18"/>
        <v>0</v>
      </c>
      <c r="AJ1131" s="193">
        <f t="shared" si="19"/>
        <v>0</v>
      </c>
    </row>
    <row r="1132" spans="2:36" x14ac:dyDescent="0.35">
      <c r="B1132" s="193" t="e">
        <f>"2024"&amp;MATCH(Totals!D1132,OrgType,0)&amp;"_"&amp;MATCH(Totals!E1132,Organisations,0)&amp;"_"&amp;LEFT(Totals!F1132,1)&amp;"_"&amp;LEFT(G1132,1)&amp;"_"&amp;COUNTIF($G$3:G1132,G1132)</f>
        <v>#N/A</v>
      </c>
      <c r="C1132" s="193">
        <v>2025</v>
      </c>
      <c r="D1132" s="193">
        <f>Introduction!$D$7</f>
        <v>0</v>
      </c>
      <c r="E1132" s="193">
        <f>Introduction!$D$8</f>
        <v>0</v>
      </c>
      <c r="F1132" s="193" t="s">
        <v>488</v>
      </c>
      <c r="G1132" s="193" t="s">
        <v>208</v>
      </c>
      <c r="H1132" s="193">
        <f>'Buildings - Water'!B78</f>
        <v>0</v>
      </c>
      <c r="I1132" s="193">
        <f>'Buildings - Water'!C78</f>
        <v>0</v>
      </c>
      <c r="J1132" s="193" t="str">
        <f>'Buildings - Water'!D78</f>
        <v/>
      </c>
      <c r="K1132" s="237"/>
      <c r="L1132" s="237"/>
      <c r="M1132" s="193" t="str">
        <f>'Buildings - Water'!E78</f>
        <v/>
      </c>
      <c r="N1132" s="193">
        <f>'Buildings - Water'!F78</f>
        <v>0</v>
      </c>
      <c r="O1132" s="237"/>
      <c r="P1132" s="193">
        <f>'Buildings - Water'!G78</f>
        <v>0</v>
      </c>
      <c r="Q1132" s="193" t="str">
        <f>'Buildings - Water'!H78</f>
        <v/>
      </c>
      <c r="R1132" s="193">
        <f>'Buildings - Water'!I78</f>
        <v>0</v>
      </c>
      <c r="S1132" s="193">
        <f>'Buildings - Water'!J78</f>
        <v>0</v>
      </c>
      <c r="T1132" s="193" t="str">
        <f>'Buildings - Water'!K78</f>
        <v/>
      </c>
      <c r="U1132" s="193" t="str">
        <f>'Buildings - Water'!L78</f>
        <v/>
      </c>
      <c r="V1132" s="193" t="str">
        <f>'Buildings - Water'!M78</f>
        <v/>
      </c>
      <c r="W1132" s="193" t="str">
        <f>'Buildings - Water'!N78</f>
        <v/>
      </c>
      <c r="X1132" s="193">
        <f>'Buildings - Water'!O78</f>
        <v>0</v>
      </c>
      <c r="Y1132" s="193">
        <f>'Buildings - Water'!P78</f>
        <v>0</v>
      </c>
      <c r="Z1132" s="193" t="str">
        <f>'Buildings - Water'!Q78</f>
        <v/>
      </c>
      <c r="AA1132" s="193" t="str">
        <f>'Buildings - Water'!R78</f>
        <v/>
      </c>
      <c r="AB1132" s="193" t="str">
        <f>'Buildings - Water'!S78</f>
        <v/>
      </c>
      <c r="AC1132" s="193" t="str">
        <f>'Buildings - Water'!T78</f>
        <v/>
      </c>
      <c r="AD1132" s="193" t="str">
        <f>'Buildings - Water'!U78</f>
        <v/>
      </c>
      <c r="AE1132" s="193" t="str">
        <f>'Buildings - Water'!V78</f>
        <v/>
      </c>
      <c r="AF1132" s="193" t="str">
        <f>'Buildings - Water'!W78</f>
        <v/>
      </c>
      <c r="AG1132" s="193" t="str">
        <f>'Buildings - Water'!X78</f>
        <v/>
      </c>
      <c r="AI1132" s="193">
        <f t="shared" si="18"/>
        <v>0</v>
      </c>
      <c r="AJ1132" s="193">
        <f t="shared" si="19"/>
        <v>0</v>
      </c>
    </row>
    <row r="1133" spans="2:36" x14ac:dyDescent="0.35">
      <c r="B1133" s="193" t="e">
        <f>"2024"&amp;MATCH(Totals!D1133,OrgType,0)&amp;"_"&amp;MATCH(Totals!E1133,Organisations,0)&amp;"_"&amp;LEFT(Totals!F1133,1)&amp;"_"&amp;LEFT(G1133,1)&amp;"_"&amp;COUNTIF($G$3:G1133,G1133)</f>
        <v>#N/A</v>
      </c>
      <c r="C1133" s="193">
        <v>2025</v>
      </c>
      <c r="D1133" s="193">
        <f>Introduction!$D$7</f>
        <v>0</v>
      </c>
      <c r="E1133" s="193">
        <f>Introduction!$D$8</f>
        <v>0</v>
      </c>
      <c r="F1133" s="193" t="s">
        <v>488</v>
      </c>
      <c r="G1133" s="193" t="s">
        <v>208</v>
      </c>
      <c r="H1133" s="193">
        <f>'Buildings - Water'!B79</f>
        <v>0</v>
      </c>
      <c r="I1133" s="193">
        <f>'Buildings - Water'!C79</f>
        <v>0</v>
      </c>
      <c r="J1133" s="193" t="str">
        <f>'Buildings - Water'!D79</f>
        <v/>
      </c>
      <c r="K1133" s="237"/>
      <c r="L1133" s="237"/>
      <c r="M1133" s="193" t="str">
        <f>'Buildings - Water'!E79</f>
        <v/>
      </c>
      <c r="N1133" s="193">
        <f>'Buildings - Water'!F79</f>
        <v>0</v>
      </c>
      <c r="O1133" s="237"/>
      <c r="P1133" s="193">
        <f>'Buildings - Water'!G79</f>
        <v>0</v>
      </c>
      <c r="Q1133" s="193" t="str">
        <f>'Buildings - Water'!H79</f>
        <v/>
      </c>
      <c r="R1133" s="193">
        <f>'Buildings - Water'!I79</f>
        <v>0</v>
      </c>
      <c r="S1133" s="193">
        <f>'Buildings - Water'!J79</f>
        <v>0</v>
      </c>
      <c r="T1133" s="193" t="str">
        <f>'Buildings - Water'!K79</f>
        <v/>
      </c>
      <c r="U1133" s="193" t="str">
        <f>'Buildings - Water'!L79</f>
        <v/>
      </c>
      <c r="V1133" s="193" t="str">
        <f>'Buildings - Water'!M79</f>
        <v/>
      </c>
      <c r="W1133" s="193" t="str">
        <f>'Buildings - Water'!N79</f>
        <v/>
      </c>
      <c r="X1133" s="193">
        <f>'Buildings - Water'!O79</f>
        <v>0</v>
      </c>
      <c r="Y1133" s="193">
        <f>'Buildings - Water'!P79</f>
        <v>0</v>
      </c>
      <c r="Z1133" s="193" t="str">
        <f>'Buildings - Water'!Q79</f>
        <v/>
      </c>
      <c r="AA1133" s="193" t="str">
        <f>'Buildings - Water'!R79</f>
        <v/>
      </c>
      <c r="AB1133" s="193" t="str">
        <f>'Buildings - Water'!S79</f>
        <v/>
      </c>
      <c r="AC1133" s="193" t="str">
        <f>'Buildings - Water'!T79</f>
        <v/>
      </c>
      <c r="AD1133" s="193" t="str">
        <f>'Buildings - Water'!U79</f>
        <v/>
      </c>
      <c r="AE1133" s="193" t="str">
        <f>'Buildings - Water'!V79</f>
        <v/>
      </c>
      <c r="AF1133" s="193" t="str">
        <f>'Buildings - Water'!W79</f>
        <v/>
      </c>
      <c r="AG1133" s="193" t="str">
        <f>'Buildings - Water'!X79</f>
        <v/>
      </c>
      <c r="AI1133" s="193">
        <f t="shared" si="18"/>
        <v>0</v>
      </c>
      <c r="AJ1133" s="193">
        <f t="shared" si="19"/>
        <v>0</v>
      </c>
    </row>
    <row r="1134" spans="2:36" x14ac:dyDescent="0.35">
      <c r="B1134" s="193" t="e">
        <f>"2024"&amp;MATCH(Totals!D1134,OrgType,0)&amp;"_"&amp;MATCH(Totals!E1134,Organisations,0)&amp;"_"&amp;LEFT(Totals!F1134,1)&amp;"_"&amp;LEFT(G1134,1)&amp;"_"&amp;COUNTIF($G$3:G1134,G1134)</f>
        <v>#N/A</v>
      </c>
      <c r="C1134" s="193">
        <v>2025</v>
      </c>
      <c r="D1134" s="193">
        <f>Introduction!$D$7</f>
        <v>0</v>
      </c>
      <c r="E1134" s="193">
        <f>Introduction!$D$8</f>
        <v>0</v>
      </c>
      <c r="F1134" s="193" t="s">
        <v>488</v>
      </c>
      <c r="G1134" s="193" t="s">
        <v>208</v>
      </c>
      <c r="H1134" s="193">
        <f>'Buildings - Water'!B80</f>
        <v>0</v>
      </c>
      <c r="I1134" s="193">
        <f>'Buildings - Water'!C80</f>
        <v>0</v>
      </c>
      <c r="J1134" s="193" t="str">
        <f>'Buildings - Water'!D80</f>
        <v/>
      </c>
      <c r="K1134" s="237"/>
      <c r="L1134" s="237"/>
      <c r="M1134" s="193" t="str">
        <f>'Buildings - Water'!E80</f>
        <v/>
      </c>
      <c r="N1134" s="193">
        <f>'Buildings - Water'!F80</f>
        <v>0</v>
      </c>
      <c r="O1134" s="237"/>
      <c r="P1134" s="193">
        <f>'Buildings - Water'!G80</f>
        <v>0</v>
      </c>
      <c r="Q1134" s="193" t="str">
        <f>'Buildings - Water'!H80</f>
        <v/>
      </c>
      <c r="R1134" s="193">
        <f>'Buildings - Water'!I80</f>
        <v>0</v>
      </c>
      <c r="S1134" s="193">
        <f>'Buildings - Water'!J80</f>
        <v>0</v>
      </c>
      <c r="T1134" s="193" t="str">
        <f>'Buildings - Water'!K80</f>
        <v/>
      </c>
      <c r="U1134" s="193" t="str">
        <f>'Buildings - Water'!L80</f>
        <v/>
      </c>
      <c r="V1134" s="193" t="str">
        <f>'Buildings - Water'!M80</f>
        <v/>
      </c>
      <c r="W1134" s="193" t="str">
        <f>'Buildings - Water'!N80</f>
        <v/>
      </c>
      <c r="X1134" s="193">
        <f>'Buildings - Water'!O80</f>
        <v>0</v>
      </c>
      <c r="Y1134" s="193">
        <f>'Buildings - Water'!P80</f>
        <v>0</v>
      </c>
      <c r="Z1134" s="193" t="str">
        <f>'Buildings - Water'!Q80</f>
        <v/>
      </c>
      <c r="AA1134" s="193" t="str">
        <f>'Buildings - Water'!R80</f>
        <v/>
      </c>
      <c r="AB1134" s="193" t="str">
        <f>'Buildings - Water'!S80</f>
        <v/>
      </c>
      <c r="AC1134" s="193" t="str">
        <f>'Buildings - Water'!T80</f>
        <v/>
      </c>
      <c r="AD1134" s="193" t="str">
        <f>'Buildings - Water'!U80</f>
        <v/>
      </c>
      <c r="AE1134" s="193" t="str">
        <f>'Buildings - Water'!V80</f>
        <v/>
      </c>
      <c r="AF1134" s="193" t="str">
        <f>'Buildings - Water'!W80</f>
        <v/>
      </c>
      <c r="AG1134" s="193" t="str">
        <f>'Buildings - Water'!X80</f>
        <v/>
      </c>
      <c r="AI1134" s="193">
        <f t="shared" si="18"/>
        <v>0</v>
      </c>
      <c r="AJ1134" s="193">
        <f t="shared" si="19"/>
        <v>0</v>
      </c>
    </row>
    <row r="1135" spans="2:36" x14ac:dyDescent="0.35">
      <c r="B1135" s="193" t="e">
        <f>"2024"&amp;MATCH(Totals!D1135,OrgType,0)&amp;"_"&amp;MATCH(Totals!E1135,Organisations,0)&amp;"_"&amp;LEFT(Totals!F1135,1)&amp;"_"&amp;LEFT(G1135,1)&amp;"_"&amp;COUNTIF($G$3:G1135,G1135)</f>
        <v>#N/A</v>
      </c>
      <c r="C1135" s="193">
        <v>2025</v>
      </c>
      <c r="D1135" s="193">
        <f>Introduction!$D$7</f>
        <v>0</v>
      </c>
      <c r="E1135" s="193">
        <f>Introduction!$D$8</f>
        <v>0</v>
      </c>
      <c r="F1135" s="193" t="s">
        <v>488</v>
      </c>
      <c r="G1135" s="193" t="s">
        <v>208</v>
      </c>
      <c r="H1135" s="193">
        <f>'Buildings - Water'!B81</f>
        <v>0</v>
      </c>
      <c r="I1135" s="193">
        <f>'Buildings - Water'!C81</f>
        <v>0</v>
      </c>
      <c r="J1135" s="193" t="str">
        <f>'Buildings - Water'!D81</f>
        <v/>
      </c>
      <c r="K1135" s="237"/>
      <c r="L1135" s="237"/>
      <c r="M1135" s="193" t="str">
        <f>'Buildings - Water'!E81</f>
        <v/>
      </c>
      <c r="N1135" s="193">
        <f>'Buildings - Water'!F81</f>
        <v>0</v>
      </c>
      <c r="O1135" s="237"/>
      <c r="P1135" s="193">
        <f>'Buildings - Water'!G81</f>
        <v>0</v>
      </c>
      <c r="Q1135" s="193" t="str">
        <f>'Buildings - Water'!H81</f>
        <v/>
      </c>
      <c r="R1135" s="193">
        <f>'Buildings - Water'!I81</f>
        <v>0</v>
      </c>
      <c r="S1135" s="193">
        <f>'Buildings - Water'!J81</f>
        <v>0</v>
      </c>
      <c r="T1135" s="193" t="str">
        <f>'Buildings - Water'!K81</f>
        <v/>
      </c>
      <c r="U1135" s="193" t="str">
        <f>'Buildings - Water'!L81</f>
        <v/>
      </c>
      <c r="V1135" s="193" t="str">
        <f>'Buildings - Water'!M81</f>
        <v/>
      </c>
      <c r="W1135" s="193" t="str">
        <f>'Buildings - Water'!N81</f>
        <v/>
      </c>
      <c r="X1135" s="193">
        <f>'Buildings - Water'!O81</f>
        <v>0</v>
      </c>
      <c r="Y1135" s="193">
        <f>'Buildings - Water'!P81</f>
        <v>0</v>
      </c>
      <c r="Z1135" s="193" t="str">
        <f>'Buildings - Water'!Q81</f>
        <v/>
      </c>
      <c r="AA1135" s="193" t="str">
        <f>'Buildings - Water'!R81</f>
        <v/>
      </c>
      <c r="AB1135" s="193" t="str">
        <f>'Buildings - Water'!S81</f>
        <v/>
      </c>
      <c r="AC1135" s="193" t="str">
        <f>'Buildings - Water'!T81</f>
        <v/>
      </c>
      <c r="AD1135" s="193" t="str">
        <f>'Buildings - Water'!U81</f>
        <v/>
      </c>
      <c r="AE1135" s="193" t="str">
        <f>'Buildings - Water'!V81</f>
        <v/>
      </c>
      <c r="AF1135" s="193" t="str">
        <f>'Buildings - Water'!W81</f>
        <v/>
      </c>
      <c r="AG1135" s="193" t="str">
        <f>'Buildings - Water'!X81</f>
        <v/>
      </c>
      <c r="AI1135" s="193">
        <f t="shared" si="18"/>
        <v>0</v>
      </c>
      <c r="AJ1135" s="193">
        <f t="shared" si="19"/>
        <v>0</v>
      </c>
    </row>
    <row r="1136" spans="2:36" x14ac:dyDescent="0.35">
      <c r="B1136" s="193" t="e">
        <f>"2024"&amp;MATCH(Totals!D1136,OrgType,0)&amp;"_"&amp;MATCH(Totals!E1136,Organisations,0)&amp;"_"&amp;LEFT(Totals!F1136,1)&amp;"_"&amp;LEFT(G1136,1)&amp;"_"&amp;COUNTIF($G$3:G1136,G1136)</f>
        <v>#N/A</v>
      </c>
      <c r="C1136" s="193">
        <v>2025</v>
      </c>
      <c r="D1136" s="193">
        <f>Introduction!$D$7</f>
        <v>0</v>
      </c>
      <c r="E1136" s="193">
        <f>Introduction!$D$8</f>
        <v>0</v>
      </c>
      <c r="F1136" s="193" t="s">
        <v>488</v>
      </c>
      <c r="G1136" s="193" t="s">
        <v>208</v>
      </c>
      <c r="H1136" s="193">
        <f>'Buildings - Water'!B82</f>
        <v>0</v>
      </c>
      <c r="I1136" s="193">
        <f>'Buildings - Water'!C82</f>
        <v>0</v>
      </c>
      <c r="J1136" s="193" t="str">
        <f>'Buildings - Water'!D82</f>
        <v/>
      </c>
      <c r="K1136" s="237"/>
      <c r="L1136" s="237"/>
      <c r="M1136" s="193" t="str">
        <f>'Buildings - Water'!E82</f>
        <v/>
      </c>
      <c r="N1136" s="193">
        <f>'Buildings - Water'!F82</f>
        <v>0</v>
      </c>
      <c r="O1136" s="237"/>
      <c r="P1136" s="193">
        <f>'Buildings - Water'!G82</f>
        <v>0</v>
      </c>
      <c r="Q1136" s="193" t="str">
        <f>'Buildings - Water'!H82</f>
        <v/>
      </c>
      <c r="R1136" s="193">
        <f>'Buildings - Water'!I82</f>
        <v>0</v>
      </c>
      <c r="S1136" s="193">
        <f>'Buildings - Water'!J82</f>
        <v>0</v>
      </c>
      <c r="T1136" s="193" t="str">
        <f>'Buildings - Water'!K82</f>
        <v/>
      </c>
      <c r="U1136" s="193" t="str">
        <f>'Buildings - Water'!L82</f>
        <v/>
      </c>
      <c r="V1136" s="193" t="str">
        <f>'Buildings - Water'!M82</f>
        <v/>
      </c>
      <c r="W1136" s="193" t="str">
        <f>'Buildings - Water'!N82</f>
        <v/>
      </c>
      <c r="X1136" s="193">
        <f>'Buildings - Water'!O82</f>
        <v>0</v>
      </c>
      <c r="Y1136" s="193">
        <f>'Buildings - Water'!P82</f>
        <v>0</v>
      </c>
      <c r="Z1136" s="193" t="str">
        <f>'Buildings - Water'!Q82</f>
        <v/>
      </c>
      <c r="AA1136" s="193" t="str">
        <f>'Buildings - Water'!R82</f>
        <v/>
      </c>
      <c r="AB1136" s="193" t="str">
        <f>'Buildings - Water'!S82</f>
        <v/>
      </c>
      <c r="AC1136" s="193" t="str">
        <f>'Buildings - Water'!T82</f>
        <v/>
      </c>
      <c r="AD1136" s="193" t="str">
        <f>'Buildings - Water'!U82</f>
        <v/>
      </c>
      <c r="AE1136" s="193" t="str">
        <f>'Buildings - Water'!V82</f>
        <v/>
      </c>
      <c r="AF1136" s="193" t="str">
        <f>'Buildings - Water'!W82</f>
        <v/>
      </c>
      <c r="AG1136" s="193" t="str">
        <f>'Buildings - Water'!X82</f>
        <v/>
      </c>
      <c r="AI1136" s="193">
        <f t="shared" si="18"/>
        <v>0</v>
      </c>
      <c r="AJ1136" s="193">
        <f t="shared" si="19"/>
        <v>0</v>
      </c>
    </row>
    <row r="1137" spans="2:36" x14ac:dyDescent="0.35">
      <c r="B1137" s="193" t="e">
        <f>"2024"&amp;MATCH(Totals!D1137,OrgType,0)&amp;"_"&amp;MATCH(Totals!E1137,Organisations,0)&amp;"_"&amp;LEFT(Totals!F1137,1)&amp;"_"&amp;LEFT(G1137,1)&amp;"_"&amp;COUNTIF($G$3:G1137,G1137)</f>
        <v>#N/A</v>
      </c>
      <c r="C1137" s="193">
        <v>2025</v>
      </c>
      <c r="D1137" s="193">
        <f>Introduction!$D$7</f>
        <v>0</v>
      </c>
      <c r="E1137" s="193">
        <f>Introduction!$D$8</f>
        <v>0</v>
      </c>
      <c r="F1137" s="193" t="s">
        <v>488</v>
      </c>
      <c r="G1137" s="193" t="s">
        <v>208</v>
      </c>
      <c r="H1137" s="193">
        <f>'Buildings - Water'!B83</f>
        <v>0</v>
      </c>
      <c r="I1137" s="193">
        <f>'Buildings - Water'!C83</f>
        <v>0</v>
      </c>
      <c r="J1137" s="193" t="str">
        <f>'Buildings - Water'!D83</f>
        <v/>
      </c>
      <c r="K1137" s="237"/>
      <c r="L1137" s="237"/>
      <c r="M1137" s="193" t="str">
        <f>'Buildings - Water'!E83</f>
        <v/>
      </c>
      <c r="N1137" s="193">
        <f>'Buildings - Water'!F83</f>
        <v>0</v>
      </c>
      <c r="O1137" s="237"/>
      <c r="P1137" s="193">
        <f>'Buildings - Water'!G83</f>
        <v>0</v>
      </c>
      <c r="Q1137" s="193" t="str">
        <f>'Buildings - Water'!H83</f>
        <v/>
      </c>
      <c r="R1137" s="193">
        <f>'Buildings - Water'!I83</f>
        <v>0</v>
      </c>
      <c r="S1137" s="193">
        <f>'Buildings - Water'!J83</f>
        <v>0</v>
      </c>
      <c r="T1137" s="193" t="str">
        <f>'Buildings - Water'!K83</f>
        <v/>
      </c>
      <c r="U1137" s="193" t="str">
        <f>'Buildings - Water'!L83</f>
        <v/>
      </c>
      <c r="V1137" s="193" t="str">
        <f>'Buildings - Water'!M83</f>
        <v/>
      </c>
      <c r="W1137" s="193" t="str">
        <f>'Buildings - Water'!N83</f>
        <v/>
      </c>
      <c r="X1137" s="193">
        <f>'Buildings - Water'!O83</f>
        <v>0</v>
      </c>
      <c r="Y1137" s="193">
        <f>'Buildings - Water'!P83</f>
        <v>0</v>
      </c>
      <c r="Z1137" s="193" t="str">
        <f>'Buildings - Water'!Q83</f>
        <v/>
      </c>
      <c r="AA1137" s="193" t="str">
        <f>'Buildings - Water'!R83</f>
        <v/>
      </c>
      <c r="AB1137" s="193" t="str">
        <f>'Buildings - Water'!S83</f>
        <v/>
      </c>
      <c r="AC1137" s="193" t="str">
        <f>'Buildings - Water'!T83</f>
        <v/>
      </c>
      <c r="AD1137" s="193" t="str">
        <f>'Buildings - Water'!U83</f>
        <v/>
      </c>
      <c r="AE1137" s="193" t="str">
        <f>'Buildings - Water'!V83</f>
        <v/>
      </c>
      <c r="AF1137" s="193" t="str">
        <f>'Buildings - Water'!W83</f>
        <v/>
      </c>
      <c r="AG1137" s="193" t="str">
        <f>'Buildings - Water'!X83</f>
        <v/>
      </c>
      <c r="AI1137" s="193">
        <f t="shared" si="18"/>
        <v>0</v>
      </c>
      <c r="AJ1137" s="193">
        <f t="shared" si="19"/>
        <v>0</v>
      </c>
    </row>
    <row r="1138" spans="2:36" x14ac:dyDescent="0.35">
      <c r="B1138" s="193" t="e">
        <f>"2024"&amp;MATCH(Totals!D1138,OrgType,0)&amp;"_"&amp;MATCH(Totals!E1138,Organisations,0)&amp;"_"&amp;LEFT(Totals!F1138,1)&amp;"_"&amp;LEFT(G1138,1)&amp;"_"&amp;COUNTIF($G$3:G1138,G1138)</f>
        <v>#N/A</v>
      </c>
      <c r="C1138" s="193">
        <v>2025</v>
      </c>
      <c r="D1138" s="193">
        <f>Introduction!$D$7</f>
        <v>0</v>
      </c>
      <c r="E1138" s="193">
        <f>Introduction!$D$8</f>
        <v>0</v>
      </c>
      <c r="F1138" s="193" t="s">
        <v>488</v>
      </c>
      <c r="G1138" s="193" t="s">
        <v>195</v>
      </c>
      <c r="H1138" s="193">
        <f>'Buildings - Grid Electricity'!B505</f>
        <v>0</v>
      </c>
      <c r="I1138" s="237"/>
      <c r="J1138" s="193">
        <f>'Buildings - Grid Electricity'!C505</f>
        <v>0</v>
      </c>
      <c r="K1138" s="237"/>
      <c r="L1138" s="237"/>
      <c r="M1138" s="193" t="str">
        <f>'Buildings - Grid Electricity'!D505</f>
        <v/>
      </c>
      <c r="N1138" s="193" t="str">
        <f>'Buildings - Grid Electricity'!E505</f>
        <v/>
      </c>
      <c r="O1138" s="237"/>
      <c r="P1138" s="193">
        <f>'Buildings - Grid Electricity'!F505</f>
        <v>0</v>
      </c>
      <c r="Q1138" s="193" t="str">
        <f>'Buildings - Grid Electricity'!G505</f>
        <v/>
      </c>
      <c r="R1138" s="193">
        <f>'Buildings - Grid Electricity'!H505</f>
        <v>0</v>
      </c>
      <c r="S1138" s="193" t="str">
        <f>'Buildings - Grid Electricity'!I505</f>
        <v/>
      </c>
      <c r="T1138" s="193" t="str">
        <f>'Buildings - Grid Electricity'!J505</f>
        <v/>
      </c>
      <c r="U1138" s="193" t="str">
        <f>'Buildings - Grid Electricity'!K505</f>
        <v/>
      </c>
      <c r="V1138" s="193" t="str">
        <f>'Buildings - Grid Electricity'!L505</f>
        <v/>
      </c>
      <c r="W1138" s="193" t="str">
        <f>'Buildings - Grid Electricity'!M505</f>
        <v/>
      </c>
      <c r="X1138" s="193">
        <f>'Buildings - Grid Electricity'!N505</f>
        <v>0</v>
      </c>
      <c r="Y1138" s="193">
        <f>'Buildings - Grid Electricity'!O505</f>
        <v>0</v>
      </c>
      <c r="Z1138" s="193" t="str">
        <f>'Buildings - Grid Electricity'!P505</f>
        <v/>
      </c>
      <c r="AA1138" s="193" t="str">
        <f>'Buildings - Grid Electricity'!Q505</f>
        <v/>
      </c>
      <c r="AB1138" s="193" t="str">
        <f>'Buildings - Grid Electricity'!R505</f>
        <v/>
      </c>
      <c r="AC1138" s="193" t="str">
        <f>'Buildings - Grid Electricity'!S505</f>
        <v/>
      </c>
      <c r="AD1138" s="193" t="str">
        <f>'Buildings - Grid Electricity'!T505</f>
        <v/>
      </c>
      <c r="AE1138" s="193" t="str">
        <f>'Buildings - Grid Electricity'!U505</f>
        <v/>
      </c>
      <c r="AF1138" s="193" t="str">
        <f>'Buildings - Grid Electricity'!V505</f>
        <v/>
      </c>
      <c r="AG1138" s="193" t="str">
        <f>'Buildings - Grid Electricity'!W505</f>
        <v/>
      </c>
      <c r="AI1138" s="193">
        <f t="shared" si="18"/>
        <v>0</v>
      </c>
      <c r="AJ1138" s="193">
        <f t="shared" si="19"/>
        <v>0</v>
      </c>
    </row>
    <row r="1139" spans="2:36" x14ac:dyDescent="0.35">
      <c r="B1139" s="193" t="e">
        <f>"2024"&amp;MATCH(Totals!D1139,OrgType,0)&amp;"_"&amp;MATCH(Totals!E1139,Organisations,0)&amp;"_"&amp;LEFT(Totals!F1139,1)&amp;"_"&amp;LEFT(G1139,1)&amp;"_"&amp;COUNTIF($G$3:G1139,G1139)</f>
        <v>#N/A</v>
      </c>
      <c r="C1139" s="193">
        <v>2025</v>
      </c>
      <c r="D1139" s="193">
        <f>Introduction!$D$7</f>
        <v>0</v>
      </c>
      <c r="E1139" s="193">
        <f>Introduction!$D$8</f>
        <v>0</v>
      </c>
      <c r="F1139" s="193" t="s">
        <v>488</v>
      </c>
      <c r="G1139" s="193" t="s">
        <v>195</v>
      </c>
      <c r="H1139" s="193">
        <f>'Buildings - Grid Electricity'!B506</f>
        <v>0</v>
      </c>
      <c r="I1139" s="237"/>
      <c r="J1139" s="193">
        <f>'Buildings - Grid Electricity'!C506</f>
        <v>0</v>
      </c>
      <c r="K1139" s="237"/>
      <c r="L1139" s="237"/>
      <c r="M1139" s="193" t="str">
        <f>'Buildings - Grid Electricity'!D506</f>
        <v/>
      </c>
      <c r="N1139" s="193" t="str">
        <f>'Buildings - Grid Electricity'!E506</f>
        <v/>
      </c>
      <c r="O1139" s="237"/>
      <c r="P1139" s="193">
        <f>'Buildings - Grid Electricity'!F506</f>
        <v>0</v>
      </c>
      <c r="Q1139" s="193" t="str">
        <f>'Buildings - Grid Electricity'!G506</f>
        <v/>
      </c>
      <c r="R1139" s="193">
        <f>'Buildings - Grid Electricity'!H506</f>
        <v>0</v>
      </c>
      <c r="S1139" s="193" t="str">
        <f>'Buildings - Grid Electricity'!I506</f>
        <v/>
      </c>
      <c r="T1139" s="193" t="str">
        <f>'Buildings - Grid Electricity'!J506</f>
        <v/>
      </c>
      <c r="U1139" s="193" t="str">
        <f>'Buildings - Grid Electricity'!K506</f>
        <v/>
      </c>
      <c r="V1139" s="193" t="str">
        <f>'Buildings - Grid Electricity'!L506</f>
        <v/>
      </c>
      <c r="W1139" s="193" t="str">
        <f>'Buildings - Grid Electricity'!M506</f>
        <v/>
      </c>
      <c r="X1139" s="193">
        <f>'Buildings - Grid Electricity'!N506</f>
        <v>0</v>
      </c>
      <c r="Y1139" s="193">
        <f>'Buildings - Grid Electricity'!O506</f>
        <v>0</v>
      </c>
      <c r="Z1139" s="193" t="str">
        <f>'Buildings - Grid Electricity'!P506</f>
        <v/>
      </c>
      <c r="AA1139" s="193" t="str">
        <f>'Buildings - Grid Electricity'!Q506</f>
        <v/>
      </c>
      <c r="AB1139" s="193" t="str">
        <f>'Buildings - Grid Electricity'!R506</f>
        <v/>
      </c>
      <c r="AC1139" s="193" t="str">
        <f>'Buildings - Grid Electricity'!S506</f>
        <v/>
      </c>
      <c r="AD1139" s="193" t="str">
        <f>'Buildings - Grid Electricity'!T506</f>
        <v/>
      </c>
      <c r="AE1139" s="193" t="str">
        <f>'Buildings - Grid Electricity'!U506</f>
        <v/>
      </c>
      <c r="AF1139" s="193" t="str">
        <f>'Buildings - Grid Electricity'!V506</f>
        <v/>
      </c>
      <c r="AG1139" s="193" t="str">
        <f>'Buildings - Grid Electricity'!W506</f>
        <v/>
      </c>
      <c r="AI1139" s="193">
        <f t="shared" si="18"/>
        <v>0</v>
      </c>
      <c r="AJ1139" s="193">
        <f t="shared" si="19"/>
        <v>0</v>
      </c>
    </row>
    <row r="1140" spans="2:36" x14ac:dyDescent="0.35">
      <c r="B1140" s="193" t="e">
        <f>"2024"&amp;MATCH(Totals!D1140,OrgType,0)&amp;"_"&amp;MATCH(Totals!E1140,Organisations,0)&amp;"_"&amp;LEFT(Totals!F1140,1)&amp;"_"&amp;LEFT(G1140,1)&amp;"_"&amp;COUNTIF($G$3:G1140,G1140)</f>
        <v>#N/A</v>
      </c>
      <c r="C1140" s="193">
        <v>2025</v>
      </c>
      <c r="D1140" s="193">
        <f>Introduction!$D$7</f>
        <v>0</v>
      </c>
      <c r="E1140" s="193">
        <f>Introduction!$D$8</f>
        <v>0</v>
      </c>
      <c r="F1140" s="193" t="s">
        <v>488</v>
      </c>
      <c r="G1140" s="193" t="s">
        <v>195</v>
      </c>
      <c r="H1140" s="193">
        <f>'Buildings - Grid Electricity'!B507</f>
        <v>0</v>
      </c>
      <c r="I1140" s="237"/>
      <c r="J1140" s="193">
        <f>'Buildings - Grid Electricity'!C507</f>
        <v>0</v>
      </c>
      <c r="K1140" s="237"/>
      <c r="L1140" s="237"/>
      <c r="M1140" s="193" t="str">
        <f>'Buildings - Grid Electricity'!D507</f>
        <v/>
      </c>
      <c r="N1140" s="193" t="str">
        <f>'Buildings - Grid Electricity'!E507</f>
        <v/>
      </c>
      <c r="O1140" s="237"/>
      <c r="P1140" s="193">
        <f>'Buildings - Grid Electricity'!F507</f>
        <v>0</v>
      </c>
      <c r="Q1140" s="193" t="str">
        <f>'Buildings - Grid Electricity'!G507</f>
        <v/>
      </c>
      <c r="R1140" s="193">
        <f>'Buildings - Grid Electricity'!H507</f>
        <v>0</v>
      </c>
      <c r="S1140" s="193" t="str">
        <f>'Buildings - Grid Electricity'!I507</f>
        <v/>
      </c>
      <c r="T1140" s="193" t="str">
        <f>'Buildings - Grid Electricity'!J507</f>
        <v/>
      </c>
      <c r="U1140" s="193" t="str">
        <f>'Buildings - Grid Electricity'!K507</f>
        <v/>
      </c>
      <c r="V1140" s="193" t="str">
        <f>'Buildings - Grid Electricity'!L507</f>
        <v/>
      </c>
      <c r="W1140" s="193" t="str">
        <f>'Buildings - Grid Electricity'!M507</f>
        <v/>
      </c>
      <c r="X1140" s="193">
        <f>'Buildings - Grid Electricity'!N507</f>
        <v>0</v>
      </c>
      <c r="Y1140" s="193">
        <f>'Buildings - Grid Electricity'!O507</f>
        <v>0</v>
      </c>
      <c r="Z1140" s="193" t="str">
        <f>'Buildings - Grid Electricity'!P507</f>
        <v/>
      </c>
      <c r="AA1140" s="193" t="str">
        <f>'Buildings - Grid Electricity'!Q507</f>
        <v/>
      </c>
      <c r="AB1140" s="193" t="str">
        <f>'Buildings - Grid Electricity'!R507</f>
        <v/>
      </c>
      <c r="AC1140" s="193" t="str">
        <f>'Buildings - Grid Electricity'!S507</f>
        <v/>
      </c>
      <c r="AD1140" s="193" t="str">
        <f>'Buildings - Grid Electricity'!T507</f>
        <v/>
      </c>
      <c r="AE1140" s="193" t="str">
        <f>'Buildings - Grid Electricity'!U507</f>
        <v/>
      </c>
      <c r="AF1140" s="193" t="str">
        <f>'Buildings - Grid Electricity'!V507</f>
        <v/>
      </c>
      <c r="AG1140" s="193" t="str">
        <f>'Buildings - Grid Electricity'!W507</f>
        <v/>
      </c>
      <c r="AI1140" s="193">
        <f t="shared" si="18"/>
        <v>0</v>
      </c>
      <c r="AJ1140" s="193">
        <f t="shared" si="19"/>
        <v>0</v>
      </c>
    </row>
    <row r="1141" spans="2:36" x14ac:dyDescent="0.35">
      <c r="B1141" s="193" t="e">
        <f>"2024"&amp;MATCH(Totals!D1141,OrgType,0)&amp;"_"&amp;MATCH(Totals!E1141,Organisations,0)&amp;"_"&amp;LEFT(Totals!F1141,1)&amp;"_"&amp;LEFT(G1141,1)&amp;"_"&amp;COUNTIF($G$3:G1141,G1141)</f>
        <v>#N/A</v>
      </c>
      <c r="C1141" s="193">
        <v>2025</v>
      </c>
      <c r="D1141" s="193">
        <f>Introduction!$D$7</f>
        <v>0</v>
      </c>
      <c r="E1141" s="193">
        <f>Introduction!$D$8</f>
        <v>0</v>
      </c>
      <c r="F1141" s="193" t="s">
        <v>488</v>
      </c>
      <c r="G1141" s="193" t="s">
        <v>195</v>
      </c>
      <c r="H1141" s="193">
        <f>'Buildings - Grid Electricity'!B508</f>
        <v>0</v>
      </c>
      <c r="I1141" s="237"/>
      <c r="J1141" s="193">
        <f>'Buildings - Grid Electricity'!C508</f>
        <v>0</v>
      </c>
      <c r="K1141" s="237"/>
      <c r="L1141" s="237"/>
      <c r="M1141" s="193" t="str">
        <f>'Buildings - Grid Electricity'!D508</f>
        <v/>
      </c>
      <c r="N1141" s="193" t="str">
        <f>'Buildings - Grid Electricity'!E508</f>
        <v/>
      </c>
      <c r="O1141" s="237"/>
      <c r="P1141" s="193">
        <f>'Buildings - Grid Electricity'!F508</f>
        <v>0</v>
      </c>
      <c r="Q1141" s="193" t="str">
        <f>'Buildings - Grid Electricity'!G508</f>
        <v/>
      </c>
      <c r="R1141" s="193">
        <f>'Buildings - Grid Electricity'!H508</f>
        <v>0</v>
      </c>
      <c r="S1141" s="193" t="str">
        <f>'Buildings - Grid Electricity'!I508</f>
        <v/>
      </c>
      <c r="T1141" s="193" t="str">
        <f>'Buildings - Grid Electricity'!J508</f>
        <v/>
      </c>
      <c r="U1141" s="193" t="str">
        <f>'Buildings - Grid Electricity'!K508</f>
        <v/>
      </c>
      <c r="V1141" s="193" t="str">
        <f>'Buildings - Grid Electricity'!L508</f>
        <v/>
      </c>
      <c r="W1141" s="193" t="str">
        <f>'Buildings - Grid Electricity'!M508</f>
        <v/>
      </c>
      <c r="X1141" s="193">
        <f>'Buildings - Grid Electricity'!N508</f>
        <v>0</v>
      </c>
      <c r="Y1141" s="193">
        <f>'Buildings - Grid Electricity'!O508</f>
        <v>0</v>
      </c>
      <c r="Z1141" s="193" t="str">
        <f>'Buildings - Grid Electricity'!P508</f>
        <v/>
      </c>
      <c r="AA1141" s="193" t="str">
        <f>'Buildings - Grid Electricity'!Q508</f>
        <v/>
      </c>
      <c r="AB1141" s="193" t="str">
        <f>'Buildings - Grid Electricity'!R508</f>
        <v/>
      </c>
      <c r="AC1141" s="193" t="str">
        <f>'Buildings - Grid Electricity'!S508</f>
        <v/>
      </c>
      <c r="AD1141" s="193" t="str">
        <f>'Buildings - Grid Electricity'!T508</f>
        <v/>
      </c>
      <c r="AE1141" s="193" t="str">
        <f>'Buildings - Grid Electricity'!U508</f>
        <v/>
      </c>
      <c r="AF1141" s="193" t="str">
        <f>'Buildings - Grid Electricity'!V508</f>
        <v/>
      </c>
      <c r="AG1141" s="193" t="str">
        <f>'Buildings - Grid Electricity'!W508</f>
        <v/>
      </c>
      <c r="AI1141" s="193">
        <f t="shared" si="18"/>
        <v>0</v>
      </c>
      <c r="AJ1141" s="193">
        <f t="shared" si="19"/>
        <v>0</v>
      </c>
    </row>
    <row r="1142" spans="2:36" x14ac:dyDescent="0.35">
      <c r="B1142" s="193" t="e">
        <f>"2024"&amp;MATCH(Totals!D1142,OrgType,0)&amp;"_"&amp;MATCH(Totals!E1142,Organisations,0)&amp;"_"&amp;LEFT(Totals!F1142,1)&amp;"_"&amp;LEFT(G1142,1)&amp;"_"&amp;COUNTIF($G$3:G1142,G1142)</f>
        <v>#N/A</v>
      </c>
      <c r="C1142" s="193">
        <v>2025</v>
      </c>
      <c r="D1142" s="193">
        <f>Introduction!$D$7</f>
        <v>0</v>
      </c>
      <c r="E1142" s="193">
        <f>Introduction!$D$8</f>
        <v>0</v>
      </c>
      <c r="F1142" s="193" t="s">
        <v>488</v>
      </c>
      <c r="G1142" s="193" t="s">
        <v>195</v>
      </c>
      <c r="H1142" s="193">
        <f>'Buildings - Grid Electricity'!B509</f>
        <v>0</v>
      </c>
      <c r="I1142" s="237"/>
      <c r="J1142" s="193">
        <f>'Buildings - Grid Electricity'!C509</f>
        <v>0</v>
      </c>
      <c r="K1142" s="237"/>
      <c r="L1142" s="237"/>
      <c r="M1142" s="193" t="str">
        <f>'Buildings - Grid Electricity'!D509</f>
        <v/>
      </c>
      <c r="N1142" s="193" t="str">
        <f>'Buildings - Grid Electricity'!E509</f>
        <v/>
      </c>
      <c r="O1142" s="237"/>
      <c r="P1142" s="193">
        <f>'Buildings - Grid Electricity'!F509</f>
        <v>0</v>
      </c>
      <c r="Q1142" s="193" t="str">
        <f>'Buildings - Grid Electricity'!G509</f>
        <v/>
      </c>
      <c r="R1142" s="193">
        <f>'Buildings - Grid Electricity'!H509</f>
        <v>0</v>
      </c>
      <c r="S1142" s="193" t="str">
        <f>'Buildings - Grid Electricity'!I509</f>
        <v/>
      </c>
      <c r="T1142" s="193" t="str">
        <f>'Buildings - Grid Electricity'!J509</f>
        <v/>
      </c>
      <c r="U1142" s="193" t="str">
        <f>'Buildings - Grid Electricity'!K509</f>
        <v/>
      </c>
      <c r="V1142" s="193" t="str">
        <f>'Buildings - Grid Electricity'!L509</f>
        <v/>
      </c>
      <c r="W1142" s="193" t="str">
        <f>'Buildings - Grid Electricity'!M509</f>
        <v/>
      </c>
      <c r="X1142" s="193">
        <f>'Buildings - Grid Electricity'!N509</f>
        <v>0</v>
      </c>
      <c r="Y1142" s="193">
        <f>'Buildings - Grid Electricity'!O509</f>
        <v>0</v>
      </c>
      <c r="Z1142" s="193" t="str">
        <f>'Buildings - Grid Electricity'!P509</f>
        <v/>
      </c>
      <c r="AA1142" s="193" t="str">
        <f>'Buildings - Grid Electricity'!Q509</f>
        <v/>
      </c>
      <c r="AB1142" s="193" t="str">
        <f>'Buildings - Grid Electricity'!R509</f>
        <v/>
      </c>
      <c r="AC1142" s="193" t="str">
        <f>'Buildings - Grid Electricity'!S509</f>
        <v/>
      </c>
      <c r="AD1142" s="193" t="str">
        <f>'Buildings - Grid Electricity'!T509</f>
        <v/>
      </c>
      <c r="AE1142" s="193" t="str">
        <f>'Buildings - Grid Electricity'!U509</f>
        <v/>
      </c>
      <c r="AF1142" s="193" t="str">
        <f>'Buildings - Grid Electricity'!V509</f>
        <v/>
      </c>
      <c r="AG1142" s="193" t="str">
        <f>'Buildings - Grid Electricity'!W509</f>
        <v/>
      </c>
      <c r="AI1142" s="193">
        <f t="shared" si="18"/>
        <v>0</v>
      </c>
      <c r="AJ1142" s="193">
        <f t="shared" si="19"/>
        <v>0</v>
      </c>
    </row>
    <row r="1143" spans="2:36" x14ac:dyDescent="0.35">
      <c r="B1143" s="193" t="e">
        <f>"2024"&amp;MATCH(Totals!D1143,OrgType,0)&amp;"_"&amp;MATCH(Totals!E1143,Organisations,0)&amp;"_"&amp;LEFT(Totals!F1143,1)&amp;"_"&amp;LEFT(G1143,1)&amp;"_"&amp;COUNTIF($G$3:G1143,G1143)</f>
        <v>#N/A</v>
      </c>
      <c r="C1143" s="193">
        <v>2025</v>
      </c>
      <c r="D1143" s="193">
        <f>Introduction!$D$7</f>
        <v>0</v>
      </c>
      <c r="E1143" s="193">
        <f>Introduction!$D$8</f>
        <v>0</v>
      </c>
      <c r="F1143" s="193" t="s">
        <v>488</v>
      </c>
      <c r="G1143" s="193" t="s">
        <v>195</v>
      </c>
      <c r="H1143" s="193">
        <f>'Buildings - Grid Electricity'!B510</f>
        <v>0</v>
      </c>
      <c r="I1143" s="237"/>
      <c r="J1143" s="193">
        <f>'Buildings - Grid Electricity'!C510</f>
        <v>0</v>
      </c>
      <c r="K1143" s="237"/>
      <c r="L1143" s="237"/>
      <c r="M1143" s="193" t="str">
        <f>'Buildings - Grid Electricity'!D510</f>
        <v/>
      </c>
      <c r="N1143" s="193" t="str">
        <f>'Buildings - Grid Electricity'!E510</f>
        <v/>
      </c>
      <c r="O1143" s="237"/>
      <c r="P1143" s="193">
        <f>'Buildings - Grid Electricity'!F510</f>
        <v>0</v>
      </c>
      <c r="Q1143" s="193" t="str">
        <f>'Buildings - Grid Electricity'!G510</f>
        <v/>
      </c>
      <c r="R1143" s="193">
        <f>'Buildings - Grid Electricity'!H510</f>
        <v>0</v>
      </c>
      <c r="S1143" s="193" t="str">
        <f>'Buildings - Grid Electricity'!I510</f>
        <v/>
      </c>
      <c r="T1143" s="193" t="str">
        <f>'Buildings - Grid Electricity'!J510</f>
        <v/>
      </c>
      <c r="U1143" s="193" t="str">
        <f>'Buildings - Grid Electricity'!K510</f>
        <v/>
      </c>
      <c r="V1143" s="193" t="str">
        <f>'Buildings - Grid Electricity'!L510</f>
        <v/>
      </c>
      <c r="W1143" s="193" t="str">
        <f>'Buildings - Grid Electricity'!M510</f>
        <v/>
      </c>
      <c r="X1143" s="193">
        <f>'Buildings - Grid Electricity'!N510</f>
        <v>0</v>
      </c>
      <c r="Y1143" s="193">
        <f>'Buildings - Grid Electricity'!O510</f>
        <v>0</v>
      </c>
      <c r="Z1143" s="193" t="str">
        <f>'Buildings - Grid Electricity'!P510</f>
        <v/>
      </c>
      <c r="AA1143" s="193" t="str">
        <f>'Buildings - Grid Electricity'!Q510</f>
        <v/>
      </c>
      <c r="AB1143" s="193" t="str">
        <f>'Buildings - Grid Electricity'!R510</f>
        <v/>
      </c>
      <c r="AC1143" s="193" t="str">
        <f>'Buildings - Grid Electricity'!S510</f>
        <v/>
      </c>
      <c r="AD1143" s="193" t="str">
        <f>'Buildings - Grid Electricity'!T510</f>
        <v/>
      </c>
      <c r="AE1143" s="193" t="str">
        <f>'Buildings - Grid Electricity'!U510</f>
        <v/>
      </c>
      <c r="AF1143" s="193" t="str">
        <f>'Buildings - Grid Electricity'!V510</f>
        <v/>
      </c>
      <c r="AG1143" s="193" t="str">
        <f>'Buildings - Grid Electricity'!W510</f>
        <v/>
      </c>
      <c r="AI1143" s="193">
        <f t="shared" si="18"/>
        <v>0</v>
      </c>
      <c r="AJ1143" s="193">
        <f t="shared" si="19"/>
        <v>0</v>
      </c>
    </row>
    <row r="1144" spans="2:36" x14ac:dyDescent="0.35">
      <c r="B1144" s="193" t="e">
        <f>"2024"&amp;MATCH(Totals!D1144,OrgType,0)&amp;"_"&amp;MATCH(Totals!E1144,Organisations,0)&amp;"_"&amp;LEFT(Totals!F1144,1)&amp;"_"&amp;LEFT(G1144,1)&amp;"_"&amp;COUNTIF($G$3:G1144,G1144)</f>
        <v>#N/A</v>
      </c>
      <c r="C1144" s="193">
        <v>2025</v>
      </c>
      <c r="D1144" s="193">
        <f>Introduction!$D$7</f>
        <v>0</v>
      </c>
      <c r="E1144" s="193">
        <f>Introduction!$D$8</f>
        <v>0</v>
      </c>
      <c r="F1144" s="193" t="s">
        <v>488</v>
      </c>
      <c r="G1144" s="193" t="s">
        <v>491</v>
      </c>
      <c r="H1144" s="193">
        <f>'Buildings - Heat &amp; Fuels'!B305</f>
        <v>0</v>
      </c>
      <c r="I1144" s="193" t="str">
        <f>'Buildings - Heat &amp; Fuels'!C305</f>
        <v>F gas</v>
      </c>
      <c r="J1144" s="193">
        <f>'Buildings - Heat &amp; Fuels'!D305</f>
        <v>0</v>
      </c>
      <c r="K1144" s="237"/>
      <c r="L1144" s="237"/>
      <c r="M1144" s="193">
        <f>'Buildings - Heat &amp; Fuels'!E305</f>
        <v>0</v>
      </c>
      <c r="N1144" s="193">
        <f>'Buildings - Heat &amp; Fuels'!F305</f>
        <v>0</v>
      </c>
      <c r="O1144" s="237"/>
      <c r="P1144" s="193">
        <f>'Buildings - Heat &amp; Fuels'!F305</f>
        <v>0</v>
      </c>
      <c r="Q1144" s="193">
        <f>'Buildings - Heat &amp; Fuels'!G305</f>
        <v>0</v>
      </c>
      <c r="R1144" s="193">
        <f>'Buildings - Heat &amp; Fuels'!H305</f>
        <v>0</v>
      </c>
      <c r="S1144" s="193">
        <f>'Buildings - Heat &amp; Fuels'!I305</f>
        <v>0</v>
      </c>
      <c r="T1144" s="193" t="str">
        <f>'Buildings - Heat &amp; Fuels'!J305</f>
        <v/>
      </c>
      <c r="U1144" s="193" t="str">
        <f>'Buildings - Heat &amp; Fuels'!K305</f>
        <v>kg</v>
      </c>
      <c r="V1144" s="193" t="str">
        <f>'Buildings - Heat &amp; Fuels'!L305</f>
        <v/>
      </c>
      <c r="W1144" s="193" t="str">
        <f>'Buildings - Heat &amp; Fuels'!M305</f>
        <v/>
      </c>
      <c r="X1144" s="193">
        <f>'Buildings - Heat &amp; Fuels'!N305</f>
        <v>0</v>
      </c>
      <c r="Y1144" s="193">
        <f>'Buildings - Heat &amp; Fuels'!O305</f>
        <v>0</v>
      </c>
      <c r="Z1144" s="193" t="str">
        <f>'Buildings - Heat &amp; Fuels'!P305</f>
        <v/>
      </c>
      <c r="AA1144" s="193" t="str">
        <f>'Buildings - Heat &amp; Fuels'!Q305</f>
        <v/>
      </c>
      <c r="AB1144" s="193" t="str">
        <f>'Buildings - Heat &amp; Fuels'!R305</f>
        <v/>
      </c>
      <c r="AC1144" s="193" t="str">
        <f>'Buildings - Heat &amp; Fuels'!S305</f>
        <v/>
      </c>
      <c r="AD1144" s="193" t="str">
        <f>'Buildings - Heat &amp; Fuels'!T305</f>
        <v/>
      </c>
      <c r="AE1144" s="193" t="str">
        <f>'Buildings - Heat &amp; Fuels'!U305</f>
        <v/>
      </c>
      <c r="AF1144" s="193" t="str">
        <f>'Buildings - Heat &amp; Fuels'!V305</f>
        <v/>
      </c>
      <c r="AG1144" s="193" t="str">
        <f>'Buildings - Heat &amp; Fuels'!W305</f>
        <v/>
      </c>
      <c r="AI1144" s="193">
        <f t="shared" si="18"/>
        <v>0</v>
      </c>
      <c r="AJ1144" s="193">
        <f t="shared" si="19"/>
        <v>0</v>
      </c>
    </row>
    <row r="1145" spans="2:36" x14ac:dyDescent="0.35">
      <c r="B1145" s="193" t="e">
        <f>"2024"&amp;MATCH(Totals!D1145,OrgType,0)&amp;"_"&amp;MATCH(Totals!E1145,Organisations,0)&amp;"_"&amp;LEFT(Totals!F1145,1)&amp;"_"&amp;LEFT(G1145,1)&amp;"_"&amp;COUNTIF($G$3:G1145,G1145)</f>
        <v>#N/A</v>
      </c>
      <c r="C1145" s="193">
        <v>2025</v>
      </c>
      <c r="D1145" s="193">
        <f>Introduction!$D$7</f>
        <v>0</v>
      </c>
      <c r="E1145" s="193">
        <f>Introduction!$D$8</f>
        <v>0</v>
      </c>
      <c r="F1145" s="193" t="s">
        <v>488</v>
      </c>
      <c r="G1145" s="193" t="s">
        <v>491</v>
      </c>
      <c r="H1145" s="193">
        <f>'Buildings - Heat &amp; Fuels'!B306</f>
        <v>0</v>
      </c>
      <c r="I1145" s="193" t="str">
        <f>'Buildings - Heat &amp; Fuels'!C306</f>
        <v>F gas</v>
      </c>
      <c r="J1145" s="193">
        <f>'Buildings - Heat &amp; Fuels'!D306</f>
        <v>0</v>
      </c>
      <c r="K1145" s="237"/>
      <c r="L1145" s="237"/>
      <c r="M1145" s="193">
        <f>'Buildings - Heat &amp; Fuels'!E306</f>
        <v>0</v>
      </c>
      <c r="N1145" s="193">
        <f>'Buildings - Heat &amp; Fuels'!F306</f>
        <v>0</v>
      </c>
      <c r="O1145" s="237"/>
      <c r="P1145" s="193">
        <f>'Buildings - Heat &amp; Fuels'!F306</f>
        <v>0</v>
      </c>
      <c r="Q1145" s="193" t="str">
        <f>'Buildings - Heat &amp; Fuels'!G306</f>
        <v/>
      </c>
      <c r="R1145" s="193">
        <f>'Buildings - Heat &amp; Fuels'!H306</f>
        <v>0</v>
      </c>
      <c r="S1145" s="193">
        <f>'Buildings - Heat &amp; Fuels'!I306</f>
        <v>0</v>
      </c>
      <c r="T1145" s="193" t="str">
        <f>'Buildings - Heat &amp; Fuels'!J306</f>
        <v/>
      </c>
      <c r="U1145" s="193" t="str">
        <f>'Buildings - Heat &amp; Fuels'!K306</f>
        <v>kg</v>
      </c>
      <c r="V1145" s="193" t="str">
        <f>'Buildings - Heat &amp; Fuels'!L306</f>
        <v/>
      </c>
      <c r="W1145" s="193" t="str">
        <f>'Buildings - Heat &amp; Fuels'!M306</f>
        <v/>
      </c>
      <c r="X1145" s="193">
        <f>'Buildings - Heat &amp; Fuels'!N306</f>
        <v>0</v>
      </c>
      <c r="Y1145" s="193">
        <f>'Buildings - Heat &amp; Fuels'!O306</f>
        <v>0</v>
      </c>
      <c r="Z1145" s="193" t="str">
        <f>'Buildings - Heat &amp; Fuels'!P306</f>
        <v/>
      </c>
      <c r="AA1145" s="193" t="str">
        <f>'Buildings - Heat &amp; Fuels'!Q306</f>
        <v/>
      </c>
      <c r="AB1145" s="193" t="str">
        <f>'Buildings - Heat &amp; Fuels'!R306</f>
        <v/>
      </c>
      <c r="AC1145" s="193" t="str">
        <f>'Buildings - Heat &amp; Fuels'!S306</f>
        <v/>
      </c>
      <c r="AD1145" s="193" t="str">
        <f>'Buildings - Heat &amp; Fuels'!T306</f>
        <v/>
      </c>
      <c r="AE1145" s="193" t="str">
        <f>'Buildings - Heat &amp; Fuels'!U306</f>
        <v/>
      </c>
      <c r="AF1145" s="193" t="str">
        <f>'Buildings - Heat &amp; Fuels'!V306</f>
        <v/>
      </c>
      <c r="AG1145" s="193" t="str">
        <f>'Buildings - Heat &amp; Fuels'!W306</f>
        <v/>
      </c>
      <c r="AI1145" s="193">
        <f t="shared" si="18"/>
        <v>0</v>
      </c>
      <c r="AJ1145" s="193">
        <f t="shared" si="19"/>
        <v>0</v>
      </c>
    </row>
    <row r="1146" spans="2:36" x14ac:dyDescent="0.35">
      <c r="B1146" s="193" t="e">
        <f>"2024"&amp;MATCH(Totals!D1146,OrgType,0)&amp;"_"&amp;MATCH(Totals!E1146,Organisations,0)&amp;"_"&amp;LEFT(Totals!F1146,1)&amp;"_"&amp;LEFT(G1146,1)&amp;"_"&amp;COUNTIF($G$3:G1146,G1146)</f>
        <v>#N/A</v>
      </c>
      <c r="C1146" s="193">
        <v>2025</v>
      </c>
      <c r="D1146" s="193">
        <f>Introduction!$D$7</f>
        <v>0</v>
      </c>
      <c r="E1146" s="193">
        <f>Introduction!$D$8</f>
        <v>0</v>
      </c>
      <c r="F1146" s="193" t="s">
        <v>488</v>
      </c>
      <c r="G1146" s="193" t="s">
        <v>491</v>
      </c>
      <c r="H1146" s="193">
        <f>'Buildings - Heat &amp; Fuels'!B307</f>
        <v>0</v>
      </c>
      <c r="I1146" s="193" t="str">
        <f>'Buildings - Heat &amp; Fuels'!C307</f>
        <v>F gas</v>
      </c>
      <c r="J1146" s="193">
        <f>'Buildings - Heat &amp; Fuels'!D307</f>
        <v>0</v>
      </c>
      <c r="K1146" s="237"/>
      <c r="L1146" s="237"/>
      <c r="M1146" s="193">
        <f>'Buildings - Heat &amp; Fuels'!E307</f>
        <v>0</v>
      </c>
      <c r="N1146" s="193">
        <f>'Buildings - Heat &amp; Fuels'!F307</f>
        <v>0</v>
      </c>
      <c r="O1146" s="237"/>
      <c r="P1146" s="193">
        <f>'Buildings - Heat &amp; Fuels'!F307</f>
        <v>0</v>
      </c>
      <c r="Q1146" s="193" t="str">
        <f>'Buildings - Heat &amp; Fuels'!G307</f>
        <v/>
      </c>
      <c r="R1146" s="193">
        <f>'Buildings - Heat &amp; Fuels'!H307</f>
        <v>0</v>
      </c>
      <c r="S1146" s="193">
        <f>'Buildings - Heat &amp; Fuels'!I307</f>
        <v>0</v>
      </c>
      <c r="T1146" s="193" t="str">
        <f>'Buildings - Heat &amp; Fuels'!J307</f>
        <v/>
      </c>
      <c r="U1146" s="193" t="str">
        <f>'Buildings - Heat &amp; Fuels'!K307</f>
        <v>kg</v>
      </c>
      <c r="V1146" s="193" t="str">
        <f>'Buildings - Heat &amp; Fuels'!L307</f>
        <v/>
      </c>
      <c r="W1146" s="193" t="str">
        <f>'Buildings - Heat &amp; Fuels'!M307</f>
        <v/>
      </c>
      <c r="X1146" s="193">
        <f>'Buildings - Heat &amp; Fuels'!N307</f>
        <v>0</v>
      </c>
      <c r="Y1146" s="193">
        <f>'Buildings - Heat &amp; Fuels'!O307</f>
        <v>0</v>
      </c>
      <c r="Z1146" s="193" t="str">
        <f>'Buildings - Heat &amp; Fuels'!P307</f>
        <v/>
      </c>
      <c r="AA1146" s="193" t="str">
        <f>'Buildings - Heat &amp; Fuels'!Q307</f>
        <v/>
      </c>
      <c r="AB1146" s="193" t="str">
        <f>'Buildings - Heat &amp; Fuels'!R307</f>
        <v/>
      </c>
      <c r="AC1146" s="193" t="str">
        <f>'Buildings - Heat &amp; Fuels'!S307</f>
        <v/>
      </c>
      <c r="AD1146" s="193" t="str">
        <f>'Buildings - Heat &amp; Fuels'!T307</f>
        <v/>
      </c>
      <c r="AE1146" s="193" t="str">
        <f>'Buildings - Heat &amp; Fuels'!U307</f>
        <v/>
      </c>
      <c r="AF1146" s="193" t="str">
        <f>'Buildings - Heat &amp; Fuels'!V307</f>
        <v/>
      </c>
      <c r="AG1146" s="193" t="str">
        <f>'Buildings - Heat &amp; Fuels'!W307</f>
        <v/>
      </c>
      <c r="AI1146" s="193">
        <f t="shared" si="18"/>
        <v>0</v>
      </c>
      <c r="AJ1146" s="193">
        <f t="shared" si="19"/>
        <v>0</v>
      </c>
    </row>
    <row r="1147" spans="2:36" x14ac:dyDescent="0.35">
      <c r="B1147" s="193" t="e">
        <f>"2024"&amp;MATCH(Totals!D1147,OrgType,0)&amp;"_"&amp;MATCH(Totals!E1147,Organisations,0)&amp;"_"&amp;LEFT(Totals!F1147,1)&amp;"_"&amp;LEFT(G1147,1)&amp;"_"&amp;COUNTIF($G$3:G1147,G1147)</f>
        <v>#N/A</v>
      </c>
      <c r="C1147" s="193">
        <v>2025</v>
      </c>
      <c r="D1147" s="193">
        <f>Introduction!$D$7</f>
        <v>0</v>
      </c>
      <c r="E1147" s="193">
        <f>Introduction!$D$8</f>
        <v>0</v>
      </c>
      <c r="F1147" s="193" t="s">
        <v>488</v>
      </c>
      <c r="G1147" s="193" t="s">
        <v>491</v>
      </c>
      <c r="H1147" s="193">
        <f>'Buildings - Heat &amp; Fuels'!B308</f>
        <v>0</v>
      </c>
      <c r="I1147" s="193" t="str">
        <f>'Buildings - Heat &amp; Fuels'!C308</f>
        <v>F gas</v>
      </c>
      <c r="J1147" s="193">
        <f>'Buildings - Heat &amp; Fuels'!D308</f>
        <v>0</v>
      </c>
      <c r="K1147" s="237"/>
      <c r="L1147" s="237"/>
      <c r="M1147" s="193">
        <f>'Buildings - Heat &amp; Fuels'!E308</f>
        <v>0</v>
      </c>
      <c r="N1147" s="193">
        <f>'Buildings - Heat &amp; Fuels'!F308</f>
        <v>0</v>
      </c>
      <c r="O1147" s="237"/>
      <c r="P1147" s="193">
        <f>'Buildings - Heat &amp; Fuels'!F308</f>
        <v>0</v>
      </c>
      <c r="Q1147" s="193" t="str">
        <f>'Buildings - Heat &amp; Fuels'!G308</f>
        <v/>
      </c>
      <c r="R1147" s="193">
        <f>'Buildings - Heat &amp; Fuels'!H308</f>
        <v>0</v>
      </c>
      <c r="S1147" s="193">
        <f>'Buildings - Heat &amp; Fuels'!I308</f>
        <v>0</v>
      </c>
      <c r="T1147" s="193" t="str">
        <f>'Buildings - Heat &amp; Fuels'!J308</f>
        <v/>
      </c>
      <c r="U1147" s="193" t="str">
        <f>'Buildings - Heat &amp; Fuels'!K308</f>
        <v>kg</v>
      </c>
      <c r="V1147" s="193" t="str">
        <f>'Buildings - Heat &amp; Fuels'!L308</f>
        <v/>
      </c>
      <c r="W1147" s="193" t="str">
        <f>'Buildings - Heat &amp; Fuels'!M308</f>
        <v/>
      </c>
      <c r="X1147" s="193">
        <f>'Buildings - Heat &amp; Fuels'!N308</f>
        <v>0</v>
      </c>
      <c r="Y1147" s="193">
        <f>'Buildings - Heat &amp; Fuels'!O308</f>
        <v>0</v>
      </c>
      <c r="Z1147" s="193" t="str">
        <f>'Buildings - Heat &amp; Fuels'!P308</f>
        <v/>
      </c>
      <c r="AA1147" s="193" t="str">
        <f>'Buildings - Heat &amp; Fuels'!Q308</f>
        <v/>
      </c>
      <c r="AB1147" s="193" t="str">
        <f>'Buildings - Heat &amp; Fuels'!R308</f>
        <v/>
      </c>
      <c r="AC1147" s="193" t="str">
        <f>'Buildings - Heat &amp; Fuels'!S308</f>
        <v/>
      </c>
      <c r="AD1147" s="193" t="str">
        <f>'Buildings - Heat &amp; Fuels'!T308</f>
        <v/>
      </c>
      <c r="AE1147" s="193" t="str">
        <f>'Buildings - Heat &amp; Fuels'!U308</f>
        <v/>
      </c>
      <c r="AF1147" s="193" t="str">
        <f>'Buildings - Heat &amp; Fuels'!V308</f>
        <v/>
      </c>
      <c r="AG1147" s="193" t="str">
        <f>'Buildings - Heat &amp; Fuels'!W308</f>
        <v/>
      </c>
      <c r="AI1147" s="193">
        <f t="shared" si="18"/>
        <v>0</v>
      </c>
      <c r="AJ1147" s="193">
        <f t="shared" si="19"/>
        <v>0</v>
      </c>
    </row>
    <row r="1148" spans="2:36" x14ac:dyDescent="0.35">
      <c r="B1148" s="193" t="e">
        <f>"2024"&amp;MATCH(Totals!D1148,OrgType,0)&amp;"_"&amp;MATCH(Totals!E1148,Organisations,0)&amp;"_"&amp;LEFT(Totals!F1148,1)&amp;"_"&amp;LEFT(G1148,1)&amp;"_"&amp;COUNTIF($G$3:G1148,G1148)</f>
        <v>#N/A</v>
      </c>
      <c r="C1148" s="193">
        <v>2025</v>
      </c>
      <c r="D1148" s="193">
        <f>Introduction!$D$7</f>
        <v>0</v>
      </c>
      <c r="E1148" s="193">
        <f>Introduction!$D$8</f>
        <v>0</v>
      </c>
      <c r="F1148" s="193" t="s">
        <v>488</v>
      </c>
      <c r="G1148" s="193" t="s">
        <v>491</v>
      </c>
      <c r="H1148" s="193">
        <f>'Buildings - Heat &amp; Fuels'!B309</f>
        <v>0</v>
      </c>
      <c r="I1148" s="193" t="str">
        <f>'Buildings - Heat &amp; Fuels'!C309</f>
        <v>F gas</v>
      </c>
      <c r="J1148" s="193">
        <f>'Buildings - Heat &amp; Fuels'!D309</f>
        <v>0</v>
      </c>
      <c r="K1148" s="237"/>
      <c r="L1148" s="237"/>
      <c r="M1148" s="193">
        <f>'Buildings - Heat &amp; Fuels'!E309</f>
        <v>0</v>
      </c>
      <c r="N1148" s="193">
        <f>'Buildings - Heat &amp; Fuels'!F309</f>
        <v>0</v>
      </c>
      <c r="O1148" s="237"/>
      <c r="P1148" s="193">
        <f>'Buildings - Heat &amp; Fuels'!F309</f>
        <v>0</v>
      </c>
      <c r="Q1148" s="193" t="str">
        <f>'Buildings - Heat &amp; Fuels'!G309</f>
        <v/>
      </c>
      <c r="R1148" s="193">
        <f>'Buildings - Heat &amp; Fuels'!H309</f>
        <v>0</v>
      </c>
      <c r="S1148" s="193">
        <f>'Buildings - Heat &amp; Fuels'!I309</f>
        <v>0</v>
      </c>
      <c r="T1148" s="193" t="str">
        <f>'Buildings - Heat &amp; Fuels'!J309</f>
        <v/>
      </c>
      <c r="U1148" s="193" t="str">
        <f>'Buildings - Heat &amp; Fuels'!K309</f>
        <v>kg</v>
      </c>
      <c r="V1148" s="193" t="str">
        <f>'Buildings - Heat &amp; Fuels'!L309</f>
        <v/>
      </c>
      <c r="W1148" s="193" t="str">
        <f>'Buildings - Heat &amp; Fuels'!M309</f>
        <v/>
      </c>
      <c r="X1148" s="193">
        <f>'Buildings - Heat &amp; Fuels'!N309</f>
        <v>0</v>
      </c>
      <c r="Y1148" s="193">
        <f>'Buildings - Heat &amp; Fuels'!O309</f>
        <v>0</v>
      </c>
      <c r="Z1148" s="193" t="str">
        <f>'Buildings - Heat &amp; Fuels'!P309</f>
        <v/>
      </c>
      <c r="AA1148" s="193" t="str">
        <f>'Buildings - Heat &amp; Fuels'!Q309</f>
        <v/>
      </c>
      <c r="AB1148" s="193" t="str">
        <f>'Buildings - Heat &amp; Fuels'!R309</f>
        <v/>
      </c>
      <c r="AC1148" s="193" t="str">
        <f>'Buildings - Heat &amp; Fuels'!S309</f>
        <v/>
      </c>
      <c r="AD1148" s="193" t="str">
        <f>'Buildings - Heat &amp; Fuels'!T309</f>
        <v/>
      </c>
      <c r="AE1148" s="193" t="str">
        <f>'Buildings - Heat &amp; Fuels'!U309</f>
        <v/>
      </c>
      <c r="AF1148" s="193" t="str">
        <f>'Buildings - Heat &amp; Fuels'!V309</f>
        <v/>
      </c>
      <c r="AG1148" s="193" t="str">
        <f>'Buildings - Heat &amp; Fuels'!W309</f>
        <v/>
      </c>
      <c r="AI1148" s="193">
        <f t="shared" si="18"/>
        <v>0</v>
      </c>
      <c r="AJ1148" s="193">
        <f t="shared" si="19"/>
        <v>0</v>
      </c>
    </row>
    <row r="1149" spans="2:36" x14ac:dyDescent="0.35">
      <c r="B1149" s="193" t="e">
        <f>"2024"&amp;MATCH(Totals!D1149,OrgType,0)&amp;"_"&amp;MATCH(Totals!E1149,Organisations,0)&amp;"_"&amp;LEFT(Totals!F1149,1)&amp;"_"&amp;LEFT(G1149,1)&amp;"_"&amp;COUNTIF($G$3:G1149,G1149)</f>
        <v>#N/A</v>
      </c>
      <c r="C1149" s="193">
        <v>2025</v>
      </c>
      <c r="D1149" s="193">
        <f>Introduction!$D$7</f>
        <v>0</v>
      </c>
      <c r="E1149" s="193">
        <f>Introduction!$D$8</f>
        <v>0</v>
      </c>
      <c r="F1149" s="193" t="s">
        <v>488</v>
      </c>
      <c r="G1149" s="193" t="s">
        <v>491</v>
      </c>
      <c r="H1149" s="193">
        <f>'Buildings - Heat &amp; Fuels'!B310</f>
        <v>0</v>
      </c>
      <c r="I1149" s="193" t="str">
        <f>'Buildings - Heat &amp; Fuels'!C310</f>
        <v>F gas</v>
      </c>
      <c r="J1149" s="193">
        <f>'Buildings - Heat &amp; Fuels'!D310</f>
        <v>0</v>
      </c>
      <c r="K1149" s="237"/>
      <c r="L1149" s="237"/>
      <c r="M1149" s="193">
        <f>'Buildings - Heat &amp; Fuels'!E310</f>
        <v>0</v>
      </c>
      <c r="N1149" s="193">
        <f>'Buildings - Heat &amp; Fuels'!F310</f>
        <v>0</v>
      </c>
      <c r="O1149" s="237"/>
      <c r="P1149" s="193">
        <f>'Buildings - Heat &amp; Fuels'!F310</f>
        <v>0</v>
      </c>
      <c r="Q1149" s="193" t="str">
        <f>'Buildings - Heat &amp; Fuels'!G310</f>
        <v/>
      </c>
      <c r="R1149" s="193">
        <f>'Buildings - Heat &amp; Fuels'!H310</f>
        <v>0</v>
      </c>
      <c r="S1149" s="193">
        <f>'Buildings - Heat &amp; Fuels'!I310</f>
        <v>0</v>
      </c>
      <c r="T1149" s="193" t="str">
        <f>'Buildings - Heat &amp; Fuels'!J310</f>
        <v/>
      </c>
      <c r="U1149" s="193" t="str">
        <f>'Buildings - Heat &amp; Fuels'!K310</f>
        <v>kg</v>
      </c>
      <c r="V1149" s="193" t="str">
        <f>'Buildings - Heat &amp; Fuels'!L310</f>
        <v/>
      </c>
      <c r="W1149" s="193" t="str">
        <f>'Buildings - Heat &amp; Fuels'!M310</f>
        <v/>
      </c>
      <c r="X1149" s="193">
        <f>'Buildings - Heat &amp; Fuels'!N310</f>
        <v>0</v>
      </c>
      <c r="Y1149" s="193">
        <f>'Buildings - Heat &amp; Fuels'!O310</f>
        <v>0</v>
      </c>
      <c r="Z1149" s="193" t="str">
        <f>'Buildings - Heat &amp; Fuels'!P310</f>
        <v/>
      </c>
      <c r="AA1149" s="193" t="str">
        <f>'Buildings - Heat &amp; Fuels'!Q310</f>
        <v/>
      </c>
      <c r="AB1149" s="193" t="str">
        <f>'Buildings - Heat &amp; Fuels'!R310</f>
        <v/>
      </c>
      <c r="AC1149" s="193" t="str">
        <f>'Buildings - Heat &amp; Fuels'!S310</f>
        <v/>
      </c>
      <c r="AD1149" s="193" t="str">
        <f>'Buildings - Heat &amp; Fuels'!T310</f>
        <v/>
      </c>
      <c r="AE1149" s="193" t="str">
        <f>'Buildings - Heat &amp; Fuels'!U310</f>
        <v/>
      </c>
      <c r="AF1149" s="193" t="str">
        <f>'Buildings - Heat &amp; Fuels'!V310</f>
        <v/>
      </c>
      <c r="AG1149" s="193" t="str">
        <f>'Buildings - Heat &amp; Fuels'!W310</f>
        <v/>
      </c>
      <c r="AI1149" s="193">
        <f t="shared" si="18"/>
        <v>0</v>
      </c>
      <c r="AJ1149" s="193">
        <f t="shared" si="19"/>
        <v>0</v>
      </c>
    </row>
    <row r="1150" spans="2:36" x14ac:dyDescent="0.35">
      <c r="B1150" s="193" t="e">
        <f>"2024"&amp;MATCH(Totals!D1150,OrgType,0)&amp;"_"&amp;MATCH(Totals!E1150,Organisations,0)&amp;"_"&amp;LEFT(Totals!F1150,1)&amp;"_"&amp;LEFT(G1150,1)&amp;"_"&amp;COUNTIF($G$3:G1150,G1150)</f>
        <v>#N/A</v>
      </c>
      <c r="C1150" s="193">
        <v>2025</v>
      </c>
      <c r="D1150" s="193">
        <f>Introduction!$D$7</f>
        <v>0</v>
      </c>
      <c r="E1150" s="193">
        <f>Introduction!$D$8</f>
        <v>0</v>
      </c>
      <c r="F1150" s="193" t="s">
        <v>488</v>
      </c>
      <c r="G1150" s="193" t="s">
        <v>491</v>
      </c>
      <c r="H1150" s="193">
        <f>'Buildings - Heat &amp; Fuels'!B311</f>
        <v>0</v>
      </c>
      <c r="I1150" s="193" t="str">
        <f>'Buildings - Heat &amp; Fuels'!C311</f>
        <v>F gas</v>
      </c>
      <c r="J1150" s="193">
        <f>'Buildings - Heat &amp; Fuels'!D311</f>
        <v>0</v>
      </c>
      <c r="K1150" s="237"/>
      <c r="L1150" s="237"/>
      <c r="M1150" s="193">
        <f>'Buildings - Heat &amp; Fuels'!E311</f>
        <v>0</v>
      </c>
      <c r="N1150" s="193">
        <f>'Buildings - Heat &amp; Fuels'!F311</f>
        <v>0</v>
      </c>
      <c r="O1150" s="237"/>
      <c r="P1150" s="193">
        <f>'Buildings - Heat &amp; Fuels'!F311</f>
        <v>0</v>
      </c>
      <c r="Q1150" s="193" t="str">
        <f>'Buildings - Heat &amp; Fuels'!G311</f>
        <v/>
      </c>
      <c r="R1150" s="193">
        <f>'Buildings - Heat &amp; Fuels'!H311</f>
        <v>0</v>
      </c>
      <c r="S1150" s="193">
        <f>'Buildings - Heat &amp; Fuels'!I311</f>
        <v>0</v>
      </c>
      <c r="T1150" s="193" t="str">
        <f>'Buildings - Heat &amp; Fuels'!J311</f>
        <v/>
      </c>
      <c r="U1150" s="193" t="str">
        <f>'Buildings - Heat &amp; Fuels'!K311</f>
        <v>kg</v>
      </c>
      <c r="V1150" s="193" t="str">
        <f>'Buildings - Heat &amp; Fuels'!L311</f>
        <v/>
      </c>
      <c r="W1150" s="193" t="str">
        <f>'Buildings - Heat &amp; Fuels'!M311</f>
        <v/>
      </c>
      <c r="X1150" s="193">
        <f>'Buildings - Heat &amp; Fuels'!N311</f>
        <v>0</v>
      </c>
      <c r="Y1150" s="193">
        <f>'Buildings - Heat &amp; Fuels'!O311</f>
        <v>0</v>
      </c>
      <c r="Z1150" s="193" t="str">
        <f>'Buildings - Heat &amp; Fuels'!P311</f>
        <v/>
      </c>
      <c r="AA1150" s="193" t="str">
        <f>'Buildings - Heat &amp; Fuels'!Q311</f>
        <v/>
      </c>
      <c r="AB1150" s="193" t="str">
        <f>'Buildings - Heat &amp; Fuels'!R311</f>
        <v/>
      </c>
      <c r="AC1150" s="193" t="str">
        <f>'Buildings - Heat &amp; Fuels'!S311</f>
        <v/>
      </c>
      <c r="AD1150" s="193" t="str">
        <f>'Buildings - Heat &amp; Fuels'!T311</f>
        <v/>
      </c>
      <c r="AE1150" s="193" t="str">
        <f>'Buildings - Heat &amp; Fuels'!U311</f>
        <v/>
      </c>
      <c r="AF1150" s="193" t="str">
        <f>'Buildings - Heat &amp; Fuels'!V311</f>
        <v/>
      </c>
      <c r="AG1150" s="193" t="str">
        <f>'Buildings - Heat &amp; Fuels'!W311</f>
        <v/>
      </c>
      <c r="AI1150" s="193">
        <f t="shared" si="18"/>
        <v>0</v>
      </c>
      <c r="AJ1150" s="193">
        <f t="shared" si="19"/>
        <v>0</v>
      </c>
    </row>
    <row r="1151" spans="2:36" x14ac:dyDescent="0.35">
      <c r="B1151" s="193" t="e">
        <f>"2024"&amp;MATCH(Totals!D1151,OrgType,0)&amp;"_"&amp;MATCH(Totals!E1151,Organisations,0)&amp;"_"&amp;LEFT(Totals!F1151,1)&amp;"_"&amp;LEFT(G1151,1)&amp;"_"&amp;COUNTIF($G$3:G1151,G1151)</f>
        <v>#N/A</v>
      </c>
      <c r="C1151" s="193">
        <v>2025</v>
      </c>
      <c r="D1151" s="193">
        <f>Introduction!$D$7</f>
        <v>0</v>
      </c>
      <c r="E1151" s="193">
        <f>Introduction!$D$8</f>
        <v>0</v>
      </c>
      <c r="F1151" s="193" t="s">
        <v>488</v>
      </c>
      <c r="G1151" s="193" t="s">
        <v>491</v>
      </c>
      <c r="H1151" s="193">
        <f>'Buildings - Heat &amp; Fuels'!B312</f>
        <v>0</v>
      </c>
      <c r="I1151" s="193" t="str">
        <f>'Buildings - Heat &amp; Fuels'!C312</f>
        <v>F gas</v>
      </c>
      <c r="J1151" s="193">
        <f>'Buildings - Heat &amp; Fuels'!D312</f>
        <v>0</v>
      </c>
      <c r="K1151" s="237"/>
      <c r="L1151" s="237"/>
      <c r="M1151" s="193">
        <f>'Buildings - Heat &amp; Fuels'!E312</f>
        <v>0</v>
      </c>
      <c r="N1151" s="193">
        <f>'Buildings - Heat &amp; Fuels'!F312</f>
        <v>0</v>
      </c>
      <c r="O1151" s="237"/>
      <c r="P1151" s="193">
        <f>'Buildings - Heat &amp; Fuels'!F312</f>
        <v>0</v>
      </c>
      <c r="Q1151" s="193" t="str">
        <f>'Buildings - Heat &amp; Fuels'!G312</f>
        <v/>
      </c>
      <c r="R1151" s="193">
        <f>'Buildings - Heat &amp; Fuels'!H312</f>
        <v>0</v>
      </c>
      <c r="S1151" s="193">
        <f>'Buildings - Heat &amp; Fuels'!I312</f>
        <v>0</v>
      </c>
      <c r="T1151" s="193" t="str">
        <f>'Buildings - Heat &amp; Fuels'!J312</f>
        <v/>
      </c>
      <c r="U1151" s="193" t="str">
        <f>'Buildings - Heat &amp; Fuels'!K312</f>
        <v>kg</v>
      </c>
      <c r="V1151" s="193" t="str">
        <f>'Buildings - Heat &amp; Fuels'!L312</f>
        <v/>
      </c>
      <c r="W1151" s="193" t="str">
        <f>'Buildings - Heat &amp; Fuels'!M312</f>
        <v/>
      </c>
      <c r="X1151" s="193">
        <f>'Buildings - Heat &amp; Fuels'!N312</f>
        <v>0</v>
      </c>
      <c r="Y1151" s="193">
        <f>'Buildings - Heat &amp; Fuels'!O312</f>
        <v>0</v>
      </c>
      <c r="Z1151" s="193" t="str">
        <f>'Buildings - Heat &amp; Fuels'!P312</f>
        <v/>
      </c>
      <c r="AA1151" s="193" t="str">
        <f>'Buildings - Heat &amp; Fuels'!Q312</f>
        <v/>
      </c>
      <c r="AB1151" s="193" t="str">
        <f>'Buildings - Heat &amp; Fuels'!R312</f>
        <v/>
      </c>
      <c r="AC1151" s="193" t="str">
        <f>'Buildings - Heat &amp; Fuels'!S312</f>
        <v/>
      </c>
      <c r="AD1151" s="193" t="str">
        <f>'Buildings - Heat &amp; Fuels'!T312</f>
        <v/>
      </c>
      <c r="AE1151" s="193" t="str">
        <f>'Buildings - Heat &amp; Fuels'!U312</f>
        <v/>
      </c>
      <c r="AF1151" s="193" t="str">
        <f>'Buildings - Heat &amp; Fuels'!V312</f>
        <v/>
      </c>
      <c r="AG1151" s="193" t="str">
        <f>'Buildings - Heat &amp; Fuels'!W312</f>
        <v/>
      </c>
      <c r="AI1151" s="193">
        <f t="shared" si="18"/>
        <v>0</v>
      </c>
      <c r="AJ1151" s="193">
        <f t="shared" si="19"/>
        <v>0</v>
      </c>
    </row>
    <row r="1152" spans="2:36" x14ac:dyDescent="0.35">
      <c r="B1152" s="193" t="e">
        <f>"2024"&amp;MATCH(Totals!D1152,OrgType,0)&amp;"_"&amp;MATCH(Totals!E1152,Organisations,0)&amp;"_"&amp;LEFT(Totals!F1152,1)&amp;"_"&amp;LEFT(G1152,1)&amp;"_"&amp;COUNTIF($G$3:G1152,G1152)</f>
        <v>#N/A</v>
      </c>
      <c r="C1152" s="193">
        <v>2025</v>
      </c>
      <c r="D1152" s="193">
        <f>Introduction!$D$7</f>
        <v>0</v>
      </c>
      <c r="E1152" s="193">
        <f>Introduction!$D$8</f>
        <v>0</v>
      </c>
      <c r="F1152" s="193" t="s">
        <v>488</v>
      </c>
      <c r="G1152" s="193" t="s">
        <v>491</v>
      </c>
      <c r="H1152" s="193">
        <f>'Buildings - Heat &amp; Fuels'!B313</f>
        <v>0</v>
      </c>
      <c r="I1152" s="193" t="str">
        <f>'Buildings - Heat &amp; Fuels'!C313</f>
        <v>F gas</v>
      </c>
      <c r="J1152" s="193">
        <f>'Buildings - Heat &amp; Fuels'!D313</f>
        <v>0</v>
      </c>
      <c r="K1152" s="237"/>
      <c r="L1152" s="237"/>
      <c r="M1152" s="193">
        <f>'Buildings - Heat &amp; Fuels'!E313</f>
        <v>0</v>
      </c>
      <c r="N1152" s="193">
        <f>'Buildings - Heat &amp; Fuels'!F313</f>
        <v>0</v>
      </c>
      <c r="O1152" s="237"/>
      <c r="P1152" s="193">
        <f>'Buildings - Heat &amp; Fuels'!F313</f>
        <v>0</v>
      </c>
      <c r="Q1152" s="193" t="str">
        <f>'Buildings - Heat &amp; Fuels'!G313</f>
        <v/>
      </c>
      <c r="R1152" s="193">
        <f>'Buildings - Heat &amp; Fuels'!H313</f>
        <v>0</v>
      </c>
      <c r="S1152" s="193">
        <f>'Buildings - Heat &amp; Fuels'!I313</f>
        <v>0</v>
      </c>
      <c r="T1152" s="193" t="str">
        <f>'Buildings - Heat &amp; Fuels'!J313</f>
        <v/>
      </c>
      <c r="U1152" s="193" t="str">
        <f>'Buildings - Heat &amp; Fuels'!K313</f>
        <v>kg</v>
      </c>
      <c r="V1152" s="193" t="str">
        <f>'Buildings - Heat &amp; Fuels'!L313</f>
        <v/>
      </c>
      <c r="W1152" s="193" t="str">
        <f>'Buildings - Heat &amp; Fuels'!M313</f>
        <v/>
      </c>
      <c r="X1152" s="193">
        <f>'Buildings - Heat &amp; Fuels'!N313</f>
        <v>0</v>
      </c>
      <c r="Y1152" s="193">
        <f>'Buildings - Heat &amp; Fuels'!O313</f>
        <v>0</v>
      </c>
      <c r="Z1152" s="193" t="str">
        <f>'Buildings - Heat &amp; Fuels'!P313</f>
        <v/>
      </c>
      <c r="AA1152" s="193" t="str">
        <f>'Buildings - Heat &amp; Fuels'!Q313</f>
        <v/>
      </c>
      <c r="AB1152" s="193" t="str">
        <f>'Buildings - Heat &amp; Fuels'!R313</f>
        <v/>
      </c>
      <c r="AC1152" s="193" t="str">
        <f>'Buildings - Heat &amp; Fuels'!S313</f>
        <v/>
      </c>
      <c r="AD1152" s="193" t="str">
        <f>'Buildings - Heat &amp; Fuels'!T313</f>
        <v/>
      </c>
      <c r="AE1152" s="193" t="str">
        <f>'Buildings - Heat &amp; Fuels'!U313</f>
        <v/>
      </c>
      <c r="AF1152" s="193" t="str">
        <f>'Buildings - Heat &amp; Fuels'!V313</f>
        <v/>
      </c>
      <c r="AG1152" s="193" t="str">
        <f>'Buildings - Heat &amp; Fuels'!W313</f>
        <v/>
      </c>
      <c r="AI1152" s="193">
        <f t="shared" si="18"/>
        <v>0</v>
      </c>
      <c r="AJ1152" s="193">
        <f t="shared" si="19"/>
        <v>0</v>
      </c>
    </row>
    <row r="1153" spans="2:36" x14ac:dyDescent="0.35">
      <c r="B1153" s="193" t="e">
        <f>"2024"&amp;MATCH(Totals!D1153,OrgType,0)&amp;"_"&amp;MATCH(Totals!E1153,Organisations,0)&amp;"_"&amp;LEFT(Totals!F1153,1)&amp;"_"&amp;LEFT(G1153,1)&amp;"_"&amp;COUNTIF($G$3:G1153,G1153)</f>
        <v>#N/A</v>
      </c>
      <c r="C1153" s="193">
        <v>2025</v>
      </c>
      <c r="D1153" s="193">
        <f>Introduction!$D$7</f>
        <v>0</v>
      </c>
      <c r="E1153" s="193">
        <f>Introduction!$D$8</f>
        <v>0</v>
      </c>
      <c r="F1153" s="193" t="s">
        <v>488</v>
      </c>
      <c r="G1153" s="193" t="s">
        <v>491</v>
      </c>
      <c r="H1153" s="193">
        <f>'Buildings - Heat &amp; Fuels'!B314</f>
        <v>0</v>
      </c>
      <c r="I1153" s="193" t="str">
        <f>'Buildings - Heat &amp; Fuels'!C314</f>
        <v>F gas</v>
      </c>
      <c r="J1153" s="193">
        <f>'Buildings - Heat &amp; Fuels'!D314</f>
        <v>0</v>
      </c>
      <c r="K1153" s="237"/>
      <c r="L1153" s="237"/>
      <c r="M1153" s="193">
        <f>'Buildings - Heat &amp; Fuels'!E314</f>
        <v>0</v>
      </c>
      <c r="N1153" s="193">
        <f>'Buildings - Heat &amp; Fuels'!F314</f>
        <v>0</v>
      </c>
      <c r="O1153" s="237"/>
      <c r="P1153" s="193">
        <f>'Buildings - Heat &amp; Fuels'!F314</f>
        <v>0</v>
      </c>
      <c r="Q1153" s="193" t="str">
        <f>'Buildings - Heat &amp; Fuels'!G314</f>
        <v/>
      </c>
      <c r="R1153" s="193">
        <f>'Buildings - Heat &amp; Fuels'!H314</f>
        <v>0</v>
      </c>
      <c r="S1153" s="193">
        <f>'Buildings - Heat &amp; Fuels'!I314</f>
        <v>0</v>
      </c>
      <c r="T1153" s="193" t="str">
        <f>'Buildings - Heat &amp; Fuels'!J314</f>
        <v/>
      </c>
      <c r="U1153" s="193" t="str">
        <f>'Buildings - Heat &amp; Fuels'!K314</f>
        <v>kg</v>
      </c>
      <c r="V1153" s="193" t="str">
        <f>'Buildings - Heat &amp; Fuels'!L314</f>
        <v/>
      </c>
      <c r="W1153" s="193" t="str">
        <f>'Buildings - Heat &amp; Fuels'!M314</f>
        <v/>
      </c>
      <c r="X1153" s="193">
        <f>'Buildings - Heat &amp; Fuels'!N314</f>
        <v>0</v>
      </c>
      <c r="Y1153" s="193">
        <f>'Buildings - Heat &amp; Fuels'!O314</f>
        <v>0</v>
      </c>
      <c r="Z1153" s="193" t="str">
        <f>'Buildings - Heat &amp; Fuels'!P314</f>
        <v/>
      </c>
      <c r="AA1153" s="193" t="str">
        <f>'Buildings - Heat &amp; Fuels'!Q314</f>
        <v/>
      </c>
      <c r="AB1153" s="193" t="str">
        <f>'Buildings - Heat &amp; Fuels'!R314</f>
        <v/>
      </c>
      <c r="AC1153" s="193" t="str">
        <f>'Buildings - Heat &amp; Fuels'!S314</f>
        <v/>
      </c>
      <c r="AD1153" s="193" t="str">
        <f>'Buildings - Heat &amp; Fuels'!T314</f>
        <v/>
      </c>
      <c r="AE1153" s="193" t="str">
        <f>'Buildings - Heat &amp; Fuels'!U314</f>
        <v/>
      </c>
      <c r="AF1153" s="193" t="str">
        <f>'Buildings - Heat &amp; Fuels'!V314</f>
        <v/>
      </c>
      <c r="AG1153" s="193" t="str">
        <f>'Buildings - Heat &amp; Fuels'!W314</f>
        <v/>
      </c>
      <c r="AI1153" s="193">
        <f t="shared" si="18"/>
        <v>0</v>
      </c>
      <c r="AJ1153" s="193">
        <f t="shared" si="19"/>
        <v>0</v>
      </c>
    </row>
    <row r="1154" spans="2:36" x14ac:dyDescent="0.35">
      <c r="B1154" s="193" t="e">
        <f>"2024"&amp;MATCH(Totals!D1154,OrgType,0)&amp;"_"&amp;MATCH(Totals!E1154,Organisations,0)&amp;"_"&amp;LEFT(Totals!F1154,1)&amp;"_"&amp;LEFT(G1154,1)&amp;"_"&amp;COUNTIF($G$3:G1154,G1154)</f>
        <v>#N/A</v>
      </c>
      <c r="C1154" s="193">
        <v>2025</v>
      </c>
      <c r="D1154" s="193">
        <f>Introduction!$D$7</f>
        <v>0</v>
      </c>
      <c r="E1154" s="193">
        <f>Introduction!$D$8</f>
        <v>0</v>
      </c>
      <c r="F1154" s="193" t="s">
        <v>488</v>
      </c>
      <c r="G1154" s="193" t="s">
        <v>491</v>
      </c>
      <c r="H1154" s="193">
        <f>'Buildings - Heat &amp; Fuels'!B315</f>
        <v>0</v>
      </c>
      <c r="I1154" s="193" t="str">
        <f>'Buildings - Heat &amp; Fuels'!C315</f>
        <v>F gas</v>
      </c>
      <c r="J1154" s="193">
        <f>'Buildings - Heat &amp; Fuels'!D315</f>
        <v>0</v>
      </c>
      <c r="K1154" s="237"/>
      <c r="L1154" s="237"/>
      <c r="M1154" s="193">
        <f>'Buildings - Heat &amp; Fuels'!E315</f>
        <v>0</v>
      </c>
      <c r="N1154" s="193">
        <f>'Buildings - Heat &amp; Fuels'!F315</f>
        <v>0</v>
      </c>
      <c r="O1154" s="237"/>
      <c r="P1154" s="193">
        <f>'Buildings - Heat &amp; Fuels'!F315</f>
        <v>0</v>
      </c>
      <c r="Q1154" s="193" t="str">
        <f>'Buildings - Heat &amp; Fuels'!G315</f>
        <v/>
      </c>
      <c r="R1154" s="193">
        <f>'Buildings - Heat &amp; Fuels'!H315</f>
        <v>0</v>
      </c>
      <c r="S1154" s="193">
        <f>'Buildings - Heat &amp; Fuels'!I315</f>
        <v>0</v>
      </c>
      <c r="T1154" s="193" t="str">
        <f>'Buildings - Heat &amp; Fuels'!J315</f>
        <v/>
      </c>
      <c r="U1154" s="193" t="str">
        <f>'Buildings - Heat &amp; Fuels'!K315</f>
        <v>kg</v>
      </c>
      <c r="V1154" s="193" t="str">
        <f>'Buildings - Heat &amp; Fuels'!L315</f>
        <v/>
      </c>
      <c r="W1154" s="193" t="str">
        <f>'Buildings - Heat &amp; Fuels'!M315</f>
        <v/>
      </c>
      <c r="X1154" s="193">
        <f>'Buildings - Heat &amp; Fuels'!N315</f>
        <v>0</v>
      </c>
      <c r="Y1154" s="193">
        <f>'Buildings - Heat &amp; Fuels'!O315</f>
        <v>0</v>
      </c>
      <c r="Z1154" s="193" t="str">
        <f>'Buildings - Heat &amp; Fuels'!P315</f>
        <v/>
      </c>
      <c r="AA1154" s="193" t="str">
        <f>'Buildings - Heat &amp; Fuels'!Q315</f>
        <v/>
      </c>
      <c r="AB1154" s="193" t="str">
        <f>'Buildings - Heat &amp; Fuels'!R315</f>
        <v/>
      </c>
      <c r="AC1154" s="193" t="str">
        <f>'Buildings - Heat &amp; Fuels'!S315</f>
        <v/>
      </c>
      <c r="AD1154" s="193" t="str">
        <f>'Buildings - Heat &amp; Fuels'!T315</f>
        <v/>
      </c>
      <c r="AE1154" s="193" t="str">
        <f>'Buildings - Heat &amp; Fuels'!U315</f>
        <v/>
      </c>
      <c r="AF1154" s="193" t="str">
        <f>'Buildings - Heat &amp; Fuels'!V315</f>
        <v/>
      </c>
      <c r="AG1154" s="193" t="str">
        <f>'Buildings - Heat &amp; Fuels'!W315</f>
        <v/>
      </c>
      <c r="AI1154" s="193">
        <f t="shared" si="18"/>
        <v>0</v>
      </c>
      <c r="AJ1154" s="193">
        <f t="shared" si="19"/>
        <v>0</v>
      </c>
    </row>
    <row r="1155" spans="2:36" x14ac:dyDescent="0.35">
      <c r="B1155" s="193" t="e">
        <f>"2024"&amp;MATCH(Totals!D1155,OrgType,0)&amp;"_"&amp;MATCH(Totals!E1155,Organisations,0)&amp;"_"&amp;LEFT(Totals!F1155,1)&amp;"_"&amp;LEFT(G1155,1)&amp;"_"&amp;COUNTIF($G$3:G1155,G1155)</f>
        <v>#N/A</v>
      </c>
      <c r="C1155" s="193">
        <v>2025</v>
      </c>
      <c r="D1155" s="193">
        <f>Introduction!$D$7</f>
        <v>0</v>
      </c>
      <c r="E1155" s="193">
        <f>Introduction!$D$8</f>
        <v>0</v>
      </c>
      <c r="F1155" s="193" t="s">
        <v>488</v>
      </c>
      <c r="G1155" s="193" t="s">
        <v>491</v>
      </c>
      <c r="H1155" s="193">
        <f>'Buildings - Heat &amp; Fuels'!B316</f>
        <v>0</v>
      </c>
      <c r="I1155" s="193" t="str">
        <f>'Buildings - Heat &amp; Fuels'!C316</f>
        <v>F gas</v>
      </c>
      <c r="J1155" s="193">
        <f>'Buildings - Heat &amp; Fuels'!D316</f>
        <v>0</v>
      </c>
      <c r="K1155" s="237"/>
      <c r="L1155" s="237"/>
      <c r="M1155" s="193">
        <f>'Buildings - Heat &amp; Fuels'!E316</f>
        <v>0</v>
      </c>
      <c r="N1155" s="193">
        <f>'Buildings - Heat &amp; Fuels'!F316</f>
        <v>0</v>
      </c>
      <c r="O1155" s="237"/>
      <c r="P1155" s="193">
        <f>'Buildings - Heat &amp; Fuels'!F316</f>
        <v>0</v>
      </c>
      <c r="Q1155" s="193" t="str">
        <f>'Buildings - Heat &amp; Fuels'!G316</f>
        <v/>
      </c>
      <c r="R1155" s="193">
        <f>'Buildings - Heat &amp; Fuels'!H316</f>
        <v>0</v>
      </c>
      <c r="S1155" s="193">
        <f>'Buildings - Heat &amp; Fuels'!I316</f>
        <v>0</v>
      </c>
      <c r="T1155" s="193" t="str">
        <f>'Buildings - Heat &amp; Fuels'!J316</f>
        <v/>
      </c>
      <c r="U1155" s="193" t="str">
        <f>'Buildings - Heat &amp; Fuels'!K316</f>
        <v>kg</v>
      </c>
      <c r="V1155" s="193" t="str">
        <f>'Buildings - Heat &amp; Fuels'!L316</f>
        <v/>
      </c>
      <c r="W1155" s="193" t="str">
        <f>'Buildings - Heat &amp; Fuels'!M316</f>
        <v/>
      </c>
      <c r="X1155" s="193">
        <f>'Buildings - Heat &amp; Fuels'!N316</f>
        <v>0</v>
      </c>
      <c r="Y1155" s="193">
        <f>'Buildings - Heat &amp; Fuels'!O316</f>
        <v>0</v>
      </c>
      <c r="Z1155" s="193" t="str">
        <f>'Buildings - Heat &amp; Fuels'!P316</f>
        <v/>
      </c>
      <c r="AA1155" s="193" t="str">
        <f>'Buildings - Heat &amp; Fuels'!Q316</f>
        <v/>
      </c>
      <c r="AB1155" s="193" t="str">
        <f>'Buildings - Heat &amp; Fuels'!R316</f>
        <v/>
      </c>
      <c r="AC1155" s="193" t="str">
        <f>'Buildings - Heat &amp; Fuels'!S316</f>
        <v/>
      </c>
      <c r="AD1155" s="193" t="str">
        <f>'Buildings - Heat &amp; Fuels'!T316</f>
        <v/>
      </c>
      <c r="AE1155" s="193" t="str">
        <f>'Buildings - Heat &amp; Fuels'!U316</f>
        <v/>
      </c>
      <c r="AF1155" s="193" t="str">
        <f>'Buildings - Heat &amp; Fuels'!V316</f>
        <v/>
      </c>
      <c r="AG1155" s="193" t="str">
        <f>'Buildings - Heat &amp; Fuels'!W316</f>
        <v/>
      </c>
      <c r="AI1155" s="193">
        <f t="shared" si="18"/>
        <v>0</v>
      </c>
      <c r="AJ1155" s="193">
        <f t="shared" si="19"/>
        <v>0</v>
      </c>
    </row>
    <row r="1156" spans="2:36" x14ac:dyDescent="0.35">
      <c r="B1156" s="193" t="e">
        <f>"2024"&amp;MATCH(Totals!D1156,OrgType,0)&amp;"_"&amp;MATCH(Totals!E1156,Organisations,0)&amp;"_"&amp;LEFT(Totals!F1156,1)&amp;"_"&amp;LEFT(G1156,1)&amp;"_"&amp;COUNTIF($G$3:G1156,G1156)</f>
        <v>#N/A</v>
      </c>
      <c r="C1156" s="193">
        <v>2025</v>
      </c>
      <c r="D1156" s="193">
        <f>Introduction!$D$7</f>
        <v>0</v>
      </c>
      <c r="E1156" s="193">
        <f>Introduction!$D$8</f>
        <v>0</v>
      </c>
      <c r="F1156" s="193" t="s">
        <v>488</v>
      </c>
      <c r="G1156" s="193" t="s">
        <v>491</v>
      </c>
      <c r="H1156" s="193">
        <f>'Buildings - Heat &amp; Fuels'!B317</f>
        <v>0</v>
      </c>
      <c r="I1156" s="193" t="str">
        <f>'Buildings - Heat &amp; Fuels'!C317</f>
        <v>F gas</v>
      </c>
      <c r="J1156" s="193">
        <f>'Buildings - Heat &amp; Fuels'!D317</f>
        <v>0</v>
      </c>
      <c r="K1156" s="237"/>
      <c r="L1156" s="237"/>
      <c r="M1156" s="193">
        <f>'Buildings - Heat &amp; Fuels'!E317</f>
        <v>0</v>
      </c>
      <c r="N1156" s="193">
        <f>'Buildings - Heat &amp; Fuels'!F317</f>
        <v>0</v>
      </c>
      <c r="O1156" s="237"/>
      <c r="P1156" s="193">
        <f>'Buildings - Heat &amp; Fuels'!F317</f>
        <v>0</v>
      </c>
      <c r="Q1156" s="193" t="str">
        <f>'Buildings - Heat &amp; Fuels'!G317</f>
        <v/>
      </c>
      <c r="R1156" s="193">
        <f>'Buildings - Heat &amp; Fuels'!H317</f>
        <v>0</v>
      </c>
      <c r="S1156" s="193">
        <f>'Buildings - Heat &amp; Fuels'!I317</f>
        <v>0</v>
      </c>
      <c r="T1156" s="193" t="str">
        <f>'Buildings - Heat &amp; Fuels'!J317</f>
        <v/>
      </c>
      <c r="U1156" s="193" t="str">
        <f>'Buildings - Heat &amp; Fuels'!K317</f>
        <v>kg</v>
      </c>
      <c r="V1156" s="193" t="str">
        <f>'Buildings - Heat &amp; Fuels'!L317</f>
        <v/>
      </c>
      <c r="W1156" s="193" t="str">
        <f>'Buildings - Heat &amp; Fuels'!M317</f>
        <v/>
      </c>
      <c r="X1156" s="193">
        <f>'Buildings - Heat &amp; Fuels'!N317</f>
        <v>0</v>
      </c>
      <c r="Y1156" s="193">
        <f>'Buildings - Heat &amp; Fuels'!O317</f>
        <v>0</v>
      </c>
      <c r="Z1156" s="193" t="str">
        <f>'Buildings - Heat &amp; Fuels'!P317</f>
        <v/>
      </c>
      <c r="AA1156" s="193" t="str">
        <f>'Buildings - Heat &amp; Fuels'!Q317</f>
        <v/>
      </c>
      <c r="AB1156" s="193" t="str">
        <f>'Buildings - Heat &amp; Fuels'!R317</f>
        <v/>
      </c>
      <c r="AC1156" s="193" t="str">
        <f>'Buildings - Heat &amp; Fuels'!S317</f>
        <v/>
      </c>
      <c r="AD1156" s="193" t="str">
        <f>'Buildings - Heat &amp; Fuels'!T317</f>
        <v/>
      </c>
      <c r="AE1156" s="193" t="str">
        <f>'Buildings - Heat &amp; Fuels'!U317</f>
        <v/>
      </c>
      <c r="AF1156" s="193" t="str">
        <f>'Buildings - Heat &amp; Fuels'!V317</f>
        <v/>
      </c>
      <c r="AG1156" s="193" t="str">
        <f>'Buildings - Heat &amp; Fuels'!W317</f>
        <v/>
      </c>
      <c r="AI1156" s="193">
        <f t="shared" ref="AI1156:AI1237" si="20">IF(AND(V1156="",R1156&lt;&gt;0),1,0)</f>
        <v>0</v>
      </c>
      <c r="AJ1156" s="193">
        <f t="shared" ref="AJ1156:AJ1237" si="21">IF(AND(W1156="",R1156&lt;&gt;0),1,0)</f>
        <v>0</v>
      </c>
    </row>
    <row r="1157" spans="2:36" x14ac:dyDescent="0.35">
      <c r="B1157" s="193" t="e">
        <f>"2024"&amp;MATCH(Totals!D1157,OrgType,0)&amp;"_"&amp;MATCH(Totals!E1157,Organisations,0)&amp;"_"&amp;LEFT(Totals!F1157,1)&amp;"_"&amp;LEFT(G1157,1)&amp;"_"&amp;COUNTIF($G$3:G1157,G1157)</f>
        <v>#N/A</v>
      </c>
      <c r="C1157" s="193">
        <v>2025</v>
      </c>
      <c r="D1157" s="193">
        <f>Introduction!$D$7</f>
        <v>0</v>
      </c>
      <c r="E1157" s="193">
        <f>Introduction!$D$8</f>
        <v>0</v>
      </c>
      <c r="F1157" s="193" t="s">
        <v>488</v>
      </c>
      <c r="G1157" s="193" t="s">
        <v>491</v>
      </c>
      <c r="H1157" s="193">
        <f>'Buildings - Heat &amp; Fuels'!B318</f>
        <v>0</v>
      </c>
      <c r="I1157" s="193" t="str">
        <f>'Buildings - Heat &amp; Fuels'!C318</f>
        <v>F gas</v>
      </c>
      <c r="J1157" s="193">
        <f>'Buildings - Heat &amp; Fuels'!D318</f>
        <v>0</v>
      </c>
      <c r="K1157" s="237"/>
      <c r="L1157" s="237"/>
      <c r="M1157" s="193">
        <f>'Buildings - Heat &amp; Fuels'!E318</f>
        <v>0</v>
      </c>
      <c r="N1157" s="193">
        <f>'Buildings - Heat &amp; Fuels'!F318</f>
        <v>0</v>
      </c>
      <c r="O1157" s="237"/>
      <c r="P1157" s="193">
        <f>'Buildings - Heat &amp; Fuels'!F318</f>
        <v>0</v>
      </c>
      <c r="Q1157" s="193" t="str">
        <f>'Buildings - Heat &amp; Fuels'!G318</f>
        <v/>
      </c>
      <c r="R1157" s="193">
        <f>'Buildings - Heat &amp; Fuels'!H318</f>
        <v>0</v>
      </c>
      <c r="S1157" s="193">
        <f>'Buildings - Heat &amp; Fuels'!I318</f>
        <v>0</v>
      </c>
      <c r="T1157" s="193" t="str">
        <f>'Buildings - Heat &amp; Fuels'!J318</f>
        <v/>
      </c>
      <c r="U1157" s="193" t="str">
        <f>'Buildings - Heat &amp; Fuels'!K318</f>
        <v>kg</v>
      </c>
      <c r="V1157" s="193" t="str">
        <f>'Buildings - Heat &amp; Fuels'!L318</f>
        <v/>
      </c>
      <c r="W1157" s="193" t="str">
        <f>'Buildings - Heat &amp; Fuels'!M318</f>
        <v/>
      </c>
      <c r="X1157" s="193">
        <f>'Buildings - Heat &amp; Fuels'!N318</f>
        <v>0</v>
      </c>
      <c r="Y1157" s="193">
        <f>'Buildings - Heat &amp; Fuels'!O318</f>
        <v>0</v>
      </c>
      <c r="Z1157" s="193" t="str">
        <f>'Buildings - Heat &amp; Fuels'!P318</f>
        <v/>
      </c>
      <c r="AA1157" s="193" t="str">
        <f>'Buildings - Heat &amp; Fuels'!Q318</f>
        <v/>
      </c>
      <c r="AB1157" s="193" t="str">
        <f>'Buildings - Heat &amp; Fuels'!R318</f>
        <v/>
      </c>
      <c r="AC1157" s="193" t="str">
        <f>'Buildings - Heat &amp; Fuels'!S318</f>
        <v/>
      </c>
      <c r="AD1157" s="193" t="str">
        <f>'Buildings - Heat &amp; Fuels'!T318</f>
        <v/>
      </c>
      <c r="AE1157" s="193" t="str">
        <f>'Buildings - Heat &amp; Fuels'!U318</f>
        <v/>
      </c>
      <c r="AF1157" s="193" t="str">
        <f>'Buildings - Heat &amp; Fuels'!V318</f>
        <v/>
      </c>
      <c r="AG1157" s="193" t="str">
        <f>'Buildings - Heat &amp; Fuels'!W318</f>
        <v/>
      </c>
      <c r="AI1157" s="193">
        <f t="shared" si="20"/>
        <v>0</v>
      </c>
      <c r="AJ1157" s="193">
        <f t="shared" si="21"/>
        <v>0</v>
      </c>
    </row>
    <row r="1158" spans="2:36" x14ac:dyDescent="0.35">
      <c r="B1158" s="193" t="e">
        <f>"2024"&amp;MATCH(Totals!D1158,OrgType,0)&amp;"_"&amp;MATCH(Totals!E1158,Organisations,0)&amp;"_"&amp;LEFT(Totals!F1158,1)&amp;"_"&amp;LEFT(G1158,1)&amp;"_"&amp;COUNTIF($G$3:G1158,G1158)</f>
        <v>#N/A</v>
      </c>
      <c r="C1158" s="193">
        <v>2025</v>
      </c>
      <c r="D1158" s="193">
        <f>Introduction!$D$7</f>
        <v>0</v>
      </c>
      <c r="E1158" s="193">
        <f>Introduction!$D$8</f>
        <v>0</v>
      </c>
      <c r="F1158" s="193" t="s">
        <v>488</v>
      </c>
      <c r="G1158" s="193" t="s">
        <v>491</v>
      </c>
      <c r="H1158" s="193">
        <f>'Buildings - Heat &amp; Fuels'!B319</f>
        <v>0</v>
      </c>
      <c r="I1158" s="193" t="str">
        <f>'Buildings - Heat &amp; Fuels'!C319</f>
        <v>F gas</v>
      </c>
      <c r="J1158" s="193">
        <f>'Buildings - Heat &amp; Fuels'!D319</f>
        <v>0</v>
      </c>
      <c r="K1158" s="237"/>
      <c r="L1158" s="237"/>
      <c r="M1158" s="193">
        <f>'Buildings - Heat &amp; Fuels'!E319</f>
        <v>0</v>
      </c>
      <c r="N1158" s="193">
        <f>'Buildings - Heat &amp; Fuels'!F319</f>
        <v>0</v>
      </c>
      <c r="O1158" s="237"/>
      <c r="P1158" s="193">
        <f>'Buildings - Heat &amp; Fuels'!F319</f>
        <v>0</v>
      </c>
      <c r="Q1158" s="193" t="str">
        <f>'Buildings - Heat &amp; Fuels'!G319</f>
        <v/>
      </c>
      <c r="R1158" s="193">
        <f>'Buildings - Heat &amp; Fuels'!H319</f>
        <v>0</v>
      </c>
      <c r="S1158" s="193">
        <f>'Buildings - Heat &amp; Fuels'!I319</f>
        <v>0</v>
      </c>
      <c r="T1158" s="193" t="str">
        <f>'Buildings - Heat &amp; Fuels'!J319</f>
        <v/>
      </c>
      <c r="U1158" s="193" t="str">
        <f>'Buildings - Heat &amp; Fuels'!K319</f>
        <v>kg</v>
      </c>
      <c r="V1158" s="193" t="str">
        <f>'Buildings - Heat &amp; Fuels'!L319</f>
        <v/>
      </c>
      <c r="W1158" s="193" t="str">
        <f>'Buildings - Heat &amp; Fuels'!M319</f>
        <v/>
      </c>
      <c r="X1158" s="193">
        <f>'Buildings - Heat &amp; Fuels'!N319</f>
        <v>0</v>
      </c>
      <c r="Y1158" s="193">
        <f>'Buildings - Heat &amp; Fuels'!O319</f>
        <v>0</v>
      </c>
      <c r="Z1158" s="193" t="str">
        <f>'Buildings - Heat &amp; Fuels'!P319</f>
        <v/>
      </c>
      <c r="AA1158" s="193" t="str">
        <f>'Buildings - Heat &amp; Fuels'!Q319</f>
        <v/>
      </c>
      <c r="AB1158" s="193" t="str">
        <f>'Buildings - Heat &amp; Fuels'!R319</f>
        <v/>
      </c>
      <c r="AC1158" s="193" t="str">
        <f>'Buildings - Heat &amp; Fuels'!S319</f>
        <v/>
      </c>
      <c r="AD1158" s="193" t="str">
        <f>'Buildings - Heat &amp; Fuels'!T319</f>
        <v/>
      </c>
      <c r="AE1158" s="193" t="str">
        <f>'Buildings - Heat &amp; Fuels'!U319</f>
        <v/>
      </c>
      <c r="AF1158" s="193" t="str">
        <f>'Buildings - Heat &amp; Fuels'!V319</f>
        <v/>
      </c>
      <c r="AG1158" s="193" t="str">
        <f>'Buildings - Heat &amp; Fuels'!W319</f>
        <v/>
      </c>
      <c r="AI1158" s="193">
        <f t="shared" si="20"/>
        <v>0</v>
      </c>
      <c r="AJ1158" s="193">
        <f t="shared" si="21"/>
        <v>0</v>
      </c>
    </row>
    <row r="1159" spans="2:36" x14ac:dyDescent="0.35">
      <c r="B1159" s="193" t="e">
        <f>"2024"&amp;MATCH(Totals!D1159,OrgType,0)&amp;"_"&amp;MATCH(Totals!E1159,Organisations,0)&amp;"_"&amp;LEFT(Totals!F1159,1)&amp;"_"&amp;LEFT(G1159,1)&amp;"_"&amp;COUNTIF($G$3:G1159,G1159)</f>
        <v>#N/A</v>
      </c>
      <c r="C1159" s="193">
        <v>2025</v>
      </c>
      <c r="D1159" s="193">
        <f>Introduction!$D$7</f>
        <v>0</v>
      </c>
      <c r="E1159" s="193">
        <f>Introduction!$D$8</f>
        <v>0</v>
      </c>
      <c r="F1159" s="193" t="s">
        <v>488</v>
      </c>
      <c r="G1159" s="193" t="s">
        <v>491</v>
      </c>
      <c r="H1159" s="193">
        <f>'Buildings - Heat &amp; Fuels'!B320</f>
        <v>0</v>
      </c>
      <c r="I1159" s="193" t="str">
        <f>'Buildings - Heat &amp; Fuels'!C320</f>
        <v>F gas</v>
      </c>
      <c r="J1159" s="193">
        <f>'Buildings - Heat &amp; Fuels'!D320</f>
        <v>0</v>
      </c>
      <c r="K1159" s="237"/>
      <c r="L1159" s="237"/>
      <c r="M1159" s="193">
        <f>'Buildings - Heat &amp; Fuels'!E320</f>
        <v>0</v>
      </c>
      <c r="N1159" s="193">
        <f>'Buildings - Heat &amp; Fuels'!F320</f>
        <v>0</v>
      </c>
      <c r="O1159" s="237"/>
      <c r="P1159" s="193">
        <f>'Buildings - Heat &amp; Fuels'!F320</f>
        <v>0</v>
      </c>
      <c r="Q1159" s="193" t="str">
        <f>'Buildings - Heat &amp; Fuels'!G320</f>
        <v/>
      </c>
      <c r="R1159" s="193">
        <f>'Buildings - Heat &amp; Fuels'!H320</f>
        <v>0</v>
      </c>
      <c r="S1159" s="193">
        <f>'Buildings - Heat &amp; Fuels'!I320</f>
        <v>0</v>
      </c>
      <c r="T1159" s="193" t="str">
        <f>'Buildings - Heat &amp; Fuels'!J320</f>
        <v/>
      </c>
      <c r="U1159" s="193" t="str">
        <f>'Buildings - Heat &amp; Fuels'!K320</f>
        <v>kg</v>
      </c>
      <c r="V1159" s="193" t="str">
        <f>'Buildings - Heat &amp; Fuels'!L320</f>
        <v/>
      </c>
      <c r="W1159" s="193" t="str">
        <f>'Buildings - Heat &amp; Fuels'!M320</f>
        <v/>
      </c>
      <c r="X1159" s="193">
        <f>'Buildings - Heat &amp; Fuels'!N320</f>
        <v>0</v>
      </c>
      <c r="Y1159" s="193">
        <f>'Buildings - Heat &amp; Fuels'!O320</f>
        <v>0</v>
      </c>
      <c r="Z1159" s="193" t="str">
        <f>'Buildings - Heat &amp; Fuels'!P320</f>
        <v/>
      </c>
      <c r="AA1159" s="193" t="str">
        <f>'Buildings - Heat &amp; Fuels'!Q320</f>
        <v/>
      </c>
      <c r="AB1159" s="193" t="str">
        <f>'Buildings - Heat &amp; Fuels'!R320</f>
        <v/>
      </c>
      <c r="AC1159" s="193" t="str">
        <f>'Buildings - Heat &amp; Fuels'!S320</f>
        <v/>
      </c>
      <c r="AD1159" s="193" t="str">
        <f>'Buildings - Heat &amp; Fuels'!T320</f>
        <v/>
      </c>
      <c r="AE1159" s="193" t="str">
        <f>'Buildings - Heat &amp; Fuels'!U320</f>
        <v/>
      </c>
      <c r="AF1159" s="193" t="str">
        <f>'Buildings - Heat &amp; Fuels'!V320</f>
        <v/>
      </c>
      <c r="AG1159" s="193" t="str">
        <f>'Buildings - Heat &amp; Fuels'!W320</f>
        <v/>
      </c>
      <c r="AI1159" s="193">
        <f t="shared" si="20"/>
        <v>0</v>
      </c>
      <c r="AJ1159" s="193">
        <f t="shared" si="21"/>
        <v>0</v>
      </c>
    </row>
    <row r="1160" spans="2:36" x14ac:dyDescent="0.35">
      <c r="B1160" s="193" t="e">
        <f>"2024"&amp;MATCH(Totals!D1160,OrgType,0)&amp;"_"&amp;MATCH(Totals!E1160,Organisations,0)&amp;"_"&amp;LEFT(Totals!F1160,1)&amp;"_"&amp;LEFT(G1160,1)&amp;"_"&amp;COUNTIF($G$3:G1160,G1160)</f>
        <v>#N/A</v>
      </c>
      <c r="C1160" s="193">
        <v>2025</v>
      </c>
      <c r="D1160" s="193">
        <f>Introduction!$D$7</f>
        <v>0</v>
      </c>
      <c r="E1160" s="193">
        <f>Introduction!$D$8</f>
        <v>0</v>
      </c>
      <c r="F1160" s="193" t="s">
        <v>488</v>
      </c>
      <c r="G1160" s="193" t="s">
        <v>491</v>
      </c>
      <c r="H1160" s="193">
        <f>'Buildings - Heat &amp; Fuels'!B321</f>
        <v>0</v>
      </c>
      <c r="I1160" s="193" t="str">
        <f>'Buildings - Heat &amp; Fuels'!C321</f>
        <v>F gas</v>
      </c>
      <c r="J1160" s="193">
        <f>'Buildings - Heat &amp; Fuels'!D321</f>
        <v>0</v>
      </c>
      <c r="K1160" s="237"/>
      <c r="L1160" s="237"/>
      <c r="M1160" s="193">
        <f>'Buildings - Heat &amp; Fuels'!E321</f>
        <v>0</v>
      </c>
      <c r="N1160" s="193">
        <f>'Buildings - Heat &amp; Fuels'!F321</f>
        <v>0</v>
      </c>
      <c r="O1160" s="237"/>
      <c r="P1160" s="193">
        <f>'Buildings - Heat &amp; Fuels'!F321</f>
        <v>0</v>
      </c>
      <c r="Q1160" s="193" t="str">
        <f>'Buildings - Heat &amp; Fuels'!G321</f>
        <v/>
      </c>
      <c r="R1160" s="193">
        <f>'Buildings - Heat &amp; Fuels'!H321</f>
        <v>0</v>
      </c>
      <c r="S1160" s="193">
        <f>'Buildings - Heat &amp; Fuels'!I321</f>
        <v>0</v>
      </c>
      <c r="T1160" s="193" t="str">
        <f>'Buildings - Heat &amp; Fuels'!J321</f>
        <v/>
      </c>
      <c r="U1160" s="193" t="str">
        <f>'Buildings - Heat &amp; Fuels'!K321</f>
        <v>kg</v>
      </c>
      <c r="V1160" s="193" t="str">
        <f>'Buildings - Heat &amp; Fuels'!L321</f>
        <v/>
      </c>
      <c r="W1160" s="193" t="str">
        <f>'Buildings - Heat &amp; Fuels'!M321</f>
        <v/>
      </c>
      <c r="X1160" s="193">
        <f>'Buildings - Heat &amp; Fuels'!N321</f>
        <v>0</v>
      </c>
      <c r="Y1160" s="193">
        <f>'Buildings - Heat &amp; Fuels'!O321</f>
        <v>0</v>
      </c>
      <c r="Z1160" s="193" t="str">
        <f>'Buildings - Heat &amp; Fuels'!P321</f>
        <v/>
      </c>
      <c r="AA1160" s="193" t="str">
        <f>'Buildings - Heat &amp; Fuels'!Q321</f>
        <v/>
      </c>
      <c r="AB1160" s="193" t="str">
        <f>'Buildings - Heat &amp; Fuels'!R321</f>
        <v/>
      </c>
      <c r="AC1160" s="193" t="str">
        <f>'Buildings - Heat &amp; Fuels'!S321</f>
        <v/>
      </c>
      <c r="AD1160" s="193" t="str">
        <f>'Buildings - Heat &amp; Fuels'!T321</f>
        <v/>
      </c>
      <c r="AE1160" s="193" t="str">
        <f>'Buildings - Heat &amp; Fuels'!U321</f>
        <v/>
      </c>
      <c r="AF1160" s="193" t="str">
        <f>'Buildings - Heat &amp; Fuels'!V321</f>
        <v/>
      </c>
      <c r="AG1160" s="193" t="str">
        <f>'Buildings - Heat &amp; Fuels'!W321</f>
        <v/>
      </c>
      <c r="AI1160" s="193">
        <f t="shared" si="20"/>
        <v>0</v>
      </c>
      <c r="AJ1160" s="193">
        <f t="shared" si="21"/>
        <v>0</v>
      </c>
    </row>
    <row r="1161" spans="2:36" x14ac:dyDescent="0.35">
      <c r="B1161" s="193" t="e">
        <f>"2024"&amp;MATCH(Totals!D1161,OrgType,0)&amp;"_"&amp;MATCH(Totals!E1161,Organisations,0)&amp;"_"&amp;LEFT(Totals!F1161,1)&amp;"_"&amp;LEFT(G1161,1)&amp;"_"&amp;COUNTIF($G$3:G1161,G1161)</f>
        <v>#N/A</v>
      </c>
      <c r="C1161" s="193">
        <v>2025</v>
      </c>
      <c r="D1161" s="193">
        <f>Introduction!$D$7</f>
        <v>0</v>
      </c>
      <c r="E1161" s="193">
        <f>Introduction!$D$8</f>
        <v>0</v>
      </c>
      <c r="F1161" s="193" t="s">
        <v>107</v>
      </c>
      <c r="G1161" s="193" t="s">
        <v>492</v>
      </c>
      <c r="H1161" s="194"/>
      <c r="I1161" s="194"/>
      <c r="J1161" s="193">
        <f>'Fleet &amp; stationary assets'!B8</f>
        <v>0</v>
      </c>
      <c r="K1161" s="194"/>
      <c r="L1161" s="194"/>
      <c r="M1161" s="193">
        <f>'Fleet &amp; stationary assets'!C8</f>
        <v>0</v>
      </c>
      <c r="N1161" s="193">
        <f>'Fleet &amp; stationary assets'!D8</f>
        <v>0</v>
      </c>
      <c r="O1161" s="193">
        <f>'Fleet &amp; stationary assets'!E8</f>
        <v>0</v>
      </c>
      <c r="P1161" s="193">
        <f>'Fleet &amp; stationary assets'!F8</f>
        <v>0</v>
      </c>
      <c r="Q1161" s="193" t="str">
        <f>'Fleet &amp; stationary assets'!G8</f>
        <v/>
      </c>
      <c r="R1161" s="193">
        <f>'Fleet &amp; stationary assets'!I8</f>
        <v>0</v>
      </c>
      <c r="S1161" s="193">
        <f>'Fleet &amp; stationary assets'!J8</f>
        <v>0</v>
      </c>
      <c r="T1161" s="193" t="str">
        <f>'Fleet &amp; stationary assets'!K8</f>
        <v/>
      </c>
      <c r="U1161" s="193" t="str">
        <f>'Fleet &amp; stationary assets'!L8</f>
        <v/>
      </c>
      <c r="V1161" s="193" t="str">
        <f>'Fleet &amp; stationary assets'!M8</f>
        <v/>
      </c>
      <c r="W1161" s="193" t="str">
        <f>'Fleet &amp; stationary assets'!N8</f>
        <v/>
      </c>
      <c r="X1161" s="193">
        <f>'Fleet &amp; stationary assets'!O8</f>
        <v>0</v>
      </c>
      <c r="Y1161" s="193">
        <f>'Fleet &amp; stationary assets'!P8</f>
        <v>0</v>
      </c>
      <c r="Z1161" s="193" t="str">
        <f>'Fleet &amp; stationary assets'!Q8</f>
        <v/>
      </c>
      <c r="AA1161" s="193" t="str">
        <f>'Fleet &amp; stationary assets'!R8</f>
        <v/>
      </c>
      <c r="AB1161" s="193" t="str">
        <f>'Fleet &amp; stationary assets'!S8</f>
        <v/>
      </c>
      <c r="AC1161" s="193" t="str">
        <f>'Fleet &amp; stationary assets'!T8</f>
        <v/>
      </c>
      <c r="AD1161" s="193" t="str">
        <f>'Fleet &amp; stationary assets'!U8</f>
        <v/>
      </c>
      <c r="AE1161" s="193" t="str">
        <f>'Fleet &amp; stationary assets'!V8</f>
        <v/>
      </c>
      <c r="AF1161" s="193" t="str">
        <f>'Fleet &amp; stationary assets'!W8</f>
        <v/>
      </c>
      <c r="AG1161" s="193" t="str">
        <f>'Fleet &amp; stationary assets'!X8</f>
        <v/>
      </c>
      <c r="AI1161" s="193">
        <f t="shared" si="20"/>
        <v>0</v>
      </c>
      <c r="AJ1161" s="193">
        <f t="shared" si="21"/>
        <v>0</v>
      </c>
    </row>
    <row r="1162" spans="2:36" x14ac:dyDescent="0.35">
      <c r="B1162" s="193" t="e">
        <f>"2024"&amp;MATCH(Totals!D1162,OrgType,0)&amp;"_"&amp;MATCH(Totals!E1162,Organisations,0)&amp;"_"&amp;LEFT(Totals!F1162,1)&amp;"_"&amp;LEFT(G1162,1)&amp;"_"&amp;COUNTIF($G$3:G1162,G1162)</f>
        <v>#N/A</v>
      </c>
      <c r="C1162" s="193">
        <v>2025</v>
      </c>
      <c r="D1162" s="193">
        <f>Introduction!$D$7</f>
        <v>0</v>
      </c>
      <c r="E1162" s="193">
        <f>Introduction!$D$8</f>
        <v>0</v>
      </c>
      <c r="F1162" s="193" t="s">
        <v>107</v>
      </c>
      <c r="G1162" s="193" t="s">
        <v>492</v>
      </c>
      <c r="H1162" s="194"/>
      <c r="I1162" s="194"/>
      <c r="J1162" s="193">
        <f>'Fleet &amp; stationary assets'!B9</f>
        <v>0</v>
      </c>
      <c r="K1162" s="194"/>
      <c r="L1162" s="194"/>
      <c r="M1162" s="193">
        <f>'Fleet &amp; stationary assets'!C9</f>
        <v>0</v>
      </c>
      <c r="N1162" s="193">
        <f>'Fleet &amp; stationary assets'!D9</f>
        <v>0</v>
      </c>
      <c r="O1162" s="193">
        <f>'Fleet &amp; stationary assets'!E9</f>
        <v>0</v>
      </c>
      <c r="P1162" s="193">
        <f>'Fleet &amp; stationary assets'!F9</f>
        <v>0</v>
      </c>
      <c r="Q1162" s="193" t="str">
        <f>'Fleet &amp; stationary assets'!G9</f>
        <v/>
      </c>
      <c r="R1162" s="193">
        <f>'Fleet &amp; stationary assets'!I9</f>
        <v>0</v>
      </c>
      <c r="S1162" s="193">
        <f>'Fleet &amp; stationary assets'!J9</f>
        <v>0</v>
      </c>
      <c r="T1162" s="193" t="str">
        <f>'Fleet &amp; stationary assets'!K9</f>
        <v/>
      </c>
      <c r="U1162" s="193" t="str">
        <f>'Fleet &amp; stationary assets'!L9</f>
        <v/>
      </c>
      <c r="V1162" s="193" t="str">
        <f>'Fleet &amp; stationary assets'!M9</f>
        <v/>
      </c>
      <c r="W1162" s="193" t="str">
        <f>'Fleet &amp; stationary assets'!N9</f>
        <v/>
      </c>
      <c r="X1162" s="193">
        <f>'Fleet &amp; stationary assets'!O9</f>
        <v>0</v>
      </c>
      <c r="Y1162" s="193">
        <f>'Fleet &amp; stationary assets'!P9</f>
        <v>0</v>
      </c>
      <c r="Z1162" s="193" t="str">
        <f>'Fleet &amp; stationary assets'!Q9</f>
        <v/>
      </c>
      <c r="AA1162" s="193" t="str">
        <f>'Fleet &amp; stationary assets'!R9</f>
        <v/>
      </c>
      <c r="AB1162" s="193" t="str">
        <f>'Fleet &amp; stationary assets'!S9</f>
        <v/>
      </c>
      <c r="AC1162" s="193" t="str">
        <f>'Fleet &amp; stationary assets'!T9</f>
        <v/>
      </c>
      <c r="AD1162" s="193" t="str">
        <f>'Fleet &amp; stationary assets'!U9</f>
        <v/>
      </c>
      <c r="AE1162" s="193" t="str">
        <f>'Fleet &amp; stationary assets'!V9</f>
        <v/>
      </c>
      <c r="AF1162" s="193" t="str">
        <f>'Fleet &amp; stationary assets'!W9</f>
        <v/>
      </c>
      <c r="AG1162" s="193" t="str">
        <f>'Fleet &amp; stationary assets'!X9</f>
        <v/>
      </c>
      <c r="AI1162" s="193">
        <f t="shared" ref="AI1162:AI1171" si="22">IF(AND(V1162="",R1162&lt;&gt;0),1,0)</f>
        <v>0</v>
      </c>
      <c r="AJ1162" s="193">
        <f t="shared" ref="AJ1162:AJ1171" si="23">IF(AND(W1162="",R1162&lt;&gt;0),1,0)</f>
        <v>0</v>
      </c>
    </row>
    <row r="1163" spans="2:36" x14ac:dyDescent="0.35">
      <c r="B1163" s="193" t="e">
        <f>"2024"&amp;MATCH(Totals!D1163,OrgType,0)&amp;"_"&amp;MATCH(Totals!E1163,Organisations,0)&amp;"_"&amp;LEFT(Totals!F1163,1)&amp;"_"&amp;LEFT(G1163,1)&amp;"_"&amp;COUNTIF($G$3:G1163,G1163)</f>
        <v>#N/A</v>
      </c>
      <c r="C1163" s="193">
        <v>2025</v>
      </c>
      <c r="D1163" s="193">
        <f>Introduction!$D$7</f>
        <v>0</v>
      </c>
      <c r="E1163" s="193">
        <f>Introduction!$D$8</f>
        <v>0</v>
      </c>
      <c r="F1163" s="193" t="s">
        <v>107</v>
      </c>
      <c r="G1163" s="193" t="s">
        <v>492</v>
      </c>
      <c r="H1163" s="194"/>
      <c r="I1163" s="194"/>
      <c r="J1163" s="193">
        <f>'Fleet &amp; stationary assets'!B10</f>
        <v>0</v>
      </c>
      <c r="K1163" s="194"/>
      <c r="L1163" s="194"/>
      <c r="M1163" s="193">
        <f>'Fleet &amp; stationary assets'!C10</f>
        <v>0</v>
      </c>
      <c r="N1163" s="193">
        <f>'Fleet &amp; stationary assets'!D10</f>
        <v>0</v>
      </c>
      <c r="O1163" s="193">
        <f>'Fleet &amp; stationary assets'!E10</f>
        <v>0</v>
      </c>
      <c r="P1163" s="193">
        <f>'Fleet &amp; stationary assets'!F10</f>
        <v>0</v>
      </c>
      <c r="Q1163" s="193" t="str">
        <f>'Fleet &amp; stationary assets'!G10</f>
        <v/>
      </c>
      <c r="R1163" s="193">
        <f>'Fleet &amp; stationary assets'!I10</f>
        <v>0</v>
      </c>
      <c r="S1163" s="193">
        <f>'Fleet &amp; stationary assets'!J10</f>
        <v>0</v>
      </c>
      <c r="T1163" s="193" t="str">
        <f>'Fleet &amp; stationary assets'!K10</f>
        <v/>
      </c>
      <c r="U1163" s="193" t="str">
        <f>'Fleet &amp; stationary assets'!L10</f>
        <v/>
      </c>
      <c r="V1163" s="193" t="str">
        <f>'Fleet &amp; stationary assets'!M10</f>
        <v/>
      </c>
      <c r="W1163" s="193" t="str">
        <f>'Fleet &amp; stationary assets'!N10</f>
        <v/>
      </c>
      <c r="X1163" s="193">
        <f>'Fleet &amp; stationary assets'!O10</f>
        <v>0</v>
      </c>
      <c r="Y1163" s="193">
        <f>'Fleet &amp; stationary assets'!P10</f>
        <v>0</v>
      </c>
      <c r="Z1163" s="193" t="str">
        <f>'Fleet &amp; stationary assets'!Q10</f>
        <v/>
      </c>
      <c r="AA1163" s="193" t="str">
        <f>'Fleet &amp; stationary assets'!R10</f>
        <v/>
      </c>
      <c r="AB1163" s="193" t="str">
        <f>'Fleet &amp; stationary assets'!S10</f>
        <v/>
      </c>
      <c r="AC1163" s="193" t="str">
        <f>'Fleet &amp; stationary assets'!T10</f>
        <v/>
      </c>
      <c r="AD1163" s="193" t="str">
        <f>'Fleet &amp; stationary assets'!U10</f>
        <v/>
      </c>
      <c r="AE1163" s="193" t="str">
        <f>'Fleet &amp; stationary assets'!V10</f>
        <v/>
      </c>
      <c r="AF1163" s="193" t="str">
        <f>'Fleet &amp; stationary assets'!W10</f>
        <v/>
      </c>
      <c r="AG1163" s="193" t="str">
        <f>'Fleet &amp; stationary assets'!X10</f>
        <v/>
      </c>
      <c r="AI1163" s="193">
        <f t="shared" si="22"/>
        <v>0</v>
      </c>
      <c r="AJ1163" s="193">
        <f t="shared" si="23"/>
        <v>0</v>
      </c>
    </row>
    <row r="1164" spans="2:36" x14ac:dyDescent="0.35">
      <c r="B1164" s="193" t="e">
        <f>"2024"&amp;MATCH(Totals!D1164,OrgType,0)&amp;"_"&amp;MATCH(Totals!E1164,Organisations,0)&amp;"_"&amp;LEFT(Totals!F1164,1)&amp;"_"&amp;LEFT(G1164,1)&amp;"_"&amp;COUNTIF($G$3:G1164,G1164)</f>
        <v>#N/A</v>
      </c>
      <c r="C1164" s="193">
        <v>2025</v>
      </c>
      <c r="D1164" s="193">
        <f>Introduction!$D$7</f>
        <v>0</v>
      </c>
      <c r="E1164" s="193">
        <f>Introduction!$D$8</f>
        <v>0</v>
      </c>
      <c r="F1164" s="193" t="s">
        <v>107</v>
      </c>
      <c r="G1164" s="193" t="s">
        <v>492</v>
      </c>
      <c r="H1164" s="194"/>
      <c r="I1164" s="194"/>
      <c r="J1164" s="193">
        <f>'Fleet &amp; stationary assets'!B11</f>
        <v>0</v>
      </c>
      <c r="K1164" s="194"/>
      <c r="L1164" s="194"/>
      <c r="M1164" s="193">
        <f>'Fleet &amp; stationary assets'!C11</f>
        <v>0</v>
      </c>
      <c r="N1164" s="193">
        <f>'Fleet &amp; stationary assets'!D11</f>
        <v>0</v>
      </c>
      <c r="O1164" s="193">
        <f>'Fleet &amp; stationary assets'!E11</f>
        <v>0</v>
      </c>
      <c r="P1164" s="193">
        <f>'Fleet &amp; stationary assets'!F11</f>
        <v>0</v>
      </c>
      <c r="Q1164" s="193" t="str">
        <f>'Fleet &amp; stationary assets'!G11</f>
        <v/>
      </c>
      <c r="R1164" s="193">
        <f>'Fleet &amp; stationary assets'!I11</f>
        <v>0</v>
      </c>
      <c r="S1164" s="193">
        <f>'Fleet &amp; stationary assets'!J11</f>
        <v>0</v>
      </c>
      <c r="T1164" s="193" t="str">
        <f>'Fleet &amp; stationary assets'!K11</f>
        <v/>
      </c>
      <c r="U1164" s="193" t="str">
        <f>'Fleet &amp; stationary assets'!L11</f>
        <v/>
      </c>
      <c r="V1164" s="193" t="str">
        <f>'Fleet &amp; stationary assets'!M11</f>
        <v/>
      </c>
      <c r="W1164" s="193" t="str">
        <f>'Fleet &amp; stationary assets'!N11</f>
        <v/>
      </c>
      <c r="X1164" s="193">
        <f>'Fleet &amp; stationary assets'!O11</f>
        <v>0</v>
      </c>
      <c r="Y1164" s="193">
        <f>'Fleet &amp; stationary assets'!P11</f>
        <v>0</v>
      </c>
      <c r="Z1164" s="193" t="str">
        <f>'Fleet &amp; stationary assets'!Q11</f>
        <v/>
      </c>
      <c r="AA1164" s="193" t="str">
        <f>'Fleet &amp; stationary assets'!R11</f>
        <v/>
      </c>
      <c r="AB1164" s="193" t="str">
        <f>'Fleet &amp; stationary assets'!S11</f>
        <v/>
      </c>
      <c r="AC1164" s="193" t="str">
        <f>'Fleet &amp; stationary assets'!T11</f>
        <v/>
      </c>
      <c r="AD1164" s="193" t="str">
        <f>'Fleet &amp; stationary assets'!U11</f>
        <v/>
      </c>
      <c r="AE1164" s="193" t="str">
        <f>'Fleet &amp; stationary assets'!V11</f>
        <v/>
      </c>
      <c r="AF1164" s="193" t="str">
        <f>'Fleet &amp; stationary assets'!W11</f>
        <v/>
      </c>
      <c r="AG1164" s="193" t="str">
        <f>'Fleet &amp; stationary assets'!X11</f>
        <v/>
      </c>
      <c r="AI1164" s="193">
        <f t="shared" si="22"/>
        <v>0</v>
      </c>
      <c r="AJ1164" s="193">
        <f t="shared" si="23"/>
        <v>0</v>
      </c>
    </row>
    <row r="1165" spans="2:36" x14ac:dyDescent="0.35">
      <c r="B1165" s="193" t="e">
        <f>"2024"&amp;MATCH(Totals!D1165,OrgType,0)&amp;"_"&amp;MATCH(Totals!E1165,Organisations,0)&amp;"_"&amp;LEFT(Totals!F1165,1)&amp;"_"&amp;LEFT(G1165,1)&amp;"_"&amp;COUNTIF($G$3:G1165,G1165)</f>
        <v>#N/A</v>
      </c>
      <c r="C1165" s="193">
        <v>2025</v>
      </c>
      <c r="D1165" s="193">
        <f>Introduction!$D$7</f>
        <v>0</v>
      </c>
      <c r="E1165" s="193">
        <f>Introduction!$D$8</f>
        <v>0</v>
      </c>
      <c r="F1165" s="193" t="s">
        <v>107</v>
      </c>
      <c r="G1165" s="193" t="s">
        <v>492</v>
      </c>
      <c r="H1165" s="194"/>
      <c r="I1165" s="194"/>
      <c r="J1165" s="193">
        <f>'Fleet &amp; stationary assets'!B12</f>
        <v>0</v>
      </c>
      <c r="K1165" s="194"/>
      <c r="L1165" s="194"/>
      <c r="M1165" s="193">
        <f>'Fleet &amp; stationary assets'!C12</f>
        <v>0</v>
      </c>
      <c r="N1165" s="193">
        <f>'Fleet &amp; stationary assets'!D12</f>
        <v>0</v>
      </c>
      <c r="O1165" s="193">
        <f>'Fleet &amp; stationary assets'!E12</f>
        <v>0</v>
      </c>
      <c r="P1165" s="193">
        <f>'Fleet &amp; stationary assets'!F12</f>
        <v>0</v>
      </c>
      <c r="Q1165" s="193" t="str">
        <f>'Fleet &amp; stationary assets'!G12</f>
        <v/>
      </c>
      <c r="R1165" s="193">
        <f>'Fleet &amp; stationary assets'!I12</f>
        <v>0</v>
      </c>
      <c r="S1165" s="193">
        <f>'Fleet &amp; stationary assets'!J12</f>
        <v>0</v>
      </c>
      <c r="T1165" s="193" t="str">
        <f>'Fleet &amp; stationary assets'!K12</f>
        <v/>
      </c>
      <c r="U1165" s="193" t="str">
        <f>'Fleet &amp; stationary assets'!L12</f>
        <v/>
      </c>
      <c r="V1165" s="193" t="str">
        <f>'Fleet &amp; stationary assets'!M12</f>
        <v/>
      </c>
      <c r="W1165" s="193" t="str">
        <f>'Fleet &amp; stationary assets'!N12</f>
        <v/>
      </c>
      <c r="X1165" s="193">
        <f>'Fleet &amp; stationary assets'!O12</f>
        <v>0</v>
      </c>
      <c r="Y1165" s="193">
        <f>'Fleet &amp; stationary assets'!P12</f>
        <v>0</v>
      </c>
      <c r="Z1165" s="193" t="str">
        <f>'Fleet &amp; stationary assets'!Q12</f>
        <v/>
      </c>
      <c r="AA1165" s="193" t="str">
        <f>'Fleet &amp; stationary assets'!R12</f>
        <v/>
      </c>
      <c r="AB1165" s="193" t="str">
        <f>'Fleet &amp; stationary assets'!S12</f>
        <v/>
      </c>
      <c r="AC1165" s="193" t="str">
        <f>'Fleet &amp; stationary assets'!T12</f>
        <v/>
      </c>
      <c r="AD1165" s="193" t="str">
        <f>'Fleet &amp; stationary assets'!U12</f>
        <v/>
      </c>
      <c r="AE1165" s="193" t="str">
        <f>'Fleet &amp; stationary assets'!V12</f>
        <v/>
      </c>
      <c r="AF1165" s="193" t="str">
        <f>'Fleet &amp; stationary assets'!W12</f>
        <v/>
      </c>
      <c r="AG1165" s="193" t="str">
        <f>'Fleet &amp; stationary assets'!X12</f>
        <v/>
      </c>
      <c r="AI1165" s="193">
        <f t="shared" si="22"/>
        <v>0</v>
      </c>
      <c r="AJ1165" s="193">
        <f t="shared" si="23"/>
        <v>0</v>
      </c>
    </row>
    <row r="1166" spans="2:36" x14ac:dyDescent="0.35">
      <c r="B1166" s="193" t="e">
        <f>"2024"&amp;MATCH(Totals!D1166,OrgType,0)&amp;"_"&amp;MATCH(Totals!E1166,Organisations,0)&amp;"_"&amp;LEFT(Totals!F1166,1)&amp;"_"&amp;LEFT(G1166,1)&amp;"_"&amp;COUNTIF($G$3:G1166,G1166)</f>
        <v>#N/A</v>
      </c>
      <c r="C1166" s="193">
        <v>2025</v>
      </c>
      <c r="D1166" s="193">
        <f>Introduction!$D$7</f>
        <v>0</v>
      </c>
      <c r="E1166" s="193">
        <f>Introduction!$D$8</f>
        <v>0</v>
      </c>
      <c r="F1166" s="193" t="s">
        <v>107</v>
      </c>
      <c r="G1166" s="193" t="s">
        <v>492</v>
      </c>
      <c r="H1166" s="194"/>
      <c r="I1166" s="194"/>
      <c r="J1166" s="193">
        <f>'Fleet &amp; stationary assets'!B13</f>
        <v>0</v>
      </c>
      <c r="K1166" s="194"/>
      <c r="L1166" s="194"/>
      <c r="M1166" s="193">
        <f>'Fleet &amp; stationary assets'!C13</f>
        <v>0</v>
      </c>
      <c r="N1166" s="193">
        <f>'Fleet &amp; stationary assets'!D13</f>
        <v>0</v>
      </c>
      <c r="O1166" s="193">
        <f>'Fleet &amp; stationary assets'!E13</f>
        <v>0</v>
      </c>
      <c r="P1166" s="193">
        <f>'Fleet &amp; stationary assets'!F13</f>
        <v>0</v>
      </c>
      <c r="Q1166" s="193" t="str">
        <f>'Fleet &amp; stationary assets'!G13</f>
        <v/>
      </c>
      <c r="R1166" s="193">
        <f>'Fleet &amp; stationary assets'!I13</f>
        <v>0</v>
      </c>
      <c r="S1166" s="193">
        <f>'Fleet &amp; stationary assets'!J13</f>
        <v>0</v>
      </c>
      <c r="T1166" s="193" t="str">
        <f>'Fleet &amp; stationary assets'!K13</f>
        <v/>
      </c>
      <c r="U1166" s="193" t="str">
        <f>'Fleet &amp; stationary assets'!L13</f>
        <v/>
      </c>
      <c r="V1166" s="193" t="str">
        <f>'Fleet &amp; stationary assets'!M13</f>
        <v/>
      </c>
      <c r="W1166" s="193" t="str">
        <f>'Fleet &amp; stationary assets'!N13</f>
        <v/>
      </c>
      <c r="X1166" s="193">
        <f>'Fleet &amp; stationary assets'!O13</f>
        <v>0</v>
      </c>
      <c r="Y1166" s="193">
        <f>'Fleet &amp; stationary assets'!P13</f>
        <v>0</v>
      </c>
      <c r="Z1166" s="193" t="str">
        <f>'Fleet &amp; stationary assets'!Q13</f>
        <v/>
      </c>
      <c r="AA1166" s="193" t="str">
        <f>'Fleet &amp; stationary assets'!R13</f>
        <v/>
      </c>
      <c r="AB1166" s="193" t="str">
        <f>'Fleet &amp; stationary assets'!S13</f>
        <v/>
      </c>
      <c r="AC1166" s="193" t="str">
        <f>'Fleet &amp; stationary assets'!T13</f>
        <v/>
      </c>
      <c r="AD1166" s="193" t="str">
        <f>'Fleet &amp; stationary assets'!U13</f>
        <v/>
      </c>
      <c r="AE1166" s="193" t="str">
        <f>'Fleet &amp; stationary assets'!V13</f>
        <v/>
      </c>
      <c r="AF1166" s="193" t="str">
        <f>'Fleet &amp; stationary assets'!W13</f>
        <v/>
      </c>
      <c r="AG1166" s="193" t="str">
        <f>'Fleet &amp; stationary assets'!X13</f>
        <v/>
      </c>
      <c r="AI1166" s="193">
        <f t="shared" si="22"/>
        <v>0</v>
      </c>
      <c r="AJ1166" s="193">
        <f t="shared" si="23"/>
        <v>0</v>
      </c>
    </row>
    <row r="1167" spans="2:36" x14ac:dyDescent="0.35">
      <c r="B1167" s="193" t="e">
        <f>"2024"&amp;MATCH(Totals!D1167,OrgType,0)&amp;"_"&amp;MATCH(Totals!E1167,Organisations,0)&amp;"_"&amp;LEFT(Totals!F1167,1)&amp;"_"&amp;LEFT(G1167,1)&amp;"_"&amp;COUNTIF($G$3:G1167,G1167)</f>
        <v>#N/A</v>
      </c>
      <c r="C1167" s="193">
        <v>2025</v>
      </c>
      <c r="D1167" s="193">
        <f>Introduction!$D$7</f>
        <v>0</v>
      </c>
      <c r="E1167" s="193">
        <f>Introduction!$D$8</f>
        <v>0</v>
      </c>
      <c r="F1167" s="193" t="s">
        <v>107</v>
      </c>
      <c r="G1167" s="193" t="s">
        <v>492</v>
      </c>
      <c r="H1167" s="194"/>
      <c r="I1167" s="194"/>
      <c r="J1167" s="193">
        <f>'Fleet &amp; stationary assets'!B14</f>
        <v>0</v>
      </c>
      <c r="K1167" s="194"/>
      <c r="L1167" s="194"/>
      <c r="M1167" s="193">
        <f>'Fleet &amp; stationary assets'!C14</f>
        <v>0</v>
      </c>
      <c r="N1167" s="193">
        <f>'Fleet &amp; stationary assets'!D14</f>
        <v>0</v>
      </c>
      <c r="O1167" s="193">
        <f>'Fleet &amp; stationary assets'!E14</f>
        <v>0</v>
      </c>
      <c r="P1167" s="193">
        <f>'Fleet &amp; stationary assets'!F14</f>
        <v>0</v>
      </c>
      <c r="Q1167" s="193" t="str">
        <f>'Fleet &amp; stationary assets'!G14</f>
        <v/>
      </c>
      <c r="R1167" s="193">
        <f>'Fleet &amp; stationary assets'!I14</f>
        <v>0</v>
      </c>
      <c r="S1167" s="193">
        <f>'Fleet &amp; stationary assets'!J14</f>
        <v>0</v>
      </c>
      <c r="T1167" s="193" t="str">
        <f>'Fleet &amp; stationary assets'!K14</f>
        <v/>
      </c>
      <c r="U1167" s="193" t="str">
        <f>'Fleet &amp; stationary assets'!L14</f>
        <v/>
      </c>
      <c r="V1167" s="193" t="str">
        <f>'Fleet &amp; stationary assets'!M14</f>
        <v/>
      </c>
      <c r="W1167" s="193" t="str">
        <f>'Fleet &amp; stationary assets'!N14</f>
        <v/>
      </c>
      <c r="X1167" s="193">
        <f>'Fleet &amp; stationary assets'!O14</f>
        <v>0</v>
      </c>
      <c r="Y1167" s="193">
        <f>'Fleet &amp; stationary assets'!P14</f>
        <v>0</v>
      </c>
      <c r="Z1167" s="193" t="str">
        <f>'Fleet &amp; stationary assets'!Q14</f>
        <v/>
      </c>
      <c r="AA1167" s="193" t="str">
        <f>'Fleet &amp; stationary assets'!R14</f>
        <v/>
      </c>
      <c r="AB1167" s="193" t="str">
        <f>'Fleet &amp; stationary assets'!S14</f>
        <v/>
      </c>
      <c r="AC1167" s="193" t="str">
        <f>'Fleet &amp; stationary assets'!T14</f>
        <v/>
      </c>
      <c r="AD1167" s="193" t="str">
        <f>'Fleet &amp; stationary assets'!U14</f>
        <v/>
      </c>
      <c r="AE1167" s="193" t="str">
        <f>'Fleet &amp; stationary assets'!V14</f>
        <v/>
      </c>
      <c r="AF1167" s="193" t="str">
        <f>'Fleet &amp; stationary assets'!W14</f>
        <v/>
      </c>
      <c r="AG1167" s="193" t="str">
        <f>'Fleet &amp; stationary assets'!X14</f>
        <v/>
      </c>
      <c r="AI1167" s="193">
        <f t="shared" si="22"/>
        <v>0</v>
      </c>
      <c r="AJ1167" s="193">
        <f t="shared" si="23"/>
        <v>0</v>
      </c>
    </row>
    <row r="1168" spans="2:36" x14ac:dyDescent="0.35">
      <c r="B1168" s="193" t="e">
        <f>"2024"&amp;MATCH(Totals!D1168,OrgType,0)&amp;"_"&amp;MATCH(Totals!E1168,Organisations,0)&amp;"_"&amp;LEFT(Totals!F1168,1)&amp;"_"&amp;LEFT(G1168,1)&amp;"_"&amp;COUNTIF($G$3:G1168,G1168)</f>
        <v>#N/A</v>
      </c>
      <c r="C1168" s="193">
        <v>2025</v>
      </c>
      <c r="D1168" s="193">
        <f>Introduction!$D$7</f>
        <v>0</v>
      </c>
      <c r="E1168" s="193">
        <f>Introduction!$D$8</f>
        <v>0</v>
      </c>
      <c r="F1168" s="193" t="s">
        <v>107</v>
      </c>
      <c r="G1168" s="193" t="s">
        <v>492</v>
      </c>
      <c r="H1168" s="194"/>
      <c r="I1168" s="194"/>
      <c r="J1168" s="193">
        <f>'Fleet &amp; stationary assets'!B15</f>
        <v>0</v>
      </c>
      <c r="K1168" s="194"/>
      <c r="L1168" s="194"/>
      <c r="M1168" s="193">
        <f>'Fleet &amp; stationary assets'!C15</f>
        <v>0</v>
      </c>
      <c r="N1168" s="193">
        <f>'Fleet &amp; stationary assets'!D15</f>
        <v>0</v>
      </c>
      <c r="O1168" s="193">
        <f>'Fleet &amp; stationary assets'!E15</f>
        <v>0</v>
      </c>
      <c r="P1168" s="193">
        <f>'Fleet &amp; stationary assets'!F15</f>
        <v>0</v>
      </c>
      <c r="Q1168" s="193" t="str">
        <f>'Fleet &amp; stationary assets'!G15</f>
        <v/>
      </c>
      <c r="R1168" s="193">
        <f>'Fleet &amp; stationary assets'!I15</f>
        <v>0</v>
      </c>
      <c r="S1168" s="193">
        <f>'Fleet &amp; stationary assets'!J15</f>
        <v>0</v>
      </c>
      <c r="T1168" s="193" t="str">
        <f>'Fleet &amp; stationary assets'!K15</f>
        <v/>
      </c>
      <c r="U1168" s="193" t="str">
        <f>'Fleet &amp; stationary assets'!L15</f>
        <v/>
      </c>
      <c r="V1168" s="193" t="str">
        <f>'Fleet &amp; stationary assets'!M15</f>
        <v/>
      </c>
      <c r="W1168" s="193" t="str">
        <f>'Fleet &amp; stationary assets'!N15</f>
        <v/>
      </c>
      <c r="X1168" s="193">
        <f>'Fleet &amp; stationary assets'!O15</f>
        <v>0</v>
      </c>
      <c r="Y1168" s="193">
        <f>'Fleet &amp; stationary assets'!P15</f>
        <v>0</v>
      </c>
      <c r="Z1168" s="193" t="str">
        <f>'Fleet &amp; stationary assets'!Q15</f>
        <v/>
      </c>
      <c r="AA1168" s="193" t="str">
        <f>'Fleet &amp; stationary assets'!R15</f>
        <v/>
      </c>
      <c r="AB1168" s="193" t="str">
        <f>'Fleet &amp; stationary assets'!S15</f>
        <v/>
      </c>
      <c r="AC1168" s="193" t="str">
        <f>'Fleet &amp; stationary assets'!T15</f>
        <v/>
      </c>
      <c r="AD1168" s="193" t="str">
        <f>'Fleet &amp; stationary assets'!U15</f>
        <v/>
      </c>
      <c r="AE1168" s="193" t="str">
        <f>'Fleet &amp; stationary assets'!V15</f>
        <v/>
      </c>
      <c r="AF1168" s="193" t="str">
        <f>'Fleet &amp; stationary assets'!W15</f>
        <v/>
      </c>
      <c r="AG1168" s="193" t="str">
        <f>'Fleet &amp; stationary assets'!X15</f>
        <v/>
      </c>
      <c r="AI1168" s="193">
        <f t="shared" si="22"/>
        <v>0</v>
      </c>
      <c r="AJ1168" s="193">
        <f t="shared" si="23"/>
        <v>0</v>
      </c>
    </row>
    <row r="1169" spans="2:36" x14ac:dyDescent="0.35">
      <c r="B1169" s="193" t="e">
        <f>"2024"&amp;MATCH(Totals!D1169,OrgType,0)&amp;"_"&amp;MATCH(Totals!E1169,Organisations,0)&amp;"_"&amp;LEFT(Totals!F1169,1)&amp;"_"&amp;LEFT(G1169,1)&amp;"_"&amp;COUNTIF($G$3:G1169,G1169)</f>
        <v>#N/A</v>
      </c>
      <c r="C1169" s="193">
        <v>2025</v>
      </c>
      <c r="D1169" s="193">
        <f>Introduction!$D$7</f>
        <v>0</v>
      </c>
      <c r="E1169" s="193">
        <f>Introduction!$D$8</f>
        <v>0</v>
      </c>
      <c r="F1169" s="193" t="s">
        <v>107</v>
      </c>
      <c r="G1169" s="193" t="s">
        <v>492</v>
      </c>
      <c r="H1169" s="194"/>
      <c r="I1169" s="194"/>
      <c r="J1169" s="193">
        <f>'Fleet &amp; stationary assets'!B16</f>
        <v>0</v>
      </c>
      <c r="K1169" s="194"/>
      <c r="L1169" s="194"/>
      <c r="M1169" s="193">
        <f>'Fleet &amp; stationary assets'!C16</f>
        <v>0</v>
      </c>
      <c r="N1169" s="193">
        <f>'Fleet &amp; stationary assets'!D16</f>
        <v>0</v>
      </c>
      <c r="O1169" s="193">
        <f>'Fleet &amp; stationary assets'!E16</f>
        <v>0</v>
      </c>
      <c r="P1169" s="193">
        <f>'Fleet &amp; stationary assets'!F16</f>
        <v>0</v>
      </c>
      <c r="Q1169" s="193" t="str">
        <f>'Fleet &amp; stationary assets'!G16</f>
        <v/>
      </c>
      <c r="R1169" s="193">
        <f>'Fleet &amp; stationary assets'!I16</f>
        <v>0</v>
      </c>
      <c r="S1169" s="193">
        <f>'Fleet &amp; stationary assets'!J16</f>
        <v>0</v>
      </c>
      <c r="T1169" s="193" t="str">
        <f>'Fleet &amp; stationary assets'!K16</f>
        <v/>
      </c>
      <c r="U1169" s="193" t="str">
        <f>'Fleet &amp; stationary assets'!L16</f>
        <v/>
      </c>
      <c r="V1169" s="193" t="str">
        <f>'Fleet &amp; stationary assets'!M16</f>
        <v/>
      </c>
      <c r="W1169" s="193" t="str">
        <f>'Fleet &amp; stationary assets'!N16</f>
        <v/>
      </c>
      <c r="X1169" s="193">
        <f>'Fleet &amp; stationary assets'!O16</f>
        <v>0</v>
      </c>
      <c r="Y1169" s="193">
        <f>'Fleet &amp; stationary assets'!P16</f>
        <v>0</v>
      </c>
      <c r="Z1169" s="193" t="str">
        <f>'Fleet &amp; stationary assets'!Q16</f>
        <v/>
      </c>
      <c r="AA1169" s="193" t="str">
        <f>'Fleet &amp; stationary assets'!R16</f>
        <v/>
      </c>
      <c r="AB1169" s="193" t="str">
        <f>'Fleet &amp; stationary assets'!S16</f>
        <v/>
      </c>
      <c r="AC1169" s="193" t="str">
        <f>'Fleet &amp; stationary assets'!T16</f>
        <v/>
      </c>
      <c r="AD1169" s="193" t="str">
        <f>'Fleet &amp; stationary assets'!U16</f>
        <v/>
      </c>
      <c r="AE1169" s="193" t="str">
        <f>'Fleet &amp; stationary assets'!V16</f>
        <v/>
      </c>
      <c r="AF1169" s="193" t="str">
        <f>'Fleet &amp; stationary assets'!W16</f>
        <v/>
      </c>
      <c r="AG1169" s="193" t="str">
        <f>'Fleet &amp; stationary assets'!X16</f>
        <v/>
      </c>
      <c r="AI1169" s="193">
        <f t="shared" si="22"/>
        <v>0</v>
      </c>
      <c r="AJ1169" s="193">
        <f t="shared" si="23"/>
        <v>0</v>
      </c>
    </row>
    <row r="1170" spans="2:36" x14ac:dyDescent="0.35">
      <c r="B1170" s="193" t="e">
        <f>"2024"&amp;MATCH(Totals!D1170,OrgType,0)&amp;"_"&amp;MATCH(Totals!E1170,Organisations,0)&amp;"_"&amp;LEFT(Totals!F1170,1)&amp;"_"&amp;LEFT(G1170,1)&amp;"_"&amp;COUNTIF($G$3:G1170,G1170)</f>
        <v>#N/A</v>
      </c>
      <c r="C1170" s="193">
        <v>2025</v>
      </c>
      <c r="D1170" s="193">
        <f>Introduction!$D$7</f>
        <v>0</v>
      </c>
      <c r="E1170" s="193">
        <f>Introduction!$D$8</f>
        <v>0</v>
      </c>
      <c r="F1170" s="193" t="s">
        <v>107</v>
      </c>
      <c r="G1170" s="193" t="s">
        <v>492</v>
      </c>
      <c r="H1170" s="194"/>
      <c r="I1170" s="194"/>
      <c r="J1170" s="193">
        <f>'Fleet &amp; stationary assets'!B17</f>
        <v>0</v>
      </c>
      <c r="K1170" s="194"/>
      <c r="L1170" s="194"/>
      <c r="M1170" s="193">
        <f>'Fleet &amp; stationary assets'!C17</f>
        <v>0</v>
      </c>
      <c r="N1170" s="193">
        <f>'Fleet &amp; stationary assets'!D17</f>
        <v>0</v>
      </c>
      <c r="O1170" s="193">
        <f>'Fleet &amp; stationary assets'!E17</f>
        <v>0</v>
      </c>
      <c r="P1170" s="193">
        <f>'Fleet &amp; stationary assets'!F17</f>
        <v>0</v>
      </c>
      <c r="Q1170" s="193" t="str">
        <f>'Fleet &amp; stationary assets'!G17</f>
        <v/>
      </c>
      <c r="R1170" s="193">
        <f>'Fleet &amp; stationary assets'!I17</f>
        <v>0</v>
      </c>
      <c r="S1170" s="193">
        <f>'Fleet &amp; stationary assets'!J17</f>
        <v>0</v>
      </c>
      <c r="T1170" s="193" t="str">
        <f>'Fleet &amp; stationary assets'!K17</f>
        <v/>
      </c>
      <c r="U1170" s="193" t="str">
        <f>'Fleet &amp; stationary assets'!L17</f>
        <v/>
      </c>
      <c r="V1170" s="193" t="str">
        <f>'Fleet &amp; stationary assets'!M17</f>
        <v/>
      </c>
      <c r="W1170" s="193" t="str">
        <f>'Fleet &amp; stationary assets'!N17</f>
        <v/>
      </c>
      <c r="X1170" s="193">
        <f>'Fleet &amp; stationary assets'!O17</f>
        <v>0</v>
      </c>
      <c r="Y1170" s="193">
        <f>'Fleet &amp; stationary assets'!P17</f>
        <v>0</v>
      </c>
      <c r="Z1170" s="193" t="str">
        <f>'Fleet &amp; stationary assets'!Q17</f>
        <v/>
      </c>
      <c r="AA1170" s="193" t="str">
        <f>'Fleet &amp; stationary assets'!R17</f>
        <v/>
      </c>
      <c r="AB1170" s="193" t="str">
        <f>'Fleet &amp; stationary assets'!S17</f>
        <v/>
      </c>
      <c r="AC1170" s="193" t="str">
        <f>'Fleet &amp; stationary assets'!T17</f>
        <v/>
      </c>
      <c r="AD1170" s="193" t="str">
        <f>'Fleet &amp; stationary assets'!U17</f>
        <v/>
      </c>
      <c r="AE1170" s="193" t="str">
        <f>'Fleet &amp; stationary assets'!V17</f>
        <v/>
      </c>
      <c r="AF1170" s="193" t="str">
        <f>'Fleet &amp; stationary assets'!W17</f>
        <v/>
      </c>
      <c r="AG1170" s="193" t="str">
        <f>'Fleet &amp; stationary assets'!X17</f>
        <v/>
      </c>
      <c r="AI1170" s="193">
        <f t="shared" si="22"/>
        <v>0</v>
      </c>
      <c r="AJ1170" s="193">
        <f t="shared" si="23"/>
        <v>0</v>
      </c>
    </row>
    <row r="1171" spans="2:36" x14ac:dyDescent="0.35">
      <c r="B1171" s="193" t="e">
        <f>"2024"&amp;MATCH(Totals!D1171,OrgType,0)&amp;"_"&amp;MATCH(Totals!E1171,Organisations,0)&amp;"_"&amp;LEFT(Totals!F1171,1)&amp;"_"&amp;LEFT(G1171,1)&amp;"_"&amp;COUNTIF($G$3:G1171,G1171)</f>
        <v>#N/A</v>
      </c>
      <c r="C1171" s="193">
        <v>2025</v>
      </c>
      <c r="D1171" s="193">
        <f>Introduction!$D$7</f>
        <v>0</v>
      </c>
      <c r="E1171" s="193">
        <f>Introduction!$D$8</f>
        <v>0</v>
      </c>
      <c r="F1171" s="193" t="s">
        <v>107</v>
      </c>
      <c r="G1171" s="193" t="s">
        <v>492</v>
      </c>
      <c r="H1171" s="194"/>
      <c r="I1171" s="194"/>
      <c r="J1171" s="193">
        <f>'Fleet &amp; stationary assets'!B18</f>
        <v>0</v>
      </c>
      <c r="K1171" s="194"/>
      <c r="L1171" s="194"/>
      <c r="M1171" s="193">
        <f>'Fleet &amp; stationary assets'!C18</f>
        <v>0</v>
      </c>
      <c r="N1171" s="193">
        <f>'Fleet &amp; stationary assets'!D18</f>
        <v>0</v>
      </c>
      <c r="O1171" s="193">
        <f>'Fleet &amp; stationary assets'!E18</f>
        <v>0</v>
      </c>
      <c r="P1171" s="193">
        <f>'Fleet &amp; stationary assets'!F18</f>
        <v>0</v>
      </c>
      <c r="Q1171" s="193" t="str">
        <f>'Fleet &amp; stationary assets'!G18</f>
        <v/>
      </c>
      <c r="R1171" s="193">
        <f>'Fleet &amp; stationary assets'!I18</f>
        <v>0</v>
      </c>
      <c r="S1171" s="193">
        <f>'Fleet &amp; stationary assets'!J18</f>
        <v>0</v>
      </c>
      <c r="T1171" s="193" t="str">
        <f>'Fleet &amp; stationary assets'!K18</f>
        <v/>
      </c>
      <c r="U1171" s="193" t="str">
        <f>'Fleet &amp; stationary assets'!L18</f>
        <v/>
      </c>
      <c r="V1171" s="193" t="str">
        <f>'Fleet &amp; stationary assets'!M18</f>
        <v/>
      </c>
      <c r="W1171" s="193" t="str">
        <f>'Fleet &amp; stationary assets'!N18</f>
        <v/>
      </c>
      <c r="X1171" s="193">
        <f>'Fleet &amp; stationary assets'!O18</f>
        <v>0</v>
      </c>
      <c r="Y1171" s="193">
        <f>'Fleet &amp; stationary assets'!P18</f>
        <v>0</v>
      </c>
      <c r="Z1171" s="193" t="str">
        <f>'Fleet &amp; stationary assets'!Q18</f>
        <v/>
      </c>
      <c r="AA1171" s="193" t="str">
        <f>'Fleet &amp; stationary assets'!R18</f>
        <v/>
      </c>
      <c r="AB1171" s="193" t="str">
        <f>'Fleet &amp; stationary assets'!S18</f>
        <v/>
      </c>
      <c r="AC1171" s="193" t="str">
        <f>'Fleet &amp; stationary assets'!T18</f>
        <v/>
      </c>
      <c r="AD1171" s="193" t="str">
        <f>'Fleet &amp; stationary assets'!U18</f>
        <v/>
      </c>
      <c r="AE1171" s="193" t="str">
        <f>'Fleet &amp; stationary assets'!V18</f>
        <v/>
      </c>
      <c r="AF1171" s="193" t="str">
        <f>'Fleet &amp; stationary assets'!W18</f>
        <v/>
      </c>
      <c r="AG1171" s="193" t="str">
        <f>'Fleet &amp; stationary assets'!X18</f>
        <v/>
      </c>
      <c r="AI1171" s="193">
        <f t="shared" si="22"/>
        <v>0</v>
      </c>
      <c r="AJ1171" s="193">
        <f t="shared" si="23"/>
        <v>0</v>
      </c>
    </row>
    <row r="1172" spans="2:36" x14ac:dyDescent="0.35">
      <c r="B1172" s="193" t="e">
        <f>"2024"&amp;MATCH(Totals!D1172,OrgType,0)&amp;"_"&amp;MATCH(Totals!E1172,Organisations,0)&amp;"_"&amp;LEFT(Totals!F1172,1)&amp;"_"&amp;LEFT(G1172,1)&amp;"_"&amp;COUNTIF($G$3:G1172,G1172)</f>
        <v>#N/A</v>
      </c>
      <c r="C1172" s="193">
        <v>2025</v>
      </c>
      <c r="D1172" s="193">
        <f>Introduction!$D$7</f>
        <v>0</v>
      </c>
      <c r="E1172" s="193">
        <f>Introduction!$D$8</f>
        <v>0</v>
      </c>
      <c r="F1172" s="193" t="s">
        <v>107</v>
      </c>
      <c r="G1172" s="193" t="s">
        <v>492</v>
      </c>
      <c r="H1172" s="194"/>
      <c r="I1172" s="194"/>
      <c r="J1172" s="193">
        <f>'Fleet &amp; stationary assets'!B19</f>
        <v>0</v>
      </c>
      <c r="K1172" s="194"/>
      <c r="L1172" s="194"/>
      <c r="M1172" s="193">
        <f>'Fleet &amp; stationary assets'!C19</f>
        <v>0</v>
      </c>
      <c r="N1172" s="193">
        <f>'Fleet &amp; stationary assets'!D19</f>
        <v>0</v>
      </c>
      <c r="O1172" s="193">
        <f>'Fleet &amp; stationary assets'!E19</f>
        <v>0</v>
      </c>
      <c r="P1172" s="193">
        <f>'Fleet &amp; stationary assets'!F19</f>
        <v>0</v>
      </c>
      <c r="Q1172" s="193" t="str">
        <f>'Fleet &amp; stationary assets'!G19</f>
        <v/>
      </c>
      <c r="R1172" s="193">
        <f>'Fleet &amp; stationary assets'!I19</f>
        <v>0</v>
      </c>
      <c r="S1172" s="193">
        <f>'Fleet &amp; stationary assets'!J19</f>
        <v>0</v>
      </c>
      <c r="T1172" s="193" t="str">
        <f>'Fleet &amp; stationary assets'!K19</f>
        <v/>
      </c>
      <c r="U1172" s="193" t="str">
        <f>'Fleet &amp; stationary assets'!L19</f>
        <v/>
      </c>
      <c r="V1172" s="193" t="str">
        <f>'Fleet &amp; stationary assets'!M19</f>
        <v/>
      </c>
      <c r="W1172" s="193" t="str">
        <f>'Fleet &amp; stationary assets'!N19</f>
        <v/>
      </c>
      <c r="X1172" s="193">
        <f>'Fleet &amp; stationary assets'!O19</f>
        <v>0</v>
      </c>
      <c r="Y1172" s="193">
        <f>'Fleet &amp; stationary assets'!P19</f>
        <v>0</v>
      </c>
      <c r="Z1172" s="193" t="str">
        <f>'Fleet &amp; stationary assets'!Q19</f>
        <v/>
      </c>
      <c r="AA1172" s="193" t="str">
        <f>'Fleet &amp; stationary assets'!R19</f>
        <v/>
      </c>
      <c r="AB1172" s="193" t="str">
        <f>'Fleet &amp; stationary assets'!S19</f>
        <v/>
      </c>
      <c r="AC1172" s="193" t="str">
        <f>'Fleet &amp; stationary assets'!T19</f>
        <v/>
      </c>
      <c r="AD1172" s="193" t="str">
        <f>'Fleet &amp; stationary assets'!U19</f>
        <v/>
      </c>
      <c r="AE1172" s="193" t="str">
        <f>'Fleet &amp; stationary assets'!V19</f>
        <v/>
      </c>
      <c r="AF1172" s="193" t="str">
        <f>'Fleet &amp; stationary assets'!W19</f>
        <v/>
      </c>
      <c r="AG1172" s="193" t="str">
        <f>'Fleet &amp; stationary assets'!X19</f>
        <v/>
      </c>
      <c r="AI1172" s="193">
        <f t="shared" si="20"/>
        <v>0</v>
      </c>
      <c r="AJ1172" s="193">
        <f t="shared" si="21"/>
        <v>0</v>
      </c>
    </row>
    <row r="1173" spans="2:36" x14ac:dyDescent="0.35">
      <c r="B1173" s="193" t="e">
        <f>"2024"&amp;MATCH(Totals!D1173,OrgType,0)&amp;"_"&amp;MATCH(Totals!E1173,Organisations,0)&amp;"_"&amp;LEFT(Totals!F1173,1)&amp;"_"&amp;LEFT(G1173,1)&amp;"_"&amp;COUNTIF($G$3:G1173,G1173)</f>
        <v>#N/A</v>
      </c>
      <c r="C1173" s="193">
        <v>2025</v>
      </c>
      <c r="D1173" s="193">
        <f>Introduction!$D$7</f>
        <v>0</v>
      </c>
      <c r="E1173" s="193">
        <f>Introduction!$D$8</f>
        <v>0</v>
      </c>
      <c r="F1173" s="193" t="s">
        <v>107</v>
      </c>
      <c r="G1173" s="193" t="s">
        <v>492</v>
      </c>
      <c r="H1173" s="194"/>
      <c r="I1173" s="194"/>
      <c r="J1173" s="193">
        <f>'Fleet &amp; stationary assets'!B20</f>
        <v>0</v>
      </c>
      <c r="K1173" s="194"/>
      <c r="L1173" s="194"/>
      <c r="M1173" s="193">
        <f>'Fleet &amp; stationary assets'!C20</f>
        <v>0</v>
      </c>
      <c r="N1173" s="193">
        <f>'Fleet &amp; stationary assets'!D20</f>
        <v>0</v>
      </c>
      <c r="O1173" s="193">
        <f>'Fleet &amp; stationary assets'!E20</f>
        <v>0</v>
      </c>
      <c r="P1173" s="193">
        <f>'Fleet &amp; stationary assets'!F20</f>
        <v>0</v>
      </c>
      <c r="Q1173" s="193" t="str">
        <f>'Fleet &amp; stationary assets'!G20</f>
        <v/>
      </c>
      <c r="R1173" s="193">
        <f>'Fleet &amp; stationary assets'!I20</f>
        <v>0</v>
      </c>
      <c r="S1173" s="193">
        <f>'Fleet &amp; stationary assets'!J20</f>
        <v>0</v>
      </c>
      <c r="T1173" s="193" t="str">
        <f>'Fleet &amp; stationary assets'!K20</f>
        <v/>
      </c>
      <c r="U1173" s="193" t="str">
        <f>'Fleet &amp; stationary assets'!L20</f>
        <v/>
      </c>
      <c r="V1173" s="193" t="str">
        <f>'Fleet &amp; stationary assets'!M20</f>
        <v/>
      </c>
      <c r="W1173" s="193" t="str">
        <f>'Fleet &amp; stationary assets'!N20</f>
        <v/>
      </c>
      <c r="X1173" s="193">
        <f>'Fleet &amp; stationary assets'!O20</f>
        <v>0</v>
      </c>
      <c r="Y1173" s="193">
        <f>'Fleet &amp; stationary assets'!P20</f>
        <v>0</v>
      </c>
      <c r="Z1173" s="193" t="str">
        <f>'Fleet &amp; stationary assets'!Q20</f>
        <v/>
      </c>
      <c r="AA1173" s="193" t="str">
        <f>'Fleet &amp; stationary assets'!R20</f>
        <v/>
      </c>
      <c r="AB1173" s="193" t="str">
        <f>'Fleet &amp; stationary assets'!S20</f>
        <v/>
      </c>
      <c r="AC1173" s="193" t="str">
        <f>'Fleet &amp; stationary assets'!T20</f>
        <v/>
      </c>
      <c r="AD1173" s="193" t="str">
        <f>'Fleet &amp; stationary assets'!U20</f>
        <v/>
      </c>
      <c r="AE1173" s="193" t="str">
        <f>'Fleet &amp; stationary assets'!V20</f>
        <v/>
      </c>
      <c r="AF1173" s="193" t="str">
        <f>'Fleet &amp; stationary assets'!W20</f>
        <v/>
      </c>
      <c r="AG1173" s="193" t="str">
        <f>'Fleet &amp; stationary assets'!X20</f>
        <v/>
      </c>
      <c r="AI1173" s="193">
        <f t="shared" si="20"/>
        <v>0</v>
      </c>
      <c r="AJ1173" s="193">
        <f t="shared" si="21"/>
        <v>0</v>
      </c>
    </row>
    <row r="1174" spans="2:36" x14ac:dyDescent="0.35">
      <c r="B1174" s="193" t="e">
        <f>"2024"&amp;MATCH(Totals!D1174,OrgType,0)&amp;"_"&amp;MATCH(Totals!E1174,Organisations,0)&amp;"_"&amp;LEFT(Totals!F1174,1)&amp;"_"&amp;LEFT(G1174,1)&amp;"_"&amp;COUNTIF($G$3:G1174,G1174)</f>
        <v>#N/A</v>
      </c>
      <c r="C1174" s="193">
        <v>2025</v>
      </c>
      <c r="D1174" s="193">
        <f>Introduction!$D$7</f>
        <v>0</v>
      </c>
      <c r="E1174" s="193">
        <f>Introduction!$D$8</f>
        <v>0</v>
      </c>
      <c r="F1174" s="193" t="s">
        <v>107</v>
      </c>
      <c r="G1174" s="193" t="s">
        <v>492</v>
      </c>
      <c r="H1174" s="194"/>
      <c r="I1174" s="194"/>
      <c r="J1174" s="193">
        <f>'Fleet &amp; stationary assets'!B21</f>
        <v>0</v>
      </c>
      <c r="K1174" s="194"/>
      <c r="L1174" s="194"/>
      <c r="M1174" s="193">
        <f>'Fleet &amp; stationary assets'!C21</f>
        <v>0</v>
      </c>
      <c r="N1174" s="193">
        <f>'Fleet &amp; stationary assets'!D21</f>
        <v>0</v>
      </c>
      <c r="O1174" s="193">
        <f>'Fleet &amp; stationary assets'!E21</f>
        <v>0</v>
      </c>
      <c r="P1174" s="193">
        <f>'Fleet &amp; stationary assets'!F21</f>
        <v>0</v>
      </c>
      <c r="Q1174" s="193" t="str">
        <f>'Fleet &amp; stationary assets'!G21</f>
        <v/>
      </c>
      <c r="R1174" s="193">
        <f>'Fleet &amp; stationary assets'!I21</f>
        <v>0</v>
      </c>
      <c r="S1174" s="193">
        <f>'Fleet &amp; stationary assets'!J21</f>
        <v>0</v>
      </c>
      <c r="T1174" s="193" t="str">
        <f>'Fleet &amp; stationary assets'!K21</f>
        <v/>
      </c>
      <c r="U1174" s="193" t="str">
        <f>'Fleet &amp; stationary assets'!L21</f>
        <v/>
      </c>
      <c r="V1174" s="193" t="str">
        <f>'Fleet &amp; stationary assets'!M21</f>
        <v/>
      </c>
      <c r="W1174" s="193" t="str">
        <f>'Fleet &amp; stationary assets'!N21</f>
        <v/>
      </c>
      <c r="X1174" s="193">
        <f>'Fleet &amp; stationary assets'!O21</f>
        <v>0</v>
      </c>
      <c r="Y1174" s="193">
        <f>'Fleet &amp; stationary assets'!P21</f>
        <v>0</v>
      </c>
      <c r="Z1174" s="193" t="str">
        <f>'Fleet &amp; stationary assets'!Q21</f>
        <v/>
      </c>
      <c r="AA1174" s="193" t="str">
        <f>'Fleet &amp; stationary assets'!R21</f>
        <v/>
      </c>
      <c r="AB1174" s="193" t="str">
        <f>'Fleet &amp; stationary assets'!S21</f>
        <v/>
      </c>
      <c r="AC1174" s="193" t="str">
        <f>'Fleet &amp; stationary assets'!T21</f>
        <v/>
      </c>
      <c r="AD1174" s="193" t="str">
        <f>'Fleet &amp; stationary assets'!U21</f>
        <v/>
      </c>
      <c r="AE1174" s="193" t="str">
        <f>'Fleet &amp; stationary assets'!V21</f>
        <v/>
      </c>
      <c r="AF1174" s="193" t="str">
        <f>'Fleet &amp; stationary assets'!W21</f>
        <v/>
      </c>
      <c r="AG1174" s="193" t="str">
        <f>'Fleet &amp; stationary assets'!X21</f>
        <v/>
      </c>
      <c r="AI1174" s="193">
        <f t="shared" si="20"/>
        <v>0</v>
      </c>
      <c r="AJ1174" s="193">
        <f t="shared" si="21"/>
        <v>0</v>
      </c>
    </row>
    <row r="1175" spans="2:36" x14ac:dyDescent="0.35">
      <c r="B1175" s="193" t="e">
        <f>"2024"&amp;MATCH(Totals!D1175,OrgType,0)&amp;"_"&amp;MATCH(Totals!E1175,Organisations,0)&amp;"_"&amp;LEFT(Totals!F1175,1)&amp;"_"&amp;LEFT(G1175,1)&amp;"_"&amp;COUNTIF($G$3:G1175,G1175)</f>
        <v>#N/A</v>
      </c>
      <c r="C1175" s="193">
        <v>2025</v>
      </c>
      <c r="D1175" s="193">
        <f>Introduction!$D$7</f>
        <v>0</v>
      </c>
      <c r="E1175" s="193">
        <f>Introduction!$D$8</f>
        <v>0</v>
      </c>
      <c r="F1175" s="193" t="s">
        <v>107</v>
      </c>
      <c r="G1175" s="193" t="s">
        <v>492</v>
      </c>
      <c r="H1175" s="194"/>
      <c r="I1175" s="194"/>
      <c r="J1175" s="193">
        <f>'Fleet &amp; stationary assets'!B22</f>
        <v>0</v>
      </c>
      <c r="K1175" s="194"/>
      <c r="L1175" s="194"/>
      <c r="M1175" s="193">
        <f>'Fleet &amp; stationary assets'!C22</f>
        <v>0</v>
      </c>
      <c r="N1175" s="193">
        <f>'Fleet &amp; stationary assets'!D22</f>
        <v>0</v>
      </c>
      <c r="O1175" s="193">
        <f>'Fleet &amp; stationary assets'!E22</f>
        <v>0</v>
      </c>
      <c r="P1175" s="193">
        <f>'Fleet &amp; stationary assets'!F22</f>
        <v>0</v>
      </c>
      <c r="Q1175" s="193" t="str">
        <f>'Fleet &amp; stationary assets'!G22</f>
        <v/>
      </c>
      <c r="R1175" s="193">
        <f>'Fleet &amp; stationary assets'!I22</f>
        <v>0</v>
      </c>
      <c r="S1175" s="193">
        <f>'Fleet &amp; stationary assets'!J22</f>
        <v>0</v>
      </c>
      <c r="T1175" s="193" t="str">
        <f>'Fleet &amp; stationary assets'!K22</f>
        <v/>
      </c>
      <c r="U1175" s="193" t="str">
        <f>'Fleet &amp; stationary assets'!L22</f>
        <v/>
      </c>
      <c r="V1175" s="193" t="str">
        <f>'Fleet &amp; stationary assets'!M22</f>
        <v/>
      </c>
      <c r="W1175" s="193" t="str">
        <f>'Fleet &amp; stationary assets'!N22</f>
        <v/>
      </c>
      <c r="X1175" s="193">
        <f>'Fleet &amp; stationary assets'!O22</f>
        <v>0</v>
      </c>
      <c r="Y1175" s="193">
        <f>'Fleet &amp; stationary assets'!P22</f>
        <v>0</v>
      </c>
      <c r="Z1175" s="193" t="str">
        <f>'Fleet &amp; stationary assets'!Q22</f>
        <v/>
      </c>
      <c r="AA1175" s="193" t="str">
        <f>'Fleet &amp; stationary assets'!R22</f>
        <v/>
      </c>
      <c r="AB1175" s="193" t="str">
        <f>'Fleet &amp; stationary assets'!S22</f>
        <v/>
      </c>
      <c r="AC1175" s="193" t="str">
        <f>'Fleet &amp; stationary assets'!T22</f>
        <v/>
      </c>
      <c r="AD1175" s="193" t="str">
        <f>'Fleet &amp; stationary assets'!U22</f>
        <v/>
      </c>
      <c r="AE1175" s="193" t="str">
        <f>'Fleet &amp; stationary assets'!V22</f>
        <v/>
      </c>
      <c r="AF1175" s="193" t="str">
        <f>'Fleet &amp; stationary assets'!W22</f>
        <v/>
      </c>
      <c r="AG1175" s="193" t="str">
        <f>'Fleet &amp; stationary assets'!X22</f>
        <v/>
      </c>
      <c r="AI1175" s="193">
        <f t="shared" si="20"/>
        <v>0</v>
      </c>
      <c r="AJ1175" s="193">
        <f t="shared" si="21"/>
        <v>0</v>
      </c>
    </row>
    <row r="1176" spans="2:36" x14ac:dyDescent="0.35">
      <c r="B1176" s="193" t="e">
        <f>"2024"&amp;MATCH(Totals!D1176,OrgType,0)&amp;"_"&amp;MATCH(Totals!E1176,Organisations,0)&amp;"_"&amp;LEFT(Totals!F1176,1)&amp;"_"&amp;LEFT(G1176,1)&amp;"_"&amp;COUNTIF($G$3:G1176,G1176)</f>
        <v>#N/A</v>
      </c>
      <c r="C1176" s="193">
        <v>2025</v>
      </c>
      <c r="D1176" s="193">
        <f>Introduction!$D$7</f>
        <v>0</v>
      </c>
      <c r="E1176" s="193">
        <f>Introduction!$D$8</f>
        <v>0</v>
      </c>
      <c r="F1176" s="193" t="s">
        <v>107</v>
      </c>
      <c r="G1176" s="193" t="s">
        <v>492</v>
      </c>
      <c r="H1176" s="194"/>
      <c r="I1176" s="194"/>
      <c r="J1176" s="193">
        <f>'Fleet &amp; stationary assets'!B23</f>
        <v>0</v>
      </c>
      <c r="K1176" s="194"/>
      <c r="L1176" s="194"/>
      <c r="M1176" s="193">
        <f>'Fleet &amp; stationary assets'!C23</f>
        <v>0</v>
      </c>
      <c r="N1176" s="193">
        <f>'Fleet &amp; stationary assets'!D23</f>
        <v>0</v>
      </c>
      <c r="O1176" s="193">
        <f>'Fleet &amp; stationary assets'!E23</f>
        <v>0</v>
      </c>
      <c r="P1176" s="193">
        <f>'Fleet &amp; stationary assets'!F23</f>
        <v>0</v>
      </c>
      <c r="Q1176" s="193" t="str">
        <f>'Fleet &amp; stationary assets'!G23</f>
        <v/>
      </c>
      <c r="R1176" s="193">
        <f>'Fleet &amp; stationary assets'!I23</f>
        <v>0</v>
      </c>
      <c r="S1176" s="193">
        <f>'Fleet &amp; stationary assets'!J23</f>
        <v>0</v>
      </c>
      <c r="T1176" s="193" t="str">
        <f>'Fleet &amp; stationary assets'!K23</f>
        <v/>
      </c>
      <c r="U1176" s="193" t="str">
        <f>'Fleet &amp; stationary assets'!L23</f>
        <v/>
      </c>
      <c r="V1176" s="193" t="str">
        <f>'Fleet &amp; stationary assets'!M23</f>
        <v/>
      </c>
      <c r="W1176" s="193" t="str">
        <f>'Fleet &amp; stationary assets'!N23</f>
        <v/>
      </c>
      <c r="X1176" s="193">
        <f>'Fleet &amp; stationary assets'!O23</f>
        <v>0</v>
      </c>
      <c r="Y1176" s="193">
        <f>'Fleet &amp; stationary assets'!P23</f>
        <v>0</v>
      </c>
      <c r="Z1176" s="193" t="str">
        <f>'Fleet &amp; stationary assets'!Q23</f>
        <v/>
      </c>
      <c r="AA1176" s="193" t="str">
        <f>'Fleet &amp; stationary assets'!R23</f>
        <v/>
      </c>
      <c r="AB1176" s="193" t="str">
        <f>'Fleet &amp; stationary assets'!S23</f>
        <v/>
      </c>
      <c r="AC1176" s="193" t="str">
        <f>'Fleet &amp; stationary assets'!T23</f>
        <v/>
      </c>
      <c r="AD1176" s="193" t="str">
        <f>'Fleet &amp; stationary assets'!U23</f>
        <v/>
      </c>
      <c r="AE1176" s="193" t="str">
        <f>'Fleet &amp; stationary assets'!V23</f>
        <v/>
      </c>
      <c r="AF1176" s="193" t="str">
        <f>'Fleet &amp; stationary assets'!W23</f>
        <v/>
      </c>
      <c r="AG1176" s="193" t="str">
        <f>'Fleet &amp; stationary assets'!X23</f>
        <v/>
      </c>
      <c r="AI1176" s="193">
        <f t="shared" si="20"/>
        <v>0</v>
      </c>
      <c r="AJ1176" s="193">
        <f t="shared" si="21"/>
        <v>0</v>
      </c>
    </row>
    <row r="1177" spans="2:36" x14ac:dyDescent="0.35">
      <c r="B1177" s="193" t="e">
        <f>"2024"&amp;MATCH(Totals!D1177,OrgType,0)&amp;"_"&amp;MATCH(Totals!E1177,Organisations,0)&amp;"_"&amp;LEFT(Totals!F1177,1)&amp;"_"&amp;LEFT(G1177,1)&amp;"_"&amp;COUNTIF($G$3:G1177,G1177)</f>
        <v>#N/A</v>
      </c>
      <c r="C1177" s="193">
        <v>2025</v>
      </c>
      <c r="D1177" s="193">
        <f>Introduction!$D$7</f>
        <v>0</v>
      </c>
      <c r="E1177" s="193">
        <f>Introduction!$D$8</f>
        <v>0</v>
      </c>
      <c r="F1177" s="193" t="s">
        <v>107</v>
      </c>
      <c r="G1177" s="193" t="s">
        <v>492</v>
      </c>
      <c r="H1177" s="194"/>
      <c r="I1177" s="194"/>
      <c r="J1177" s="193">
        <f>'Fleet &amp; stationary assets'!B24</f>
        <v>0</v>
      </c>
      <c r="K1177" s="194"/>
      <c r="L1177" s="194"/>
      <c r="M1177" s="193">
        <f>'Fleet &amp; stationary assets'!C24</f>
        <v>0</v>
      </c>
      <c r="N1177" s="193">
        <f>'Fleet &amp; stationary assets'!D24</f>
        <v>0</v>
      </c>
      <c r="O1177" s="193">
        <f>'Fleet &amp; stationary assets'!E24</f>
        <v>0</v>
      </c>
      <c r="P1177" s="193">
        <f>'Fleet &amp; stationary assets'!F24</f>
        <v>0</v>
      </c>
      <c r="Q1177" s="193" t="str">
        <f>'Fleet &amp; stationary assets'!G24</f>
        <v/>
      </c>
      <c r="R1177" s="193">
        <f>'Fleet &amp; stationary assets'!I24</f>
        <v>0</v>
      </c>
      <c r="S1177" s="193">
        <f>'Fleet &amp; stationary assets'!J24</f>
        <v>0</v>
      </c>
      <c r="T1177" s="193" t="str">
        <f>'Fleet &amp; stationary assets'!K24</f>
        <v/>
      </c>
      <c r="U1177" s="193" t="str">
        <f>'Fleet &amp; stationary assets'!L24</f>
        <v/>
      </c>
      <c r="V1177" s="193" t="str">
        <f>'Fleet &amp; stationary assets'!M24</f>
        <v/>
      </c>
      <c r="W1177" s="193" t="str">
        <f>'Fleet &amp; stationary assets'!N24</f>
        <v/>
      </c>
      <c r="X1177" s="193">
        <f>'Fleet &amp; stationary assets'!O24</f>
        <v>0</v>
      </c>
      <c r="Y1177" s="193">
        <f>'Fleet &amp; stationary assets'!P24</f>
        <v>0</v>
      </c>
      <c r="Z1177" s="193" t="str">
        <f>'Fleet &amp; stationary assets'!Q24</f>
        <v/>
      </c>
      <c r="AA1177" s="193" t="str">
        <f>'Fleet &amp; stationary assets'!R24</f>
        <v/>
      </c>
      <c r="AB1177" s="193" t="str">
        <f>'Fleet &amp; stationary assets'!S24</f>
        <v/>
      </c>
      <c r="AC1177" s="193" t="str">
        <f>'Fleet &amp; stationary assets'!T24</f>
        <v/>
      </c>
      <c r="AD1177" s="193" t="str">
        <f>'Fleet &amp; stationary assets'!U24</f>
        <v/>
      </c>
      <c r="AE1177" s="193" t="str">
        <f>'Fleet &amp; stationary assets'!V24</f>
        <v/>
      </c>
      <c r="AF1177" s="193" t="str">
        <f>'Fleet &amp; stationary assets'!W24</f>
        <v/>
      </c>
      <c r="AG1177" s="193" t="str">
        <f>'Fleet &amp; stationary assets'!X24</f>
        <v/>
      </c>
      <c r="AI1177" s="193">
        <f t="shared" si="20"/>
        <v>0</v>
      </c>
      <c r="AJ1177" s="193">
        <f t="shared" si="21"/>
        <v>0</v>
      </c>
    </row>
    <row r="1178" spans="2:36" x14ac:dyDescent="0.35">
      <c r="B1178" s="193" t="e">
        <f>"2024"&amp;MATCH(Totals!D1178,OrgType,0)&amp;"_"&amp;MATCH(Totals!E1178,Organisations,0)&amp;"_"&amp;LEFT(Totals!F1178,1)&amp;"_"&amp;LEFT(G1178,1)&amp;"_"&amp;COUNTIF($G$3:G1178,G1178)</f>
        <v>#N/A</v>
      </c>
      <c r="C1178" s="193">
        <v>2025</v>
      </c>
      <c r="D1178" s="193">
        <f>Introduction!$D$7</f>
        <v>0</v>
      </c>
      <c r="E1178" s="193">
        <f>Introduction!$D$8</f>
        <v>0</v>
      </c>
      <c r="F1178" s="193" t="s">
        <v>107</v>
      </c>
      <c r="G1178" s="193" t="s">
        <v>492</v>
      </c>
      <c r="H1178" s="194"/>
      <c r="I1178" s="194"/>
      <c r="J1178" s="193">
        <f>'Fleet &amp; stationary assets'!B25</f>
        <v>0</v>
      </c>
      <c r="K1178" s="194"/>
      <c r="L1178" s="194"/>
      <c r="M1178" s="193">
        <f>'Fleet &amp; stationary assets'!C25</f>
        <v>0</v>
      </c>
      <c r="N1178" s="193">
        <f>'Fleet &amp; stationary assets'!D25</f>
        <v>0</v>
      </c>
      <c r="O1178" s="193">
        <f>'Fleet &amp; stationary assets'!E25</f>
        <v>0</v>
      </c>
      <c r="P1178" s="193">
        <f>'Fleet &amp; stationary assets'!F25</f>
        <v>0</v>
      </c>
      <c r="Q1178" s="193" t="str">
        <f>'Fleet &amp; stationary assets'!G25</f>
        <v/>
      </c>
      <c r="R1178" s="193">
        <f>'Fleet &amp; stationary assets'!I25</f>
        <v>0</v>
      </c>
      <c r="S1178" s="193">
        <f>'Fleet &amp; stationary assets'!J25</f>
        <v>0</v>
      </c>
      <c r="T1178" s="193" t="str">
        <f>'Fleet &amp; stationary assets'!K25</f>
        <v/>
      </c>
      <c r="U1178" s="193" t="str">
        <f>'Fleet &amp; stationary assets'!L25</f>
        <v/>
      </c>
      <c r="V1178" s="193" t="str">
        <f>'Fleet &amp; stationary assets'!M25</f>
        <v/>
      </c>
      <c r="W1178" s="193" t="str">
        <f>'Fleet &amp; stationary assets'!N25</f>
        <v/>
      </c>
      <c r="X1178" s="193">
        <f>'Fleet &amp; stationary assets'!O25</f>
        <v>0</v>
      </c>
      <c r="Y1178" s="193">
        <f>'Fleet &amp; stationary assets'!P25</f>
        <v>0</v>
      </c>
      <c r="Z1178" s="193" t="str">
        <f>'Fleet &amp; stationary assets'!Q25</f>
        <v/>
      </c>
      <c r="AA1178" s="193" t="str">
        <f>'Fleet &amp; stationary assets'!R25</f>
        <v/>
      </c>
      <c r="AB1178" s="193" t="str">
        <f>'Fleet &amp; stationary assets'!S25</f>
        <v/>
      </c>
      <c r="AC1178" s="193" t="str">
        <f>'Fleet &amp; stationary assets'!T25</f>
        <v/>
      </c>
      <c r="AD1178" s="193" t="str">
        <f>'Fleet &amp; stationary assets'!U25</f>
        <v/>
      </c>
      <c r="AE1178" s="193" t="str">
        <f>'Fleet &amp; stationary assets'!V25</f>
        <v/>
      </c>
      <c r="AF1178" s="193" t="str">
        <f>'Fleet &amp; stationary assets'!W25</f>
        <v/>
      </c>
      <c r="AG1178" s="193" t="str">
        <f>'Fleet &amp; stationary assets'!X25</f>
        <v/>
      </c>
      <c r="AI1178" s="193">
        <f t="shared" si="20"/>
        <v>0</v>
      </c>
      <c r="AJ1178" s="193">
        <f t="shared" si="21"/>
        <v>0</v>
      </c>
    </row>
    <row r="1179" spans="2:36" x14ac:dyDescent="0.35">
      <c r="B1179" s="193" t="e">
        <f>"2024"&amp;MATCH(Totals!D1179,OrgType,0)&amp;"_"&amp;MATCH(Totals!E1179,Organisations,0)&amp;"_"&amp;LEFT(Totals!F1179,1)&amp;"_"&amp;LEFT(G1179,1)&amp;"_"&amp;COUNTIF($G$3:G1179,G1179)</f>
        <v>#N/A</v>
      </c>
      <c r="C1179" s="193">
        <v>2025</v>
      </c>
      <c r="D1179" s="193">
        <f>Introduction!$D$7</f>
        <v>0</v>
      </c>
      <c r="E1179" s="193">
        <f>Introduction!$D$8</f>
        <v>0</v>
      </c>
      <c r="F1179" s="193" t="s">
        <v>107</v>
      </c>
      <c r="G1179" s="193" t="s">
        <v>492</v>
      </c>
      <c r="H1179" s="194"/>
      <c r="I1179" s="194"/>
      <c r="J1179" s="193">
        <f>'Fleet &amp; stationary assets'!B26</f>
        <v>0</v>
      </c>
      <c r="K1179" s="194"/>
      <c r="L1179" s="194"/>
      <c r="M1179" s="193">
        <f>'Fleet &amp; stationary assets'!C26</f>
        <v>0</v>
      </c>
      <c r="N1179" s="193">
        <f>'Fleet &amp; stationary assets'!D26</f>
        <v>0</v>
      </c>
      <c r="O1179" s="193">
        <f>'Fleet &amp; stationary assets'!E26</f>
        <v>0</v>
      </c>
      <c r="P1179" s="193">
        <f>'Fleet &amp; stationary assets'!F26</f>
        <v>0</v>
      </c>
      <c r="Q1179" s="193" t="str">
        <f>'Fleet &amp; stationary assets'!G26</f>
        <v/>
      </c>
      <c r="R1179" s="193">
        <f>'Fleet &amp; stationary assets'!I26</f>
        <v>0</v>
      </c>
      <c r="S1179" s="193">
        <f>'Fleet &amp; stationary assets'!J26</f>
        <v>0</v>
      </c>
      <c r="T1179" s="193" t="str">
        <f>'Fleet &amp; stationary assets'!K26</f>
        <v/>
      </c>
      <c r="U1179" s="193" t="str">
        <f>'Fleet &amp; stationary assets'!L26</f>
        <v/>
      </c>
      <c r="V1179" s="193" t="str">
        <f>'Fleet &amp; stationary assets'!M26</f>
        <v/>
      </c>
      <c r="W1179" s="193" t="str">
        <f>'Fleet &amp; stationary assets'!N26</f>
        <v/>
      </c>
      <c r="X1179" s="193">
        <f>'Fleet &amp; stationary assets'!O26</f>
        <v>0</v>
      </c>
      <c r="Y1179" s="193">
        <f>'Fleet &amp; stationary assets'!P26</f>
        <v>0</v>
      </c>
      <c r="Z1179" s="193" t="str">
        <f>'Fleet &amp; stationary assets'!Q26</f>
        <v/>
      </c>
      <c r="AA1179" s="193" t="str">
        <f>'Fleet &amp; stationary assets'!R26</f>
        <v/>
      </c>
      <c r="AB1179" s="193" t="str">
        <f>'Fleet &amp; stationary assets'!S26</f>
        <v/>
      </c>
      <c r="AC1179" s="193" t="str">
        <f>'Fleet &amp; stationary assets'!T26</f>
        <v/>
      </c>
      <c r="AD1179" s="193" t="str">
        <f>'Fleet &amp; stationary assets'!U26</f>
        <v/>
      </c>
      <c r="AE1179" s="193" t="str">
        <f>'Fleet &amp; stationary assets'!V26</f>
        <v/>
      </c>
      <c r="AF1179" s="193" t="str">
        <f>'Fleet &amp; stationary assets'!W26</f>
        <v/>
      </c>
      <c r="AG1179" s="193" t="str">
        <f>'Fleet &amp; stationary assets'!X26</f>
        <v/>
      </c>
      <c r="AI1179" s="193">
        <f t="shared" si="20"/>
        <v>0</v>
      </c>
      <c r="AJ1179" s="193">
        <f t="shared" si="21"/>
        <v>0</v>
      </c>
    </row>
    <row r="1180" spans="2:36" x14ac:dyDescent="0.35">
      <c r="B1180" s="193" t="e">
        <f>"2024"&amp;MATCH(Totals!D1180,OrgType,0)&amp;"_"&amp;MATCH(Totals!E1180,Organisations,0)&amp;"_"&amp;LEFT(Totals!F1180,1)&amp;"_"&amp;LEFT(G1180,1)&amp;"_"&amp;COUNTIF($G$3:G1180,G1180)</f>
        <v>#N/A</v>
      </c>
      <c r="C1180" s="193">
        <v>2025</v>
      </c>
      <c r="D1180" s="193">
        <f>Introduction!$D$7</f>
        <v>0</v>
      </c>
      <c r="E1180" s="193">
        <f>Introduction!$D$8</f>
        <v>0</v>
      </c>
      <c r="F1180" s="193" t="s">
        <v>107</v>
      </c>
      <c r="G1180" s="193" t="s">
        <v>492</v>
      </c>
      <c r="H1180" s="194"/>
      <c r="I1180" s="194"/>
      <c r="J1180" s="193">
        <f>'Fleet &amp; stationary assets'!B27</f>
        <v>0</v>
      </c>
      <c r="K1180" s="194"/>
      <c r="L1180" s="194"/>
      <c r="M1180" s="193">
        <f>'Fleet &amp; stationary assets'!C27</f>
        <v>0</v>
      </c>
      <c r="N1180" s="193">
        <f>'Fleet &amp; stationary assets'!D27</f>
        <v>0</v>
      </c>
      <c r="O1180" s="193">
        <f>'Fleet &amp; stationary assets'!E27</f>
        <v>0</v>
      </c>
      <c r="P1180" s="193">
        <f>'Fleet &amp; stationary assets'!F27</f>
        <v>0</v>
      </c>
      <c r="Q1180" s="193" t="str">
        <f>'Fleet &amp; stationary assets'!G27</f>
        <v/>
      </c>
      <c r="R1180" s="193">
        <f>'Fleet &amp; stationary assets'!I27</f>
        <v>0</v>
      </c>
      <c r="S1180" s="193">
        <f>'Fleet &amp; stationary assets'!J27</f>
        <v>0</v>
      </c>
      <c r="T1180" s="193" t="str">
        <f>'Fleet &amp; stationary assets'!K27</f>
        <v/>
      </c>
      <c r="U1180" s="193" t="str">
        <f>'Fleet &amp; stationary assets'!L27</f>
        <v/>
      </c>
      <c r="V1180" s="193" t="str">
        <f>'Fleet &amp; stationary assets'!M27</f>
        <v/>
      </c>
      <c r="W1180" s="193" t="str">
        <f>'Fleet &amp; stationary assets'!N27</f>
        <v/>
      </c>
      <c r="X1180" s="193">
        <f>'Fleet &amp; stationary assets'!O27</f>
        <v>0</v>
      </c>
      <c r="Y1180" s="193">
        <f>'Fleet &amp; stationary assets'!P27</f>
        <v>0</v>
      </c>
      <c r="Z1180" s="193" t="str">
        <f>'Fleet &amp; stationary assets'!Q27</f>
        <v/>
      </c>
      <c r="AA1180" s="193" t="str">
        <f>'Fleet &amp; stationary assets'!R27</f>
        <v/>
      </c>
      <c r="AB1180" s="193" t="str">
        <f>'Fleet &amp; stationary assets'!S27</f>
        <v/>
      </c>
      <c r="AC1180" s="193" t="str">
        <f>'Fleet &amp; stationary assets'!T27</f>
        <v/>
      </c>
      <c r="AD1180" s="193" t="str">
        <f>'Fleet &amp; stationary assets'!U27</f>
        <v/>
      </c>
      <c r="AE1180" s="193" t="str">
        <f>'Fleet &amp; stationary assets'!V27</f>
        <v/>
      </c>
      <c r="AF1180" s="193" t="str">
        <f>'Fleet &amp; stationary assets'!W27</f>
        <v/>
      </c>
      <c r="AG1180" s="193" t="str">
        <f>'Fleet &amp; stationary assets'!X27</f>
        <v/>
      </c>
      <c r="AI1180" s="193">
        <f t="shared" si="20"/>
        <v>0</v>
      </c>
      <c r="AJ1180" s="193">
        <f t="shared" si="21"/>
        <v>0</v>
      </c>
    </row>
    <row r="1181" spans="2:36" x14ac:dyDescent="0.35">
      <c r="B1181" s="193" t="e">
        <f>"2024"&amp;MATCH(Totals!D1181,OrgType,0)&amp;"_"&amp;MATCH(Totals!E1181,Organisations,0)&amp;"_"&amp;LEFT(Totals!F1181,1)&amp;"_"&amp;LEFT(G1181,1)&amp;"_"&amp;COUNTIF($G$3:G1181,G1181)</f>
        <v>#N/A</v>
      </c>
      <c r="C1181" s="193">
        <v>2025</v>
      </c>
      <c r="D1181" s="193">
        <f>Introduction!$D$7</f>
        <v>0</v>
      </c>
      <c r="E1181" s="193">
        <f>Introduction!$D$8</f>
        <v>0</v>
      </c>
      <c r="F1181" s="193" t="s">
        <v>107</v>
      </c>
      <c r="G1181" s="193" t="s">
        <v>492</v>
      </c>
      <c r="H1181" s="194"/>
      <c r="I1181" s="194"/>
      <c r="J1181" s="193">
        <f>'Fleet &amp; stationary assets'!B31</f>
        <v>0</v>
      </c>
      <c r="K1181" s="194"/>
      <c r="L1181" s="194"/>
      <c r="M1181" s="193">
        <f>'Fleet &amp; stationary assets'!C31</f>
        <v>0</v>
      </c>
      <c r="N1181" s="193">
        <f>'Fleet &amp; stationary assets'!D31</f>
        <v>0</v>
      </c>
      <c r="O1181" s="193">
        <f>'Fleet &amp; stationary assets'!I31</f>
        <v>0</v>
      </c>
      <c r="P1181" s="193">
        <f>'Fleet &amp; stationary assets'!F31</f>
        <v>0</v>
      </c>
      <c r="Q1181" s="193" t="str">
        <f>'Fleet &amp; stationary assets'!G31</f>
        <v/>
      </c>
      <c r="R1181" s="193">
        <f>'Fleet &amp; stationary assets'!I31</f>
        <v>0</v>
      </c>
      <c r="S1181" s="193">
        <f>'Fleet &amp; stationary assets'!J31</f>
        <v>0</v>
      </c>
      <c r="T1181" s="193" t="str">
        <f>'Fleet &amp; stationary assets'!K31</f>
        <v/>
      </c>
      <c r="U1181" s="193" t="str">
        <f>'Fleet &amp; stationary assets'!L31</f>
        <v/>
      </c>
      <c r="V1181" s="193" t="str">
        <f>'Fleet &amp; stationary assets'!M31</f>
        <v/>
      </c>
      <c r="W1181" s="193" t="str">
        <f>'Fleet &amp; stationary assets'!N31</f>
        <v/>
      </c>
      <c r="X1181" s="193">
        <f>'Fleet &amp; stationary assets'!O31</f>
        <v>0</v>
      </c>
      <c r="Y1181" s="193">
        <f>'Fleet &amp; stationary assets'!P31</f>
        <v>0</v>
      </c>
      <c r="Z1181" s="193" t="str">
        <f>'Fleet &amp; stationary assets'!Q31</f>
        <v/>
      </c>
      <c r="AA1181" s="193" t="str">
        <f>'Fleet &amp; stationary assets'!R31</f>
        <v/>
      </c>
      <c r="AB1181" s="193" t="str">
        <f>'Fleet &amp; stationary assets'!S31</f>
        <v/>
      </c>
      <c r="AC1181" s="193" t="str">
        <f>'Fleet &amp; stationary assets'!T31</f>
        <v/>
      </c>
      <c r="AD1181" s="193" t="str">
        <f>'Fleet &amp; stationary assets'!U31</f>
        <v/>
      </c>
      <c r="AE1181" s="193" t="str">
        <f>'Fleet &amp; stationary assets'!V31</f>
        <v/>
      </c>
      <c r="AF1181" s="193" t="str">
        <f>'Fleet &amp; stationary assets'!W31</f>
        <v/>
      </c>
      <c r="AG1181" s="193" t="str">
        <f>'Fleet &amp; stationary assets'!X31</f>
        <v/>
      </c>
      <c r="AI1181" s="193">
        <f t="shared" si="20"/>
        <v>0</v>
      </c>
      <c r="AJ1181" s="193">
        <f t="shared" si="21"/>
        <v>0</v>
      </c>
    </row>
    <row r="1182" spans="2:36" x14ac:dyDescent="0.35">
      <c r="B1182" s="193" t="e">
        <f>"2024"&amp;MATCH(Totals!D1182,OrgType,0)&amp;"_"&amp;MATCH(Totals!E1182,Organisations,0)&amp;"_"&amp;LEFT(Totals!F1182,1)&amp;"_"&amp;LEFT(G1182,1)&amp;"_"&amp;COUNTIF($G$3:G1182,G1182)</f>
        <v>#N/A</v>
      </c>
      <c r="C1182" s="193">
        <v>2025</v>
      </c>
      <c r="D1182" s="193">
        <f>Introduction!$D$7</f>
        <v>0</v>
      </c>
      <c r="E1182" s="193">
        <f>Introduction!$D$8</f>
        <v>0</v>
      </c>
      <c r="F1182" s="193" t="s">
        <v>107</v>
      </c>
      <c r="G1182" s="193" t="s">
        <v>492</v>
      </c>
      <c r="H1182" s="194"/>
      <c r="I1182" s="194"/>
      <c r="J1182" s="193">
        <f>'Fleet &amp; stationary assets'!B32</f>
        <v>0</v>
      </c>
      <c r="K1182" s="194"/>
      <c r="L1182" s="194"/>
      <c r="M1182" s="193">
        <f>'Fleet &amp; stationary assets'!C32</f>
        <v>0</v>
      </c>
      <c r="N1182" s="193">
        <f>'Fleet &amp; stationary assets'!D32</f>
        <v>0</v>
      </c>
      <c r="O1182" s="193">
        <f>'Fleet &amp; stationary assets'!I32</f>
        <v>0</v>
      </c>
      <c r="P1182" s="193">
        <f>'Fleet &amp; stationary assets'!F32</f>
        <v>0</v>
      </c>
      <c r="Q1182" s="193" t="str">
        <f>'Fleet &amp; stationary assets'!G32</f>
        <v/>
      </c>
      <c r="R1182" s="193">
        <f>'Fleet &amp; stationary assets'!I32</f>
        <v>0</v>
      </c>
      <c r="S1182" s="193">
        <f>'Fleet &amp; stationary assets'!J32</f>
        <v>0</v>
      </c>
      <c r="T1182" s="193" t="str">
        <f>'Fleet &amp; stationary assets'!K32</f>
        <v/>
      </c>
      <c r="U1182" s="193" t="str">
        <f>'Fleet &amp; stationary assets'!L32</f>
        <v/>
      </c>
      <c r="V1182" s="193" t="str">
        <f>'Fleet &amp; stationary assets'!M32</f>
        <v/>
      </c>
      <c r="W1182" s="193" t="str">
        <f>'Fleet &amp; stationary assets'!N32</f>
        <v/>
      </c>
      <c r="X1182" s="193">
        <f>'Fleet &amp; stationary assets'!O32</f>
        <v>0</v>
      </c>
      <c r="Y1182" s="193">
        <f>'Fleet &amp; stationary assets'!P32</f>
        <v>0</v>
      </c>
      <c r="Z1182" s="193" t="str">
        <f>'Fleet &amp; stationary assets'!Q32</f>
        <v/>
      </c>
      <c r="AA1182" s="193" t="str">
        <f>'Fleet &amp; stationary assets'!R32</f>
        <v/>
      </c>
      <c r="AB1182" s="193" t="str">
        <f>'Fleet &amp; stationary assets'!S32</f>
        <v/>
      </c>
      <c r="AC1182" s="193" t="str">
        <f>'Fleet &amp; stationary assets'!T32</f>
        <v/>
      </c>
      <c r="AD1182" s="193" t="str">
        <f>'Fleet &amp; stationary assets'!U32</f>
        <v/>
      </c>
      <c r="AE1182" s="193" t="str">
        <f>'Fleet &amp; stationary assets'!V32</f>
        <v/>
      </c>
      <c r="AF1182" s="193" t="str">
        <f>'Fleet &amp; stationary assets'!W32</f>
        <v/>
      </c>
      <c r="AG1182" s="193" t="str">
        <f>'Fleet &amp; stationary assets'!X32</f>
        <v/>
      </c>
      <c r="AI1182" s="193">
        <f t="shared" ref="AI1182:AI1190" si="24">IF(AND(V1182="",R1182&lt;&gt;0),1,0)</f>
        <v>0</v>
      </c>
      <c r="AJ1182" s="193">
        <f t="shared" ref="AJ1182:AJ1190" si="25">IF(AND(W1182="",R1182&lt;&gt;0),1,0)</f>
        <v>0</v>
      </c>
    </row>
    <row r="1183" spans="2:36" x14ac:dyDescent="0.35">
      <c r="B1183" s="193" t="e">
        <f>"2024"&amp;MATCH(Totals!D1183,OrgType,0)&amp;"_"&amp;MATCH(Totals!E1183,Organisations,0)&amp;"_"&amp;LEFT(Totals!F1183,1)&amp;"_"&amp;LEFT(G1183,1)&amp;"_"&amp;COUNTIF($G$3:G1183,G1183)</f>
        <v>#N/A</v>
      </c>
      <c r="C1183" s="193">
        <v>2025</v>
      </c>
      <c r="D1183" s="193">
        <f>Introduction!$D$7</f>
        <v>0</v>
      </c>
      <c r="E1183" s="193">
        <f>Introduction!$D$8</f>
        <v>0</v>
      </c>
      <c r="F1183" s="193" t="s">
        <v>107</v>
      </c>
      <c r="G1183" s="193" t="s">
        <v>492</v>
      </c>
      <c r="H1183" s="194"/>
      <c r="I1183" s="194"/>
      <c r="J1183" s="193">
        <f>'Fleet &amp; stationary assets'!B33</f>
        <v>0</v>
      </c>
      <c r="K1183" s="194"/>
      <c r="L1183" s="194"/>
      <c r="M1183" s="193">
        <f>'Fleet &amp; stationary assets'!C33</f>
        <v>0</v>
      </c>
      <c r="N1183" s="193">
        <f>'Fleet &amp; stationary assets'!D33</f>
        <v>0</v>
      </c>
      <c r="O1183" s="193">
        <f>'Fleet &amp; stationary assets'!I33</f>
        <v>0</v>
      </c>
      <c r="P1183" s="193">
        <f>'Fleet &amp; stationary assets'!F33</f>
        <v>0</v>
      </c>
      <c r="Q1183" s="193" t="str">
        <f>'Fleet &amp; stationary assets'!G33</f>
        <v/>
      </c>
      <c r="R1183" s="193">
        <f>'Fleet &amp; stationary assets'!I33</f>
        <v>0</v>
      </c>
      <c r="S1183" s="193">
        <f>'Fleet &amp; stationary assets'!J33</f>
        <v>0</v>
      </c>
      <c r="T1183" s="193" t="str">
        <f>'Fleet &amp; stationary assets'!K33</f>
        <v/>
      </c>
      <c r="U1183" s="193" t="str">
        <f>'Fleet &amp; stationary assets'!L33</f>
        <v/>
      </c>
      <c r="V1183" s="193" t="str">
        <f>'Fleet &amp; stationary assets'!M33</f>
        <v/>
      </c>
      <c r="W1183" s="193" t="str">
        <f>'Fleet &amp; stationary assets'!N33</f>
        <v/>
      </c>
      <c r="X1183" s="193">
        <f>'Fleet &amp; stationary assets'!O33</f>
        <v>0</v>
      </c>
      <c r="Y1183" s="193">
        <f>'Fleet &amp; stationary assets'!P33</f>
        <v>0</v>
      </c>
      <c r="Z1183" s="193" t="str">
        <f>'Fleet &amp; stationary assets'!Q33</f>
        <v/>
      </c>
      <c r="AA1183" s="193" t="str">
        <f>'Fleet &amp; stationary assets'!R33</f>
        <v/>
      </c>
      <c r="AB1183" s="193" t="str">
        <f>'Fleet &amp; stationary assets'!S33</f>
        <v/>
      </c>
      <c r="AC1183" s="193" t="str">
        <f>'Fleet &amp; stationary assets'!T33</f>
        <v/>
      </c>
      <c r="AD1183" s="193" t="str">
        <f>'Fleet &amp; stationary assets'!U33</f>
        <v/>
      </c>
      <c r="AE1183" s="193" t="str">
        <f>'Fleet &amp; stationary assets'!V33</f>
        <v/>
      </c>
      <c r="AF1183" s="193" t="str">
        <f>'Fleet &amp; stationary assets'!W33</f>
        <v/>
      </c>
      <c r="AG1183" s="193" t="str">
        <f>'Fleet &amp; stationary assets'!X33</f>
        <v/>
      </c>
      <c r="AI1183" s="193">
        <f t="shared" si="24"/>
        <v>0</v>
      </c>
      <c r="AJ1183" s="193">
        <f t="shared" si="25"/>
        <v>0</v>
      </c>
    </row>
    <row r="1184" spans="2:36" x14ac:dyDescent="0.35">
      <c r="B1184" s="193" t="e">
        <f>"2024"&amp;MATCH(Totals!D1184,OrgType,0)&amp;"_"&amp;MATCH(Totals!E1184,Organisations,0)&amp;"_"&amp;LEFT(Totals!F1184,1)&amp;"_"&amp;LEFT(G1184,1)&amp;"_"&amp;COUNTIF($G$3:G1184,G1184)</f>
        <v>#N/A</v>
      </c>
      <c r="C1184" s="193">
        <v>2025</v>
      </c>
      <c r="D1184" s="193">
        <f>Introduction!$D$7</f>
        <v>0</v>
      </c>
      <c r="E1184" s="193">
        <f>Introduction!$D$8</f>
        <v>0</v>
      </c>
      <c r="F1184" s="193" t="s">
        <v>107</v>
      </c>
      <c r="G1184" s="193" t="s">
        <v>492</v>
      </c>
      <c r="H1184" s="194"/>
      <c r="I1184" s="194"/>
      <c r="J1184" s="193">
        <f>'Fleet &amp; stationary assets'!B34</f>
        <v>0</v>
      </c>
      <c r="K1184" s="194"/>
      <c r="L1184" s="194"/>
      <c r="M1184" s="193">
        <f>'Fleet &amp; stationary assets'!C34</f>
        <v>0</v>
      </c>
      <c r="N1184" s="193">
        <f>'Fleet &amp; stationary assets'!D34</f>
        <v>0</v>
      </c>
      <c r="O1184" s="193">
        <f>'Fleet &amp; stationary assets'!I34</f>
        <v>0</v>
      </c>
      <c r="P1184" s="193">
        <f>'Fleet &amp; stationary assets'!F34</f>
        <v>0</v>
      </c>
      <c r="Q1184" s="193" t="str">
        <f>'Fleet &amp; stationary assets'!G34</f>
        <v/>
      </c>
      <c r="R1184" s="193">
        <f>'Fleet &amp; stationary assets'!I34</f>
        <v>0</v>
      </c>
      <c r="S1184" s="193">
        <f>'Fleet &amp; stationary assets'!J34</f>
        <v>0</v>
      </c>
      <c r="T1184" s="193" t="str">
        <f>'Fleet &amp; stationary assets'!K34</f>
        <v/>
      </c>
      <c r="U1184" s="193" t="str">
        <f>'Fleet &amp; stationary assets'!L34</f>
        <v/>
      </c>
      <c r="V1184" s="193" t="str">
        <f>'Fleet &amp; stationary assets'!M34</f>
        <v/>
      </c>
      <c r="W1184" s="193" t="str">
        <f>'Fleet &amp; stationary assets'!N34</f>
        <v/>
      </c>
      <c r="X1184" s="193">
        <f>'Fleet &amp; stationary assets'!O34</f>
        <v>0</v>
      </c>
      <c r="Y1184" s="193">
        <f>'Fleet &amp; stationary assets'!P34</f>
        <v>0</v>
      </c>
      <c r="Z1184" s="193" t="str">
        <f>'Fleet &amp; stationary assets'!Q34</f>
        <v/>
      </c>
      <c r="AA1184" s="193" t="str">
        <f>'Fleet &amp; stationary assets'!R34</f>
        <v/>
      </c>
      <c r="AB1184" s="193" t="str">
        <f>'Fleet &amp; stationary assets'!S34</f>
        <v/>
      </c>
      <c r="AC1184" s="193" t="str">
        <f>'Fleet &amp; stationary assets'!T34</f>
        <v/>
      </c>
      <c r="AD1184" s="193" t="str">
        <f>'Fleet &amp; stationary assets'!U34</f>
        <v/>
      </c>
      <c r="AE1184" s="193" t="str">
        <f>'Fleet &amp; stationary assets'!V34</f>
        <v/>
      </c>
      <c r="AF1184" s="193" t="str">
        <f>'Fleet &amp; stationary assets'!W34</f>
        <v/>
      </c>
      <c r="AG1184" s="193" t="str">
        <f>'Fleet &amp; stationary assets'!X34</f>
        <v/>
      </c>
      <c r="AI1184" s="193">
        <f t="shared" si="24"/>
        <v>0</v>
      </c>
      <c r="AJ1184" s="193">
        <f t="shared" si="25"/>
        <v>0</v>
      </c>
    </row>
    <row r="1185" spans="2:36" x14ac:dyDescent="0.35">
      <c r="B1185" s="193" t="e">
        <f>"2024"&amp;MATCH(Totals!D1185,OrgType,0)&amp;"_"&amp;MATCH(Totals!E1185,Organisations,0)&amp;"_"&amp;LEFT(Totals!F1185,1)&amp;"_"&amp;LEFT(G1185,1)&amp;"_"&amp;COUNTIF($G$3:G1185,G1185)</f>
        <v>#N/A</v>
      </c>
      <c r="C1185" s="193">
        <v>2025</v>
      </c>
      <c r="D1185" s="193">
        <f>Introduction!$D$7</f>
        <v>0</v>
      </c>
      <c r="E1185" s="193">
        <f>Introduction!$D$8</f>
        <v>0</v>
      </c>
      <c r="F1185" s="193" t="s">
        <v>107</v>
      </c>
      <c r="G1185" s="193" t="s">
        <v>492</v>
      </c>
      <c r="H1185" s="194"/>
      <c r="I1185" s="194"/>
      <c r="J1185" s="193">
        <f>'Fleet &amp; stationary assets'!B35</f>
        <v>0</v>
      </c>
      <c r="K1185" s="194"/>
      <c r="L1185" s="194"/>
      <c r="M1185" s="193">
        <f>'Fleet &amp; stationary assets'!C35</f>
        <v>0</v>
      </c>
      <c r="N1185" s="193">
        <f>'Fleet &amp; stationary assets'!D35</f>
        <v>0</v>
      </c>
      <c r="O1185" s="193">
        <f>'Fleet &amp; stationary assets'!I35</f>
        <v>0</v>
      </c>
      <c r="P1185" s="193">
        <f>'Fleet &amp; stationary assets'!F35</f>
        <v>0</v>
      </c>
      <c r="Q1185" s="193" t="str">
        <f>'Fleet &amp; stationary assets'!G35</f>
        <v/>
      </c>
      <c r="R1185" s="193">
        <f>'Fleet &amp; stationary assets'!I35</f>
        <v>0</v>
      </c>
      <c r="S1185" s="193">
        <f>'Fleet &amp; stationary assets'!J35</f>
        <v>0</v>
      </c>
      <c r="T1185" s="193" t="str">
        <f>'Fleet &amp; stationary assets'!K35</f>
        <v/>
      </c>
      <c r="U1185" s="193" t="str">
        <f>'Fleet &amp; stationary assets'!L35</f>
        <v/>
      </c>
      <c r="V1185" s="193" t="str">
        <f>'Fleet &amp; stationary assets'!M35</f>
        <v/>
      </c>
      <c r="W1185" s="193" t="str">
        <f>'Fleet &amp; stationary assets'!N35</f>
        <v/>
      </c>
      <c r="X1185" s="193">
        <f>'Fleet &amp; stationary assets'!O35</f>
        <v>0</v>
      </c>
      <c r="Y1185" s="193">
        <f>'Fleet &amp; stationary assets'!P35</f>
        <v>0</v>
      </c>
      <c r="Z1185" s="193" t="str">
        <f>'Fleet &amp; stationary assets'!Q35</f>
        <v/>
      </c>
      <c r="AA1185" s="193" t="str">
        <f>'Fleet &amp; stationary assets'!R35</f>
        <v/>
      </c>
      <c r="AB1185" s="193" t="str">
        <f>'Fleet &amp; stationary assets'!S35</f>
        <v/>
      </c>
      <c r="AC1185" s="193" t="str">
        <f>'Fleet &amp; stationary assets'!T35</f>
        <v/>
      </c>
      <c r="AD1185" s="193" t="str">
        <f>'Fleet &amp; stationary assets'!U35</f>
        <v/>
      </c>
      <c r="AE1185" s="193" t="str">
        <f>'Fleet &amp; stationary assets'!V35</f>
        <v/>
      </c>
      <c r="AF1185" s="193" t="str">
        <f>'Fleet &amp; stationary assets'!W35</f>
        <v/>
      </c>
      <c r="AG1185" s="193" t="str">
        <f>'Fleet &amp; stationary assets'!X35</f>
        <v/>
      </c>
      <c r="AI1185" s="193">
        <f t="shared" si="24"/>
        <v>0</v>
      </c>
      <c r="AJ1185" s="193">
        <f t="shared" si="25"/>
        <v>0</v>
      </c>
    </row>
    <row r="1186" spans="2:36" x14ac:dyDescent="0.35">
      <c r="B1186" s="193" t="e">
        <f>"2024"&amp;MATCH(Totals!D1186,OrgType,0)&amp;"_"&amp;MATCH(Totals!E1186,Organisations,0)&amp;"_"&amp;LEFT(Totals!F1186,1)&amp;"_"&amp;LEFT(G1186,1)&amp;"_"&amp;COUNTIF($G$3:G1186,G1186)</f>
        <v>#N/A</v>
      </c>
      <c r="C1186" s="193">
        <v>2025</v>
      </c>
      <c r="D1186" s="193">
        <f>Introduction!$D$7</f>
        <v>0</v>
      </c>
      <c r="E1186" s="193">
        <f>Introduction!$D$8</f>
        <v>0</v>
      </c>
      <c r="F1186" s="193" t="s">
        <v>107</v>
      </c>
      <c r="G1186" s="193" t="s">
        <v>492</v>
      </c>
      <c r="H1186" s="194"/>
      <c r="I1186" s="194"/>
      <c r="J1186" s="193">
        <f>'Fleet &amp; stationary assets'!B36</f>
        <v>0</v>
      </c>
      <c r="K1186" s="194"/>
      <c r="L1186" s="194"/>
      <c r="M1186" s="193">
        <f>'Fleet &amp; stationary assets'!C36</f>
        <v>0</v>
      </c>
      <c r="N1186" s="193">
        <f>'Fleet &amp; stationary assets'!D36</f>
        <v>0</v>
      </c>
      <c r="O1186" s="193">
        <f>'Fleet &amp; stationary assets'!I36</f>
        <v>0</v>
      </c>
      <c r="P1186" s="193">
        <f>'Fleet &amp; stationary assets'!F36</f>
        <v>0</v>
      </c>
      <c r="Q1186" s="193" t="str">
        <f>'Fleet &amp; stationary assets'!G36</f>
        <v/>
      </c>
      <c r="R1186" s="193">
        <f>'Fleet &amp; stationary assets'!I36</f>
        <v>0</v>
      </c>
      <c r="S1186" s="193">
        <f>'Fleet &amp; stationary assets'!J36</f>
        <v>0</v>
      </c>
      <c r="T1186" s="193" t="str">
        <f>'Fleet &amp; stationary assets'!K36</f>
        <v/>
      </c>
      <c r="U1186" s="193" t="str">
        <f>'Fleet &amp; stationary assets'!L36</f>
        <v/>
      </c>
      <c r="V1186" s="193" t="str">
        <f>'Fleet &amp; stationary assets'!M36</f>
        <v/>
      </c>
      <c r="W1186" s="193" t="str">
        <f>'Fleet &amp; stationary assets'!N36</f>
        <v/>
      </c>
      <c r="X1186" s="193">
        <f>'Fleet &amp; stationary assets'!O36</f>
        <v>0</v>
      </c>
      <c r="Y1186" s="193">
        <f>'Fleet &amp; stationary assets'!P36</f>
        <v>0</v>
      </c>
      <c r="Z1186" s="193" t="str">
        <f>'Fleet &amp; stationary assets'!Q36</f>
        <v/>
      </c>
      <c r="AA1186" s="193" t="str">
        <f>'Fleet &amp; stationary assets'!R36</f>
        <v/>
      </c>
      <c r="AB1186" s="193" t="str">
        <f>'Fleet &amp; stationary assets'!S36</f>
        <v/>
      </c>
      <c r="AC1186" s="193" t="str">
        <f>'Fleet &amp; stationary assets'!T36</f>
        <v/>
      </c>
      <c r="AD1186" s="193" t="str">
        <f>'Fleet &amp; stationary assets'!U36</f>
        <v/>
      </c>
      <c r="AE1186" s="193" t="str">
        <f>'Fleet &amp; stationary assets'!V36</f>
        <v/>
      </c>
      <c r="AF1186" s="193" t="str">
        <f>'Fleet &amp; stationary assets'!W36</f>
        <v/>
      </c>
      <c r="AG1186" s="193" t="str">
        <f>'Fleet &amp; stationary assets'!X36</f>
        <v/>
      </c>
      <c r="AI1186" s="193">
        <f t="shared" si="24"/>
        <v>0</v>
      </c>
      <c r="AJ1186" s="193">
        <f t="shared" si="25"/>
        <v>0</v>
      </c>
    </row>
    <row r="1187" spans="2:36" x14ac:dyDescent="0.35">
      <c r="B1187" s="193" t="e">
        <f>"2024"&amp;MATCH(Totals!D1187,OrgType,0)&amp;"_"&amp;MATCH(Totals!E1187,Organisations,0)&amp;"_"&amp;LEFT(Totals!F1187,1)&amp;"_"&amp;LEFT(G1187,1)&amp;"_"&amp;COUNTIF($G$3:G1187,G1187)</f>
        <v>#N/A</v>
      </c>
      <c r="C1187" s="193">
        <v>2025</v>
      </c>
      <c r="D1187" s="193">
        <f>Introduction!$D$7</f>
        <v>0</v>
      </c>
      <c r="E1187" s="193">
        <f>Introduction!$D$8</f>
        <v>0</v>
      </c>
      <c r="F1187" s="193" t="s">
        <v>107</v>
      </c>
      <c r="G1187" s="193" t="s">
        <v>492</v>
      </c>
      <c r="H1187" s="194"/>
      <c r="I1187" s="194"/>
      <c r="J1187" s="193">
        <f>'Fleet &amp; stationary assets'!B37</f>
        <v>0</v>
      </c>
      <c r="K1187" s="194"/>
      <c r="L1187" s="194"/>
      <c r="M1187" s="193">
        <f>'Fleet &amp; stationary assets'!C37</f>
        <v>0</v>
      </c>
      <c r="N1187" s="193">
        <f>'Fleet &amp; stationary assets'!D37</f>
        <v>0</v>
      </c>
      <c r="O1187" s="193">
        <f>'Fleet &amp; stationary assets'!I37</f>
        <v>0</v>
      </c>
      <c r="P1187" s="193">
        <f>'Fleet &amp; stationary assets'!F37</f>
        <v>0</v>
      </c>
      <c r="Q1187" s="193" t="str">
        <f>'Fleet &amp; stationary assets'!G37</f>
        <v/>
      </c>
      <c r="R1187" s="193">
        <f>'Fleet &amp; stationary assets'!I37</f>
        <v>0</v>
      </c>
      <c r="S1187" s="193">
        <f>'Fleet &amp; stationary assets'!J37</f>
        <v>0</v>
      </c>
      <c r="T1187" s="193" t="str">
        <f>'Fleet &amp; stationary assets'!K37</f>
        <v/>
      </c>
      <c r="U1187" s="193" t="str">
        <f>'Fleet &amp; stationary assets'!L37</f>
        <v/>
      </c>
      <c r="V1187" s="193" t="str">
        <f>'Fleet &amp; stationary assets'!M37</f>
        <v/>
      </c>
      <c r="W1187" s="193" t="str">
        <f>'Fleet &amp; stationary assets'!N37</f>
        <v/>
      </c>
      <c r="X1187" s="193">
        <f>'Fleet &amp; stationary assets'!O37</f>
        <v>0</v>
      </c>
      <c r="Y1187" s="193">
        <f>'Fleet &amp; stationary assets'!P37</f>
        <v>0</v>
      </c>
      <c r="Z1187" s="193" t="str">
        <f>'Fleet &amp; stationary assets'!Q37</f>
        <v/>
      </c>
      <c r="AA1187" s="193" t="str">
        <f>'Fleet &amp; stationary assets'!R37</f>
        <v/>
      </c>
      <c r="AB1187" s="193" t="str">
        <f>'Fleet &amp; stationary assets'!S37</f>
        <v/>
      </c>
      <c r="AC1187" s="193" t="str">
        <f>'Fleet &amp; stationary assets'!T37</f>
        <v/>
      </c>
      <c r="AD1187" s="193" t="str">
        <f>'Fleet &amp; stationary assets'!U37</f>
        <v/>
      </c>
      <c r="AE1187" s="193" t="str">
        <f>'Fleet &amp; stationary assets'!V37</f>
        <v/>
      </c>
      <c r="AF1187" s="193" t="str">
        <f>'Fleet &amp; stationary assets'!W37</f>
        <v/>
      </c>
      <c r="AG1187" s="193" t="str">
        <f>'Fleet &amp; stationary assets'!X37</f>
        <v/>
      </c>
      <c r="AI1187" s="193">
        <f t="shared" si="24"/>
        <v>0</v>
      </c>
      <c r="AJ1187" s="193">
        <f t="shared" si="25"/>
        <v>0</v>
      </c>
    </row>
    <row r="1188" spans="2:36" x14ac:dyDescent="0.35">
      <c r="B1188" s="193" t="e">
        <f>"2024"&amp;MATCH(Totals!D1188,OrgType,0)&amp;"_"&amp;MATCH(Totals!E1188,Organisations,0)&amp;"_"&amp;LEFT(Totals!F1188,1)&amp;"_"&amp;LEFT(G1188,1)&amp;"_"&amp;COUNTIF($G$3:G1188,G1188)</f>
        <v>#N/A</v>
      </c>
      <c r="C1188" s="193">
        <v>2025</v>
      </c>
      <c r="D1188" s="193">
        <f>Introduction!$D$7</f>
        <v>0</v>
      </c>
      <c r="E1188" s="193">
        <f>Introduction!$D$8</f>
        <v>0</v>
      </c>
      <c r="F1188" s="193" t="s">
        <v>107</v>
      </c>
      <c r="G1188" s="193" t="s">
        <v>492</v>
      </c>
      <c r="H1188" s="194"/>
      <c r="I1188" s="194"/>
      <c r="J1188" s="193">
        <f>'Fleet &amp; stationary assets'!B38</f>
        <v>0</v>
      </c>
      <c r="K1188" s="194"/>
      <c r="L1188" s="194"/>
      <c r="M1188" s="193">
        <f>'Fleet &amp; stationary assets'!C38</f>
        <v>0</v>
      </c>
      <c r="N1188" s="193">
        <f>'Fleet &amp; stationary assets'!D38</f>
        <v>0</v>
      </c>
      <c r="O1188" s="193">
        <f>'Fleet &amp; stationary assets'!I38</f>
        <v>0</v>
      </c>
      <c r="P1188" s="193">
        <f>'Fleet &amp; stationary assets'!F38</f>
        <v>0</v>
      </c>
      <c r="Q1188" s="193" t="str">
        <f>'Fleet &amp; stationary assets'!G38</f>
        <v/>
      </c>
      <c r="R1188" s="193">
        <f>'Fleet &amp; stationary assets'!I38</f>
        <v>0</v>
      </c>
      <c r="S1188" s="193">
        <f>'Fleet &amp; stationary assets'!J38</f>
        <v>0</v>
      </c>
      <c r="T1188" s="193" t="str">
        <f>'Fleet &amp; stationary assets'!K38</f>
        <v/>
      </c>
      <c r="U1188" s="193" t="str">
        <f>'Fleet &amp; stationary assets'!L38</f>
        <v/>
      </c>
      <c r="V1188" s="193" t="str">
        <f>'Fleet &amp; stationary assets'!M38</f>
        <v/>
      </c>
      <c r="W1188" s="193" t="str">
        <f>'Fleet &amp; stationary assets'!N38</f>
        <v/>
      </c>
      <c r="X1188" s="193">
        <f>'Fleet &amp; stationary assets'!O38</f>
        <v>0</v>
      </c>
      <c r="Y1188" s="193">
        <f>'Fleet &amp; stationary assets'!P38</f>
        <v>0</v>
      </c>
      <c r="Z1188" s="193" t="str">
        <f>'Fleet &amp; stationary assets'!Q38</f>
        <v/>
      </c>
      <c r="AA1188" s="193" t="str">
        <f>'Fleet &amp; stationary assets'!R38</f>
        <v/>
      </c>
      <c r="AB1188" s="193" t="str">
        <f>'Fleet &amp; stationary assets'!S38</f>
        <v/>
      </c>
      <c r="AC1188" s="193" t="str">
        <f>'Fleet &amp; stationary assets'!T38</f>
        <v/>
      </c>
      <c r="AD1188" s="193" t="str">
        <f>'Fleet &amp; stationary assets'!U38</f>
        <v/>
      </c>
      <c r="AE1188" s="193" t="str">
        <f>'Fleet &amp; stationary assets'!V38</f>
        <v/>
      </c>
      <c r="AF1188" s="193" t="str">
        <f>'Fleet &amp; stationary assets'!W38</f>
        <v/>
      </c>
      <c r="AG1188" s="193" t="str">
        <f>'Fleet &amp; stationary assets'!X38</f>
        <v/>
      </c>
      <c r="AI1188" s="193">
        <f t="shared" si="24"/>
        <v>0</v>
      </c>
      <c r="AJ1188" s="193">
        <f t="shared" si="25"/>
        <v>0</v>
      </c>
    </row>
    <row r="1189" spans="2:36" x14ac:dyDescent="0.35">
      <c r="B1189" s="193" t="e">
        <f>"2024"&amp;MATCH(Totals!D1189,OrgType,0)&amp;"_"&amp;MATCH(Totals!E1189,Organisations,0)&amp;"_"&amp;LEFT(Totals!F1189,1)&amp;"_"&amp;LEFT(G1189,1)&amp;"_"&amp;COUNTIF($G$3:G1189,G1189)</f>
        <v>#N/A</v>
      </c>
      <c r="C1189" s="193">
        <v>2025</v>
      </c>
      <c r="D1189" s="193">
        <f>Introduction!$D$7</f>
        <v>0</v>
      </c>
      <c r="E1189" s="193">
        <f>Introduction!$D$8</f>
        <v>0</v>
      </c>
      <c r="F1189" s="193" t="s">
        <v>107</v>
      </c>
      <c r="G1189" s="193" t="s">
        <v>492</v>
      </c>
      <c r="H1189" s="194"/>
      <c r="I1189" s="194"/>
      <c r="J1189" s="193">
        <f>'Fleet &amp; stationary assets'!B39</f>
        <v>0</v>
      </c>
      <c r="K1189" s="194"/>
      <c r="L1189" s="194"/>
      <c r="M1189" s="193">
        <f>'Fleet &amp; stationary assets'!C39</f>
        <v>0</v>
      </c>
      <c r="N1189" s="193">
        <f>'Fleet &amp; stationary assets'!D39</f>
        <v>0</v>
      </c>
      <c r="O1189" s="193">
        <f>'Fleet &amp; stationary assets'!I39</f>
        <v>0</v>
      </c>
      <c r="P1189" s="193">
        <f>'Fleet &amp; stationary assets'!F39</f>
        <v>0</v>
      </c>
      <c r="Q1189" s="193" t="str">
        <f>'Fleet &amp; stationary assets'!G39</f>
        <v/>
      </c>
      <c r="R1189" s="193">
        <f>'Fleet &amp; stationary assets'!I39</f>
        <v>0</v>
      </c>
      <c r="S1189" s="193">
        <f>'Fleet &amp; stationary assets'!J39</f>
        <v>0</v>
      </c>
      <c r="T1189" s="193" t="str">
        <f>'Fleet &amp; stationary assets'!K39</f>
        <v/>
      </c>
      <c r="U1189" s="193" t="str">
        <f>'Fleet &amp; stationary assets'!L39</f>
        <v/>
      </c>
      <c r="V1189" s="193" t="str">
        <f>'Fleet &amp; stationary assets'!M39</f>
        <v/>
      </c>
      <c r="W1189" s="193" t="str">
        <f>'Fleet &amp; stationary assets'!N39</f>
        <v/>
      </c>
      <c r="X1189" s="193">
        <f>'Fleet &amp; stationary assets'!O39</f>
        <v>0</v>
      </c>
      <c r="Y1189" s="193">
        <f>'Fleet &amp; stationary assets'!P39</f>
        <v>0</v>
      </c>
      <c r="Z1189" s="193" t="str">
        <f>'Fleet &amp; stationary assets'!Q39</f>
        <v/>
      </c>
      <c r="AA1189" s="193" t="str">
        <f>'Fleet &amp; stationary assets'!R39</f>
        <v/>
      </c>
      <c r="AB1189" s="193" t="str">
        <f>'Fleet &amp; stationary assets'!S39</f>
        <v/>
      </c>
      <c r="AC1189" s="193" t="str">
        <f>'Fleet &amp; stationary assets'!T39</f>
        <v/>
      </c>
      <c r="AD1189" s="193" t="str">
        <f>'Fleet &amp; stationary assets'!U39</f>
        <v/>
      </c>
      <c r="AE1189" s="193" t="str">
        <f>'Fleet &amp; stationary assets'!V39</f>
        <v/>
      </c>
      <c r="AF1189" s="193" t="str">
        <f>'Fleet &amp; stationary assets'!W39</f>
        <v/>
      </c>
      <c r="AG1189" s="193" t="str">
        <f>'Fleet &amp; stationary assets'!X39</f>
        <v/>
      </c>
      <c r="AI1189" s="193">
        <f t="shared" si="24"/>
        <v>0</v>
      </c>
      <c r="AJ1189" s="193">
        <f t="shared" si="25"/>
        <v>0</v>
      </c>
    </row>
    <row r="1190" spans="2:36" x14ac:dyDescent="0.35">
      <c r="B1190" s="193" t="e">
        <f>"2024"&amp;MATCH(Totals!D1190,OrgType,0)&amp;"_"&amp;MATCH(Totals!E1190,Organisations,0)&amp;"_"&amp;LEFT(Totals!F1190,1)&amp;"_"&amp;LEFT(G1190,1)&amp;"_"&amp;COUNTIF($G$3:G1190,G1190)</f>
        <v>#N/A</v>
      </c>
      <c r="C1190" s="193">
        <v>2025</v>
      </c>
      <c r="D1190" s="193">
        <f>Introduction!$D$7</f>
        <v>0</v>
      </c>
      <c r="E1190" s="193">
        <f>Introduction!$D$8</f>
        <v>0</v>
      </c>
      <c r="F1190" s="193" t="s">
        <v>107</v>
      </c>
      <c r="G1190" s="193" t="s">
        <v>492</v>
      </c>
      <c r="H1190" s="194"/>
      <c r="I1190" s="194"/>
      <c r="J1190" s="193">
        <f>'Fleet &amp; stationary assets'!B40</f>
        <v>0</v>
      </c>
      <c r="K1190" s="194"/>
      <c r="L1190" s="194"/>
      <c r="M1190" s="193">
        <f>'Fleet &amp; stationary assets'!C40</f>
        <v>0</v>
      </c>
      <c r="N1190" s="193">
        <f>'Fleet &amp; stationary assets'!D40</f>
        <v>0</v>
      </c>
      <c r="O1190" s="193">
        <f>'Fleet &amp; stationary assets'!I40</f>
        <v>0</v>
      </c>
      <c r="P1190" s="193">
        <f>'Fleet &amp; stationary assets'!F40</f>
        <v>0</v>
      </c>
      <c r="Q1190" s="193" t="str">
        <f>'Fleet &amp; stationary assets'!G40</f>
        <v/>
      </c>
      <c r="R1190" s="193">
        <f>'Fleet &amp; stationary assets'!I40</f>
        <v>0</v>
      </c>
      <c r="S1190" s="193">
        <f>'Fleet &amp; stationary assets'!J40</f>
        <v>0</v>
      </c>
      <c r="T1190" s="193" t="str">
        <f>'Fleet &amp; stationary assets'!K40</f>
        <v/>
      </c>
      <c r="U1190" s="193" t="str">
        <f>'Fleet &amp; stationary assets'!L40</f>
        <v/>
      </c>
      <c r="V1190" s="193" t="str">
        <f>'Fleet &amp; stationary assets'!M40</f>
        <v/>
      </c>
      <c r="W1190" s="193" t="str">
        <f>'Fleet &amp; stationary assets'!N40</f>
        <v/>
      </c>
      <c r="X1190" s="193">
        <f>'Fleet &amp; stationary assets'!O40</f>
        <v>0</v>
      </c>
      <c r="Y1190" s="193">
        <f>'Fleet &amp; stationary assets'!P40</f>
        <v>0</v>
      </c>
      <c r="Z1190" s="193" t="str">
        <f>'Fleet &amp; stationary assets'!Q40</f>
        <v/>
      </c>
      <c r="AA1190" s="193" t="str">
        <f>'Fleet &amp; stationary assets'!R40</f>
        <v/>
      </c>
      <c r="AB1190" s="193" t="str">
        <f>'Fleet &amp; stationary assets'!S40</f>
        <v/>
      </c>
      <c r="AC1190" s="193" t="str">
        <f>'Fleet &amp; stationary assets'!T40</f>
        <v/>
      </c>
      <c r="AD1190" s="193" t="str">
        <f>'Fleet &amp; stationary assets'!U40</f>
        <v/>
      </c>
      <c r="AE1190" s="193" t="str">
        <f>'Fleet &amp; stationary assets'!V40</f>
        <v/>
      </c>
      <c r="AF1190" s="193" t="str">
        <f>'Fleet &amp; stationary assets'!W40</f>
        <v/>
      </c>
      <c r="AG1190" s="193" t="str">
        <f>'Fleet &amp; stationary assets'!X40</f>
        <v/>
      </c>
      <c r="AI1190" s="193">
        <f t="shared" si="24"/>
        <v>0</v>
      </c>
      <c r="AJ1190" s="193">
        <f t="shared" si="25"/>
        <v>0</v>
      </c>
    </row>
    <row r="1191" spans="2:36" x14ac:dyDescent="0.35">
      <c r="B1191" s="193" t="e">
        <f>"2024"&amp;MATCH(Totals!D1191,OrgType,0)&amp;"_"&amp;MATCH(Totals!E1191,Organisations,0)&amp;"_"&amp;LEFT(Totals!F1191,1)&amp;"_"&amp;LEFT(G1191,1)&amp;"_"&amp;COUNTIF($G$3:G1191,G1191)</f>
        <v>#N/A</v>
      </c>
      <c r="C1191" s="193">
        <v>2025</v>
      </c>
      <c r="D1191" s="193">
        <f>Introduction!$D$7</f>
        <v>0</v>
      </c>
      <c r="E1191" s="193">
        <f>Introduction!$D$8</f>
        <v>0</v>
      </c>
      <c r="F1191" s="193" t="s">
        <v>107</v>
      </c>
      <c r="G1191" s="193" t="s">
        <v>492</v>
      </c>
      <c r="H1191" s="194"/>
      <c r="I1191" s="194"/>
      <c r="J1191" s="193">
        <f>'Fleet &amp; stationary assets'!B41</f>
        <v>0</v>
      </c>
      <c r="K1191" s="194"/>
      <c r="L1191" s="194"/>
      <c r="M1191" s="193">
        <f>'Fleet &amp; stationary assets'!C41</f>
        <v>0</v>
      </c>
      <c r="N1191" s="193">
        <f>'Fleet &amp; stationary assets'!D41</f>
        <v>0</v>
      </c>
      <c r="O1191" s="193">
        <f>'Fleet &amp; stationary assets'!I41</f>
        <v>0</v>
      </c>
      <c r="P1191" s="193">
        <f>'Fleet &amp; stationary assets'!F41</f>
        <v>0</v>
      </c>
      <c r="Q1191" s="193" t="str">
        <f>'Fleet &amp; stationary assets'!G41</f>
        <v/>
      </c>
      <c r="R1191" s="193">
        <f>'Fleet &amp; stationary assets'!I41</f>
        <v>0</v>
      </c>
      <c r="S1191" s="193">
        <f>'Fleet &amp; stationary assets'!J41</f>
        <v>0</v>
      </c>
      <c r="T1191" s="193" t="str">
        <f>'Fleet &amp; stationary assets'!K41</f>
        <v/>
      </c>
      <c r="U1191" s="193" t="str">
        <f>'Fleet &amp; stationary assets'!L41</f>
        <v/>
      </c>
      <c r="V1191" s="193" t="str">
        <f>'Fleet &amp; stationary assets'!M41</f>
        <v/>
      </c>
      <c r="W1191" s="193" t="str">
        <f>'Fleet &amp; stationary assets'!N41</f>
        <v/>
      </c>
      <c r="X1191" s="193">
        <f>'Fleet &amp; stationary assets'!O41</f>
        <v>0</v>
      </c>
      <c r="Y1191" s="193">
        <f>'Fleet &amp; stationary assets'!P41</f>
        <v>0</v>
      </c>
      <c r="Z1191" s="193" t="str">
        <f>'Fleet &amp; stationary assets'!Q41</f>
        <v/>
      </c>
      <c r="AA1191" s="193" t="str">
        <f>'Fleet &amp; stationary assets'!R41</f>
        <v/>
      </c>
      <c r="AB1191" s="193" t="str">
        <f>'Fleet &amp; stationary assets'!S41</f>
        <v/>
      </c>
      <c r="AC1191" s="193" t="str">
        <f>'Fleet &amp; stationary assets'!T41</f>
        <v/>
      </c>
      <c r="AD1191" s="193" t="str">
        <f>'Fleet &amp; stationary assets'!U41</f>
        <v/>
      </c>
      <c r="AE1191" s="193" t="str">
        <f>'Fleet &amp; stationary assets'!V41</f>
        <v/>
      </c>
      <c r="AF1191" s="193" t="str">
        <f>'Fleet &amp; stationary assets'!W41</f>
        <v/>
      </c>
      <c r="AG1191" s="193" t="str">
        <f>'Fleet &amp; stationary assets'!X41</f>
        <v/>
      </c>
      <c r="AI1191" s="193">
        <f t="shared" si="20"/>
        <v>0</v>
      </c>
      <c r="AJ1191" s="193">
        <f t="shared" si="21"/>
        <v>0</v>
      </c>
    </row>
    <row r="1192" spans="2:36" x14ac:dyDescent="0.35">
      <c r="B1192" s="193" t="e">
        <f>"2024"&amp;MATCH(Totals!D1192,OrgType,0)&amp;"_"&amp;MATCH(Totals!E1192,Organisations,0)&amp;"_"&amp;LEFT(Totals!F1192,1)&amp;"_"&amp;LEFT(G1192,1)&amp;"_"&amp;COUNTIF($G$3:G1192,G1192)</f>
        <v>#N/A</v>
      </c>
      <c r="C1192" s="193">
        <v>2025</v>
      </c>
      <c r="D1192" s="193">
        <f>Introduction!$D$7</f>
        <v>0</v>
      </c>
      <c r="E1192" s="193">
        <f>Introduction!$D$8</f>
        <v>0</v>
      </c>
      <c r="F1192" s="193" t="s">
        <v>107</v>
      </c>
      <c r="G1192" s="193" t="s">
        <v>492</v>
      </c>
      <c r="H1192" s="194"/>
      <c r="I1192" s="194"/>
      <c r="J1192" s="193">
        <f>'Fleet &amp; stationary assets'!B42</f>
        <v>0</v>
      </c>
      <c r="K1192" s="194"/>
      <c r="L1192" s="194"/>
      <c r="M1192" s="193">
        <f>'Fleet &amp; stationary assets'!C42</f>
        <v>0</v>
      </c>
      <c r="N1192" s="193">
        <f>'Fleet &amp; stationary assets'!D42</f>
        <v>0</v>
      </c>
      <c r="O1192" s="193">
        <f>'Fleet &amp; stationary assets'!I42</f>
        <v>0</v>
      </c>
      <c r="P1192" s="193">
        <f>'Fleet &amp; stationary assets'!F42</f>
        <v>0</v>
      </c>
      <c r="Q1192" s="193" t="str">
        <f>'Fleet &amp; stationary assets'!G42</f>
        <v/>
      </c>
      <c r="R1192" s="193">
        <f>'Fleet &amp; stationary assets'!I42</f>
        <v>0</v>
      </c>
      <c r="S1192" s="193">
        <f>'Fleet &amp; stationary assets'!J42</f>
        <v>0</v>
      </c>
      <c r="T1192" s="193" t="str">
        <f>'Fleet &amp; stationary assets'!K42</f>
        <v/>
      </c>
      <c r="U1192" s="193" t="str">
        <f>'Fleet &amp; stationary assets'!L42</f>
        <v/>
      </c>
      <c r="V1192" s="193" t="str">
        <f>'Fleet &amp; stationary assets'!M42</f>
        <v/>
      </c>
      <c r="W1192" s="193" t="str">
        <f>'Fleet &amp; stationary assets'!N42</f>
        <v/>
      </c>
      <c r="X1192" s="193">
        <f>'Fleet &amp; stationary assets'!O42</f>
        <v>0</v>
      </c>
      <c r="Y1192" s="193">
        <f>'Fleet &amp; stationary assets'!P42</f>
        <v>0</v>
      </c>
      <c r="Z1192" s="193" t="str">
        <f>'Fleet &amp; stationary assets'!Q42</f>
        <v/>
      </c>
      <c r="AA1192" s="193" t="str">
        <f>'Fleet &amp; stationary assets'!R42</f>
        <v/>
      </c>
      <c r="AB1192" s="193" t="str">
        <f>'Fleet &amp; stationary assets'!S42</f>
        <v/>
      </c>
      <c r="AC1192" s="193" t="str">
        <f>'Fleet &amp; stationary assets'!T42</f>
        <v/>
      </c>
      <c r="AD1192" s="193" t="str">
        <f>'Fleet &amp; stationary assets'!U42</f>
        <v/>
      </c>
      <c r="AE1192" s="193" t="str">
        <f>'Fleet &amp; stationary assets'!V42</f>
        <v/>
      </c>
      <c r="AF1192" s="193" t="str">
        <f>'Fleet &amp; stationary assets'!W42</f>
        <v/>
      </c>
      <c r="AG1192" s="193" t="str">
        <f>'Fleet &amp; stationary assets'!X42</f>
        <v/>
      </c>
      <c r="AI1192" s="193">
        <f t="shared" si="20"/>
        <v>0</v>
      </c>
      <c r="AJ1192" s="193">
        <f t="shared" si="21"/>
        <v>0</v>
      </c>
    </row>
    <row r="1193" spans="2:36" x14ac:dyDescent="0.35">
      <c r="B1193" s="193" t="e">
        <f>"2024"&amp;MATCH(Totals!D1193,OrgType,0)&amp;"_"&amp;MATCH(Totals!E1193,Organisations,0)&amp;"_"&amp;LEFT(Totals!F1193,1)&amp;"_"&amp;LEFT(G1193,1)&amp;"_"&amp;COUNTIF($G$3:G1193,G1193)</f>
        <v>#N/A</v>
      </c>
      <c r="C1193" s="193">
        <v>2025</v>
      </c>
      <c r="D1193" s="193">
        <f>Introduction!$D$7</f>
        <v>0</v>
      </c>
      <c r="E1193" s="193">
        <f>Introduction!$D$8</f>
        <v>0</v>
      </c>
      <c r="F1193" s="193" t="s">
        <v>107</v>
      </c>
      <c r="G1193" s="193" t="s">
        <v>492</v>
      </c>
      <c r="H1193" s="194"/>
      <c r="I1193" s="194"/>
      <c r="J1193" s="193">
        <f>'Fleet &amp; stationary assets'!B43</f>
        <v>0</v>
      </c>
      <c r="K1193" s="194"/>
      <c r="L1193" s="194"/>
      <c r="M1193" s="193">
        <f>'Fleet &amp; stationary assets'!C43</f>
        <v>0</v>
      </c>
      <c r="N1193" s="193">
        <f>'Fleet &amp; stationary assets'!D43</f>
        <v>0</v>
      </c>
      <c r="O1193" s="193">
        <f>'Fleet &amp; stationary assets'!I43</f>
        <v>0</v>
      </c>
      <c r="P1193" s="193">
        <f>'Fleet &amp; stationary assets'!F43</f>
        <v>0</v>
      </c>
      <c r="Q1193" s="193" t="str">
        <f>'Fleet &amp; stationary assets'!G43</f>
        <v/>
      </c>
      <c r="R1193" s="193">
        <f>'Fleet &amp; stationary assets'!I43</f>
        <v>0</v>
      </c>
      <c r="S1193" s="193">
        <f>'Fleet &amp; stationary assets'!J43</f>
        <v>0</v>
      </c>
      <c r="T1193" s="193" t="str">
        <f>'Fleet &amp; stationary assets'!K43</f>
        <v/>
      </c>
      <c r="U1193" s="193" t="str">
        <f>'Fleet &amp; stationary assets'!L43</f>
        <v/>
      </c>
      <c r="V1193" s="193" t="str">
        <f>'Fleet &amp; stationary assets'!M43</f>
        <v/>
      </c>
      <c r="W1193" s="193" t="str">
        <f>'Fleet &amp; stationary assets'!N43</f>
        <v/>
      </c>
      <c r="X1193" s="193">
        <f>'Fleet &amp; stationary assets'!O43</f>
        <v>0</v>
      </c>
      <c r="Y1193" s="193">
        <f>'Fleet &amp; stationary assets'!P43</f>
        <v>0</v>
      </c>
      <c r="Z1193" s="193" t="str">
        <f>'Fleet &amp; stationary assets'!Q43</f>
        <v/>
      </c>
      <c r="AA1193" s="193" t="str">
        <f>'Fleet &amp; stationary assets'!R43</f>
        <v/>
      </c>
      <c r="AB1193" s="193" t="str">
        <f>'Fleet &amp; stationary assets'!S43</f>
        <v/>
      </c>
      <c r="AC1193" s="193" t="str">
        <f>'Fleet &amp; stationary assets'!T43</f>
        <v/>
      </c>
      <c r="AD1193" s="193" t="str">
        <f>'Fleet &amp; stationary assets'!U43</f>
        <v/>
      </c>
      <c r="AE1193" s="193" t="str">
        <f>'Fleet &amp; stationary assets'!V43</f>
        <v/>
      </c>
      <c r="AF1193" s="193" t="str">
        <f>'Fleet &amp; stationary assets'!W43</f>
        <v/>
      </c>
      <c r="AG1193" s="193" t="str">
        <f>'Fleet &amp; stationary assets'!X43</f>
        <v/>
      </c>
      <c r="AI1193" s="193">
        <f t="shared" si="20"/>
        <v>0</v>
      </c>
      <c r="AJ1193" s="193">
        <f t="shared" si="21"/>
        <v>0</v>
      </c>
    </row>
    <row r="1194" spans="2:36" x14ac:dyDescent="0.35">
      <c r="B1194" s="193" t="e">
        <f>"2024"&amp;MATCH(Totals!D1194,OrgType,0)&amp;"_"&amp;MATCH(Totals!E1194,Organisations,0)&amp;"_"&amp;LEFT(Totals!F1194,1)&amp;"_"&amp;LEFT(G1194,1)&amp;"_"&amp;COUNTIF($G$3:G1194,G1194)</f>
        <v>#N/A</v>
      </c>
      <c r="C1194" s="193">
        <v>2025</v>
      </c>
      <c r="D1194" s="193">
        <f>Introduction!$D$7</f>
        <v>0</v>
      </c>
      <c r="E1194" s="193">
        <f>Introduction!$D$8</f>
        <v>0</v>
      </c>
      <c r="F1194" s="193" t="s">
        <v>107</v>
      </c>
      <c r="G1194" s="193" t="s">
        <v>492</v>
      </c>
      <c r="H1194" s="194"/>
      <c r="I1194" s="194"/>
      <c r="J1194" s="193">
        <f>'Fleet &amp; stationary assets'!B44</f>
        <v>0</v>
      </c>
      <c r="K1194" s="194"/>
      <c r="L1194" s="194"/>
      <c r="M1194" s="193">
        <f>'Fleet &amp; stationary assets'!C44</f>
        <v>0</v>
      </c>
      <c r="N1194" s="193">
        <f>'Fleet &amp; stationary assets'!D44</f>
        <v>0</v>
      </c>
      <c r="O1194" s="193">
        <f>'Fleet &amp; stationary assets'!I44</f>
        <v>0</v>
      </c>
      <c r="P1194" s="193">
        <f>'Fleet &amp; stationary assets'!F44</f>
        <v>0</v>
      </c>
      <c r="Q1194" s="193" t="str">
        <f>'Fleet &amp; stationary assets'!G44</f>
        <v/>
      </c>
      <c r="R1194" s="193">
        <f>'Fleet &amp; stationary assets'!I44</f>
        <v>0</v>
      </c>
      <c r="S1194" s="193">
        <f>'Fleet &amp; stationary assets'!J44</f>
        <v>0</v>
      </c>
      <c r="T1194" s="193" t="str">
        <f>'Fleet &amp; stationary assets'!K44</f>
        <v/>
      </c>
      <c r="U1194" s="193" t="str">
        <f>'Fleet &amp; stationary assets'!L44</f>
        <v/>
      </c>
      <c r="V1194" s="193" t="str">
        <f>'Fleet &amp; stationary assets'!M44</f>
        <v/>
      </c>
      <c r="W1194" s="193" t="str">
        <f>'Fleet &amp; stationary assets'!N44</f>
        <v/>
      </c>
      <c r="X1194" s="193">
        <f>'Fleet &amp; stationary assets'!O44</f>
        <v>0</v>
      </c>
      <c r="Y1194" s="193">
        <f>'Fleet &amp; stationary assets'!P44</f>
        <v>0</v>
      </c>
      <c r="Z1194" s="193" t="str">
        <f>'Fleet &amp; stationary assets'!Q44</f>
        <v/>
      </c>
      <c r="AA1194" s="193" t="str">
        <f>'Fleet &amp; stationary assets'!R44</f>
        <v/>
      </c>
      <c r="AB1194" s="193" t="str">
        <f>'Fleet &amp; stationary assets'!S44</f>
        <v/>
      </c>
      <c r="AC1194" s="193" t="str">
        <f>'Fleet &amp; stationary assets'!T44</f>
        <v/>
      </c>
      <c r="AD1194" s="193" t="str">
        <f>'Fleet &amp; stationary assets'!U44</f>
        <v/>
      </c>
      <c r="AE1194" s="193" t="str">
        <f>'Fleet &amp; stationary assets'!V44</f>
        <v/>
      </c>
      <c r="AF1194" s="193" t="str">
        <f>'Fleet &amp; stationary assets'!W44</f>
        <v/>
      </c>
      <c r="AG1194" s="193" t="str">
        <f>'Fleet &amp; stationary assets'!X44</f>
        <v/>
      </c>
      <c r="AI1194" s="193">
        <f t="shared" si="20"/>
        <v>0</v>
      </c>
      <c r="AJ1194" s="193">
        <f t="shared" si="21"/>
        <v>0</v>
      </c>
    </row>
    <row r="1195" spans="2:36" x14ac:dyDescent="0.35">
      <c r="B1195" s="193" t="e">
        <f>"2024"&amp;MATCH(Totals!D1195,OrgType,0)&amp;"_"&amp;MATCH(Totals!E1195,Organisations,0)&amp;"_"&amp;LEFT(Totals!F1195,1)&amp;"_"&amp;LEFT(G1195,1)&amp;"_"&amp;COUNTIF($G$3:G1195,G1195)</f>
        <v>#N/A</v>
      </c>
      <c r="C1195" s="193">
        <v>2025</v>
      </c>
      <c r="D1195" s="193">
        <f>Introduction!$D$7</f>
        <v>0</v>
      </c>
      <c r="E1195" s="193">
        <f>Introduction!$D$8</f>
        <v>0</v>
      </c>
      <c r="F1195" s="193" t="s">
        <v>107</v>
      </c>
      <c r="G1195" s="193" t="s">
        <v>492</v>
      </c>
      <c r="H1195" s="194"/>
      <c r="I1195" s="194"/>
      <c r="J1195" s="193">
        <f>'Fleet &amp; stationary assets'!B45</f>
        <v>0</v>
      </c>
      <c r="K1195" s="194"/>
      <c r="L1195" s="194"/>
      <c r="M1195" s="193">
        <f>'Fleet &amp; stationary assets'!C45</f>
        <v>0</v>
      </c>
      <c r="N1195" s="193">
        <f>'Fleet &amp; stationary assets'!D45</f>
        <v>0</v>
      </c>
      <c r="O1195" s="193">
        <f>'Fleet &amp; stationary assets'!I45</f>
        <v>0</v>
      </c>
      <c r="P1195" s="193">
        <f>'Fleet &amp; stationary assets'!F45</f>
        <v>0</v>
      </c>
      <c r="Q1195" s="193" t="str">
        <f>'Fleet &amp; stationary assets'!G45</f>
        <v/>
      </c>
      <c r="R1195" s="193">
        <f>'Fleet &amp; stationary assets'!I45</f>
        <v>0</v>
      </c>
      <c r="S1195" s="193">
        <f>'Fleet &amp; stationary assets'!J45</f>
        <v>0</v>
      </c>
      <c r="T1195" s="193" t="str">
        <f>'Fleet &amp; stationary assets'!K45</f>
        <v/>
      </c>
      <c r="U1195" s="193" t="str">
        <f>'Fleet &amp; stationary assets'!L45</f>
        <v/>
      </c>
      <c r="V1195" s="193" t="str">
        <f>'Fleet &amp; stationary assets'!M45</f>
        <v/>
      </c>
      <c r="W1195" s="193" t="str">
        <f>'Fleet &amp; stationary assets'!N45</f>
        <v/>
      </c>
      <c r="X1195" s="193">
        <f>'Fleet &amp; stationary assets'!O45</f>
        <v>0</v>
      </c>
      <c r="Y1195" s="193">
        <f>'Fleet &amp; stationary assets'!P45</f>
        <v>0</v>
      </c>
      <c r="Z1195" s="193" t="str">
        <f>'Fleet &amp; stationary assets'!Q45</f>
        <v/>
      </c>
      <c r="AA1195" s="193" t="str">
        <f>'Fleet &amp; stationary assets'!R45</f>
        <v/>
      </c>
      <c r="AB1195" s="193" t="str">
        <f>'Fleet &amp; stationary assets'!S45</f>
        <v/>
      </c>
      <c r="AC1195" s="193" t="str">
        <f>'Fleet &amp; stationary assets'!T45</f>
        <v/>
      </c>
      <c r="AD1195" s="193" t="str">
        <f>'Fleet &amp; stationary assets'!U45</f>
        <v/>
      </c>
      <c r="AE1195" s="193" t="str">
        <f>'Fleet &amp; stationary assets'!V45</f>
        <v/>
      </c>
      <c r="AF1195" s="193" t="str">
        <f>'Fleet &amp; stationary assets'!W45</f>
        <v/>
      </c>
      <c r="AG1195" s="193" t="str">
        <f>'Fleet &amp; stationary assets'!X45</f>
        <v/>
      </c>
      <c r="AI1195" s="193">
        <f t="shared" si="20"/>
        <v>0</v>
      </c>
      <c r="AJ1195" s="193">
        <f t="shared" si="21"/>
        <v>0</v>
      </c>
    </row>
    <row r="1196" spans="2:36" x14ac:dyDescent="0.35">
      <c r="B1196" s="193" t="e">
        <f>"2024"&amp;MATCH(Totals!D1196,OrgType,0)&amp;"_"&amp;MATCH(Totals!E1196,Organisations,0)&amp;"_"&amp;LEFT(Totals!F1196,1)&amp;"_"&amp;LEFT(G1196,1)&amp;"_"&amp;COUNTIF($G$3:G1196,G1196)</f>
        <v>#N/A</v>
      </c>
      <c r="C1196" s="193">
        <v>2025</v>
      </c>
      <c r="D1196" s="193">
        <f>Introduction!$D$7</f>
        <v>0</v>
      </c>
      <c r="E1196" s="193">
        <f>Introduction!$D$8</f>
        <v>0</v>
      </c>
      <c r="F1196" s="193" t="s">
        <v>107</v>
      </c>
      <c r="G1196" s="193" t="s">
        <v>492</v>
      </c>
      <c r="H1196" s="194"/>
      <c r="I1196" s="194"/>
      <c r="J1196" s="193">
        <f>'Fleet &amp; stationary assets'!B46</f>
        <v>0</v>
      </c>
      <c r="K1196" s="194"/>
      <c r="L1196" s="194"/>
      <c r="M1196" s="193">
        <f>'Fleet &amp; stationary assets'!C46</f>
        <v>0</v>
      </c>
      <c r="N1196" s="193">
        <f>'Fleet &amp; stationary assets'!D46</f>
        <v>0</v>
      </c>
      <c r="O1196" s="193">
        <f>'Fleet &amp; stationary assets'!I46</f>
        <v>0</v>
      </c>
      <c r="P1196" s="193">
        <f>'Fleet &amp; stationary assets'!F46</f>
        <v>0</v>
      </c>
      <c r="Q1196" s="193" t="str">
        <f>'Fleet &amp; stationary assets'!G46</f>
        <v/>
      </c>
      <c r="R1196" s="193">
        <f>'Fleet &amp; stationary assets'!I46</f>
        <v>0</v>
      </c>
      <c r="S1196" s="193">
        <f>'Fleet &amp; stationary assets'!J46</f>
        <v>0</v>
      </c>
      <c r="T1196" s="193" t="str">
        <f>'Fleet &amp; stationary assets'!K46</f>
        <v/>
      </c>
      <c r="U1196" s="193" t="str">
        <f>'Fleet &amp; stationary assets'!L46</f>
        <v/>
      </c>
      <c r="V1196" s="193" t="str">
        <f>'Fleet &amp; stationary assets'!M46</f>
        <v/>
      </c>
      <c r="W1196" s="193" t="str">
        <f>'Fleet &amp; stationary assets'!N46</f>
        <v/>
      </c>
      <c r="X1196" s="193">
        <f>'Fleet &amp; stationary assets'!O46</f>
        <v>0</v>
      </c>
      <c r="Y1196" s="193">
        <f>'Fleet &amp; stationary assets'!P46</f>
        <v>0</v>
      </c>
      <c r="Z1196" s="193" t="str">
        <f>'Fleet &amp; stationary assets'!Q46</f>
        <v/>
      </c>
      <c r="AA1196" s="193" t="str">
        <f>'Fleet &amp; stationary assets'!R46</f>
        <v/>
      </c>
      <c r="AB1196" s="193" t="str">
        <f>'Fleet &amp; stationary assets'!S46</f>
        <v/>
      </c>
      <c r="AC1196" s="193" t="str">
        <f>'Fleet &amp; stationary assets'!T46</f>
        <v/>
      </c>
      <c r="AD1196" s="193" t="str">
        <f>'Fleet &amp; stationary assets'!U46</f>
        <v/>
      </c>
      <c r="AE1196" s="193" t="str">
        <f>'Fleet &amp; stationary assets'!V46</f>
        <v/>
      </c>
      <c r="AF1196" s="193" t="str">
        <f>'Fleet &amp; stationary assets'!W46</f>
        <v/>
      </c>
      <c r="AG1196" s="193" t="str">
        <f>'Fleet &amp; stationary assets'!X46</f>
        <v/>
      </c>
      <c r="AI1196" s="193">
        <f t="shared" si="20"/>
        <v>0</v>
      </c>
      <c r="AJ1196" s="193">
        <f t="shared" si="21"/>
        <v>0</v>
      </c>
    </row>
    <row r="1197" spans="2:36" x14ac:dyDescent="0.35">
      <c r="B1197" s="193" t="e">
        <f>"2024"&amp;MATCH(Totals!D1197,OrgType,0)&amp;"_"&amp;MATCH(Totals!E1197,Organisations,0)&amp;"_"&amp;LEFT(Totals!F1197,1)&amp;"_"&amp;LEFT(G1197,1)&amp;"_"&amp;COUNTIF($G$3:G1197,G1197)</f>
        <v>#N/A</v>
      </c>
      <c r="C1197" s="193">
        <v>2025</v>
      </c>
      <c r="D1197" s="193">
        <f>Introduction!$D$7</f>
        <v>0</v>
      </c>
      <c r="E1197" s="193">
        <f>Introduction!$D$8</f>
        <v>0</v>
      </c>
      <c r="F1197" s="193" t="s">
        <v>107</v>
      </c>
      <c r="G1197" s="193" t="s">
        <v>492</v>
      </c>
      <c r="H1197" s="194"/>
      <c r="I1197" s="194"/>
      <c r="J1197" s="193">
        <f>'Fleet &amp; stationary assets'!B47</f>
        <v>0</v>
      </c>
      <c r="K1197" s="194"/>
      <c r="L1197" s="194"/>
      <c r="M1197" s="193">
        <f>'Fleet &amp; stationary assets'!C47</f>
        <v>0</v>
      </c>
      <c r="N1197" s="193">
        <f>'Fleet &amp; stationary assets'!D47</f>
        <v>0</v>
      </c>
      <c r="O1197" s="193">
        <f>'Fleet &amp; stationary assets'!I47</f>
        <v>0</v>
      </c>
      <c r="P1197" s="193">
        <f>'Fleet &amp; stationary assets'!F47</f>
        <v>0</v>
      </c>
      <c r="Q1197" s="193" t="str">
        <f>'Fleet &amp; stationary assets'!G47</f>
        <v/>
      </c>
      <c r="R1197" s="193">
        <f>'Fleet &amp; stationary assets'!I47</f>
        <v>0</v>
      </c>
      <c r="S1197" s="193">
        <f>'Fleet &amp; stationary assets'!J47</f>
        <v>0</v>
      </c>
      <c r="T1197" s="193" t="str">
        <f>'Fleet &amp; stationary assets'!K47</f>
        <v/>
      </c>
      <c r="U1197" s="193" t="str">
        <f>'Fleet &amp; stationary assets'!L47</f>
        <v/>
      </c>
      <c r="V1197" s="193" t="str">
        <f>'Fleet &amp; stationary assets'!M47</f>
        <v/>
      </c>
      <c r="W1197" s="193" t="str">
        <f>'Fleet &amp; stationary assets'!N47</f>
        <v/>
      </c>
      <c r="X1197" s="193">
        <f>'Fleet &amp; stationary assets'!O47</f>
        <v>0</v>
      </c>
      <c r="Y1197" s="193">
        <f>'Fleet &amp; stationary assets'!P47</f>
        <v>0</v>
      </c>
      <c r="Z1197" s="193" t="str">
        <f>'Fleet &amp; stationary assets'!Q47</f>
        <v/>
      </c>
      <c r="AA1197" s="193" t="str">
        <f>'Fleet &amp; stationary assets'!R47</f>
        <v/>
      </c>
      <c r="AB1197" s="193" t="str">
        <f>'Fleet &amp; stationary assets'!S47</f>
        <v/>
      </c>
      <c r="AC1197" s="193" t="str">
        <f>'Fleet &amp; stationary assets'!T47</f>
        <v/>
      </c>
      <c r="AD1197" s="193" t="str">
        <f>'Fleet &amp; stationary assets'!U47</f>
        <v/>
      </c>
      <c r="AE1197" s="193" t="str">
        <f>'Fleet &amp; stationary assets'!V47</f>
        <v/>
      </c>
      <c r="AF1197" s="193" t="str">
        <f>'Fleet &amp; stationary assets'!W47</f>
        <v/>
      </c>
      <c r="AG1197" s="193" t="str">
        <f>'Fleet &amp; stationary assets'!X47</f>
        <v/>
      </c>
      <c r="AI1197" s="193">
        <f t="shared" si="20"/>
        <v>0</v>
      </c>
      <c r="AJ1197" s="193">
        <f t="shared" si="21"/>
        <v>0</v>
      </c>
    </row>
    <row r="1198" spans="2:36" x14ac:dyDescent="0.35">
      <c r="B1198" s="193" t="e">
        <f>"2024"&amp;MATCH(Totals!D1198,OrgType,0)&amp;"_"&amp;MATCH(Totals!E1198,Organisations,0)&amp;"_"&amp;LEFT(Totals!F1198,1)&amp;"_"&amp;LEFT(G1198,1)&amp;"_"&amp;COUNTIF($G$3:G1198,G1198)</f>
        <v>#N/A</v>
      </c>
      <c r="C1198" s="193">
        <v>2025</v>
      </c>
      <c r="D1198" s="193">
        <f>Introduction!$D$7</f>
        <v>0</v>
      </c>
      <c r="E1198" s="193">
        <f>Introduction!$D$8</f>
        <v>0</v>
      </c>
      <c r="F1198" s="193" t="s">
        <v>107</v>
      </c>
      <c r="G1198" s="193" t="s">
        <v>492</v>
      </c>
      <c r="H1198" s="194"/>
      <c r="I1198" s="194"/>
      <c r="J1198" s="193">
        <f>'Fleet &amp; stationary assets'!B48</f>
        <v>0</v>
      </c>
      <c r="K1198" s="194"/>
      <c r="L1198" s="194"/>
      <c r="M1198" s="193">
        <f>'Fleet &amp; stationary assets'!C48</f>
        <v>0</v>
      </c>
      <c r="N1198" s="193">
        <f>'Fleet &amp; stationary assets'!D48</f>
        <v>0</v>
      </c>
      <c r="O1198" s="193">
        <f>'Fleet &amp; stationary assets'!I48</f>
        <v>0</v>
      </c>
      <c r="P1198" s="193">
        <f>'Fleet &amp; stationary assets'!F48</f>
        <v>0</v>
      </c>
      <c r="Q1198" s="193" t="str">
        <f>'Fleet &amp; stationary assets'!G48</f>
        <v/>
      </c>
      <c r="R1198" s="193">
        <f>'Fleet &amp; stationary assets'!I48</f>
        <v>0</v>
      </c>
      <c r="S1198" s="193">
        <f>'Fleet &amp; stationary assets'!J48</f>
        <v>0</v>
      </c>
      <c r="T1198" s="193" t="str">
        <f>'Fleet &amp; stationary assets'!K48</f>
        <v/>
      </c>
      <c r="U1198" s="193" t="str">
        <f>'Fleet &amp; stationary assets'!L48</f>
        <v/>
      </c>
      <c r="V1198" s="193" t="str">
        <f>'Fleet &amp; stationary assets'!M48</f>
        <v/>
      </c>
      <c r="W1198" s="193" t="str">
        <f>'Fleet &amp; stationary assets'!N48</f>
        <v/>
      </c>
      <c r="X1198" s="193">
        <f>'Fleet &amp; stationary assets'!O48</f>
        <v>0</v>
      </c>
      <c r="Y1198" s="193">
        <f>'Fleet &amp; stationary assets'!P48</f>
        <v>0</v>
      </c>
      <c r="Z1198" s="193" t="str">
        <f>'Fleet &amp; stationary assets'!Q48</f>
        <v/>
      </c>
      <c r="AA1198" s="193" t="str">
        <f>'Fleet &amp; stationary assets'!R48</f>
        <v/>
      </c>
      <c r="AB1198" s="193" t="str">
        <f>'Fleet &amp; stationary assets'!S48</f>
        <v/>
      </c>
      <c r="AC1198" s="193" t="str">
        <f>'Fleet &amp; stationary assets'!T48</f>
        <v/>
      </c>
      <c r="AD1198" s="193" t="str">
        <f>'Fleet &amp; stationary assets'!U48</f>
        <v/>
      </c>
      <c r="AE1198" s="193" t="str">
        <f>'Fleet &amp; stationary assets'!V48</f>
        <v/>
      </c>
      <c r="AF1198" s="193" t="str">
        <f>'Fleet &amp; stationary assets'!W48</f>
        <v/>
      </c>
      <c r="AG1198" s="193" t="str">
        <f>'Fleet &amp; stationary assets'!X48</f>
        <v/>
      </c>
      <c r="AI1198" s="193">
        <f t="shared" si="20"/>
        <v>0</v>
      </c>
      <c r="AJ1198" s="193">
        <f t="shared" si="21"/>
        <v>0</v>
      </c>
    </row>
    <row r="1199" spans="2:36" x14ac:dyDescent="0.35">
      <c r="B1199" s="193" t="e">
        <f>"2024"&amp;MATCH(Totals!D1199,OrgType,0)&amp;"_"&amp;MATCH(Totals!E1199,Organisations,0)&amp;"_"&amp;LEFT(Totals!F1199,1)&amp;"_"&amp;LEFT(G1199,1)&amp;"_"&amp;COUNTIF($G$3:G1199,G1199)</f>
        <v>#N/A</v>
      </c>
      <c r="C1199" s="193">
        <v>2025</v>
      </c>
      <c r="D1199" s="193">
        <f>Introduction!$D$7</f>
        <v>0</v>
      </c>
      <c r="E1199" s="193">
        <f>Introduction!$D$8</f>
        <v>0</v>
      </c>
      <c r="F1199" s="193" t="s">
        <v>107</v>
      </c>
      <c r="G1199" s="193" t="s">
        <v>492</v>
      </c>
      <c r="H1199" s="194"/>
      <c r="I1199" s="194"/>
      <c r="J1199" s="193">
        <f>'Fleet &amp; stationary assets'!B49</f>
        <v>0</v>
      </c>
      <c r="K1199" s="194"/>
      <c r="L1199" s="194"/>
      <c r="M1199" s="193">
        <f>'Fleet &amp; stationary assets'!C49</f>
        <v>0</v>
      </c>
      <c r="N1199" s="193">
        <f>'Fleet &amp; stationary assets'!D49</f>
        <v>0</v>
      </c>
      <c r="O1199" s="193">
        <f>'Fleet &amp; stationary assets'!I49</f>
        <v>0</v>
      </c>
      <c r="P1199" s="193">
        <f>'Fleet &amp; stationary assets'!F49</f>
        <v>0</v>
      </c>
      <c r="Q1199" s="193" t="str">
        <f>'Fleet &amp; stationary assets'!G49</f>
        <v/>
      </c>
      <c r="R1199" s="193">
        <f>'Fleet &amp; stationary assets'!I49</f>
        <v>0</v>
      </c>
      <c r="S1199" s="193">
        <f>'Fleet &amp; stationary assets'!J49</f>
        <v>0</v>
      </c>
      <c r="T1199" s="193" t="str">
        <f>'Fleet &amp; stationary assets'!K49</f>
        <v/>
      </c>
      <c r="U1199" s="193" t="str">
        <f>'Fleet &amp; stationary assets'!L49</f>
        <v/>
      </c>
      <c r="V1199" s="193" t="str">
        <f>'Fleet &amp; stationary assets'!M49</f>
        <v/>
      </c>
      <c r="W1199" s="193" t="str">
        <f>'Fleet &amp; stationary assets'!N49</f>
        <v/>
      </c>
      <c r="X1199" s="193">
        <f>'Fleet &amp; stationary assets'!O49</f>
        <v>0</v>
      </c>
      <c r="Y1199" s="193">
        <f>'Fleet &amp; stationary assets'!P49</f>
        <v>0</v>
      </c>
      <c r="Z1199" s="193" t="str">
        <f>'Fleet &amp; stationary assets'!Q49</f>
        <v/>
      </c>
      <c r="AA1199" s="193" t="str">
        <f>'Fleet &amp; stationary assets'!R49</f>
        <v/>
      </c>
      <c r="AB1199" s="193" t="str">
        <f>'Fleet &amp; stationary assets'!S49</f>
        <v/>
      </c>
      <c r="AC1199" s="193" t="str">
        <f>'Fleet &amp; stationary assets'!T49</f>
        <v/>
      </c>
      <c r="AD1199" s="193" t="str">
        <f>'Fleet &amp; stationary assets'!U49</f>
        <v/>
      </c>
      <c r="AE1199" s="193" t="str">
        <f>'Fleet &amp; stationary assets'!V49</f>
        <v/>
      </c>
      <c r="AF1199" s="193" t="str">
        <f>'Fleet &amp; stationary assets'!W49</f>
        <v/>
      </c>
      <c r="AG1199" s="193" t="str">
        <f>'Fleet &amp; stationary assets'!X49</f>
        <v/>
      </c>
      <c r="AI1199" s="193">
        <f t="shared" si="20"/>
        <v>0</v>
      </c>
      <c r="AJ1199" s="193">
        <f t="shared" si="21"/>
        <v>0</v>
      </c>
    </row>
    <row r="1200" spans="2:36" x14ac:dyDescent="0.35">
      <c r="B1200" s="193" t="e">
        <f>"2024"&amp;MATCH(Totals!D1200,OrgType,0)&amp;"_"&amp;MATCH(Totals!E1200,Organisations,0)&amp;"_"&amp;LEFT(Totals!F1200,1)&amp;"_"&amp;LEFT(G1200,1)&amp;"_"&amp;COUNTIF($G$3:G1200,G1200)</f>
        <v>#N/A</v>
      </c>
      <c r="C1200" s="193">
        <v>2025</v>
      </c>
      <c r="D1200" s="193">
        <f>Introduction!$D$7</f>
        <v>0</v>
      </c>
      <c r="E1200" s="193">
        <f>Introduction!$D$8</f>
        <v>0</v>
      </c>
      <c r="F1200" s="193" t="s">
        <v>107</v>
      </c>
      <c r="G1200" s="193" t="s">
        <v>492</v>
      </c>
      <c r="H1200" s="194"/>
      <c r="I1200" s="194"/>
      <c r="J1200" s="193">
        <f>'Fleet &amp; stationary assets'!B50</f>
        <v>0</v>
      </c>
      <c r="K1200" s="194"/>
      <c r="L1200" s="194"/>
      <c r="M1200" s="193">
        <f>'Fleet &amp; stationary assets'!C50</f>
        <v>0</v>
      </c>
      <c r="N1200" s="193">
        <f>'Fleet &amp; stationary assets'!D50</f>
        <v>0</v>
      </c>
      <c r="O1200" s="193">
        <f>'Fleet &amp; stationary assets'!I50</f>
        <v>0</v>
      </c>
      <c r="P1200" s="193">
        <f>'Fleet &amp; stationary assets'!F50</f>
        <v>0</v>
      </c>
      <c r="Q1200" s="193" t="str">
        <f>'Fleet &amp; stationary assets'!G50</f>
        <v/>
      </c>
      <c r="R1200" s="193">
        <f>'Fleet &amp; stationary assets'!I50</f>
        <v>0</v>
      </c>
      <c r="S1200" s="193">
        <f>'Fleet &amp; stationary assets'!J50</f>
        <v>0</v>
      </c>
      <c r="T1200" s="193" t="str">
        <f>'Fleet &amp; stationary assets'!K50</f>
        <v/>
      </c>
      <c r="U1200" s="193" t="str">
        <f>'Fleet &amp; stationary assets'!L50</f>
        <v/>
      </c>
      <c r="V1200" s="193" t="str">
        <f>'Fleet &amp; stationary assets'!M50</f>
        <v/>
      </c>
      <c r="W1200" s="193" t="str">
        <f>'Fleet &amp; stationary assets'!N50</f>
        <v/>
      </c>
      <c r="X1200" s="193">
        <f>'Fleet &amp; stationary assets'!O50</f>
        <v>0</v>
      </c>
      <c r="Y1200" s="193">
        <f>'Fleet &amp; stationary assets'!P50</f>
        <v>0</v>
      </c>
      <c r="Z1200" s="193" t="str">
        <f>'Fleet &amp; stationary assets'!Q50</f>
        <v/>
      </c>
      <c r="AA1200" s="193" t="str">
        <f>'Fleet &amp; stationary assets'!R50</f>
        <v/>
      </c>
      <c r="AB1200" s="193" t="str">
        <f>'Fleet &amp; stationary assets'!S50</f>
        <v/>
      </c>
      <c r="AC1200" s="193" t="str">
        <f>'Fleet &amp; stationary assets'!T50</f>
        <v/>
      </c>
      <c r="AD1200" s="193" t="str">
        <f>'Fleet &amp; stationary assets'!U50</f>
        <v/>
      </c>
      <c r="AE1200" s="193" t="str">
        <f>'Fleet &amp; stationary assets'!V50</f>
        <v/>
      </c>
      <c r="AF1200" s="193" t="str">
        <f>'Fleet &amp; stationary assets'!W50</f>
        <v/>
      </c>
      <c r="AG1200" s="193" t="str">
        <f>'Fleet &amp; stationary assets'!X50</f>
        <v/>
      </c>
      <c r="AI1200" s="193">
        <f t="shared" si="20"/>
        <v>0</v>
      </c>
      <c r="AJ1200" s="193">
        <f t="shared" si="21"/>
        <v>0</v>
      </c>
    </row>
    <row r="1201" spans="2:36" x14ac:dyDescent="0.35">
      <c r="B1201" s="193" t="e">
        <f>"2024"&amp;MATCH(Totals!D1201,OrgType,0)&amp;"_"&amp;MATCH(Totals!E1201,Organisations,0)&amp;"_"&amp;LEFT(Totals!F1201,1)&amp;"_"&amp;LEFT(G1201,1)&amp;"_"&amp;COUNTIF($G$3:G1201,G1201)</f>
        <v>#N/A</v>
      </c>
      <c r="C1201" s="193">
        <v>2025</v>
      </c>
      <c r="D1201" s="193">
        <f>Introduction!$D$7</f>
        <v>0</v>
      </c>
      <c r="E1201" s="193">
        <f>Introduction!$D$8</f>
        <v>0</v>
      </c>
      <c r="F1201" s="193" t="s">
        <v>107</v>
      </c>
      <c r="G1201" s="193" t="s">
        <v>109</v>
      </c>
      <c r="H1201" s="194"/>
      <c r="I1201" s="194"/>
      <c r="J1201" s="193">
        <f>'Business travel, commute, home'!B8</f>
        <v>0</v>
      </c>
      <c r="K1201" s="194"/>
      <c r="L1201" s="194"/>
      <c r="M1201" s="193">
        <f>'Business travel, commute, home'!C8</f>
        <v>0</v>
      </c>
      <c r="N1201" s="193">
        <f>'Business travel, commute, home'!D8</f>
        <v>0</v>
      </c>
      <c r="O1201" s="194"/>
      <c r="P1201" s="193">
        <f>'Business travel, commute, home'!E8</f>
        <v>0</v>
      </c>
      <c r="Q1201" s="193" t="str">
        <f>'Business travel, commute, home'!F8</f>
        <v/>
      </c>
      <c r="R1201" s="193">
        <f>'Business travel, commute, home'!G8</f>
        <v>0</v>
      </c>
      <c r="S1201" s="193">
        <f>'Business travel, commute, home'!H8</f>
        <v>0</v>
      </c>
      <c r="T1201" s="193" t="str">
        <f>'Business travel, commute, home'!I8</f>
        <v/>
      </c>
      <c r="U1201" s="193" t="str">
        <f>'Business travel, commute, home'!J8</f>
        <v/>
      </c>
      <c r="V1201" s="193" t="str">
        <f>'Business travel, commute, home'!K8</f>
        <v/>
      </c>
      <c r="W1201" s="193" t="str">
        <f>'Business travel, commute, home'!L8</f>
        <v/>
      </c>
      <c r="X1201" s="193">
        <f>'Business travel, commute, home'!M8</f>
        <v>0</v>
      </c>
      <c r="Y1201" s="193">
        <f>'Business travel, commute, home'!N8</f>
        <v>0</v>
      </c>
      <c r="Z1201" s="193" t="str">
        <f>'Business travel, commute, home'!O8</f>
        <v/>
      </c>
      <c r="AA1201" s="193" t="str">
        <f>'Business travel, commute, home'!P8</f>
        <v/>
      </c>
      <c r="AB1201" s="193" t="str">
        <f>'Business travel, commute, home'!Q8</f>
        <v/>
      </c>
      <c r="AC1201" s="193" t="str">
        <f>'Business travel, commute, home'!R8</f>
        <v/>
      </c>
      <c r="AD1201" s="193" t="str">
        <f>'Business travel, commute, home'!S8</f>
        <v/>
      </c>
      <c r="AE1201" s="193" t="str">
        <f>'Business travel, commute, home'!T8</f>
        <v/>
      </c>
      <c r="AF1201" s="193" t="str">
        <f>'Business travel, commute, home'!U8</f>
        <v/>
      </c>
      <c r="AG1201" s="193"/>
      <c r="AI1201" s="193">
        <f t="shared" si="20"/>
        <v>0</v>
      </c>
      <c r="AJ1201" s="193">
        <f t="shared" si="21"/>
        <v>0</v>
      </c>
    </row>
    <row r="1202" spans="2:36" x14ac:dyDescent="0.35">
      <c r="B1202" s="193" t="e">
        <f>"2024"&amp;MATCH(Totals!D1202,OrgType,0)&amp;"_"&amp;MATCH(Totals!E1202,Organisations,0)&amp;"_"&amp;LEFT(Totals!F1202,1)&amp;"_"&amp;LEFT(G1202,1)&amp;"_"&amp;COUNTIF($G$3:G1202,G1202)</f>
        <v>#N/A</v>
      </c>
      <c r="C1202" s="193">
        <v>2025</v>
      </c>
      <c r="D1202" s="193">
        <f>Introduction!$D$7</f>
        <v>0</v>
      </c>
      <c r="E1202" s="193">
        <f>Introduction!$D$8</f>
        <v>0</v>
      </c>
      <c r="F1202" s="193" t="s">
        <v>107</v>
      </c>
      <c r="G1202" s="193" t="s">
        <v>109</v>
      </c>
      <c r="H1202" s="194"/>
      <c r="I1202" s="194"/>
      <c r="J1202" s="193">
        <f>'Business travel, commute, home'!B9</f>
        <v>0</v>
      </c>
      <c r="K1202" s="194"/>
      <c r="L1202" s="194"/>
      <c r="M1202" s="193">
        <f>'Business travel, commute, home'!C9</f>
        <v>0</v>
      </c>
      <c r="N1202" s="193">
        <f>'Business travel, commute, home'!D9</f>
        <v>0</v>
      </c>
      <c r="O1202" s="194"/>
      <c r="P1202" s="193">
        <f>'Business travel, commute, home'!E9</f>
        <v>0</v>
      </c>
      <c r="Q1202" s="193" t="str">
        <f>'Business travel, commute, home'!F9</f>
        <v/>
      </c>
      <c r="R1202" s="193">
        <f>'Business travel, commute, home'!G9</f>
        <v>0</v>
      </c>
      <c r="S1202" s="193">
        <f>'Business travel, commute, home'!H9</f>
        <v>0</v>
      </c>
      <c r="T1202" s="193" t="str">
        <f>'Business travel, commute, home'!I9</f>
        <v/>
      </c>
      <c r="U1202" s="193" t="str">
        <f>'Business travel, commute, home'!J9</f>
        <v/>
      </c>
      <c r="V1202" s="193" t="str">
        <f>'Business travel, commute, home'!K9</f>
        <v/>
      </c>
      <c r="W1202" s="193" t="str">
        <f>'Business travel, commute, home'!L9</f>
        <v/>
      </c>
      <c r="X1202" s="193">
        <f>'Business travel, commute, home'!M9</f>
        <v>0</v>
      </c>
      <c r="Y1202" s="193">
        <f>'Business travel, commute, home'!N9</f>
        <v>0</v>
      </c>
      <c r="Z1202" s="193" t="str">
        <f>'Business travel, commute, home'!O9</f>
        <v/>
      </c>
      <c r="AA1202" s="193" t="str">
        <f>'Business travel, commute, home'!P9</f>
        <v/>
      </c>
      <c r="AB1202" s="193" t="str">
        <f>'Business travel, commute, home'!Q9</f>
        <v/>
      </c>
      <c r="AC1202" s="193" t="str">
        <f>'Business travel, commute, home'!R9</f>
        <v/>
      </c>
      <c r="AD1202" s="193" t="str">
        <f>'Business travel, commute, home'!S9</f>
        <v/>
      </c>
      <c r="AE1202" s="193" t="str">
        <f>'Business travel, commute, home'!T9</f>
        <v/>
      </c>
      <c r="AF1202" s="193" t="str">
        <f>'Business travel, commute, home'!U9</f>
        <v/>
      </c>
      <c r="AG1202" s="193"/>
      <c r="AI1202" s="193">
        <f t="shared" si="20"/>
        <v>0</v>
      </c>
      <c r="AJ1202" s="193">
        <f t="shared" si="21"/>
        <v>0</v>
      </c>
    </row>
    <row r="1203" spans="2:36" x14ac:dyDescent="0.35">
      <c r="B1203" s="193" t="e">
        <f>"2024"&amp;MATCH(Totals!D1203,OrgType,0)&amp;"_"&amp;MATCH(Totals!E1203,Organisations,0)&amp;"_"&amp;LEFT(Totals!F1203,1)&amp;"_"&amp;LEFT(G1203,1)&amp;"_"&amp;COUNTIF($G$3:G1203,G1203)</f>
        <v>#N/A</v>
      </c>
      <c r="C1203" s="193">
        <v>2025</v>
      </c>
      <c r="D1203" s="193">
        <f>Introduction!$D$7</f>
        <v>0</v>
      </c>
      <c r="E1203" s="193">
        <f>Introduction!$D$8</f>
        <v>0</v>
      </c>
      <c r="F1203" s="193" t="s">
        <v>107</v>
      </c>
      <c r="G1203" s="193" t="s">
        <v>109</v>
      </c>
      <c r="H1203" s="194"/>
      <c r="I1203" s="194"/>
      <c r="J1203" s="193">
        <f>'Business travel, commute, home'!B10</f>
        <v>0</v>
      </c>
      <c r="K1203" s="194"/>
      <c r="L1203" s="194"/>
      <c r="M1203" s="193">
        <f>'Business travel, commute, home'!C10</f>
        <v>0</v>
      </c>
      <c r="N1203" s="193">
        <f>'Business travel, commute, home'!D10</f>
        <v>0</v>
      </c>
      <c r="O1203" s="194"/>
      <c r="P1203" s="193">
        <f>'Business travel, commute, home'!E10</f>
        <v>0</v>
      </c>
      <c r="Q1203" s="193" t="str">
        <f>'Business travel, commute, home'!F10</f>
        <v/>
      </c>
      <c r="R1203" s="193">
        <f>'Business travel, commute, home'!G10</f>
        <v>0</v>
      </c>
      <c r="S1203" s="193">
        <f>'Business travel, commute, home'!H10</f>
        <v>0</v>
      </c>
      <c r="T1203" s="193" t="str">
        <f>'Business travel, commute, home'!I10</f>
        <v/>
      </c>
      <c r="U1203" s="193" t="str">
        <f>'Business travel, commute, home'!J10</f>
        <v/>
      </c>
      <c r="V1203" s="193" t="str">
        <f>'Business travel, commute, home'!K10</f>
        <v/>
      </c>
      <c r="W1203" s="193" t="str">
        <f>'Business travel, commute, home'!L10</f>
        <v/>
      </c>
      <c r="X1203" s="193">
        <f>'Business travel, commute, home'!M10</f>
        <v>0</v>
      </c>
      <c r="Y1203" s="193">
        <f>'Business travel, commute, home'!N10</f>
        <v>0</v>
      </c>
      <c r="Z1203" s="193" t="str">
        <f>'Business travel, commute, home'!O10</f>
        <v/>
      </c>
      <c r="AA1203" s="193" t="str">
        <f>'Business travel, commute, home'!P10</f>
        <v/>
      </c>
      <c r="AB1203" s="193" t="str">
        <f>'Business travel, commute, home'!Q10</f>
        <v/>
      </c>
      <c r="AC1203" s="193" t="str">
        <f>'Business travel, commute, home'!R10</f>
        <v/>
      </c>
      <c r="AD1203" s="193" t="str">
        <f>'Business travel, commute, home'!S10</f>
        <v/>
      </c>
      <c r="AE1203" s="193" t="str">
        <f>'Business travel, commute, home'!T10</f>
        <v/>
      </c>
      <c r="AF1203" s="193" t="str">
        <f>'Business travel, commute, home'!U10</f>
        <v/>
      </c>
      <c r="AG1203" s="193"/>
      <c r="AI1203" s="193">
        <f t="shared" si="20"/>
        <v>0</v>
      </c>
      <c r="AJ1203" s="193">
        <f t="shared" si="21"/>
        <v>0</v>
      </c>
    </row>
    <row r="1204" spans="2:36" x14ac:dyDescent="0.35">
      <c r="B1204" s="193" t="e">
        <f>"2024"&amp;MATCH(Totals!D1204,OrgType,0)&amp;"_"&amp;MATCH(Totals!E1204,Organisations,0)&amp;"_"&amp;LEFT(Totals!F1204,1)&amp;"_"&amp;LEFT(G1204,1)&amp;"_"&amp;COUNTIF($G$3:G1204,G1204)</f>
        <v>#N/A</v>
      </c>
      <c r="C1204" s="193">
        <v>2025</v>
      </c>
      <c r="D1204" s="193">
        <f>Introduction!$D$7</f>
        <v>0</v>
      </c>
      <c r="E1204" s="193">
        <f>Introduction!$D$8</f>
        <v>0</v>
      </c>
      <c r="F1204" s="193" t="s">
        <v>107</v>
      </c>
      <c r="G1204" s="193" t="s">
        <v>109</v>
      </c>
      <c r="H1204" s="194"/>
      <c r="I1204" s="194"/>
      <c r="J1204" s="193">
        <f>'Business travel, commute, home'!B11</f>
        <v>0</v>
      </c>
      <c r="K1204" s="194"/>
      <c r="L1204" s="194"/>
      <c r="M1204" s="193">
        <f>'Business travel, commute, home'!C11</f>
        <v>0</v>
      </c>
      <c r="N1204" s="193">
        <f>'Business travel, commute, home'!D11</f>
        <v>0</v>
      </c>
      <c r="O1204" s="194"/>
      <c r="P1204" s="193">
        <f>'Business travel, commute, home'!E11</f>
        <v>0</v>
      </c>
      <c r="Q1204" s="193" t="str">
        <f>'Business travel, commute, home'!F11</f>
        <v/>
      </c>
      <c r="R1204" s="193">
        <f>'Business travel, commute, home'!G11</f>
        <v>0</v>
      </c>
      <c r="S1204" s="193">
        <f>'Business travel, commute, home'!H11</f>
        <v>0</v>
      </c>
      <c r="T1204" s="193" t="str">
        <f>'Business travel, commute, home'!I11</f>
        <v/>
      </c>
      <c r="U1204" s="193" t="str">
        <f>'Business travel, commute, home'!J11</f>
        <v/>
      </c>
      <c r="V1204" s="193" t="str">
        <f>'Business travel, commute, home'!K11</f>
        <v/>
      </c>
      <c r="W1204" s="193" t="str">
        <f>'Business travel, commute, home'!L11</f>
        <v/>
      </c>
      <c r="X1204" s="193">
        <f>'Business travel, commute, home'!M11</f>
        <v>0</v>
      </c>
      <c r="Y1204" s="193">
        <f>'Business travel, commute, home'!N11</f>
        <v>0</v>
      </c>
      <c r="Z1204" s="193" t="str">
        <f>'Business travel, commute, home'!O11</f>
        <v/>
      </c>
      <c r="AA1204" s="193" t="str">
        <f>'Business travel, commute, home'!P11</f>
        <v/>
      </c>
      <c r="AB1204" s="193" t="str">
        <f>'Business travel, commute, home'!Q11</f>
        <v/>
      </c>
      <c r="AC1204" s="193" t="str">
        <f>'Business travel, commute, home'!R11</f>
        <v/>
      </c>
      <c r="AD1204" s="193" t="str">
        <f>'Business travel, commute, home'!S11</f>
        <v/>
      </c>
      <c r="AE1204" s="193" t="str">
        <f>'Business travel, commute, home'!T11</f>
        <v/>
      </c>
      <c r="AF1204" s="193" t="str">
        <f>'Business travel, commute, home'!U11</f>
        <v/>
      </c>
      <c r="AG1204" s="193"/>
      <c r="AI1204" s="193">
        <f t="shared" si="20"/>
        <v>0</v>
      </c>
      <c r="AJ1204" s="193">
        <f t="shared" si="21"/>
        <v>0</v>
      </c>
    </row>
    <row r="1205" spans="2:36" x14ac:dyDescent="0.35">
      <c r="B1205" s="193" t="e">
        <f>"2024"&amp;MATCH(Totals!D1205,OrgType,0)&amp;"_"&amp;MATCH(Totals!E1205,Organisations,0)&amp;"_"&amp;LEFT(Totals!F1205,1)&amp;"_"&amp;LEFT(G1205,1)&amp;"_"&amp;COUNTIF($G$3:G1205,G1205)</f>
        <v>#N/A</v>
      </c>
      <c r="C1205" s="193">
        <v>2025</v>
      </c>
      <c r="D1205" s="193">
        <f>Introduction!$D$7</f>
        <v>0</v>
      </c>
      <c r="E1205" s="193">
        <f>Introduction!$D$8</f>
        <v>0</v>
      </c>
      <c r="F1205" s="193" t="s">
        <v>107</v>
      </c>
      <c r="G1205" s="193" t="s">
        <v>109</v>
      </c>
      <c r="H1205" s="194"/>
      <c r="I1205" s="194"/>
      <c r="J1205" s="193">
        <f>'Business travel, commute, home'!B12</f>
        <v>0</v>
      </c>
      <c r="K1205" s="194"/>
      <c r="L1205" s="194"/>
      <c r="M1205" s="193">
        <f>'Business travel, commute, home'!C12</f>
        <v>0</v>
      </c>
      <c r="N1205" s="193">
        <f>'Business travel, commute, home'!D12</f>
        <v>0</v>
      </c>
      <c r="O1205" s="194"/>
      <c r="P1205" s="193">
        <f>'Business travel, commute, home'!E12</f>
        <v>0</v>
      </c>
      <c r="Q1205" s="193" t="str">
        <f>'Business travel, commute, home'!F12</f>
        <v/>
      </c>
      <c r="R1205" s="193">
        <f>'Business travel, commute, home'!G12</f>
        <v>0</v>
      </c>
      <c r="S1205" s="193">
        <f>'Business travel, commute, home'!H12</f>
        <v>0</v>
      </c>
      <c r="T1205" s="193" t="str">
        <f>'Business travel, commute, home'!I12</f>
        <v/>
      </c>
      <c r="U1205" s="193" t="str">
        <f>'Business travel, commute, home'!J12</f>
        <v/>
      </c>
      <c r="V1205" s="193" t="str">
        <f>'Business travel, commute, home'!K12</f>
        <v/>
      </c>
      <c r="W1205" s="193" t="str">
        <f>'Business travel, commute, home'!L12</f>
        <v/>
      </c>
      <c r="X1205" s="193">
        <f>'Business travel, commute, home'!M12</f>
        <v>0</v>
      </c>
      <c r="Y1205" s="193">
        <f>'Business travel, commute, home'!N12</f>
        <v>0</v>
      </c>
      <c r="Z1205" s="193" t="str">
        <f>'Business travel, commute, home'!O12</f>
        <v/>
      </c>
      <c r="AA1205" s="193" t="str">
        <f>'Business travel, commute, home'!P12</f>
        <v/>
      </c>
      <c r="AB1205" s="193" t="str">
        <f>'Business travel, commute, home'!Q12</f>
        <v/>
      </c>
      <c r="AC1205" s="193" t="str">
        <f>'Business travel, commute, home'!R12</f>
        <v/>
      </c>
      <c r="AD1205" s="193" t="str">
        <f>'Business travel, commute, home'!S12</f>
        <v/>
      </c>
      <c r="AE1205" s="193" t="str">
        <f>'Business travel, commute, home'!T12</f>
        <v/>
      </c>
      <c r="AF1205" s="193" t="str">
        <f>'Business travel, commute, home'!U12</f>
        <v/>
      </c>
      <c r="AG1205" s="193"/>
      <c r="AI1205" s="193">
        <f t="shared" si="20"/>
        <v>0</v>
      </c>
      <c r="AJ1205" s="193">
        <f t="shared" si="21"/>
        <v>0</v>
      </c>
    </row>
    <row r="1206" spans="2:36" x14ac:dyDescent="0.35">
      <c r="B1206" s="193" t="e">
        <f>"2024"&amp;MATCH(Totals!D1206,OrgType,0)&amp;"_"&amp;MATCH(Totals!E1206,Organisations,0)&amp;"_"&amp;LEFT(Totals!F1206,1)&amp;"_"&amp;LEFT(G1206,1)&amp;"_"&amp;COUNTIF($G$3:G1206,G1206)</f>
        <v>#N/A</v>
      </c>
      <c r="C1206" s="193">
        <v>2025</v>
      </c>
      <c r="D1206" s="193">
        <f>Introduction!$D$7</f>
        <v>0</v>
      </c>
      <c r="E1206" s="193">
        <f>Introduction!$D$8</f>
        <v>0</v>
      </c>
      <c r="F1206" s="193" t="s">
        <v>107</v>
      </c>
      <c r="G1206" s="193" t="s">
        <v>109</v>
      </c>
      <c r="H1206" s="194"/>
      <c r="I1206" s="194"/>
      <c r="J1206" s="193">
        <f>'Business travel, commute, home'!B13</f>
        <v>0</v>
      </c>
      <c r="K1206" s="194"/>
      <c r="L1206" s="194"/>
      <c r="M1206" s="193">
        <f>'Business travel, commute, home'!C13</f>
        <v>0</v>
      </c>
      <c r="N1206" s="193">
        <f>'Business travel, commute, home'!D13</f>
        <v>0</v>
      </c>
      <c r="O1206" s="194"/>
      <c r="P1206" s="193">
        <f>'Business travel, commute, home'!E13</f>
        <v>0</v>
      </c>
      <c r="Q1206" s="193" t="str">
        <f>'Business travel, commute, home'!F13</f>
        <v/>
      </c>
      <c r="R1206" s="193">
        <f>'Business travel, commute, home'!G13</f>
        <v>0</v>
      </c>
      <c r="S1206" s="193">
        <f>'Business travel, commute, home'!H13</f>
        <v>0</v>
      </c>
      <c r="T1206" s="193" t="str">
        <f>'Business travel, commute, home'!I13</f>
        <v/>
      </c>
      <c r="U1206" s="193" t="str">
        <f>'Business travel, commute, home'!J13</f>
        <v/>
      </c>
      <c r="V1206" s="193" t="str">
        <f>'Business travel, commute, home'!K13</f>
        <v/>
      </c>
      <c r="W1206" s="193" t="str">
        <f>'Business travel, commute, home'!L13</f>
        <v/>
      </c>
      <c r="X1206" s="193">
        <f>'Business travel, commute, home'!M13</f>
        <v>0</v>
      </c>
      <c r="Y1206" s="193">
        <f>'Business travel, commute, home'!N13</f>
        <v>0</v>
      </c>
      <c r="Z1206" s="193" t="str">
        <f>'Business travel, commute, home'!O13</f>
        <v/>
      </c>
      <c r="AA1206" s="193" t="str">
        <f>'Business travel, commute, home'!P13</f>
        <v/>
      </c>
      <c r="AB1206" s="193" t="str">
        <f>'Business travel, commute, home'!Q13</f>
        <v/>
      </c>
      <c r="AC1206" s="193" t="str">
        <f>'Business travel, commute, home'!R13</f>
        <v/>
      </c>
      <c r="AD1206" s="193" t="str">
        <f>'Business travel, commute, home'!S13</f>
        <v/>
      </c>
      <c r="AE1206" s="193" t="str">
        <f>'Business travel, commute, home'!T13</f>
        <v/>
      </c>
      <c r="AF1206" s="193" t="str">
        <f>'Business travel, commute, home'!U13</f>
        <v/>
      </c>
      <c r="AG1206" s="193"/>
      <c r="AI1206" s="193">
        <f t="shared" si="20"/>
        <v>0</v>
      </c>
      <c r="AJ1206" s="193">
        <f t="shared" si="21"/>
        <v>0</v>
      </c>
    </row>
    <row r="1207" spans="2:36" x14ac:dyDescent="0.35">
      <c r="B1207" s="193" t="e">
        <f>"2024"&amp;MATCH(Totals!D1207,OrgType,0)&amp;"_"&amp;MATCH(Totals!E1207,Organisations,0)&amp;"_"&amp;LEFT(Totals!F1207,1)&amp;"_"&amp;LEFT(G1207,1)&amp;"_"&amp;COUNTIF($G$3:G1207,G1207)</f>
        <v>#N/A</v>
      </c>
      <c r="C1207" s="193">
        <v>2025</v>
      </c>
      <c r="D1207" s="193">
        <f>Introduction!$D$7</f>
        <v>0</v>
      </c>
      <c r="E1207" s="193">
        <f>Introduction!$D$8</f>
        <v>0</v>
      </c>
      <c r="F1207" s="193" t="s">
        <v>107</v>
      </c>
      <c r="G1207" s="193" t="s">
        <v>109</v>
      </c>
      <c r="H1207" s="194"/>
      <c r="I1207" s="194"/>
      <c r="J1207" s="193">
        <f>'Business travel, commute, home'!B14</f>
        <v>0</v>
      </c>
      <c r="K1207" s="194"/>
      <c r="L1207" s="194"/>
      <c r="M1207" s="193">
        <f>'Business travel, commute, home'!C14</f>
        <v>0</v>
      </c>
      <c r="N1207" s="193">
        <f>'Business travel, commute, home'!D14</f>
        <v>0</v>
      </c>
      <c r="O1207" s="194"/>
      <c r="P1207" s="193">
        <f>'Business travel, commute, home'!E14</f>
        <v>0</v>
      </c>
      <c r="Q1207" s="193" t="str">
        <f>'Business travel, commute, home'!F14</f>
        <v/>
      </c>
      <c r="R1207" s="193">
        <f>'Business travel, commute, home'!G14</f>
        <v>0</v>
      </c>
      <c r="S1207" s="193">
        <f>'Business travel, commute, home'!H14</f>
        <v>0</v>
      </c>
      <c r="T1207" s="193" t="str">
        <f>'Business travel, commute, home'!I14</f>
        <v/>
      </c>
      <c r="U1207" s="193" t="str">
        <f>'Business travel, commute, home'!J14</f>
        <v/>
      </c>
      <c r="V1207" s="193" t="str">
        <f>'Business travel, commute, home'!K14</f>
        <v/>
      </c>
      <c r="W1207" s="193" t="str">
        <f>'Business travel, commute, home'!L14</f>
        <v/>
      </c>
      <c r="X1207" s="193">
        <f>'Business travel, commute, home'!M14</f>
        <v>0</v>
      </c>
      <c r="Y1207" s="193">
        <f>'Business travel, commute, home'!N14</f>
        <v>0</v>
      </c>
      <c r="Z1207" s="193" t="str">
        <f>'Business travel, commute, home'!O14</f>
        <v/>
      </c>
      <c r="AA1207" s="193" t="str">
        <f>'Business travel, commute, home'!P14</f>
        <v/>
      </c>
      <c r="AB1207" s="193" t="str">
        <f>'Business travel, commute, home'!Q14</f>
        <v/>
      </c>
      <c r="AC1207" s="193" t="str">
        <f>'Business travel, commute, home'!R14</f>
        <v/>
      </c>
      <c r="AD1207" s="193" t="str">
        <f>'Business travel, commute, home'!S14</f>
        <v/>
      </c>
      <c r="AE1207" s="193" t="str">
        <f>'Business travel, commute, home'!T14</f>
        <v/>
      </c>
      <c r="AF1207" s="193" t="str">
        <f>'Business travel, commute, home'!U14</f>
        <v/>
      </c>
      <c r="AG1207" s="193"/>
      <c r="AI1207" s="193">
        <f t="shared" si="20"/>
        <v>0</v>
      </c>
      <c r="AJ1207" s="193">
        <f t="shared" si="21"/>
        <v>0</v>
      </c>
    </row>
    <row r="1208" spans="2:36" x14ac:dyDescent="0.35">
      <c r="B1208" s="193" t="e">
        <f>"2024"&amp;MATCH(Totals!D1208,OrgType,0)&amp;"_"&amp;MATCH(Totals!E1208,Organisations,0)&amp;"_"&amp;LEFT(Totals!F1208,1)&amp;"_"&amp;LEFT(G1208,1)&amp;"_"&amp;COUNTIF($G$3:G1208,G1208)</f>
        <v>#N/A</v>
      </c>
      <c r="C1208" s="193">
        <v>2025</v>
      </c>
      <c r="D1208" s="193">
        <f>Introduction!$D$7</f>
        <v>0</v>
      </c>
      <c r="E1208" s="193">
        <f>Introduction!$D$8</f>
        <v>0</v>
      </c>
      <c r="F1208" s="193" t="s">
        <v>107</v>
      </c>
      <c r="G1208" s="193" t="s">
        <v>109</v>
      </c>
      <c r="H1208" s="194"/>
      <c r="I1208" s="194"/>
      <c r="J1208" s="193">
        <f>'Business travel, commute, home'!B15</f>
        <v>0</v>
      </c>
      <c r="K1208" s="194"/>
      <c r="L1208" s="194"/>
      <c r="M1208" s="193">
        <f>'Business travel, commute, home'!C15</f>
        <v>0</v>
      </c>
      <c r="N1208" s="193">
        <f>'Business travel, commute, home'!D15</f>
        <v>0</v>
      </c>
      <c r="O1208" s="194"/>
      <c r="P1208" s="193">
        <f>'Business travel, commute, home'!E15</f>
        <v>0</v>
      </c>
      <c r="Q1208" s="193" t="str">
        <f>'Business travel, commute, home'!F15</f>
        <v/>
      </c>
      <c r="R1208" s="193">
        <f>'Business travel, commute, home'!G15</f>
        <v>0</v>
      </c>
      <c r="S1208" s="193">
        <f>'Business travel, commute, home'!H15</f>
        <v>0</v>
      </c>
      <c r="T1208" s="193" t="str">
        <f>'Business travel, commute, home'!I15</f>
        <v/>
      </c>
      <c r="U1208" s="193" t="str">
        <f>'Business travel, commute, home'!J15</f>
        <v/>
      </c>
      <c r="V1208" s="193" t="str">
        <f>'Business travel, commute, home'!K15</f>
        <v/>
      </c>
      <c r="W1208" s="193" t="str">
        <f>'Business travel, commute, home'!L15</f>
        <v/>
      </c>
      <c r="X1208" s="193">
        <f>'Business travel, commute, home'!M15</f>
        <v>0</v>
      </c>
      <c r="Y1208" s="193">
        <f>'Business travel, commute, home'!N15</f>
        <v>0</v>
      </c>
      <c r="Z1208" s="193" t="str">
        <f>'Business travel, commute, home'!O15</f>
        <v/>
      </c>
      <c r="AA1208" s="193" t="str">
        <f>'Business travel, commute, home'!P15</f>
        <v/>
      </c>
      <c r="AB1208" s="193" t="str">
        <f>'Business travel, commute, home'!Q15</f>
        <v/>
      </c>
      <c r="AC1208" s="193" t="str">
        <f>'Business travel, commute, home'!R15</f>
        <v/>
      </c>
      <c r="AD1208" s="193" t="str">
        <f>'Business travel, commute, home'!S15</f>
        <v/>
      </c>
      <c r="AE1208" s="193" t="str">
        <f>'Business travel, commute, home'!T15</f>
        <v/>
      </c>
      <c r="AF1208" s="193" t="str">
        <f>'Business travel, commute, home'!U15</f>
        <v/>
      </c>
      <c r="AG1208" s="193"/>
      <c r="AI1208" s="193">
        <f t="shared" si="20"/>
        <v>0</v>
      </c>
      <c r="AJ1208" s="193">
        <f t="shared" si="21"/>
        <v>0</v>
      </c>
    </row>
    <row r="1209" spans="2:36" x14ac:dyDescent="0.35">
      <c r="B1209" s="193" t="e">
        <f>"2024"&amp;MATCH(Totals!D1209,OrgType,0)&amp;"_"&amp;MATCH(Totals!E1209,Organisations,0)&amp;"_"&amp;LEFT(Totals!F1209,1)&amp;"_"&amp;LEFT(G1209,1)&amp;"_"&amp;COUNTIF($G$3:G1209,G1209)</f>
        <v>#N/A</v>
      </c>
      <c r="C1209" s="193">
        <v>2025</v>
      </c>
      <c r="D1209" s="193">
        <f>Introduction!$D$7</f>
        <v>0</v>
      </c>
      <c r="E1209" s="193">
        <f>Introduction!$D$8</f>
        <v>0</v>
      </c>
      <c r="F1209" s="193" t="s">
        <v>107</v>
      </c>
      <c r="G1209" s="193" t="s">
        <v>109</v>
      </c>
      <c r="H1209" s="194"/>
      <c r="I1209" s="194"/>
      <c r="J1209" s="193">
        <f>'Business travel, commute, home'!B16</f>
        <v>0</v>
      </c>
      <c r="K1209" s="194"/>
      <c r="L1209" s="194"/>
      <c r="M1209" s="193">
        <f>'Business travel, commute, home'!C16</f>
        <v>0</v>
      </c>
      <c r="N1209" s="193">
        <f>'Business travel, commute, home'!D16</f>
        <v>0</v>
      </c>
      <c r="O1209" s="194"/>
      <c r="P1209" s="193">
        <f>'Business travel, commute, home'!E16</f>
        <v>0</v>
      </c>
      <c r="Q1209" s="193" t="str">
        <f>'Business travel, commute, home'!F16</f>
        <v/>
      </c>
      <c r="R1209" s="193">
        <f>'Business travel, commute, home'!G16</f>
        <v>0</v>
      </c>
      <c r="S1209" s="193">
        <f>'Business travel, commute, home'!H16</f>
        <v>0</v>
      </c>
      <c r="T1209" s="193" t="str">
        <f>'Business travel, commute, home'!I16</f>
        <v/>
      </c>
      <c r="U1209" s="193" t="str">
        <f>'Business travel, commute, home'!J16</f>
        <v/>
      </c>
      <c r="V1209" s="193" t="str">
        <f>'Business travel, commute, home'!K16</f>
        <v/>
      </c>
      <c r="W1209" s="193" t="str">
        <f>'Business travel, commute, home'!L16</f>
        <v/>
      </c>
      <c r="X1209" s="193">
        <f>'Business travel, commute, home'!M16</f>
        <v>0</v>
      </c>
      <c r="Y1209" s="193">
        <f>'Business travel, commute, home'!N16</f>
        <v>0</v>
      </c>
      <c r="Z1209" s="193" t="str">
        <f>'Business travel, commute, home'!O16</f>
        <v/>
      </c>
      <c r="AA1209" s="193" t="str">
        <f>'Business travel, commute, home'!P16</f>
        <v/>
      </c>
      <c r="AB1209" s="193" t="str">
        <f>'Business travel, commute, home'!Q16</f>
        <v/>
      </c>
      <c r="AC1209" s="193" t="str">
        <f>'Business travel, commute, home'!R16</f>
        <v/>
      </c>
      <c r="AD1209" s="193" t="str">
        <f>'Business travel, commute, home'!S16</f>
        <v/>
      </c>
      <c r="AE1209" s="193" t="str">
        <f>'Business travel, commute, home'!T16</f>
        <v/>
      </c>
      <c r="AF1209" s="193" t="str">
        <f>'Business travel, commute, home'!U16</f>
        <v/>
      </c>
      <c r="AG1209" s="193"/>
      <c r="AI1209" s="193">
        <f t="shared" si="20"/>
        <v>0</v>
      </c>
      <c r="AJ1209" s="193">
        <f t="shared" si="21"/>
        <v>0</v>
      </c>
    </row>
    <row r="1210" spans="2:36" x14ac:dyDescent="0.35">
      <c r="B1210" s="193" t="e">
        <f>"2024"&amp;MATCH(Totals!D1210,OrgType,0)&amp;"_"&amp;MATCH(Totals!E1210,Organisations,0)&amp;"_"&amp;LEFT(Totals!F1210,1)&amp;"_"&amp;LEFT(G1210,1)&amp;"_"&amp;COUNTIF($G$3:G1210,G1210)</f>
        <v>#N/A</v>
      </c>
      <c r="C1210" s="193">
        <v>2025</v>
      </c>
      <c r="D1210" s="193">
        <f>Introduction!$D$7</f>
        <v>0</v>
      </c>
      <c r="E1210" s="193">
        <f>Introduction!$D$8</f>
        <v>0</v>
      </c>
      <c r="F1210" s="193" t="s">
        <v>107</v>
      </c>
      <c r="G1210" s="193" t="s">
        <v>109</v>
      </c>
      <c r="H1210" s="194"/>
      <c r="I1210" s="194"/>
      <c r="J1210" s="193">
        <f>'Business travel, commute, home'!B17</f>
        <v>0</v>
      </c>
      <c r="K1210" s="194"/>
      <c r="L1210" s="194"/>
      <c r="M1210" s="193">
        <f>'Business travel, commute, home'!C17</f>
        <v>0</v>
      </c>
      <c r="N1210" s="193">
        <f>'Business travel, commute, home'!D17</f>
        <v>0</v>
      </c>
      <c r="O1210" s="194"/>
      <c r="P1210" s="193">
        <f>'Business travel, commute, home'!E17</f>
        <v>0</v>
      </c>
      <c r="Q1210" s="193" t="str">
        <f>'Business travel, commute, home'!F17</f>
        <v/>
      </c>
      <c r="R1210" s="193">
        <f>'Business travel, commute, home'!G17</f>
        <v>0</v>
      </c>
      <c r="S1210" s="193">
        <f>'Business travel, commute, home'!H17</f>
        <v>0</v>
      </c>
      <c r="T1210" s="193" t="str">
        <f>'Business travel, commute, home'!I17</f>
        <v/>
      </c>
      <c r="U1210" s="193" t="str">
        <f>'Business travel, commute, home'!J17</f>
        <v/>
      </c>
      <c r="V1210" s="193" t="str">
        <f>'Business travel, commute, home'!K17</f>
        <v/>
      </c>
      <c r="W1210" s="193" t="str">
        <f>'Business travel, commute, home'!L17</f>
        <v/>
      </c>
      <c r="X1210" s="193">
        <f>'Business travel, commute, home'!M17</f>
        <v>0</v>
      </c>
      <c r="Y1210" s="193">
        <f>'Business travel, commute, home'!N17</f>
        <v>0</v>
      </c>
      <c r="Z1210" s="193" t="str">
        <f>'Business travel, commute, home'!O17</f>
        <v/>
      </c>
      <c r="AA1210" s="193" t="str">
        <f>'Business travel, commute, home'!P17</f>
        <v/>
      </c>
      <c r="AB1210" s="193" t="str">
        <f>'Business travel, commute, home'!Q17</f>
        <v/>
      </c>
      <c r="AC1210" s="193" t="str">
        <f>'Business travel, commute, home'!R17</f>
        <v/>
      </c>
      <c r="AD1210" s="193" t="str">
        <f>'Business travel, commute, home'!S17</f>
        <v/>
      </c>
      <c r="AE1210" s="193" t="str">
        <f>'Business travel, commute, home'!T17</f>
        <v/>
      </c>
      <c r="AF1210" s="193" t="str">
        <f>'Business travel, commute, home'!U17</f>
        <v/>
      </c>
      <c r="AG1210" s="193"/>
      <c r="AI1210" s="193">
        <f t="shared" si="20"/>
        <v>0</v>
      </c>
      <c r="AJ1210" s="193">
        <f t="shared" si="21"/>
        <v>0</v>
      </c>
    </row>
    <row r="1211" spans="2:36" x14ac:dyDescent="0.35">
      <c r="B1211" s="193" t="e">
        <f>"2024"&amp;MATCH(Totals!D1211,OrgType,0)&amp;"_"&amp;MATCH(Totals!E1211,Organisations,0)&amp;"_"&amp;LEFT(Totals!F1211,1)&amp;"_"&amp;LEFT(G1211,1)&amp;"_"&amp;COUNTIF($G$3:G1211,G1211)</f>
        <v>#N/A</v>
      </c>
      <c r="C1211" s="193">
        <v>2025</v>
      </c>
      <c r="D1211" s="193">
        <f>Introduction!$D$7</f>
        <v>0</v>
      </c>
      <c r="E1211" s="193">
        <f>Introduction!$D$8</f>
        <v>0</v>
      </c>
      <c r="F1211" s="193" t="s">
        <v>107</v>
      </c>
      <c r="G1211" s="193" t="s">
        <v>109</v>
      </c>
      <c r="H1211" s="194"/>
      <c r="I1211" s="194"/>
      <c r="J1211" s="193">
        <f>'Business travel, commute, home'!B18</f>
        <v>0</v>
      </c>
      <c r="K1211" s="194"/>
      <c r="L1211" s="194"/>
      <c r="M1211" s="193">
        <f>'Business travel, commute, home'!C18</f>
        <v>0</v>
      </c>
      <c r="N1211" s="193">
        <f>'Business travel, commute, home'!D18</f>
        <v>0</v>
      </c>
      <c r="O1211" s="194"/>
      <c r="P1211" s="193">
        <f>'Business travel, commute, home'!E18</f>
        <v>0</v>
      </c>
      <c r="Q1211" s="193" t="str">
        <f>'Business travel, commute, home'!F18</f>
        <v/>
      </c>
      <c r="R1211" s="193">
        <f>'Business travel, commute, home'!G18</f>
        <v>0</v>
      </c>
      <c r="S1211" s="193">
        <f>'Business travel, commute, home'!H18</f>
        <v>0</v>
      </c>
      <c r="T1211" s="193" t="str">
        <f>'Business travel, commute, home'!I18</f>
        <v/>
      </c>
      <c r="U1211" s="193" t="str">
        <f>'Business travel, commute, home'!J18</f>
        <v/>
      </c>
      <c r="V1211" s="193" t="str">
        <f>'Business travel, commute, home'!K18</f>
        <v/>
      </c>
      <c r="W1211" s="193" t="str">
        <f>'Business travel, commute, home'!L18</f>
        <v/>
      </c>
      <c r="X1211" s="193">
        <f>'Business travel, commute, home'!M18</f>
        <v>0</v>
      </c>
      <c r="Y1211" s="193">
        <f>'Business travel, commute, home'!N18</f>
        <v>0</v>
      </c>
      <c r="Z1211" s="193" t="str">
        <f>'Business travel, commute, home'!O18</f>
        <v/>
      </c>
      <c r="AA1211" s="193" t="str">
        <f>'Business travel, commute, home'!P18</f>
        <v/>
      </c>
      <c r="AB1211" s="193" t="str">
        <f>'Business travel, commute, home'!Q18</f>
        <v/>
      </c>
      <c r="AC1211" s="193" t="str">
        <f>'Business travel, commute, home'!R18</f>
        <v/>
      </c>
      <c r="AD1211" s="193" t="str">
        <f>'Business travel, commute, home'!S18</f>
        <v/>
      </c>
      <c r="AE1211" s="193" t="str">
        <f>'Business travel, commute, home'!T18</f>
        <v/>
      </c>
      <c r="AF1211" s="193" t="str">
        <f>'Business travel, commute, home'!U18</f>
        <v/>
      </c>
      <c r="AG1211" s="193"/>
      <c r="AI1211" s="193">
        <f t="shared" si="20"/>
        <v>0</v>
      </c>
      <c r="AJ1211" s="193">
        <f t="shared" si="21"/>
        <v>0</v>
      </c>
    </row>
    <row r="1212" spans="2:36" x14ac:dyDescent="0.35">
      <c r="B1212" s="193" t="e">
        <f>"2024"&amp;MATCH(Totals!D1212,OrgType,0)&amp;"_"&amp;MATCH(Totals!E1212,Organisations,0)&amp;"_"&amp;LEFT(Totals!F1212,1)&amp;"_"&amp;LEFT(G1212,1)&amp;"_"&amp;COUNTIF($G$3:G1212,G1212)</f>
        <v>#N/A</v>
      </c>
      <c r="C1212" s="193">
        <v>2025</v>
      </c>
      <c r="D1212" s="193">
        <f>Introduction!$D$7</f>
        <v>0</v>
      </c>
      <c r="E1212" s="193">
        <f>Introduction!$D$8</f>
        <v>0</v>
      </c>
      <c r="F1212" s="193" t="s">
        <v>107</v>
      </c>
      <c r="G1212" s="193" t="s">
        <v>109</v>
      </c>
      <c r="H1212" s="194"/>
      <c r="I1212" s="194"/>
      <c r="J1212" s="193">
        <f>'Business travel, commute, home'!B19</f>
        <v>0</v>
      </c>
      <c r="K1212" s="194"/>
      <c r="L1212" s="194"/>
      <c r="M1212" s="193">
        <f>'Business travel, commute, home'!C19</f>
        <v>0</v>
      </c>
      <c r="N1212" s="193">
        <f>'Business travel, commute, home'!D19</f>
        <v>0</v>
      </c>
      <c r="O1212" s="194"/>
      <c r="P1212" s="193">
        <f>'Business travel, commute, home'!E19</f>
        <v>0</v>
      </c>
      <c r="Q1212" s="193" t="str">
        <f>'Business travel, commute, home'!F19</f>
        <v/>
      </c>
      <c r="R1212" s="193">
        <f>'Business travel, commute, home'!G19</f>
        <v>0</v>
      </c>
      <c r="S1212" s="193">
        <f>'Business travel, commute, home'!H19</f>
        <v>0</v>
      </c>
      <c r="T1212" s="193" t="str">
        <f>'Business travel, commute, home'!I19</f>
        <v/>
      </c>
      <c r="U1212" s="193" t="str">
        <f>'Business travel, commute, home'!J19</f>
        <v/>
      </c>
      <c r="V1212" s="193" t="str">
        <f>'Business travel, commute, home'!K19</f>
        <v/>
      </c>
      <c r="W1212" s="193" t="str">
        <f>'Business travel, commute, home'!L19</f>
        <v/>
      </c>
      <c r="X1212" s="193">
        <f>'Business travel, commute, home'!M19</f>
        <v>0</v>
      </c>
      <c r="Y1212" s="193">
        <f>'Business travel, commute, home'!N19</f>
        <v>0</v>
      </c>
      <c r="Z1212" s="193" t="str">
        <f>'Business travel, commute, home'!O19</f>
        <v/>
      </c>
      <c r="AA1212" s="193" t="str">
        <f>'Business travel, commute, home'!P19</f>
        <v/>
      </c>
      <c r="AB1212" s="193" t="str">
        <f>'Business travel, commute, home'!Q19</f>
        <v/>
      </c>
      <c r="AC1212" s="193" t="str">
        <f>'Business travel, commute, home'!R19</f>
        <v/>
      </c>
      <c r="AD1212" s="193" t="str">
        <f>'Business travel, commute, home'!S19</f>
        <v/>
      </c>
      <c r="AE1212" s="193" t="str">
        <f>'Business travel, commute, home'!T19</f>
        <v/>
      </c>
      <c r="AF1212" s="193" t="str">
        <f>'Business travel, commute, home'!U19</f>
        <v/>
      </c>
      <c r="AG1212" s="193"/>
      <c r="AI1212" s="193">
        <f t="shared" si="20"/>
        <v>0</v>
      </c>
      <c r="AJ1212" s="193">
        <f t="shared" si="21"/>
        <v>0</v>
      </c>
    </row>
    <row r="1213" spans="2:36" x14ac:dyDescent="0.35">
      <c r="B1213" s="193" t="e">
        <f>"2024"&amp;MATCH(Totals!D1213,OrgType,0)&amp;"_"&amp;MATCH(Totals!E1213,Organisations,0)&amp;"_"&amp;LEFT(Totals!F1213,1)&amp;"_"&amp;LEFT(G1213,1)&amp;"_"&amp;COUNTIF($G$3:G1213,G1213)</f>
        <v>#N/A</v>
      </c>
      <c r="C1213" s="193">
        <v>2025</v>
      </c>
      <c r="D1213" s="193">
        <f>Introduction!$D$7</f>
        <v>0</v>
      </c>
      <c r="E1213" s="193">
        <f>Introduction!$D$8</f>
        <v>0</v>
      </c>
      <c r="F1213" s="193" t="s">
        <v>107</v>
      </c>
      <c r="G1213" s="193" t="s">
        <v>109</v>
      </c>
      <c r="H1213" s="194"/>
      <c r="I1213" s="194"/>
      <c r="J1213" s="193">
        <f>'Business travel, commute, home'!B20</f>
        <v>0</v>
      </c>
      <c r="K1213" s="194"/>
      <c r="L1213" s="194"/>
      <c r="M1213" s="193">
        <f>'Business travel, commute, home'!C20</f>
        <v>0</v>
      </c>
      <c r="N1213" s="193">
        <f>'Business travel, commute, home'!D20</f>
        <v>0</v>
      </c>
      <c r="O1213" s="194"/>
      <c r="P1213" s="193">
        <f>'Business travel, commute, home'!E20</f>
        <v>0</v>
      </c>
      <c r="Q1213" s="193" t="str">
        <f>'Business travel, commute, home'!F20</f>
        <v/>
      </c>
      <c r="R1213" s="193">
        <f>'Business travel, commute, home'!G20</f>
        <v>0</v>
      </c>
      <c r="S1213" s="193">
        <f>'Business travel, commute, home'!H20</f>
        <v>0</v>
      </c>
      <c r="T1213" s="193" t="str">
        <f>'Business travel, commute, home'!I20</f>
        <v/>
      </c>
      <c r="U1213" s="193" t="str">
        <f>'Business travel, commute, home'!J20</f>
        <v/>
      </c>
      <c r="V1213" s="193" t="str">
        <f>'Business travel, commute, home'!K20</f>
        <v/>
      </c>
      <c r="W1213" s="193" t="str">
        <f>'Business travel, commute, home'!L20</f>
        <v/>
      </c>
      <c r="X1213" s="193">
        <f>'Business travel, commute, home'!M20</f>
        <v>0</v>
      </c>
      <c r="Y1213" s="193">
        <f>'Business travel, commute, home'!N20</f>
        <v>0</v>
      </c>
      <c r="Z1213" s="193" t="str">
        <f>'Business travel, commute, home'!O20</f>
        <v/>
      </c>
      <c r="AA1213" s="193" t="str">
        <f>'Business travel, commute, home'!P20</f>
        <v/>
      </c>
      <c r="AB1213" s="193" t="str">
        <f>'Business travel, commute, home'!Q20</f>
        <v/>
      </c>
      <c r="AC1213" s="193" t="str">
        <f>'Business travel, commute, home'!R20</f>
        <v/>
      </c>
      <c r="AD1213" s="193" t="str">
        <f>'Business travel, commute, home'!S20</f>
        <v/>
      </c>
      <c r="AE1213" s="193" t="str">
        <f>'Business travel, commute, home'!T20</f>
        <v/>
      </c>
      <c r="AF1213" s="193" t="str">
        <f>'Business travel, commute, home'!U20</f>
        <v/>
      </c>
      <c r="AG1213" s="193"/>
      <c r="AI1213" s="193">
        <f t="shared" si="20"/>
        <v>0</v>
      </c>
      <c r="AJ1213" s="193">
        <f t="shared" si="21"/>
        <v>0</v>
      </c>
    </row>
    <row r="1214" spans="2:36" x14ac:dyDescent="0.35">
      <c r="B1214" s="193" t="e">
        <f>"2024"&amp;MATCH(Totals!D1214,OrgType,0)&amp;"_"&amp;MATCH(Totals!E1214,Organisations,0)&amp;"_"&amp;LEFT(Totals!F1214,1)&amp;"_"&amp;LEFT(G1214,1)&amp;"_"&amp;COUNTIF($G$3:G1214,G1214)</f>
        <v>#N/A</v>
      </c>
      <c r="C1214" s="193">
        <v>2025</v>
      </c>
      <c r="D1214" s="193">
        <f>Introduction!$D$7</f>
        <v>0</v>
      </c>
      <c r="E1214" s="193">
        <f>Introduction!$D$8</f>
        <v>0</v>
      </c>
      <c r="F1214" s="193" t="s">
        <v>107</v>
      </c>
      <c r="G1214" s="193" t="s">
        <v>109</v>
      </c>
      <c r="H1214" s="194"/>
      <c r="I1214" s="194"/>
      <c r="J1214" s="193">
        <f>'Business travel, commute, home'!B21</f>
        <v>0</v>
      </c>
      <c r="K1214" s="194"/>
      <c r="L1214" s="194"/>
      <c r="M1214" s="193">
        <f>'Business travel, commute, home'!C21</f>
        <v>0</v>
      </c>
      <c r="N1214" s="193">
        <f>'Business travel, commute, home'!D21</f>
        <v>0</v>
      </c>
      <c r="O1214" s="194"/>
      <c r="P1214" s="193">
        <f>'Business travel, commute, home'!E21</f>
        <v>0</v>
      </c>
      <c r="Q1214" s="193" t="str">
        <f>'Business travel, commute, home'!F21</f>
        <v/>
      </c>
      <c r="R1214" s="193">
        <f>'Business travel, commute, home'!G21</f>
        <v>0</v>
      </c>
      <c r="S1214" s="193">
        <f>'Business travel, commute, home'!H21</f>
        <v>0</v>
      </c>
      <c r="T1214" s="193" t="str">
        <f>'Business travel, commute, home'!I21</f>
        <v/>
      </c>
      <c r="U1214" s="193" t="str">
        <f>'Business travel, commute, home'!J21</f>
        <v/>
      </c>
      <c r="V1214" s="193" t="str">
        <f>'Business travel, commute, home'!K21</f>
        <v/>
      </c>
      <c r="W1214" s="193" t="str">
        <f>'Business travel, commute, home'!L21</f>
        <v/>
      </c>
      <c r="X1214" s="193">
        <f>'Business travel, commute, home'!M21</f>
        <v>0</v>
      </c>
      <c r="Y1214" s="193">
        <f>'Business travel, commute, home'!N21</f>
        <v>0</v>
      </c>
      <c r="Z1214" s="193" t="str">
        <f>'Business travel, commute, home'!O21</f>
        <v/>
      </c>
      <c r="AA1214" s="193" t="str">
        <f>'Business travel, commute, home'!P21</f>
        <v/>
      </c>
      <c r="AB1214" s="193" t="str">
        <f>'Business travel, commute, home'!Q21</f>
        <v/>
      </c>
      <c r="AC1214" s="193" t="str">
        <f>'Business travel, commute, home'!R21</f>
        <v/>
      </c>
      <c r="AD1214" s="193" t="str">
        <f>'Business travel, commute, home'!S21</f>
        <v/>
      </c>
      <c r="AE1214" s="193" t="str">
        <f>'Business travel, commute, home'!T21</f>
        <v/>
      </c>
      <c r="AF1214" s="193" t="str">
        <f>'Business travel, commute, home'!U21</f>
        <v/>
      </c>
      <c r="AG1214" s="193"/>
      <c r="AI1214" s="193">
        <f t="shared" si="20"/>
        <v>0</v>
      </c>
      <c r="AJ1214" s="193">
        <f t="shared" si="21"/>
        <v>0</v>
      </c>
    </row>
    <row r="1215" spans="2:36" x14ac:dyDescent="0.35">
      <c r="B1215" s="193" t="e">
        <f>"2024"&amp;MATCH(Totals!D1215,OrgType,0)&amp;"_"&amp;MATCH(Totals!E1215,Organisations,0)&amp;"_"&amp;LEFT(Totals!F1215,1)&amp;"_"&amp;LEFT(G1215,1)&amp;"_"&amp;COUNTIF($G$3:G1215,G1215)</f>
        <v>#N/A</v>
      </c>
      <c r="C1215" s="193">
        <v>2025</v>
      </c>
      <c r="D1215" s="193">
        <f>Introduction!$D$7</f>
        <v>0</v>
      </c>
      <c r="E1215" s="193">
        <f>Introduction!$D$8</f>
        <v>0</v>
      </c>
      <c r="F1215" s="193" t="s">
        <v>107</v>
      </c>
      <c r="G1215" s="193" t="s">
        <v>109</v>
      </c>
      <c r="H1215" s="194"/>
      <c r="I1215" s="194"/>
      <c r="J1215" s="193">
        <f>'Business travel, commute, home'!B22</f>
        <v>0</v>
      </c>
      <c r="K1215" s="194"/>
      <c r="L1215" s="194"/>
      <c r="M1215" s="193">
        <f>'Business travel, commute, home'!C22</f>
        <v>0</v>
      </c>
      <c r="N1215" s="193">
        <f>'Business travel, commute, home'!D22</f>
        <v>0</v>
      </c>
      <c r="O1215" s="194"/>
      <c r="P1215" s="193">
        <f>'Business travel, commute, home'!E22</f>
        <v>0</v>
      </c>
      <c r="Q1215" s="193" t="str">
        <f>'Business travel, commute, home'!F22</f>
        <v/>
      </c>
      <c r="R1215" s="193">
        <f>'Business travel, commute, home'!G22</f>
        <v>0</v>
      </c>
      <c r="S1215" s="193">
        <f>'Business travel, commute, home'!H22</f>
        <v>0</v>
      </c>
      <c r="T1215" s="193" t="str">
        <f>'Business travel, commute, home'!I22</f>
        <v/>
      </c>
      <c r="U1215" s="193" t="str">
        <f>'Business travel, commute, home'!J22</f>
        <v/>
      </c>
      <c r="V1215" s="193" t="str">
        <f>'Business travel, commute, home'!K22</f>
        <v/>
      </c>
      <c r="W1215" s="193" t="str">
        <f>'Business travel, commute, home'!L22</f>
        <v/>
      </c>
      <c r="X1215" s="193">
        <f>'Business travel, commute, home'!M22</f>
        <v>0</v>
      </c>
      <c r="Y1215" s="193">
        <f>'Business travel, commute, home'!N22</f>
        <v>0</v>
      </c>
      <c r="Z1215" s="193" t="str">
        <f>'Business travel, commute, home'!O22</f>
        <v/>
      </c>
      <c r="AA1215" s="193" t="str">
        <f>'Business travel, commute, home'!P22</f>
        <v/>
      </c>
      <c r="AB1215" s="193" t="str">
        <f>'Business travel, commute, home'!Q22</f>
        <v/>
      </c>
      <c r="AC1215" s="193" t="str">
        <f>'Business travel, commute, home'!R22</f>
        <v/>
      </c>
      <c r="AD1215" s="193" t="str">
        <f>'Business travel, commute, home'!S22</f>
        <v/>
      </c>
      <c r="AE1215" s="193" t="str">
        <f>'Business travel, commute, home'!T22</f>
        <v/>
      </c>
      <c r="AF1215" s="193" t="str">
        <f>'Business travel, commute, home'!U22</f>
        <v/>
      </c>
      <c r="AG1215" s="193"/>
      <c r="AI1215" s="193">
        <f t="shared" si="20"/>
        <v>0</v>
      </c>
      <c r="AJ1215" s="193">
        <f t="shared" si="21"/>
        <v>0</v>
      </c>
    </row>
    <row r="1216" spans="2:36" x14ac:dyDescent="0.35">
      <c r="B1216" s="193" t="e">
        <f>"2024"&amp;MATCH(Totals!D1216,OrgType,0)&amp;"_"&amp;MATCH(Totals!E1216,Organisations,0)&amp;"_"&amp;LEFT(Totals!F1216,1)&amp;"_"&amp;LEFT(G1216,1)&amp;"_"&amp;COUNTIF($G$3:G1216,G1216)</f>
        <v>#N/A</v>
      </c>
      <c r="C1216" s="193">
        <v>2025</v>
      </c>
      <c r="D1216" s="193">
        <f>Introduction!$D$7</f>
        <v>0</v>
      </c>
      <c r="E1216" s="193">
        <f>Introduction!$D$8</f>
        <v>0</v>
      </c>
      <c r="F1216" s="193" t="s">
        <v>107</v>
      </c>
      <c r="G1216" s="193" t="s">
        <v>109</v>
      </c>
      <c r="H1216" s="194"/>
      <c r="I1216" s="194"/>
      <c r="J1216" s="193">
        <f>'Business travel, commute, home'!B23</f>
        <v>0</v>
      </c>
      <c r="K1216" s="194"/>
      <c r="L1216" s="194"/>
      <c r="M1216" s="193">
        <f>'Business travel, commute, home'!C23</f>
        <v>0</v>
      </c>
      <c r="N1216" s="193">
        <f>'Business travel, commute, home'!D23</f>
        <v>0</v>
      </c>
      <c r="O1216" s="194"/>
      <c r="P1216" s="193">
        <f>'Business travel, commute, home'!E23</f>
        <v>0</v>
      </c>
      <c r="Q1216" s="193" t="str">
        <f>'Business travel, commute, home'!F23</f>
        <v/>
      </c>
      <c r="R1216" s="193">
        <f>'Business travel, commute, home'!G23</f>
        <v>0</v>
      </c>
      <c r="S1216" s="193">
        <f>'Business travel, commute, home'!H23</f>
        <v>0</v>
      </c>
      <c r="T1216" s="193" t="str">
        <f>'Business travel, commute, home'!I23</f>
        <v/>
      </c>
      <c r="U1216" s="193" t="str">
        <f>'Business travel, commute, home'!J23</f>
        <v/>
      </c>
      <c r="V1216" s="193" t="str">
        <f>'Business travel, commute, home'!K23</f>
        <v/>
      </c>
      <c r="W1216" s="193" t="str">
        <f>'Business travel, commute, home'!L23</f>
        <v/>
      </c>
      <c r="X1216" s="193">
        <f>'Business travel, commute, home'!M23</f>
        <v>0</v>
      </c>
      <c r="Y1216" s="193">
        <f>'Business travel, commute, home'!N23</f>
        <v>0</v>
      </c>
      <c r="Z1216" s="193" t="str">
        <f>'Business travel, commute, home'!O23</f>
        <v/>
      </c>
      <c r="AA1216" s="193" t="str">
        <f>'Business travel, commute, home'!P23</f>
        <v/>
      </c>
      <c r="AB1216" s="193" t="str">
        <f>'Business travel, commute, home'!Q23</f>
        <v/>
      </c>
      <c r="AC1216" s="193" t="str">
        <f>'Business travel, commute, home'!R23</f>
        <v/>
      </c>
      <c r="AD1216" s="193" t="str">
        <f>'Business travel, commute, home'!S23</f>
        <v/>
      </c>
      <c r="AE1216" s="193" t="str">
        <f>'Business travel, commute, home'!T23</f>
        <v/>
      </c>
      <c r="AF1216" s="193" t="str">
        <f>'Business travel, commute, home'!U23</f>
        <v/>
      </c>
      <c r="AG1216" s="193"/>
      <c r="AI1216" s="193">
        <f t="shared" si="20"/>
        <v>0</v>
      </c>
      <c r="AJ1216" s="193">
        <f t="shared" si="21"/>
        <v>0</v>
      </c>
    </row>
    <row r="1217" spans="2:36" x14ac:dyDescent="0.35">
      <c r="B1217" s="193" t="e">
        <f>"2024"&amp;MATCH(Totals!D1217,OrgType,0)&amp;"_"&amp;MATCH(Totals!E1217,Organisations,0)&amp;"_"&amp;LEFT(Totals!F1217,1)&amp;"_"&amp;LEFT(G1217,1)&amp;"_"&amp;COUNTIF($G$3:G1217,G1217)</f>
        <v>#N/A</v>
      </c>
      <c r="C1217" s="193">
        <v>2025</v>
      </c>
      <c r="D1217" s="193">
        <f>Introduction!$D$7</f>
        <v>0</v>
      </c>
      <c r="E1217" s="193">
        <f>Introduction!$D$8</f>
        <v>0</v>
      </c>
      <c r="F1217" s="193" t="s">
        <v>107</v>
      </c>
      <c r="G1217" s="193" t="s">
        <v>109</v>
      </c>
      <c r="H1217" s="194"/>
      <c r="I1217" s="194"/>
      <c r="J1217" s="193">
        <f>'Business travel, commute, home'!B24</f>
        <v>0</v>
      </c>
      <c r="K1217" s="194"/>
      <c r="L1217" s="194"/>
      <c r="M1217" s="193">
        <f>'Business travel, commute, home'!C24</f>
        <v>0</v>
      </c>
      <c r="N1217" s="193">
        <f>'Business travel, commute, home'!D24</f>
        <v>0</v>
      </c>
      <c r="O1217" s="194"/>
      <c r="P1217" s="193">
        <f>'Business travel, commute, home'!E24</f>
        <v>0</v>
      </c>
      <c r="Q1217" s="193" t="str">
        <f>'Business travel, commute, home'!F24</f>
        <v/>
      </c>
      <c r="R1217" s="193">
        <f>'Business travel, commute, home'!G24</f>
        <v>0</v>
      </c>
      <c r="S1217" s="193">
        <f>'Business travel, commute, home'!H24</f>
        <v>0</v>
      </c>
      <c r="T1217" s="193" t="str">
        <f>'Business travel, commute, home'!I24</f>
        <v/>
      </c>
      <c r="U1217" s="193" t="str">
        <f>'Business travel, commute, home'!J24</f>
        <v/>
      </c>
      <c r="V1217" s="193" t="str">
        <f>'Business travel, commute, home'!K24</f>
        <v/>
      </c>
      <c r="W1217" s="193" t="str">
        <f>'Business travel, commute, home'!L24</f>
        <v/>
      </c>
      <c r="X1217" s="193">
        <f>'Business travel, commute, home'!M24</f>
        <v>0</v>
      </c>
      <c r="Y1217" s="193">
        <f>'Business travel, commute, home'!N24</f>
        <v>0</v>
      </c>
      <c r="Z1217" s="193" t="str">
        <f>'Business travel, commute, home'!O24</f>
        <v/>
      </c>
      <c r="AA1217" s="193" t="str">
        <f>'Business travel, commute, home'!P24</f>
        <v/>
      </c>
      <c r="AB1217" s="193" t="str">
        <f>'Business travel, commute, home'!Q24</f>
        <v/>
      </c>
      <c r="AC1217" s="193" t="str">
        <f>'Business travel, commute, home'!R24</f>
        <v/>
      </c>
      <c r="AD1217" s="193" t="str">
        <f>'Business travel, commute, home'!S24</f>
        <v/>
      </c>
      <c r="AE1217" s="193" t="str">
        <f>'Business travel, commute, home'!T24</f>
        <v/>
      </c>
      <c r="AF1217" s="193" t="str">
        <f>'Business travel, commute, home'!U24</f>
        <v/>
      </c>
      <c r="AG1217" s="193"/>
      <c r="AI1217" s="193">
        <f t="shared" si="20"/>
        <v>0</v>
      </c>
      <c r="AJ1217" s="193">
        <f t="shared" si="21"/>
        <v>0</v>
      </c>
    </row>
    <row r="1218" spans="2:36" x14ac:dyDescent="0.35">
      <c r="B1218" s="193" t="e">
        <f>"2024"&amp;MATCH(Totals!D1218,OrgType,0)&amp;"_"&amp;MATCH(Totals!E1218,Organisations,0)&amp;"_"&amp;LEFT(Totals!F1218,1)&amp;"_"&amp;LEFT(G1218,1)&amp;"_"&amp;COUNTIF($G$3:G1218,G1218)</f>
        <v>#N/A</v>
      </c>
      <c r="C1218" s="193">
        <v>2025</v>
      </c>
      <c r="D1218" s="193">
        <f>Introduction!$D$7</f>
        <v>0</v>
      </c>
      <c r="E1218" s="193">
        <f>Introduction!$D$8</f>
        <v>0</v>
      </c>
      <c r="F1218" s="193" t="s">
        <v>107</v>
      </c>
      <c r="G1218" s="193" t="s">
        <v>109</v>
      </c>
      <c r="H1218" s="194"/>
      <c r="I1218" s="194"/>
      <c r="J1218" s="193">
        <f>'Business travel, commute, home'!B25</f>
        <v>0</v>
      </c>
      <c r="K1218" s="194"/>
      <c r="L1218" s="194"/>
      <c r="M1218" s="193">
        <f>'Business travel, commute, home'!C25</f>
        <v>0</v>
      </c>
      <c r="N1218" s="193">
        <f>'Business travel, commute, home'!D25</f>
        <v>0</v>
      </c>
      <c r="O1218" s="194"/>
      <c r="P1218" s="193">
        <f>'Business travel, commute, home'!E25</f>
        <v>0</v>
      </c>
      <c r="Q1218" s="193" t="str">
        <f>'Business travel, commute, home'!F25</f>
        <v/>
      </c>
      <c r="R1218" s="193">
        <f>'Business travel, commute, home'!G25</f>
        <v>0</v>
      </c>
      <c r="S1218" s="193">
        <f>'Business travel, commute, home'!H25</f>
        <v>0</v>
      </c>
      <c r="T1218" s="193" t="str">
        <f>'Business travel, commute, home'!I25</f>
        <v/>
      </c>
      <c r="U1218" s="193" t="str">
        <f>'Business travel, commute, home'!J25</f>
        <v/>
      </c>
      <c r="V1218" s="193" t="str">
        <f>'Business travel, commute, home'!K25</f>
        <v/>
      </c>
      <c r="W1218" s="193" t="str">
        <f>'Business travel, commute, home'!L25</f>
        <v/>
      </c>
      <c r="X1218" s="193">
        <f>'Business travel, commute, home'!M25</f>
        <v>0</v>
      </c>
      <c r="Y1218" s="193">
        <f>'Business travel, commute, home'!N25</f>
        <v>0</v>
      </c>
      <c r="Z1218" s="193" t="str">
        <f>'Business travel, commute, home'!O25</f>
        <v/>
      </c>
      <c r="AA1218" s="193" t="str">
        <f>'Business travel, commute, home'!P25</f>
        <v/>
      </c>
      <c r="AB1218" s="193" t="str">
        <f>'Business travel, commute, home'!Q25</f>
        <v/>
      </c>
      <c r="AC1218" s="193" t="str">
        <f>'Business travel, commute, home'!R25</f>
        <v/>
      </c>
      <c r="AD1218" s="193" t="str">
        <f>'Business travel, commute, home'!S25</f>
        <v/>
      </c>
      <c r="AE1218" s="193" t="str">
        <f>'Business travel, commute, home'!T25</f>
        <v/>
      </c>
      <c r="AF1218" s="193" t="str">
        <f>'Business travel, commute, home'!U25</f>
        <v/>
      </c>
      <c r="AG1218" s="193"/>
      <c r="AI1218" s="193">
        <f t="shared" si="20"/>
        <v>0</v>
      </c>
      <c r="AJ1218" s="193">
        <f t="shared" si="21"/>
        <v>0</v>
      </c>
    </row>
    <row r="1219" spans="2:36" x14ac:dyDescent="0.35">
      <c r="B1219" s="193" t="e">
        <f>"2024"&amp;MATCH(Totals!D1219,OrgType,0)&amp;"_"&amp;MATCH(Totals!E1219,Organisations,0)&amp;"_"&amp;LEFT(Totals!F1219,1)&amp;"_"&amp;LEFT(G1219,1)&amp;"_"&amp;COUNTIF($G$3:G1219,G1219)</f>
        <v>#N/A</v>
      </c>
      <c r="C1219" s="193">
        <v>2025</v>
      </c>
      <c r="D1219" s="193">
        <f>Introduction!$D$7</f>
        <v>0</v>
      </c>
      <c r="E1219" s="193">
        <f>Introduction!$D$8</f>
        <v>0</v>
      </c>
      <c r="F1219" s="193" t="s">
        <v>107</v>
      </c>
      <c r="G1219" s="193" t="s">
        <v>109</v>
      </c>
      <c r="H1219" s="194"/>
      <c r="I1219" s="194"/>
      <c r="J1219" s="193">
        <f>'Business travel, commute, home'!B26</f>
        <v>0</v>
      </c>
      <c r="K1219" s="194"/>
      <c r="L1219" s="194"/>
      <c r="M1219" s="193">
        <f>'Business travel, commute, home'!C26</f>
        <v>0</v>
      </c>
      <c r="N1219" s="193">
        <f>'Business travel, commute, home'!D26</f>
        <v>0</v>
      </c>
      <c r="O1219" s="194"/>
      <c r="P1219" s="193">
        <f>'Business travel, commute, home'!E26</f>
        <v>0</v>
      </c>
      <c r="Q1219" s="193" t="str">
        <f>'Business travel, commute, home'!F26</f>
        <v/>
      </c>
      <c r="R1219" s="193">
        <f>'Business travel, commute, home'!G26</f>
        <v>0</v>
      </c>
      <c r="S1219" s="193">
        <f>'Business travel, commute, home'!H26</f>
        <v>0</v>
      </c>
      <c r="T1219" s="193" t="str">
        <f>'Business travel, commute, home'!I26</f>
        <v/>
      </c>
      <c r="U1219" s="193" t="str">
        <f>'Business travel, commute, home'!J26</f>
        <v/>
      </c>
      <c r="V1219" s="193" t="str">
        <f>'Business travel, commute, home'!K26</f>
        <v/>
      </c>
      <c r="W1219" s="193" t="str">
        <f>'Business travel, commute, home'!L26</f>
        <v/>
      </c>
      <c r="X1219" s="193">
        <f>'Business travel, commute, home'!M26</f>
        <v>0</v>
      </c>
      <c r="Y1219" s="193">
        <f>'Business travel, commute, home'!N26</f>
        <v>0</v>
      </c>
      <c r="Z1219" s="193" t="str">
        <f>'Business travel, commute, home'!O26</f>
        <v/>
      </c>
      <c r="AA1219" s="193" t="str">
        <f>'Business travel, commute, home'!P26</f>
        <v/>
      </c>
      <c r="AB1219" s="193" t="str">
        <f>'Business travel, commute, home'!Q26</f>
        <v/>
      </c>
      <c r="AC1219" s="193" t="str">
        <f>'Business travel, commute, home'!R26</f>
        <v/>
      </c>
      <c r="AD1219" s="193" t="str">
        <f>'Business travel, commute, home'!S26</f>
        <v/>
      </c>
      <c r="AE1219" s="193" t="str">
        <f>'Business travel, commute, home'!T26</f>
        <v/>
      </c>
      <c r="AF1219" s="193" t="str">
        <f>'Business travel, commute, home'!U26</f>
        <v/>
      </c>
      <c r="AG1219" s="193"/>
      <c r="AI1219" s="193">
        <f t="shared" si="20"/>
        <v>0</v>
      </c>
      <c r="AJ1219" s="193">
        <f t="shared" si="21"/>
        <v>0</v>
      </c>
    </row>
    <row r="1220" spans="2:36" x14ac:dyDescent="0.35">
      <c r="B1220" s="193" t="e">
        <f>"2024"&amp;MATCH(Totals!D1220,OrgType,0)&amp;"_"&amp;MATCH(Totals!E1220,Organisations,0)&amp;"_"&amp;LEFT(Totals!F1220,1)&amp;"_"&amp;LEFT(G1220,1)&amp;"_"&amp;COUNTIF($G$3:G1220,G1220)</f>
        <v>#N/A</v>
      </c>
      <c r="C1220" s="193">
        <v>2025</v>
      </c>
      <c r="D1220" s="193">
        <f>Introduction!$D$7</f>
        <v>0</v>
      </c>
      <c r="E1220" s="193">
        <f>Introduction!$D$8</f>
        <v>0</v>
      </c>
      <c r="F1220" s="193" t="s">
        <v>107</v>
      </c>
      <c r="G1220" s="193" t="s">
        <v>109</v>
      </c>
      <c r="H1220" s="194"/>
      <c r="I1220" s="194"/>
      <c r="J1220" s="193">
        <f>'Business travel, commute, home'!B27</f>
        <v>0</v>
      </c>
      <c r="K1220" s="194"/>
      <c r="L1220" s="194"/>
      <c r="M1220" s="193">
        <f>'Business travel, commute, home'!C27</f>
        <v>0</v>
      </c>
      <c r="N1220" s="193">
        <f>'Business travel, commute, home'!D27</f>
        <v>0</v>
      </c>
      <c r="O1220" s="194"/>
      <c r="P1220" s="193">
        <f>'Business travel, commute, home'!E27</f>
        <v>0</v>
      </c>
      <c r="Q1220" s="193" t="str">
        <f>'Business travel, commute, home'!F27</f>
        <v/>
      </c>
      <c r="R1220" s="193">
        <f>'Business travel, commute, home'!G27</f>
        <v>0</v>
      </c>
      <c r="S1220" s="193">
        <f>'Business travel, commute, home'!H27</f>
        <v>0</v>
      </c>
      <c r="T1220" s="193" t="str">
        <f>'Business travel, commute, home'!I27</f>
        <v/>
      </c>
      <c r="U1220" s="193" t="str">
        <f>'Business travel, commute, home'!J27</f>
        <v/>
      </c>
      <c r="V1220" s="193" t="str">
        <f>'Business travel, commute, home'!K27</f>
        <v/>
      </c>
      <c r="W1220" s="193" t="str">
        <f>'Business travel, commute, home'!L27</f>
        <v/>
      </c>
      <c r="X1220" s="193">
        <f>'Business travel, commute, home'!M27</f>
        <v>0</v>
      </c>
      <c r="Y1220" s="193">
        <f>'Business travel, commute, home'!N27</f>
        <v>0</v>
      </c>
      <c r="Z1220" s="193" t="str">
        <f>'Business travel, commute, home'!O27</f>
        <v/>
      </c>
      <c r="AA1220" s="193" t="str">
        <f>'Business travel, commute, home'!P27</f>
        <v/>
      </c>
      <c r="AB1220" s="193" t="str">
        <f>'Business travel, commute, home'!Q27</f>
        <v/>
      </c>
      <c r="AC1220" s="193" t="str">
        <f>'Business travel, commute, home'!R27</f>
        <v/>
      </c>
      <c r="AD1220" s="193" t="str">
        <f>'Business travel, commute, home'!S27</f>
        <v/>
      </c>
      <c r="AE1220" s="193" t="str">
        <f>'Business travel, commute, home'!T27</f>
        <v/>
      </c>
      <c r="AF1220" s="193" t="str">
        <f>'Business travel, commute, home'!U27</f>
        <v/>
      </c>
      <c r="AG1220" s="193"/>
      <c r="AI1220" s="193">
        <f t="shared" si="20"/>
        <v>0</v>
      </c>
      <c r="AJ1220" s="193">
        <f t="shared" si="21"/>
        <v>0</v>
      </c>
    </row>
    <row r="1221" spans="2:36" x14ac:dyDescent="0.35">
      <c r="B1221" s="193" t="e">
        <f>"2024"&amp;MATCH(Totals!D1221,OrgType,0)&amp;"_"&amp;MATCH(Totals!E1221,Organisations,0)&amp;"_"&amp;LEFT(Totals!F1221,1)&amp;"_"&amp;LEFT(G1221,1)&amp;"_"&amp;COUNTIF($G$3:G1221,G1221)</f>
        <v>#N/A</v>
      </c>
      <c r="C1221" s="193">
        <v>2025</v>
      </c>
      <c r="D1221" s="193">
        <f>Introduction!$D$7</f>
        <v>0</v>
      </c>
      <c r="E1221" s="193">
        <f>Introduction!$D$8</f>
        <v>0</v>
      </c>
      <c r="F1221" s="193" t="s">
        <v>107</v>
      </c>
      <c r="G1221" s="193" t="s">
        <v>109</v>
      </c>
      <c r="H1221" s="194"/>
      <c r="I1221" s="194"/>
      <c r="J1221" s="193">
        <f>'Business travel, commute, home'!B28</f>
        <v>0</v>
      </c>
      <c r="K1221" s="194"/>
      <c r="L1221" s="194"/>
      <c r="M1221" s="193">
        <f>'Business travel, commute, home'!C28</f>
        <v>0</v>
      </c>
      <c r="N1221" s="193">
        <f>'Business travel, commute, home'!D28</f>
        <v>0</v>
      </c>
      <c r="O1221" s="194"/>
      <c r="P1221" s="193">
        <f>'Business travel, commute, home'!E28</f>
        <v>0</v>
      </c>
      <c r="Q1221" s="193" t="str">
        <f>'Business travel, commute, home'!F28</f>
        <v/>
      </c>
      <c r="R1221" s="193">
        <f>'Business travel, commute, home'!G28</f>
        <v>0</v>
      </c>
      <c r="S1221" s="193">
        <f>'Business travel, commute, home'!H28</f>
        <v>0</v>
      </c>
      <c r="T1221" s="193" t="str">
        <f>'Business travel, commute, home'!I28</f>
        <v/>
      </c>
      <c r="U1221" s="193" t="str">
        <f>'Business travel, commute, home'!J28</f>
        <v/>
      </c>
      <c r="V1221" s="193" t="str">
        <f>'Business travel, commute, home'!K28</f>
        <v/>
      </c>
      <c r="W1221" s="193" t="str">
        <f>'Business travel, commute, home'!L28</f>
        <v/>
      </c>
      <c r="X1221" s="193">
        <f>'Business travel, commute, home'!M28</f>
        <v>0</v>
      </c>
      <c r="Y1221" s="193">
        <f>'Business travel, commute, home'!N28</f>
        <v>0</v>
      </c>
      <c r="Z1221" s="193" t="str">
        <f>'Business travel, commute, home'!O28</f>
        <v/>
      </c>
      <c r="AA1221" s="193" t="str">
        <f>'Business travel, commute, home'!P28</f>
        <v/>
      </c>
      <c r="AB1221" s="193" t="str">
        <f>'Business travel, commute, home'!Q28</f>
        <v/>
      </c>
      <c r="AC1221" s="193" t="str">
        <f>'Business travel, commute, home'!R28</f>
        <v/>
      </c>
      <c r="AD1221" s="193" t="str">
        <f>'Business travel, commute, home'!S28</f>
        <v/>
      </c>
      <c r="AE1221" s="193" t="str">
        <f>'Business travel, commute, home'!T28</f>
        <v/>
      </c>
      <c r="AF1221" s="193" t="str">
        <f>'Business travel, commute, home'!U28</f>
        <v/>
      </c>
      <c r="AG1221" s="193"/>
      <c r="AI1221" s="193">
        <f t="shared" si="20"/>
        <v>0</v>
      </c>
      <c r="AJ1221" s="193">
        <f t="shared" si="21"/>
        <v>0</v>
      </c>
    </row>
    <row r="1222" spans="2:36" x14ac:dyDescent="0.35">
      <c r="B1222" s="193" t="e">
        <f>"2024"&amp;MATCH(Totals!D1222,OrgType,0)&amp;"_"&amp;MATCH(Totals!E1222,Organisations,0)&amp;"_"&amp;LEFT(Totals!F1222,1)&amp;"_"&amp;LEFT(G1222,1)&amp;"_"&amp;COUNTIF($G$3:G1222,G1222)</f>
        <v>#N/A</v>
      </c>
      <c r="C1222" s="193">
        <v>2025</v>
      </c>
      <c r="D1222" s="193">
        <f>Introduction!$D$7</f>
        <v>0</v>
      </c>
      <c r="E1222" s="193">
        <f>Introduction!$D$8</f>
        <v>0</v>
      </c>
      <c r="F1222" s="193" t="s">
        <v>107</v>
      </c>
      <c r="G1222" s="193" t="s">
        <v>109</v>
      </c>
      <c r="H1222" s="194"/>
      <c r="I1222" s="194"/>
      <c r="J1222" s="193">
        <f>'Business travel, commute, home'!B29</f>
        <v>0</v>
      </c>
      <c r="K1222" s="194"/>
      <c r="L1222" s="194"/>
      <c r="M1222" s="193">
        <f>'Business travel, commute, home'!C29</f>
        <v>0</v>
      </c>
      <c r="N1222" s="193">
        <f>'Business travel, commute, home'!D29</f>
        <v>0</v>
      </c>
      <c r="O1222" s="194"/>
      <c r="P1222" s="193">
        <f>'Business travel, commute, home'!E29</f>
        <v>0</v>
      </c>
      <c r="Q1222" s="193" t="str">
        <f>'Business travel, commute, home'!F29</f>
        <v/>
      </c>
      <c r="R1222" s="193">
        <f>'Business travel, commute, home'!G29</f>
        <v>0</v>
      </c>
      <c r="S1222" s="193">
        <f>'Business travel, commute, home'!H29</f>
        <v>0</v>
      </c>
      <c r="T1222" s="193" t="str">
        <f>'Business travel, commute, home'!I29</f>
        <v/>
      </c>
      <c r="U1222" s="193" t="str">
        <f>'Business travel, commute, home'!J29</f>
        <v/>
      </c>
      <c r="V1222" s="193" t="str">
        <f>'Business travel, commute, home'!K29</f>
        <v/>
      </c>
      <c r="W1222" s="193" t="str">
        <f>'Business travel, commute, home'!L29</f>
        <v/>
      </c>
      <c r="X1222" s="193">
        <f>'Business travel, commute, home'!M29</f>
        <v>0</v>
      </c>
      <c r="Y1222" s="193">
        <f>'Business travel, commute, home'!N29</f>
        <v>0</v>
      </c>
      <c r="Z1222" s="193" t="str">
        <f>'Business travel, commute, home'!O29</f>
        <v/>
      </c>
      <c r="AA1222" s="193" t="str">
        <f>'Business travel, commute, home'!P29</f>
        <v/>
      </c>
      <c r="AB1222" s="193" t="str">
        <f>'Business travel, commute, home'!Q29</f>
        <v/>
      </c>
      <c r="AC1222" s="193" t="str">
        <f>'Business travel, commute, home'!R29</f>
        <v/>
      </c>
      <c r="AD1222" s="193" t="str">
        <f>'Business travel, commute, home'!S29</f>
        <v/>
      </c>
      <c r="AE1222" s="193" t="str">
        <f>'Business travel, commute, home'!T29</f>
        <v/>
      </c>
      <c r="AF1222" s="193" t="str">
        <f>'Business travel, commute, home'!U29</f>
        <v/>
      </c>
      <c r="AG1222" s="193"/>
      <c r="AI1222" s="193">
        <f t="shared" si="20"/>
        <v>0</v>
      </c>
      <c r="AJ1222" s="193">
        <f t="shared" si="21"/>
        <v>0</v>
      </c>
    </row>
    <row r="1223" spans="2:36" x14ac:dyDescent="0.35">
      <c r="B1223" s="193" t="e">
        <f>"2024"&amp;MATCH(Totals!D1223,OrgType,0)&amp;"_"&amp;MATCH(Totals!E1223,Organisations,0)&amp;"_"&amp;LEFT(Totals!F1223,1)&amp;"_"&amp;LEFT(G1223,1)&amp;"_"&amp;COUNTIF($G$3:G1223,G1223)</f>
        <v>#N/A</v>
      </c>
      <c r="C1223" s="193">
        <v>2025</v>
      </c>
      <c r="D1223" s="193">
        <f>Introduction!$D$7</f>
        <v>0</v>
      </c>
      <c r="E1223" s="193">
        <f>Introduction!$D$8</f>
        <v>0</v>
      </c>
      <c r="F1223" s="193" t="s">
        <v>107</v>
      </c>
      <c r="G1223" s="193" t="s">
        <v>109</v>
      </c>
      <c r="H1223" s="194"/>
      <c r="I1223" s="194"/>
      <c r="J1223" s="193">
        <f>'Business travel, commute, home'!B30</f>
        <v>0</v>
      </c>
      <c r="K1223" s="194"/>
      <c r="L1223" s="194"/>
      <c r="M1223" s="193">
        <f>'Business travel, commute, home'!C30</f>
        <v>0</v>
      </c>
      <c r="N1223" s="193">
        <f>'Business travel, commute, home'!D30</f>
        <v>0</v>
      </c>
      <c r="O1223" s="194"/>
      <c r="P1223" s="193">
        <f>'Business travel, commute, home'!E30</f>
        <v>0</v>
      </c>
      <c r="Q1223" s="193" t="str">
        <f>'Business travel, commute, home'!F30</f>
        <v/>
      </c>
      <c r="R1223" s="193">
        <f>'Business travel, commute, home'!G30</f>
        <v>0</v>
      </c>
      <c r="S1223" s="193">
        <f>'Business travel, commute, home'!H30</f>
        <v>0</v>
      </c>
      <c r="T1223" s="193" t="str">
        <f>'Business travel, commute, home'!I30</f>
        <v/>
      </c>
      <c r="U1223" s="193" t="str">
        <f>'Business travel, commute, home'!J30</f>
        <v/>
      </c>
      <c r="V1223" s="193" t="str">
        <f>'Business travel, commute, home'!K30</f>
        <v/>
      </c>
      <c r="W1223" s="193" t="str">
        <f>'Business travel, commute, home'!L30</f>
        <v/>
      </c>
      <c r="X1223" s="193">
        <f>'Business travel, commute, home'!M30</f>
        <v>0</v>
      </c>
      <c r="Y1223" s="193">
        <f>'Business travel, commute, home'!N30</f>
        <v>0</v>
      </c>
      <c r="Z1223" s="193" t="str">
        <f>'Business travel, commute, home'!O30</f>
        <v/>
      </c>
      <c r="AA1223" s="193" t="str">
        <f>'Business travel, commute, home'!P30</f>
        <v/>
      </c>
      <c r="AB1223" s="193" t="str">
        <f>'Business travel, commute, home'!Q30</f>
        <v/>
      </c>
      <c r="AC1223" s="193" t="str">
        <f>'Business travel, commute, home'!R30</f>
        <v/>
      </c>
      <c r="AD1223" s="193" t="str">
        <f>'Business travel, commute, home'!S30</f>
        <v/>
      </c>
      <c r="AE1223" s="193" t="str">
        <f>'Business travel, commute, home'!T30</f>
        <v/>
      </c>
      <c r="AF1223" s="193" t="str">
        <f>'Business travel, commute, home'!U30</f>
        <v/>
      </c>
      <c r="AG1223" s="193"/>
      <c r="AI1223" s="193">
        <f t="shared" si="20"/>
        <v>0</v>
      </c>
      <c r="AJ1223" s="193">
        <f t="shared" si="21"/>
        <v>0</v>
      </c>
    </row>
    <row r="1224" spans="2:36" x14ac:dyDescent="0.35">
      <c r="B1224" s="193" t="e">
        <f>"2024"&amp;MATCH(Totals!D1224,OrgType,0)&amp;"_"&amp;MATCH(Totals!E1224,Organisations,0)&amp;"_"&amp;LEFT(Totals!F1224,1)&amp;"_"&amp;LEFT(G1224,1)&amp;"_"&amp;COUNTIF($G$3:G1224,G1224)</f>
        <v>#N/A</v>
      </c>
      <c r="C1224" s="193">
        <v>2025</v>
      </c>
      <c r="D1224" s="193">
        <f>Introduction!$D$7</f>
        <v>0</v>
      </c>
      <c r="E1224" s="193">
        <f>Introduction!$D$8</f>
        <v>0</v>
      </c>
      <c r="F1224" s="193" t="s">
        <v>107</v>
      </c>
      <c r="G1224" s="193" t="s">
        <v>109</v>
      </c>
      <c r="H1224" s="194"/>
      <c r="I1224" s="194"/>
      <c r="J1224" s="193">
        <f>'Business travel, commute, home'!B31</f>
        <v>0</v>
      </c>
      <c r="K1224" s="194"/>
      <c r="L1224" s="194"/>
      <c r="M1224" s="193">
        <f>'Business travel, commute, home'!C31</f>
        <v>0</v>
      </c>
      <c r="N1224" s="193">
        <f>'Business travel, commute, home'!D31</f>
        <v>0</v>
      </c>
      <c r="O1224" s="194"/>
      <c r="P1224" s="193">
        <f>'Business travel, commute, home'!E31</f>
        <v>0</v>
      </c>
      <c r="Q1224" s="193" t="str">
        <f>'Business travel, commute, home'!F31</f>
        <v/>
      </c>
      <c r="R1224" s="193">
        <f>'Business travel, commute, home'!G31</f>
        <v>0</v>
      </c>
      <c r="S1224" s="193">
        <f>'Business travel, commute, home'!H31</f>
        <v>0</v>
      </c>
      <c r="T1224" s="193" t="str">
        <f>'Business travel, commute, home'!I31</f>
        <v/>
      </c>
      <c r="U1224" s="193" t="str">
        <f>'Business travel, commute, home'!J31</f>
        <v/>
      </c>
      <c r="V1224" s="193" t="str">
        <f>'Business travel, commute, home'!K31</f>
        <v/>
      </c>
      <c r="W1224" s="193" t="str">
        <f>'Business travel, commute, home'!L31</f>
        <v/>
      </c>
      <c r="X1224" s="193">
        <f>'Business travel, commute, home'!M31</f>
        <v>0</v>
      </c>
      <c r="Y1224" s="193">
        <f>'Business travel, commute, home'!N31</f>
        <v>0</v>
      </c>
      <c r="Z1224" s="193" t="str">
        <f>'Business travel, commute, home'!O31</f>
        <v/>
      </c>
      <c r="AA1224" s="193" t="str">
        <f>'Business travel, commute, home'!P31</f>
        <v/>
      </c>
      <c r="AB1224" s="193" t="str">
        <f>'Business travel, commute, home'!Q31</f>
        <v/>
      </c>
      <c r="AC1224" s="193" t="str">
        <f>'Business travel, commute, home'!R31</f>
        <v/>
      </c>
      <c r="AD1224" s="193" t="str">
        <f>'Business travel, commute, home'!S31</f>
        <v/>
      </c>
      <c r="AE1224" s="193" t="str">
        <f>'Business travel, commute, home'!T31</f>
        <v/>
      </c>
      <c r="AF1224" s="193" t="str">
        <f>'Business travel, commute, home'!U31</f>
        <v/>
      </c>
      <c r="AG1224" s="193"/>
      <c r="AI1224" s="193">
        <f t="shared" si="20"/>
        <v>0</v>
      </c>
      <c r="AJ1224" s="193">
        <f t="shared" si="21"/>
        <v>0</v>
      </c>
    </row>
    <row r="1225" spans="2:36" x14ac:dyDescent="0.35">
      <c r="B1225" s="193" t="e">
        <f>"2024"&amp;MATCH(Totals!D1225,OrgType,0)&amp;"_"&amp;MATCH(Totals!E1225,Organisations,0)&amp;"_"&amp;LEFT(Totals!F1225,1)&amp;"_"&amp;LEFT(G1225,1)&amp;"_"&amp;COUNTIF($G$3:G1225,G1225)</f>
        <v>#N/A</v>
      </c>
      <c r="C1225" s="193">
        <v>2025</v>
      </c>
      <c r="D1225" s="193">
        <f>Introduction!$D$7</f>
        <v>0</v>
      </c>
      <c r="E1225" s="193">
        <f>Introduction!$D$8</f>
        <v>0</v>
      </c>
      <c r="F1225" s="193" t="s">
        <v>107</v>
      </c>
      <c r="G1225" s="193" t="s">
        <v>109</v>
      </c>
      <c r="H1225" s="194"/>
      <c r="I1225" s="194"/>
      <c r="J1225" s="193">
        <f>'Business travel, commute, home'!B32</f>
        <v>0</v>
      </c>
      <c r="K1225" s="194"/>
      <c r="L1225" s="194"/>
      <c r="M1225" s="193">
        <f>'Business travel, commute, home'!C32</f>
        <v>0</v>
      </c>
      <c r="N1225" s="193">
        <f>'Business travel, commute, home'!D32</f>
        <v>0</v>
      </c>
      <c r="O1225" s="194"/>
      <c r="P1225" s="193">
        <f>'Business travel, commute, home'!E32</f>
        <v>0</v>
      </c>
      <c r="Q1225" s="193" t="str">
        <f>'Business travel, commute, home'!F32</f>
        <v/>
      </c>
      <c r="R1225" s="193">
        <f>'Business travel, commute, home'!G32</f>
        <v>0</v>
      </c>
      <c r="S1225" s="193">
        <f>'Business travel, commute, home'!H32</f>
        <v>0</v>
      </c>
      <c r="T1225" s="193" t="str">
        <f>'Business travel, commute, home'!I32</f>
        <v/>
      </c>
      <c r="U1225" s="193" t="str">
        <f>'Business travel, commute, home'!J32</f>
        <v/>
      </c>
      <c r="V1225" s="193" t="str">
        <f>'Business travel, commute, home'!K32</f>
        <v/>
      </c>
      <c r="W1225" s="193" t="str">
        <f>'Business travel, commute, home'!L32</f>
        <v/>
      </c>
      <c r="X1225" s="193">
        <f>'Business travel, commute, home'!M32</f>
        <v>0</v>
      </c>
      <c r="Y1225" s="193">
        <f>'Business travel, commute, home'!N32</f>
        <v>0</v>
      </c>
      <c r="Z1225" s="193" t="str">
        <f>'Business travel, commute, home'!O32</f>
        <v/>
      </c>
      <c r="AA1225" s="193" t="str">
        <f>'Business travel, commute, home'!P32</f>
        <v/>
      </c>
      <c r="AB1225" s="193" t="str">
        <f>'Business travel, commute, home'!Q32</f>
        <v/>
      </c>
      <c r="AC1225" s="193" t="str">
        <f>'Business travel, commute, home'!R32</f>
        <v/>
      </c>
      <c r="AD1225" s="193" t="str">
        <f>'Business travel, commute, home'!S32</f>
        <v/>
      </c>
      <c r="AE1225" s="193" t="str">
        <f>'Business travel, commute, home'!T32</f>
        <v/>
      </c>
      <c r="AF1225" s="193" t="str">
        <f>'Business travel, commute, home'!U32</f>
        <v/>
      </c>
      <c r="AG1225" s="193"/>
      <c r="AI1225" s="193">
        <f t="shared" si="20"/>
        <v>0</v>
      </c>
      <c r="AJ1225" s="193">
        <f t="shared" si="21"/>
        <v>0</v>
      </c>
    </row>
    <row r="1226" spans="2:36" x14ac:dyDescent="0.35">
      <c r="B1226" s="193" t="e">
        <f>"2024"&amp;MATCH(Totals!D1226,OrgType,0)&amp;"_"&amp;MATCH(Totals!E1226,Organisations,0)&amp;"_"&amp;LEFT(Totals!F1226,1)&amp;"_"&amp;LEFT(G1226,1)&amp;"_"&amp;COUNTIF($G$3:G1226,G1226)</f>
        <v>#N/A</v>
      </c>
      <c r="C1226" s="193">
        <v>2025</v>
      </c>
      <c r="D1226" s="193">
        <f>Introduction!$D$7</f>
        <v>0</v>
      </c>
      <c r="E1226" s="193">
        <f>Introduction!$D$8</f>
        <v>0</v>
      </c>
      <c r="F1226" s="193" t="s">
        <v>107</v>
      </c>
      <c r="G1226" s="193" t="s">
        <v>109</v>
      </c>
      <c r="H1226" s="194"/>
      <c r="I1226" s="194"/>
      <c r="J1226" s="193">
        <f>'Business travel, commute, home'!B33</f>
        <v>0</v>
      </c>
      <c r="K1226" s="194"/>
      <c r="L1226" s="194"/>
      <c r="M1226" s="193">
        <f>'Business travel, commute, home'!C33</f>
        <v>0</v>
      </c>
      <c r="N1226" s="193">
        <f>'Business travel, commute, home'!D33</f>
        <v>0</v>
      </c>
      <c r="O1226" s="194"/>
      <c r="P1226" s="193">
        <f>'Business travel, commute, home'!E33</f>
        <v>0</v>
      </c>
      <c r="Q1226" s="193" t="str">
        <f>'Business travel, commute, home'!F33</f>
        <v/>
      </c>
      <c r="R1226" s="193">
        <f>'Business travel, commute, home'!G33</f>
        <v>0</v>
      </c>
      <c r="S1226" s="193">
        <f>'Business travel, commute, home'!H33</f>
        <v>0</v>
      </c>
      <c r="T1226" s="193" t="str">
        <f>'Business travel, commute, home'!I33</f>
        <v/>
      </c>
      <c r="U1226" s="193" t="str">
        <f>'Business travel, commute, home'!J33</f>
        <v/>
      </c>
      <c r="V1226" s="193" t="str">
        <f>'Business travel, commute, home'!K33</f>
        <v/>
      </c>
      <c r="W1226" s="193" t="str">
        <f>'Business travel, commute, home'!L33</f>
        <v/>
      </c>
      <c r="X1226" s="193">
        <f>'Business travel, commute, home'!M33</f>
        <v>0</v>
      </c>
      <c r="Y1226" s="193">
        <f>'Business travel, commute, home'!N33</f>
        <v>0</v>
      </c>
      <c r="Z1226" s="193" t="str">
        <f>'Business travel, commute, home'!O33</f>
        <v/>
      </c>
      <c r="AA1226" s="193" t="str">
        <f>'Business travel, commute, home'!P33</f>
        <v/>
      </c>
      <c r="AB1226" s="193" t="str">
        <f>'Business travel, commute, home'!Q33</f>
        <v/>
      </c>
      <c r="AC1226" s="193" t="str">
        <f>'Business travel, commute, home'!R33</f>
        <v/>
      </c>
      <c r="AD1226" s="193" t="str">
        <f>'Business travel, commute, home'!S33</f>
        <v/>
      </c>
      <c r="AE1226" s="193" t="str">
        <f>'Business travel, commute, home'!T33</f>
        <v/>
      </c>
      <c r="AF1226" s="193" t="str">
        <f>'Business travel, commute, home'!U33</f>
        <v/>
      </c>
      <c r="AG1226" s="193"/>
      <c r="AI1226" s="193">
        <f t="shared" si="20"/>
        <v>0</v>
      </c>
      <c r="AJ1226" s="193">
        <f t="shared" si="21"/>
        <v>0</v>
      </c>
    </row>
    <row r="1227" spans="2:36" x14ac:dyDescent="0.35">
      <c r="B1227" s="193" t="e">
        <f>"2024"&amp;MATCH(Totals!D1227,OrgType,0)&amp;"_"&amp;MATCH(Totals!E1227,Organisations,0)&amp;"_"&amp;LEFT(Totals!F1227,1)&amp;"_"&amp;LEFT(G1227,1)&amp;"_"&amp;COUNTIF($G$3:G1227,G1227)</f>
        <v>#N/A</v>
      </c>
      <c r="C1227" s="193">
        <v>2025</v>
      </c>
      <c r="D1227" s="193">
        <f>Introduction!$D$7</f>
        <v>0</v>
      </c>
      <c r="E1227" s="193">
        <f>Introduction!$D$8</f>
        <v>0</v>
      </c>
      <c r="F1227" s="193" t="s">
        <v>107</v>
      </c>
      <c r="G1227" s="193" t="s">
        <v>109</v>
      </c>
      <c r="H1227" s="194"/>
      <c r="I1227" s="194"/>
      <c r="J1227" s="193">
        <f>'Business travel, commute, home'!B34</f>
        <v>0</v>
      </c>
      <c r="K1227" s="194"/>
      <c r="L1227" s="194"/>
      <c r="M1227" s="193">
        <f>'Business travel, commute, home'!C34</f>
        <v>0</v>
      </c>
      <c r="N1227" s="193">
        <f>'Business travel, commute, home'!D34</f>
        <v>0</v>
      </c>
      <c r="O1227" s="194"/>
      <c r="P1227" s="193">
        <f>'Business travel, commute, home'!E34</f>
        <v>0</v>
      </c>
      <c r="Q1227" s="193" t="str">
        <f>'Business travel, commute, home'!F34</f>
        <v/>
      </c>
      <c r="R1227" s="193">
        <f>'Business travel, commute, home'!G34</f>
        <v>0</v>
      </c>
      <c r="S1227" s="193">
        <f>'Business travel, commute, home'!H34</f>
        <v>0</v>
      </c>
      <c r="T1227" s="193" t="str">
        <f>'Business travel, commute, home'!I34</f>
        <v/>
      </c>
      <c r="U1227" s="193" t="str">
        <f>'Business travel, commute, home'!J34</f>
        <v/>
      </c>
      <c r="V1227" s="193" t="str">
        <f>'Business travel, commute, home'!K34</f>
        <v/>
      </c>
      <c r="W1227" s="193" t="str">
        <f>'Business travel, commute, home'!L34</f>
        <v/>
      </c>
      <c r="X1227" s="193">
        <f>'Business travel, commute, home'!M34</f>
        <v>0</v>
      </c>
      <c r="Y1227" s="193">
        <f>'Business travel, commute, home'!N34</f>
        <v>0</v>
      </c>
      <c r="Z1227" s="193" t="str">
        <f>'Business travel, commute, home'!O34</f>
        <v/>
      </c>
      <c r="AA1227" s="193" t="str">
        <f>'Business travel, commute, home'!P34</f>
        <v/>
      </c>
      <c r="AB1227" s="193" t="str">
        <f>'Business travel, commute, home'!Q34</f>
        <v/>
      </c>
      <c r="AC1227" s="193" t="str">
        <f>'Business travel, commute, home'!R34</f>
        <v/>
      </c>
      <c r="AD1227" s="193" t="str">
        <f>'Business travel, commute, home'!S34</f>
        <v/>
      </c>
      <c r="AE1227" s="193" t="str">
        <f>'Business travel, commute, home'!T34</f>
        <v/>
      </c>
      <c r="AF1227" s="193" t="str">
        <f>'Business travel, commute, home'!U34</f>
        <v/>
      </c>
      <c r="AG1227" s="193"/>
      <c r="AI1227" s="193">
        <f t="shared" si="20"/>
        <v>0</v>
      </c>
      <c r="AJ1227" s="193">
        <f t="shared" si="21"/>
        <v>0</v>
      </c>
    </row>
    <row r="1228" spans="2:36" x14ac:dyDescent="0.35">
      <c r="B1228" s="193" t="e">
        <f>"2024"&amp;MATCH(Totals!D1228,OrgType,0)&amp;"_"&amp;MATCH(Totals!E1228,Organisations,0)&amp;"_"&amp;LEFT(Totals!F1228,1)&amp;"_"&amp;LEFT(G1228,1)&amp;"_"&amp;COUNTIF($G$3:G1228,G1228)</f>
        <v>#N/A</v>
      </c>
      <c r="C1228" s="193">
        <v>2025</v>
      </c>
      <c r="D1228" s="193">
        <f>Introduction!$D$7</f>
        <v>0</v>
      </c>
      <c r="E1228" s="193">
        <f>Introduction!$D$8</f>
        <v>0</v>
      </c>
      <c r="F1228" s="193" t="s">
        <v>107</v>
      </c>
      <c r="G1228" s="193" t="s">
        <v>110</v>
      </c>
      <c r="H1228" s="194"/>
      <c r="I1228" s="194"/>
      <c r="J1228" s="193">
        <f>'Business travel, commute, home'!B38</f>
        <v>0</v>
      </c>
      <c r="K1228" s="194"/>
      <c r="L1228" s="194"/>
      <c r="M1228" s="193">
        <f>'Business travel, commute, home'!C38</f>
        <v>0</v>
      </c>
      <c r="N1228" s="193">
        <f>'Business travel, commute, home'!D38</f>
        <v>0</v>
      </c>
      <c r="O1228" s="194"/>
      <c r="P1228" s="193">
        <f>'Business travel, commute, home'!E38</f>
        <v>0</v>
      </c>
      <c r="Q1228" s="193" t="str">
        <f>'Business travel, commute, home'!F38</f>
        <v/>
      </c>
      <c r="R1228" s="193">
        <f>'Business travel, commute, home'!G38</f>
        <v>0</v>
      </c>
      <c r="S1228" s="193">
        <f>'Business travel, commute, home'!H38</f>
        <v>0</v>
      </c>
      <c r="T1228" s="193" t="str">
        <f>'Business travel, commute, home'!I38</f>
        <v/>
      </c>
      <c r="U1228" s="193" t="str">
        <f>'Business travel, commute, home'!J38</f>
        <v/>
      </c>
      <c r="V1228" s="193" t="str">
        <f>'Business travel, commute, home'!K38</f>
        <v/>
      </c>
      <c r="W1228" s="193" t="str">
        <f>'Business travel, commute, home'!L38</f>
        <v/>
      </c>
      <c r="X1228" s="193">
        <f>'Business travel, commute, home'!M38</f>
        <v>0</v>
      </c>
      <c r="Y1228" s="193">
        <f>'Business travel, commute, home'!N38</f>
        <v>0</v>
      </c>
      <c r="Z1228" s="193" t="str">
        <f>'Business travel, commute, home'!O38</f>
        <v/>
      </c>
      <c r="AA1228" s="193" t="str">
        <f>'Business travel, commute, home'!P38</f>
        <v/>
      </c>
      <c r="AB1228" s="193" t="str">
        <f>'Business travel, commute, home'!Q38</f>
        <v/>
      </c>
      <c r="AC1228" s="193" t="str">
        <f>'Business travel, commute, home'!R38</f>
        <v/>
      </c>
      <c r="AD1228" s="193" t="str">
        <f>'Business travel, commute, home'!S38</f>
        <v/>
      </c>
      <c r="AE1228" s="193" t="str">
        <f>'Business travel, commute, home'!T38</f>
        <v/>
      </c>
      <c r="AF1228" s="193" t="str">
        <f>'Business travel, commute, home'!U38</f>
        <v/>
      </c>
      <c r="AG1228" s="193"/>
      <c r="AI1228" s="193">
        <f t="shared" si="20"/>
        <v>0</v>
      </c>
      <c r="AJ1228" s="193">
        <f t="shared" si="21"/>
        <v>0</v>
      </c>
    </row>
    <row r="1229" spans="2:36" x14ac:dyDescent="0.35">
      <c r="B1229" s="193" t="e">
        <f>"2024"&amp;MATCH(Totals!D1229,OrgType,0)&amp;"_"&amp;MATCH(Totals!E1229,Organisations,0)&amp;"_"&amp;LEFT(Totals!F1229,1)&amp;"_"&amp;LEFT(G1229,1)&amp;"_"&amp;COUNTIF($G$3:G1229,G1229)</f>
        <v>#N/A</v>
      </c>
      <c r="C1229" s="193">
        <v>2025</v>
      </c>
      <c r="D1229" s="193">
        <f>Introduction!$D$7</f>
        <v>0</v>
      </c>
      <c r="E1229" s="193">
        <f>Introduction!$D$8</f>
        <v>0</v>
      </c>
      <c r="F1229" s="193" t="s">
        <v>107</v>
      </c>
      <c r="G1229" s="193" t="s">
        <v>110</v>
      </c>
      <c r="H1229" s="194"/>
      <c r="I1229" s="194"/>
      <c r="J1229" s="193">
        <f>'Business travel, commute, home'!B39</f>
        <v>0</v>
      </c>
      <c r="K1229" s="194"/>
      <c r="L1229" s="194"/>
      <c r="M1229" s="193">
        <f>'Business travel, commute, home'!C39</f>
        <v>0</v>
      </c>
      <c r="N1229" s="193">
        <f>'Business travel, commute, home'!D39</f>
        <v>0</v>
      </c>
      <c r="O1229" s="194"/>
      <c r="P1229" s="193">
        <f>'Business travel, commute, home'!E39</f>
        <v>0</v>
      </c>
      <c r="Q1229" s="193" t="str">
        <f>'Business travel, commute, home'!F39</f>
        <v/>
      </c>
      <c r="R1229" s="193">
        <f>'Business travel, commute, home'!G39</f>
        <v>0</v>
      </c>
      <c r="S1229" s="193">
        <f>'Business travel, commute, home'!H39</f>
        <v>0</v>
      </c>
      <c r="T1229" s="193" t="str">
        <f>'Business travel, commute, home'!I39</f>
        <v/>
      </c>
      <c r="U1229" s="193" t="str">
        <f>'Business travel, commute, home'!J39</f>
        <v/>
      </c>
      <c r="V1229" s="193" t="str">
        <f>'Business travel, commute, home'!K39</f>
        <v/>
      </c>
      <c r="W1229" s="193" t="str">
        <f>'Business travel, commute, home'!L39</f>
        <v/>
      </c>
      <c r="X1229" s="193">
        <f>'Business travel, commute, home'!M39</f>
        <v>0</v>
      </c>
      <c r="Y1229" s="193">
        <f>'Business travel, commute, home'!N39</f>
        <v>0</v>
      </c>
      <c r="Z1229" s="193" t="str">
        <f>'Business travel, commute, home'!O39</f>
        <v/>
      </c>
      <c r="AA1229" s="193" t="str">
        <f>'Business travel, commute, home'!P39</f>
        <v/>
      </c>
      <c r="AB1229" s="193" t="str">
        <f>'Business travel, commute, home'!Q39</f>
        <v/>
      </c>
      <c r="AC1229" s="193" t="str">
        <f>'Business travel, commute, home'!R39</f>
        <v/>
      </c>
      <c r="AD1229" s="193" t="str">
        <f>'Business travel, commute, home'!S39</f>
        <v/>
      </c>
      <c r="AE1229" s="193" t="str">
        <f>'Business travel, commute, home'!T39</f>
        <v/>
      </c>
      <c r="AF1229" s="193" t="str">
        <f>'Business travel, commute, home'!U39</f>
        <v/>
      </c>
      <c r="AG1229" s="193"/>
      <c r="AI1229" s="193">
        <f t="shared" si="20"/>
        <v>0</v>
      </c>
      <c r="AJ1229" s="193">
        <f t="shared" si="21"/>
        <v>0</v>
      </c>
    </row>
    <row r="1230" spans="2:36" x14ac:dyDescent="0.35">
      <c r="B1230" s="193" t="e">
        <f>"2024"&amp;MATCH(Totals!D1230,OrgType,0)&amp;"_"&amp;MATCH(Totals!E1230,Organisations,0)&amp;"_"&amp;LEFT(Totals!F1230,1)&amp;"_"&amp;LEFT(G1230,1)&amp;"_"&amp;COUNTIF($G$3:G1230,G1230)</f>
        <v>#N/A</v>
      </c>
      <c r="C1230" s="193">
        <v>2025</v>
      </c>
      <c r="D1230" s="193">
        <f>Introduction!$D$7</f>
        <v>0</v>
      </c>
      <c r="E1230" s="193">
        <f>Introduction!$D$8</f>
        <v>0</v>
      </c>
      <c r="F1230" s="193" t="s">
        <v>107</v>
      </c>
      <c r="G1230" s="193" t="s">
        <v>110</v>
      </c>
      <c r="H1230" s="194"/>
      <c r="I1230" s="194"/>
      <c r="J1230" s="193">
        <f>'Business travel, commute, home'!B40</f>
        <v>0</v>
      </c>
      <c r="K1230" s="194"/>
      <c r="L1230" s="194"/>
      <c r="M1230" s="193">
        <f>'Business travel, commute, home'!C40</f>
        <v>0</v>
      </c>
      <c r="N1230" s="193">
        <f>'Business travel, commute, home'!D40</f>
        <v>0</v>
      </c>
      <c r="O1230" s="194"/>
      <c r="P1230" s="193">
        <f>'Business travel, commute, home'!E40</f>
        <v>0</v>
      </c>
      <c r="Q1230" s="193" t="str">
        <f>'Business travel, commute, home'!F40</f>
        <v/>
      </c>
      <c r="R1230" s="193">
        <f>'Business travel, commute, home'!G40</f>
        <v>0</v>
      </c>
      <c r="S1230" s="193">
        <f>'Business travel, commute, home'!H40</f>
        <v>0</v>
      </c>
      <c r="T1230" s="193" t="str">
        <f>'Business travel, commute, home'!I40</f>
        <v/>
      </c>
      <c r="U1230" s="193" t="str">
        <f>'Business travel, commute, home'!J40</f>
        <v/>
      </c>
      <c r="V1230" s="193" t="str">
        <f>'Business travel, commute, home'!K40</f>
        <v/>
      </c>
      <c r="W1230" s="193" t="str">
        <f>'Business travel, commute, home'!L40</f>
        <v/>
      </c>
      <c r="X1230" s="193">
        <f>'Business travel, commute, home'!M40</f>
        <v>0</v>
      </c>
      <c r="Y1230" s="193">
        <f>'Business travel, commute, home'!N40</f>
        <v>0</v>
      </c>
      <c r="Z1230" s="193" t="str">
        <f>'Business travel, commute, home'!O40</f>
        <v/>
      </c>
      <c r="AA1230" s="193" t="str">
        <f>'Business travel, commute, home'!P40</f>
        <v/>
      </c>
      <c r="AB1230" s="193" t="str">
        <f>'Business travel, commute, home'!Q40</f>
        <v/>
      </c>
      <c r="AC1230" s="193" t="str">
        <f>'Business travel, commute, home'!R40</f>
        <v/>
      </c>
      <c r="AD1230" s="193" t="str">
        <f>'Business travel, commute, home'!S40</f>
        <v/>
      </c>
      <c r="AE1230" s="193" t="str">
        <f>'Business travel, commute, home'!T40</f>
        <v/>
      </c>
      <c r="AF1230" s="193" t="str">
        <f>'Business travel, commute, home'!U40</f>
        <v/>
      </c>
      <c r="AG1230" s="193"/>
      <c r="AI1230" s="193">
        <f t="shared" si="20"/>
        <v>0</v>
      </c>
      <c r="AJ1230" s="193">
        <f t="shared" si="21"/>
        <v>0</v>
      </c>
    </row>
    <row r="1231" spans="2:36" x14ac:dyDescent="0.35">
      <c r="B1231" s="193" t="e">
        <f>"2024"&amp;MATCH(Totals!D1231,OrgType,0)&amp;"_"&amp;MATCH(Totals!E1231,Organisations,0)&amp;"_"&amp;LEFT(Totals!F1231,1)&amp;"_"&amp;LEFT(G1231,1)&amp;"_"&amp;COUNTIF($G$3:G1231,G1231)</f>
        <v>#N/A</v>
      </c>
      <c r="C1231" s="193">
        <v>2025</v>
      </c>
      <c r="D1231" s="193">
        <f>Introduction!$D$7</f>
        <v>0</v>
      </c>
      <c r="E1231" s="193">
        <f>Introduction!$D$8</f>
        <v>0</v>
      </c>
      <c r="F1231" s="193" t="s">
        <v>107</v>
      </c>
      <c r="G1231" s="193" t="s">
        <v>110</v>
      </c>
      <c r="H1231" s="194"/>
      <c r="I1231" s="194"/>
      <c r="J1231" s="193">
        <f>'Business travel, commute, home'!B41</f>
        <v>0</v>
      </c>
      <c r="K1231" s="194"/>
      <c r="L1231" s="194"/>
      <c r="M1231" s="193">
        <f>'Business travel, commute, home'!C41</f>
        <v>0</v>
      </c>
      <c r="N1231" s="193">
        <f>'Business travel, commute, home'!D41</f>
        <v>0</v>
      </c>
      <c r="O1231" s="194"/>
      <c r="P1231" s="193">
        <f>'Business travel, commute, home'!E41</f>
        <v>0</v>
      </c>
      <c r="Q1231" s="193" t="str">
        <f>'Business travel, commute, home'!F41</f>
        <v/>
      </c>
      <c r="R1231" s="193">
        <f>'Business travel, commute, home'!G41</f>
        <v>0</v>
      </c>
      <c r="S1231" s="193">
        <f>'Business travel, commute, home'!H41</f>
        <v>0</v>
      </c>
      <c r="T1231" s="193" t="str">
        <f>'Business travel, commute, home'!I41</f>
        <v/>
      </c>
      <c r="U1231" s="193" t="str">
        <f>'Business travel, commute, home'!J41</f>
        <v/>
      </c>
      <c r="V1231" s="193" t="str">
        <f>'Business travel, commute, home'!K41</f>
        <v/>
      </c>
      <c r="W1231" s="193" t="str">
        <f>'Business travel, commute, home'!L41</f>
        <v/>
      </c>
      <c r="X1231" s="193">
        <f>'Business travel, commute, home'!M41</f>
        <v>0</v>
      </c>
      <c r="Y1231" s="193">
        <f>'Business travel, commute, home'!N41</f>
        <v>0</v>
      </c>
      <c r="Z1231" s="193" t="str">
        <f>'Business travel, commute, home'!O41</f>
        <v/>
      </c>
      <c r="AA1231" s="193" t="str">
        <f>'Business travel, commute, home'!P41</f>
        <v/>
      </c>
      <c r="AB1231" s="193" t="str">
        <f>'Business travel, commute, home'!Q41</f>
        <v/>
      </c>
      <c r="AC1231" s="193" t="str">
        <f>'Business travel, commute, home'!R41</f>
        <v/>
      </c>
      <c r="AD1231" s="193" t="str">
        <f>'Business travel, commute, home'!S41</f>
        <v/>
      </c>
      <c r="AE1231" s="193" t="str">
        <f>'Business travel, commute, home'!T41</f>
        <v/>
      </c>
      <c r="AF1231" s="193" t="str">
        <f>'Business travel, commute, home'!U41</f>
        <v/>
      </c>
      <c r="AG1231" s="193"/>
      <c r="AI1231" s="193">
        <f t="shared" si="20"/>
        <v>0</v>
      </c>
      <c r="AJ1231" s="193">
        <f t="shared" si="21"/>
        <v>0</v>
      </c>
    </row>
    <row r="1232" spans="2:36" x14ac:dyDescent="0.35">
      <c r="B1232" s="193" t="e">
        <f>"2024"&amp;MATCH(Totals!D1232,OrgType,0)&amp;"_"&amp;MATCH(Totals!E1232,Organisations,0)&amp;"_"&amp;LEFT(Totals!F1232,1)&amp;"_"&amp;LEFT(G1232,1)&amp;"_"&amp;COUNTIF($G$3:G1232,G1232)</f>
        <v>#N/A</v>
      </c>
      <c r="C1232" s="193">
        <v>2025</v>
      </c>
      <c r="D1232" s="193">
        <f>Introduction!$D$7</f>
        <v>0</v>
      </c>
      <c r="E1232" s="193">
        <f>Introduction!$D$8</f>
        <v>0</v>
      </c>
      <c r="F1232" s="193" t="s">
        <v>107</v>
      </c>
      <c r="G1232" s="193" t="s">
        <v>110</v>
      </c>
      <c r="H1232" s="194"/>
      <c r="I1232" s="194"/>
      <c r="J1232" s="193">
        <f>'Business travel, commute, home'!B42</f>
        <v>0</v>
      </c>
      <c r="K1232" s="194"/>
      <c r="L1232" s="194"/>
      <c r="M1232" s="193">
        <f>'Business travel, commute, home'!C42</f>
        <v>0</v>
      </c>
      <c r="N1232" s="193">
        <f>'Business travel, commute, home'!D42</f>
        <v>0</v>
      </c>
      <c r="O1232" s="194"/>
      <c r="P1232" s="193">
        <f>'Business travel, commute, home'!E42</f>
        <v>0</v>
      </c>
      <c r="Q1232" s="193" t="str">
        <f>'Business travel, commute, home'!F42</f>
        <v/>
      </c>
      <c r="R1232" s="193">
        <f>'Business travel, commute, home'!G42</f>
        <v>0</v>
      </c>
      <c r="S1232" s="193">
        <f>'Business travel, commute, home'!H42</f>
        <v>0</v>
      </c>
      <c r="T1232" s="193" t="str">
        <f>'Business travel, commute, home'!I42</f>
        <v/>
      </c>
      <c r="U1232" s="193" t="str">
        <f>'Business travel, commute, home'!J42</f>
        <v/>
      </c>
      <c r="V1232" s="193" t="str">
        <f>'Business travel, commute, home'!K42</f>
        <v/>
      </c>
      <c r="W1232" s="193" t="str">
        <f>'Business travel, commute, home'!L42</f>
        <v/>
      </c>
      <c r="X1232" s="193">
        <f>'Business travel, commute, home'!M42</f>
        <v>0</v>
      </c>
      <c r="Y1232" s="193">
        <f>'Business travel, commute, home'!N42</f>
        <v>0</v>
      </c>
      <c r="Z1232" s="193" t="str">
        <f>'Business travel, commute, home'!O42</f>
        <v/>
      </c>
      <c r="AA1232" s="193" t="str">
        <f>'Business travel, commute, home'!P42</f>
        <v/>
      </c>
      <c r="AB1232" s="193" t="str">
        <f>'Business travel, commute, home'!Q42</f>
        <v/>
      </c>
      <c r="AC1232" s="193" t="str">
        <f>'Business travel, commute, home'!R42</f>
        <v/>
      </c>
      <c r="AD1232" s="193" t="str">
        <f>'Business travel, commute, home'!S42</f>
        <v/>
      </c>
      <c r="AE1232" s="193" t="str">
        <f>'Business travel, commute, home'!T42</f>
        <v/>
      </c>
      <c r="AF1232" s="193" t="str">
        <f>'Business travel, commute, home'!U42</f>
        <v/>
      </c>
      <c r="AG1232" s="193"/>
      <c r="AI1232" s="193">
        <f t="shared" si="20"/>
        <v>0</v>
      </c>
      <c r="AJ1232" s="193">
        <f t="shared" si="21"/>
        <v>0</v>
      </c>
    </row>
    <row r="1233" spans="2:36" x14ac:dyDescent="0.35">
      <c r="B1233" s="193" t="e">
        <f>"2024"&amp;MATCH(Totals!D1233,OrgType,0)&amp;"_"&amp;MATCH(Totals!E1233,Organisations,0)&amp;"_"&amp;LEFT(Totals!F1233,1)&amp;"_"&amp;LEFT(G1233,1)&amp;"_"&amp;COUNTIF($G$3:G1233,G1233)</f>
        <v>#N/A</v>
      </c>
      <c r="C1233" s="193">
        <v>2025</v>
      </c>
      <c r="D1233" s="193">
        <f>Introduction!$D$7</f>
        <v>0</v>
      </c>
      <c r="E1233" s="193">
        <f>Introduction!$D$8</f>
        <v>0</v>
      </c>
      <c r="F1233" s="193" t="s">
        <v>107</v>
      </c>
      <c r="G1233" s="193" t="s">
        <v>110</v>
      </c>
      <c r="H1233" s="194"/>
      <c r="I1233" s="194"/>
      <c r="J1233" s="193">
        <f>'Business travel, commute, home'!B43</f>
        <v>0</v>
      </c>
      <c r="K1233" s="194"/>
      <c r="L1233" s="194"/>
      <c r="M1233" s="193">
        <f>'Business travel, commute, home'!C43</f>
        <v>0</v>
      </c>
      <c r="N1233" s="193">
        <f>'Business travel, commute, home'!D43</f>
        <v>0</v>
      </c>
      <c r="O1233" s="194"/>
      <c r="P1233" s="193">
        <f>'Business travel, commute, home'!E43</f>
        <v>0</v>
      </c>
      <c r="Q1233" s="193" t="str">
        <f>'Business travel, commute, home'!F43</f>
        <v/>
      </c>
      <c r="R1233" s="193">
        <f>'Business travel, commute, home'!G43</f>
        <v>0</v>
      </c>
      <c r="S1233" s="193">
        <f>'Business travel, commute, home'!H43</f>
        <v>0</v>
      </c>
      <c r="T1233" s="193" t="str">
        <f>'Business travel, commute, home'!I43</f>
        <v/>
      </c>
      <c r="U1233" s="193" t="str">
        <f>'Business travel, commute, home'!J43</f>
        <v/>
      </c>
      <c r="V1233" s="193" t="str">
        <f>'Business travel, commute, home'!K43</f>
        <v/>
      </c>
      <c r="W1233" s="193" t="str">
        <f>'Business travel, commute, home'!L43</f>
        <v/>
      </c>
      <c r="X1233" s="193">
        <f>'Business travel, commute, home'!M43</f>
        <v>0</v>
      </c>
      <c r="Y1233" s="193">
        <f>'Business travel, commute, home'!N43</f>
        <v>0</v>
      </c>
      <c r="Z1233" s="193" t="str">
        <f>'Business travel, commute, home'!O43</f>
        <v/>
      </c>
      <c r="AA1233" s="193" t="str">
        <f>'Business travel, commute, home'!P43</f>
        <v/>
      </c>
      <c r="AB1233" s="193" t="str">
        <f>'Business travel, commute, home'!Q43</f>
        <v/>
      </c>
      <c r="AC1233" s="193" t="str">
        <f>'Business travel, commute, home'!R43</f>
        <v/>
      </c>
      <c r="AD1233" s="193" t="str">
        <f>'Business travel, commute, home'!S43</f>
        <v/>
      </c>
      <c r="AE1233" s="193" t="str">
        <f>'Business travel, commute, home'!T43</f>
        <v/>
      </c>
      <c r="AF1233" s="193" t="str">
        <f>'Business travel, commute, home'!U43</f>
        <v/>
      </c>
      <c r="AG1233" s="193"/>
      <c r="AI1233" s="193">
        <f t="shared" si="20"/>
        <v>0</v>
      </c>
      <c r="AJ1233" s="193">
        <f t="shared" si="21"/>
        <v>0</v>
      </c>
    </row>
    <row r="1234" spans="2:36" x14ac:dyDescent="0.35">
      <c r="B1234" s="193" t="e">
        <f>"2024"&amp;MATCH(Totals!D1234,OrgType,0)&amp;"_"&amp;MATCH(Totals!E1234,Organisations,0)&amp;"_"&amp;LEFT(Totals!F1234,1)&amp;"_"&amp;LEFT(G1234,1)&amp;"_"&amp;COUNTIF($G$3:G1234,G1234)</f>
        <v>#N/A</v>
      </c>
      <c r="C1234" s="193">
        <v>2025</v>
      </c>
      <c r="D1234" s="193">
        <f>Introduction!$D$7</f>
        <v>0</v>
      </c>
      <c r="E1234" s="193">
        <f>Introduction!$D$8</f>
        <v>0</v>
      </c>
      <c r="F1234" s="193" t="s">
        <v>107</v>
      </c>
      <c r="G1234" s="193" t="s">
        <v>110</v>
      </c>
      <c r="H1234" s="194"/>
      <c r="I1234" s="194"/>
      <c r="J1234" s="193">
        <f>'Business travel, commute, home'!B44</f>
        <v>0</v>
      </c>
      <c r="K1234" s="194"/>
      <c r="L1234" s="194"/>
      <c r="M1234" s="193">
        <f>'Business travel, commute, home'!C44</f>
        <v>0</v>
      </c>
      <c r="N1234" s="193">
        <f>'Business travel, commute, home'!D44</f>
        <v>0</v>
      </c>
      <c r="O1234" s="194"/>
      <c r="P1234" s="193">
        <f>'Business travel, commute, home'!E44</f>
        <v>0</v>
      </c>
      <c r="Q1234" s="193" t="str">
        <f>'Business travel, commute, home'!F44</f>
        <v/>
      </c>
      <c r="R1234" s="193">
        <f>'Business travel, commute, home'!G44</f>
        <v>0</v>
      </c>
      <c r="S1234" s="193">
        <f>'Business travel, commute, home'!H44</f>
        <v>0</v>
      </c>
      <c r="T1234" s="193" t="str">
        <f>'Business travel, commute, home'!I44</f>
        <v/>
      </c>
      <c r="U1234" s="193" t="str">
        <f>'Business travel, commute, home'!J44</f>
        <v/>
      </c>
      <c r="V1234" s="193" t="str">
        <f>'Business travel, commute, home'!K44</f>
        <v/>
      </c>
      <c r="W1234" s="193" t="str">
        <f>'Business travel, commute, home'!L44</f>
        <v/>
      </c>
      <c r="X1234" s="193">
        <f>'Business travel, commute, home'!M44</f>
        <v>0</v>
      </c>
      <c r="Y1234" s="193">
        <f>'Business travel, commute, home'!N44</f>
        <v>0</v>
      </c>
      <c r="Z1234" s="193" t="str">
        <f>'Business travel, commute, home'!O44</f>
        <v/>
      </c>
      <c r="AA1234" s="193" t="str">
        <f>'Business travel, commute, home'!P44</f>
        <v/>
      </c>
      <c r="AB1234" s="193" t="str">
        <f>'Business travel, commute, home'!Q44</f>
        <v/>
      </c>
      <c r="AC1234" s="193" t="str">
        <f>'Business travel, commute, home'!R44</f>
        <v/>
      </c>
      <c r="AD1234" s="193" t="str">
        <f>'Business travel, commute, home'!S44</f>
        <v/>
      </c>
      <c r="AE1234" s="193" t="str">
        <f>'Business travel, commute, home'!T44</f>
        <v/>
      </c>
      <c r="AF1234" s="193" t="str">
        <f>'Business travel, commute, home'!U44</f>
        <v/>
      </c>
      <c r="AG1234" s="193"/>
      <c r="AI1234" s="193">
        <f t="shared" si="20"/>
        <v>0</v>
      </c>
      <c r="AJ1234" s="193">
        <f t="shared" si="21"/>
        <v>0</v>
      </c>
    </row>
    <row r="1235" spans="2:36" x14ac:dyDescent="0.35">
      <c r="B1235" s="193" t="e">
        <f>"2024"&amp;MATCH(Totals!D1235,OrgType,0)&amp;"_"&amp;MATCH(Totals!E1235,Organisations,0)&amp;"_"&amp;LEFT(Totals!F1235,1)&amp;"_"&amp;LEFT(G1235,1)&amp;"_"&amp;COUNTIF($G$3:G1235,G1235)</f>
        <v>#N/A</v>
      </c>
      <c r="C1235" s="193">
        <v>2025</v>
      </c>
      <c r="D1235" s="193">
        <f>Introduction!$D$7</f>
        <v>0</v>
      </c>
      <c r="E1235" s="193">
        <f>Introduction!$D$8</f>
        <v>0</v>
      </c>
      <c r="F1235" s="193" t="s">
        <v>107</v>
      </c>
      <c r="G1235" s="193" t="s">
        <v>110</v>
      </c>
      <c r="H1235" s="194"/>
      <c r="I1235" s="194"/>
      <c r="J1235" s="193">
        <f>'Business travel, commute, home'!B45</f>
        <v>0</v>
      </c>
      <c r="K1235" s="194"/>
      <c r="L1235" s="194"/>
      <c r="M1235" s="193">
        <f>'Business travel, commute, home'!C45</f>
        <v>0</v>
      </c>
      <c r="N1235" s="193">
        <f>'Business travel, commute, home'!D45</f>
        <v>0</v>
      </c>
      <c r="O1235" s="194"/>
      <c r="P1235" s="193">
        <f>'Business travel, commute, home'!E45</f>
        <v>0</v>
      </c>
      <c r="Q1235" s="193" t="str">
        <f>'Business travel, commute, home'!F45</f>
        <v/>
      </c>
      <c r="R1235" s="193">
        <f>'Business travel, commute, home'!G45</f>
        <v>0</v>
      </c>
      <c r="S1235" s="193">
        <f>'Business travel, commute, home'!H45</f>
        <v>0</v>
      </c>
      <c r="T1235" s="193" t="str">
        <f>'Business travel, commute, home'!I45</f>
        <v/>
      </c>
      <c r="U1235" s="193" t="str">
        <f>'Business travel, commute, home'!J45</f>
        <v/>
      </c>
      <c r="V1235" s="193" t="str">
        <f>'Business travel, commute, home'!K45</f>
        <v/>
      </c>
      <c r="W1235" s="193" t="str">
        <f>'Business travel, commute, home'!L45</f>
        <v/>
      </c>
      <c r="X1235" s="193">
        <f>'Business travel, commute, home'!M45</f>
        <v>0</v>
      </c>
      <c r="Y1235" s="193">
        <f>'Business travel, commute, home'!N45</f>
        <v>0</v>
      </c>
      <c r="Z1235" s="193" t="str">
        <f>'Business travel, commute, home'!O45</f>
        <v/>
      </c>
      <c r="AA1235" s="193" t="str">
        <f>'Business travel, commute, home'!P45</f>
        <v/>
      </c>
      <c r="AB1235" s="193" t="str">
        <f>'Business travel, commute, home'!Q45</f>
        <v/>
      </c>
      <c r="AC1235" s="193" t="str">
        <f>'Business travel, commute, home'!R45</f>
        <v/>
      </c>
      <c r="AD1235" s="193" t="str">
        <f>'Business travel, commute, home'!S45</f>
        <v/>
      </c>
      <c r="AE1235" s="193" t="str">
        <f>'Business travel, commute, home'!T45</f>
        <v/>
      </c>
      <c r="AF1235" s="193" t="str">
        <f>'Business travel, commute, home'!U45</f>
        <v/>
      </c>
      <c r="AG1235" s="193"/>
      <c r="AI1235" s="193">
        <f t="shared" si="20"/>
        <v>0</v>
      </c>
      <c r="AJ1235" s="193">
        <f t="shared" si="21"/>
        <v>0</v>
      </c>
    </row>
    <row r="1236" spans="2:36" x14ac:dyDescent="0.35">
      <c r="B1236" s="193" t="e">
        <f>"2024"&amp;MATCH(Totals!D1236,OrgType,0)&amp;"_"&amp;MATCH(Totals!E1236,Organisations,0)&amp;"_"&amp;LEFT(Totals!F1236,1)&amp;"_"&amp;LEFT(G1236,1)&amp;"_"&amp;COUNTIF($G$3:G1236,G1236)</f>
        <v>#N/A</v>
      </c>
      <c r="C1236" s="193">
        <v>2025</v>
      </c>
      <c r="D1236" s="193">
        <f>Introduction!$D$7</f>
        <v>0</v>
      </c>
      <c r="E1236" s="193">
        <f>Introduction!$D$8</f>
        <v>0</v>
      </c>
      <c r="F1236" s="193" t="s">
        <v>107</v>
      </c>
      <c r="G1236" s="193" t="s">
        <v>110</v>
      </c>
      <c r="H1236" s="194"/>
      <c r="I1236" s="194"/>
      <c r="J1236" s="193">
        <f>'Business travel, commute, home'!B46</f>
        <v>0</v>
      </c>
      <c r="K1236" s="194"/>
      <c r="L1236" s="194"/>
      <c r="M1236" s="193">
        <f>'Business travel, commute, home'!C46</f>
        <v>0</v>
      </c>
      <c r="N1236" s="193">
        <f>'Business travel, commute, home'!D46</f>
        <v>0</v>
      </c>
      <c r="O1236" s="194"/>
      <c r="P1236" s="193">
        <f>'Business travel, commute, home'!E46</f>
        <v>0</v>
      </c>
      <c r="Q1236" s="193" t="str">
        <f>'Business travel, commute, home'!F46</f>
        <v/>
      </c>
      <c r="R1236" s="193">
        <f>'Business travel, commute, home'!G46</f>
        <v>0</v>
      </c>
      <c r="S1236" s="193">
        <f>'Business travel, commute, home'!H46</f>
        <v>0</v>
      </c>
      <c r="T1236" s="193" t="str">
        <f>'Business travel, commute, home'!I46</f>
        <v/>
      </c>
      <c r="U1236" s="193" t="str">
        <f>'Business travel, commute, home'!J46</f>
        <v/>
      </c>
      <c r="V1236" s="193" t="str">
        <f>'Business travel, commute, home'!K46</f>
        <v/>
      </c>
      <c r="W1236" s="193" t="str">
        <f>'Business travel, commute, home'!L46</f>
        <v/>
      </c>
      <c r="X1236" s="193">
        <f>'Business travel, commute, home'!M46</f>
        <v>0</v>
      </c>
      <c r="Y1236" s="193">
        <f>'Business travel, commute, home'!N46</f>
        <v>0</v>
      </c>
      <c r="Z1236" s="193" t="str">
        <f>'Business travel, commute, home'!O46</f>
        <v/>
      </c>
      <c r="AA1236" s="193" t="str">
        <f>'Business travel, commute, home'!P46</f>
        <v/>
      </c>
      <c r="AB1236" s="193" t="str">
        <f>'Business travel, commute, home'!Q46</f>
        <v/>
      </c>
      <c r="AC1236" s="193" t="str">
        <f>'Business travel, commute, home'!R46</f>
        <v/>
      </c>
      <c r="AD1236" s="193" t="str">
        <f>'Business travel, commute, home'!S46</f>
        <v/>
      </c>
      <c r="AE1236" s="193" t="str">
        <f>'Business travel, commute, home'!T46</f>
        <v/>
      </c>
      <c r="AF1236" s="193" t="str">
        <f>'Business travel, commute, home'!U46</f>
        <v/>
      </c>
      <c r="AG1236" s="193"/>
      <c r="AI1236" s="193">
        <f t="shared" si="20"/>
        <v>0</v>
      </c>
      <c r="AJ1236" s="193">
        <f t="shared" si="21"/>
        <v>0</v>
      </c>
    </row>
    <row r="1237" spans="2:36" x14ac:dyDescent="0.35">
      <c r="B1237" s="193" t="e">
        <f>"2024"&amp;MATCH(Totals!D1237,OrgType,0)&amp;"_"&amp;MATCH(Totals!E1237,Organisations,0)&amp;"_"&amp;LEFT(Totals!F1237,1)&amp;"_"&amp;LEFT(G1237,1)&amp;"_"&amp;COUNTIF($G$3:G1237,G1237)</f>
        <v>#N/A</v>
      </c>
      <c r="C1237" s="193">
        <v>2025</v>
      </c>
      <c r="D1237" s="193">
        <f>Introduction!$D$7</f>
        <v>0</v>
      </c>
      <c r="E1237" s="193">
        <f>Introduction!$D$8</f>
        <v>0</v>
      </c>
      <c r="F1237" s="193" t="s">
        <v>107</v>
      </c>
      <c r="G1237" s="193" t="s">
        <v>110</v>
      </c>
      <c r="H1237" s="194"/>
      <c r="I1237" s="194"/>
      <c r="J1237" s="193">
        <f>'Business travel, commute, home'!B47</f>
        <v>0</v>
      </c>
      <c r="K1237" s="194"/>
      <c r="L1237" s="194"/>
      <c r="M1237" s="193">
        <f>'Business travel, commute, home'!C47</f>
        <v>0</v>
      </c>
      <c r="N1237" s="193">
        <f>'Business travel, commute, home'!D47</f>
        <v>0</v>
      </c>
      <c r="O1237" s="194"/>
      <c r="P1237" s="193">
        <f>'Business travel, commute, home'!E47</f>
        <v>0</v>
      </c>
      <c r="Q1237" s="193" t="str">
        <f>'Business travel, commute, home'!F47</f>
        <v/>
      </c>
      <c r="R1237" s="193">
        <f>'Business travel, commute, home'!G47</f>
        <v>0</v>
      </c>
      <c r="S1237" s="193">
        <f>'Business travel, commute, home'!H47</f>
        <v>0</v>
      </c>
      <c r="T1237" s="193" t="str">
        <f>'Business travel, commute, home'!I47</f>
        <v/>
      </c>
      <c r="U1237" s="193" t="str">
        <f>'Business travel, commute, home'!J47</f>
        <v/>
      </c>
      <c r="V1237" s="193" t="str">
        <f>'Business travel, commute, home'!K47</f>
        <v/>
      </c>
      <c r="W1237" s="193" t="str">
        <f>'Business travel, commute, home'!L47</f>
        <v/>
      </c>
      <c r="X1237" s="193">
        <f>'Business travel, commute, home'!M47</f>
        <v>0</v>
      </c>
      <c r="Y1237" s="193">
        <f>'Business travel, commute, home'!N47</f>
        <v>0</v>
      </c>
      <c r="Z1237" s="193" t="str">
        <f>'Business travel, commute, home'!O47</f>
        <v/>
      </c>
      <c r="AA1237" s="193" t="str">
        <f>'Business travel, commute, home'!P47</f>
        <v/>
      </c>
      <c r="AB1237" s="193" t="str">
        <f>'Business travel, commute, home'!Q47</f>
        <v/>
      </c>
      <c r="AC1237" s="193" t="str">
        <f>'Business travel, commute, home'!R47</f>
        <v/>
      </c>
      <c r="AD1237" s="193" t="str">
        <f>'Business travel, commute, home'!S47</f>
        <v/>
      </c>
      <c r="AE1237" s="193" t="str">
        <f>'Business travel, commute, home'!T47</f>
        <v/>
      </c>
      <c r="AF1237" s="193" t="str">
        <f>'Business travel, commute, home'!U47</f>
        <v/>
      </c>
      <c r="AG1237" s="193"/>
      <c r="AI1237" s="193">
        <f t="shared" si="20"/>
        <v>0</v>
      </c>
      <c r="AJ1237" s="193">
        <f t="shared" si="21"/>
        <v>0</v>
      </c>
    </row>
    <row r="1238" spans="2:36" x14ac:dyDescent="0.35">
      <c r="B1238" s="193" t="e">
        <f>"2024"&amp;MATCH(Totals!D1238,OrgType,0)&amp;"_"&amp;MATCH(Totals!E1238,Organisations,0)&amp;"_"&amp;LEFT(Totals!F1238,1)&amp;"_"&amp;LEFT(G1238,1)&amp;"_"&amp;COUNTIF($G$3:G1238,G1238)</f>
        <v>#N/A</v>
      </c>
      <c r="C1238" s="193">
        <v>2025</v>
      </c>
      <c r="D1238" s="193">
        <f>Introduction!$D$7</f>
        <v>0</v>
      </c>
      <c r="E1238" s="193">
        <f>Introduction!$D$8</f>
        <v>0</v>
      </c>
      <c r="F1238" s="193" t="s">
        <v>107</v>
      </c>
      <c r="G1238" s="193" t="s">
        <v>110</v>
      </c>
      <c r="H1238" s="194"/>
      <c r="I1238" s="194"/>
      <c r="J1238" s="193">
        <f>'Business travel, commute, home'!B48</f>
        <v>0</v>
      </c>
      <c r="K1238" s="194"/>
      <c r="L1238" s="194"/>
      <c r="M1238" s="193">
        <f>'Business travel, commute, home'!C48</f>
        <v>0</v>
      </c>
      <c r="N1238" s="193">
        <f>'Business travel, commute, home'!D48</f>
        <v>0</v>
      </c>
      <c r="O1238" s="194"/>
      <c r="P1238" s="193">
        <f>'Business travel, commute, home'!E48</f>
        <v>0</v>
      </c>
      <c r="Q1238" s="193" t="str">
        <f>'Business travel, commute, home'!F48</f>
        <v/>
      </c>
      <c r="R1238" s="193">
        <f>'Business travel, commute, home'!G48</f>
        <v>0</v>
      </c>
      <c r="S1238" s="193">
        <f>'Business travel, commute, home'!H48</f>
        <v>0</v>
      </c>
      <c r="T1238" s="193" t="str">
        <f>'Business travel, commute, home'!I48</f>
        <v/>
      </c>
      <c r="U1238" s="193" t="str">
        <f>'Business travel, commute, home'!J48</f>
        <v/>
      </c>
      <c r="V1238" s="193" t="str">
        <f>'Business travel, commute, home'!K48</f>
        <v/>
      </c>
      <c r="W1238" s="193" t="str">
        <f>'Business travel, commute, home'!L48</f>
        <v/>
      </c>
      <c r="X1238" s="193">
        <f>'Business travel, commute, home'!M48</f>
        <v>0</v>
      </c>
      <c r="Y1238" s="193">
        <f>'Business travel, commute, home'!N48</f>
        <v>0</v>
      </c>
      <c r="Z1238" s="193" t="str">
        <f>'Business travel, commute, home'!O48</f>
        <v/>
      </c>
      <c r="AA1238" s="193" t="str">
        <f>'Business travel, commute, home'!P48</f>
        <v/>
      </c>
      <c r="AB1238" s="193" t="str">
        <f>'Business travel, commute, home'!Q48</f>
        <v/>
      </c>
      <c r="AC1238" s="193" t="str">
        <f>'Business travel, commute, home'!R48</f>
        <v/>
      </c>
      <c r="AD1238" s="193" t="str">
        <f>'Business travel, commute, home'!S48</f>
        <v/>
      </c>
      <c r="AE1238" s="193" t="str">
        <f>'Business travel, commute, home'!T48</f>
        <v/>
      </c>
      <c r="AF1238" s="193" t="str">
        <f>'Business travel, commute, home'!U48</f>
        <v/>
      </c>
      <c r="AG1238" s="193"/>
      <c r="AI1238" s="193">
        <f t="shared" ref="AI1238:AI1301" si="26">IF(AND(V1238="",R1238&lt;&gt;0),1,0)</f>
        <v>0</v>
      </c>
      <c r="AJ1238" s="193">
        <f t="shared" ref="AJ1238:AJ1301" si="27">IF(AND(W1238="",R1238&lt;&gt;0),1,0)</f>
        <v>0</v>
      </c>
    </row>
    <row r="1239" spans="2:36" x14ac:dyDescent="0.35">
      <c r="B1239" s="193" t="e">
        <f>"2024"&amp;MATCH(Totals!D1239,OrgType,0)&amp;"_"&amp;MATCH(Totals!E1239,Organisations,0)&amp;"_"&amp;LEFT(Totals!F1239,1)&amp;"_"&amp;LEFT(G1239,1)&amp;"_"&amp;COUNTIF($G$3:G1239,G1239)</f>
        <v>#N/A</v>
      </c>
      <c r="C1239" s="193">
        <v>2025</v>
      </c>
      <c r="D1239" s="193">
        <f>Introduction!$D$7</f>
        <v>0</v>
      </c>
      <c r="E1239" s="193">
        <f>Introduction!$D$8</f>
        <v>0</v>
      </c>
      <c r="F1239" s="193" t="s">
        <v>107</v>
      </c>
      <c r="G1239" s="193" t="s">
        <v>110</v>
      </c>
      <c r="H1239" s="194"/>
      <c r="I1239" s="194"/>
      <c r="J1239" s="193">
        <f>'Business travel, commute, home'!B49</f>
        <v>0</v>
      </c>
      <c r="K1239" s="194"/>
      <c r="L1239" s="194"/>
      <c r="M1239" s="193">
        <f>'Business travel, commute, home'!C49</f>
        <v>0</v>
      </c>
      <c r="N1239" s="193">
        <f>'Business travel, commute, home'!D49</f>
        <v>0</v>
      </c>
      <c r="O1239" s="194"/>
      <c r="P1239" s="193">
        <f>'Business travel, commute, home'!E49</f>
        <v>0</v>
      </c>
      <c r="Q1239" s="193" t="str">
        <f>'Business travel, commute, home'!F49</f>
        <v/>
      </c>
      <c r="R1239" s="193">
        <f>'Business travel, commute, home'!G49</f>
        <v>0</v>
      </c>
      <c r="S1239" s="193">
        <f>'Business travel, commute, home'!H49</f>
        <v>0</v>
      </c>
      <c r="T1239" s="193" t="str">
        <f>'Business travel, commute, home'!I49</f>
        <v/>
      </c>
      <c r="U1239" s="193" t="str">
        <f>'Business travel, commute, home'!J49</f>
        <v/>
      </c>
      <c r="V1239" s="193" t="str">
        <f>'Business travel, commute, home'!K49</f>
        <v/>
      </c>
      <c r="W1239" s="193" t="str">
        <f>'Business travel, commute, home'!L49</f>
        <v/>
      </c>
      <c r="X1239" s="193">
        <f>'Business travel, commute, home'!M49</f>
        <v>0</v>
      </c>
      <c r="Y1239" s="193">
        <f>'Business travel, commute, home'!N49</f>
        <v>0</v>
      </c>
      <c r="Z1239" s="193" t="str">
        <f>'Business travel, commute, home'!O49</f>
        <v/>
      </c>
      <c r="AA1239" s="193" t="str">
        <f>'Business travel, commute, home'!P49</f>
        <v/>
      </c>
      <c r="AB1239" s="193" t="str">
        <f>'Business travel, commute, home'!Q49</f>
        <v/>
      </c>
      <c r="AC1239" s="193" t="str">
        <f>'Business travel, commute, home'!R49</f>
        <v/>
      </c>
      <c r="AD1239" s="193" t="str">
        <f>'Business travel, commute, home'!S49</f>
        <v/>
      </c>
      <c r="AE1239" s="193" t="str">
        <f>'Business travel, commute, home'!T49</f>
        <v/>
      </c>
      <c r="AF1239" s="193" t="str">
        <f>'Business travel, commute, home'!U49</f>
        <v/>
      </c>
      <c r="AG1239" s="193"/>
      <c r="AI1239" s="193">
        <f t="shared" si="26"/>
        <v>0</v>
      </c>
      <c r="AJ1239" s="193">
        <f t="shared" si="27"/>
        <v>0</v>
      </c>
    </row>
    <row r="1240" spans="2:36" x14ac:dyDescent="0.35">
      <c r="B1240" s="193" t="e">
        <f>"2024"&amp;MATCH(Totals!D1240,OrgType,0)&amp;"_"&amp;MATCH(Totals!E1240,Organisations,0)&amp;"_"&amp;LEFT(Totals!F1240,1)&amp;"_"&amp;LEFT(G1240,1)&amp;"_"&amp;COUNTIF($G$3:G1240,G1240)</f>
        <v>#N/A</v>
      </c>
      <c r="C1240" s="193">
        <v>2025</v>
      </c>
      <c r="D1240" s="193">
        <f>Introduction!$D$7</f>
        <v>0</v>
      </c>
      <c r="E1240" s="193">
        <f>Introduction!$D$8</f>
        <v>0</v>
      </c>
      <c r="F1240" s="193" t="s">
        <v>107</v>
      </c>
      <c r="G1240" s="193" t="s">
        <v>110</v>
      </c>
      <c r="H1240" s="194"/>
      <c r="I1240" s="194"/>
      <c r="J1240" s="193">
        <f>'Business travel, commute, home'!B50</f>
        <v>0</v>
      </c>
      <c r="K1240" s="194"/>
      <c r="L1240" s="194"/>
      <c r="M1240" s="193">
        <f>'Business travel, commute, home'!C50</f>
        <v>0</v>
      </c>
      <c r="N1240" s="193">
        <f>'Business travel, commute, home'!D50</f>
        <v>0</v>
      </c>
      <c r="O1240" s="194"/>
      <c r="P1240" s="193">
        <f>'Business travel, commute, home'!E50</f>
        <v>0</v>
      </c>
      <c r="Q1240" s="193" t="str">
        <f>'Business travel, commute, home'!F50</f>
        <v/>
      </c>
      <c r="R1240" s="193">
        <f>'Business travel, commute, home'!G50</f>
        <v>0</v>
      </c>
      <c r="S1240" s="193">
        <f>'Business travel, commute, home'!H50</f>
        <v>0</v>
      </c>
      <c r="T1240" s="193" t="str">
        <f>'Business travel, commute, home'!I50</f>
        <v/>
      </c>
      <c r="U1240" s="193" t="str">
        <f>'Business travel, commute, home'!J50</f>
        <v/>
      </c>
      <c r="V1240" s="193" t="str">
        <f>'Business travel, commute, home'!K50</f>
        <v/>
      </c>
      <c r="W1240" s="193" t="str">
        <f>'Business travel, commute, home'!L50</f>
        <v/>
      </c>
      <c r="X1240" s="193">
        <f>'Business travel, commute, home'!M50</f>
        <v>0</v>
      </c>
      <c r="Y1240" s="193">
        <f>'Business travel, commute, home'!N50</f>
        <v>0</v>
      </c>
      <c r="Z1240" s="193" t="str">
        <f>'Business travel, commute, home'!O50</f>
        <v/>
      </c>
      <c r="AA1240" s="193" t="str">
        <f>'Business travel, commute, home'!P50</f>
        <v/>
      </c>
      <c r="AB1240" s="193" t="str">
        <f>'Business travel, commute, home'!Q50</f>
        <v/>
      </c>
      <c r="AC1240" s="193" t="str">
        <f>'Business travel, commute, home'!R50</f>
        <v/>
      </c>
      <c r="AD1240" s="193" t="str">
        <f>'Business travel, commute, home'!S50</f>
        <v/>
      </c>
      <c r="AE1240" s="193" t="str">
        <f>'Business travel, commute, home'!T50</f>
        <v/>
      </c>
      <c r="AF1240" s="193" t="str">
        <f>'Business travel, commute, home'!U50</f>
        <v/>
      </c>
      <c r="AG1240" s="193"/>
      <c r="AI1240" s="193">
        <f t="shared" si="26"/>
        <v>0</v>
      </c>
      <c r="AJ1240" s="193">
        <f t="shared" si="27"/>
        <v>0</v>
      </c>
    </row>
    <row r="1241" spans="2:36" x14ac:dyDescent="0.35">
      <c r="B1241" s="193" t="e">
        <f>"2024"&amp;MATCH(Totals!D1241,OrgType,0)&amp;"_"&amp;MATCH(Totals!E1241,Organisations,0)&amp;"_"&amp;LEFT(Totals!F1241,1)&amp;"_"&amp;LEFT(G1241,1)&amp;"_"&amp;COUNTIF($G$3:G1241,G1241)</f>
        <v>#N/A</v>
      </c>
      <c r="C1241" s="193">
        <v>2025</v>
      </c>
      <c r="D1241" s="193">
        <f>Introduction!$D$7</f>
        <v>0</v>
      </c>
      <c r="E1241" s="193">
        <f>Introduction!$D$8</f>
        <v>0</v>
      </c>
      <c r="F1241" s="193" t="s">
        <v>107</v>
      </c>
      <c r="G1241" s="193" t="s">
        <v>110</v>
      </c>
      <c r="H1241" s="194"/>
      <c r="I1241" s="194"/>
      <c r="J1241" s="193">
        <f>'Business travel, commute, home'!B51</f>
        <v>0</v>
      </c>
      <c r="K1241" s="194"/>
      <c r="L1241" s="194"/>
      <c r="M1241" s="193">
        <f>'Business travel, commute, home'!C51</f>
        <v>0</v>
      </c>
      <c r="N1241" s="193">
        <f>'Business travel, commute, home'!D51</f>
        <v>0</v>
      </c>
      <c r="O1241" s="194"/>
      <c r="P1241" s="193">
        <f>'Business travel, commute, home'!E51</f>
        <v>0</v>
      </c>
      <c r="Q1241" s="193" t="str">
        <f>'Business travel, commute, home'!F51</f>
        <v/>
      </c>
      <c r="R1241" s="193">
        <f>'Business travel, commute, home'!G51</f>
        <v>0</v>
      </c>
      <c r="S1241" s="193">
        <f>'Business travel, commute, home'!H51</f>
        <v>0</v>
      </c>
      <c r="T1241" s="193" t="str">
        <f>'Business travel, commute, home'!I51</f>
        <v/>
      </c>
      <c r="U1241" s="193" t="str">
        <f>'Business travel, commute, home'!J51</f>
        <v/>
      </c>
      <c r="V1241" s="193" t="str">
        <f>'Business travel, commute, home'!K51</f>
        <v/>
      </c>
      <c r="W1241" s="193" t="str">
        <f>'Business travel, commute, home'!L51</f>
        <v/>
      </c>
      <c r="X1241" s="193">
        <f>'Business travel, commute, home'!M51</f>
        <v>0</v>
      </c>
      <c r="Y1241" s="193">
        <f>'Business travel, commute, home'!N51</f>
        <v>0</v>
      </c>
      <c r="Z1241" s="193" t="str">
        <f>'Business travel, commute, home'!O51</f>
        <v/>
      </c>
      <c r="AA1241" s="193" t="str">
        <f>'Business travel, commute, home'!P51</f>
        <v/>
      </c>
      <c r="AB1241" s="193" t="str">
        <f>'Business travel, commute, home'!Q51</f>
        <v/>
      </c>
      <c r="AC1241" s="193" t="str">
        <f>'Business travel, commute, home'!R51</f>
        <v/>
      </c>
      <c r="AD1241" s="193" t="str">
        <f>'Business travel, commute, home'!S51</f>
        <v/>
      </c>
      <c r="AE1241" s="193" t="str">
        <f>'Business travel, commute, home'!T51</f>
        <v/>
      </c>
      <c r="AF1241" s="193" t="str">
        <f>'Business travel, commute, home'!U51</f>
        <v/>
      </c>
      <c r="AG1241" s="193"/>
      <c r="AI1241" s="193">
        <f t="shared" si="26"/>
        <v>0</v>
      </c>
      <c r="AJ1241" s="193">
        <f t="shared" si="27"/>
        <v>0</v>
      </c>
    </row>
    <row r="1242" spans="2:36" x14ac:dyDescent="0.35">
      <c r="B1242" s="193" t="e">
        <f>"2024"&amp;MATCH(Totals!D1242,OrgType,0)&amp;"_"&amp;MATCH(Totals!E1242,Organisations,0)&amp;"_"&amp;LEFT(Totals!F1242,1)&amp;"_"&amp;LEFT(G1242,1)&amp;"_"&amp;COUNTIF($G$3:G1242,G1242)</f>
        <v>#N/A</v>
      </c>
      <c r="C1242" s="193">
        <v>2025</v>
      </c>
      <c r="D1242" s="193">
        <f>Introduction!$D$7</f>
        <v>0</v>
      </c>
      <c r="E1242" s="193">
        <f>Introduction!$D$8</f>
        <v>0</v>
      </c>
      <c r="F1242" s="193" t="s">
        <v>107</v>
      </c>
      <c r="G1242" s="193" t="s">
        <v>110</v>
      </c>
      <c r="H1242" s="194"/>
      <c r="I1242" s="194"/>
      <c r="J1242" s="193">
        <f>'Business travel, commute, home'!B52</f>
        <v>0</v>
      </c>
      <c r="K1242" s="194"/>
      <c r="L1242" s="194"/>
      <c r="M1242" s="193">
        <f>'Business travel, commute, home'!C52</f>
        <v>0</v>
      </c>
      <c r="N1242" s="193">
        <f>'Business travel, commute, home'!D52</f>
        <v>0</v>
      </c>
      <c r="O1242" s="194"/>
      <c r="P1242" s="193">
        <f>'Business travel, commute, home'!E52</f>
        <v>0</v>
      </c>
      <c r="Q1242" s="193" t="str">
        <f>'Business travel, commute, home'!F52</f>
        <v/>
      </c>
      <c r="R1242" s="193">
        <f>'Business travel, commute, home'!G52</f>
        <v>0</v>
      </c>
      <c r="S1242" s="193">
        <f>'Business travel, commute, home'!H52</f>
        <v>0</v>
      </c>
      <c r="T1242" s="193" t="str">
        <f>'Business travel, commute, home'!I52</f>
        <v/>
      </c>
      <c r="U1242" s="193" t="str">
        <f>'Business travel, commute, home'!J52</f>
        <v/>
      </c>
      <c r="V1242" s="193" t="str">
        <f>'Business travel, commute, home'!K52</f>
        <v/>
      </c>
      <c r="W1242" s="193" t="str">
        <f>'Business travel, commute, home'!L52</f>
        <v/>
      </c>
      <c r="X1242" s="193">
        <f>'Business travel, commute, home'!M52</f>
        <v>0</v>
      </c>
      <c r="Y1242" s="193">
        <f>'Business travel, commute, home'!N52</f>
        <v>0</v>
      </c>
      <c r="Z1242" s="193" t="str">
        <f>'Business travel, commute, home'!O52</f>
        <v/>
      </c>
      <c r="AA1242" s="193" t="str">
        <f>'Business travel, commute, home'!P52</f>
        <v/>
      </c>
      <c r="AB1242" s="193" t="str">
        <f>'Business travel, commute, home'!Q52</f>
        <v/>
      </c>
      <c r="AC1242" s="193" t="str">
        <f>'Business travel, commute, home'!R52</f>
        <v/>
      </c>
      <c r="AD1242" s="193" t="str">
        <f>'Business travel, commute, home'!S52</f>
        <v/>
      </c>
      <c r="AE1242" s="193" t="str">
        <f>'Business travel, commute, home'!T52</f>
        <v/>
      </c>
      <c r="AF1242" s="193" t="str">
        <f>'Business travel, commute, home'!U52</f>
        <v/>
      </c>
      <c r="AG1242" s="193"/>
      <c r="AI1242" s="193">
        <f t="shared" si="26"/>
        <v>0</v>
      </c>
      <c r="AJ1242" s="193">
        <f t="shared" si="27"/>
        <v>0</v>
      </c>
    </row>
    <row r="1243" spans="2:36" x14ac:dyDescent="0.35">
      <c r="B1243" s="193" t="e">
        <f>"2024"&amp;MATCH(Totals!D1243,OrgType,0)&amp;"_"&amp;MATCH(Totals!E1243,Organisations,0)&amp;"_"&amp;LEFT(Totals!F1243,1)&amp;"_"&amp;LEFT(G1243,1)&amp;"_"&amp;COUNTIF($G$3:G1243,G1243)</f>
        <v>#N/A</v>
      </c>
      <c r="C1243" s="193">
        <v>2025</v>
      </c>
      <c r="D1243" s="193">
        <f>Introduction!$D$7</f>
        <v>0</v>
      </c>
      <c r="E1243" s="193">
        <f>Introduction!$D$8</f>
        <v>0</v>
      </c>
      <c r="F1243" s="193" t="s">
        <v>107</v>
      </c>
      <c r="G1243" s="193" t="s">
        <v>110</v>
      </c>
      <c r="H1243" s="194"/>
      <c r="I1243" s="194"/>
      <c r="J1243" s="193">
        <f>'Business travel, commute, home'!B53</f>
        <v>0</v>
      </c>
      <c r="K1243" s="194"/>
      <c r="L1243" s="194"/>
      <c r="M1243" s="193">
        <f>'Business travel, commute, home'!C53</f>
        <v>0</v>
      </c>
      <c r="N1243" s="193">
        <f>'Business travel, commute, home'!D53</f>
        <v>0</v>
      </c>
      <c r="O1243" s="194"/>
      <c r="P1243" s="193">
        <f>'Business travel, commute, home'!E53</f>
        <v>0</v>
      </c>
      <c r="Q1243" s="193" t="str">
        <f>'Business travel, commute, home'!F53</f>
        <v/>
      </c>
      <c r="R1243" s="193">
        <f>'Business travel, commute, home'!G53</f>
        <v>0</v>
      </c>
      <c r="S1243" s="193">
        <f>'Business travel, commute, home'!H53</f>
        <v>0</v>
      </c>
      <c r="T1243" s="193" t="str">
        <f>'Business travel, commute, home'!I53</f>
        <v/>
      </c>
      <c r="U1243" s="193" t="str">
        <f>'Business travel, commute, home'!J53</f>
        <v/>
      </c>
      <c r="V1243" s="193" t="str">
        <f>'Business travel, commute, home'!K53</f>
        <v/>
      </c>
      <c r="W1243" s="193" t="str">
        <f>'Business travel, commute, home'!L53</f>
        <v/>
      </c>
      <c r="X1243" s="193">
        <f>'Business travel, commute, home'!M53</f>
        <v>0</v>
      </c>
      <c r="Y1243" s="193">
        <f>'Business travel, commute, home'!N53</f>
        <v>0</v>
      </c>
      <c r="Z1243" s="193" t="str">
        <f>'Business travel, commute, home'!O53</f>
        <v/>
      </c>
      <c r="AA1243" s="193" t="str">
        <f>'Business travel, commute, home'!P53</f>
        <v/>
      </c>
      <c r="AB1243" s="193" t="str">
        <f>'Business travel, commute, home'!Q53</f>
        <v/>
      </c>
      <c r="AC1243" s="193" t="str">
        <f>'Business travel, commute, home'!R53</f>
        <v/>
      </c>
      <c r="AD1243" s="193" t="str">
        <f>'Business travel, commute, home'!S53</f>
        <v/>
      </c>
      <c r="AE1243" s="193" t="str">
        <f>'Business travel, commute, home'!T53</f>
        <v/>
      </c>
      <c r="AF1243" s="193" t="str">
        <f>'Business travel, commute, home'!U53</f>
        <v/>
      </c>
      <c r="AG1243" s="193"/>
      <c r="AI1243" s="193">
        <f t="shared" si="26"/>
        <v>0</v>
      </c>
      <c r="AJ1243" s="193">
        <f t="shared" si="27"/>
        <v>0</v>
      </c>
    </row>
    <row r="1244" spans="2:36" x14ac:dyDescent="0.35">
      <c r="B1244" s="193" t="e">
        <f>"2024"&amp;MATCH(Totals!D1244,OrgType,0)&amp;"_"&amp;MATCH(Totals!E1244,Organisations,0)&amp;"_"&amp;LEFT(Totals!F1244,1)&amp;"_"&amp;LEFT(G1244,1)&amp;"_"&amp;COUNTIF($G$3:G1244,G1244)</f>
        <v>#N/A</v>
      </c>
      <c r="C1244" s="193">
        <v>2025</v>
      </c>
      <c r="D1244" s="193">
        <f>Introduction!$D$7</f>
        <v>0</v>
      </c>
      <c r="E1244" s="193">
        <f>Introduction!$D$8</f>
        <v>0</v>
      </c>
      <c r="F1244" s="193" t="s">
        <v>107</v>
      </c>
      <c r="G1244" s="193" t="s">
        <v>110</v>
      </c>
      <c r="H1244" s="194"/>
      <c r="I1244" s="194"/>
      <c r="J1244" s="193">
        <f>'Business travel, commute, home'!B54</f>
        <v>0</v>
      </c>
      <c r="K1244" s="194"/>
      <c r="L1244" s="194"/>
      <c r="M1244" s="193">
        <f>'Business travel, commute, home'!C54</f>
        <v>0</v>
      </c>
      <c r="N1244" s="193">
        <f>'Business travel, commute, home'!D54</f>
        <v>0</v>
      </c>
      <c r="O1244" s="194"/>
      <c r="P1244" s="193">
        <f>'Business travel, commute, home'!E54</f>
        <v>0</v>
      </c>
      <c r="Q1244" s="193" t="str">
        <f>'Business travel, commute, home'!F54</f>
        <v/>
      </c>
      <c r="R1244" s="193">
        <f>'Business travel, commute, home'!G54</f>
        <v>0</v>
      </c>
      <c r="S1244" s="193">
        <f>'Business travel, commute, home'!H54</f>
        <v>0</v>
      </c>
      <c r="T1244" s="193" t="str">
        <f>'Business travel, commute, home'!I54</f>
        <v/>
      </c>
      <c r="U1244" s="193" t="str">
        <f>'Business travel, commute, home'!J54</f>
        <v/>
      </c>
      <c r="V1244" s="193" t="str">
        <f>'Business travel, commute, home'!K54</f>
        <v/>
      </c>
      <c r="W1244" s="193" t="str">
        <f>'Business travel, commute, home'!L54</f>
        <v/>
      </c>
      <c r="X1244" s="193">
        <f>'Business travel, commute, home'!M54</f>
        <v>0</v>
      </c>
      <c r="Y1244" s="193">
        <f>'Business travel, commute, home'!N54</f>
        <v>0</v>
      </c>
      <c r="Z1244" s="193" t="str">
        <f>'Business travel, commute, home'!O54</f>
        <v/>
      </c>
      <c r="AA1244" s="193" t="str">
        <f>'Business travel, commute, home'!P54</f>
        <v/>
      </c>
      <c r="AB1244" s="193" t="str">
        <f>'Business travel, commute, home'!Q54</f>
        <v/>
      </c>
      <c r="AC1244" s="193" t="str">
        <f>'Business travel, commute, home'!R54</f>
        <v/>
      </c>
      <c r="AD1244" s="193" t="str">
        <f>'Business travel, commute, home'!S54</f>
        <v/>
      </c>
      <c r="AE1244" s="193" t="str">
        <f>'Business travel, commute, home'!T54</f>
        <v/>
      </c>
      <c r="AF1244" s="193" t="str">
        <f>'Business travel, commute, home'!U54</f>
        <v/>
      </c>
      <c r="AG1244" s="193"/>
      <c r="AI1244" s="193">
        <f t="shared" si="26"/>
        <v>0</v>
      </c>
      <c r="AJ1244" s="193">
        <f t="shared" si="27"/>
        <v>0</v>
      </c>
    </row>
    <row r="1245" spans="2:36" x14ac:dyDescent="0.35">
      <c r="B1245" s="193" t="e">
        <f>"2024"&amp;MATCH(Totals!D1245,OrgType,0)&amp;"_"&amp;MATCH(Totals!E1245,Organisations,0)&amp;"_"&amp;LEFT(Totals!F1245,1)&amp;"_"&amp;LEFT(G1245,1)&amp;"_"&amp;COUNTIF($G$3:G1245,G1245)</f>
        <v>#N/A</v>
      </c>
      <c r="C1245" s="193">
        <v>2025</v>
      </c>
      <c r="D1245" s="193">
        <f>Introduction!$D$7</f>
        <v>0</v>
      </c>
      <c r="E1245" s="193">
        <f>Introduction!$D$8</f>
        <v>0</v>
      </c>
      <c r="F1245" s="193" t="s">
        <v>107</v>
      </c>
      <c r="G1245" s="193" t="s">
        <v>110</v>
      </c>
      <c r="H1245" s="194"/>
      <c r="I1245" s="194"/>
      <c r="J1245" s="193">
        <f>'Business travel, commute, home'!B55</f>
        <v>0</v>
      </c>
      <c r="K1245" s="194"/>
      <c r="L1245" s="194"/>
      <c r="M1245" s="193">
        <f>'Business travel, commute, home'!C55</f>
        <v>0</v>
      </c>
      <c r="N1245" s="193">
        <f>'Business travel, commute, home'!D55</f>
        <v>0</v>
      </c>
      <c r="O1245" s="194"/>
      <c r="P1245" s="193">
        <f>'Business travel, commute, home'!E55</f>
        <v>0</v>
      </c>
      <c r="Q1245" s="193" t="str">
        <f>'Business travel, commute, home'!F55</f>
        <v/>
      </c>
      <c r="R1245" s="193">
        <f>'Business travel, commute, home'!G55</f>
        <v>0</v>
      </c>
      <c r="S1245" s="193">
        <f>'Business travel, commute, home'!H55</f>
        <v>0</v>
      </c>
      <c r="T1245" s="193" t="str">
        <f>'Business travel, commute, home'!I55</f>
        <v/>
      </c>
      <c r="U1245" s="193" t="str">
        <f>'Business travel, commute, home'!J55</f>
        <v/>
      </c>
      <c r="V1245" s="193" t="str">
        <f>'Business travel, commute, home'!K55</f>
        <v/>
      </c>
      <c r="W1245" s="193" t="str">
        <f>'Business travel, commute, home'!L55</f>
        <v/>
      </c>
      <c r="X1245" s="193">
        <f>'Business travel, commute, home'!M55</f>
        <v>0</v>
      </c>
      <c r="Y1245" s="193">
        <f>'Business travel, commute, home'!N55</f>
        <v>0</v>
      </c>
      <c r="Z1245" s="193" t="str">
        <f>'Business travel, commute, home'!O55</f>
        <v/>
      </c>
      <c r="AA1245" s="193" t="str">
        <f>'Business travel, commute, home'!P55</f>
        <v/>
      </c>
      <c r="AB1245" s="193" t="str">
        <f>'Business travel, commute, home'!Q55</f>
        <v/>
      </c>
      <c r="AC1245" s="193" t="str">
        <f>'Business travel, commute, home'!R55</f>
        <v/>
      </c>
      <c r="AD1245" s="193" t="str">
        <f>'Business travel, commute, home'!S55</f>
        <v/>
      </c>
      <c r="AE1245" s="193" t="str">
        <f>'Business travel, commute, home'!T55</f>
        <v/>
      </c>
      <c r="AF1245" s="193" t="str">
        <f>'Business travel, commute, home'!U55</f>
        <v/>
      </c>
      <c r="AG1245" s="193"/>
      <c r="AI1245" s="193">
        <f t="shared" si="26"/>
        <v>0</v>
      </c>
      <c r="AJ1245" s="193">
        <f t="shared" si="27"/>
        <v>0</v>
      </c>
    </row>
    <row r="1246" spans="2:36" x14ac:dyDescent="0.35">
      <c r="B1246" s="193" t="e">
        <f>"2024"&amp;MATCH(Totals!D1246,OrgType,0)&amp;"_"&amp;MATCH(Totals!E1246,Organisations,0)&amp;"_"&amp;LEFT(Totals!F1246,1)&amp;"_"&amp;LEFT(G1246,1)&amp;"_"&amp;COUNTIF($G$3:G1246,G1246)</f>
        <v>#N/A</v>
      </c>
      <c r="C1246" s="193">
        <v>2025</v>
      </c>
      <c r="D1246" s="193">
        <f>Introduction!$D$7</f>
        <v>0</v>
      </c>
      <c r="E1246" s="193">
        <f>Introduction!$D$8</f>
        <v>0</v>
      </c>
      <c r="F1246" s="193" t="s">
        <v>107</v>
      </c>
      <c r="G1246" s="193" t="s">
        <v>110</v>
      </c>
      <c r="H1246" s="194"/>
      <c r="I1246" s="194"/>
      <c r="J1246" s="193">
        <f>'Business travel, commute, home'!B56</f>
        <v>0</v>
      </c>
      <c r="K1246" s="194"/>
      <c r="L1246" s="194"/>
      <c r="M1246" s="193">
        <f>'Business travel, commute, home'!C56</f>
        <v>0</v>
      </c>
      <c r="N1246" s="193">
        <f>'Business travel, commute, home'!D56</f>
        <v>0</v>
      </c>
      <c r="O1246" s="194"/>
      <c r="P1246" s="193">
        <f>'Business travel, commute, home'!E56</f>
        <v>0</v>
      </c>
      <c r="Q1246" s="193" t="str">
        <f>'Business travel, commute, home'!F56</f>
        <v/>
      </c>
      <c r="R1246" s="193">
        <f>'Business travel, commute, home'!G56</f>
        <v>0</v>
      </c>
      <c r="S1246" s="193">
        <f>'Business travel, commute, home'!H56</f>
        <v>0</v>
      </c>
      <c r="T1246" s="193" t="str">
        <f>'Business travel, commute, home'!I56</f>
        <v/>
      </c>
      <c r="U1246" s="193" t="str">
        <f>'Business travel, commute, home'!J56</f>
        <v/>
      </c>
      <c r="V1246" s="193" t="str">
        <f>'Business travel, commute, home'!K56</f>
        <v/>
      </c>
      <c r="W1246" s="193" t="str">
        <f>'Business travel, commute, home'!L56</f>
        <v/>
      </c>
      <c r="X1246" s="193">
        <f>'Business travel, commute, home'!M56</f>
        <v>0</v>
      </c>
      <c r="Y1246" s="193">
        <f>'Business travel, commute, home'!N56</f>
        <v>0</v>
      </c>
      <c r="Z1246" s="193" t="str">
        <f>'Business travel, commute, home'!O56</f>
        <v/>
      </c>
      <c r="AA1246" s="193" t="str">
        <f>'Business travel, commute, home'!P56</f>
        <v/>
      </c>
      <c r="AB1246" s="193" t="str">
        <f>'Business travel, commute, home'!Q56</f>
        <v/>
      </c>
      <c r="AC1246" s="193" t="str">
        <f>'Business travel, commute, home'!R56</f>
        <v/>
      </c>
      <c r="AD1246" s="193" t="str">
        <f>'Business travel, commute, home'!S56</f>
        <v/>
      </c>
      <c r="AE1246" s="193" t="str">
        <f>'Business travel, commute, home'!T56</f>
        <v/>
      </c>
      <c r="AF1246" s="193" t="str">
        <f>'Business travel, commute, home'!U56</f>
        <v/>
      </c>
      <c r="AG1246" s="193"/>
      <c r="AI1246" s="193">
        <f t="shared" si="26"/>
        <v>0</v>
      </c>
      <c r="AJ1246" s="193">
        <f t="shared" si="27"/>
        <v>0</v>
      </c>
    </row>
    <row r="1247" spans="2:36" x14ac:dyDescent="0.35">
      <c r="B1247" s="193" t="e">
        <f>"2024"&amp;MATCH(Totals!D1247,OrgType,0)&amp;"_"&amp;MATCH(Totals!E1247,Organisations,0)&amp;"_"&amp;LEFT(Totals!F1247,1)&amp;"_"&amp;LEFT(G1247,1)&amp;"_"&amp;COUNTIF($G$3:G1247,G1247)</f>
        <v>#N/A</v>
      </c>
      <c r="C1247" s="193">
        <v>2025</v>
      </c>
      <c r="D1247" s="193">
        <f>Introduction!$D$7</f>
        <v>0</v>
      </c>
      <c r="E1247" s="193">
        <f>Introduction!$D$8</f>
        <v>0</v>
      </c>
      <c r="F1247" s="193" t="s">
        <v>107</v>
      </c>
      <c r="G1247" s="193" t="s">
        <v>110</v>
      </c>
      <c r="H1247" s="194"/>
      <c r="I1247" s="194"/>
      <c r="J1247" s="193">
        <f>'Business travel, commute, home'!B57</f>
        <v>0</v>
      </c>
      <c r="K1247" s="194"/>
      <c r="L1247" s="194"/>
      <c r="M1247" s="193">
        <f>'Business travel, commute, home'!C57</f>
        <v>0</v>
      </c>
      <c r="N1247" s="193">
        <f>'Business travel, commute, home'!D57</f>
        <v>0</v>
      </c>
      <c r="O1247" s="194"/>
      <c r="P1247" s="193">
        <f>'Business travel, commute, home'!E57</f>
        <v>0</v>
      </c>
      <c r="Q1247" s="193" t="str">
        <f>'Business travel, commute, home'!F57</f>
        <v/>
      </c>
      <c r="R1247" s="193">
        <f>'Business travel, commute, home'!G57</f>
        <v>0</v>
      </c>
      <c r="S1247" s="193">
        <f>'Business travel, commute, home'!H57</f>
        <v>0</v>
      </c>
      <c r="T1247" s="193" t="str">
        <f>'Business travel, commute, home'!I57</f>
        <v/>
      </c>
      <c r="U1247" s="193" t="str">
        <f>'Business travel, commute, home'!J57</f>
        <v/>
      </c>
      <c r="V1247" s="193" t="str">
        <f>'Business travel, commute, home'!K57</f>
        <v/>
      </c>
      <c r="W1247" s="193" t="str">
        <f>'Business travel, commute, home'!L57</f>
        <v/>
      </c>
      <c r="X1247" s="193">
        <f>'Business travel, commute, home'!M57</f>
        <v>0</v>
      </c>
      <c r="Y1247" s="193">
        <f>'Business travel, commute, home'!N57</f>
        <v>0</v>
      </c>
      <c r="Z1247" s="193" t="str">
        <f>'Business travel, commute, home'!O57</f>
        <v/>
      </c>
      <c r="AA1247" s="193" t="str">
        <f>'Business travel, commute, home'!P57</f>
        <v/>
      </c>
      <c r="AB1247" s="193" t="str">
        <f>'Business travel, commute, home'!Q57</f>
        <v/>
      </c>
      <c r="AC1247" s="193" t="str">
        <f>'Business travel, commute, home'!R57</f>
        <v/>
      </c>
      <c r="AD1247" s="193" t="str">
        <f>'Business travel, commute, home'!S57</f>
        <v/>
      </c>
      <c r="AE1247" s="193" t="str">
        <f>'Business travel, commute, home'!T57</f>
        <v/>
      </c>
      <c r="AF1247" s="193" t="str">
        <f>'Business travel, commute, home'!U57</f>
        <v/>
      </c>
      <c r="AG1247" s="193"/>
      <c r="AI1247" s="193">
        <f t="shared" si="26"/>
        <v>0</v>
      </c>
      <c r="AJ1247" s="193">
        <f t="shared" si="27"/>
        <v>0</v>
      </c>
    </row>
    <row r="1248" spans="2:36" x14ac:dyDescent="0.35">
      <c r="B1248" s="193" t="e">
        <f>"2024"&amp;MATCH(Totals!D1248,OrgType,0)&amp;"_"&amp;MATCH(Totals!E1248,Organisations,0)&amp;"_"&amp;LEFT(Totals!F1248,1)&amp;"_"&amp;LEFT(G1248,1)&amp;"_"&amp;COUNTIF($G$3:G1248,G1248)</f>
        <v>#N/A</v>
      </c>
      <c r="C1248" s="193">
        <v>2025</v>
      </c>
      <c r="D1248" s="193">
        <f>Introduction!$D$7</f>
        <v>0</v>
      </c>
      <c r="E1248" s="193">
        <f>Introduction!$D$8</f>
        <v>0</v>
      </c>
      <c r="F1248" s="193" t="s">
        <v>107</v>
      </c>
      <c r="G1248" s="193" t="s">
        <v>110</v>
      </c>
      <c r="H1248" s="194"/>
      <c r="I1248" s="194"/>
      <c r="J1248" s="193">
        <f>'Business travel, commute, home'!B58</f>
        <v>0</v>
      </c>
      <c r="K1248" s="194"/>
      <c r="L1248" s="194"/>
      <c r="M1248" s="193">
        <f>'Business travel, commute, home'!C58</f>
        <v>0</v>
      </c>
      <c r="N1248" s="193">
        <f>'Business travel, commute, home'!D58</f>
        <v>0</v>
      </c>
      <c r="O1248" s="194"/>
      <c r="P1248" s="193">
        <f>'Business travel, commute, home'!E58</f>
        <v>0</v>
      </c>
      <c r="Q1248" s="193" t="str">
        <f>'Business travel, commute, home'!F58</f>
        <v/>
      </c>
      <c r="R1248" s="193">
        <f>'Business travel, commute, home'!G58</f>
        <v>0</v>
      </c>
      <c r="S1248" s="193">
        <f>'Business travel, commute, home'!H58</f>
        <v>0</v>
      </c>
      <c r="T1248" s="193" t="str">
        <f>'Business travel, commute, home'!I58</f>
        <v/>
      </c>
      <c r="U1248" s="193" t="str">
        <f>'Business travel, commute, home'!J58</f>
        <v/>
      </c>
      <c r="V1248" s="193" t="str">
        <f>'Business travel, commute, home'!K58</f>
        <v/>
      </c>
      <c r="W1248" s="193" t="str">
        <f>'Business travel, commute, home'!L58</f>
        <v/>
      </c>
      <c r="X1248" s="193">
        <f>'Business travel, commute, home'!M58</f>
        <v>0</v>
      </c>
      <c r="Y1248" s="193">
        <f>'Business travel, commute, home'!N58</f>
        <v>0</v>
      </c>
      <c r="Z1248" s="193" t="str">
        <f>'Business travel, commute, home'!O58</f>
        <v/>
      </c>
      <c r="AA1248" s="193" t="str">
        <f>'Business travel, commute, home'!P58</f>
        <v/>
      </c>
      <c r="AB1248" s="193" t="str">
        <f>'Business travel, commute, home'!Q58</f>
        <v/>
      </c>
      <c r="AC1248" s="193" t="str">
        <f>'Business travel, commute, home'!R58</f>
        <v/>
      </c>
      <c r="AD1248" s="193" t="str">
        <f>'Business travel, commute, home'!S58</f>
        <v/>
      </c>
      <c r="AE1248" s="193" t="str">
        <f>'Business travel, commute, home'!T58</f>
        <v/>
      </c>
      <c r="AF1248" s="193" t="str">
        <f>'Business travel, commute, home'!U58</f>
        <v/>
      </c>
      <c r="AG1248" s="193"/>
      <c r="AI1248" s="193">
        <f t="shared" si="26"/>
        <v>0</v>
      </c>
      <c r="AJ1248" s="193">
        <f t="shared" si="27"/>
        <v>0</v>
      </c>
    </row>
    <row r="1249" spans="2:36" x14ac:dyDescent="0.35">
      <c r="B1249" s="193" t="e">
        <f>"2024"&amp;MATCH(Totals!D1249,OrgType,0)&amp;"_"&amp;MATCH(Totals!E1249,Organisations,0)&amp;"_"&amp;LEFT(Totals!F1249,1)&amp;"_"&amp;LEFT(G1249,1)&amp;"_"&amp;COUNTIF($G$3:G1249,G1249)</f>
        <v>#N/A</v>
      </c>
      <c r="C1249" s="193">
        <v>2025</v>
      </c>
      <c r="D1249" s="193">
        <f>Introduction!$D$7</f>
        <v>0</v>
      </c>
      <c r="E1249" s="193">
        <f>Introduction!$D$8</f>
        <v>0</v>
      </c>
      <c r="F1249" s="193" t="s">
        <v>107</v>
      </c>
      <c r="G1249" s="193" t="s">
        <v>110</v>
      </c>
      <c r="H1249" s="194"/>
      <c r="I1249" s="194"/>
      <c r="J1249" s="193">
        <f>'Business travel, commute, home'!B59</f>
        <v>0</v>
      </c>
      <c r="K1249" s="194"/>
      <c r="L1249" s="194"/>
      <c r="M1249" s="193">
        <f>'Business travel, commute, home'!C59</f>
        <v>0</v>
      </c>
      <c r="N1249" s="193">
        <f>'Business travel, commute, home'!D59</f>
        <v>0</v>
      </c>
      <c r="O1249" s="194"/>
      <c r="P1249" s="193">
        <f>'Business travel, commute, home'!E59</f>
        <v>0</v>
      </c>
      <c r="Q1249" s="193" t="str">
        <f>'Business travel, commute, home'!F59</f>
        <v/>
      </c>
      <c r="R1249" s="193">
        <f>'Business travel, commute, home'!G59</f>
        <v>0</v>
      </c>
      <c r="S1249" s="193">
        <f>'Business travel, commute, home'!H59</f>
        <v>0</v>
      </c>
      <c r="T1249" s="193" t="str">
        <f>'Business travel, commute, home'!I59</f>
        <v/>
      </c>
      <c r="U1249" s="193" t="str">
        <f>'Business travel, commute, home'!J59</f>
        <v/>
      </c>
      <c r="V1249" s="193" t="str">
        <f>'Business travel, commute, home'!K59</f>
        <v/>
      </c>
      <c r="W1249" s="193" t="str">
        <f>'Business travel, commute, home'!L59</f>
        <v/>
      </c>
      <c r="X1249" s="193">
        <f>'Business travel, commute, home'!M59</f>
        <v>0</v>
      </c>
      <c r="Y1249" s="193">
        <f>'Business travel, commute, home'!N59</f>
        <v>0</v>
      </c>
      <c r="Z1249" s="193" t="str">
        <f>'Business travel, commute, home'!O59</f>
        <v/>
      </c>
      <c r="AA1249" s="193" t="str">
        <f>'Business travel, commute, home'!P59</f>
        <v/>
      </c>
      <c r="AB1249" s="193" t="str">
        <f>'Business travel, commute, home'!Q59</f>
        <v/>
      </c>
      <c r="AC1249" s="193" t="str">
        <f>'Business travel, commute, home'!R59</f>
        <v/>
      </c>
      <c r="AD1249" s="193" t="str">
        <f>'Business travel, commute, home'!S59</f>
        <v/>
      </c>
      <c r="AE1249" s="193" t="str">
        <f>'Business travel, commute, home'!T59</f>
        <v/>
      </c>
      <c r="AF1249" s="193" t="str">
        <f>'Business travel, commute, home'!U59</f>
        <v/>
      </c>
      <c r="AG1249" s="193"/>
      <c r="AI1249" s="193">
        <f t="shared" si="26"/>
        <v>0</v>
      </c>
      <c r="AJ1249" s="193">
        <f t="shared" si="27"/>
        <v>0</v>
      </c>
    </row>
    <row r="1250" spans="2:36" x14ac:dyDescent="0.35">
      <c r="B1250" s="193" t="e">
        <f>"2024"&amp;MATCH(Totals!D1250,OrgType,0)&amp;"_"&amp;MATCH(Totals!E1250,Organisations,0)&amp;"_"&amp;LEFT(Totals!F1250,1)&amp;"_"&amp;LEFT(G1250,1)&amp;"_"&amp;COUNTIF($G$3:G1250,G1250)</f>
        <v>#N/A</v>
      </c>
      <c r="C1250" s="193">
        <v>2025</v>
      </c>
      <c r="D1250" s="193">
        <f>Introduction!$D$7</f>
        <v>0</v>
      </c>
      <c r="E1250" s="193">
        <f>Introduction!$D$8</f>
        <v>0</v>
      </c>
      <c r="F1250" s="193" t="s">
        <v>107</v>
      </c>
      <c r="G1250" s="193" t="s">
        <v>110</v>
      </c>
      <c r="H1250" s="194"/>
      <c r="I1250" s="194"/>
      <c r="J1250" s="193">
        <f>'Business travel, commute, home'!B60</f>
        <v>0</v>
      </c>
      <c r="K1250" s="194"/>
      <c r="L1250" s="194"/>
      <c r="M1250" s="193">
        <f>'Business travel, commute, home'!C60</f>
        <v>0</v>
      </c>
      <c r="N1250" s="193">
        <f>'Business travel, commute, home'!D60</f>
        <v>0</v>
      </c>
      <c r="O1250" s="194"/>
      <c r="P1250" s="193">
        <f>'Business travel, commute, home'!E60</f>
        <v>0</v>
      </c>
      <c r="Q1250" s="193" t="str">
        <f>'Business travel, commute, home'!F60</f>
        <v/>
      </c>
      <c r="R1250" s="193">
        <f>'Business travel, commute, home'!G60</f>
        <v>0</v>
      </c>
      <c r="S1250" s="193">
        <f>'Business travel, commute, home'!H60</f>
        <v>0</v>
      </c>
      <c r="T1250" s="193" t="str">
        <f>'Business travel, commute, home'!I60</f>
        <v/>
      </c>
      <c r="U1250" s="193" t="str">
        <f>'Business travel, commute, home'!J60</f>
        <v/>
      </c>
      <c r="V1250" s="193" t="str">
        <f>'Business travel, commute, home'!K60</f>
        <v/>
      </c>
      <c r="W1250" s="193" t="str">
        <f>'Business travel, commute, home'!L60</f>
        <v/>
      </c>
      <c r="X1250" s="193">
        <f>'Business travel, commute, home'!M60</f>
        <v>0</v>
      </c>
      <c r="Y1250" s="193">
        <f>'Business travel, commute, home'!N60</f>
        <v>0</v>
      </c>
      <c r="Z1250" s="193" t="str">
        <f>'Business travel, commute, home'!O60</f>
        <v/>
      </c>
      <c r="AA1250" s="193" t="str">
        <f>'Business travel, commute, home'!P60</f>
        <v/>
      </c>
      <c r="AB1250" s="193" t="str">
        <f>'Business travel, commute, home'!Q60</f>
        <v/>
      </c>
      <c r="AC1250" s="193" t="str">
        <f>'Business travel, commute, home'!R60</f>
        <v/>
      </c>
      <c r="AD1250" s="193" t="str">
        <f>'Business travel, commute, home'!S60</f>
        <v/>
      </c>
      <c r="AE1250" s="193" t="str">
        <f>'Business travel, commute, home'!T60</f>
        <v/>
      </c>
      <c r="AF1250" s="193" t="str">
        <f>'Business travel, commute, home'!U60</f>
        <v/>
      </c>
      <c r="AG1250" s="193"/>
      <c r="AI1250" s="193">
        <f t="shared" si="26"/>
        <v>0</v>
      </c>
      <c r="AJ1250" s="193">
        <f t="shared" si="27"/>
        <v>0</v>
      </c>
    </row>
    <row r="1251" spans="2:36" x14ac:dyDescent="0.35">
      <c r="B1251" s="193" t="e">
        <f>"2024"&amp;MATCH(Totals!D1251,OrgType,0)&amp;"_"&amp;MATCH(Totals!E1251,Organisations,0)&amp;"_"&amp;LEFT(Totals!F1251,1)&amp;"_"&amp;LEFT(G1251,1)&amp;"_"&amp;COUNTIF($G$3:G1251,G1251)</f>
        <v>#N/A</v>
      </c>
      <c r="C1251" s="193">
        <v>2025</v>
      </c>
      <c r="D1251" s="193">
        <f>Introduction!$D$7</f>
        <v>0</v>
      </c>
      <c r="E1251" s="193">
        <f>Introduction!$D$8</f>
        <v>0</v>
      </c>
      <c r="F1251" s="193" t="s">
        <v>107</v>
      </c>
      <c r="G1251" s="193" t="s">
        <v>110</v>
      </c>
      <c r="H1251" s="194"/>
      <c r="I1251" s="194"/>
      <c r="J1251" s="193">
        <f>'Business travel, commute, home'!B61</f>
        <v>0</v>
      </c>
      <c r="K1251" s="194"/>
      <c r="L1251" s="194"/>
      <c r="M1251" s="193">
        <f>'Business travel, commute, home'!C61</f>
        <v>0</v>
      </c>
      <c r="N1251" s="193">
        <f>'Business travel, commute, home'!D61</f>
        <v>0</v>
      </c>
      <c r="O1251" s="194"/>
      <c r="P1251" s="193">
        <f>'Business travel, commute, home'!E61</f>
        <v>0</v>
      </c>
      <c r="Q1251" s="193" t="str">
        <f>'Business travel, commute, home'!F61</f>
        <v/>
      </c>
      <c r="R1251" s="193">
        <f>'Business travel, commute, home'!G61</f>
        <v>0</v>
      </c>
      <c r="S1251" s="193">
        <f>'Business travel, commute, home'!H61</f>
        <v>0</v>
      </c>
      <c r="T1251" s="193" t="str">
        <f>'Business travel, commute, home'!I61</f>
        <v/>
      </c>
      <c r="U1251" s="193" t="str">
        <f>'Business travel, commute, home'!J61</f>
        <v/>
      </c>
      <c r="V1251" s="193" t="str">
        <f>'Business travel, commute, home'!K61</f>
        <v/>
      </c>
      <c r="W1251" s="193" t="str">
        <f>'Business travel, commute, home'!L61</f>
        <v/>
      </c>
      <c r="X1251" s="193">
        <f>'Business travel, commute, home'!M61</f>
        <v>0</v>
      </c>
      <c r="Y1251" s="193">
        <f>'Business travel, commute, home'!N61</f>
        <v>0</v>
      </c>
      <c r="Z1251" s="193" t="str">
        <f>'Business travel, commute, home'!O61</f>
        <v/>
      </c>
      <c r="AA1251" s="193" t="str">
        <f>'Business travel, commute, home'!P61</f>
        <v/>
      </c>
      <c r="AB1251" s="193" t="str">
        <f>'Business travel, commute, home'!Q61</f>
        <v/>
      </c>
      <c r="AC1251" s="193" t="str">
        <f>'Business travel, commute, home'!R61</f>
        <v/>
      </c>
      <c r="AD1251" s="193" t="str">
        <f>'Business travel, commute, home'!S61</f>
        <v/>
      </c>
      <c r="AE1251" s="193" t="str">
        <f>'Business travel, commute, home'!T61</f>
        <v/>
      </c>
      <c r="AF1251" s="193" t="str">
        <f>'Business travel, commute, home'!U61</f>
        <v/>
      </c>
      <c r="AG1251" s="193"/>
      <c r="AI1251" s="193">
        <f t="shared" si="26"/>
        <v>0</v>
      </c>
      <c r="AJ1251" s="193">
        <f t="shared" si="27"/>
        <v>0</v>
      </c>
    </row>
    <row r="1252" spans="2:36" x14ac:dyDescent="0.35">
      <c r="B1252" s="193" t="e">
        <f>"2024"&amp;MATCH(Totals!D1252,OrgType,0)&amp;"_"&amp;MATCH(Totals!E1252,Organisations,0)&amp;"_"&amp;LEFT(Totals!F1252,1)&amp;"_"&amp;LEFT(G1252,1)&amp;"_"&amp;COUNTIF($G$3:G1252,G1252)</f>
        <v>#N/A</v>
      </c>
      <c r="C1252" s="193">
        <v>2025</v>
      </c>
      <c r="D1252" s="193">
        <f>Introduction!$D$7</f>
        <v>0</v>
      </c>
      <c r="E1252" s="193">
        <f>Introduction!$D$8</f>
        <v>0</v>
      </c>
      <c r="F1252" s="193" t="s">
        <v>107</v>
      </c>
      <c r="G1252" s="193" t="s">
        <v>111</v>
      </c>
      <c r="H1252" s="194"/>
      <c r="I1252" s="194"/>
      <c r="J1252" s="193">
        <f>'Business travel, commute, home'!B65</f>
        <v>0</v>
      </c>
      <c r="K1252" s="194"/>
      <c r="L1252" s="194"/>
      <c r="M1252" s="193">
        <f>'Business travel, commute, home'!C65</f>
        <v>0</v>
      </c>
      <c r="N1252" s="193">
        <f>'Business travel, commute, home'!D65</f>
        <v>0</v>
      </c>
      <c r="O1252" s="194"/>
      <c r="P1252" s="193">
        <f>'Business travel, commute, home'!E65</f>
        <v>0</v>
      </c>
      <c r="Q1252" s="193" t="str">
        <f>'Business travel, commute, home'!F65</f>
        <v/>
      </c>
      <c r="R1252" s="193">
        <f>'Business travel, commute, home'!G65</f>
        <v>0</v>
      </c>
      <c r="S1252" s="193" t="str">
        <f>'Business travel, commute, home'!H65</f>
        <v/>
      </c>
      <c r="T1252" s="193" t="str">
        <f>'Business travel, commute, home'!I65</f>
        <v/>
      </c>
      <c r="U1252" s="193" t="str">
        <f>'Business travel, commute, home'!J65</f>
        <v/>
      </c>
      <c r="V1252" s="193" t="str">
        <f>'Business travel, commute, home'!K65</f>
        <v/>
      </c>
      <c r="W1252" s="193" t="str">
        <f>'Business travel, commute, home'!L65</f>
        <v/>
      </c>
      <c r="X1252" s="193">
        <f>'Business travel, commute, home'!M65</f>
        <v>0</v>
      </c>
      <c r="Y1252" s="193">
        <f>'Business travel, commute, home'!N65</f>
        <v>0</v>
      </c>
      <c r="Z1252" s="193" t="str">
        <f>'Business travel, commute, home'!O65</f>
        <v/>
      </c>
      <c r="AA1252" s="193" t="str">
        <f>'Business travel, commute, home'!P65</f>
        <v/>
      </c>
      <c r="AB1252" s="193" t="str">
        <f>'Business travel, commute, home'!Q65</f>
        <v/>
      </c>
      <c r="AC1252" s="193" t="str">
        <f>'Business travel, commute, home'!R65</f>
        <v/>
      </c>
      <c r="AD1252" s="193" t="str">
        <f>'Business travel, commute, home'!S65</f>
        <v/>
      </c>
      <c r="AE1252" s="193" t="str">
        <f>'Business travel, commute, home'!T65</f>
        <v/>
      </c>
      <c r="AF1252" s="193" t="str">
        <f>'Business travel, commute, home'!U65</f>
        <v/>
      </c>
      <c r="AG1252" s="193" t="str">
        <f>'Business travel, commute, home'!V65</f>
        <v/>
      </c>
      <c r="AI1252" s="193">
        <f t="shared" si="26"/>
        <v>0</v>
      </c>
      <c r="AJ1252" s="193">
        <f t="shared" si="27"/>
        <v>0</v>
      </c>
    </row>
    <row r="1253" spans="2:36" x14ac:dyDescent="0.35">
      <c r="B1253" s="193" t="e">
        <f>"2024"&amp;MATCH(Totals!D1253,OrgType,0)&amp;"_"&amp;MATCH(Totals!E1253,Organisations,0)&amp;"_"&amp;LEFT(Totals!F1253,1)&amp;"_"&amp;LEFT(G1253,1)&amp;"_"&amp;COUNTIF($G$3:G1253,G1253)</f>
        <v>#N/A</v>
      </c>
      <c r="C1253" s="193">
        <v>2025</v>
      </c>
      <c r="D1253" s="193">
        <f>Introduction!$D$7</f>
        <v>0</v>
      </c>
      <c r="E1253" s="193">
        <f>Introduction!$D$8</f>
        <v>0</v>
      </c>
      <c r="F1253" s="193" t="s">
        <v>107</v>
      </c>
      <c r="G1253" s="193" t="s">
        <v>111</v>
      </c>
      <c r="H1253" s="194"/>
      <c r="I1253" s="194"/>
      <c r="J1253" s="193">
        <f>'Business travel, commute, home'!B66</f>
        <v>0</v>
      </c>
      <c r="K1253" s="194"/>
      <c r="L1253" s="194"/>
      <c r="M1253" s="193">
        <f>'Business travel, commute, home'!C66</f>
        <v>0</v>
      </c>
      <c r="N1253" s="193">
        <f>'Business travel, commute, home'!D66</f>
        <v>0</v>
      </c>
      <c r="O1253" s="194"/>
      <c r="P1253" s="193">
        <f>'Business travel, commute, home'!E66</f>
        <v>0</v>
      </c>
      <c r="Q1253" s="193" t="str">
        <f>'Business travel, commute, home'!F66</f>
        <v/>
      </c>
      <c r="R1253" s="193">
        <f>'Business travel, commute, home'!G66</f>
        <v>0</v>
      </c>
      <c r="S1253" s="193" t="str">
        <f>'Business travel, commute, home'!H66</f>
        <v/>
      </c>
      <c r="T1253" s="193" t="str">
        <f>'Business travel, commute, home'!I66</f>
        <v/>
      </c>
      <c r="U1253" s="193" t="str">
        <f>'Business travel, commute, home'!J66</f>
        <v/>
      </c>
      <c r="V1253" s="193" t="str">
        <f>'Business travel, commute, home'!K66</f>
        <v/>
      </c>
      <c r="W1253" s="193" t="str">
        <f>'Business travel, commute, home'!L66</f>
        <v/>
      </c>
      <c r="X1253" s="193">
        <f>'Business travel, commute, home'!M66</f>
        <v>0</v>
      </c>
      <c r="Y1253" s="193">
        <f>'Business travel, commute, home'!N66</f>
        <v>0</v>
      </c>
      <c r="Z1253" s="193" t="str">
        <f>'Business travel, commute, home'!O66</f>
        <v/>
      </c>
      <c r="AA1253" s="193" t="str">
        <f>'Business travel, commute, home'!P66</f>
        <v/>
      </c>
      <c r="AB1253" s="193" t="str">
        <f>'Business travel, commute, home'!Q66</f>
        <v/>
      </c>
      <c r="AC1253" s="193" t="str">
        <f>'Business travel, commute, home'!R66</f>
        <v/>
      </c>
      <c r="AD1253" s="193" t="str">
        <f>'Business travel, commute, home'!S66</f>
        <v/>
      </c>
      <c r="AE1253" s="193" t="str">
        <f>'Business travel, commute, home'!T66</f>
        <v/>
      </c>
      <c r="AF1253" s="193" t="str">
        <f>'Business travel, commute, home'!U66</f>
        <v/>
      </c>
      <c r="AG1253" s="193" t="str">
        <f>'Business travel, commute, home'!V66</f>
        <v/>
      </c>
      <c r="AI1253" s="193">
        <f t="shared" si="26"/>
        <v>0</v>
      </c>
      <c r="AJ1253" s="193">
        <f t="shared" si="27"/>
        <v>0</v>
      </c>
    </row>
    <row r="1254" spans="2:36" x14ac:dyDescent="0.35">
      <c r="B1254" s="193" t="e">
        <f>"2024"&amp;MATCH(Totals!D1254,OrgType,0)&amp;"_"&amp;MATCH(Totals!E1254,Organisations,0)&amp;"_"&amp;LEFT(Totals!F1254,1)&amp;"_"&amp;LEFT(G1254,1)&amp;"_"&amp;COUNTIF($G$3:G1254,G1254)</f>
        <v>#N/A</v>
      </c>
      <c r="C1254" s="193">
        <v>2025</v>
      </c>
      <c r="D1254" s="193">
        <f>Introduction!$D$7</f>
        <v>0</v>
      </c>
      <c r="E1254" s="193">
        <f>Introduction!$D$8</f>
        <v>0</v>
      </c>
      <c r="F1254" s="193" t="s">
        <v>107</v>
      </c>
      <c r="G1254" s="193" t="s">
        <v>111</v>
      </c>
      <c r="H1254" s="194"/>
      <c r="I1254" s="194"/>
      <c r="J1254" s="193">
        <f>'Business travel, commute, home'!B67</f>
        <v>0</v>
      </c>
      <c r="K1254" s="194"/>
      <c r="L1254" s="194"/>
      <c r="M1254" s="193">
        <f>'Business travel, commute, home'!C67</f>
        <v>0</v>
      </c>
      <c r="N1254" s="193">
        <f>'Business travel, commute, home'!D67</f>
        <v>0</v>
      </c>
      <c r="O1254" s="194"/>
      <c r="P1254" s="193">
        <f>'Business travel, commute, home'!E67</f>
        <v>0</v>
      </c>
      <c r="Q1254" s="193" t="str">
        <f>'Business travel, commute, home'!F67</f>
        <v/>
      </c>
      <c r="R1254" s="193">
        <f>'Business travel, commute, home'!G67</f>
        <v>0</v>
      </c>
      <c r="S1254" s="193" t="str">
        <f>'Business travel, commute, home'!H67</f>
        <v/>
      </c>
      <c r="T1254" s="193" t="str">
        <f>'Business travel, commute, home'!I67</f>
        <v/>
      </c>
      <c r="U1254" s="193" t="str">
        <f>'Business travel, commute, home'!J67</f>
        <v/>
      </c>
      <c r="V1254" s="193" t="str">
        <f>'Business travel, commute, home'!K67</f>
        <v/>
      </c>
      <c r="W1254" s="193" t="str">
        <f>'Business travel, commute, home'!L67</f>
        <v/>
      </c>
      <c r="X1254" s="193">
        <f>'Business travel, commute, home'!M67</f>
        <v>0</v>
      </c>
      <c r="Y1254" s="193">
        <f>'Business travel, commute, home'!N67</f>
        <v>0</v>
      </c>
      <c r="Z1254" s="193" t="str">
        <f>'Business travel, commute, home'!O67</f>
        <v/>
      </c>
      <c r="AA1254" s="193" t="str">
        <f>'Business travel, commute, home'!P67</f>
        <v/>
      </c>
      <c r="AB1254" s="193" t="str">
        <f>'Business travel, commute, home'!Q67</f>
        <v/>
      </c>
      <c r="AC1254" s="193" t="str">
        <f>'Business travel, commute, home'!R67</f>
        <v/>
      </c>
      <c r="AD1254" s="193" t="str">
        <f>'Business travel, commute, home'!S67</f>
        <v/>
      </c>
      <c r="AE1254" s="193" t="str">
        <f>'Business travel, commute, home'!T67</f>
        <v/>
      </c>
      <c r="AF1254" s="193" t="str">
        <f>'Business travel, commute, home'!U67</f>
        <v/>
      </c>
      <c r="AG1254" s="193" t="str">
        <f>'Business travel, commute, home'!V67</f>
        <v/>
      </c>
      <c r="AI1254" s="193">
        <f t="shared" si="26"/>
        <v>0</v>
      </c>
      <c r="AJ1254" s="193">
        <f t="shared" si="27"/>
        <v>0</v>
      </c>
    </row>
    <row r="1255" spans="2:36" x14ac:dyDescent="0.35">
      <c r="B1255" s="193" t="e">
        <f>"2024"&amp;MATCH(Totals!D1255,OrgType,0)&amp;"_"&amp;MATCH(Totals!E1255,Organisations,0)&amp;"_"&amp;LEFT(Totals!F1255,1)&amp;"_"&amp;LEFT(G1255,1)&amp;"_"&amp;COUNTIF($G$3:G1255,G1255)</f>
        <v>#N/A</v>
      </c>
      <c r="C1255" s="193">
        <v>2025</v>
      </c>
      <c r="D1255" s="193">
        <f>Introduction!$D$7</f>
        <v>0</v>
      </c>
      <c r="E1255" s="193">
        <f>Introduction!$D$8</f>
        <v>0</v>
      </c>
      <c r="F1255" s="193" t="s">
        <v>107</v>
      </c>
      <c r="G1255" s="193" t="s">
        <v>111</v>
      </c>
      <c r="H1255" s="194"/>
      <c r="I1255" s="194"/>
      <c r="J1255" s="193">
        <f>'Business travel, commute, home'!B68</f>
        <v>0</v>
      </c>
      <c r="K1255" s="194"/>
      <c r="L1255" s="194"/>
      <c r="M1255" s="193">
        <f>'Business travel, commute, home'!C68</f>
        <v>0</v>
      </c>
      <c r="N1255" s="193">
        <f>'Business travel, commute, home'!D68</f>
        <v>0</v>
      </c>
      <c r="O1255" s="194"/>
      <c r="P1255" s="193">
        <f>'Business travel, commute, home'!E68</f>
        <v>0</v>
      </c>
      <c r="Q1255" s="193" t="str">
        <f>'Business travel, commute, home'!F68</f>
        <v/>
      </c>
      <c r="R1255" s="193">
        <f>'Business travel, commute, home'!G68</f>
        <v>0</v>
      </c>
      <c r="S1255" s="193" t="str">
        <f>'Business travel, commute, home'!H68</f>
        <v/>
      </c>
      <c r="T1255" s="193" t="str">
        <f>'Business travel, commute, home'!I68</f>
        <v/>
      </c>
      <c r="U1255" s="193" t="str">
        <f>'Business travel, commute, home'!J68</f>
        <v/>
      </c>
      <c r="V1255" s="193" t="str">
        <f>'Business travel, commute, home'!K68</f>
        <v/>
      </c>
      <c r="W1255" s="193" t="str">
        <f>'Business travel, commute, home'!L68</f>
        <v/>
      </c>
      <c r="X1255" s="193">
        <f>'Business travel, commute, home'!M68</f>
        <v>0</v>
      </c>
      <c r="Y1255" s="193">
        <f>'Business travel, commute, home'!N68</f>
        <v>0</v>
      </c>
      <c r="Z1255" s="193" t="str">
        <f>'Business travel, commute, home'!O68</f>
        <v/>
      </c>
      <c r="AA1255" s="193" t="str">
        <f>'Business travel, commute, home'!P68</f>
        <v/>
      </c>
      <c r="AB1255" s="193" t="str">
        <f>'Business travel, commute, home'!Q68</f>
        <v/>
      </c>
      <c r="AC1255" s="193" t="str">
        <f>'Business travel, commute, home'!R68</f>
        <v/>
      </c>
      <c r="AD1255" s="193" t="str">
        <f>'Business travel, commute, home'!S68</f>
        <v/>
      </c>
      <c r="AE1255" s="193" t="str">
        <f>'Business travel, commute, home'!T68</f>
        <v/>
      </c>
      <c r="AF1255" s="193" t="str">
        <f>'Business travel, commute, home'!U68</f>
        <v/>
      </c>
      <c r="AG1255" s="193" t="str">
        <f>'Business travel, commute, home'!V68</f>
        <v/>
      </c>
      <c r="AI1255" s="193">
        <f t="shared" si="26"/>
        <v>0</v>
      </c>
      <c r="AJ1255" s="193">
        <f t="shared" si="27"/>
        <v>0</v>
      </c>
    </row>
    <row r="1256" spans="2:36" x14ac:dyDescent="0.35">
      <c r="B1256" s="193" t="e">
        <f>"2024"&amp;MATCH(Totals!D1256,OrgType,0)&amp;"_"&amp;MATCH(Totals!E1256,Organisations,0)&amp;"_"&amp;LEFT(Totals!F1256,1)&amp;"_"&amp;LEFT(G1256,1)&amp;"_"&amp;COUNTIF($G$3:G1256,G1256)</f>
        <v>#N/A</v>
      </c>
      <c r="C1256" s="193">
        <v>2025</v>
      </c>
      <c r="D1256" s="193">
        <f>Introduction!$D$7</f>
        <v>0</v>
      </c>
      <c r="E1256" s="193">
        <f>Introduction!$D$8</f>
        <v>0</v>
      </c>
      <c r="F1256" s="193" t="s">
        <v>107</v>
      </c>
      <c r="G1256" s="193" t="s">
        <v>111</v>
      </c>
      <c r="H1256" s="194"/>
      <c r="I1256" s="194"/>
      <c r="J1256" s="193">
        <f>'Business travel, commute, home'!B69</f>
        <v>0</v>
      </c>
      <c r="K1256" s="194"/>
      <c r="L1256" s="194"/>
      <c r="M1256" s="193">
        <f>'Business travel, commute, home'!C69</f>
        <v>0</v>
      </c>
      <c r="N1256" s="193">
        <f>'Business travel, commute, home'!D69</f>
        <v>0</v>
      </c>
      <c r="O1256" s="194"/>
      <c r="P1256" s="193">
        <f>'Business travel, commute, home'!E69</f>
        <v>0</v>
      </c>
      <c r="Q1256" s="193" t="str">
        <f>'Business travel, commute, home'!F69</f>
        <v/>
      </c>
      <c r="R1256" s="193">
        <f>'Business travel, commute, home'!G69</f>
        <v>0</v>
      </c>
      <c r="S1256" s="193" t="str">
        <f>'Business travel, commute, home'!H69</f>
        <v/>
      </c>
      <c r="T1256" s="193" t="str">
        <f>'Business travel, commute, home'!I69</f>
        <v/>
      </c>
      <c r="U1256" s="193" t="str">
        <f>'Business travel, commute, home'!J69</f>
        <v/>
      </c>
      <c r="V1256" s="193" t="str">
        <f>'Business travel, commute, home'!K69</f>
        <v/>
      </c>
      <c r="W1256" s="193" t="str">
        <f>'Business travel, commute, home'!L69</f>
        <v/>
      </c>
      <c r="X1256" s="193">
        <f>'Business travel, commute, home'!M69</f>
        <v>0</v>
      </c>
      <c r="Y1256" s="193">
        <f>'Business travel, commute, home'!N69</f>
        <v>0</v>
      </c>
      <c r="Z1256" s="193" t="str">
        <f>'Business travel, commute, home'!O69</f>
        <v/>
      </c>
      <c r="AA1256" s="193" t="str">
        <f>'Business travel, commute, home'!P69</f>
        <v/>
      </c>
      <c r="AB1256" s="193" t="str">
        <f>'Business travel, commute, home'!Q69</f>
        <v/>
      </c>
      <c r="AC1256" s="193" t="str">
        <f>'Business travel, commute, home'!R69</f>
        <v/>
      </c>
      <c r="AD1256" s="193" t="str">
        <f>'Business travel, commute, home'!S69</f>
        <v/>
      </c>
      <c r="AE1256" s="193" t="str">
        <f>'Business travel, commute, home'!T69</f>
        <v/>
      </c>
      <c r="AF1256" s="193" t="str">
        <f>'Business travel, commute, home'!U69</f>
        <v/>
      </c>
      <c r="AG1256" s="193" t="str">
        <f>'Business travel, commute, home'!V69</f>
        <v/>
      </c>
      <c r="AI1256" s="193">
        <f t="shared" si="26"/>
        <v>0</v>
      </c>
      <c r="AJ1256" s="193">
        <f t="shared" si="27"/>
        <v>0</v>
      </c>
    </row>
    <row r="1257" spans="2:36" x14ac:dyDescent="0.35">
      <c r="B1257" s="193" t="e">
        <f>"2024"&amp;MATCH(Totals!D1257,OrgType,0)&amp;"_"&amp;MATCH(Totals!E1257,Organisations,0)&amp;"_"&amp;LEFT(Totals!F1257,1)&amp;"_"&amp;LEFT(G1257,1)&amp;"_"&amp;COUNTIF($G$3:G1257,G1257)</f>
        <v>#N/A</v>
      </c>
      <c r="C1257" s="193">
        <v>2025</v>
      </c>
      <c r="D1257" s="193">
        <f>Introduction!$D$7</f>
        <v>0</v>
      </c>
      <c r="E1257" s="193">
        <f>Introduction!$D$8</f>
        <v>0</v>
      </c>
      <c r="F1257" s="193" t="s">
        <v>107</v>
      </c>
      <c r="G1257" s="193" t="s">
        <v>111</v>
      </c>
      <c r="H1257" s="194"/>
      <c r="I1257" s="194"/>
      <c r="J1257" s="193">
        <f>'Business travel, commute, home'!B70</f>
        <v>0</v>
      </c>
      <c r="K1257" s="194"/>
      <c r="L1257" s="194"/>
      <c r="M1257" s="193">
        <f>'Business travel, commute, home'!C70</f>
        <v>0</v>
      </c>
      <c r="N1257" s="193">
        <f>'Business travel, commute, home'!D70</f>
        <v>0</v>
      </c>
      <c r="O1257" s="194"/>
      <c r="P1257" s="193">
        <f>'Business travel, commute, home'!E70</f>
        <v>0</v>
      </c>
      <c r="Q1257" s="193" t="str">
        <f>'Business travel, commute, home'!F70</f>
        <v/>
      </c>
      <c r="R1257" s="193">
        <f>'Business travel, commute, home'!G70</f>
        <v>0</v>
      </c>
      <c r="S1257" s="193" t="str">
        <f>'Business travel, commute, home'!H70</f>
        <v/>
      </c>
      <c r="T1257" s="193" t="str">
        <f>'Business travel, commute, home'!I70</f>
        <v/>
      </c>
      <c r="U1257" s="193" t="str">
        <f>'Business travel, commute, home'!J70</f>
        <v/>
      </c>
      <c r="V1257" s="193" t="str">
        <f>'Business travel, commute, home'!K70</f>
        <v/>
      </c>
      <c r="W1257" s="193" t="str">
        <f>'Business travel, commute, home'!L70</f>
        <v/>
      </c>
      <c r="X1257" s="193">
        <f>'Business travel, commute, home'!M70</f>
        <v>0</v>
      </c>
      <c r="Y1257" s="193">
        <f>'Business travel, commute, home'!N70</f>
        <v>0</v>
      </c>
      <c r="Z1257" s="193" t="str">
        <f>'Business travel, commute, home'!O70</f>
        <v/>
      </c>
      <c r="AA1257" s="193" t="str">
        <f>'Business travel, commute, home'!P70</f>
        <v/>
      </c>
      <c r="AB1257" s="193" t="str">
        <f>'Business travel, commute, home'!Q70</f>
        <v/>
      </c>
      <c r="AC1257" s="193" t="str">
        <f>'Business travel, commute, home'!R70</f>
        <v/>
      </c>
      <c r="AD1257" s="193" t="str">
        <f>'Business travel, commute, home'!S70</f>
        <v/>
      </c>
      <c r="AE1257" s="193" t="str">
        <f>'Business travel, commute, home'!T70</f>
        <v/>
      </c>
      <c r="AF1257" s="193" t="str">
        <f>'Business travel, commute, home'!U70</f>
        <v/>
      </c>
      <c r="AG1257" s="193" t="str">
        <f>'Business travel, commute, home'!V70</f>
        <v/>
      </c>
      <c r="AI1257" s="193">
        <f t="shared" si="26"/>
        <v>0</v>
      </c>
      <c r="AJ1257" s="193">
        <f t="shared" si="27"/>
        <v>0</v>
      </c>
    </row>
    <row r="1258" spans="2:36" x14ac:dyDescent="0.35">
      <c r="B1258" s="193" t="e">
        <f>"2024"&amp;MATCH(Totals!D1258,OrgType,0)&amp;"_"&amp;MATCH(Totals!E1258,Organisations,0)&amp;"_"&amp;LEFT(Totals!F1258,1)&amp;"_"&amp;LEFT(G1258,1)&amp;"_"&amp;COUNTIF($G$3:G1258,G1258)</f>
        <v>#N/A</v>
      </c>
      <c r="C1258" s="193">
        <v>2025</v>
      </c>
      <c r="D1258" s="193">
        <f>Introduction!$D$7</f>
        <v>0</v>
      </c>
      <c r="E1258" s="193">
        <f>Introduction!$D$8</f>
        <v>0</v>
      </c>
      <c r="F1258" s="193" t="s">
        <v>107</v>
      </c>
      <c r="G1258" s="193" t="s">
        <v>111</v>
      </c>
      <c r="H1258" s="194"/>
      <c r="I1258" s="194"/>
      <c r="J1258" s="193">
        <f>'Business travel, commute, home'!B71</f>
        <v>0</v>
      </c>
      <c r="K1258" s="194"/>
      <c r="L1258" s="194"/>
      <c r="M1258" s="193">
        <f>'Business travel, commute, home'!C71</f>
        <v>0</v>
      </c>
      <c r="N1258" s="193">
        <f>'Business travel, commute, home'!D71</f>
        <v>0</v>
      </c>
      <c r="O1258" s="194"/>
      <c r="P1258" s="193">
        <f>'Business travel, commute, home'!E71</f>
        <v>0</v>
      </c>
      <c r="Q1258" s="193" t="str">
        <f>'Business travel, commute, home'!F71</f>
        <v/>
      </c>
      <c r="R1258" s="193">
        <f>'Business travel, commute, home'!G71</f>
        <v>0</v>
      </c>
      <c r="S1258" s="193" t="str">
        <f>'Business travel, commute, home'!H71</f>
        <v/>
      </c>
      <c r="T1258" s="193" t="str">
        <f>'Business travel, commute, home'!I71</f>
        <v/>
      </c>
      <c r="U1258" s="193" t="str">
        <f>'Business travel, commute, home'!J71</f>
        <v/>
      </c>
      <c r="V1258" s="193" t="str">
        <f>'Business travel, commute, home'!K71</f>
        <v/>
      </c>
      <c r="W1258" s="193" t="str">
        <f>'Business travel, commute, home'!L71</f>
        <v/>
      </c>
      <c r="X1258" s="193">
        <f>'Business travel, commute, home'!M71</f>
        <v>0</v>
      </c>
      <c r="Y1258" s="193">
        <f>'Business travel, commute, home'!N71</f>
        <v>0</v>
      </c>
      <c r="Z1258" s="193" t="str">
        <f>'Business travel, commute, home'!O71</f>
        <v/>
      </c>
      <c r="AA1258" s="193" t="str">
        <f>'Business travel, commute, home'!P71</f>
        <v/>
      </c>
      <c r="AB1258" s="193" t="str">
        <f>'Business travel, commute, home'!Q71</f>
        <v/>
      </c>
      <c r="AC1258" s="193" t="str">
        <f>'Business travel, commute, home'!R71</f>
        <v/>
      </c>
      <c r="AD1258" s="193" t="str">
        <f>'Business travel, commute, home'!S71</f>
        <v/>
      </c>
      <c r="AE1258" s="193" t="str">
        <f>'Business travel, commute, home'!T71</f>
        <v/>
      </c>
      <c r="AF1258" s="193" t="str">
        <f>'Business travel, commute, home'!U71</f>
        <v/>
      </c>
      <c r="AG1258" s="193" t="str">
        <f>'Business travel, commute, home'!V71</f>
        <v/>
      </c>
      <c r="AI1258" s="193">
        <f t="shared" si="26"/>
        <v>0</v>
      </c>
      <c r="AJ1258" s="193">
        <f t="shared" si="27"/>
        <v>0</v>
      </c>
    </row>
    <row r="1259" spans="2:36" x14ac:dyDescent="0.35">
      <c r="B1259" s="193" t="e">
        <f>"2024"&amp;MATCH(Totals!D1259,OrgType,0)&amp;"_"&amp;MATCH(Totals!E1259,Organisations,0)&amp;"_"&amp;LEFT(Totals!F1259,1)&amp;"_"&amp;LEFT(G1259,1)&amp;"_"&amp;COUNTIF($G$3:G1259,G1259)</f>
        <v>#N/A</v>
      </c>
      <c r="C1259" s="193">
        <v>2025</v>
      </c>
      <c r="D1259" s="193">
        <f>Introduction!$D$7</f>
        <v>0</v>
      </c>
      <c r="E1259" s="193">
        <f>Introduction!$D$8</f>
        <v>0</v>
      </c>
      <c r="F1259" s="193" t="s">
        <v>107</v>
      </c>
      <c r="G1259" s="193" t="s">
        <v>111</v>
      </c>
      <c r="H1259" s="194"/>
      <c r="I1259" s="194"/>
      <c r="J1259" s="193">
        <f>'Business travel, commute, home'!B72</f>
        <v>0</v>
      </c>
      <c r="K1259" s="194"/>
      <c r="L1259" s="194"/>
      <c r="M1259" s="193">
        <f>'Business travel, commute, home'!C72</f>
        <v>0</v>
      </c>
      <c r="N1259" s="193">
        <f>'Business travel, commute, home'!D72</f>
        <v>0</v>
      </c>
      <c r="O1259" s="194"/>
      <c r="P1259" s="193">
        <f>'Business travel, commute, home'!E72</f>
        <v>0</v>
      </c>
      <c r="Q1259" s="193" t="str">
        <f>'Business travel, commute, home'!F72</f>
        <v/>
      </c>
      <c r="R1259" s="193">
        <f>'Business travel, commute, home'!G72</f>
        <v>0</v>
      </c>
      <c r="S1259" s="193" t="str">
        <f>'Business travel, commute, home'!H72</f>
        <v/>
      </c>
      <c r="T1259" s="193" t="str">
        <f>'Business travel, commute, home'!I72</f>
        <v/>
      </c>
      <c r="U1259" s="193" t="str">
        <f>'Business travel, commute, home'!J72</f>
        <v/>
      </c>
      <c r="V1259" s="193" t="str">
        <f>'Business travel, commute, home'!K72</f>
        <v/>
      </c>
      <c r="W1259" s="193" t="str">
        <f>'Business travel, commute, home'!L72</f>
        <v/>
      </c>
      <c r="X1259" s="193">
        <f>'Business travel, commute, home'!M72</f>
        <v>0</v>
      </c>
      <c r="Y1259" s="193">
        <f>'Business travel, commute, home'!N72</f>
        <v>0</v>
      </c>
      <c r="Z1259" s="193" t="str">
        <f>'Business travel, commute, home'!O72</f>
        <v/>
      </c>
      <c r="AA1259" s="193" t="str">
        <f>'Business travel, commute, home'!P72</f>
        <v/>
      </c>
      <c r="AB1259" s="193" t="str">
        <f>'Business travel, commute, home'!Q72</f>
        <v/>
      </c>
      <c r="AC1259" s="193" t="str">
        <f>'Business travel, commute, home'!R72</f>
        <v/>
      </c>
      <c r="AD1259" s="193" t="str">
        <f>'Business travel, commute, home'!S72</f>
        <v/>
      </c>
      <c r="AE1259" s="193" t="str">
        <f>'Business travel, commute, home'!T72</f>
        <v/>
      </c>
      <c r="AF1259" s="193" t="str">
        <f>'Business travel, commute, home'!U72</f>
        <v/>
      </c>
      <c r="AG1259" s="193" t="str">
        <f>'Business travel, commute, home'!V72</f>
        <v/>
      </c>
      <c r="AI1259" s="193">
        <f t="shared" si="26"/>
        <v>0</v>
      </c>
      <c r="AJ1259" s="193">
        <f t="shared" si="27"/>
        <v>0</v>
      </c>
    </row>
    <row r="1260" spans="2:36" x14ac:dyDescent="0.35">
      <c r="B1260" s="193" t="e">
        <f>"2024"&amp;MATCH(Totals!D1260,OrgType,0)&amp;"_"&amp;MATCH(Totals!E1260,Organisations,0)&amp;"_"&amp;LEFT(Totals!F1260,1)&amp;"_"&amp;LEFT(G1260,1)&amp;"_"&amp;COUNTIF($G$3:G1260,G1260)</f>
        <v>#N/A</v>
      </c>
      <c r="C1260" s="193">
        <v>2025</v>
      </c>
      <c r="D1260" s="193">
        <f>Introduction!$D$7</f>
        <v>0</v>
      </c>
      <c r="E1260" s="193">
        <f>Introduction!$D$8</f>
        <v>0</v>
      </c>
      <c r="F1260" s="193" t="s">
        <v>107</v>
      </c>
      <c r="G1260" s="193" t="s">
        <v>111</v>
      </c>
      <c r="H1260" s="194"/>
      <c r="I1260" s="194"/>
      <c r="J1260" s="193">
        <f>'Business travel, commute, home'!B73</f>
        <v>0</v>
      </c>
      <c r="K1260" s="194"/>
      <c r="L1260" s="194"/>
      <c r="M1260" s="193">
        <f>'Business travel, commute, home'!C73</f>
        <v>0</v>
      </c>
      <c r="N1260" s="193">
        <f>'Business travel, commute, home'!D73</f>
        <v>0</v>
      </c>
      <c r="O1260" s="194"/>
      <c r="P1260" s="193">
        <f>'Business travel, commute, home'!E73</f>
        <v>0</v>
      </c>
      <c r="Q1260" s="193" t="str">
        <f>'Business travel, commute, home'!F73</f>
        <v/>
      </c>
      <c r="R1260" s="193">
        <f>'Business travel, commute, home'!G73</f>
        <v>0</v>
      </c>
      <c r="S1260" s="193" t="str">
        <f>'Business travel, commute, home'!H73</f>
        <v/>
      </c>
      <c r="T1260" s="193" t="str">
        <f>'Business travel, commute, home'!I73</f>
        <v/>
      </c>
      <c r="U1260" s="193" t="str">
        <f>'Business travel, commute, home'!J73</f>
        <v/>
      </c>
      <c r="V1260" s="193" t="str">
        <f>'Business travel, commute, home'!K73</f>
        <v/>
      </c>
      <c r="W1260" s="193" t="str">
        <f>'Business travel, commute, home'!L73</f>
        <v/>
      </c>
      <c r="X1260" s="193">
        <f>'Business travel, commute, home'!M73</f>
        <v>0</v>
      </c>
      <c r="Y1260" s="193">
        <f>'Business travel, commute, home'!N73</f>
        <v>0</v>
      </c>
      <c r="Z1260" s="193" t="str">
        <f>'Business travel, commute, home'!O73</f>
        <v/>
      </c>
      <c r="AA1260" s="193" t="str">
        <f>'Business travel, commute, home'!P73</f>
        <v/>
      </c>
      <c r="AB1260" s="193" t="str">
        <f>'Business travel, commute, home'!Q73</f>
        <v/>
      </c>
      <c r="AC1260" s="193" t="str">
        <f>'Business travel, commute, home'!R73</f>
        <v/>
      </c>
      <c r="AD1260" s="193" t="str">
        <f>'Business travel, commute, home'!S73</f>
        <v/>
      </c>
      <c r="AE1260" s="193" t="str">
        <f>'Business travel, commute, home'!T73</f>
        <v/>
      </c>
      <c r="AF1260" s="193" t="str">
        <f>'Business travel, commute, home'!U73</f>
        <v/>
      </c>
      <c r="AG1260" s="193" t="str">
        <f>'Business travel, commute, home'!V73</f>
        <v/>
      </c>
      <c r="AI1260" s="193">
        <f t="shared" si="26"/>
        <v>0</v>
      </c>
      <c r="AJ1260" s="193">
        <f t="shared" si="27"/>
        <v>0</v>
      </c>
    </row>
    <row r="1261" spans="2:36" x14ac:dyDescent="0.35">
      <c r="B1261" s="193" t="e">
        <f>"2024"&amp;MATCH(Totals!D1261,OrgType,0)&amp;"_"&amp;MATCH(Totals!E1261,Organisations,0)&amp;"_"&amp;LEFT(Totals!F1261,1)&amp;"_"&amp;LEFT(G1261,1)&amp;"_"&amp;COUNTIF($G$3:G1261,G1261)</f>
        <v>#N/A</v>
      </c>
      <c r="C1261" s="193">
        <v>2025</v>
      </c>
      <c r="D1261" s="193">
        <f>Introduction!$D$7</f>
        <v>0</v>
      </c>
      <c r="E1261" s="193">
        <f>Introduction!$D$8</f>
        <v>0</v>
      </c>
      <c r="F1261" s="193" t="s">
        <v>107</v>
      </c>
      <c r="G1261" s="193" t="s">
        <v>111</v>
      </c>
      <c r="H1261" s="194"/>
      <c r="I1261" s="194"/>
      <c r="J1261" s="193">
        <f>'Business travel, commute, home'!B74</f>
        <v>0</v>
      </c>
      <c r="K1261" s="194"/>
      <c r="L1261" s="194"/>
      <c r="M1261" s="193">
        <f>'Business travel, commute, home'!C74</f>
        <v>0</v>
      </c>
      <c r="N1261" s="193">
        <f>'Business travel, commute, home'!D74</f>
        <v>0</v>
      </c>
      <c r="O1261" s="194"/>
      <c r="P1261" s="193">
        <f>'Business travel, commute, home'!E74</f>
        <v>0</v>
      </c>
      <c r="Q1261" s="193" t="str">
        <f>'Business travel, commute, home'!F74</f>
        <v/>
      </c>
      <c r="R1261" s="193">
        <f>'Business travel, commute, home'!G74</f>
        <v>0</v>
      </c>
      <c r="S1261" s="193" t="str">
        <f>'Business travel, commute, home'!H74</f>
        <v/>
      </c>
      <c r="T1261" s="193" t="str">
        <f>'Business travel, commute, home'!I74</f>
        <v/>
      </c>
      <c r="U1261" s="193" t="str">
        <f>'Business travel, commute, home'!J74</f>
        <v/>
      </c>
      <c r="V1261" s="193" t="str">
        <f>'Business travel, commute, home'!K74</f>
        <v/>
      </c>
      <c r="W1261" s="193" t="str">
        <f>'Business travel, commute, home'!L74</f>
        <v/>
      </c>
      <c r="X1261" s="193">
        <f>'Business travel, commute, home'!M74</f>
        <v>0</v>
      </c>
      <c r="Y1261" s="193">
        <f>'Business travel, commute, home'!N74</f>
        <v>0</v>
      </c>
      <c r="Z1261" s="193" t="str">
        <f>'Business travel, commute, home'!O74</f>
        <v/>
      </c>
      <c r="AA1261" s="193" t="str">
        <f>'Business travel, commute, home'!P74</f>
        <v/>
      </c>
      <c r="AB1261" s="193" t="str">
        <f>'Business travel, commute, home'!Q74</f>
        <v/>
      </c>
      <c r="AC1261" s="193" t="str">
        <f>'Business travel, commute, home'!R74</f>
        <v/>
      </c>
      <c r="AD1261" s="193" t="str">
        <f>'Business travel, commute, home'!S74</f>
        <v/>
      </c>
      <c r="AE1261" s="193" t="str">
        <f>'Business travel, commute, home'!T74</f>
        <v/>
      </c>
      <c r="AF1261" s="193" t="str">
        <f>'Business travel, commute, home'!U74</f>
        <v/>
      </c>
      <c r="AG1261" s="193" t="str">
        <f>'Business travel, commute, home'!V74</f>
        <v/>
      </c>
      <c r="AI1261" s="193">
        <f t="shared" si="26"/>
        <v>0</v>
      </c>
      <c r="AJ1261" s="193">
        <f t="shared" si="27"/>
        <v>0</v>
      </c>
    </row>
    <row r="1262" spans="2:36" x14ac:dyDescent="0.35">
      <c r="B1262" s="193" t="e">
        <f>"2024"&amp;MATCH(Totals!D1262,OrgType,0)&amp;"_"&amp;MATCH(Totals!E1262,Organisations,0)&amp;"_"&amp;LEFT(Totals!F1262,1)&amp;"_"&amp;LEFT(G1262,1)&amp;"_"&amp;COUNTIF($G$3:G1262,G1262)</f>
        <v>#N/A</v>
      </c>
      <c r="C1262" s="193">
        <v>2025</v>
      </c>
      <c r="D1262" s="193">
        <f>Introduction!$D$7</f>
        <v>0</v>
      </c>
      <c r="E1262" s="193">
        <f>Introduction!$D$8</f>
        <v>0</v>
      </c>
      <c r="F1262" s="193" t="s">
        <v>105</v>
      </c>
      <c r="G1262" s="193" t="s">
        <v>105</v>
      </c>
      <c r="H1262" s="194"/>
      <c r="I1262" s="194"/>
      <c r="J1262" s="193" t="str">
        <f>'Medical gases (NHS only)'!B7</f>
        <v>Medical gas</v>
      </c>
      <c r="K1262" s="194"/>
      <c r="L1262" s="194"/>
      <c r="M1262" s="193">
        <f>'Medical gases (NHS only)'!C7</f>
        <v>0</v>
      </c>
      <c r="N1262" s="193">
        <f>'Medical gases (NHS only)'!D7</f>
        <v>0</v>
      </c>
      <c r="O1262" s="194"/>
      <c r="P1262" s="193">
        <f>'Medical gases (NHS only)'!E7</f>
        <v>0</v>
      </c>
      <c r="Q1262" s="193" t="str">
        <f>'Medical gases (NHS only)'!F7</f>
        <v/>
      </c>
      <c r="R1262" s="193">
        <f>'Medical gases (NHS only)'!G7</f>
        <v>0</v>
      </c>
      <c r="S1262" s="193">
        <f>'Medical gases (NHS only)'!H7</f>
        <v>0</v>
      </c>
      <c r="T1262" s="193" t="str">
        <f>'Medical gases (NHS only)'!I7</f>
        <v/>
      </c>
      <c r="U1262" s="193" t="str">
        <f>'Medical gases (NHS only)'!J7</f>
        <v>Litres</v>
      </c>
      <c r="V1262" s="193" t="str">
        <f>'Medical gases (NHS only)'!K7</f>
        <v/>
      </c>
      <c r="W1262" s="193" t="str">
        <f>'Medical gases (NHS only)'!L7</f>
        <v/>
      </c>
      <c r="X1262" s="193">
        <f>'Medical gases (NHS only)'!M7</f>
        <v>0</v>
      </c>
      <c r="Y1262" s="193">
        <f>'Medical gases (NHS only)'!N7</f>
        <v>0</v>
      </c>
      <c r="Z1262" s="193" t="str">
        <f>'Medical gases (NHS only)'!O7</f>
        <v/>
      </c>
      <c r="AA1262" s="193">
        <f>'Medical gases (NHS only)'!P7</f>
        <v>0</v>
      </c>
      <c r="AB1262" s="193">
        <f>'Medical gases (NHS only)'!Q7</f>
        <v>0</v>
      </c>
      <c r="AC1262" s="193">
        <f>'Medical gases (NHS only)'!R7</f>
        <v>0</v>
      </c>
      <c r="AD1262" s="193">
        <f>'Medical gases (NHS only)'!S7</f>
        <v>0</v>
      </c>
      <c r="AE1262" s="193" t="str">
        <f>'Medical gases (NHS only)'!T7</f>
        <v/>
      </c>
      <c r="AF1262" s="193" t="str">
        <f>'Medical gases (NHS only)'!U7</f>
        <v/>
      </c>
      <c r="AG1262" s="193">
        <f>'Medical gases (NHS only)'!V7</f>
        <v>0</v>
      </c>
      <c r="AI1262" s="193">
        <f t="shared" si="26"/>
        <v>0</v>
      </c>
      <c r="AJ1262" s="193">
        <f t="shared" si="27"/>
        <v>0</v>
      </c>
    </row>
    <row r="1263" spans="2:36" x14ac:dyDescent="0.35">
      <c r="B1263" s="193" t="e">
        <f>"2024"&amp;MATCH(Totals!D1263,OrgType,0)&amp;"_"&amp;MATCH(Totals!E1263,Organisations,0)&amp;"_"&amp;LEFT(Totals!F1263,1)&amp;"_"&amp;LEFT(G1263,1)&amp;"_"&amp;COUNTIF($G$3:G1263,G1263)</f>
        <v>#N/A</v>
      </c>
      <c r="C1263" s="193">
        <v>2025</v>
      </c>
      <c r="D1263" s="193">
        <f>Introduction!$D$7</f>
        <v>0</v>
      </c>
      <c r="E1263" s="193">
        <f>Introduction!$D$8</f>
        <v>0</v>
      </c>
      <c r="F1263" s="193" t="s">
        <v>105</v>
      </c>
      <c r="G1263" s="193" t="s">
        <v>105</v>
      </c>
      <c r="H1263" s="194"/>
      <c r="I1263" s="194"/>
      <c r="J1263" s="193" t="str">
        <f>'Medical gases (NHS only)'!B8</f>
        <v>Medical gas</v>
      </c>
      <c r="K1263" s="194"/>
      <c r="L1263" s="194"/>
      <c r="M1263" s="193">
        <f>'Medical gases (NHS only)'!C8</f>
        <v>0</v>
      </c>
      <c r="N1263" s="193">
        <f>'Medical gases (NHS only)'!D8</f>
        <v>0</v>
      </c>
      <c r="O1263" s="194"/>
      <c r="P1263" s="193">
        <f>'Medical gases (NHS only)'!E8</f>
        <v>0</v>
      </c>
      <c r="Q1263" s="193" t="str">
        <f>'Medical gases (NHS only)'!F8</f>
        <v/>
      </c>
      <c r="R1263" s="193">
        <f>'Medical gases (NHS only)'!G8</f>
        <v>0</v>
      </c>
      <c r="S1263" s="193">
        <f>'Medical gases (NHS only)'!H8</f>
        <v>0</v>
      </c>
      <c r="T1263" s="193" t="str">
        <f>'Medical gases (NHS only)'!I8</f>
        <v/>
      </c>
      <c r="U1263" s="193" t="str">
        <f>'Medical gases (NHS only)'!J8</f>
        <v>Litres</v>
      </c>
      <c r="V1263" s="193" t="str">
        <f>'Medical gases (NHS only)'!K8</f>
        <v/>
      </c>
      <c r="W1263" s="193" t="str">
        <f>'Medical gases (NHS only)'!L8</f>
        <v/>
      </c>
      <c r="X1263" s="193">
        <f>'Medical gases (NHS only)'!M8</f>
        <v>0</v>
      </c>
      <c r="Y1263" s="193">
        <f>'Medical gases (NHS only)'!N8</f>
        <v>0</v>
      </c>
      <c r="Z1263" s="193" t="str">
        <f>'Medical gases (NHS only)'!O8</f>
        <v/>
      </c>
      <c r="AA1263" s="193">
        <f>'Medical gases (NHS only)'!P8</f>
        <v>0</v>
      </c>
      <c r="AB1263" s="193">
        <f>'Medical gases (NHS only)'!Q8</f>
        <v>0</v>
      </c>
      <c r="AC1263" s="193">
        <f>'Medical gases (NHS only)'!R8</f>
        <v>0</v>
      </c>
      <c r="AD1263" s="193">
        <f>'Medical gases (NHS only)'!S8</f>
        <v>0</v>
      </c>
      <c r="AE1263" s="193" t="str">
        <f>'Medical gases (NHS only)'!T8</f>
        <v/>
      </c>
      <c r="AF1263" s="193" t="str">
        <f>'Medical gases (NHS only)'!U8</f>
        <v/>
      </c>
      <c r="AG1263" s="193">
        <f>'Medical gases (NHS only)'!V8</f>
        <v>0</v>
      </c>
      <c r="AI1263" s="193">
        <f t="shared" si="26"/>
        <v>0</v>
      </c>
      <c r="AJ1263" s="193">
        <f t="shared" si="27"/>
        <v>0</v>
      </c>
    </row>
    <row r="1264" spans="2:36" x14ac:dyDescent="0.35">
      <c r="B1264" s="193" t="e">
        <f>"2024"&amp;MATCH(Totals!D1264,OrgType,0)&amp;"_"&amp;MATCH(Totals!E1264,Organisations,0)&amp;"_"&amp;LEFT(Totals!F1264,1)&amp;"_"&amp;LEFT(G1264,1)&amp;"_"&amp;COUNTIF($G$3:G1264,G1264)</f>
        <v>#N/A</v>
      </c>
      <c r="C1264" s="193">
        <v>2025</v>
      </c>
      <c r="D1264" s="193">
        <f>Introduction!$D$7</f>
        <v>0</v>
      </c>
      <c r="E1264" s="193">
        <f>Introduction!$D$8</f>
        <v>0</v>
      </c>
      <c r="F1264" s="193" t="s">
        <v>105</v>
      </c>
      <c r="G1264" s="193" t="s">
        <v>105</v>
      </c>
      <c r="H1264" s="194"/>
      <c r="I1264" s="194"/>
      <c r="J1264" s="193" t="str">
        <f>'Medical gases (NHS only)'!B9</f>
        <v>Medical gas</v>
      </c>
      <c r="K1264" s="194"/>
      <c r="L1264" s="194"/>
      <c r="M1264" s="193">
        <f>'Medical gases (NHS only)'!C9</f>
        <v>0</v>
      </c>
      <c r="N1264" s="193">
        <f>'Medical gases (NHS only)'!D9</f>
        <v>0</v>
      </c>
      <c r="O1264" s="194"/>
      <c r="P1264" s="193">
        <f>'Medical gases (NHS only)'!E9</f>
        <v>0</v>
      </c>
      <c r="Q1264" s="193" t="str">
        <f>'Medical gases (NHS only)'!F9</f>
        <v/>
      </c>
      <c r="R1264" s="193">
        <f>'Medical gases (NHS only)'!G9</f>
        <v>0</v>
      </c>
      <c r="S1264" s="193">
        <f>'Medical gases (NHS only)'!H9</f>
        <v>0</v>
      </c>
      <c r="T1264" s="193" t="str">
        <f>'Medical gases (NHS only)'!I9</f>
        <v/>
      </c>
      <c r="U1264" s="193" t="str">
        <f>'Medical gases (NHS only)'!J9</f>
        <v>Litres</v>
      </c>
      <c r="V1264" s="193" t="str">
        <f>'Medical gases (NHS only)'!K9</f>
        <v/>
      </c>
      <c r="W1264" s="193" t="str">
        <f>'Medical gases (NHS only)'!L9</f>
        <v/>
      </c>
      <c r="X1264" s="193">
        <f>'Medical gases (NHS only)'!M9</f>
        <v>0</v>
      </c>
      <c r="Y1264" s="193">
        <f>'Medical gases (NHS only)'!N9</f>
        <v>0</v>
      </c>
      <c r="Z1264" s="193" t="str">
        <f>'Medical gases (NHS only)'!O9</f>
        <v/>
      </c>
      <c r="AA1264" s="193">
        <f>'Medical gases (NHS only)'!P9</f>
        <v>0</v>
      </c>
      <c r="AB1264" s="193">
        <f>'Medical gases (NHS only)'!Q9</f>
        <v>0</v>
      </c>
      <c r="AC1264" s="193">
        <f>'Medical gases (NHS only)'!R9</f>
        <v>0</v>
      </c>
      <c r="AD1264" s="193">
        <f>'Medical gases (NHS only)'!S9</f>
        <v>0</v>
      </c>
      <c r="AE1264" s="193" t="str">
        <f>'Medical gases (NHS only)'!T9</f>
        <v/>
      </c>
      <c r="AF1264" s="193" t="str">
        <f>'Medical gases (NHS only)'!U9</f>
        <v/>
      </c>
      <c r="AG1264" s="193">
        <f>'Medical gases (NHS only)'!V9</f>
        <v>0</v>
      </c>
      <c r="AI1264" s="193">
        <f t="shared" si="26"/>
        <v>0</v>
      </c>
      <c r="AJ1264" s="193">
        <f t="shared" si="27"/>
        <v>0</v>
      </c>
    </row>
    <row r="1265" spans="2:36" x14ac:dyDescent="0.35">
      <c r="B1265" s="193" t="e">
        <f>"2024"&amp;MATCH(Totals!D1265,OrgType,0)&amp;"_"&amp;MATCH(Totals!E1265,Organisations,0)&amp;"_"&amp;LEFT(Totals!F1265,1)&amp;"_"&amp;LEFT(G1265,1)&amp;"_"&amp;COUNTIF($G$3:G1265,G1265)</f>
        <v>#N/A</v>
      </c>
      <c r="C1265" s="193">
        <v>2025</v>
      </c>
      <c r="D1265" s="193">
        <f>Introduction!$D$7</f>
        <v>0</v>
      </c>
      <c r="E1265" s="193">
        <f>Introduction!$D$8</f>
        <v>0</v>
      </c>
      <c r="F1265" s="193" t="s">
        <v>105</v>
      </c>
      <c r="G1265" s="193" t="s">
        <v>105</v>
      </c>
      <c r="H1265" s="194"/>
      <c r="I1265" s="194"/>
      <c r="J1265" s="193" t="str">
        <f>'Medical gases (NHS only)'!B10</f>
        <v>Medical gas</v>
      </c>
      <c r="K1265" s="194"/>
      <c r="L1265" s="194"/>
      <c r="M1265" s="193">
        <f>'Medical gases (NHS only)'!C10</f>
        <v>0</v>
      </c>
      <c r="N1265" s="193">
        <f>'Medical gases (NHS only)'!D10</f>
        <v>0</v>
      </c>
      <c r="O1265" s="194"/>
      <c r="P1265" s="193">
        <f>'Medical gases (NHS only)'!E10</f>
        <v>0</v>
      </c>
      <c r="Q1265" s="193" t="str">
        <f>'Medical gases (NHS only)'!F10</f>
        <v/>
      </c>
      <c r="R1265" s="193">
        <f>'Medical gases (NHS only)'!G10</f>
        <v>0</v>
      </c>
      <c r="S1265" s="193">
        <f>'Medical gases (NHS only)'!H10</f>
        <v>0</v>
      </c>
      <c r="T1265" s="193" t="str">
        <f>'Medical gases (NHS only)'!I10</f>
        <v/>
      </c>
      <c r="U1265" s="193" t="str">
        <f>'Medical gases (NHS only)'!J10</f>
        <v>Litres</v>
      </c>
      <c r="V1265" s="193" t="str">
        <f>'Medical gases (NHS only)'!K10</f>
        <v/>
      </c>
      <c r="W1265" s="193" t="str">
        <f>'Medical gases (NHS only)'!L10</f>
        <v/>
      </c>
      <c r="X1265" s="193">
        <f>'Medical gases (NHS only)'!M10</f>
        <v>0</v>
      </c>
      <c r="Y1265" s="193">
        <f>'Medical gases (NHS only)'!N10</f>
        <v>0</v>
      </c>
      <c r="Z1265" s="193" t="str">
        <f>'Medical gases (NHS only)'!O10</f>
        <v/>
      </c>
      <c r="AA1265" s="193">
        <f>'Medical gases (NHS only)'!P10</f>
        <v>0</v>
      </c>
      <c r="AB1265" s="193">
        <f>'Medical gases (NHS only)'!Q10</f>
        <v>0</v>
      </c>
      <c r="AC1265" s="193">
        <f>'Medical gases (NHS only)'!R10</f>
        <v>0</v>
      </c>
      <c r="AD1265" s="193">
        <f>'Medical gases (NHS only)'!S10</f>
        <v>0</v>
      </c>
      <c r="AE1265" s="193" t="str">
        <f>'Medical gases (NHS only)'!T10</f>
        <v/>
      </c>
      <c r="AF1265" s="193" t="str">
        <f>'Medical gases (NHS only)'!U10</f>
        <v/>
      </c>
      <c r="AG1265" s="193">
        <f>'Medical gases (NHS only)'!V10</f>
        <v>0</v>
      </c>
      <c r="AI1265" s="193">
        <f t="shared" si="26"/>
        <v>0</v>
      </c>
      <c r="AJ1265" s="193">
        <f t="shared" si="27"/>
        <v>0</v>
      </c>
    </row>
    <row r="1266" spans="2:36" x14ac:dyDescent="0.35">
      <c r="B1266" s="193" t="e">
        <f>"2024"&amp;MATCH(Totals!D1266,OrgType,0)&amp;"_"&amp;MATCH(Totals!E1266,Organisations,0)&amp;"_"&amp;LEFT(Totals!F1266,1)&amp;"_"&amp;LEFT(G1266,1)&amp;"_"&amp;COUNTIF($G$3:G1266,G1266)</f>
        <v>#N/A</v>
      </c>
      <c r="C1266" s="193">
        <v>2025</v>
      </c>
      <c r="D1266" s="193">
        <f>Introduction!$D$7</f>
        <v>0</v>
      </c>
      <c r="E1266" s="193">
        <f>Introduction!$D$8</f>
        <v>0</v>
      </c>
      <c r="F1266" s="193" t="s">
        <v>105</v>
      </c>
      <c r="G1266" s="193" t="s">
        <v>105</v>
      </c>
      <c r="H1266" s="194"/>
      <c r="I1266" s="194"/>
      <c r="J1266" s="193" t="str">
        <f>'Medical gases (NHS only)'!B11</f>
        <v>Medical gas</v>
      </c>
      <c r="K1266" s="194"/>
      <c r="L1266" s="194"/>
      <c r="M1266" s="193">
        <f>'Medical gases (NHS only)'!C11</f>
        <v>0</v>
      </c>
      <c r="N1266" s="193">
        <f>'Medical gases (NHS only)'!D11</f>
        <v>0</v>
      </c>
      <c r="O1266" s="194"/>
      <c r="P1266" s="193">
        <f>'Medical gases (NHS only)'!E11</f>
        <v>0</v>
      </c>
      <c r="Q1266" s="193" t="str">
        <f>'Medical gases (NHS only)'!F11</f>
        <v/>
      </c>
      <c r="R1266" s="193">
        <f>'Medical gases (NHS only)'!G11</f>
        <v>0</v>
      </c>
      <c r="S1266" s="193">
        <f>'Medical gases (NHS only)'!H11</f>
        <v>0</v>
      </c>
      <c r="T1266" s="193" t="str">
        <f>'Medical gases (NHS only)'!I11</f>
        <v/>
      </c>
      <c r="U1266" s="193" t="str">
        <f>'Medical gases (NHS only)'!J11</f>
        <v>Litres</v>
      </c>
      <c r="V1266" s="193" t="str">
        <f>'Medical gases (NHS only)'!K11</f>
        <v/>
      </c>
      <c r="W1266" s="193" t="str">
        <f>'Medical gases (NHS only)'!L11</f>
        <v/>
      </c>
      <c r="X1266" s="193">
        <f>'Medical gases (NHS only)'!M11</f>
        <v>0</v>
      </c>
      <c r="Y1266" s="193">
        <f>'Medical gases (NHS only)'!N11</f>
        <v>0</v>
      </c>
      <c r="Z1266" s="193" t="str">
        <f>'Medical gases (NHS only)'!O11</f>
        <v/>
      </c>
      <c r="AA1266" s="193">
        <f>'Medical gases (NHS only)'!P11</f>
        <v>0</v>
      </c>
      <c r="AB1266" s="193">
        <f>'Medical gases (NHS only)'!Q11</f>
        <v>0</v>
      </c>
      <c r="AC1266" s="193">
        <f>'Medical gases (NHS only)'!R11</f>
        <v>0</v>
      </c>
      <c r="AD1266" s="193">
        <f>'Medical gases (NHS only)'!S11</f>
        <v>0</v>
      </c>
      <c r="AE1266" s="193" t="str">
        <f>'Medical gases (NHS only)'!T11</f>
        <v/>
      </c>
      <c r="AF1266" s="193" t="str">
        <f>'Medical gases (NHS only)'!U11</f>
        <v/>
      </c>
      <c r="AG1266" s="193">
        <f>'Medical gases (NHS only)'!V11</f>
        <v>0</v>
      </c>
      <c r="AI1266" s="193">
        <f t="shared" si="26"/>
        <v>0</v>
      </c>
      <c r="AJ1266" s="193">
        <f t="shared" si="27"/>
        <v>0</v>
      </c>
    </row>
    <row r="1267" spans="2:36" x14ac:dyDescent="0.35">
      <c r="B1267" s="193" t="e">
        <f>"2024"&amp;MATCH(Totals!D1267,OrgType,0)&amp;"_"&amp;MATCH(Totals!E1267,Organisations,0)&amp;"_"&amp;LEFT(Totals!F1267,1)&amp;"_"&amp;LEFT(G1267,1)&amp;"_"&amp;COUNTIF($G$3:G1267,G1267)</f>
        <v>#N/A</v>
      </c>
      <c r="C1267" s="193">
        <v>2025</v>
      </c>
      <c r="D1267" s="193">
        <f>Introduction!$D$7</f>
        <v>0</v>
      </c>
      <c r="E1267" s="193">
        <f>Introduction!$D$8</f>
        <v>0</v>
      </c>
      <c r="F1267" s="193" t="s">
        <v>105</v>
      </c>
      <c r="G1267" s="193" t="s">
        <v>105</v>
      </c>
      <c r="H1267" s="194"/>
      <c r="I1267" s="194"/>
      <c r="J1267" s="193" t="str">
        <f>'Medical gases (NHS only)'!B12</f>
        <v>Medical gas</v>
      </c>
      <c r="K1267" s="194"/>
      <c r="L1267" s="194"/>
      <c r="M1267" s="193">
        <f>'Medical gases (NHS only)'!C12</f>
        <v>0</v>
      </c>
      <c r="N1267" s="193">
        <f>'Medical gases (NHS only)'!D12</f>
        <v>0</v>
      </c>
      <c r="O1267" s="194"/>
      <c r="P1267" s="193">
        <f>'Medical gases (NHS only)'!E12</f>
        <v>0</v>
      </c>
      <c r="Q1267" s="193" t="str">
        <f>'Medical gases (NHS only)'!F12</f>
        <v/>
      </c>
      <c r="R1267" s="193">
        <f>'Medical gases (NHS only)'!G12</f>
        <v>0</v>
      </c>
      <c r="S1267" s="193">
        <f>'Medical gases (NHS only)'!H12</f>
        <v>0</v>
      </c>
      <c r="T1267" s="193" t="str">
        <f>'Medical gases (NHS only)'!I12</f>
        <v/>
      </c>
      <c r="U1267" s="193" t="str">
        <f>'Medical gases (NHS only)'!J12</f>
        <v>Litres</v>
      </c>
      <c r="V1267" s="193" t="str">
        <f>'Medical gases (NHS only)'!K12</f>
        <v/>
      </c>
      <c r="W1267" s="193" t="str">
        <f>'Medical gases (NHS only)'!L12</f>
        <v/>
      </c>
      <c r="X1267" s="193">
        <f>'Medical gases (NHS only)'!M12</f>
        <v>0</v>
      </c>
      <c r="Y1267" s="193">
        <f>'Medical gases (NHS only)'!N12</f>
        <v>0</v>
      </c>
      <c r="Z1267" s="193" t="str">
        <f>'Medical gases (NHS only)'!O12</f>
        <v/>
      </c>
      <c r="AA1267" s="193">
        <f>'Medical gases (NHS only)'!P12</f>
        <v>0</v>
      </c>
      <c r="AB1267" s="193">
        <f>'Medical gases (NHS only)'!Q12</f>
        <v>0</v>
      </c>
      <c r="AC1267" s="193">
        <f>'Medical gases (NHS only)'!R12</f>
        <v>0</v>
      </c>
      <c r="AD1267" s="193">
        <f>'Medical gases (NHS only)'!S12</f>
        <v>0</v>
      </c>
      <c r="AE1267" s="193" t="str">
        <f>'Medical gases (NHS only)'!T12</f>
        <v/>
      </c>
      <c r="AF1267" s="193" t="str">
        <f>'Medical gases (NHS only)'!U12</f>
        <v/>
      </c>
      <c r="AG1267" s="193">
        <f>'Medical gases (NHS only)'!V12</f>
        <v>0</v>
      </c>
      <c r="AI1267" s="193">
        <f t="shared" si="26"/>
        <v>0</v>
      </c>
      <c r="AJ1267" s="193">
        <f t="shared" si="27"/>
        <v>0</v>
      </c>
    </row>
    <row r="1268" spans="2:36" x14ac:dyDescent="0.35">
      <c r="B1268" s="193" t="e">
        <f>"2024"&amp;MATCH(Totals!D1268,OrgType,0)&amp;"_"&amp;MATCH(Totals!E1268,Organisations,0)&amp;"_"&amp;LEFT(Totals!F1268,1)&amp;"_"&amp;LEFT(G1268,1)&amp;"_"&amp;COUNTIF($G$3:G1268,G1268)</f>
        <v>#N/A</v>
      </c>
      <c r="C1268" s="193">
        <v>2025</v>
      </c>
      <c r="D1268" s="193">
        <f>Introduction!$D$7</f>
        <v>0</v>
      </c>
      <c r="E1268" s="193">
        <f>Introduction!$D$8</f>
        <v>0</v>
      </c>
      <c r="F1268" s="193" t="s">
        <v>105</v>
      </c>
      <c r="G1268" s="193" t="s">
        <v>105</v>
      </c>
      <c r="H1268" s="194"/>
      <c r="I1268" s="194"/>
      <c r="J1268" s="193" t="str">
        <f>'Medical gases (NHS only)'!B13</f>
        <v>Medical gas</v>
      </c>
      <c r="K1268" s="194"/>
      <c r="L1268" s="194"/>
      <c r="M1268" s="193">
        <f>'Medical gases (NHS only)'!C13</f>
        <v>0</v>
      </c>
      <c r="N1268" s="193">
        <f>'Medical gases (NHS only)'!D13</f>
        <v>0</v>
      </c>
      <c r="O1268" s="194"/>
      <c r="P1268" s="193">
        <f>'Medical gases (NHS only)'!E13</f>
        <v>0</v>
      </c>
      <c r="Q1268" s="193" t="str">
        <f>'Medical gases (NHS only)'!F13</f>
        <v/>
      </c>
      <c r="R1268" s="193">
        <f>'Medical gases (NHS only)'!G13</f>
        <v>0</v>
      </c>
      <c r="S1268" s="193">
        <f>'Medical gases (NHS only)'!H13</f>
        <v>0</v>
      </c>
      <c r="T1268" s="193" t="str">
        <f>'Medical gases (NHS only)'!I13</f>
        <v/>
      </c>
      <c r="U1268" s="193" t="str">
        <f>'Medical gases (NHS only)'!J13</f>
        <v>Litres</v>
      </c>
      <c r="V1268" s="193" t="str">
        <f>'Medical gases (NHS only)'!K13</f>
        <v/>
      </c>
      <c r="W1268" s="193" t="str">
        <f>'Medical gases (NHS only)'!L13</f>
        <v/>
      </c>
      <c r="X1268" s="193">
        <f>'Medical gases (NHS only)'!M13</f>
        <v>0</v>
      </c>
      <c r="Y1268" s="193">
        <f>'Medical gases (NHS only)'!N13</f>
        <v>0</v>
      </c>
      <c r="Z1268" s="193" t="str">
        <f>'Medical gases (NHS only)'!O13</f>
        <v/>
      </c>
      <c r="AA1268" s="193">
        <f>'Medical gases (NHS only)'!P13</f>
        <v>0</v>
      </c>
      <c r="AB1268" s="193">
        <f>'Medical gases (NHS only)'!Q13</f>
        <v>0</v>
      </c>
      <c r="AC1268" s="193">
        <f>'Medical gases (NHS only)'!R13</f>
        <v>0</v>
      </c>
      <c r="AD1268" s="193">
        <f>'Medical gases (NHS only)'!S13</f>
        <v>0</v>
      </c>
      <c r="AE1268" s="193" t="str">
        <f>'Medical gases (NHS only)'!T13</f>
        <v/>
      </c>
      <c r="AF1268" s="193" t="str">
        <f>'Medical gases (NHS only)'!U13</f>
        <v/>
      </c>
      <c r="AG1268" s="193">
        <f>'Medical gases (NHS only)'!V13</f>
        <v>0</v>
      </c>
      <c r="AI1268" s="193">
        <f t="shared" si="26"/>
        <v>0</v>
      </c>
      <c r="AJ1268" s="193">
        <f t="shared" si="27"/>
        <v>0</v>
      </c>
    </row>
    <row r="1269" spans="2:36" x14ac:dyDescent="0.35">
      <c r="B1269" s="193" t="e">
        <f>"2024"&amp;MATCH(Totals!D1269,OrgType,0)&amp;"_"&amp;MATCH(Totals!E1269,Organisations,0)&amp;"_"&amp;LEFT(Totals!F1269,1)&amp;"_"&amp;LEFT(G1269,1)&amp;"_"&amp;COUNTIF($G$3:G1269,G1269)</f>
        <v>#N/A</v>
      </c>
      <c r="C1269" s="193">
        <v>2025</v>
      </c>
      <c r="D1269" s="193">
        <f>Introduction!$D$7</f>
        <v>0</v>
      </c>
      <c r="E1269" s="193">
        <f>Introduction!$D$8</f>
        <v>0</v>
      </c>
      <c r="F1269" s="193" t="s">
        <v>105</v>
      </c>
      <c r="G1269" s="193" t="s">
        <v>105</v>
      </c>
      <c r="H1269" s="194"/>
      <c r="I1269" s="194"/>
      <c r="J1269" s="193" t="str">
        <f>'Medical gases (NHS only)'!B14</f>
        <v>Medical gas</v>
      </c>
      <c r="K1269" s="194"/>
      <c r="L1269" s="194"/>
      <c r="M1269" s="193">
        <f>'Medical gases (NHS only)'!C14</f>
        <v>0</v>
      </c>
      <c r="N1269" s="193">
        <f>'Medical gases (NHS only)'!D14</f>
        <v>0</v>
      </c>
      <c r="O1269" s="194"/>
      <c r="P1269" s="193">
        <f>'Medical gases (NHS only)'!E14</f>
        <v>0</v>
      </c>
      <c r="Q1269" s="193" t="str">
        <f>'Medical gases (NHS only)'!F14</f>
        <v/>
      </c>
      <c r="R1269" s="193">
        <f>'Medical gases (NHS only)'!G14</f>
        <v>0</v>
      </c>
      <c r="S1269" s="193">
        <f>'Medical gases (NHS only)'!H14</f>
        <v>0</v>
      </c>
      <c r="T1269" s="193" t="str">
        <f>'Medical gases (NHS only)'!I14</f>
        <v/>
      </c>
      <c r="U1269" s="193" t="str">
        <f>'Medical gases (NHS only)'!J14</f>
        <v>Litres</v>
      </c>
      <c r="V1269" s="193" t="str">
        <f>'Medical gases (NHS only)'!K14</f>
        <v/>
      </c>
      <c r="W1269" s="193" t="str">
        <f>'Medical gases (NHS only)'!L14</f>
        <v/>
      </c>
      <c r="X1269" s="193">
        <f>'Medical gases (NHS only)'!M14</f>
        <v>0</v>
      </c>
      <c r="Y1269" s="193">
        <f>'Medical gases (NHS only)'!N14</f>
        <v>0</v>
      </c>
      <c r="Z1269" s="193" t="str">
        <f>'Medical gases (NHS only)'!O14</f>
        <v/>
      </c>
      <c r="AA1269" s="193">
        <f>'Medical gases (NHS only)'!P14</f>
        <v>0</v>
      </c>
      <c r="AB1269" s="193">
        <f>'Medical gases (NHS only)'!Q14</f>
        <v>0</v>
      </c>
      <c r="AC1269" s="193">
        <f>'Medical gases (NHS only)'!R14</f>
        <v>0</v>
      </c>
      <c r="AD1269" s="193">
        <f>'Medical gases (NHS only)'!S14</f>
        <v>0</v>
      </c>
      <c r="AE1269" s="193" t="str">
        <f>'Medical gases (NHS only)'!T14</f>
        <v/>
      </c>
      <c r="AF1269" s="193" t="str">
        <f>'Medical gases (NHS only)'!U14</f>
        <v/>
      </c>
      <c r="AG1269" s="193">
        <f>'Medical gases (NHS only)'!V14</f>
        <v>0</v>
      </c>
      <c r="AI1269" s="193">
        <f t="shared" si="26"/>
        <v>0</v>
      </c>
      <c r="AJ1269" s="193">
        <f t="shared" si="27"/>
        <v>0</v>
      </c>
    </row>
    <row r="1270" spans="2:36" x14ac:dyDescent="0.35">
      <c r="B1270" s="193" t="e">
        <f>"2024"&amp;MATCH(Totals!D1270,OrgType,0)&amp;"_"&amp;MATCH(Totals!E1270,Organisations,0)&amp;"_"&amp;LEFT(Totals!F1270,1)&amp;"_"&amp;LEFT(G1270,1)&amp;"_"&amp;COUNTIF($G$3:G1270,G1270)</f>
        <v>#N/A</v>
      </c>
      <c r="C1270" s="193">
        <v>2025</v>
      </c>
      <c r="D1270" s="193">
        <f>Introduction!$D$7</f>
        <v>0</v>
      </c>
      <c r="E1270" s="193">
        <f>Introduction!$D$8</f>
        <v>0</v>
      </c>
      <c r="F1270" s="193" t="s">
        <v>105</v>
      </c>
      <c r="G1270" s="193" t="s">
        <v>105</v>
      </c>
      <c r="H1270" s="194"/>
      <c r="I1270" s="194"/>
      <c r="J1270" s="193" t="str">
        <f>'Medical gases (NHS only)'!B15</f>
        <v>Medical gas</v>
      </c>
      <c r="K1270" s="194"/>
      <c r="L1270" s="194"/>
      <c r="M1270" s="193">
        <f>'Medical gases (NHS only)'!C15</f>
        <v>0</v>
      </c>
      <c r="N1270" s="193">
        <f>'Medical gases (NHS only)'!D15</f>
        <v>0</v>
      </c>
      <c r="O1270" s="194"/>
      <c r="P1270" s="193">
        <f>'Medical gases (NHS only)'!E15</f>
        <v>0</v>
      </c>
      <c r="Q1270" s="193" t="str">
        <f>'Medical gases (NHS only)'!F15</f>
        <v/>
      </c>
      <c r="R1270" s="193">
        <f>'Medical gases (NHS only)'!G15</f>
        <v>0</v>
      </c>
      <c r="S1270" s="193">
        <f>'Medical gases (NHS only)'!H15</f>
        <v>0</v>
      </c>
      <c r="T1270" s="193" t="str">
        <f>'Medical gases (NHS only)'!I15</f>
        <v/>
      </c>
      <c r="U1270" s="193" t="str">
        <f>'Medical gases (NHS only)'!J15</f>
        <v>Litres</v>
      </c>
      <c r="V1270" s="193" t="str">
        <f>'Medical gases (NHS only)'!K15</f>
        <v/>
      </c>
      <c r="W1270" s="193" t="str">
        <f>'Medical gases (NHS only)'!L15</f>
        <v/>
      </c>
      <c r="X1270" s="193">
        <f>'Medical gases (NHS only)'!M15</f>
        <v>0</v>
      </c>
      <c r="Y1270" s="193">
        <f>'Medical gases (NHS only)'!N15</f>
        <v>0</v>
      </c>
      <c r="Z1270" s="193" t="str">
        <f>'Medical gases (NHS only)'!O15</f>
        <v/>
      </c>
      <c r="AA1270" s="193">
        <f>'Medical gases (NHS only)'!P15</f>
        <v>0</v>
      </c>
      <c r="AB1270" s="193">
        <f>'Medical gases (NHS only)'!Q15</f>
        <v>0</v>
      </c>
      <c r="AC1270" s="193">
        <f>'Medical gases (NHS only)'!R15</f>
        <v>0</v>
      </c>
      <c r="AD1270" s="193">
        <f>'Medical gases (NHS only)'!S15</f>
        <v>0</v>
      </c>
      <c r="AE1270" s="193" t="str">
        <f>'Medical gases (NHS only)'!T15</f>
        <v/>
      </c>
      <c r="AF1270" s="193" t="str">
        <f>'Medical gases (NHS only)'!U15</f>
        <v/>
      </c>
      <c r="AG1270" s="193">
        <f>'Medical gases (NHS only)'!V15</f>
        <v>0</v>
      </c>
      <c r="AI1270" s="193">
        <f t="shared" si="26"/>
        <v>0</v>
      </c>
      <c r="AJ1270" s="193">
        <f t="shared" si="27"/>
        <v>0</v>
      </c>
    </row>
    <row r="1271" spans="2:36" x14ac:dyDescent="0.35">
      <c r="B1271" s="193" t="e">
        <f>"2024"&amp;MATCH(Totals!D1271,OrgType,0)&amp;"_"&amp;MATCH(Totals!E1271,Organisations,0)&amp;"_"&amp;LEFT(Totals!F1271,1)&amp;"_"&amp;LEFT(G1271,1)&amp;"_"&amp;COUNTIF($G$3:G1271,G1271)</f>
        <v>#N/A</v>
      </c>
      <c r="C1271" s="193">
        <v>2025</v>
      </c>
      <c r="D1271" s="193">
        <f>Introduction!$D$7</f>
        <v>0</v>
      </c>
      <c r="E1271" s="193">
        <f>Introduction!$D$8</f>
        <v>0</v>
      </c>
      <c r="F1271" s="193" t="s">
        <v>105</v>
      </c>
      <c r="G1271" s="193" t="s">
        <v>105</v>
      </c>
      <c r="H1271" s="194"/>
      <c r="I1271" s="194"/>
      <c r="J1271" s="193" t="str">
        <f>'Medical gases (NHS only)'!B16</f>
        <v>Medical gas</v>
      </c>
      <c r="K1271" s="194"/>
      <c r="L1271" s="194"/>
      <c r="M1271" s="193">
        <f>'Medical gases (NHS only)'!C16</f>
        <v>0</v>
      </c>
      <c r="N1271" s="193">
        <f>'Medical gases (NHS only)'!D16</f>
        <v>0</v>
      </c>
      <c r="O1271" s="194"/>
      <c r="P1271" s="193">
        <f>'Medical gases (NHS only)'!E16</f>
        <v>0</v>
      </c>
      <c r="Q1271" s="193" t="str">
        <f>'Medical gases (NHS only)'!F16</f>
        <v/>
      </c>
      <c r="R1271" s="193">
        <f>'Medical gases (NHS only)'!G16</f>
        <v>0</v>
      </c>
      <c r="S1271" s="193">
        <f>'Medical gases (NHS only)'!H16</f>
        <v>0</v>
      </c>
      <c r="T1271" s="193" t="str">
        <f>'Medical gases (NHS only)'!I16</f>
        <v/>
      </c>
      <c r="U1271" s="193" t="str">
        <f>'Medical gases (NHS only)'!J16</f>
        <v>Litres</v>
      </c>
      <c r="V1271" s="193" t="str">
        <f>'Medical gases (NHS only)'!K16</f>
        <v/>
      </c>
      <c r="W1271" s="193" t="str">
        <f>'Medical gases (NHS only)'!L16</f>
        <v/>
      </c>
      <c r="X1271" s="193">
        <f>'Medical gases (NHS only)'!M16</f>
        <v>0</v>
      </c>
      <c r="Y1271" s="193">
        <f>'Medical gases (NHS only)'!N16</f>
        <v>0</v>
      </c>
      <c r="Z1271" s="193" t="str">
        <f>'Medical gases (NHS only)'!O16</f>
        <v/>
      </c>
      <c r="AA1271" s="193">
        <f>'Medical gases (NHS only)'!P16</f>
        <v>0</v>
      </c>
      <c r="AB1271" s="193">
        <f>'Medical gases (NHS only)'!Q16</f>
        <v>0</v>
      </c>
      <c r="AC1271" s="193">
        <f>'Medical gases (NHS only)'!R16</f>
        <v>0</v>
      </c>
      <c r="AD1271" s="193">
        <f>'Medical gases (NHS only)'!S16</f>
        <v>0</v>
      </c>
      <c r="AE1271" s="193" t="str">
        <f>'Medical gases (NHS only)'!T16</f>
        <v/>
      </c>
      <c r="AF1271" s="193" t="str">
        <f>'Medical gases (NHS only)'!U16</f>
        <v/>
      </c>
      <c r="AG1271" s="193">
        <f>'Medical gases (NHS only)'!V16</f>
        <v>0</v>
      </c>
      <c r="AI1271" s="193">
        <f t="shared" si="26"/>
        <v>0</v>
      </c>
      <c r="AJ1271" s="193">
        <f t="shared" si="27"/>
        <v>0</v>
      </c>
    </row>
    <row r="1272" spans="2:36" x14ac:dyDescent="0.35">
      <c r="B1272" s="193" t="e">
        <f>"2024"&amp;MATCH(Totals!D1272,OrgType,0)&amp;"_"&amp;MATCH(Totals!E1272,Organisations,0)&amp;"_"&amp;LEFT(Totals!F1272,1)&amp;"_"&amp;LEFT(G1272,1)&amp;"_"&amp;COUNTIF($G$3:G1272,G1272)</f>
        <v>#N/A</v>
      </c>
      <c r="C1272" s="193">
        <v>2025</v>
      </c>
      <c r="D1272" s="193">
        <f>Introduction!$D$7</f>
        <v>0</v>
      </c>
      <c r="E1272" s="193">
        <f>Introduction!$D$8</f>
        <v>0</v>
      </c>
      <c r="F1272" s="193" t="s">
        <v>105</v>
      </c>
      <c r="G1272" s="193" t="s">
        <v>105</v>
      </c>
      <c r="H1272" s="194"/>
      <c r="I1272" s="194"/>
      <c r="J1272" s="193" t="str">
        <f>'Medical gases (NHS only)'!B17</f>
        <v>Medical gas</v>
      </c>
      <c r="K1272" s="194"/>
      <c r="L1272" s="194"/>
      <c r="M1272" s="193">
        <f>'Medical gases (NHS only)'!C17</f>
        <v>0</v>
      </c>
      <c r="N1272" s="193">
        <f>'Medical gases (NHS only)'!D17</f>
        <v>0</v>
      </c>
      <c r="O1272" s="194"/>
      <c r="P1272" s="193">
        <f>'Medical gases (NHS only)'!E17</f>
        <v>0</v>
      </c>
      <c r="Q1272" s="193" t="str">
        <f>'Medical gases (NHS only)'!F17</f>
        <v/>
      </c>
      <c r="R1272" s="193">
        <f>'Medical gases (NHS only)'!G17</f>
        <v>0</v>
      </c>
      <c r="S1272" s="193">
        <f>'Medical gases (NHS only)'!H17</f>
        <v>0</v>
      </c>
      <c r="T1272" s="193" t="str">
        <f>'Medical gases (NHS only)'!I17</f>
        <v/>
      </c>
      <c r="U1272" s="193" t="str">
        <f>'Medical gases (NHS only)'!J17</f>
        <v>Litres</v>
      </c>
      <c r="V1272" s="193" t="str">
        <f>'Medical gases (NHS only)'!K17</f>
        <v/>
      </c>
      <c r="W1272" s="193" t="str">
        <f>'Medical gases (NHS only)'!L17</f>
        <v/>
      </c>
      <c r="X1272" s="193">
        <f>'Medical gases (NHS only)'!M17</f>
        <v>0</v>
      </c>
      <c r="Y1272" s="193">
        <f>'Medical gases (NHS only)'!N17</f>
        <v>0</v>
      </c>
      <c r="Z1272" s="193" t="str">
        <f>'Medical gases (NHS only)'!O17</f>
        <v/>
      </c>
      <c r="AA1272" s="193">
        <f>'Medical gases (NHS only)'!P17</f>
        <v>0</v>
      </c>
      <c r="AB1272" s="193">
        <f>'Medical gases (NHS only)'!Q17</f>
        <v>0</v>
      </c>
      <c r="AC1272" s="193">
        <f>'Medical gases (NHS only)'!R17</f>
        <v>0</v>
      </c>
      <c r="AD1272" s="193">
        <f>'Medical gases (NHS only)'!S17</f>
        <v>0</v>
      </c>
      <c r="AE1272" s="193" t="str">
        <f>'Medical gases (NHS only)'!T17</f>
        <v/>
      </c>
      <c r="AF1272" s="193" t="str">
        <f>'Medical gases (NHS only)'!U17</f>
        <v/>
      </c>
      <c r="AG1272" s="193">
        <f>'Medical gases (NHS only)'!V17</f>
        <v>0</v>
      </c>
      <c r="AI1272" s="193">
        <f t="shared" si="26"/>
        <v>0</v>
      </c>
      <c r="AJ1272" s="193">
        <f t="shared" si="27"/>
        <v>0</v>
      </c>
    </row>
    <row r="1273" spans="2:36" x14ac:dyDescent="0.35">
      <c r="B1273" s="193" t="e">
        <f>"2024"&amp;MATCH(Totals!D1273,OrgType,0)&amp;"_"&amp;MATCH(Totals!E1273,Organisations,0)&amp;"_"&amp;LEFT(Totals!F1273,1)&amp;"_"&amp;LEFT(G1273,1)&amp;"_"&amp;COUNTIF($G$3:G1273,G1273)</f>
        <v>#N/A</v>
      </c>
      <c r="C1273" s="193">
        <v>2025</v>
      </c>
      <c r="D1273" s="193">
        <f>Introduction!$D$7</f>
        <v>0</v>
      </c>
      <c r="E1273" s="193">
        <f>Introduction!$D$8</f>
        <v>0</v>
      </c>
      <c r="F1273" s="193" t="s">
        <v>105</v>
      </c>
      <c r="G1273" s="193" t="s">
        <v>105</v>
      </c>
      <c r="H1273" s="194"/>
      <c r="I1273" s="194"/>
      <c r="J1273" s="193" t="str">
        <f>'Medical gases (NHS only)'!B18</f>
        <v>Medical gas</v>
      </c>
      <c r="K1273" s="194"/>
      <c r="L1273" s="194"/>
      <c r="M1273" s="193">
        <f>'Medical gases (NHS only)'!C18</f>
        <v>0</v>
      </c>
      <c r="N1273" s="193">
        <f>'Medical gases (NHS only)'!D18</f>
        <v>0</v>
      </c>
      <c r="O1273" s="194"/>
      <c r="P1273" s="193">
        <f>'Medical gases (NHS only)'!E18</f>
        <v>0</v>
      </c>
      <c r="Q1273" s="193" t="str">
        <f>'Medical gases (NHS only)'!F18</f>
        <v/>
      </c>
      <c r="R1273" s="193">
        <f>'Medical gases (NHS only)'!G18</f>
        <v>0</v>
      </c>
      <c r="S1273" s="193">
        <f>'Medical gases (NHS only)'!H18</f>
        <v>0</v>
      </c>
      <c r="T1273" s="193" t="str">
        <f>'Medical gases (NHS only)'!I18</f>
        <v/>
      </c>
      <c r="U1273" s="193" t="str">
        <f>'Medical gases (NHS only)'!J18</f>
        <v>Litres</v>
      </c>
      <c r="V1273" s="193" t="str">
        <f>'Medical gases (NHS only)'!K18</f>
        <v/>
      </c>
      <c r="W1273" s="193" t="str">
        <f>'Medical gases (NHS only)'!L18</f>
        <v/>
      </c>
      <c r="X1273" s="193">
        <f>'Medical gases (NHS only)'!M18</f>
        <v>0</v>
      </c>
      <c r="Y1273" s="193">
        <f>'Medical gases (NHS only)'!N18</f>
        <v>0</v>
      </c>
      <c r="Z1273" s="193" t="str">
        <f>'Medical gases (NHS only)'!O18</f>
        <v/>
      </c>
      <c r="AA1273" s="193">
        <f>'Medical gases (NHS only)'!P18</f>
        <v>0</v>
      </c>
      <c r="AB1273" s="193">
        <f>'Medical gases (NHS only)'!Q18</f>
        <v>0</v>
      </c>
      <c r="AC1273" s="193">
        <f>'Medical gases (NHS only)'!R18</f>
        <v>0</v>
      </c>
      <c r="AD1273" s="193">
        <f>'Medical gases (NHS only)'!S18</f>
        <v>0</v>
      </c>
      <c r="AE1273" s="193" t="str">
        <f>'Medical gases (NHS only)'!T18</f>
        <v/>
      </c>
      <c r="AF1273" s="193" t="str">
        <f>'Medical gases (NHS only)'!U18</f>
        <v/>
      </c>
      <c r="AG1273" s="193">
        <f>'Medical gases (NHS only)'!V18</f>
        <v>0</v>
      </c>
      <c r="AI1273" s="193">
        <f t="shared" si="26"/>
        <v>0</v>
      </c>
      <c r="AJ1273" s="193">
        <f t="shared" si="27"/>
        <v>0</v>
      </c>
    </row>
    <row r="1274" spans="2:36" x14ac:dyDescent="0.35">
      <c r="B1274" s="193" t="e">
        <f>"2024"&amp;MATCH(Totals!D1274,OrgType,0)&amp;"_"&amp;MATCH(Totals!E1274,Organisations,0)&amp;"_"&amp;LEFT(Totals!F1274,1)&amp;"_"&amp;LEFT(G1274,1)&amp;"_"&amp;COUNTIF($G$3:G1274,G1274)</f>
        <v>#N/A</v>
      </c>
      <c r="C1274" s="193">
        <v>2025</v>
      </c>
      <c r="D1274" s="193">
        <f>Introduction!$D$7</f>
        <v>0</v>
      </c>
      <c r="E1274" s="193">
        <f>Introduction!$D$8</f>
        <v>0</v>
      </c>
      <c r="F1274" s="193" t="s">
        <v>105</v>
      </c>
      <c r="G1274" s="193" t="s">
        <v>105</v>
      </c>
      <c r="H1274" s="194"/>
      <c r="I1274" s="194"/>
      <c r="J1274" s="193" t="str">
        <f>'Medical gases (NHS only)'!B19</f>
        <v>Medical gas</v>
      </c>
      <c r="K1274" s="194"/>
      <c r="L1274" s="194"/>
      <c r="M1274" s="193">
        <f>'Medical gases (NHS only)'!C19</f>
        <v>0</v>
      </c>
      <c r="N1274" s="193">
        <f>'Medical gases (NHS only)'!D19</f>
        <v>0</v>
      </c>
      <c r="O1274" s="194"/>
      <c r="P1274" s="193">
        <f>'Medical gases (NHS only)'!E19</f>
        <v>0</v>
      </c>
      <c r="Q1274" s="193" t="str">
        <f>'Medical gases (NHS only)'!F19</f>
        <v/>
      </c>
      <c r="R1274" s="193">
        <f>'Medical gases (NHS only)'!G19</f>
        <v>0</v>
      </c>
      <c r="S1274" s="193">
        <f>'Medical gases (NHS only)'!H19</f>
        <v>0</v>
      </c>
      <c r="T1274" s="193" t="str">
        <f>'Medical gases (NHS only)'!I19</f>
        <v/>
      </c>
      <c r="U1274" s="193" t="str">
        <f>'Medical gases (NHS only)'!J19</f>
        <v>Litres</v>
      </c>
      <c r="V1274" s="193" t="str">
        <f>'Medical gases (NHS only)'!K19</f>
        <v/>
      </c>
      <c r="W1274" s="193" t="str">
        <f>'Medical gases (NHS only)'!L19</f>
        <v/>
      </c>
      <c r="X1274" s="193">
        <f>'Medical gases (NHS only)'!M19</f>
        <v>0</v>
      </c>
      <c r="Y1274" s="193">
        <f>'Medical gases (NHS only)'!N19</f>
        <v>0</v>
      </c>
      <c r="Z1274" s="193" t="str">
        <f>'Medical gases (NHS only)'!O19</f>
        <v/>
      </c>
      <c r="AA1274" s="193">
        <f>'Medical gases (NHS only)'!P19</f>
        <v>0</v>
      </c>
      <c r="AB1274" s="193">
        <f>'Medical gases (NHS only)'!Q19</f>
        <v>0</v>
      </c>
      <c r="AC1274" s="193">
        <f>'Medical gases (NHS only)'!R19</f>
        <v>0</v>
      </c>
      <c r="AD1274" s="193">
        <f>'Medical gases (NHS only)'!S19</f>
        <v>0</v>
      </c>
      <c r="AE1274" s="193" t="str">
        <f>'Medical gases (NHS only)'!T19</f>
        <v/>
      </c>
      <c r="AF1274" s="193" t="str">
        <f>'Medical gases (NHS only)'!U19</f>
        <v/>
      </c>
      <c r="AG1274" s="193">
        <f>'Medical gases (NHS only)'!V19</f>
        <v>0</v>
      </c>
      <c r="AI1274" s="193">
        <f t="shared" si="26"/>
        <v>0</v>
      </c>
      <c r="AJ1274" s="193">
        <f t="shared" si="27"/>
        <v>0</v>
      </c>
    </row>
    <row r="1275" spans="2:36" x14ac:dyDescent="0.35">
      <c r="B1275" s="193" t="e">
        <f>"2024"&amp;MATCH(Totals!D1275,OrgType,0)&amp;"_"&amp;MATCH(Totals!E1275,Organisations,0)&amp;"_"&amp;LEFT(Totals!F1275,1)&amp;"_"&amp;LEFT(G1275,1)&amp;"_"&amp;COUNTIF($G$3:G1275,G1275)</f>
        <v>#N/A</v>
      </c>
      <c r="C1275" s="193">
        <v>2025</v>
      </c>
      <c r="D1275" s="193">
        <f>Introduction!$D$7</f>
        <v>0</v>
      </c>
      <c r="E1275" s="193">
        <f>Introduction!$D$8</f>
        <v>0</v>
      </c>
      <c r="F1275" s="193" t="s">
        <v>105</v>
      </c>
      <c r="G1275" s="193" t="s">
        <v>105</v>
      </c>
      <c r="H1275" s="194"/>
      <c r="I1275" s="194"/>
      <c r="J1275" s="193" t="str">
        <f>'Medical gases (NHS only)'!B20</f>
        <v>Medical gas</v>
      </c>
      <c r="K1275" s="194"/>
      <c r="L1275" s="194"/>
      <c r="M1275" s="193">
        <f>'Medical gases (NHS only)'!C20</f>
        <v>0</v>
      </c>
      <c r="N1275" s="193">
        <f>'Medical gases (NHS only)'!D20</f>
        <v>0</v>
      </c>
      <c r="O1275" s="194"/>
      <c r="P1275" s="193">
        <f>'Medical gases (NHS only)'!E20</f>
        <v>0</v>
      </c>
      <c r="Q1275" s="193" t="str">
        <f>'Medical gases (NHS only)'!F20</f>
        <v/>
      </c>
      <c r="R1275" s="193">
        <f>'Medical gases (NHS only)'!G20</f>
        <v>0</v>
      </c>
      <c r="S1275" s="193">
        <f>'Medical gases (NHS only)'!H20</f>
        <v>0</v>
      </c>
      <c r="T1275" s="193" t="str">
        <f>'Medical gases (NHS only)'!I20</f>
        <v/>
      </c>
      <c r="U1275" s="193" t="str">
        <f>'Medical gases (NHS only)'!J20</f>
        <v>Litres</v>
      </c>
      <c r="V1275" s="193" t="str">
        <f>'Medical gases (NHS only)'!K20</f>
        <v/>
      </c>
      <c r="W1275" s="193" t="str">
        <f>'Medical gases (NHS only)'!L20</f>
        <v/>
      </c>
      <c r="X1275" s="193">
        <f>'Medical gases (NHS only)'!M20</f>
        <v>0</v>
      </c>
      <c r="Y1275" s="193">
        <f>'Medical gases (NHS only)'!N20</f>
        <v>0</v>
      </c>
      <c r="Z1275" s="193" t="str">
        <f>'Medical gases (NHS only)'!O20</f>
        <v/>
      </c>
      <c r="AA1275" s="193">
        <f>'Medical gases (NHS only)'!P20</f>
        <v>0</v>
      </c>
      <c r="AB1275" s="193">
        <f>'Medical gases (NHS only)'!Q20</f>
        <v>0</v>
      </c>
      <c r="AC1275" s="193">
        <f>'Medical gases (NHS only)'!R20</f>
        <v>0</v>
      </c>
      <c r="AD1275" s="193">
        <f>'Medical gases (NHS only)'!S20</f>
        <v>0</v>
      </c>
      <c r="AE1275" s="193" t="str">
        <f>'Medical gases (NHS only)'!T20</f>
        <v/>
      </c>
      <c r="AF1275" s="193" t="str">
        <f>'Medical gases (NHS only)'!U20</f>
        <v/>
      </c>
      <c r="AG1275" s="193">
        <f>'Medical gases (NHS only)'!V20</f>
        <v>0</v>
      </c>
      <c r="AI1275" s="193">
        <f t="shared" si="26"/>
        <v>0</v>
      </c>
      <c r="AJ1275" s="193">
        <f t="shared" si="27"/>
        <v>0</v>
      </c>
    </row>
    <row r="1276" spans="2:36" x14ac:dyDescent="0.35">
      <c r="B1276" s="193" t="e">
        <f>"2024"&amp;MATCH(Totals!D1276,OrgType,0)&amp;"_"&amp;MATCH(Totals!E1276,Organisations,0)&amp;"_"&amp;LEFT(Totals!F1276,1)&amp;"_"&amp;LEFT(G1276,1)&amp;"_"&amp;COUNTIF($G$3:G1276,G1276)</f>
        <v>#N/A</v>
      </c>
      <c r="C1276" s="193">
        <v>2025</v>
      </c>
      <c r="D1276" s="193">
        <f>Introduction!$D$7</f>
        <v>0</v>
      </c>
      <c r="E1276" s="193">
        <f>Introduction!$D$8</f>
        <v>0</v>
      </c>
      <c r="F1276" s="193" t="s">
        <v>105</v>
      </c>
      <c r="G1276" s="193" t="s">
        <v>105</v>
      </c>
      <c r="H1276" s="194"/>
      <c r="I1276" s="194"/>
      <c r="J1276" s="193" t="str">
        <f>'Medical gases (NHS only)'!B21</f>
        <v>Medical gas</v>
      </c>
      <c r="K1276" s="194"/>
      <c r="L1276" s="194"/>
      <c r="M1276" s="193">
        <f>'Medical gases (NHS only)'!C21</f>
        <v>0</v>
      </c>
      <c r="N1276" s="193">
        <f>'Medical gases (NHS only)'!D21</f>
        <v>0</v>
      </c>
      <c r="O1276" s="194"/>
      <c r="P1276" s="193">
        <f>'Medical gases (NHS only)'!E21</f>
        <v>0</v>
      </c>
      <c r="Q1276" s="193" t="str">
        <f>'Medical gases (NHS only)'!F21</f>
        <v/>
      </c>
      <c r="R1276" s="193">
        <f>'Medical gases (NHS only)'!G21</f>
        <v>0</v>
      </c>
      <c r="S1276" s="193">
        <f>'Medical gases (NHS only)'!H21</f>
        <v>0</v>
      </c>
      <c r="T1276" s="193" t="str">
        <f>'Medical gases (NHS only)'!I21</f>
        <v/>
      </c>
      <c r="U1276" s="193" t="str">
        <f>'Medical gases (NHS only)'!J21</f>
        <v>Litres</v>
      </c>
      <c r="V1276" s="193" t="str">
        <f>'Medical gases (NHS only)'!K21</f>
        <v/>
      </c>
      <c r="W1276" s="193" t="str">
        <f>'Medical gases (NHS only)'!L21</f>
        <v/>
      </c>
      <c r="X1276" s="193">
        <f>'Medical gases (NHS only)'!M21</f>
        <v>0</v>
      </c>
      <c r="Y1276" s="193">
        <f>'Medical gases (NHS only)'!N21</f>
        <v>0</v>
      </c>
      <c r="Z1276" s="193" t="str">
        <f>'Medical gases (NHS only)'!O21</f>
        <v/>
      </c>
      <c r="AA1276" s="193">
        <f>'Medical gases (NHS only)'!P21</f>
        <v>0</v>
      </c>
      <c r="AB1276" s="193">
        <f>'Medical gases (NHS only)'!Q21</f>
        <v>0</v>
      </c>
      <c r="AC1276" s="193">
        <f>'Medical gases (NHS only)'!R21</f>
        <v>0</v>
      </c>
      <c r="AD1276" s="193">
        <f>'Medical gases (NHS only)'!S21</f>
        <v>0</v>
      </c>
      <c r="AE1276" s="193" t="str">
        <f>'Medical gases (NHS only)'!T21</f>
        <v/>
      </c>
      <c r="AF1276" s="193" t="str">
        <f>'Medical gases (NHS only)'!U21</f>
        <v/>
      </c>
      <c r="AG1276" s="193">
        <f>'Medical gases (NHS only)'!V21</f>
        <v>0</v>
      </c>
      <c r="AI1276" s="193">
        <f t="shared" si="26"/>
        <v>0</v>
      </c>
      <c r="AJ1276" s="193">
        <f t="shared" si="27"/>
        <v>0</v>
      </c>
    </row>
    <row r="1277" spans="2:36" x14ac:dyDescent="0.35">
      <c r="B1277" s="193" t="e">
        <f>"2024"&amp;MATCH(Totals!D1277,OrgType,0)&amp;"_"&amp;MATCH(Totals!E1277,Organisations,0)&amp;"_"&amp;LEFT(Totals!F1277,1)&amp;"_"&amp;LEFT(G1277,1)&amp;"_"&amp;COUNTIF($G$3:G1277,G1277)</f>
        <v>#N/A</v>
      </c>
      <c r="C1277" s="193">
        <v>2025</v>
      </c>
      <c r="D1277" s="193">
        <f>Introduction!$D$7</f>
        <v>0</v>
      </c>
      <c r="E1277" s="193">
        <f>Introduction!$D$8</f>
        <v>0</v>
      </c>
      <c r="F1277" s="193" t="s">
        <v>105</v>
      </c>
      <c r="G1277" s="193" t="s">
        <v>105</v>
      </c>
      <c r="H1277" s="194"/>
      <c r="I1277" s="194"/>
      <c r="J1277" s="193" t="str">
        <f>'Medical gases (NHS only)'!B22</f>
        <v>Medical gas</v>
      </c>
      <c r="K1277" s="194"/>
      <c r="L1277" s="194"/>
      <c r="M1277" s="193">
        <f>'Medical gases (NHS only)'!C22</f>
        <v>0</v>
      </c>
      <c r="N1277" s="193">
        <f>'Medical gases (NHS only)'!D22</f>
        <v>0</v>
      </c>
      <c r="O1277" s="194"/>
      <c r="P1277" s="193">
        <f>'Medical gases (NHS only)'!E22</f>
        <v>0</v>
      </c>
      <c r="Q1277" s="193" t="str">
        <f>'Medical gases (NHS only)'!F22</f>
        <v/>
      </c>
      <c r="R1277" s="193">
        <f>'Medical gases (NHS only)'!G22</f>
        <v>0</v>
      </c>
      <c r="S1277" s="193">
        <f>'Medical gases (NHS only)'!H22</f>
        <v>0</v>
      </c>
      <c r="T1277" s="193" t="str">
        <f>'Medical gases (NHS only)'!I22</f>
        <v/>
      </c>
      <c r="U1277" s="193" t="str">
        <f>'Medical gases (NHS only)'!J22</f>
        <v>Litres</v>
      </c>
      <c r="V1277" s="193" t="str">
        <f>'Medical gases (NHS only)'!K22</f>
        <v/>
      </c>
      <c r="W1277" s="193" t="str">
        <f>'Medical gases (NHS only)'!L22</f>
        <v/>
      </c>
      <c r="X1277" s="193">
        <f>'Medical gases (NHS only)'!M22</f>
        <v>0</v>
      </c>
      <c r="Y1277" s="193">
        <f>'Medical gases (NHS only)'!N22</f>
        <v>0</v>
      </c>
      <c r="Z1277" s="193" t="str">
        <f>'Medical gases (NHS only)'!O22</f>
        <v/>
      </c>
      <c r="AA1277" s="193">
        <f>'Medical gases (NHS only)'!P22</f>
        <v>0</v>
      </c>
      <c r="AB1277" s="193">
        <f>'Medical gases (NHS only)'!Q22</f>
        <v>0</v>
      </c>
      <c r="AC1277" s="193">
        <f>'Medical gases (NHS only)'!R22</f>
        <v>0</v>
      </c>
      <c r="AD1277" s="193">
        <f>'Medical gases (NHS only)'!S22</f>
        <v>0</v>
      </c>
      <c r="AE1277" s="193" t="str">
        <f>'Medical gases (NHS only)'!T22</f>
        <v/>
      </c>
      <c r="AF1277" s="193" t="str">
        <f>'Medical gases (NHS only)'!U22</f>
        <v/>
      </c>
      <c r="AG1277" s="193">
        <f>'Medical gases (NHS only)'!V22</f>
        <v>0</v>
      </c>
      <c r="AI1277" s="193">
        <f t="shared" si="26"/>
        <v>0</v>
      </c>
      <c r="AJ1277" s="193">
        <f t="shared" si="27"/>
        <v>0</v>
      </c>
    </row>
    <row r="1278" spans="2:36" x14ac:dyDescent="0.35">
      <c r="B1278" s="193" t="e">
        <f>"2024"&amp;MATCH(Totals!D1278,OrgType,0)&amp;"_"&amp;MATCH(Totals!E1278,Organisations,0)&amp;"_"&amp;LEFT(Totals!F1278,1)&amp;"_"&amp;LEFT(G1278,1)&amp;"_"&amp;COUNTIF($G$3:G1278,G1278)</f>
        <v>#N/A</v>
      </c>
      <c r="C1278" s="193">
        <v>2025</v>
      </c>
      <c r="D1278" s="193">
        <f>Introduction!$D$7</f>
        <v>0</v>
      </c>
      <c r="E1278" s="193">
        <f>Introduction!$D$8</f>
        <v>0</v>
      </c>
      <c r="F1278" s="193" t="s">
        <v>105</v>
      </c>
      <c r="G1278" s="193" t="s">
        <v>105</v>
      </c>
      <c r="H1278" s="194"/>
      <c r="I1278" s="194"/>
      <c r="J1278" s="193" t="str">
        <f>'Medical gases (NHS only)'!B23</f>
        <v>Medical gas</v>
      </c>
      <c r="K1278" s="194"/>
      <c r="L1278" s="194"/>
      <c r="M1278" s="193">
        <f>'Medical gases (NHS only)'!C23</f>
        <v>0</v>
      </c>
      <c r="N1278" s="193">
        <f>'Medical gases (NHS only)'!D23</f>
        <v>0</v>
      </c>
      <c r="O1278" s="194"/>
      <c r="P1278" s="193">
        <f>'Medical gases (NHS only)'!E23</f>
        <v>0</v>
      </c>
      <c r="Q1278" s="193" t="str">
        <f>'Medical gases (NHS only)'!F23</f>
        <v/>
      </c>
      <c r="R1278" s="193">
        <f>'Medical gases (NHS only)'!G23</f>
        <v>0</v>
      </c>
      <c r="S1278" s="193">
        <f>'Medical gases (NHS only)'!H23</f>
        <v>0</v>
      </c>
      <c r="T1278" s="193" t="str">
        <f>'Medical gases (NHS only)'!I23</f>
        <v/>
      </c>
      <c r="U1278" s="193" t="str">
        <f>'Medical gases (NHS only)'!J23</f>
        <v>Litres</v>
      </c>
      <c r="V1278" s="193" t="str">
        <f>'Medical gases (NHS only)'!K23</f>
        <v/>
      </c>
      <c r="W1278" s="193" t="str">
        <f>'Medical gases (NHS only)'!L23</f>
        <v/>
      </c>
      <c r="X1278" s="193">
        <f>'Medical gases (NHS only)'!M23</f>
        <v>0</v>
      </c>
      <c r="Y1278" s="193">
        <f>'Medical gases (NHS only)'!N23</f>
        <v>0</v>
      </c>
      <c r="Z1278" s="193" t="str">
        <f>'Medical gases (NHS only)'!O23</f>
        <v/>
      </c>
      <c r="AA1278" s="193">
        <f>'Medical gases (NHS only)'!P23</f>
        <v>0</v>
      </c>
      <c r="AB1278" s="193">
        <f>'Medical gases (NHS only)'!Q23</f>
        <v>0</v>
      </c>
      <c r="AC1278" s="193">
        <f>'Medical gases (NHS only)'!R23</f>
        <v>0</v>
      </c>
      <c r="AD1278" s="193">
        <f>'Medical gases (NHS only)'!S23</f>
        <v>0</v>
      </c>
      <c r="AE1278" s="193" t="str">
        <f>'Medical gases (NHS only)'!T23</f>
        <v/>
      </c>
      <c r="AF1278" s="193" t="str">
        <f>'Medical gases (NHS only)'!U23</f>
        <v/>
      </c>
      <c r="AG1278" s="193">
        <f>'Medical gases (NHS only)'!V23</f>
        <v>0</v>
      </c>
      <c r="AI1278" s="193">
        <f t="shared" si="26"/>
        <v>0</v>
      </c>
      <c r="AJ1278" s="193">
        <f t="shared" si="27"/>
        <v>0</v>
      </c>
    </row>
    <row r="1279" spans="2:36" x14ac:dyDescent="0.35">
      <c r="B1279" s="193" t="e">
        <f>"2024"&amp;MATCH(Totals!D1279,OrgType,0)&amp;"_"&amp;MATCH(Totals!E1279,Organisations,0)&amp;"_"&amp;LEFT(Totals!F1279,1)&amp;"_"&amp;LEFT(G1279,1)&amp;"_"&amp;COUNTIF($G$3:G1279,G1279)</f>
        <v>#N/A</v>
      </c>
      <c r="C1279" s="193">
        <v>2025</v>
      </c>
      <c r="D1279" s="193">
        <f>Introduction!$D$7</f>
        <v>0</v>
      </c>
      <c r="E1279" s="193">
        <f>Introduction!$D$8</f>
        <v>0</v>
      </c>
      <c r="F1279" s="193" t="s">
        <v>493</v>
      </c>
      <c r="G1279" s="193" t="s">
        <v>493</v>
      </c>
      <c r="H1279" s="194"/>
      <c r="I1279" s="194"/>
      <c r="J1279" s="195" t="str">
        <f>'Supply chain'!B8</f>
        <v>Agriculture, forestry and fishing</v>
      </c>
      <c r="K1279" s="194"/>
      <c r="L1279" s="194"/>
      <c r="M1279" s="195" t="str">
        <f>'Supply chain'!C8</f>
        <v>01</v>
      </c>
      <c r="N1279" s="195" t="str">
        <f>'Supply chain'!D8</f>
        <v xml:space="preserve">Products of agriculture, hunting and related services         </v>
      </c>
      <c r="O1279" s="194"/>
      <c r="P1279" s="195" t="str">
        <f>'Supply chain'!E8</f>
        <v>Tier 1</v>
      </c>
      <c r="Q1279" s="195">
        <f>'Supply chain'!F8</f>
        <v>0.25</v>
      </c>
      <c r="R1279" s="195">
        <f>'Supply chain'!G8</f>
        <v>0</v>
      </c>
      <c r="S1279" s="195" t="str">
        <f>'Supply chain'!H8</f>
        <v>£</v>
      </c>
      <c r="T1279" s="195">
        <f>'Supply chain'!I8</f>
        <v>0</v>
      </c>
      <c r="U1279" s="195" t="str">
        <f>'Supply chain'!J8</f>
        <v>£</v>
      </c>
      <c r="V1279" s="195">
        <f>'Supply chain'!K8</f>
        <v>2.3145437037563501</v>
      </c>
      <c r="W1279" s="195" t="str">
        <f>'Supply chain'!L8</f>
        <v/>
      </c>
      <c r="X1279" s="193">
        <f>'Supply chain'!M8</f>
        <v>0</v>
      </c>
      <c r="Y1279" s="195">
        <f>'Supply chain'!N8</f>
        <v>0</v>
      </c>
      <c r="Z1279" s="195">
        <f>'Supply chain'!O8</f>
        <v>0</v>
      </c>
      <c r="AA1279" s="195">
        <f>'Supply chain'!P8</f>
        <v>0</v>
      </c>
      <c r="AB1279" s="195">
        <f>'Supply chain'!Q8</f>
        <v>0</v>
      </c>
      <c r="AC1279" s="195">
        <f>'Supply chain'!R8</f>
        <v>0</v>
      </c>
      <c r="AD1279" s="195">
        <f>'Supply chain'!S8</f>
        <v>0</v>
      </c>
      <c r="AE1279" s="195">
        <f>'Supply chain'!T8</f>
        <v>0</v>
      </c>
      <c r="AF1279" s="195">
        <f>'Supply chain'!U8</f>
        <v>0</v>
      </c>
      <c r="AG1279" s="195">
        <f>'Supply chain'!V8</f>
        <v>0</v>
      </c>
      <c r="AI1279" s="193">
        <f t="shared" si="26"/>
        <v>0</v>
      </c>
      <c r="AJ1279" s="193">
        <f t="shared" si="27"/>
        <v>0</v>
      </c>
    </row>
    <row r="1280" spans="2:36" x14ac:dyDescent="0.35">
      <c r="B1280" s="193" t="e">
        <f>"2024"&amp;MATCH(Totals!D1280,OrgType,0)&amp;"_"&amp;MATCH(Totals!E1280,Organisations,0)&amp;"_"&amp;LEFT(Totals!F1280,1)&amp;"_"&amp;LEFT(G1280,1)&amp;"_"&amp;COUNTIF($G$3:G1280,G1280)</f>
        <v>#N/A</v>
      </c>
      <c r="C1280" s="193">
        <v>2025</v>
      </c>
      <c r="D1280" s="193">
        <f>Introduction!$D$7</f>
        <v>0</v>
      </c>
      <c r="E1280" s="193">
        <f>Introduction!$D$8</f>
        <v>0</v>
      </c>
      <c r="F1280" s="193" t="s">
        <v>493</v>
      </c>
      <c r="G1280" s="193" t="s">
        <v>493</v>
      </c>
      <c r="H1280" s="194"/>
      <c r="I1280" s="194"/>
      <c r="J1280" s="195" t="str">
        <f>'Supply chain'!B9</f>
        <v>Agriculture, forestry and fishing</v>
      </c>
      <c r="K1280" s="194"/>
      <c r="L1280" s="194"/>
      <c r="M1280" s="195" t="str">
        <f>'Supply chain'!C9</f>
        <v>02</v>
      </c>
      <c r="N1280" s="195" t="str">
        <f>'Supply chain'!D9</f>
        <v xml:space="preserve">Products of forestry, logging and related services         </v>
      </c>
      <c r="O1280" s="194"/>
      <c r="P1280" s="195" t="str">
        <f>'Supply chain'!E9</f>
        <v>Tier 1</v>
      </c>
      <c r="Q1280" s="195">
        <f>'Supply chain'!F9</f>
        <v>0.25</v>
      </c>
      <c r="R1280" s="195">
        <f>'Supply chain'!G9</f>
        <v>0</v>
      </c>
      <c r="S1280" s="195" t="str">
        <f>'Supply chain'!H9</f>
        <v>£</v>
      </c>
      <c r="T1280" s="195">
        <f>'Supply chain'!I9</f>
        <v>0</v>
      </c>
      <c r="U1280" s="195" t="str">
        <f>'Supply chain'!J9</f>
        <v>£</v>
      </c>
      <c r="V1280" s="195">
        <f>'Supply chain'!K9</f>
        <v>0.32782378524106681</v>
      </c>
      <c r="W1280" s="195" t="str">
        <f>'Supply chain'!L9</f>
        <v/>
      </c>
      <c r="X1280" s="193">
        <f>'Supply chain'!M9</f>
        <v>0</v>
      </c>
      <c r="Y1280" s="195">
        <f>'Supply chain'!N9</f>
        <v>0</v>
      </c>
      <c r="Z1280" s="195">
        <f>'Supply chain'!O9</f>
        <v>0</v>
      </c>
      <c r="AA1280" s="195">
        <f>'Supply chain'!P9</f>
        <v>0</v>
      </c>
      <c r="AB1280" s="195">
        <f>'Supply chain'!Q9</f>
        <v>0</v>
      </c>
      <c r="AC1280" s="195">
        <f>'Supply chain'!R9</f>
        <v>0</v>
      </c>
      <c r="AD1280" s="195">
        <f>'Supply chain'!S9</f>
        <v>0</v>
      </c>
      <c r="AE1280" s="195">
        <f>'Supply chain'!T9</f>
        <v>0</v>
      </c>
      <c r="AF1280" s="195">
        <f>'Supply chain'!U9</f>
        <v>0</v>
      </c>
      <c r="AG1280" s="195">
        <f>'Supply chain'!V9</f>
        <v>0</v>
      </c>
      <c r="AI1280" s="193">
        <f t="shared" si="26"/>
        <v>0</v>
      </c>
      <c r="AJ1280" s="193">
        <f t="shared" si="27"/>
        <v>0</v>
      </c>
    </row>
    <row r="1281" spans="2:36" x14ac:dyDescent="0.35">
      <c r="B1281" s="193" t="e">
        <f>"2024"&amp;MATCH(Totals!D1281,OrgType,0)&amp;"_"&amp;MATCH(Totals!E1281,Organisations,0)&amp;"_"&amp;LEFT(Totals!F1281,1)&amp;"_"&amp;LEFT(G1281,1)&amp;"_"&amp;COUNTIF($G$3:G1281,G1281)</f>
        <v>#N/A</v>
      </c>
      <c r="C1281" s="193">
        <v>2025</v>
      </c>
      <c r="D1281" s="193">
        <f>Introduction!$D$7</f>
        <v>0</v>
      </c>
      <c r="E1281" s="193">
        <f>Introduction!$D$8</f>
        <v>0</v>
      </c>
      <c r="F1281" s="193" t="s">
        <v>493</v>
      </c>
      <c r="G1281" s="193" t="s">
        <v>493</v>
      </c>
      <c r="H1281" s="194"/>
      <c r="I1281" s="194"/>
      <c r="J1281" s="195" t="str">
        <f>'Supply chain'!B10</f>
        <v>Agriculture, forestry and fishing</v>
      </c>
      <c r="K1281" s="194"/>
      <c r="L1281" s="194"/>
      <c r="M1281" s="195" t="str">
        <f>'Supply chain'!C10</f>
        <v>03</v>
      </c>
      <c r="N1281" s="195" t="str">
        <f>'Supply chain'!D10</f>
        <v xml:space="preserve">Fish and other fishing products; aquaculture products; support services to fishing     </v>
      </c>
      <c r="O1281" s="194"/>
      <c r="P1281" s="195" t="str">
        <f>'Supply chain'!E10</f>
        <v>Tier 1</v>
      </c>
      <c r="Q1281" s="195">
        <f>'Supply chain'!F10</f>
        <v>0.25</v>
      </c>
      <c r="R1281" s="195">
        <f>'Supply chain'!G10</f>
        <v>0</v>
      </c>
      <c r="S1281" s="195" t="str">
        <f>'Supply chain'!H10</f>
        <v>£</v>
      </c>
      <c r="T1281" s="195">
        <f>'Supply chain'!I10</f>
        <v>0</v>
      </c>
      <c r="U1281" s="195" t="str">
        <f>'Supply chain'!J10</f>
        <v>£</v>
      </c>
      <c r="V1281" s="195">
        <f>'Supply chain'!K10</f>
        <v>0.75956996090477358</v>
      </c>
      <c r="W1281" s="195" t="str">
        <f>'Supply chain'!L10</f>
        <v/>
      </c>
      <c r="X1281" s="193">
        <f>'Supply chain'!M10</f>
        <v>0</v>
      </c>
      <c r="Y1281" s="195">
        <f>'Supply chain'!N10</f>
        <v>0</v>
      </c>
      <c r="Z1281" s="195">
        <f>'Supply chain'!O10</f>
        <v>0</v>
      </c>
      <c r="AA1281" s="195">
        <f>'Supply chain'!P10</f>
        <v>0</v>
      </c>
      <c r="AB1281" s="195">
        <f>'Supply chain'!Q10</f>
        <v>0</v>
      </c>
      <c r="AC1281" s="195">
        <f>'Supply chain'!R10</f>
        <v>0</v>
      </c>
      <c r="AD1281" s="195">
        <f>'Supply chain'!S10</f>
        <v>0</v>
      </c>
      <c r="AE1281" s="195">
        <f>'Supply chain'!T10</f>
        <v>0</v>
      </c>
      <c r="AF1281" s="195">
        <f>'Supply chain'!U10</f>
        <v>0</v>
      </c>
      <c r="AG1281" s="195">
        <f>'Supply chain'!V10</f>
        <v>0</v>
      </c>
      <c r="AI1281" s="193">
        <f t="shared" si="26"/>
        <v>0</v>
      </c>
      <c r="AJ1281" s="193">
        <f t="shared" si="27"/>
        <v>0</v>
      </c>
    </row>
    <row r="1282" spans="2:36" x14ac:dyDescent="0.35">
      <c r="B1282" s="193" t="e">
        <f>"2024"&amp;MATCH(Totals!D1282,OrgType,0)&amp;"_"&amp;MATCH(Totals!E1282,Organisations,0)&amp;"_"&amp;LEFT(Totals!F1282,1)&amp;"_"&amp;LEFT(G1282,1)&amp;"_"&amp;COUNTIF($G$3:G1282,G1282)</f>
        <v>#N/A</v>
      </c>
      <c r="C1282" s="193">
        <v>2025</v>
      </c>
      <c r="D1282" s="193">
        <f>Introduction!$D$7</f>
        <v>0</v>
      </c>
      <c r="E1282" s="193">
        <f>Introduction!$D$8</f>
        <v>0</v>
      </c>
      <c r="F1282" s="193" t="s">
        <v>493</v>
      </c>
      <c r="G1282" s="193" t="s">
        <v>493</v>
      </c>
      <c r="H1282" s="194"/>
      <c r="I1282" s="194"/>
      <c r="J1282" s="195" t="str">
        <f>'Supply chain'!B11</f>
        <v>Mining and quarrying</v>
      </c>
      <c r="K1282" s="194"/>
      <c r="L1282" s="194"/>
      <c r="M1282" s="195" t="str">
        <f>'Supply chain'!C11</f>
        <v>05</v>
      </c>
      <c r="N1282" s="195" t="str">
        <f>'Supply chain'!D11</f>
        <v xml:space="preserve">Coal and lignite             </v>
      </c>
      <c r="O1282" s="194"/>
      <c r="P1282" s="195" t="str">
        <f>'Supply chain'!E11</f>
        <v>Tier 1</v>
      </c>
      <c r="Q1282" s="195">
        <f>'Supply chain'!F11</f>
        <v>0.25</v>
      </c>
      <c r="R1282" s="195">
        <f>'Supply chain'!G11</f>
        <v>0</v>
      </c>
      <c r="S1282" s="195" t="str">
        <f>'Supply chain'!H11</f>
        <v>£</v>
      </c>
      <c r="T1282" s="195">
        <f>'Supply chain'!I11</f>
        <v>0</v>
      </c>
      <c r="U1282" s="195" t="str">
        <f>'Supply chain'!J11</f>
        <v>£</v>
      </c>
      <c r="V1282" s="195">
        <f>'Supply chain'!K11</f>
        <v>1.5975075642370109</v>
      </c>
      <c r="W1282" s="195" t="str">
        <f>'Supply chain'!L11</f>
        <v/>
      </c>
      <c r="X1282" s="193">
        <f>'Supply chain'!M11</f>
        <v>0</v>
      </c>
      <c r="Y1282" s="195">
        <f>'Supply chain'!N11</f>
        <v>0</v>
      </c>
      <c r="Z1282" s="195">
        <f>'Supply chain'!O11</f>
        <v>0</v>
      </c>
      <c r="AA1282" s="195">
        <f>'Supply chain'!P11</f>
        <v>0</v>
      </c>
      <c r="AB1282" s="195">
        <f>'Supply chain'!Q11</f>
        <v>0</v>
      </c>
      <c r="AC1282" s="195">
        <f>'Supply chain'!R11</f>
        <v>0</v>
      </c>
      <c r="AD1282" s="195">
        <f>'Supply chain'!S11</f>
        <v>0</v>
      </c>
      <c r="AE1282" s="195">
        <f>'Supply chain'!T11</f>
        <v>0</v>
      </c>
      <c r="AF1282" s="195">
        <f>'Supply chain'!U11</f>
        <v>0</v>
      </c>
      <c r="AG1282" s="195">
        <f>'Supply chain'!V11</f>
        <v>0</v>
      </c>
      <c r="AI1282" s="193">
        <f t="shared" si="26"/>
        <v>0</v>
      </c>
      <c r="AJ1282" s="193">
        <f t="shared" si="27"/>
        <v>0</v>
      </c>
    </row>
    <row r="1283" spans="2:36" x14ac:dyDescent="0.35">
      <c r="B1283" s="193" t="e">
        <f>"2024"&amp;MATCH(Totals!D1283,OrgType,0)&amp;"_"&amp;MATCH(Totals!E1283,Organisations,0)&amp;"_"&amp;LEFT(Totals!F1283,1)&amp;"_"&amp;LEFT(G1283,1)&amp;"_"&amp;COUNTIF($G$3:G1283,G1283)</f>
        <v>#N/A</v>
      </c>
      <c r="C1283" s="193">
        <v>2025</v>
      </c>
      <c r="D1283" s="193">
        <f>Introduction!$D$7</f>
        <v>0</v>
      </c>
      <c r="E1283" s="193">
        <f>Introduction!$D$8</f>
        <v>0</v>
      </c>
      <c r="F1283" s="193" t="s">
        <v>493</v>
      </c>
      <c r="G1283" s="193" t="s">
        <v>493</v>
      </c>
      <c r="H1283" s="194"/>
      <c r="I1283" s="194"/>
      <c r="J1283" s="195" t="str">
        <f>'Supply chain'!B12</f>
        <v>Mining and quarrying</v>
      </c>
      <c r="K1283" s="194"/>
      <c r="L1283" s="194"/>
      <c r="M1283" s="195" t="str">
        <f>'Supply chain'!C12</f>
        <v>06</v>
      </c>
      <c r="N1283" s="195" t="str">
        <f>'Supply chain'!D12</f>
        <v xml:space="preserve">Crude petroleum and natural gas           </v>
      </c>
      <c r="O1283" s="194"/>
      <c r="P1283" s="195" t="str">
        <f>'Supply chain'!E12</f>
        <v>Tier 1</v>
      </c>
      <c r="Q1283" s="195">
        <f>'Supply chain'!F12</f>
        <v>0.25</v>
      </c>
      <c r="R1283" s="195">
        <f>'Supply chain'!G12</f>
        <v>0</v>
      </c>
      <c r="S1283" s="195" t="str">
        <f>'Supply chain'!H12</f>
        <v>£</v>
      </c>
      <c r="T1283" s="195">
        <f>'Supply chain'!I12</f>
        <v>0</v>
      </c>
      <c r="U1283" s="195" t="str">
        <f>'Supply chain'!J12</f>
        <v>£</v>
      </c>
      <c r="V1283" s="195">
        <f>'Supply chain'!K12</f>
        <v>1.4710168420185299</v>
      </c>
      <c r="W1283" s="195" t="str">
        <f>'Supply chain'!L12</f>
        <v/>
      </c>
      <c r="X1283" s="193">
        <f>'Supply chain'!M12</f>
        <v>0</v>
      </c>
      <c r="Y1283" s="195">
        <f>'Supply chain'!N12</f>
        <v>0</v>
      </c>
      <c r="Z1283" s="195">
        <f>'Supply chain'!O12</f>
        <v>0</v>
      </c>
      <c r="AA1283" s="195">
        <f>'Supply chain'!P12</f>
        <v>0</v>
      </c>
      <c r="AB1283" s="195">
        <f>'Supply chain'!Q12</f>
        <v>0</v>
      </c>
      <c r="AC1283" s="195">
        <f>'Supply chain'!R12</f>
        <v>0</v>
      </c>
      <c r="AD1283" s="195">
        <f>'Supply chain'!S12</f>
        <v>0</v>
      </c>
      <c r="AE1283" s="195">
        <f>'Supply chain'!T12</f>
        <v>0</v>
      </c>
      <c r="AF1283" s="195">
        <f>'Supply chain'!U12</f>
        <v>0</v>
      </c>
      <c r="AG1283" s="195">
        <f>'Supply chain'!V12</f>
        <v>0</v>
      </c>
      <c r="AI1283" s="193">
        <f t="shared" si="26"/>
        <v>0</v>
      </c>
      <c r="AJ1283" s="193">
        <f t="shared" si="27"/>
        <v>0</v>
      </c>
    </row>
    <row r="1284" spans="2:36" x14ac:dyDescent="0.35">
      <c r="B1284" s="193" t="e">
        <f>"2024"&amp;MATCH(Totals!D1284,OrgType,0)&amp;"_"&amp;MATCH(Totals!E1284,Organisations,0)&amp;"_"&amp;LEFT(Totals!F1284,1)&amp;"_"&amp;LEFT(G1284,1)&amp;"_"&amp;COUNTIF($G$3:G1284,G1284)</f>
        <v>#N/A</v>
      </c>
      <c r="C1284" s="193">
        <v>2025</v>
      </c>
      <c r="D1284" s="193">
        <f>Introduction!$D$7</f>
        <v>0</v>
      </c>
      <c r="E1284" s="193">
        <f>Introduction!$D$8</f>
        <v>0</v>
      </c>
      <c r="F1284" s="193" t="s">
        <v>493</v>
      </c>
      <c r="G1284" s="193" t="s">
        <v>493</v>
      </c>
      <c r="H1284" s="194"/>
      <c r="I1284" s="194"/>
      <c r="J1284" s="195" t="str">
        <f>'Supply chain'!B13</f>
        <v>Mining and quarrying</v>
      </c>
      <c r="K1284" s="194"/>
      <c r="L1284" s="194"/>
      <c r="M1284" s="195" t="str">
        <f>'Supply chain'!C13</f>
        <v>08</v>
      </c>
      <c r="N1284" s="195" t="str">
        <f>'Supply chain'!D13</f>
        <v xml:space="preserve">Other mining and quarrying products           </v>
      </c>
      <c r="O1284" s="194"/>
      <c r="P1284" s="195" t="str">
        <f>'Supply chain'!E13</f>
        <v>Tier 1</v>
      </c>
      <c r="Q1284" s="195">
        <f>'Supply chain'!F13</f>
        <v>0.25</v>
      </c>
      <c r="R1284" s="195">
        <f>'Supply chain'!G13</f>
        <v>0</v>
      </c>
      <c r="S1284" s="195" t="str">
        <f>'Supply chain'!H13</f>
        <v>£</v>
      </c>
      <c r="T1284" s="195">
        <f>'Supply chain'!I13</f>
        <v>0</v>
      </c>
      <c r="U1284" s="195" t="str">
        <f>'Supply chain'!J13</f>
        <v>£</v>
      </c>
      <c r="V1284" s="195">
        <f>'Supply chain'!K13</f>
        <v>0.75644399070910817</v>
      </c>
      <c r="W1284" s="195" t="str">
        <f>'Supply chain'!L13</f>
        <v/>
      </c>
      <c r="X1284" s="193">
        <f>'Supply chain'!M13</f>
        <v>0</v>
      </c>
      <c r="Y1284" s="195">
        <f>'Supply chain'!N13</f>
        <v>0</v>
      </c>
      <c r="Z1284" s="195">
        <f>'Supply chain'!O13</f>
        <v>0</v>
      </c>
      <c r="AA1284" s="195">
        <f>'Supply chain'!P13</f>
        <v>0</v>
      </c>
      <c r="AB1284" s="195">
        <f>'Supply chain'!Q13</f>
        <v>0</v>
      </c>
      <c r="AC1284" s="195">
        <f>'Supply chain'!R13</f>
        <v>0</v>
      </c>
      <c r="AD1284" s="195">
        <f>'Supply chain'!S13</f>
        <v>0</v>
      </c>
      <c r="AE1284" s="195">
        <f>'Supply chain'!T13</f>
        <v>0</v>
      </c>
      <c r="AF1284" s="195">
        <f>'Supply chain'!U13</f>
        <v>0</v>
      </c>
      <c r="AG1284" s="195">
        <f>'Supply chain'!V13</f>
        <v>0</v>
      </c>
      <c r="AI1284" s="193">
        <f t="shared" si="26"/>
        <v>0</v>
      </c>
      <c r="AJ1284" s="193">
        <f t="shared" si="27"/>
        <v>0</v>
      </c>
    </row>
    <row r="1285" spans="2:36" x14ac:dyDescent="0.35">
      <c r="B1285" s="193" t="e">
        <f>"2024"&amp;MATCH(Totals!D1285,OrgType,0)&amp;"_"&amp;MATCH(Totals!E1285,Organisations,0)&amp;"_"&amp;LEFT(Totals!F1285,1)&amp;"_"&amp;LEFT(G1285,1)&amp;"_"&amp;COUNTIF($G$3:G1285,G1285)</f>
        <v>#N/A</v>
      </c>
      <c r="C1285" s="193">
        <v>2025</v>
      </c>
      <c r="D1285" s="193">
        <f>Introduction!$D$7</f>
        <v>0</v>
      </c>
      <c r="E1285" s="193">
        <f>Introduction!$D$8</f>
        <v>0</v>
      </c>
      <c r="F1285" s="193" t="s">
        <v>493</v>
      </c>
      <c r="G1285" s="193" t="s">
        <v>493</v>
      </c>
      <c r="H1285" s="194"/>
      <c r="I1285" s="194"/>
      <c r="J1285" s="195" t="str">
        <f>'Supply chain'!B14</f>
        <v>Mining and quarrying</v>
      </c>
      <c r="K1285" s="194"/>
      <c r="L1285" s="194"/>
      <c r="M1285" s="195" t="str">
        <f>'Supply chain'!C14</f>
        <v>09</v>
      </c>
      <c r="N1285" s="195" t="str">
        <f>'Supply chain'!D14</f>
        <v xml:space="preserve">Mining support services             </v>
      </c>
      <c r="O1285" s="194"/>
      <c r="P1285" s="195" t="str">
        <f>'Supply chain'!E14</f>
        <v>Tier 1</v>
      </c>
      <c r="Q1285" s="195">
        <f>'Supply chain'!F14</f>
        <v>0.25</v>
      </c>
      <c r="R1285" s="195">
        <f>'Supply chain'!G14</f>
        <v>0</v>
      </c>
      <c r="S1285" s="195" t="str">
        <f>'Supply chain'!H14</f>
        <v>£</v>
      </c>
      <c r="T1285" s="195">
        <f>'Supply chain'!I14</f>
        <v>0</v>
      </c>
      <c r="U1285" s="195" t="str">
        <f>'Supply chain'!J14</f>
        <v>£</v>
      </c>
      <c r="V1285" s="195">
        <f>'Supply chain'!K14</f>
        <v>1.9045035843150839</v>
      </c>
      <c r="W1285" s="195" t="str">
        <f>'Supply chain'!L14</f>
        <v/>
      </c>
      <c r="X1285" s="193">
        <f>'Supply chain'!M14</f>
        <v>0</v>
      </c>
      <c r="Y1285" s="195">
        <f>'Supply chain'!N14</f>
        <v>0</v>
      </c>
      <c r="Z1285" s="195">
        <f>'Supply chain'!O14</f>
        <v>0</v>
      </c>
      <c r="AA1285" s="195">
        <f>'Supply chain'!P14</f>
        <v>0</v>
      </c>
      <c r="AB1285" s="195">
        <f>'Supply chain'!Q14</f>
        <v>0</v>
      </c>
      <c r="AC1285" s="195">
        <f>'Supply chain'!R14</f>
        <v>0</v>
      </c>
      <c r="AD1285" s="195">
        <f>'Supply chain'!S14</f>
        <v>0</v>
      </c>
      <c r="AE1285" s="195">
        <f>'Supply chain'!T14</f>
        <v>0</v>
      </c>
      <c r="AF1285" s="195">
        <f>'Supply chain'!U14</f>
        <v>0</v>
      </c>
      <c r="AG1285" s="195">
        <f>'Supply chain'!V14</f>
        <v>0</v>
      </c>
      <c r="AI1285" s="193">
        <f t="shared" si="26"/>
        <v>0</v>
      </c>
      <c r="AJ1285" s="193">
        <f t="shared" si="27"/>
        <v>0</v>
      </c>
    </row>
    <row r="1286" spans="2:36" x14ac:dyDescent="0.35">
      <c r="B1286" s="193" t="e">
        <f>"2024"&amp;MATCH(Totals!D1286,OrgType,0)&amp;"_"&amp;MATCH(Totals!E1286,Organisations,0)&amp;"_"&amp;LEFT(Totals!F1286,1)&amp;"_"&amp;LEFT(G1286,1)&amp;"_"&amp;COUNTIF($G$3:G1286,G1286)</f>
        <v>#N/A</v>
      </c>
      <c r="C1286" s="193">
        <v>2025</v>
      </c>
      <c r="D1286" s="193">
        <f>Introduction!$D$7</f>
        <v>0</v>
      </c>
      <c r="E1286" s="193">
        <f>Introduction!$D$8</f>
        <v>0</v>
      </c>
      <c r="F1286" s="193" t="s">
        <v>493</v>
      </c>
      <c r="G1286" s="193" t="s">
        <v>493</v>
      </c>
      <c r="H1286" s="194"/>
      <c r="I1286" s="194"/>
      <c r="J1286" s="195" t="str">
        <f>'Supply chain'!B15</f>
        <v>Manufacturing</v>
      </c>
      <c r="K1286" s="194"/>
      <c r="L1286" s="194"/>
      <c r="M1286" s="195" t="str">
        <f>'Supply chain'!C15</f>
        <v>10.1</v>
      </c>
      <c r="N1286" s="195" t="str">
        <f>'Supply chain'!D15</f>
        <v xml:space="preserve">Preserved meat and meat products           </v>
      </c>
      <c r="O1286" s="194"/>
      <c r="P1286" s="195" t="str">
        <f>'Supply chain'!E15</f>
        <v>Tier 1</v>
      </c>
      <c r="Q1286" s="195">
        <f>'Supply chain'!F15</f>
        <v>0.25</v>
      </c>
      <c r="R1286" s="195">
        <f>'Supply chain'!G15</f>
        <v>0</v>
      </c>
      <c r="S1286" s="195" t="str">
        <f>'Supply chain'!H15</f>
        <v>£</v>
      </c>
      <c r="T1286" s="195">
        <f>'Supply chain'!I15</f>
        <v>0</v>
      </c>
      <c r="U1286" s="195" t="str">
        <f>'Supply chain'!J15</f>
        <v>£</v>
      </c>
      <c r="V1286" s="195">
        <f>'Supply chain'!K15</f>
        <v>0.81693468564356375</v>
      </c>
      <c r="W1286" s="195" t="str">
        <f>'Supply chain'!L15</f>
        <v/>
      </c>
      <c r="X1286" s="193">
        <f>'Supply chain'!M15</f>
        <v>0</v>
      </c>
      <c r="Y1286" s="195">
        <f>'Supply chain'!N15</f>
        <v>0</v>
      </c>
      <c r="Z1286" s="195">
        <f>'Supply chain'!O15</f>
        <v>0</v>
      </c>
      <c r="AA1286" s="195">
        <f>'Supply chain'!P15</f>
        <v>0</v>
      </c>
      <c r="AB1286" s="195">
        <f>'Supply chain'!Q15</f>
        <v>0</v>
      </c>
      <c r="AC1286" s="195">
        <f>'Supply chain'!R15</f>
        <v>0</v>
      </c>
      <c r="AD1286" s="195">
        <f>'Supply chain'!S15</f>
        <v>0</v>
      </c>
      <c r="AE1286" s="195">
        <f>'Supply chain'!T15</f>
        <v>0</v>
      </c>
      <c r="AF1286" s="195">
        <f>'Supply chain'!U15</f>
        <v>0</v>
      </c>
      <c r="AG1286" s="195">
        <f>'Supply chain'!V15</f>
        <v>0</v>
      </c>
      <c r="AI1286" s="193">
        <f t="shared" si="26"/>
        <v>0</v>
      </c>
      <c r="AJ1286" s="193">
        <f t="shared" si="27"/>
        <v>0</v>
      </c>
    </row>
    <row r="1287" spans="2:36" x14ac:dyDescent="0.35">
      <c r="B1287" s="193" t="e">
        <f>"2024"&amp;MATCH(Totals!D1287,OrgType,0)&amp;"_"&amp;MATCH(Totals!E1287,Organisations,0)&amp;"_"&amp;LEFT(Totals!F1287,1)&amp;"_"&amp;LEFT(G1287,1)&amp;"_"&amp;COUNTIF($G$3:G1287,G1287)</f>
        <v>#N/A</v>
      </c>
      <c r="C1287" s="193">
        <v>2025</v>
      </c>
      <c r="D1287" s="193">
        <f>Introduction!$D$7</f>
        <v>0</v>
      </c>
      <c r="E1287" s="193">
        <f>Introduction!$D$8</f>
        <v>0</v>
      </c>
      <c r="F1287" s="193" t="s">
        <v>493</v>
      </c>
      <c r="G1287" s="193" t="s">
        <v>493</v>
      </c>
      <c r="H1287" s="194"/>
      <c r="I1287" s="194"/>
      <c r="J1287" s="195" t="str">
        <f>'Supply chain'!B16</f>
        <v>Manufacturing</v>
      </c>
      <c r="K1287" s="194"/>
      <c r="L1287" s="194"/>
      <c r="M1287" s="195" t="str">
        <f>'Supply chain'!C16</f>
        <v>10.2 -3</v>
      </c>
      <c r="N1287" s="195" t="str">
        <f>'Supply chain'!D16</f>
        <v xml:space="preserve">Processed and preserved fish, crustaceans, molluscs, fruit and vegetables       </v>
      </c>
      <c r="O1287" s="194"/>
      <c r="P1287" s="195" t="str">
        <f>'Supply chain'!E16</f>
        <v>Tier 1</v>
      </c>
      <c r="Q1287" s="195">
        <f>'Supply chain'!F16</f>
        <v>0.25</v>
      </c>
      <c r="R1287" s="195">
        <f>'Supply chain'!G16</f>
        <v>0</v>
      </c>
      <c r="S1287" s="195" t="str">
        <f>'Supply chain'!H16</f>
        <v>£</v>
      </c>
      <c r="T1287" s="195">
        <f>'Supply chain'!I16</f>
        <v>0</v>
      </c>
      <c r="U1287" s="195" t="str">
        <f>'Supply chain'!J16</f>
        <v>£</v>
      </c>
      <c r="V1287" s="195">
        <f>'Supply chain'!K16</f>
        <v>0.74540943133531734</v>
      </c>
      <c r="W1287" s="195" t="str">
        <f>'Supply chain'!L16</f>
        <v/>
      </c>
      <c r="X1287" s="193">
        <f>'Supply chain'!M16</f>
        <v>0</v>
      </c>
      <c r="Y1287" s="195">
        <f>'Supply chain'!N16</f>
        <v>0</v>
      </c>
      <c r="Z1287" s="195">
        <f>'Supply chain'!O16</f>
        <v>0</v>
      </c>
      <c r="AA1287" s="195">
        <f>'Supply chain'!P16</f>
        <v>0</v>
      </c>
      <c r="AB1287" s="195">
        <f>'Supply chain'!Q16</f>
        <v>0</v>
      </c>
      <c r="AC1287" s="195">
        <f>'Supply chain'!R16</f>
        <v>0</v>
      </c>
      <c r="AD1287" s="195">
        <f>'Supply chain'!S16</f>
        <v>0</v>
      </c>
      <c r="AE1287" s="195">
        <f>'Supply chain'!T16</f>
        <v>0</v>
      </c>
      <c r="AF1287" s="195">
        <f>'Supply chain'!U16</f>
        <v>0</v>
      </c>
      <c r="AG1287" s="195">
        <f>'Supply chain'!V16</f>
        <v>0</v>
      </c>
      <c r="AI1287" s="193">
        <f t="shared" si="26"/>
        <v>0</v>
      </c>
      <c r="AJ1287" s="193">
        <f t="shared" si="27"/>
        <v>0</v>
      </c>
    </row>
    <row r="1288" spans="2:36" x14ac:dyDescent="0.35">
      <c r="B1288" s="193" t="e">
        <f>"2024"&amp;MATCH(Totals!D1288,OrgType,0)&amp;"_"&amp;MATCH(Totals!E1288,Organisations,0)&amp;"_"&amp;LEFT(Totals!F1288,1)&amp;"_"&amp;LEFT(G1288,1)&amp;"_"&amp;COUNTIF($G$3:G1288,G1288)</f>
        <v>#N/A</v>
      </c>
      <c r="C1288" s="193">
        <v>2025</v>
      </c>
      <c r="D1288" s="193">
        <f>Introduction!$D$7</f>
        <v>0</v>
      </c>
      <c r="E1288" s="193">
        <f>Introduction!$D$8</f>
        <v>0</v>
      </c>
      <c r="F1288" s="193" t="s">
        <v>493</v>
      </c>
      <c r="G1288" s="193" t="s">
        <v>493</v>
      </c>
      <c r="H1288" s="194"/>
      <c r="I1288" s="194"/>
      <c r="J1288" s="195" t="str">
        <f>'Supply chain'!B17</f>
        <v>Manufacturing</v>
      </c>
      <c r="K1288" s="194"/>
      <c r="L1288" s="194"/>
      <c r="M1288" s="195" t="str">
        <f>'Supply chain'!C17</f>
        <v>10.4</v>
      </c>
      <c r="N1288" s="195" t="str">
        <f>'Supply chain'!D17</f>
        <v xml:space="preserve">Vegetable and animal oils and fats          </v>
      </c>
      <c r="O1288" s="194"/>
      <c r="P1288" s="195" t="str">
        <f>'Supply chain'!E17</f>
        <v>Tier 1</v>
      </c>
      <c r="Q1288" s="195">
        <f>'Supply chain'!F17</f>
        <v>0.25</v>
      </c>
      <c r="R1288" s="195">
        <f>'Supply chain'!G17</f>
        <v>0</v>
      </c>
      <c r="S1288" s="195" t="str">
        <f>'Supply chain'!H17</f>
        <v>£</v>
      </c>
      <c r="T1288" s="195">
        <f>'Supply chain'!I17</f>
        <v>0</v>
      </c>
      <c r="U1288" s="195" t="str">
        <f>'Supply chain'!J17</f>
        <v>£</v>
      </c>
      <c r="V1288" s="195">
        <f>'Supply chain'!K17</f>
        <v>0.95975691012945652</v>
      </c>
      <c r="W1288" s="195" t="str">
        <f>'Supply chain'!L17</f>
        <v/>
      </c>
      <c r="X1288" s="193">
        <f>'Supply chain'!M17</f>
        <v>0</v>
      </c>
      <c r="Y1288" s="195">
        <f>'Supply chain'!N17</f>
        <v>0</v>
      </c>
      <c r="Z1288" s="195">
        <f>'Supply chain'!O17</f>
        <v>0</v>
      </c>
      <c r="AA1288" s="195">
        <f>'Supply chain'!P17</f>
        <v>0</v>
      </c>
      <c r="AB1288" s="195">
        <f>'Supply chain'!Q17</f>
        <v>0</v>
      </c>
      <c r="AC1288" s="195">
        <f>'Supply chain'!R17</f>
        <v>0</v>
      </c>
      <c r="AD1288" s="195">
        <f>'Supply chain'!S17</f>
        <v>0</v>
      </c>
      <c r="AE1288" s="195">
        <f>'Supply chain'!T17</f>
        <v>0</v>
      </c>
      <c r="AF1288" s="195">
        <f>'Supply chain'!U17</f>
        <v>0</v>
      </c>
      <c r="AG1288" s="195">
        <f>'Supply chain'!V17</f>
        <v>0</v>
      </c>
      <c r="AI1288" s="193">
        <f t="shared" si="26"/>
        <v>0</v>
      </c>
      <c r="AJ1288" s="193">
        <f t="shared" si="27"/>
        <v>0</v>
      </c>
    </row>
    <row r="1289" spans="2:36" x14ac:dyDescent="0.35">
      <c r="B1289" s="193" t="e">
        <f>"2024"&amp;MATCH(Totals!D1289,OrgType,0)&amp;"_"&amp;MATCH(Totals!E1289,Organisations,0)&amp;"_"&amp;LEFT(Totals!F1289,1)&amp;"_"&amp;LEFT(G1289,1)&amp;"_"&amp;COUNTIF($G$3:G1289,G1289)</f>
        <v>#N/A</v>
      </c>
      <c r="C1289" s="193">
        <v>2025</v>
      </c>
      <c r="D1289" s="193">
        <f>Introduction!$D$7</f>
        <v>0</v>
      </c>
      <c r="E1289" s="193">
        <f>Introduction!$D$8</f>
        <v>0</v>
      </c>
      <c r="F1289" s="193" t="s">
        <v>493</v>
      </c>
      <c r="G1289" s="193" t="s">
        <v>493</v>
      </c>
      <c r="H1289" s="194"/>
      <c r="I1289" s="194"/>
      <c r="J1289" s="195" t="str">
        <f>'Supply chain'!B18</f>
        <v>Manufacturing</v>
      </c>
      <c r="K1289" s="194"/>
      <c r="L1289" s="194"/>
      <c r="M1289" s="195" t="str">
        <f>'Supply chain'!C18</f>
        <v>10.5</v>
      </c>
      <c r="N1289" s="195" t="str">
        <f>'Supply chain'!D18</f>
        <v xml:space="preserve">Dairy products              </v>
      </c>
      <c r="O1289" s="194"/>
      <c r="P1289" s="195" t="str">
        <f>'Supply chain'!E18</f>
        <v>Tier 1</v>
      </c>
      <c r="Q1289" s="195">
        <f>'Supply chain'!F18</f>
        <v>0.25</v>
      </c>
      <c r="R1289" s="195">
        <f>'Supply chain'!G18</f>
        <v>0</v>
      </c>
      <c r="S1289" s="195" t="str">
        <f>'Supply chain'!H18</f>
        <v>£</v>
      </c>
      <c r="T1289" s="195">
        <f>'Supply chain'!I18</f>
        <v>0</v>
      </c>
      <c r="U1289" s="195" t="str">
        <f>'Supply chain'!J18</f>
        <v>£</v>
      </c>
      <c r="V1289" s="195">
        <f>'Supply chain'!K18</f>
        <v>0.96896280664553336</v>
      </c>
      <c r="W1289" s="195" t="str">
        <f>'Supply chain'!L18</f>
        <v/>
      </c>
      <c r="X1289" s="193">
        <f>'Supply chain'!M18</f>
        <v>0</v>
      </c>
      <c r="Y1289" s="195">
        <f>'Supply chain'!N18</f>
        <v>0</v>
      </c>
      <c r="Z1289" s="195">
        <f>'Supply chain'!O18</f>
        <v>0</v>
      </c>
      <c r="AA1289" s="195">
        <f>'Supply chain'!P18</f>
        <v>0</v>
      </c>
      <c r="AB1289" s="195">
        <f>'Supply chain'!Q18</f>
        <v>0</v>
      </c>
      <c r="AC1289" s="195">
        <f>'Supply chain'!R18</f>
        <v>0</v>
      </c>
      <c r="AD1289" s="195">
        <f>'Supply chain'!S18</f>
        <v>0</v>
      </c>
      <c r="AE1289" s="195">
        <f>'Supply chain'!T18</f>
        <v>0</v>
      </c>
      <c r="AF1289" s="195">
        <f>'Supply chain'!U18</f>
        <v>0</v>
      </c>
      <c r="AG1289" s="195">
        <f>'Supply chain'!V18</f>
        <v>0</v>
      </c>
      <c r="AI1289" s="193">
        <f t="shared" si="26"/>
        <v>0</v>
      </c>
      <c r="AJ1289" s="193">
        <f t="shared" si="27"/>
        <v>0</v>
      </c>
    </row>
    <row r="1290" spans="2:36" x14ac:dyDescent="0.35">
      <c r="B1290" s="193" t="e">
        <f>"2024"&amp;MATCH(Totals!D1290,OrgType,0)&amp;"_"&amp;MATCH(Totals!E1290,Organisations,0)&amp;"_"&amp;LEFT(Totals!F1290,1)&amp;"_"&amp;LEFT(G1290,1)&amp;"_"&amp;COUNTIF($G$3:G1290,G1290)</f>
        <v>#N/A</v>
      </c>
      <c r="C1290" s="193">
        <v>2025</v>
      </c>
      <c r="D1290" s="193">
        <f>Introduction!$D$7</f>
        <v>0</v>
      </c>
      <c r="E1290" s="193">
        <f>Introduction!$D$8</f>
        <v>0</v>
      </c>
      <c r="F1290" s="193" t="s">
        <v>493</v>
      </c>
      <c r="G1290" s="193" t="s">
        <v>493</v>
      </c>
      <c r="H1290" s="194"/>
      <c r="I1290" s="194"/>
      <c r="J1290" s="195" t="str">
        <f>'Supply chain'!B19</f>
        <v>Manufacturing</v>
      </c>
      <c r="K1290" s="194"/>
      <c r="L1290" s="194"/>
      <c r="M1290" s="195" t="str">
        <f>'Supply chain'!C19</f>
        <v>10.6</v>
      </c>
      <c r="N1290" s="195" t="str">
        <f>'Supply chain'!D19</f>
        <v xml:space="preserve">Grain mill products, starches and starch products         </v>
      </c>
      <c r="O1290" s="194"/>
      <c r="P1290" s="195" t="str">
        <f>'Supply chain'!E19</f>
        <v>Tier 1</v>
      </c>
      <c r="Q1290" s="195">
        <f>'Supply chain'!F19</f>
        <v>0.25</v>
      </c>
      <c r="R1290" s="195">
        <f>'Supply chain'!G19</f>
        <v>0</v>
      </c>
      <c r="S1290" s="195" t="str">
        <f>'Supply chain'!H19</f>
        <v>£</v>
      </c>
      <c r="T1290" s="195">
        <f>'Supply chain'!I19</f>
        <v>0</v>
      </c>
      <c r="U1290" s="195" t="str">
        <f>'Supply chain'!J19</f>
        <v>£</v>
      </c>
      <c r="V1290" s="195">
        <f>'Supply chain'!K19</f>
        <v>0.93933273884136026</v>
      </c>
      <c r="W1290" s="195" t="str">
        <f>'Supply chain'!L19</f>
        <v/>
      </c>
      <c r="X1290" s="193">
        <f>'Supply chain'!M19</f>
        <v>0</v>
      </c>
      <c r="Y1290" s="195">
        <f>'Supply chain'!N19</f>
        <v>0</v>
      </c>
      <c r="Z1290" s="195">
        <f>'Supply chain'!O19</f>
        <v>0</v>
      </c>
      <c r="AA1290" s="195">
        <f>'Supply chain'!P19</f>
        <v>0</v>
      </c>
      <c r="AB1290" s="195">
        <f>'Supply chain'!Q19</f>
        <v>0</v>
      </c>
      <c r="AC1290" s="195">
        <f>'Supply chain'!R19</f>
        <v>0</v>
      </c>
      <c r="AD1290" s="195">
        <f>'Supply chain'!S19</f>
        <v>0</v>
      </c>
      <c r="AE1290" s="195">
        <f>'Supply chain'!T19</f>
        <v>0</v>
      </c>
      <c r="AF1290" s="195">
        <f>'Supply chain'!U19</f>
        <v>0</v>
      </c>
      <c r="AG1290" s="195">
        <f>'Supply chain'!V19</f>
        <v>0</v>
      </c>
      <c r="AI1290" s="193">
        <f t="shared" si="26"/>
        <v>0</v>
      </c>
      <c r="AJ1290" s="193">
        <f t="shared" si="27"/>
        <v>0</v>
      </c>
    </row>
    <row r="1291" spans="2:36" x14ac:dyDescent="0.35">
      <c r="B1291" s="193" t="e">
        <f>"2024"&amp;MATCH(Totals!D1291,OrgType,0)&amp;"_"&amp;MATCH(Totals!E1291,Organisations,0)&amp;"_"&amp;LEFT(Totals!F1291,1)&amp;"_"&amp;LEFT(G1291,1)&amp;"_"&amp;COUNTIF($G$3:G1291,G1291)</f>
        <v>#N/A</v>
      </c>
      <c r="C1291" s="193">
        <v>2025</v>
      </c>
      <c r="D1291" s="193">
        <f>Introduction!$D$7</f>
        <v>0</v>
      </c>
      <c r="E1291" s="193">
        <f>Introduction!$D$8</f>
        <v>0</v>
      </c>
      <c r="F1291" s="193" t="s">
        <v>493</v>
      </c>
      <c r="G1291" s="193" t="s">
        <v>493</v>
      </c>
      <c r="H1291" s="194"/>
      <c r="I1291" s="194"/>
      <c r="J1291" s="195" t="str">
        <f>'Supply chain'!B20</f>
        <v>Manufacturing</v>
      </c>
      <c r="K1291" s="194"/>
      <c r="L1291" s="194"/>
      <c r="M1291" s="195" t="str">
        <f>'Supply chain'!C20</f>
        <v>10.7</v>
      </c>
      <c r="N1291" s="195" t="str">
        <f>'Supply chain'!D20</f>
        <v xml:space="preserve">Bakery and farinaceous products            </v>
      </c>
      <c r="O1291" s="194"/>
      <c r="P1291" s="195" t="str">
        <f>'Supply chain'!E20</f>
        <v>Tier 1</v>
      </c>
      <c r="Q1291" s="195">
        <f>'Supply chain'!F20</f>
        <v>0.25</v>
      </c>
      <c r="R1291" s="195">
        <f>'Supply chain'!G20</f>
        <v>0</v>
      </c>
      <c r="S1291" s="195" t="str">
        <f>'Supply chain'!H20</f>
        <v>£</v>
      </c>
      <c r="T1291" s="195">
        <f>'Supply chain'!I20</f>
        <v>0</v>
      </c>
      <c r="U1291" s="195" t="str">
        <f>'Supply chain'!J20</f>
        <v>£</v>
      </c>
      <c r="V1291" s="195">
        <f>'Supply chain'!K20</f>
        <v>0.5666158351932542</v>
      </c>
      <c r="W1291" s="195" t="str">
        <f>'Supply chain'!L20</f>
        <v/>
      </c>
      <c r="X1291" s="193">
        <f>'Supply chain'!M20</f>
        <v>0</v>
      </c>
      <c r="Y1291" s="195">
        <f>'Supply chain'!N20</f>
        <v>0</v>
      </c>
      <c r="Z1291" s="195">
        <f>'Supply chain'!O20</f>
        <v>0</v>
      </c>
      <c r="AA1291" s="195">
        <f>'Supply chain'!P20</f>
        <v>0</v>
      </c>
      <c r="AB1291" s="195">
        <f>'Supply chain'!Q20</f>
        <v>0</v>
      </c>
      <c r="AC1291" s="195">
        <f>'Supply chain'!R20</f>
        <v>0</v>
      </c>
      <c r="AD1291" s="195">
        <f>'Supply chain'!S20</f>
        <v>0</v>
      </c>
      <c r="AE1291" s="195">
        <f>'Supply chain'!T20</f>
        <v>0</v>
      </c>
      <c r="AF1291" s="195">
        <f>'Supply chain'!U20</f>
        <v>0</v>
      </c>
      <c r="AG1291" s="195">
        <f>'Supply chain'!V20</f>
        <v>0</v>
      </c>
      <c r="AI1291" s="193">
        <f t="shared" si="26"/>
        <v>0</v>
      </c>
      <c r="AJ1291" s="193">
        <f t="shared" si="27"/>
        <v>0</v>
      </c>
    </row>
    <row r="1292" spans="2:36" x14ac:dyDescent="0.35">
      <c r="B1292" s="193" t="e">
        <f>"2024"&amp;MATCH(Totals!D1292,OrgType,0)&amp;"_"&amp;MATCH(Totals!E1292,Organisations,0)&amp;"_"&amp;LEFT(Totals!F1292,1)&amp;"_"&amp;LEFT(G1292,1)&amp;"_"&amp;COUNTIF($G$3:G1292,G1292)</f>
        <v>#N/A</v>
      </c>
      <c r="C1292" s="193">
        <v>2025</v>
      </c>
      <c r="D1292" s="193">
        <f>Introduction!$D$7</f>
        <v>0</v>
      </c>
      <c r="E1292" s="193">
        <f>Introduction!$D$8</f>
        <v>0</v>
      </c>
      <c r="F1292" s="193" t="s">
        <v>493</v>
      </c>
      <c r="G1292" s="193" t="s">
        <v>493</v>
      </c>
      <c r="H1292" s="194"/>
      <c r="I1292" s="194"/>
      <c r="J1292" s="195" t="str">
        <f>'Supply chain'!B21</f>
        <v>Manufacturing</v>
      </c>
      <c r="K1292" s="194"/>
      <c r="L1292" s="194"/>
      <c r="M1292" s="195" t="str">
        <f>'Supply chain'!C21</f>
        <v>10.8</v>
      </c>
      <c r="N1292" s="195" t="str">
        <f>'Supply chain'!D21</f>
        <v xml:space="preserve">Other food products             </v>
      </c>
      <c r="O1292" s="194"/>
      <c r="P1292" s="195" t="str">
        <f>'Supply chain'!E21</f>
        <v>Tier 1</v>
      </c>
      <c r="Q1292" s="195">
        <f>'Supply chain'!F21</f>
        <v>0.25</v>
      </c>
      <c r="R1292" s="195">
        <f>'Supply chain'!G21</f>
        <v>0</v>
      </c>
      <c r="S1292" s="195" t="str">
        <f>'Supply chain'!H21</f>
        <v>£</v>
      </c>
      <c r="T1292" s="195">
        <f>'Supply chain'!I21</f>
        <v>0</v>
      </c>
      <c r="U1292" s="195" t="str">
        <f>'Supply chain'!J21</f>
        <v>£</v>
      </c>
      <c r="V1292" s="195">
        <f>'Supply chain'!K21</f>
        <v>0.72536236540686461</v>
      </c>
      <c r="W1292" s="195" t="str">
        <f>'Supply chain'!L21</f>
        <v/>
      </c>
      <c r="X1292" s="193">
        <f>'Supply chain'!M21</f>
        <v>0</v>
      </c>
      <c r="Y1292" s="195">
        <f>'Supply chain'!N21</f>
        <v>0</v>
      </c>
      <c r="Z1292" s="195">
        <f>'Supply chain'!O21</f>
        <v>0</v>
      </c>
      <c r="AA1292" s="195">
        <f>'Supply chain'!P21</f>
        <v>0</v>
      </c>
      <c r="AB1292" s="195">
        <f>'Supply chain'!Q21</f>
        <v>0</v>
      </c>
      <c r="AC1292" s="195">
        <f>'Supply chain'!R21</f>
        <v>0</v>
      </c>
      <c r="AD1292" s="195">
        <f>'Supply chain'!S21</f>
        <v>0</v>
      </c>
      <c r="AE1292" s="195">
        <f>'Supply chain'!T21</f>
        <v>0</v>
      </c>
      <c r="AF1292" s="195">
        <f>'Supply chain'!U21</f>
        <v>0</v>
      </c>
      <c r="AG1292" s="195">
        <f>'Supply chain'!V21</f>
        <v>0</v>
      </c>
      <c r="AI1292" s="193">
        <f t="shared" si="26"/>
        <v>0</v>
      </c>
      <c r="AJ1292" s="193">
        <f t="shared" si="27"/>
        <v>0</v>
      </c>
    </row>
    <row r="1293" spans="2:36" x14ac:dyDescent="0.35">
      <c r="B1293" s="193" t="e">
        <f>"2024"&amp;MATCH(Totals!D1293,OrgType,0)&amp;"_"&amp;MATCH(Totals!E1293,Organisations,0)&amp;"_"&amp;LEFT(Totals!F1293,1)&amp;"_"&amp;LEFT(G1293,1)&amp;"_"&amp;COUNTIF($G$3:G1293,G1293)</f>
        <v>#N/A</v>
      </c>
      <c r="C1293" s="193">
        <v>2025</v>
      </c>
      <c r="D1293" s="193">
        <f>Introduction!$D$7</f>
        <v>0</v>
      </c>
      <c r="E1293" s="193">
        <f>Introduction!$D$8</f>
        <v>0</v>
      </c>
      <c r="F1293" s="193" t="s">
        <v>493</v>
      </c>
      <c r="G1293" s="193" t="s">
        <v>493</v>
      </c>
      <c r="H1293" s="194"/>
      <c r="I1293" s="194"/>
      <c r="J1293" s="195" t="str">
        <f>'Supply chain'!B22</f>
        <v>Manufacturing</v>
      </c>
      <c r="K1293" s="194"/>
      <c r="L1293" s="194"/>
      <c r="M1293" s="195">
        <f>'Supply chain'!C22</f>
        <v>10.9</v>
      </c>
      <c r="N1293" s="195" t="str">
        <f>'Supply chain'!D22</f>
        <v xml:space="preserve">Prepared animal feeds             </v>
      </c>
      <c r="O1293" s="194"/>
      <c r="P1293" s="195" t="str">
        <f>'Supply chain'!E22</f>
        <v>Tier 1</v>
      </c>
      <c r="Q1293" s="195">
        <f>'Supply chain'!F22</f>
        <v>0.25</v>
      </c>
      <c r="R1293" s="195">
        <f>'Supply chain'!G22</f>
        <v>0</v>
      </c>
      <c r="S1293" s="195" t="str">
        <f>'Supply chain'!H22</f>
        <v>£</v>
      </c>
      <c r="T1293" s="195">
        <f>'Supply chain'!I22</f>
        <v>0</v>
      </c>
      <c r="U1293" s="195" t="str">
        <f>'Supply chain'!J22</f>
        <v>£</v>
      </c>
      <c r="V1293" s="195">
        <f>'Supply chain'!K22</f>
        <v>0.92487748421242821</v>
      </c>
      <c r="W1293" s="195" t="str">
        <f>'Supply chain'!L22</f>
        <v/>
      </c>
      <c r="X1293" s="193">
        <f>'Supply chain'!M22</f>
        <v>0</v>
      </c>
      <c r="Y1293" s="195">
        <f>'Supply chain'!N22</f>
        <v>0</v>
      </c>
      <c r="Z1293" s="195">
        <f>'Supply chain'!O22</f>
        <v>0</v>
      </c>
      <c r="AA1293" s="195">
        <f>'Supply chain'!P22</f>
        <v>0</v>
      </c>
      <c r="AB1293" s="195">
        <f>'Supply chain'!Q22</f>
        <v>0</v>
      </c>
      <c r="AC1293" s="195">
        <f>'Supply chain'!R22</f>
        <v>0</v>
      </c>
      <c r="AD1293" s="195">
        <f>'Supply chain'!S22</f>
        <v>0</v>
      </c>
      <c r="AE1293" s="195">
        <f>'Supply chain'!T22</f>
        <v>0</v>
      </c>
      <c r="AF1293" s="195">
        <f>'Supply chain'!U22</f>
        <v>0</v>
      </c>
      <c r="AG1293" s="195">
        <f>'Supply chain'!V22</f>
        <v>0</v>
      </c>
      <c r="AI1293" s="193">
        <f t="shared" si="26"/>
        <v>0</v>
      </c>
      <c r="AJ1293" s="193">
        <f t="shared" si="27"/>
        <v>0</v>
      </c>
    </row>
    <row r="1294" spans="2:36" x14ac:dyDescent="0.35">
      <c r="B1294" s="193" t="e">
        <f>"2024"&amp;MATCH(Totals!D1294,OrgType,0)&amp;"_"&amp;MATCH(Totals!E1294,Organisations,0)&amp;"_"&amp;LEFT(Totals!F1294,1)&amp;"_"&amp;LEFT(G1294,1)&amp;"_"&amp;COUNTIF($G$3:G1294,G1294)</f>
        <v>#N/A</v>
      </c>
      <c r="C1294" s="193">
        <v>2025</v>
      </c>
      <c r="D1294" s="193">
        <f>Introduction!$D$7</f>
        <v>0</v>
      </c>
      <c r="E1294" s="193">
        <f>Introduction!$D$8</f>
        <v>0</v>
      </c>
      <c r="F1294" s="193" t="s">
        <v>493</v>
      </c>
      <c r="G1294" s="193" t="s">
        <v>493</v>
      </c>
      <c r="H1294" s="194"/>
      <c r="I1294" s="194"/>
      <c r="J1294" s="195" t="str">
        <f>'Supply chain'!B23</f>
        <v>Manufacturing</v>
      </c>
      <c r="K1294" s="194"/>
      <c r="L1294" s="194"/>
      <c r="M1294" s="195" t="str">
        <f>'Supply chain'!C23</f>
        <v>11.01-6</v>
      </c>
      <c r="N1294" s="195" t="str">
        <f>'Supply chain'!D23</f>
        <v xml:space="preserve">Alcoholic beverages              </v>
      </c>
      <c r="O1294" s="194"/>
      <c r="P1294" s="195" t="str">
        <f>'Supply chain'!E23</f>
        <v>Tier 1</v>
      </c>
      <c r="Q1294" s="195">
        <f>'Supply chain'!F23</f>
        <v>0.25</v>
      </c>
      <c r="R1294" s="195">
        <f>'Supply chain'!G23</f>
        <v>0</v>
      </c>
      <c r="S1294" s="195" t="str">
        <f>'Supply chain'!H23</f>
        <v>£</v>
      </c>
      <c r="T1294" s="195">
        <f>'Supply chain'!I23</f>
        <v>0</v>
      </c>
      <c r="U1294" s="195" t="str">
        <f>'Supply chain'!J23</f>
        <v>£</v>
      </c>
      <c r="V1294" s="195">
        <f>'Supply chain'!K23</f>
        <v>0.72794647493950315</v>
      </c>
      <c r="W1294" s="195" t="str">
        <f>'Supply chain'!L23</f>
        <v/>
      </c>
      <c r="X1294" s="193">
        <f>'Supply chain'!M23</f>
        <v>0</v>
      </c>
      <c r="Y1294" s="195">
        <f>'Supply chain'!N23</f>
        <v>0</v>
      </c>
      <c r="Z1294" s="195">
        <f>'Supply chain'!O23</f>
        <v>0</v>
      </c>
      <c r="AA1294" s="195">
        <f>'Supply chain'!P23</f>
        <v>0</v>
      </c>
      <c r="AB1294" s="195">
        <f>'Supply chain'!Q23</f>
        <v>0</v>
      </c>
      <c r="AC1294" s="195">
        <f>'Supply chain'!R23</f>
        <v>0</v>
      </c>
      <c r="AD1294" s="195">
        <f>'Supply chain'!S23</f>
        <v>0</v>
      </c>
      <c r="AE1294" s="195">
        <f>'Supply chain'!T23</f>
        <v>0</v>
      </c>
      <c r="AF1294" s="195">
        <f>'Supply chain'!U23</f>
        <v>0</v>
      </c>
      <c r="AG1294" s="195">
        <f>'Supply chain'!V23</f>
        <v>0</v>
      </c>
      <c r="AI1294" s="193">
        <f t="shared" si="26"/>
        <v>0</v>
      </c>
      <c r="AJ1294" s="193">
        <f t="shared" si="27"/>
        <v>0</v>
      </c>
    </row>
    <row r="1295" spans="2:36" x14ac:dyDescent="0.35">
      <c r="B1295" s="193" t="e">
        <f>"2024"&amp;MATCH(Totals!D1295,OrgType,0)&amp;"_"&amp;MATCH(Totals!E1295,Organisations,0)&amp;"_"&amp;LEFT(Totals!F1295,1)&amp;"_"&amp;LEFT(G1295,1)&amp;"_"&amp;COUNTIF($G$3:G1295,G1295)</f>
        <v>#N/A</v>
      </c>
      <c r="C1295" s="193">
        <v>2025</v>
      </c>
      <c r="D1295" s="193">
        <f>Introduction!$D$7</f>
        <v>0</v>
      </c>
      <c r="E1295" s="193">
        <f>Introduction!$D$8</f>
        <v>0</v>
      </c>
      <c r="F1295" s="193" t="s">
        <v>493</v>
      </c>
      <c r="G1295" s="193" t="s">
        <v>493</v>
      </c>
      <c r="H1295" s="194"/>
      <c r="I1295" s="194"/>
      <c r="J1295" s="195" t="str">
        <f>'Supply chain'!B24</f>
        <v>Manufacturing</v>
      </c>
      <c r="K1295" s="194"/>
      <c r="L1295" s="194"/>
      <c r="M1295" s="195">
        <f>'Supply chain'!C24</f>
        <v>11.07</v>
      </c>
      <c r="N1295" s="195" t="str">
        <f>'Supply chain'!D24</f>
        <v xml:space="preserve">Soft drinks              </v>
      </c>
      <c r="O1295" s="194"/>
      <c r="P1295" s="195" t="str">
        <f>'Supply chain'!E24</f>
        <v>Tier 1</v>
      </c>
      <c r="Q1295" s="195">
        <f>'Supply chain'!F24</f>
        <v>0.25</v>
      </c>
      <c r="R1295" s="195">
        <f>'Supply chain'!G24</f>
        <v>0</v>
      </c>
      <c r="S1295" s="195" t="str">
        <f>'Supply chain'!H24</f>
        <v>£</v>
      </c>
      <c r="T1295" s="195">
        <f>'Supply chain'!I24</f>
        <v>0</v>
      </c>
      <c r="U1295" s="195" t="str">
        <f>'Supply chain'!J24</f>
        <v>£</v>
      </c>
      <c r="V1295" s="195">
        <f>'Supply chain'!K24</f>
        <v>0.42134006554537878</v>
      </c>
      <c r="W1295" s="195" t="str">
        <f>'Supply chain'!L24</f>
        <v/>
      </c>
      <c r="X1295" s="193">
        <f>'Supply chain'!M24</f>
        <v>0</v>
      </c>
      <c r="Y1295" s="195">
        <f>'Supply chain'!N24</f>
        <v>0</v>
      </c>
      <c r="Z1295" s="195">
        <f>'Supply chain'!O24</f>
        <v>0</v>
      </c>
      <c r="AA1295" s="195">
        <f>'Supply chain'!P24</f>
        <v>0</v>
      </c>
      <c r="AB1295" s="195">
        <f>'Supply chain'!Q24</f>
        <v>0</v>
      </c>
      <c r="AC1295" s="195">
        <f>'Supply chain'!R24</f>
        <v>0</v>
      </c>
      <c r="AD1295" s="195">
        <f>'Supply chain'!S24</f>
        <v>0</v>
      </c>
      <c r="AE1295" s="195">
        <f>'Supply chain'!T24</f>
        <v>0</v>
      </c>
      <c r="AF1295" s="195">
        <f>'Supply chain'!U24</f>
        <v>0</v>
      </c>
      <c r="AG1295" s="195">
        <f>'Supply chain'!V24</f>
        <v>0</v>
      </c>
      <c r="AI1295" s="193">
        <f t="shared" si="26"/>
        <v>0</v>
      </c>
      <c r="AJ1295" s="193">
        <f t="shared" si="27"/>
        <v>0</v>
      </c>
    </row>
    <row r="1296" spans="2:36" x14ac:dyDescent="0.35">
      <c r="B1296" s="193" t="e">
        <f>"2024"&amp;MATCH(Totals!D1296,OrgType,0)&amp;"_"&amp;MATCH(Totals!E1296,Organisations,0)&amp;"_"&amp;LEFT(Totals!F1296,1)&amp;"_"&amp;LEFT(G1296,1)&amp;"_"&amp;COUNTIF($G$3:G1296,G1296)</f>
        <v>#N/A</v>
      </c>
      <c r="C1296" s="193">
        <v>2025</v>
      </c>
      <c r="D1296" s="193">
        <f>Introduction!$D$7</f>
        <v>0</v>
      </c>
      <c r="E1296" s="193">
        <f>Introduction!$D$8</f>
        <v>0</v>
      </c>
      <c r="F1296" s="193" t="s">
        <v>493</v>
      </c>
      <c r="G1296" s="193" t="s">
        <v>493</v>
      </c>
      <c r="H1296" s="194"/>
      <c r="I1296" s="194"/>
      <c r="J1296" s="195" t="str">
        <f>'Supply chain'!B25</f>
        <v>Manufacturing</v>
      </c>
      <c r="K1296" s="194"/>
      <c r="L1296" s="194"/>
      <c r="M1296" s="195">
        <f>'Supply chain'!C25</f>
        <v>12</v>
      </c>
      <c r="N1296" s="195" t="str">
        <f>'Supply chain'!D25</f>
        <v xml:space="preserve">Tobacco products              </v>
      </c>
      <c r="O1296" s="194"/>
      <c r="P1296" s="195" t="str">
        <f>'Supply chain'!E25</f>
        <v>Tier 1</v>
      </c>
      <c r="Q1296" s="195">
        <f>'Supply chain'!F25</f>
        <v>0.25</v>
      </c>
      <c r="R1296" s="195">
        <f>'Supply chain'!G25</f>
        <v>0</v>
      </c>
      <c r="S1296" s="195" t="str">
        <f>'Supply chain'!H25</f>
        <v>£</v>
      </c>
      <c r="T1296" s="195">
        <f>'Supply chain'!I25</f>
        <v>0</v>
      </c>
      <c r="U1296" s="195" t="str">
        <f>'Supply chain'!J25</f>
        <v>£</v>
      </c>
      <c r="V1296" s="195">
        <f>'Supply chain'!K25</f>
        <v>1.036254666066273</v>
      </c>
      <c r="W1296" s="195" t="str">
        <f>'Supply chain'!L25</f>
        <v/>
      </c>
      <c r="X1296" s="193">
        <f>'Supply chain'!M25</f>
        <v>0</v>
      </c>
      <c r="Y1296" s="195">
        <f>'Supply chain'!N25</f>
        <v>0</v>
      </c>
      <c r="Z1296" s="195">
        <f>'Supply chain'!O25</f>
        <v>0</v>
      </c>
      <c r="AA1296" s="195">
        <f>'Supply chain'!P25</f>
        <v>0</v>
      </c>
      <c r="AB1296" s="195">
        <f>'Supply chain'!Q25</f>
        <v>0</v>
      </c>
      <c r="AC1296" s="195">
        <f>'Supply chain'!R25</f>
        <v>0</v>
      </c>
      <c r="AD1296" s="195">
        <f>'Supply chain'!S25</f>
        <v>0</v>
      </c>
      <c r="AE1296" s="195">
        <f>'Supply chain'!T25</f>
        <v>0</v>
      </c>
      <c r="AF1296" s="195">
        <f>'Supply chain'!U25</f>
        <v>0</v>
      </c>
      <c r="AG1296" s="195">
        <f>'Supply chain'!V25</f>
        <v>0</v>
      </c>
      <c r="AI1296" s="193">
        <f t="shared" si="26"/>
        <v>0</v>
      </c>
      <c r="AJ1296" s="193">
        <f t="shared" si="27"/>
        <v>0</v>
      </c>
    </row>
    <row r="1297" spans="2:36" x14ac:dyDescent="0.35">
      <c r="B1297" s="193" t="e">
        <f>"2024"&amp;MATCH(Totals!D1297,OrgType,0)&amp;"_"&amp;MATCH(Totals!E1297,Organisations,0)&amp;"_"&amp;LEFT(Totals!F1297,1)&amp;"_"&amp;LEFT(G1297,1)&amp;"_"&amp;COUNTIF($G$3:G1297,G1297)</f>
        <v>#N/A</v>
      </c>
      <c r="C1297" s="193">
        <v>2025</v>
      </c>
      <c r="D1297" s="193">
        <f>Introduction!$D$7</f>
        <v>0</v>
      </c>
      <c r="E1297" s="193">
        <f>Introduction!$D$8</f>
        <v>0</v>
      </c>
      <c r="F1297" s="193" t="s">
        <v>493</v>
      </c>
      <c r="G1297" s="193" t="s">
        <v>493</v>
      </c>
      <c r="H1297" s="194"/>
      <c r="I1297" s="194"/>
      <c r="J1297" s="195" t="str">
        <f>'Supply chain'!B26</f>
        <v>Manufacturing</v>
      </c>
      <c r="K1297" s="194"/>
      <c r="L1297" s="194"/>
      <c r="M1297" s="195">
        <f>'Supply chain'!C26</f>
        <v>13</v>
      </c>
      <c r="N1297" s="195" t="str">
        <f>'Supply chain'!D26</f>
        <v xml:space="preserve">Textiles               </v>
      </c>
      <c r="O1297" s="194"/>
      <c r="P1297" s="195" t="str">
        <f>'Supply chain'!E26</f>
        <v>Tier 1</v>
      </c>
      <c r="Q1297" s="195">
        <f>'Supply chain'!F26</f>
        <v>0.25</v>
      </c>
      <c r="R1297" s="195">
        <f>'Supply chain'!G26</f>
        <v>0</v>
      </c>
      <c r="S1297" s="195" t="str">
        <f>'Supply chain'!H26</f>
        <v>£</v>
      </c>
      <c r="T1297" s="195">
        <f>'Supply chain'!I26</f>
        <v>0</v>
      </c>
      <c r="U1297" s="195" t="str">
        <f>'Supply chain'!J26</f>
        <v>£</v>
      </c>
      <c r="V1297" s="195">
        <f>'Supply chain'!K26</f>
        <v>0.80493046168599958</v>
      </c>
      <c r="W1297" s="195" t="str">
        <f>'Supply chain'!L26</f>
        <v/>
      </c>
      <c r="X1297" s="193">
        <f>'Supply chain'!M26</f>
        <v>0</v>
      </c>
      <c r="Y1297" s="195">
        <f>'Supply chain'!N26</f>
        <v>0</v>
      </c>
      <c r="Z1297" s="195">
        <f>'Supply chain'!O26</f>
        <v>0</v>
      </c>
      <c r="AA1297" s="195">
        <f>'Supply chain'!P26</f>
        <v>0</v>
      </c>
      <c r="AB1297" s="195">
        <f>'Supply chain'!Q26</f>
        <v>0</v>
      </c>
      <c r="AC1297" s="195">
        <f>'Supply chain'!R26</f>
        <v>0</v>
      </c>
      <c r="AD1297" s="195">
        <f>'Supply chain'!S26</f>
        <v>0</v>
      </c>
      <c r="AE1297" s="195">
        <f>'Supply chain'!T26</f>
        <v>0</v>
      </c>
      <c r="AF1297" s="195">
        <f>'Supply chain'!U26</f>
        <v>0</v>
      </c>
      <c r="AG1297" s="195">
        <f>'Supply chain'!V26</f>
        <v>0</v>
      </c>
      <c r="AI1297" s="193">
        <f t="shared" si="26"/>
        <v>0</v>
      </c>
      <c r="AJ1297" s="193">
        <f t="shared" si="27"/>
        <v>0</v>
      </c>
    </row>
    <row r="1298" spans="2:36" x14ac:dyDescent="0.35">
      <c r="B1298" s="193" t="e">
        <f>"2024"&amp;MATCH(Totals!D1298,OrgType,0)&amp;"_"&amp;MATCH(Totals!E1298,Organisations,0)&amp;"_"&amp;LEFT(Totals!F1298,1)&amp;"_"&amp;LEFT(G1298,1)&amp;"_"&amp;COUNTIF($G$3:G1298,G1298)</f>
        <v>#N/A</v>
      </c>
      <c r="C1298" s="193">
        <v>2025</v>
      </c>
      <c r="D1298" s="193">
        <f>Introduction!$D$7</f>
        <v>0</v>
      </c>
      <c r="E1298" s="193">
        <f>Introduction!$D$8</f>
        <v>0</v>
      </c>
      <c r="F1298" s="193" t="s">
        <v>493</v>
      </c>
      <c r="G1298" s="193" t="s">
        <v>493</v>
      </c>
      <c r="H1298" s="194"/>
      <c r="I1298" s="194"/>
      <c r="J1298" s="195" t="str">
        <f>'Supply chain'!B27</f>
        <v>Manufacturing</v>
      </c>
      <c r="K1298" s="194"/>
      <c r="L1298" s="194"/>
      <c r="M1298" s="195">
        <f>'Supply chain'!C27</f>
        <v>14</v>
      </c>
      <c r="N1298" s="195" t="str">
        <f>'Supply chain'!D27</f>
        <v xml:space="preserve">Wearing apparel              </v>
      </c>
      <c r="O1298" s="194"/>
      <c r="P1298" s="195" t="str">
        <f>'Supply chain'!E27</f>
        <v>Tier 1</v>
      </c>
      <c r="Q1298" s="195">
        <f>'Supply chain'!F27</f>
        <v>0.25</v>
      </c>
      <c r="R1298" s="195">
        <f>'Supply chain'!G27</f>
        <v>0</v>
      </c>
      <c r="S1298" s="195" t="str">
        <f>'Supply chain'!H27</f>
        <v>£</v>
      </c>
      <c r="T1298" s="195">
        <f>'Supply chain'!I27</f>
        <v>0</v>
      </c>
      <c r="U1298" s="195" t="str">
        <f>'Supply chain'!J27</f>
        <v>£</v>
      </c>
      <c r="V1298" s="195">
        <f>'Supply chain'!K27</f>
        <v>0.73847216519147829</v>
      </c>
      <c r="W1298" s="195" t="str">
        <f>'Supply chain'!L27</f>
        <v/>
      </c>
      <c r="X1298" s="193">
        <f>'Supply chain'!M27</f>
        <v>0</v>
      </c>
      <c r="Y1298" s="195">
        <f>'Supply chain'!N27</f>
        <v>0</v>
      </c>
      <c r="Z1298" s="195">
        <f>'Supply chain'!O27</f>
        <v>0</v>
      </c>
      <c r="AA1298" s="195">
        <f>'Supply chain'!P27</f>
        <v>0</v>
      </c>
      <c r="AB1298" s="195">
        <f>'Supply chain'!Q27</f>
        <v>0</v>
      </c>
      <c r="AC1298" s="195">
        <f>'Supply chain'!R27</f>
        <v>0</v>
      </c>
      <c r="AD1298" s="195">
        <f>'Supply chain'!S27</f>
        <v>0</v>
      </c>
      <c r="AE1298" s="195">
        <f>'Supply chain'!T27</f>
        <v>0</v>
      </c>
      <c r="AF1298" s="195">
        <f>'Supply chain'!U27</f>
        <v>0</v>
      </c>
      <c r="AG1298" s="195">
        <f>'Supply chain'!V27</f>
        <v>0</v>
      </c>
      <c r="AI1298" s="193">
        <f t="shared" si="26"/>
        <v>0</v>
      </c>
      <c r="AJ1298" s="193">
        <f t="shared" si="27"/>
        <v>0</v>
      </c>
    </row>
    <row r="1299" spans="2:36" x14ac:dyDescent="0.35">
      <c r="B1299" s="193" t="e">
        <f>"2024"&amp;MATCH(Totals!D1299,OrgType,0)&amp;"_"&amp;MATCH(Totals!E1299,Organisations,0)&amp;"_"&amp;LEFT(Totals!F1299,1)&amp;"_"&amp;LEFT(G1299,1)&amp;"_"&amp;COUNTIF($G$3:G1299,G1299)</f>
        <v>#N/A</v>
      </c>
      <c r="C1299" s="193">
        <v>2025</v>
      </c>
      <c r="D1299" s="193">
        <f>Introduction!$D$7</f>
        <v>0</v>
      </c>
      <c r="E1299" s="193">
        <f>Introduction!$D$8</f>
        <v>0</v>
      </c>
      <c r="F1299" s="193" t="s">
        <v>493</v>
      </c>
      <c r="G1299" s="193" t="s">
        <v>493</v>
      </c>
      <c r="H1299" s="194"/>
      <c r="I1299" s="194"/>
      <c r="J1299" s="195" t="str">
        <f>'Supply chain'!B28</f>
        <v>Manufacturing</v>
      </c>
      <c r="K1299" s="194"/>
      <c r="L1299" s="194"/>
      <c r="M1299" s="195">
        <f>'Supply chain'!C28</f>
        <v>15</v>
      </c>
      <c r="N1299" s="195" t="str">
        <f>'Supply chain'!D28</f>
        <v xml:space="preserve">Leather and related products            </v>
      </c>
      <c r="O1299" s="194"/>
      <c r="P1299" s="195" t="str">
        <f>'Supply chain'!E28</f>
        <v>Tier 1</v>
      </c>
      <c r="Q1299" s="195">
        <f>'Supply chain'!F28</f>
        <v>0.25</v>
      </c>
      <c r="R1299" s="195">
        <f>'Supply chain'!G28</f>
        <v>0</v>
      </c>
      <c r="S1299" s="195" t="str">
        <f>'Supply chain'!H28</f>
        <v>£</v>
      </c>
      <c r="T1299" s="195">
        <f>'Supply chain'!I28</f>
        <v>0</v>
      </c>
      <c r="U1299" s="195" t="str">
        <f>'Supply chain'!J28</f>
        <v>£</v>
      </c>
      <c r="V1299" s="195">
        <f>'Supply chain'!K28</f>
        <v>0.71166281824802102</v>
      </c>
      <c r="W1299" s="195" t="str">
        <f>'Supply chain'!L28</f>
        <v/>
      </c>
      <c r="X1299" s="193">
        <f>'Supply chain'!M28</f>
        <v>0</v>
      </c>
      <c r="Y1299" s="195">
        <f>'Supply chain'!N28</f>
        <v>0</v>
      </c>
      <c r="Z1299" s="195">
        <f>'Supply chain'!O28</f>
        <v>0</v>
      </c>
      <c r="AA1299" s="195">
        <f>'Supply chain'!P28</f>
        <v>0</v>
      </c>
      <c r="AB1299" s="195">
        <f>'Supply chain'!Q28</f>
        <v>0</v>
      </c>
      <c r="AC1299" s="195">
        <f>'Supply chain'!R28</f>
        <v>0</v>
      </c>
      <c r="AD1299" s="195">
        <f>'Supply chain'!S28</f>
        <v>0</v>
      </c>
      <c r="AE1299" s="195">
        <f>'Supply chain'!T28</f>
        <v>0</v>
      </c>
      <c r="AF1299" s="195">
        <f>'Supply chain'!U28</f>
        <v>0</v>
      </c>
      <c r="AG1299" s="195">
        <f>'Supply chain'!V28</f>
        <v>0</v>
      </c>
      <c r="AI1299" s="193">
        <f t="shared" si="26"/>
        <v>0</v>
      </c>
      <c r="AJ1299" s="193">
        <f t="shared" si="27"/>
        <v>0</v>
      </c>
    </row>
    <row r="1300" spans="2:36" x14ac:dyDescent="0.35">
      <c r="B1300" s="193" t="e">
        <f>"2024"&amp;MATCH(Totals!D1300,OrgType,0)&amp;"_"&amp;MATCH(Totals!E1300,Organisations,0)&amp;"_"&amp;LEFT(Totals!F1300,1)&amp;"_"&amp;LEFT(G1300,1)&amp;"_"&amp;COUNTIF($G$3:G1300,G1300)</f>
        <v>#N/A</v>
      </c>
      <c r="C1300" s="193">
        <v>2025</v>
      </c>
      <c r="D1300" s="193">
        <f>Introduction!$D$7</f>
        <v>0</v>
      </c>
      <c r="E1300" s="193">
        <f>Introduction!$D$8</f>
        <v>0</v>
      </c>
      <c r="F1300" s="193" t="s">
        <v>493</v>
      </c>
      <c r="G1300" s="193" t="s">
        <v>493</v>
      </c>
      <c r="H1300" s="194"/>
      <c r="I1300" s="194"/>
      <c r="J1300" s="195" t="str">
        <f>'Supply chain'!B29</f>
        <v>Manufacturing</v>
      </c>
      <c r="K1300" s="194"/>
      <c r="L1300" s="194"/>
      <c r="M1300" s="195">
        <f>'Supply chain'!C29</f>
        <v>16</v>
      </c>
      <c r="N1300" s="195" t="str">
        <f>'Supply chain'!D29</f>
        <v>Wood and of products of wood and cork, except furniture; articles of straw and plaiting materials</v>
      </c>
      <c r="O1300" s="194"/>
      <c r="P1300" s="195" t="str">
        <f>'Supply chain'!E29</f>
        <v>Tier 1</v>
      </c>
      <c r="Q1300" s="195">
        <f>'Supply chain'!F29</f>
        <v>0.25</v>
      </c>
      <c r="R1300" s="195">
        <f>'Supply chain'!G29</f>
        <v>0</v>
      </c>
      <c r="S1300" s="195" t="str">
        <f>'Supply chain'!H29</f>
        <v>£</v>
      </c>
      <c r="T1300" s="195">
        <f>'Supply chain'!I29</f>
        <v>0</v>
      </c>
      <c r="U1300" s="195" t="str">
        <f>'Supply chain'!J29</f>
        <v>£</v>
      </c>
      <c r="V1300" s="195">
        <f>'Supply chain'!K29</f>
        <v>0.54452788103299998</v>
      </c>
      <c r="W1300" s="195" t="str">
        <f>'Supply chain'!L29</f>
        <v/>
      </c>
      <c r="X1300" s="193">
        <f>'Supply chain'!M29</f>
        <v>0</v>
      </c>
      <c r="Y1300" s="195">
        <f>'Supply chain'!N29</f>
        <v>0</v>
      </c>
      <c r="Z1300" s="195">
        <f>'Supply chain'!O29</f>
        <v>0</v>
      </c>
      <c r="AA1300" s="195">
        <f>'Supply chain'!P29</f>
        <v>0</v>
      </c>
      <c r="AB1300" s="195">
        <f>'Supply chain'!Q29</f>
        <v>0</v>
      </c>
      <c r="AC1300" s="195">
        <f>'Supply chain'!R29</f>
        <v>0</v>
      </c>
      <c r="AD1300" s="195">
        <f>'Supply chain'!S29</f>
        <v>0</v>
      </c>
      <c r="AE1300" s="195">
        <f>'Supply chain'!T29</f>
        <v>0</v>
      </c>
      <c r="AF1300" s="195">
        <f>'Supply chain'!U29</f>
        <v>0</v>
      </c>
      <c r="AG1300" s="195">
        <f>'Supply chain'!V29</f>
        <v>0</v>
      </c>
      <c r="AI1300" s="193">
        <f t="shared" si="26"/>
        <v>0</v>
      </c>
      <c r="AJ1300" s="193">
        <f t="shared" si="27"/>
        <v>0</v>
      </c>
    </row>
    <row r="1301" spans="2:36" x14ac:dyDescent="0.35">
      <c r="B1301" s="193" t="e">
        <f>"2024"&amp;MATCH(Totals!D1301,OrgType,0)&amp;"_"&amp;MATCH(Totals!E1301,Organisations,0)&amp;"_"&amp;LEFT(Totals!F1301,1)&amp;"_"&amp;LEFT(G1301,1)&amp;"_"&amp;COUNTIF($G$3:G1301,G1301)</f>
        <v>#N/A</v>
      </c>
      <c r="C1301" s="193">
        <v>2025</v>
      </c>
      <c r="D1301" s="193">
        <f>Introduction!$D$7</f>
        <v>0</v>
      </c>
      <c r="E1301" s="193">
        <f>Introduction!$D$8</f>
        <v>0</v>
      </c>
      <c r="F1301" s="193" t="s">
        <v>493</v>
      </c>
      <c r="G1301" s="193" t="s">
        <v>493</v>
      </c>
      <c r="H1301" s="194"/>
      <c r="I1301" s="194"/>
      <c r="J1301" s="195" t="str">
        <f>'Supply chain'!B30</f>
        <v>Manufacturing</v>
      </c>
      <c r="K1301" s="194"/>
      <c r="L1301" s="194"/>
      <c r="M1301" s="195">
        <f>'Supply chain'!C30</f>
        <v>17</v>
      </c>
      <c r="N1301" s="195" t="str">
        <f>'Supply chain'!D30</f>
        <v xml:space="preserve">Paper and paper products            </v>
      </c>
      <c r="O1301" s="194"/>
      <c r="P1301" s="195" t="str">
        <f>'Supply chain'!E30</f>
        <v>Tier 1</v>
      </c>
      <c r="Q1301" s="195">
        <f>'Supply chain'!F30</f>
        <v>0.25</v>
      </c>
      <c r="R1301" s="195">
        <f>'Supply chain'!G30</f>
        <v>0</v>
      </c>
      <c r="S1301" s="195" t="str">
        <f>'Supply chain'!H30</f>
        <v>£</v>
      </c>
      <c r="T1301" s="195">
        <f>'Supply chain'!I30</f>
        <v>0</v>
      </c>
      <c r="U1301" s="195" t="str">
        <f>'Supply chain'!J30</f>
        <v>£</v>
      </c>
      <c r="V1301" s="195">
        <f>'Supply chain'!K30</f>
        <v>0.75557952255461125</v>
      </c>
      <c r="W1301" s="195" t="str">
        <f>'Supply chain'!L30</f>
        <v/>
      </c>
      <c r="X1301" s="193">
        <f>'Supply chain'!M30</f>
        <v>0</v>
      </c>
      <c r="Y1301" s="195">
        <f>'Supply chain'!N30</f>
        <v>0</v>
      </c>
      <c r="Z1301" s="195">
        <f>'Supply chain'!O30</f>
        <v>0</v>
      </c>
      <c r="AA1301" s="195">
        <f>'Supply chain'!P30</f>
        <v>0</v>
      </c>
      <c r="AB1301" s="195">
        <f>'Supply chain'!Q30</f>
        <v>0</v>
      </c>
      <c r="AC1301" s="195">
        <f>'Supply chain'!R30</f>
        <v>0</v>
      </c>
      <c r="AD1301" s="195">
        <f>'Supply chain'!S30</f>
        <v>0</v>
      </c>
      <c r="AE1301" s="195">
        <f>'Supply chain'!T30</f>
        <v>0</v>
      </c>
      <c r="AF1301" s="195">
        <f>'Supply chain'!U30</f>
        <v>0</v>
      </c>
      <c r="AG1301" s="195">
        <f>'Supply chain'!V30</f>
        <v>0</v>
      </c>
      <c r="AI1301" s="193">
        <f t="shared" si="26"/>
        <v>0</v>
      </c>
      <c r="AJ1301" s="193">
        <f t="shared" si="27"/>
        <v>0</v>
      </c>
    </row>
    <row r="1302" spans="2:36" x14ac:dyDescent="0.35">
      <c r="B1302" s="193" t="e">
        <f>"2024"&amp;MATCH(Totals!D1302,OrgType,0)&amp;"_"&amp;MATCH(Totals!E1302,Organisations,0)&amp;"_"&amp;LEFT(Totals!F1302,1)&amp;"_"&amp;LEFT(G1302,1)&amp;"_"&amp;COUNTIF($G$3:G1302,G1302)</f>
        <v>#N/A</v>
      </c>
      <c r="C1302" s="193">
        <v>2025</v>
      </c>
      <c r="D1302" s="193">
        <f>Introduction!$D$7</f>
        <v>0</v>
      </c>
      <c r="E1302" s="193">
        <f>Introduction!$D$8</f>
        <v>0</v>
      </c>
      <c r="F1302" s="193" t="s">
        <v>493</v>
      </c>
      <c r="G1302" s="193" t="s">
        <v>493</v>
      </c>
      <c r="H1302" s="194"/>
      <c r="I1302" s="194"/>
      <c r="J1302" s="195" t="str">
        <f>'Supply chain'!B31</f>
        <v>Manufacturing</v>
      </c>
      <c r="K1302" s="194"/>
      <c r="L1302" s="194"/>
      <c r="M1302" s="195">
        <f>'Supply chain'!C31</f>
        <v>18</v>
      </c>
      <c r="N1302" s="195" t="str">
        <f>'Supply chain'!D31</f>
        <v xml:space="preserve">Printing and recording services            </v>
      </c>
      <c r="O1302" s="194"/>
      <c r="P1302" s="195" t="str">
        <f>'Supply chain'!E31</f>
        <v>Tier 1</v>
      </c>
      <c r="Q1302" s="195">
        <f>'Supply chain'!F31</f>
        <v>0.25</v>
      </c>
      <c r="R1302" s="195">
        <f>'Supply chain'!G31</f>
        <v>0</v>
      </c>
      <c r="S1302" s="195" t="str">
        <f>'Supply chain'!H31</f>
        <v>£</v>
      </c>
      <c r="T1302" s="195">
        <f>'Supply chain'!I31</f>
        <v>0</v>
      </c>
      <c r="U1302" s="195" t="str">
        <f>'Supply chain'!J31</f>
        <v>£</v>
      </c>
      <c r="V1302" s="195">
        <f>'Supply chain'!K31</f>
        <v>0.43371268543150959</v>
      </c>
      <c r="W1302" s="195" t="str">
        <f>'Supply chain'!L31</f>
        <v/>
      </c>
      <c r="X1302" s="193">
        <f>'Supply chain'!M31</f>
        <v>0</v>
      </c>
      <c r="Y1302" s="195">
        <f>'Supply chain'!N31</f>
        <v>0</v>
      </c>
      <c r="Z1302" s="195">
        <f>'Supply chain'!O31</f>
        <v>0</v>
      </c>
      <c r="AA1302" s="195">
        <f>'Supply chain'!P31</f>
        <v>0</v>
      </c>
      <c r="AB1302" s="195">
        <f>'Supply chain'!Q31</f>
        <v>0</v>
      </c>
      <c r="AC1302" s="195">
        <f>'Supply chain'!R31</f>
        <v>0</v>
      </c>
      <c r="AD1302" s="195">
        <f>'Supply chain'!S31</f>
        <v>0</v>
      </c>
      <c r="AE1302" s="195">
        <f>'Supply chain'!T31</f>
        <v>0</v>
      </c>
      <c r="AF1302" s="195">
        <f>'Supply chain'!U31</f>
        <v>0</v>
      </c>
      <c r="AG1302" s="195">
        <f>'Supply chain'!V31</f>
        <v>0</v>
      </c>
      <c r="AI1302" s="193">
        <f t="shared" ref="AI1302:AI1365" si="28">IF(AND(V1302="",R1302&lt;&gt;0),1,0)</f>
        <v>0</v>
      </c>
      <c r="AJ1302" s="193">
        <f t="shared" ref="AJ1302:AJ1365" si="29">IF(AND(W1302="",R1302&lt;&gt;0),1,0)</f>
        <v>0</v>
      </c>
    </row>
    <row r="1303" spans="2:36" x14ac:dyDescent="0.35">
      <c r="B1303" s="193" t="e">
        <f>"2024"&amp;MATCH(Totals!D1303,OrgType,0)&amp;"_"&amp;MATCH(Totals!E1303,Organisations,0)&amp;"_"&amp;LEFT(Totals!F1303,1)&amp;"_"&amp;LEFT(G1303,1)&amp;"_"&amp;COUNTIF($G$3:G1303,G1303)</f>
        <v>#N/A</v>
      </c>
      <c r="C1303" s="193">
        <v>2025</v>
      </c>
      <c r="D1303" s="193">
        <f>Introduction!$D$7</f>
        <v>0</v>
      </c>
      <c r="E1303" s="193">
        <f>Introduction!$D$8</f>
        <v>0</v>
      </c>
      <c r="F1303" s="193" t="s">
        <v>493</v>
      </c>
      <c r="G1303" s="193" t="s">
        <v>493</v>
      </c>
      <c r="H1303" s="194"/>
      <c r="I1303" s="194"/>
      <c r="J1303" s="195" t="str">
        <f>'Supply chain'!B32</f>
        <v>Manufacturing</v>
      </c>
      <c r="K1303" s="194"/>
      <c r="L1303" s="194"/>
      <c r="M1303" s="195">
        <f>'Supply chain'!C32</f>
        <v>19</v>
      </c>
      <c r="N1303" s="195" t="str">
        <f>'Supply chain'!D32</f>
        <v xml:space="preserve">Coke and refined petroleum products           </v>
      </c>
      <c r="O1303" s="194"/>
      <c r="P1303" s="195" t="str">
        <f>'Supply chain'!E32</f>
        <v>Tier 1</v>
      </c>
      <c r="Q1303" s="195">
        <f>'Supply chain'!F32</f>
        <v>0.25</v>
      </c>
      <c r="R1303" s="195">
        <f>'Supply chain'!G32</f>
        <v>0</v>
      </c>
      <c r="S1303" s="195" t="str">
        <f>'Supply chain'!H32</f>
        <v>£</v>
      </c>
      <c r="T1303" s="195">
        <f>'Supply chain'!I32</f>
        <v>0</v>
      </c>
      <c r="U1303" s="195" t="str">
        <f>'Supply chain'!J32</f>
        <v>£</v>
      </c>
      <c r="V1303" s="195">
        <f>'Supply chain'!K32</f>
        <v>1.865964554423549</v>
      </c>
      <c r="W1303" s="195" t="str">
        <f>'Supply chain'!L32</f>
        <v/>
      </c>
      <c r="X1303" s="193">
        <f>'Supply chain'!M32</f>
        <v>0</v>
      </c>
      <c r="Y1303" s="195">
        <f>'Supply chain'!N32</f>
        <v>0</v>
      </c>
      <c r="Z1303" s="195">
        <f>'Supply chain'!O32</f>
        <v>0</v>
      </c>
      <c r="AA1303" s="195">
        <f>'Supply chain'!P32</f>
        <v>0</v>
      </c>
      <c r="AB1303" s="195">
        <f>'Supply chain'!Q32</f>
        <v>0</v>
      </c>
      <c r="AC1303" s="195">
        <f>'Supply chain'!R32</f>
        <v>0</v>
      </c>
      <c r="AD1303" s="195">
        <f>'Supply chain'!S32</f>
        <v>0</v>
      </c>
      <c r="AE1303" s="195">
        <f>'Supply chain'!T32</f>
        <v>0</v>
      </c>
      <c r="AF1303" s="195">
        <f>'Supply chain'!U32</f>
        <v>0</v>
      </c>
      <c r="AG1303" s="195">
        <f>'Supply chain'!V32</f>
        <v>0</v>
      </c>
      <c r="AI1303" s="193">
        <f t="shared" si="28"/>
        <v>0</v>
      </c>
      <c r="AJ1303" s="193">
        <f t="shared" si="29"/>
        <v>0</v>
      </c>
    </row>
    <row r="1304" spans="2:36" x14ac:dyDescent="0.35">
      <c r="B1304" s="193" t="e">
        <f>"2024"&amp;MATCH(Totals!D1304,OrgType,0)&amp;"_"&amp;MATCH(Totals!E1304,Organisations,0)&amp;"_"&amp;LEFT(Totals!F1304,1)&amp;"_"&amp;LEFT(G1304,1)&amp;"_"&amp;COUNTIF($G$3:G1304,G1304)</f>
        <v>#N/A</v>
      </c>
      <c r="C1304" s="193">
        <v>2025</v>
      </c>
      <c r="D1304" s="193">
        <f>Introduction!$D$7</f>
        <v>0</v>
      </c>
      <c r="E1304" s="193">
        <f>Introduction!$D$8</f>
        <v>0</v>
      </c>
      <c r="F1304" s="193" t="s">
        <v>493</v>
      </c>
      <c r="G1304" s="193" t="s">
        <v>493</v>
      </c>
      <c r="H1304" s="194"/>
      <c r="I1304" s="194"/>
      <c r="J1304" s="195" t="str">
        <f>'Supply chain'!B33</f>
        <v>Manufacturing</v>
      </c>
      <c r="K1304" s="194"/>
      <c r="L1304" s="194"/>
      <c r="M1304" s="195">
        <f>'Supply chain'!C33</f>
        <v>20.3</v>
      </c>
      <c r="N1304" s="195" t="str">
        <f>'Supply chain'!D33</f>
        <v xml:space="preserve">Paints, varnishes and similar coatings, printing ink and mastics       </v>
      </c>
      <c r="O1304" s="194"/>
      <c r="P1304" s="195" t="str">
        <f>'Supply chain'!E33</f>
        <v>Tier 1</v>
      </c>
      <c r="Q1304" s="195">
        <f>'Supply chain'!F33</f>
        <v>0.25</v>
      </c>
      <c r="R1304" s="195">
        <f>'Supply chain'!G33</f>
        <v>0</v>
      </c>
      <c r="S1304" s="195" t="str">
        <f>'Supply chain'!H33</f>
        <v>£</v>
      </c>
      <c r="T1304" s="195">
        <f>'Supply chain'!I33</f>
        <v>0</v>
      </c>
      <c r="U1304" s="195" t="str">
        <f>'Supply chain'!J33</f>
        <v>£</v>
      </c>
      <c r="V1304" s="195">
        <f>'Supply chain'!K33</f>
        <v>1.0483918380121009</v>
      </c>
      <c r="W1304" s="195" t="str">
        <f>'Supply chain'!L33</f>
        <v/>
      </c>
      <c r="X1304" s="193">
        <f>'Supply chain'!M33</f>
        <v>0</v>
      </c>
      <c r="Y1304" s="195">
        <f>'Supply chain'!N33</f>
        <v>0</v>
      </c>
      <c r="Z1304" s="195">
        <f>'Supply chain'!O33</f>
        <v>0</v>
      </c>
      <c r="AA1304" s="195">
        <f>'Supply chain'!P33</f>
        <v>0</v>
      </c>
      <c r="AB1304" s="195">
        <f>'Supply chain'!Q33</f>
        <v>0</v>
      </c>
      <c r="AC1304" s="195">
        <f>'Supply chain'!R33</f>
        <v>0</v>
      </c>
      <c r="AD1304" s="195">
        <f>'Supply chain'!S33</f>
        <v>0</v>
      </c>
      <c r="AE1304" s="195">
        <f>'Supply chain'!T33</f>
        <v>0</v>
      </c>
      <c r="AF1304" s="195">
        <f>'Supply chain'!U33</f>
        <v>0</v>
      </c>
      <c r="AG1304" s="195">
        <f>'Supply chain'!V33</f>
        <v>0</v>
      </c>
      <c r="AI1304" s="193">
        <f t="shared" si="28"/>
        <v>0</v>
      </c>
      <c r="AJ1304" s="193">
        <f t="shared" si="29"/>
        <v>0</v>
      </c>
    </row>
    <row r="1305" spans="2:36" x14ac:dyDescent="0.35">
      <c r="B1305" s="193" t="e">
        <f>"2024"&amp;MATCH(Totals!D1305,OrgType,0)&amp;"_"&amp;MATCH(Totals!E1305,Organisations,0)&amp;"_"&amp;LEFT(Totals!F1305,1)&amp;"_"&amp;LEFT(G1305,1)&amp;"_"&amp;COUNTIF($G$3:G1305,G1305)</f>
        <v>#N/A</v>
      </c>
      <c r="C1305" s="193">
        <v>2025</v>
      </c>
      <c r="D1305" s="193">
        <f>Introduction!$D$7</f>
        <v>0</v>
      </c>
      <c r="E1305" s="193">
        <f>Introduction!$D$8</f>
        <v>0</v>
      </c>
      <c r="F1305" s="193" t="s">
        <v>493</v>
      </c>
      <c r="G1305" s="193" t="s">
        <v>493</v>
      </c>
      <c r="H1305" s="194"/>
      <c r="I1305" s="194"/>
      <c r="J1305" s="195" t="str">
        <f>'Supply chain'!B34</f>
        <v>Manufacturing</v>
      </c>
      <c r="K1305" s="194"/>
      <c r="L1305" s="194"/>
      <c r="M1305" s="195">
        <f>'Supply chain'!C34</f>
        <v>20.399999999999999</v>
      </c>
      <c r="N1305" s="195" t="str">
        <f>'Supply chain'!D34</f>
        <v xml:space="preserve">Soap and detergents, cleaning and polishing preparations, perfumes and toilet preparations     </v>
      </c>
      <c r="O1305" s="194"/>
      <c r="P1305" s="195" t="str">
        <f>'Supply chain'!E34</f>
        <v>Tier 1</v>
      </c>
      <c r="Q1305" s="195">
        <f>'Supply chain'!F34</f>
        <v>0.25</v>
      </c>
      <c r="R1305" s="195">
        <f>'Supply chain'!G34</f>
        <v>0</v>
      </c>
      <c r="S1305" s="195" t="str">
        <f>'Supply chain'!H34</f>
        <v>£</v>
      </c>
      <c r="T1305" s="195">
        <f>'Supply chain'!I34</f>
        <v>0</v>
      </c>
      <c r="U1305" s="195" t="str">
        <f>'Supply chain'!J34</f>
        <v>£</v>
      </c>
      <c r="V1305" s="195">
        <f>'Supply chain'!K34</f>
        <v>0.83658404757177618</v>
      </c>
      <c r="W1305" s="195" t="str">
        <f>'Supply chain'!L34</f>
        <v/>
      </c>
      <c r="X1305" s="193">
        <f>'Supply chain'!M34</f>
        <v>0</v>
      </c>
      <c r="Y1305" s="195">
        <f>'Supply chain'!N34</f>
        <v>0</v>
      </c>
      <c r="Z1305" s="195">
        <f>'Supply chain'!O34</f>
        <v>0</v>
      </c>
      <c r="AA1305" s="195">
        <f>'Supply chain'!P34</f>
        <v>0</v>
      </c>
      <c r="AB1305" s="195">
        <f>'Supply chain'!Q34</f>
        <v>0</v>
      </c>
      <c r="AC1305" s="195">
        <f>'Supply chain'!R34</f>
        <v>0</v>
      </c>
      <c r="AD1305" s="195">
        <f>'Supply chain'!S34</f>
        <v>0</v>
      </c>
      <c r="AE1305" s="195">
        <f>'Supply chain'!T34</f>
        <v>0</v>
      </c>
      <c r="AF1305" s="195">
        <f>'Supply chain'!U34</f>
        <v>0</v>
      </c>
      <c r="AG1305" s="195">
        <f>'Supply chain'!V34</f>
        <v>0</v>
      </c>
      <c r="AI1305" s="193">
        <f t="shared" si="28"/>
        <v>0</v>
      </c>
      <c r="AJ1305" s="193">
        <f t="shared" si="29"/>
        <v>0</v>
      </c>
    </row>
    <row r="1306" spans="2:36" x14ac:dyDescent="0.35">
      <c r="B1306" s="193" t="e">
        <f>"2024"&amp;MATCH(Totals!D1306,OrgType,0)&amp;"_"&amp;MATCH(Totals!E1306,Organisations,0)&amp;"_"&amp;LEFT(Totals!F1306,1)&amp;"_"&amp;LEFT(G1306,1)&amp;"_"&amp;COUNTIF($G$3:G1306,G1306)</f>
        <v>#N/A</v>
      </c>
      <c r="C1306" s="193">
        <v>2025</v>
      </c>
      <c r="D1306" s="193">
        <f>Introduction!$D$7</f>
        <v>0</v>
      </c>
      <c r="E1306" s="193">
        <f>Introduction!$D$8</f>
        <v>0</v>
      </c>
      <c r="F1306" s="193" t="s">
        <v>493</v>
      </c>
      <c r="G1306" s="193" t="s">
        <v>493</v>
      </c>
      <c r="H1306" s="194"/>
      <c r="I1306" s="194"/>
      <c r="J1306" s="195" t="str">
        <f>'Supply chain'!B35</f>
        <v>Manufacturing</v>
      </c>
      <c r="K1306" s="194"/>
      <c r="L1306" s="194"/>
      <c r="M1306" s="195">
        <f>'Supply chain'!C35</f>
        <v>20.5</v>
      </c>
      <c r="N1306" s="195" t="str">
        <f>'Supply chain'!D35</f>
        <v xml:space="preserve">Other chemical products             </v>
      </c>
      <c r="O1306" s="194"/>
      <c r="P1306" s="195" t="str">
        <f>'Supply chain'!E35</f>
        <v>Tier 1</v>
      </c>
      <c r="Q1306" s="195">
        <f>'Supply chain'!F35</f>
        <v>0.25</v>
      </c>
      <c r="R1306" s="195">
        <f>'Supply chain'!G35</f>
        <v>0</v>
      </c>
      <c r="S1306" s="195" t="str">
        <f>'Supply chain'!H35</f>
        <v>£</v>
      </c>
      <c r="T1306" s="195">
        <f>'Supply chain'!I35</f>
        <v>0</v>
      </c>
      <c r="U1306" s="195" t="str">
        <f>'Supply chain'!J35</f>
        <v>£</v>
      </c>
      <c r="V1306" s="195">
        <f>'Supply chain'!K35</f>
        <v>1.3378098052116341</v>
      </c>
      <c r="W1306" s="195" t="str">
        <f>'Supply chain'!L35</f>
        <v/>
      </c>
      <c r="X1306" s="193">
        <f>'Supply chain'!M35</f>
        <v>0</v>
      </c>
      <c r="Y1306" s="195">
        <f>'Supply chain'!N35</f>
        <v>0</v>
      </c>
      <c r="Z1306" s="195">
        <f>'Supply chain'!O35</f>
        <v>0</v>
      </c>
      <c r="AA1306" s="195">
        <f>'Supply chain'!P35</f>
        <v>0</v>
      </c>
      <c r="AB1306" s="195">
        <f>'Supply chain'!Q35</f>
        <v>0</v>
      </c>
      <c r="AC1306" s="195">
        <f>'Supply chain'!R35</f>
        <v>0</v>
      </c>
      <c r="AD1306" s="195">
        <f>'Supply chain'!S35</f>
        <v>0</v>
      </c>
      <c r="AE1306" s="195">
        <f>'Supply chain'!T35</f>
        <v>0</v>
      </c>
      <c r="AF1306" s="195">
        <f>'Supply chain'!U35</f>
        <v>0</v>
      </c>
      <c r="AG1306" s="195">
        <f>'Supply chain'!V35</f>
        <v>0</v>
      </c>
      <c r="AI1306" s="193">
        <f t="shared" si="28"/>
        <v>0</v>
      </c>
      <c r="AJ1306" s="193">
        <f t="shared" si="29"/>
        <v>0</v>
      </c>
    </row>
    <row r="1307" spans="2:36" x14ac:dyDescent="0.35">
      <c r="B1307" s="193" t="e">
        <f>"2024"&amp;MATCH(Totals!D1307,OrgType,0)&amp;"_"&amp;MATCH(Totals!E1307,Organisations,0)&amp;"_"&amp;LEFT(Totals!F1307,1)&amp;"_"&amp;LEFT(G1307,1)&amp;"_"&amp;COUNTIF($G$3:G1307,G1307)</f>
        <v>#N/A</v>
      </c>
      <c r="C1307" s="193">
        <v>2025</v>
      </c>
      <c r="D1307" s="193">
        <f>Introduction!$D$7</f>
        <v>0</v>
      </c>
      <c r="E1307" s="193">
        <f>Introduction!$D$8</f>
        <v>0</v>
      </c>
      <c r="F1307" s="193" t="s">
        <v>493</v>
      </c>
      <c r="G1307" s="193" t="s">
        <v>493</v>
      </c>
      <c r="H1307" s="194"/>
      <c r="I1307" s="194"/>
      <c r="J1307" s="195" t="str">
        <f>'Supply chain'!B36</f>
        <v>Manufacturing</v>
      </c>
      <c r="K1307" s="194"/>
      <c r="L1307" s="194"/>
      <c r="M1307" s="195" t="str">
        <f>'Supply chain'!C36</f>
        <v>20A</v>
      </c>
      <c r="N1307" s="195" t="str">
        <f>'Supply chain'!D36</f>
        <v xml:space="preserve">Industrial gases, inorganics and fertilisers (all inorganic chemicals) - 20.11/13/15      </v>
      </c>
      <c r="O1307" s="194"/>
      <c r="P1307" s="195" t="str">
        <f>'Supply chain'!E36</f>
        <v>Tier 1</v>
      </c>
      <c r="Q1307" s="195">
        <f>'Supply chain'!F36</f>
        <v>0.25</v>
      </c>
      <c r="R1307" s="195">
        <f>'Supply chain'!G36</f>
        <v>0</v>
      </c>
      <c r="S1307" s="195" t="str">
        <f>'Supply chain'!H36</f>
        <v>£</v>
      </c>
      <c r="T1307" s="195">
        <f>'Supply chain'!I36</f>
        <v>0</v>
      </c>
      <c r="U1307" s="195" t="str">
        <f>'Supply chain'!J36</f>
        <v>£</v>
      </c>
      <c r="V1307" s="195">
        <f>'Supply chain'!K36</f>
        <v>1.3907169875212491</v>
      </c>
      <c r="W1307" s="195" t="str">
        <f>'Supply chain'!L36</f>
        <v/>
      </c>
      <c r="X1307" s="193">
        <f>'Supply chain'!M36</f>
        <v>0</v>
      </c>
      <c r="Y1307" s="195">
        <f>'Supply chain'!N36</f>
        <v>0</v>
      </c>
      <c r="Z1307" s="195">
        <f>'Supply chain'!O36</f>
        <v>0</v>
      </c>
      <c r="AA1307" s="195">
        <f>'Supply chain'!P36</f>
        <v>0</v>
      </c>
      <c r="AB1307" s="195">
        <f>'Supply chain'!Q36</f>
        <v>0</v>
      </c>
      <c r="AC1307" s="195">
        <f>'Supply chain'!R36</f>
        <v>0</v>
      </c>
      <c r="AD1307" s="195">
        <f>'Supply chain'!S36</f>
        <v>0</v>
      </c>
      <c r="AE1307" s="195">
        <f>'Supply chain'!T36</f>
        <v>0</v>
      </c>
      <c r="AF1307" s="195">
        <f>'Supply chain'!U36</f>
        <v>0</v>
      </c>
      <c r="AG1307" s="195">
        <f>'Supply chain'!V36</f>
        <v>0</v>
      </c>
      <c r="AI1307" s="193">
        <f t="shared" si="28"/>
        <v>0</v>
      </c>
      <c r="AJ1307" s="193">
        <f t="shared" si="29"/>
        <v>0</v>
      </c>
    </row>
    <row r="1308" spans="2:36" x14ac:dyDescent="0.35">
      <c r="B1308" s="193" t="e">
        <f>"2024"&amp;MATCH(Totals!D1308,OrgType,0)&amp;"_"&amp;MATCH(Totals!E1308,Organisations,0)&amp;"_"&amp;LEFT(Totals!F1308,1)&amp;"_"&amp;LEFT(G1308,1)&amp;"_"&amp;COUNTIF($G$3:G1308,G1308)</f>
        <v>#N/A</v>
      </c>
      <c r="C1308" s="193">
        <v>2025</v>
      </c>
      <c r="D1308" s="193">
        <f>Introduction!$D$7</f>
        <v>0</v>
      </c>
      <c r="E1308" s="193">
        <f>Introduction!$D$8</f>
        <v>0</v>
      </c>
      <c r="F1308" s="193" t="s">
        <v>493</v>
      </c>
      <c r="G1308" s="193" t="s">
        <v>493</v>
      </c>
      <c r="H1308" s="194"/>
      <c r="I1308" s="194"/>
      <c r="J1308" s="195" t="str">
        <f>'Supply chain'!B37</f>
        <v>Manufacturing</v>
      </c>
      <c r="K1308" s="194"/>
      <c r="L1308" s="194"/>
      <c r="M1308" s="195" t="str">
        <f>'Supply chain'!C37</f>
        <v>20B</v>
      </c>
      <c r="N1308" s="195" t="str">
        <f>'Supply chain'!D37</f>
        <v xml:space="preserve">Petrochemicals - 20.14/16/17/60             </v>
      </c>
      <c r="O1308" s="194"/>
      <c r="P1308" s="195" t="str">
        <f>'Supply chain'!E37</f>
        <v>Tier 1</v>
      </c>
      <c r="Q1308" s="195">
        <f>'Supply chain'!F37</f>
        <v>0.25</v>
      </c>
      <c r="R1308" s="195">
        <f>'Supply chain'!G37</f>
        <v>0</v>
      </c>
      <c r="S1308" s="195" t="str">
        <f>'Supply chain'!H37</f>
        <v>£</v>
      </c>
      <c r="T1308" s="195">
        <f>'Supply chain'!I37</f>
        <v>0</v>
      </c>
      <c r="U1308" s="195" t="str">
        <f>'Supply chain'!J37</f>
        <v>£</v>
      </c>
      <c r="V1308" s="195">
        <f>'Supply chain'!K37</f>
        <v>1.500200091067837</v>
      </c>
      <c r="W1308" s="195" t="str">
        <f>'Supply chain'!L37</f>
        <v/>
      </c>
      <c r="X1308" s="193">
        <f>'Supply chain'!M37</f>
        <v>0</v>
      </c>
      <c r="Y1308" s="195">
        <f>'Supply chain'!N37</f>
        <v>0</v>
      </c>
      <c r="Z1308" s="195">
        <f>'Supply chain'!O37</f>
        <v>0</v>
      </c>
      <c r="AA1308" s="195">
        <f>'Supply chain'!P37</f>
        <v>0</v>
      </c>
      <c r="AB1308" s="195">
        <f>'Supply chain'!Q37</f>
        <v>0</v>
      </c>
      <c r="AC1308" s="195">
        <f>'Supply chain'!R37</f>
        <v>0</v>
      </c>
      <c r="AD1308" s="195">
        <f>'Supply chain'!S37</f>
        <v>0</v>
      </c>
      <c r="AE1308" s="195">
        <f>'Supply chain'!T37</f>
        <v>0</v>
      </c>
      <c r="AF1308" s="195">
        <f>'Supply chain'!U37</f>
        <v>0</v>
      </c>
      <c r="AG1308" s="195">
        <f>'Supply chain'!V37</f>
        <v>0</v>
      </c>
      <c r="AI1308" s="193">
        <f t="shared" si="28"/>
        <v>0</v>
      </c>
      <c r="AJ1308" s="193">
        <f t="shared" si="29"/>
        <v>0</v>
      </c>
    </row>
    <row r="1309" spans="2:36" x14ac:dyDescent="0.35">
      <c r="B1309" s="193" t="e">
        <f>"2024"&amp;MATCH(Totals!D1309,OrgType,0)&amp;"_"&amp;MATCH(Totals!E1309,Organisations,0)&amp;"_"&amp;LEFT(Totals!F1309,1)&amp;"_"&amp;LEFT(G1309,1)&amp;"_"&amp;COUNTIF($G$3:G1309,G1309)</f>
        <v>#N/A</v>
      </c>
      <c r="C1309" s="193">
        <v>2025</v>
      </c>
      <c r="D1309" s="193">
        <f>Introduction!$D$7</f>
        <v>0</v>
      </c>
      <c r="E1309" s="193">
        <f>Introduction!$D$8</f>
        <v>0</v>
      </c>
      <c r="F1309" s="193" t="s">
        <v>493</v>
      </c>
      <c r="G1309" s="193" t="s">
        <v>493</v>
      </c>
      <c r="H1309" s="194"/>
      <c r="I1309" s="194"/>
      <c r="J1309" s="195" t="str">
        <f>'Supply chain'!B38</f>
        <v>Manufacturing</v>
      </c>
      <c r="K1309" s="194"/>
      <c r="L1309" s="194"/>
      <c r="M1309" s="195" t="str">
        <f>'Supply chain'!C38</f>
        <v>20C</v>
      </c>
      <c r="N1309" s="195" t="str">
        <f>'Supply chain'!D38</f>
        <v xml:space="preserve">Dyestuffs, agro-chemicals - 20.12/20            </v>
      </c>
      <c r="O1309" s="194"/>
      <c r="P1309" s="195" t="str">
        <f>'Supply chain'!E38</f>
        <v>Tier 1</v>
      </c>
      <c r="Q1309" s="195">
        <f>'Supply chain'!F38</f>
        <v>0.25</v>
      </c>
      <c r="R1309" s="195">
        <f>'Supply chain'!G38</f>
        <v>0</v>
      </c>
      <c r="S1309" s="195" t="str">
        <f>'Supply chain'!H38</f>
        <v>£</v>
      </c>
      <c r="T1309" s="195">
        <f>'Supply chain'!I38</f>
        <v>0</v>
      </c>
      <c r="U1309" s="195" t="str">
        <f>'Supply chain'!J38</f>
        <v>£</v>
      </c>
      <c r="V1309" s="195">
        <f>'Supply chain'!K38</f>
        <v>1.231753772851345</v>
      </c>
      <c r="W1309" s="195" t="str">
        <f>'Supply chain'!L38</f>
        <v/>
      </c>
      <c r="X1309" s="193">
        <f>'Supply chain'!M38</f>
        <v>0</v>
      </c>
      <c r="Y1309" s="195">
        <f>'Supply chain'!N38</f>
        <v>0</v>
      </c>
      <c r="Z1309" s="195">
        <f>'Supply chain'!O38</f>
        <v>0</v>
      </c>
      <c r="AA1309" s="195">
        <f>'Supply chain'!P38</f>
        <v>0</v>
      </c>
      <c r="AB1309" s="195">
        <f>'Supply chain'!Q38</f>
        <v>0</v>
      </c>
      <c r="AC1309" s="195">
        <f>'Supply chain'!R38</f>
        <v>0</v>
      </c>
      <c r="AD1309" s="195">
        <f>'Supply chain'!S38</f>
        <v>0</v>
      </c>
      <c r="AE1309" s="195">
        <f>'Supply chain'!T38</f>
        <v>0</v>
      </c>
      <c r="AF1309" s="195">
        <f>'Supply chain'!U38</f>
        <v>0</v>
      </c>
      <c r="AG1309" s="195">
        <f>'Supply chain'!V38</f>
        <v>0</v>
      </c>
      <c r="AI1309" s="193">
        <f t="shared" si="28"/>
        <v>0</v>
      </c>
      <c r="AJ1309" s="193">
        <f t="shared" si="29"/>
        <v>0</v>
      </c>
    </row>
    <row r="1310" spans="2:36" x14ac:dyDescent="0.35">
      <c r="B1310" s="193" t="e">
        <f>"2024"&amp;MATCH(Totals!D1310,OrgType,0)&amp;"_"&amp;MATCH(Totals!E1310,Organisations,0)&amp;"_"&amp;LEFT(Totals!F1310,1)&amp;"_"&amp;LEFT(G1310,1)&amp;"_"&amp;COUNTIF($G$3:G1310,G1310)</f>
        <v>#N/A</v>
      </c>
      <c r="C1310" s="193">
        <v>2025</v>
      </c>
      <c r="D1310" s="193">
        <f>Introduction!$D$7</f>
        <v>0</v>
      </c>
      <c r="E1310" s="193">
        <f>Introduction!$D$8</f>
        <v>0</v>
      </c>
      <c r="F1310" s="193" t="s">
        <v>493</v>
      </c>
      <c r="G1310" s="193" t="s">
        <v>493</v>
      </c>
      <c r="H1310" s="194"/>
      <c r="I1310" s="194"/>
      <c r="J1310" s="195" t="str">
        <f>'Supply chain'!B39</f>
        <v>Manufacturing</v>
      </c>
      <c r="K1310" s="194"/>
      <c r="L1310" s="194"/>
      <c r="M1310" s="195">
        <f>'Supply chain'!C39</f>
        <v>21</v>
      </c>
      <c r="N1310" s="195" t="str">
        <f>'Supply chain'!D39</f>
        <v xml:space="preserve">Basic pharmaceutical products and pharmaceutical preparations          </v>
      </c>
      <c r="O1310" s="194"/>
      <c r="P1310" s="195" t="str">
        <f>'Supply chain'!E39</f>
        <v>Tier 1</v>
      </c>
      <c r="Q1310" s="195">
        <f>'Supply chain'!F39</f>
        <v>0.25</v>
      </c>
      <c r="R1310" s="195">
        <f>'Supply chain'!G39</f>
        <v>0</v>
      </c>
      <c r="S1310" s="195" t="str">
        <f>'Supply chain'!H39</f>
        <v>£</v>
      </c>
      <c r="T1310" s="195">
        <f>'Supply chain'!I39</f>
        <v>0</v>
      </c>
      <c r="U1310" s="195" t="str">
        <f>'Supply chain'!J39</f>
        <v>£</v>
      </c>
      <c r="V1310" s="195">
        <f>'Supply chain'!K39</f>
        <v>0.58124369452901692</v>
      </c>
      <c r="W1310" s="195" t="str">
        <f>'Supply chain'!L39</f>
        <v/>
      </c>
      <c r="X1310" s="193">
        <f>'Supply chain'!M39</f>
        <v>0</v>
      </c>
      <c r="Y1310" s="195">
        <f>'Supply chain'!N39</f>
        <v>0</v>
      </c>
      <c r="Z1310" s="195">
        <f>'Supply chain'!O39</f>
        <v>0</v>
      </c>
      <c r="AA1310" s="195">
        <f>'Supply chain'!P39</f>
        <v>0</v>
      </c>
      <c r="AB1310" s="195">
        <f>'Supply chain'!Q39</f>
        <v>0</v>
      </c>
      <c r="AC1310" s="195">
        <f>'Supply chain'!R39</f>
        <v>0</v>
      </c>
      <c r="AD1310" s="195">
        <f>'Supply chain'!S39</f>
        <v>0</v>
      </c>
      <c r="AE1310" s="195">
        <f>'Supply chain'!T39</f>
        <v>0</v>
      </c>
      <c r="AF1310" s="195">
        <f>'Supply chain'!U39</f>
        <v>0</v>
      </c>
      <c r="AG1310" s="195">
        <f>'Supply chain'!V39</f>
        <v>0</v>
      </c>
      <c r="AI1310" s="193">
        <f t="shared" si="28"/>
        <v>0</v>
      </c>
      <c r="AJ1310" s="193">
        <f t="shared" si="29"/>
        <v>0</v>
      </c>
    </row>
    <row r="1311" spans="2:36" x14ac:dyDescent="0.35">
      <c r="B1311" s="193" t="e">
        <f>"2024"&amp;MATCH(Totals!D1311,OrgType,0)&amp;"_"&amp;MATCH(Totals!E1311,Organisations,0)&amp;"_"&amp;LEFT(Totals!F1311,1)&amp;"_"&amp;LEFT(G1311,1)&amp;"_"&amp;COUNTIF($G$3:G1311,G1311)</f>
        <v>#N/A</v>
      </c>
      <c r="C1311" s="193">
        <v>2025</v>
      </c>
      <c r="D1311" s="193">
        <f>Introduction!$D$7</f>
        <v>0</v>
      </c>
      <c r="E1311" s="193">
        <f>Introduction!$D$8</f>
        <v>0</v>
      </c>
      <c r="F1311" s="193" t="s">
        <v>493</v>
      </c>
      <c r="G1311" s="193" t="s">
        <v>493</v>
      </c>
      <c r="H1311" s="194"/>
      <c r="I1311" s="194"/>
      <c r="J1311" s="195" t="str">
        <f>'Supply chain'!B40</f>
        <v>Manufacturing</v>
      </c>
      <c r="K1311" s="194"/>
      <c r="L1311" s="194"/>
      <c r="M1311" s="195">
        <f>'Supply chain'!C40</f>
        <v>22</v>
      </c>
      <c r="N1311" s="195" t="str">
        <f>'Supply chain'!D40</f>
        <v xml:space="preserve">Rubber and plastic products            </v>
      </c>
      <c r="O1311" s="194"/>
      <c r="P1311" s="195" t="str">
        <f>'Supply chain'!E40</f>
        <v>Tier 1</v>
      </c>
      <c r="Q1311" s="195">
        <f>'Supply chain'!F40</f>
        <v>0.25</v>
      </c>
      <c r="R1311" s="195">
        <f>'Supply chain'!G40</f>
        <v>0</v>
      </c>
      <c r="S1311" s="195" t="str">
        <f>'Supply chain'!H40</f>
        <v>£</v>
      </c>
      <c r="T1311" s="195">
        <f>'Supply chain'!I40</f>
        <v>0</v>
      </c>
      <c r="U1311" s="195" t="str">
        <f>'Supply chain'!J40</f>
        <v>£</v>
      </c>
      <c r="V1311" s="195">
        <f>'Supply chain'!K40</f>
        <v>0.63376124906788212</v>
      </c>
      <c r="W1311" s="195" t="str">
        <f>'Supply chain'!L40</f>
        <v/>
      </c>
      <c r="X1311" s="193">
        <f>'Supply chain'!M40</f>
        <v>0</v>
      </c>
      <c r="Y1311" s="195">
        <f>'Supply chain'!N40</f>
        <v>0</v>
      </c>
      <c r="Z1311" s="195">
        <f>'Supply chain'!O40</f>
        <v>0</v>
      </c>
      <c r="AA1311" s="195">
        <f>'Supply chain'!P40</f>
        <v>0</v>
      </c>
      <c r="AB1311" s="195">
        <f>'Supply chain'!Q40</f>
        <v>0</v>
      </c>
      <c r="AC1311" s="195">
        <f>'Supply chain'!R40</f>
        <v>0</v>
      </c>
      <c r="AD1311" s="195">
        <f>'Supply chain'!S40</f>
        <v>0</v>
      </c>
      <c r="AE1311" s="195">
        <f>'Supply chain'!T40</f>
        <v>0</v>
      </c>
      <c r="AF1311" s="195">
        <f>'Supply chain'!U40</f>
        <v>0</v>
      </c>
      <c r="AG1311" s="195">
        <f>'Supply chain'!V40</f>
        <v>0</v>
      </c>
      <c r="AI1311" s="193">
        <f t="shared" si="28"/>
        <v>0</v>
      </c>
      <c r="AJ1311" s="193">
        <f t="shared" si="29"/>
        <v>0</v>
      </c>
    </row>
    <row r="1312" spans="2:36" x14ac:dyDescent="0.35">
      <c r="B1312" s="193" t="e">
        <f>"2024"&amp;MATCH(Totals!D1312,OrgType,0)&amp;"_"&amp;MATCH(Totals!E1312,Organisations,0)&amp;"_"&amp;LEFT(Totals!F1312,1)&amp;"_"&amp;LEFT(G1312,1)&amp;"_"&amp;COUNTIF($G$3:G1312,G1312)</f>
        <v>#N/A</v>
      </c>
      <c r="C1312" s="193">
        <v>2025</v>
      </c>
      <c r="D1312" s="193">
        <f>Introduction!$D$7</f>
        <v>0</v>
      </c>
      <c r="E1312" s="193">
        <f>Introduction!$D$8</f>
        <v>0</v>
      </c>
      <c r="F1312" s="193" t="s">
        <v>493</v>
      </c>
      <c r="G1312" s="193" t="s">
        <v>493</v>
      </c>
      <c r="H1312" s="194"/>
      <c r="I1312" s="194"/>
      <c r="J1312" s="195" t="str">
        <f>'Supply chain'!B41</f>
        <v>Manufacturing</v>
      </c>
      <c r="K1312" s="194"/>
      <c r="L1312" s="194"/>
      <c r="M1312" s="195" t="str">
        <f>'Supply chain'!C41</f>
        <v>23.5-6</v>
      </c>
      <c r="N1312" s="195" t="str">
        <f>'Supply chain'!D41</f>
        <v xml:space="preserve">Cement, lime, plaster and articles of concrete, cement and plaster </v>
      </c>
      <c r="O1312" s="194"/>
      <c r="P1312" s="195" t="str">
        <f>'Supply chain'!E41</f>
        <v>Tier 1</v>
      </c>
      <c r="Q1312" s="195">
        <f>'Supply chain'!F41</f>
        <v>0.25</v>
      </c>
      <c r="R1312" s="195">
        <f>'Supply chain'!G41</f>
        <v>0</v>
      </c>
      <c r="S1312" s="195" t="str">
        <f>'Supply chain'!H41</f>
        <v>£</v>
      </c>
      <c r="T1312" s="195">
        <f>'Supply chain'!I41</f>
        <v>0</v>
      </c>
      <c r="U1312" s="195" t="str">
        <f>'Supply chain'!J41</f>
        <v>£</v>
      </c>
      <c r="V1312" s="195">
        <f>'Supply chain'!K41</f>
        <v>0.98192437291325474</v>
      </c>
      <c r="W1312" s="195" t="str">
        <f>'Supply chain'!L41</f>
        <v/>
      </c>
      <c r="X1312" s="193">
        <f>'Supply chain'!M41</f>
        <v>0</v>
      </c>
      <c r="Y1312" s="195">
        <f>'Supply chain'!N41</f>
        <v>0</v>
      </c>
      <c r="Z1312" s="195">
        <f>'Supply chain'!O41</f>
        <v>0</v>
      </c>
      <c r="AA1312" s="195">
        <f>'Supply chain'!P41</f>
        <v>0</v>
      </c>
      <c r="AB1312" s="195">
        <f>'Supply chain'!Q41</f>
        <v>0</v>
      </c>
      <c r="AC1312" s="195">
        <f>'Supply chain'!R41</f>
        <v>0</v>
      </c>
      <c r="AD1312" s="195">
        <f>'Supply chain'!S41</f>
        <v>0</v>
      </c>
      <c r="AE1312" s="195">
        <f>'Supply chain'!T41</f>
        <v>0</v>
      </c>
      <c r="AF1312" s="195">
        <f>'Supply chain'!U41</f>
        <v>0</v>
      </c>
      <c r="AG1312" s="195">
        <f>'Supply chain'!V41</f>
        <v>0</v>
      </c>
      <c r="AI1312" s="193">
        <f t="shared" si="28"/>
        <v>0</v>
      </c>
      <c r="AJ1312" s="193">
        <f t="shared" si="29"/>
        <v>0</v>
      </c>
    </row>
    <row r="1313" spans="2:36" x14ac:dyDescent="0.35">
      <c r="B1313" s="193" t="e">
        <f>"2024"&amp;MATCH(Totals!D1313,OrgType,0)&amp;"_"&amp;MATCH(Totals!E1313,Organisations,0)&amp;"_"&amp;LEFT(Totals!F1313,1)&amp;"_"&amp;LEFT(G1313,1)&amp;"_"&amp;COUNTIF($G$3:G1313,G1313)</f>
        <v>#N/A</v>
      </c>
      <c r="C1313" s="193">
        <v>2025</v>
      </c>
      <c r="D1313" s="193">
        <f>Introduction!$D$7</f>
        <v>0</v>
      </c>
      <c r="E1313" s="193">
        <f>Introduction!$D$8</f>
        <v>0</v>
      </c>
      <c r="F1313" s="193" t="s">
        <v>493</v>
      </c>
      <c r="G1313" s="193" t="s">
        <v>493</v>
      </c>
      <c r="H1313" s="194"/>
      <c r="I1313" s="194"/>
      <c r="J1313" s="195" t="str">
        <f>'Supply chain'!B42</f>
        <v>Manufacturing</v>
      </c>
      <c r="K1313" s="194"/>
      <c r="L1313" s="194"/>
      <c r="M1313" s="195" t="str">
        <f>'Supply chain'!C42</f>
        <v>23OTHER</v>
      </c>
      <c r="N1313" s="195" t="str">
        <f>'Supply chain'!D42</f>
        <v xml:space="preserve">Glass, refractory, clay, other porcelain and ceramic, stone and abrasive products - 23.1-4/7-9   </v>
      </c>
      <c r="O1313" s="194"/>
      <c r="P1313" s="195" t="str">
        <f>'Supply chain'!E42</f>
        <v>Tier 1</v>
      </c>
      <c r="Q1313" s="195">
        <f>'Supply chain'!F42</f>
        <v>0.25</v>
      </c>
      <c r="R1313" s="195">
        <f>'Supply chain'!G42</f>
        <v>0</v>
      </c>
      <c r="S1313" s="195" t="str">
        <f>'Supply chain'!H42</f>
        <v>£</v>
      </c>
      <c r="T1313" s="195">
        <f>'Supply chain'!I42</f>
        <v>0</v>
      </c>
      <c r="U1313" s="195" t="str">
        <f>'Supply chain'!J42</f>
        <v>£</v>
      </c>
      <c r="V1313" s="195">
        <f>'Supply chain'!K42</f>
        <v>1.310257890723352</v>
      </c>
      <c r="W1313" s="195" t="str">
        <f>'Supply chain'!L42</f>
        <v/>
      </c>
      <c r="X1313" s="193">
        <f>'Supply chain'!M42</f>
        <v>0</v>
      </c>
      <c r="Y1313" s="195">
        <f>'Supply chain'!N42</f>
        <v>0</v>
      </c>
      <c r="Z1313" s="195">
        <f>'Supply chain'!O42</f>
        <v>0</v>
      </c>
      <c r="AA1313" s="195">
        <f>'Supply chain'!P42</f>
        <v>0</v>
      </c>
      <c r="AB1313" s="195">
        <f>'Supply chain'!Q42</f>
        <v>0</v>
      </c>
      <c r="AC1313" s="195">
        <f>'Supply chain'!R42</f>
        <v>0</v>
      </c>
      <c r="AD1313" s="195">
        <f>'Supply chain'!S42</f>
        <v>0</v>
      </c>
      <c r="AE1313" s="195">
        <f>'Supply chain'!T42</f>
        <v>0</v>
      </c>
      <c r="AF1313" s="195">
        <f>'Supply chain'!U42</f>
        <v>0</v>
      </c>
      <c r="AG1313" s="195">
        <f>'Supply chain'!V42</f>
        <v>0</v>
      </c>
      <c r="AI1313" s="193">
        <f t="shared" si="28"/>
        <v>0</v>
      </c>
      <c r="AJ1313" s="193">
        <f t="shared" si="29"/>
        <v>0</v>
      </c>
    </row>
    <row r="1314" spans="2:36" x14ac:dyDescent="0.35">
      <c r="B1314" s="193" t="e">
        <f>"2024"&amp;MATCH(Totals!D1314,OrgType,0)&amp;"_"&amp;MATCH(Totals!E1314,Organisations,0)&amp;"_"&amp;LEFT(Totals!F1314,1)&amp;"_"&amp;LEFT(G1314,1)&amp;"_"&amp;COUNTIF($G$3:G1314,G1314)</f>
        <v>#N/A</v>
      </c>
      <c r="C1314" s="193">
        <v>2025</v>
      </c>
      <c r="D1314" s="193">
        <f>Introduction!$D$7</f>
        <v>0</v>
      </c>
      <c r="E1314" s="193">
        <f>Introduction!$D$8</f>
        <v>0</v>
      </c>
      <c r="F1314" s="193" t="s">
        <v>493</v>
      </c>
      <c r="G1314" s="193" t="s">
        <v>493</v>
      </c>
      <c r="H1314" s="194"/>
      <c r="I1314" s="194"/>
      <c r="J1314" s="195" t="str">
        <f>'Supply chain'!B43</f>
        <v>Manufacturing</v>
      </c>
      <c r="K1314" s="194"/>
      <c r="L1314" s="194"/>
      <c r="M1314" s="195" t="str">
        <f>'Supply chain'!C43</f>
        <v>24.1-3</v>
      </c>
      <c r="N1314" s="195" t="str">
        <f>'Supply chain'!D43</f>
        <v xml:space="preserve">Basic iron and steel            </v>
      </c>
      <c r="O1314" s="194"/>
      <c r="P1314" s="195" t="str">
        <f>'Supply chain'!E43</f>
        <v>Tier 1</v>
      </c>
      <c r="Q1314" s="195">
        <f>'Supply chain'!F43</f>
        <v>0.25</v>
      </c>
      <c r="R1314" s="195">
        <f>'Supply chain'!G43</f>
        <v>0</v>
      </c>
      <c r="S1314" s="195" t="str">
        <f>'Supply chain'!H43</f>
        <v>£</v>
      </c>
      <c r="T1314" s="195">
        <f>'Supply chain'!I43</f>
        <v>0</v>
      </c>
      <c r="U1314" s="195" t="str">
        <f>'Supply chain'!J43</f>
        <v>£</v>
      </c>
      <c r="V1314" s="195">
        <f>'Supply chain'!K43</f>
        <v>1.7920180949871889</v>
      </c>
      <c r="W1314" s="195" t="str">
        <f>'Supply chain'!L43</f>
        <v/>
      </c>
      <c r="X1314" s="193">
        <f>'Supply chain'!M43</f>
        <v>0</v>
      </c>
      <c r="Y1314" s="195">
        <f>'Supply chain'!N43</f>
        <v>0</v>
      </c>
      <c r="Z1314" s="195">
        <f>'Supply chain'!O43</f>
        <v>0</v>
      </c>
      <c r="AA1314" s="195">
        <f>'Supply chain'!P43</f>
        <v>0</v>
      </c>
      <c r="AB1314" s="195">
        <f>'Supply chain'!Q43</f>
        <v>0</v>
      </c>
      <c r="AC1314" s="195">
        <f>'Supply chain'!R43</f>
        <v>0</v>
      </c>
      <c r="AD1314" s="195">
        <f>'Supply chain'!S43</f>
        <v>0</v>
      </c>
      <c r="AE1314" s="195">
        <f>'Supply chain'!T43</f>
        <v>0</v>
      </c>
      <c r="AF1314" s="195">
        <f>'Supply chain'!U43</f>
        <v>0</v>
      </c>
      <c r="AG1314" s="195">
        <f>'Supply chain'!V43</f>
        <v>0</v>
      </c>
      <c r="AI1314" s="193">
        <f t="shared" si="28"/>
        <v>0</v>
      </c>
      <c r="AJ1314" s="193">
        <f t="shared" si="29"/>
        <v>0</v>
      </c>
    </row>
    <row r="1315" spans="2:36" x14ac:dyDescent="0.35">
      <c r="B1315" s="193" t="e">
        <f>"2024"&amp;MATCH(Totals!D1315,OrgType,0)&amp;"_"&amp;MATCH(Totals!E1315,Organisations,0)&amp;"_"&amp;LEFT(Totals!F1315,1)&amp;"_"&amp;LEFT(G1315,1)&amp;"_"&amp;COUNTIF($G$3:G1315,G1315)</f>
        <v>#N/A</v>
      </c>
      <c r="C1315" s="193">
        <v>2025</v>
      </c>
      <c r="D1315" s="193">
        <f>Introduction!$D$7</f>
        <v>0</v>
      </c>
      <c r="E1315" s="193">
        <f>Introduction!$D$8</f>
        <v>0</v>
      </c>
      <c r="F1315" s="193" t="s">
        <v>493</v>
      </c>
      <c r="G1315" s="193" t="s">
        <v>493</v>
      </c>
      <c r="H1315" s="194"/>
      <c r="I1315" s="194"/>
      <c r="J1315" s="195" t="str">
        <f>'Supply chain'!B44</f>
        <v>Manufacturing</v>
      </c>
      <c r="K1315" s="194"/>
      <c r="L1315" s="194"/>
      <c r="M1315" s="195" t="str">
        <f>'Supply chain'!C44</f>
        <v>24.4-5</v>
      </c>
      <c r="N1315" s="195" t="str">
        <f>'Supply chain'!D44</f>
        <v xml:space="preserve">Other basic metals and casting           </v>
      </c>
      <c r="O1315" s="194"/>
      <c r="P1315" s="195" t="str">
        <f>'Supply chain'!E44</f>
        <v>Tier 1</v>
      </c>
      <c r="Q1315" s="195">
        <f>'Supply chain'!F44</f>
        <v>0.25</v>
      </c>
      <c r="R1315" s="195">
        <f>'Supply chain'!G44</f>
        <v>0</v>
      </c>
      <c r="S1315" s="195" t="str">
        <f>'Supply chain'!H44</f>
        <v>£</v>
      </c>
      <c r="T1315" s="195">
        <f>'Supply chain'!I44</f>
        <v>0</v>
      </c>
      <c r="U1315" s="195" t="str">
        <f>'Supply chain'!J44</f>
        <v>£</v>
      </c>
      <c r="V1315" s="195">
        <f>'Supply chain'!K44</f>
        <v>0.109791804656414</v>
      </c>
      <c r="W1315" s="195" t="str">
        <f>'Supply chain'!L44</f>
        <v/>
      </c>
      <c r="X1315" s="193">
        <f>'Supply chain'!M44</f>
        <v>0</v>
      </c>
      <c r="Y1315" s="195">
        <f>'Supply chain'!N44</f>
        <v>0</v>
      </c>
      <c r="Z1315" s="195">
        <f>'Supply chain'!O44</f>
        <v>0</v>
      </c>
      <c r="AA1315" s="195">
        <f>'Supply chain'!P44</f>
        <v>0</v>
      </c>
      <c r="AB1315" s="195">
        <f>'Supply chain'!Q44</f>
        <v>0</v>
      </c>
      <c r="AC1315" s="195">
        <f>'Supply chain'!R44</f>
        <v>0</v>
      </c>
      <c r="AD1315" s="195">
        <f>'Supply chain'!S44</f>
        <v>0</v>
      </c>
      <c r="AE1315" s="195">
        <f>'Supply chain'!T44</f>
        <v>0</v>
      </c>
      <c r="AF1315" s="195">
        <f>'Supply chain'!U44</f>
        <v>0</v>
      </c>
      <c r="AG1315" s="195">
        <f>'Supply chain'!V44</f>
        <v>0</v>
      </c>
      <c r="AI1315" s="193">
        <f t="shared" si="28"/>
        <v>0</v>
      </c>
      <c r="AJ1315" s="193">
        <f t="shared" si="29"/>
        <v>0</v>
      </c>
    </row>
    <row r="1316" spans="2:36" x14ac:dyDescent="0.35">
      <c r="B1316" s="193" t="e">
        <f>"2024"&amp;MATCH(Totals!D1316,OrgType,0)&amp;"_"&amp;MATCH(Totals!E1316,Organisations,0)&amp;"_"&amp;LEFT(Totals!F1316,1)&amp;"_"&amp;LEFT(G1316,1)&amp;"_"&amp;COUNTIF($G$3:G1316,G1316)</f>
        <v>#N/A</v>
      </c>
      <c r="C1316" s="193">
        <v>2025</v>
      </c>
      <c r="D1316" s="193">
        <f>Introduction!$D$7</f>
        <v>0</v>
      </c>
      <c r="E1316" s="193">
        <f>Introduction!$D$8</f>
        <v>0</v>
      </c>
      <c r="F1316" s="193" t="s">
        <v>493</v>
      </c>
      <c r="G1316" s="193" t="s">
        <v>493</v>
      </c>
      <c r="H1316" s="194"/>
      <c r="I1316" s="194"/>
      <c r="J1316" s="195" t="str">
        <f>'Supply chain'!B45</f>
        <v>Manufacturing</v>
      </c>
      <c r="K1316" s="194"/>
      <c r="L1316" s="194"/>
      <c r="M1316" s="195">
        <f>'Supply chain'!C45</f>
        <v>25.4</v>
      </c>
      <c r="N1316" s="195" t="str">
        <f>'Supply chain'!D45</f>
        <v xml:space="preserve">Weapons and ammunition             </v>
      </c>
      <c r="O1316" s="194"/>
      <c r="P1316" s="195" t="str">
        <f>'Supply chain'!E45</f>
        <v>Tier 1</v>
      </c>
      <c r="Q1316" s="195">
        <f>'Supply chain'!F45</f>
        <v>0.25</v>
      </c>
      <c r="R1316" s="195">
        <f>'Supply chain'!G45</f>
        <v>0</v>
      </c>
      <c r="S1316" s="195" t="str">
        <f>'Supply chain'!H45</f>
        <v>£</v>
      </c>
      <c r="T1316" s="195">
        <f>'Supply chain'!I45</f>
        <v>0</v>
      </c>
      <c r="U1316" s="195" t="str">
        <f>'Supply chain'!J45</f>
        <v>£</v>
      </c>
      <c r="V1316" s="195">
        <f>'Supply chain'!K45</f>
        <v>0.46870158232564191</v>
      </c>
      <c r="W1316" s="195" t="str">
        <f>'Supply chain'!L45</f>
        <v/>
      </c>
      <c r="X1316" s="193">
        <f>'Supply chain'!M45</f>
        <v>0</v>
      </c>
      <c r="Y1316" s="195">
        <f>'Supply chain'!N45</f>
        <v>0</v>
      </c>
      <c r="Z1316" s="195">
        <f>'Supply chain'!O45</f>
        <v>0</v>
      </c>
      <c r="AA1316" s="195">
        <f>'Supply chain'!P45</f>
        <v>0</v>
      </c>
      <c r="AB1316" s="195">
        <f>'Supply chain'!Q45</f>
        <v>0</v>
      </c>
      <c r="AC1316" s="195">
        <f>'Supply chain'!R45</f>
        <v>0</v>
      </c>
      <c r="AD1316" s="195">
        <f>'Supply chain'!S45</f>
        <v>0</v>
      </c>
      <c r="AE1316" s="195">
        <f>'Supply chain'!T45</f>
        <v>0</v>
      </c>
      <c r="AF1316" s="195">
        <f>'Supply chain'!U45</f>
        <v>0</v>
      </c>
      <c r="AG1316" s="195">
        <f>'Supply chain'!V45</f>
        <v>0</v>
      </c>
      <c r="AI1316" s="193">
        <f t="shared" si="28"/>
        <v>0</v>
      </c>
      <c r="AJ1316" s="193">
        <f t="shared" si="29"/>
        <v>0</v>
      </c>
    </row>
    <row r="1317" spans="2:36" x14ac:dyDescent="0.35">
      <c r="B1317" s="193" t="e">
        <f>"2024"&amp;MATCH(Totals!D1317,OrgType,0)&amp;"_"&amp;MATCH(Totals!E1317,Organisations,0)&amp;"_"&amp;LEFT(Totals!F1317,1)&amp;"_"&amp;LEFT(G1317,1)&amp;"_"&amp;COUNTIF($G$3:G1317,G1317)</f>
        <v>#N/A</v>
      </c>
      <c r="C1317" s="193">
        <v>2025</v>
      </c>
      <c r="D1317" s="193">
        <f>Introduction!$D$7</f>
        <v>0</v>
      </c>
      <c r="E1317" s="193">
        <f>Introduction!$D$8</f>
        <v>0</v>
      </c>
      <c r="F1317" s="193" t="s">
        <v>493</v>
      </c>
      <c r="G1317" s="193" t="s">
        <v>493</v>
      </c>
      <c r="H1317" s="194"/>
      <c r="I1317" s="194"/>
      <c r="J1317" s="195" t="str">
        <f>'Supply chain'!B46</f>
        <v>Manufacturing</v>
      </c>
      <c r="K1317" s="194"/>
      <c r="L1317" s="194"/>
      <c r="M1317" s="195" t="str">
        <f>'Supply chain'!C46</f>
        <v>25OTHER</v>
      </c>
      <c r="N1317" s="195" t="str">
        <f>'Supply chain'!D46</f>
        <v xml:space="preserve">Fabricated metal products, excl. machinery and equipment and weapons &amp; ammunition - 25.1-3/25.5-9   </v>
      </c>
      <c r="O1317" s="194"/>
      <c r="P1317" s="195" t="str">
        <f>'Supply chain'!E46</f>
        <v>Tier 1</v>
      </c>
      <c r="Q1317" s="195">
        <f>'Supply chain'!F46</f>
        <v>0.25</v>
      </c>
      <c r="R1317" s="195">
        <f>'Supply chain'!G46</f>
        <v>0</v>
      </c>
      <c r="S1317" s="195" t="str">
        <f>'Supply chain'!H46</f>
        <v>£</v>
      </c>
      <c r="T1317" s="195">
        <f>'Supply chain'!I46</f>
        <v>0</v>
      </c>
      <c r="U1317" s="195" t="str">
        <f>'Supply chain'!J46</f>
        <v>£</v>
      </c>
      <c r="V1317" s="195">
        <f>'Supply chain'!K46</f>
        <v>0.57534498868529693</v>
      </c>
      <c r="W1317" s="195" t="str">
        <f>'Supply chain'!L46</f>
        <v/>
      </c>
      <c r="X1317" s="193">
        <f>'Supply chain'!M46</f>
        <v>0</v>
      </c>
      <c r="Y1317" s="195">
        <f>'Supply chain'!N46</f>
        <v>0</v>
      </c>
      <c r="Z1317" s="195">
        <f>'Supply chain'!O46</f>
        <v>0</v>
      </c>
      <c r="AA1317" s="195">
        <f>'Supply chain'!P46</f>
        <v>0</v>
      </c>
      <c r="AB1317" s="195">
        <f>'Supply chain'!Q46</f>
        <v>0</v>
      </c>
      <c r="AC1317" s="195">
        <f>'Supply chain'!R46</f>
        <v>0</v>
      </c>
      <c r="AD1317" s="195">
        <f>'Supply chain'!S46</f>
        <v>0</v>
      </c>
      <c r="AE1317" s="195">
        <f>'Supply chain'!T46</f>
        <v>0</v>
      </c>
      <c r="AF1317" s="195">
        <f>'Supply chain'!U46</f>
        <v>0</v>
      </c>
      <c r="AG1317" s="195">
        <f>'Supply chain'!V46</f>
        <v>0</v>
      </c>
      <c r="AI1317" s="193">
        <f t="shared" si="28"/>
        <v>0</v>
      </c>
      <c r="AJ1317" s="193">
        <f t="shared" si="29"/>
        <v>0</v>
      </c>
    </row>
    <row r="1318" spans="2:36" x14ac:dyDescent="0.35">
      <c r="B1318" s="193" t="e">
        <f>"2024"&amp;MATCH(Totals!D1318,OrgType,0)&amp;"_"&amp;MATCH(Totals!E1318,Organisations,0)&amp;"_"&amp;LEFT(Totals!F1318,1)&amp;"_"&amp;LEFT(G1318,1)&amp;"_"&amp;COUNTIF($G$3:G1318,G1318)</f>
        <v>#N/A</v>
      </c>
      <c r="C1318" s="193">
        <v>2025</v>
      </c>
      <c r="D1318" s="193">
        <f>Introduction!$D$7</f>
        <v>0</v>
      </c>
      <c r="E1318" s="193">
        <f>Introduction!$D$8</f>
        <v>0</v>
      </c>
      <c r="F1318" s="193" t="s">
        <v>493</v>
      </c>
      <c r="G1318" s="193" t="s">
        <v>493</v>
      </c>
      <c r="H1318" s="194"/>
      <c r="I1318" s="194"/>
      <c r="J1318" s="195" t="str">
        <f>'Supply chain'!B47</f>
        <v>Manufacturing</v>
      </c>
      <c r="K1318" s="194"/>
      <c r="L1318" s="194"/>
      <c r="M1318" s="195">
        <f>'Supply chain'!C47</f>
        <v>26</v>
      </c>
      <c r="N1318" s="195" t="str">
        <f>'Supply chain'!D47</f>
        <v xml:space="preserve">Computer, electronic and optical products           </v>
      </c>
      <c r="O1318" s="194"/>
      <c r="P1318" s="195" t="str">
        <f>'Supply chain'!E47</f>
        <v>Tier 1</v>
      </c>
      <c r="Q1318" s="195">
        <f>'Supply chain'!F47</f>
        <v>0.25</v>
      </c>
      <c r="R1318" s="195">
        <f>'Supply chain'!G47</f>
        <v>0</v>
      </c>
      <c r="S1318" s="195" t="str">
        <f>'Supply chain'!H47</f>
        <v>£</v>
      </c>
      <c r="T1318" s="195">
        <f>'Supply chain'!I47</f>
        <v>0</v>
      </c>
      <c r="U1318" s="195" t="str">
        <f>'Supply chain'!J47</f>
        <v>£</v>
      </c>
      <c r="V1318" s="195">
        <f>'Supply chain'!K47</f>
        <v>0.40382257169492702</v>
      </c>
      <c r="W1318" s="195" t="str">
        <f>'Supply chain'!L47</f>
        <v/>
      </c>
      <c r="X1318" s="193">
        <f>'Supply chain'!M47</f>
        <v>0</v>
      </c>
      <c r="Y1318" s="195">
        <f>'Supply chain'!N47</f>
        <v>0</v>
      </c>
      <c r="Z1318" s="195">
        <f>'Supply chain'!O47</f>
        <v>0</v>
      </c>
      <c r="AA1318" s="195">
        <f>'Supply chain'!P47</f>
        <v>0</v>
      </c>
      <c r="AB1318" s="195">
        <f>'Supply chain'!Q47</f>
        <v>0</v>
      </c>
      <c r="AC1318" s="195">
        <f>'Supply chain'!R47</f>
        <v>0</v>
      </c>
      <c r="AD1318" s="195">
        <f>'Supply chain'!S47</f>
        <v>0</v>
      </c>
      <c r="AE1318" s="195">
        <f>'Supply chain'!T47</f>
        <v>0</v>
      </c>
      <c r="AF1318" s="195">
        <f>'Supply chain'!U47</f>
        <v>0</v>
      </c>
      <c r="AG1318" s="195">
        <f>'Supply chain'!V47</f>
        <v>0</v>
      </c>
      <c r="AI1318" s="193">
        <f t="shared" si="28"/>
        <v>0</v>
      </c>
      <c r="AJ1318" s="193">
        <f t="shared" si="29"/>
        <v>0</v>
      </c>
    </row>
    <row r="1319" spans="2:36" x14ac:dyDescent="0.35">
      <c r="B1319" s="193" t="e">
        <f>"2024"&amp;MATCH(Totals!D1319,OrgType,0)&amp;"_"&amp;MATCH(Totals!E1319,Organisations,0)&amp;"_"&amp;LEFT(Totals!F1319,1)&amp;"_"&amp;LEFT(G1319,1)&amp;"_"&amp;COUNTIF($G$3:G1319,G1319)</f>
        <v>#N/A</v>
      </c>
      <c r="C1319" s="193">
        <v>2025</v>
      </c>
      <c r="D1319" s="193">
        <f>Introduction!$D$7</f>
        <v>0</v>
      </c>
      <c r="E1319" s="193">
        <f>Introduction!$D$8</f>
        <v>0</v>
      </c>
      <c r="F1319" s="193" t="s">
        <v>493</v>
      </c>
      <c r="G1319" s="193" t="s">
        <v>493</v>
      </c>
      <c r="H1319" s="194"/>
      <c r="I1319" s="194"/>
      <c r="J1319" s="195" t="str">
        <f>'Supply chain'!B48</f>
        <v>Manufacturing</v>
      </c>
      <c r="K1319" s="194"/>
      <c r="L1319" s="194"/>
      <c r="M1319" s="195">
        <f>'Supply chain'!C48</f>
        <v>27</v>
      </c>
      <c r="N1319" s="195" t="str">
        <f>'Supply chain'!D48</f>
        <v xml:space="preserve">Electrical equipment              </v>
      </c>
      <c r="O1319" s="194"/>
      <c r="P1319" s="195" t="str">
        <f>'Supply chain'!E48</f>
        <v>Tier 1</v>
      </c>
      <c r="Q1319" s="195">
        <f>'Supply chain'!F48</f>
        <v>0.25</v>
      </c>
      <c r="R1319" s="195">
        <f>'Supply chain'!G48</f>
        <v>0</v>
      </c>
      <c r="S1319" s="195" t="str">
        <f>'Supply chain'!H48</f>
        <v>£</v>
      </c>
      <c r="T1319" s="195">
        <f>'Supply chain'!I48</f>
        <v>0</v>
      </c>
      <c r="U1319" s="195" t="str">
        <f>'Supply chain'!J48</f>
        <v>£</v>
      </c>
      <c r="V1319" s="195">
        <f>'Supply chain'!K48</f>
        <v>0.43780857510374321</v>
      </c>
      <c r="W1319" s="195" t="str">
        <f>'Supply chain'!L48</f>
        <v/>
      </c>
      <c r="X1319" s="193">
        <f>'Supply chain'!M48</f>
        <v>0</v>
      </c>
      <c r="Y1319" s="195">
        <f>'Supply chain'!N48</f>
        <v>0</v>
      </c>
      <c r="Z1319" s="195">
        <f>'Supply chain'!O48</f>
        <v>0</v>
      </c>
      <c r="AA1319" s="195">
        <f>'Supply chain'!P48</f>
        <v>0</v>
      </c>
      <c r="AB1319" s="195">
        <f>'Supply chain'!Q48</f>
        <v>0</v>
      </c>
      <c r="AC1319" s="195">
        <f>'Supply chain'!R48</f>
        <v>0</v>
      </c>
      <c r="AD1319" s="195">
        <f>'Supply chain'!S48</f>
        <v>0</v>
      </c>
      <c r="AE1319" s="195">
        <f>'Supply chain'!T48</f>
        <v>0</v>
      </c>
      <c r="AF1319" s="195">
        <f>'Supply chain'!U48</f>
        <v>0</v>
      </c>
      <c r="AG1319" s="195">
        <f>'Supply chain'!V48</f>
        <v>0</v>
      </c>
      <c r="AI1319" s="193">
        <f t="shared" si="28"/>
        <v>0</v>
      </c>
      <c r="AJ1319" s="193">
        <f t="shared" si="29"/>
        <v>0</v>
      </c>
    </row>
    <row r="1320" spans="2:36" x14ac:dyDescent="0.35">
      <c r="B1320" s="193" t="e">
        <f>"2024"&amp;MATCH(Totals!D1320,OrgType,0)&amp;"_"&amp;MATCH(Totals!E1320,Organisations,0)&amp;"_"&amp;LEFT(Totals!F1320,1)&amp;"_"&amp;LEFT(G1320,1)&amp;"_"&amp;COUNTIF($G$3:G1320,G1320)</f>
        <v>#N/A</v>
      </c>
      <c r="C1320" s="193">
        <v>2025</v>
      </c>
      <c r="D1320" s="193">
        <f>Introduction!$D$7</f>
        <v>0</v>
      </c>
      <c r="E1320" s="193">
        <f>Introduction!$D$8</f>
        <v>0</v>
      </c>
      <c r="F1320" s="193" t="s">
        <v>493</v>
      </c>
      <c r="G1320" s="193" t="s">
        <v>493</v>
      </c>
      <c r="H1320" s="194"/>
      <c r="I1320" s="194"/>
      <c r="J1320" s="195" t="str">
        <f>'Supply chain'!B49</f>
        <v>Manufacturing</v>
      </c>
      <c r="K1320" s="194"/>
      <c r="L1320" s="194"/>
      <c r="M1320" s="195">
        <f>'Supply chain'!C49</f>
        <v>28</v>
      </c>
      <c r="N1320" s="195" t="str">
        <f>'Supply chain'!D49</f>
        <v xml:space="preserve">Machinery and equipment n.e.c.            </v>
      </c>
      <c r="O1320" s="194"/>
      <c r="P1320" s="195" t="str">
        <f>'Supply chain'!E49</f>
        <v>Tier 1</v>
      </c>
      <c r="Q1320" s="195">
        <f>'Supply chain'!F49</f>
        <v>0.25</v>
      </c>
      <c r="R1320" s="195">
        <f>'Supply chain'!G49</f>
        <v>0</v>
      </c>
      <c r="S1320" s="195" t="str">
        <f>'Supply chain'!H49</f>
        <v>£</v>
      </c>
      <c r="T1320" s="195">
        <f>'Supply chain'!I49</f>
        <v>0</v>
      </c>
      <c r="U1320" s="195" t="str">
        <f>'Supply chain'!J49</f>
        <v>£</v>
      </c>
      <c r="V1320" s="195">
        <f>'Supply chain'!K49</f>
        <v>0.44526769078096418</v>
      </c>
      <c r="W1320" s="195" t="str">
        <f>'Supply chain'!L49</f>
        <v/>
      </c>
      <c r="X1320" s="193">
        <f>'Supply chain'!M49</f>
        <v>0</v>
      </c>
      <c r="Y1320" s="195">
        <f>'Supply chain'!N49</f>
        <v>0</v>
      </c>
      <c r="Z1320" s="195">
        <f>'Supply chain'!O49</f>
        <v>0</v>
      </c>
      <c r="AA1320" s="195">
        <f>'Supply chain'!P49</f>
        <v>0</v>
      </c>
      <c r="AB1320" s="195">
        <f>'Supply chain'!Q49</f>
        <v>0</v>
      </c>
      <c r="AC1320" s="195">
        <f>'Supply chain'!R49</f>
        <v>0</v>
      </c>
      <c r="AD1320" s="195">
        <f>'Supply chain'!S49</f>
        <v>0</v>
      </c>
      <c r="AE1320" s="195">
        <f>'Supply chain'!T49</f>
        <v>0</v>
      </c>
      <c r="AF1320" s="195">
        <f>'Supply chain'!U49</f>
        <v>0</v>
      </c>
      <c r="AG1320" s="195">
        <f>'Supply chain'!V49</f>
        <v>0</v>
      </c>
      <c r="AI1320" s="193">
        <f t="shared" si="28"/>
        <v>0</v>
      </c>
      <c r="AJ1320" s="193">
        <f t="shared" si="29"/>
        <v>0</v>
      </c>
    </row>
    <row r="1321" spans="2:36" x14ac:dyDescent="0.35">
      <c r="B1321" s="193" t="e">
        <f>"2024"&amp;MATCH(Totals!D1321,OrgType,0)&amp;"_"&amp;MATCH(Totals!E1321,Organisations,0)&amp;"_"&amp;LEFT(Totals!F1321,1)&amp;"_"&amp;LEFT(G1321,1)&amp;"_"&amp;COUNTIF($G$3:G1321,G1321)</f>
        <v>#N/A</v>
      </c>
      <c r="C1321" s="193">
        <v>2025</v>
      </c>
      <c r="D1321" s="193">
        <f>Introduction!$D$7</f>
        <v>0</v>
      </c>
      <c r="E1321" s="193">
        <f>Introduction!$D$8</f>
        <v>0</v>
      </c>
      <c r="F1321" s="193" t="s">
        <v>493</v>
      </c>
      <c r="G1321" s="193" t="s">
        <v>493</v>
      </c>
      <c r="H1321" s="194"/>
      <c r="I1321" s="194"/>
      <c r="J1321" s="195" t="str">
        <f>'Supply chain'!B50</f>
        <v>Manufacturing</v>
      </c>
      <c r="K1321" s="194"/>
      <c r="L1321" s="194"/>
      <c r="M1321" s="195">
        <f>'Supply chain'!C50</f>
        <v>29</v>
      </c>
      <c r="N1321" s="195" t="str">
        <f>'Supply chain'!D50</f>
        <v xml:space="preserve">Motor vehicles, trailers and semi-trailers           </v>
      </c>
      <c r="O1321" s="194"/>
      <c r="P1321" s="195" t="str">
        <f>'Supply chain'!E50</f>
        <v>Tier 1</v>
      </c>
      <c r="Q1321" s="195">
        <f>'Supply chain'!F50</f>
        <v>0.25</v>
      </c>
      <c r="R1321" s="195">
        <f>'Supply chain'!G50</f>
        <v>0</v>
      </c>
      <c r="S1321" s="195" t="str">
        <f>'Supply chain'!H50</f>
        <v>£</v>
      </c>
      <c r="T1321" s="195">
        <f>'Supply chain'!I50</f>
        <v>0</v>
      </c>
      <c r="U1321" s="195" t="str">
        <f>'Supply chain'!J50</f>
        <v>£</v>
      </c>
      <c r="V1321" s="195">
        <f>'Supply chain'!K50</f>
        <v>0.41640097039291529</v>
      </c>
      <c r="W1321" s="195" t="str">
        <f>'Supply chain'!L50</f>
        <v/>
      </c>
      <c r="X1321" s="193">
        <f>'Supply chain'!M50</f>
        <v>0</v>
      </c>
      <c r="Y1321" s="195">
        <f>'Supply chain'!N50</f>
        <v>0</v>
      </c>
      <c r="Z1321" s="195">
        <f>'Supply chain'!O50</f>
        <v>0</v>
      </c>
      <c r="AA1321" s="195">
        <f>'Supply chain'!P50</f>
        <v>0</v>
      </c>
      <c r="AB1321" s="195">
        <f>'Supply chain'!Q50</f>
        <v>0</v>
      </c>
      <c r="AC1321" s="195">
        <f>'Supply chain'!R50</f>
        <v>0</v>
      </c>
      <c r="AD1321" s="195">
        <f>'Supply chain'!S50</f>
        <v>0</v>
      </c>
      <c r="AE1321" s="195">
        <f>'Supply chain'!T50</f>
        <v>0</v>
      </c>
      <c r="AF1321" s="195">
        <f>'Supply chain'!U50</f>
        <v>0</v>
      </c>
      <c r="AG1321" s="195">
        <f>'Supply chain'!V50</f>
        <v>0</v>
      </c>
      <c r="AI1321" s="193">
        <f t="shared" si="28"/>
        <v>0</v>
      </c>
      <c r="AJ1321" s="193">
        <f t="shared" si="29"/>
        <v>0</v>
      </c>
    </row>
    <row r="1322" spans="2:36" x14ac:dyDescent="0.35">
      <c r="B1322" s="193" t="e">
        <f>"2024"&amp;MATCH(Totals!D1322,OrgType,0)&amp;"_"&amp;MATCH(Totals!E1322,Organisations,0)&amp;"_"&amp;LEFT(Totals!F1322,1)&amp;"_"&amp;LEFT(G1322,1)&amp;"_"&amp;COUNTIF($G$3:G1322,G1322)</f>
        <v>#N/A</v>
      </c>
      <c r="C1322" s="193">
        <v>2025</v>
      </c>
      <c r="D1322" s="193">
        <f>Introduction!$D$7</f>
        <v>0</v>
      </c>
      <c r="E1322" s="193">
        <f>Introduction!$D$8</f>
        <v>0</v>
      </c>
      <c r="F1322" s="193" t="s">
        <v>493</v>
      </c>
      <c r="G1322" s="193" t="s">
        <v>493</v>
      </c>
      <c r="H1322" s="194"/>
      <c r="I1322" s="194"/>
      <c r="J1322" s="195" t="str">
        <f>'Supply chain'!B51</f>
        <v>Manufacturing</v>
      </c>
      <c r="K1322" s="194"/>
      <c r="L1322" s="194"/>
      <c r="M1322" s="195">
        <f>'Supply chain'!C51</f>
        <v>30.1</v>
      </c>
      <c r="N1322" s="195" t="str">
        <f>'Supply chain'!D51</f>
        <v xml:space="preserve">Ships and boats             </v>
      </c>
      <c r="O1322" s="194"/>
      <c r="P1322" s="195" t="str">
        <f>'Supply chain'!E51</f>
        <v>Tier 1</v>
      </c>
      <c r="Q1322" s="195">
        <f>'Supply chain'!F51</f>
        <v>0.25</v>
      </c>
      <c r="R1322" s="195">
        <f>'Supply chain'!G51</f>
        <v>0</v>
      </c>
      <c r="S1322" s="195" t="str">
        <f>'Supply chain'!H51</f>
        <v>£</v>
      </c>
      <c r="T1322" s="195">
        <f>'Supply chain'!I51</f>
        <v>0</v>
      </c>
      <c r="U1322" s="195" t="str">
        <f>'Supply chain'!J51</f>
        <v>£</v>
      </c>
      <c r="V1322" s="195">
        <f>'Supply chain'!K51</f>
        <v>0.30260577091272051</v>
      </c>
      <c r="W1322" s="195" t="str">
        <f>'Supply chain'!L51</f>
        <v/>
      </c>
      <c r="X1322" s="193">
        <f>'Supply chain'!M51</f>
        <v>0</v>
      </c>
      <c r="Y1322" s="195">
        <f>'Supply chain'!N51</f>
        <v>0</v>
      </c>
      <c r="Z1322" s="195">
        <f>'Supply chain'!O51</f>
        <v>0</v>
      </c>
      <c r="AA1322" s="195">
        <f>'Supply chain'!P51</f>
        <v>0</v>
      </c>
      <c r="AB1322" s="195">
        <f>'Supply chain'!Q51</f>
        <v>0</v>
      </c>
      <c r="AC1322" s="195">
        <f>'Supply chain'!R51</f>
        <v>0</v>
      </c>
      <c r="AD1322" s="195">
        <f>'Supply chain'!S51</f>
        <v>0</v>
      </c>
      <c r="AE1322" s="195">
        <f>'Supply chain'!T51</f>
        <v>0</v>
      </c>
      <c r="AF1322" s="195">
        <f>'Supply chain'!U51</f>
        <v>0</v>
      </c>
      <c r="AG1322" s="195">
        <f>'Supply chain'!V51</f>
        <v>0</v>
      </c>
      <c r="AI1322" s="193">
        <f t="shared" si="28"/>
        <v>0</v>
      </c>
      <c r="AJ1322" s="193">
        <f t="shared" si="29"/>
        <v>0</v>
      </c>
    </row>
    <row r="1323" spans="2:36" x14ac:dyDescent="0.35">
      <c r="B1323" s="193" t="e">
        <f>"2024"&amp;MATCH(Totals!D1323,OrgType,0)&amp;"_"&amp;MATCH(Totals!E1323,Organisations,0)&amp;"_"&amp;LEFT(Totals!F1323,1)&amp;"_"&amp;LEFT(G1323,1)&amp;"_"&amp;COUNTIF($G$3:G1323,G1323)</f>
        <v>#N/A</v>
      </c>
      <c r="C1323" s="193">
        <v>2025</v>
      </c>
      <c r="D1323" s="193">
        <f>Introduction!$D$7</f>
        <v>0</v>
      </c>
      <c r="E1323" s="193">
        <f>Introduction!$D$8</f>
        <v>0</v>
      </c>
      <c r="F1323" s="193" t="s">
        <v>493</v>
      </c>
      <c r="G1323" s="193" t="s">
        <v>493</v>
      </c>
      <c r="H1323" s="194"/>
      <c r="I1323" s="194"/>
      <c r="J1323" s="195" t="str">
        <f>'Supply chain'!B52</f>
        <v>Manufacturing</v>
      </c>
      <c r="K1323" s="194"/>
      <c r="L1323" s="194"/>
      <c r="M1323" s="195">
        <f>'Supply chain'!C52</f>
        <v>30.3</v>
      </c>
      <c r="N1323" s="195" t="str">
        <f>'Supply chain'!D52</f>
        <v xml:space="preserve">Air and spacecraft and related machinery          </v>
      </c>
      <c r="O1323" s="194"/>
      <c r="P1323" s="195" t="str">
        <f>'Supply chain'!E52</f>
        <v>Tier 1</v>
      </c>
      <c r="Q1323" s="195">
        <f>'Supply chain'!F52</f>
        <v>0.25</v>
      </c>
      <c r="R1323" s="195">
        <f>'Supply chain'!G52</f>
        <v>0</v>
      </c>
      <c r="S1323" s="195" t="str">
        <f>'Supply chain'!H52</f>
        <v>£</v>
      </c>
      <c r="T1323" s="195">
        <f>'Supply chain'!I52</f>
        <v>0</v>
      </c>
      <c r="U1323" s="195" t="str">
        <f>'Supply chain'!J52</f>
        <v>£</v>
      </c>
      <c r="V1323" s="195">
        <f>'Supply chain'!K52</f>
        <v>0.42651050718342648</v>
      </c>
      <c r="W1323" s="195" t="str">
        <f>'Supply chain'!L52</f>
        <v/>
      </c>
      <c r="X1323" s="193">
        <f>'Supply chain'!M52</f>
        <v>0</v>
      </c>
      <c r="Y1323" s="195">
        <f>'Supply chain'!N52</f>
        <v>0</v>
      </c>
      <c r="Z1323" s="195">
        <f>'Supply chain'!O52</f>
        <v>0</v>
      </c>
      <c r="AA1323" s="195">
        <f>'Supply chain'!P52</f>
        <v>0</v>
      </c>
      <c r="AB1323" s="195">
        <f>'Supply chain'!Q52</f>
        <v>0</v>
      </c>
      <c r="AC1323" s="195">
        <f>'Supply chain'!R52</f>
        <v>0</v>
      </c>
      <c r="AD1323" s="195">
        <f>'Supply chain'!S52</f>
        <v>0</v>
      </c>
      <c r="AE1323" s="195">
        <f>'Supply chain'!T52</f>
        <v>0</v>
      </c>
      <c r="AF1323" s="195">
        <f>'Supply chain'!U52</f>
        <v>0</v>
      </c>
      <c r="AG1323" s="195">
        <f>'Supply chain'!V52</f>
        <v>0</v>
      </c>
      <c r="AI1323" s="193">
        <f t="shared" si="28"/>
        <v>0</v>
      </c>
      <c r="AJ1323" s="193">
        <f t="shared" si="29"/>
        <v>0</v>
      </c>
    </row>
    <row r="1324" spans="2:36" x14ac:dyDescent="0.35">
      <c r="B1324" s="193" t="e">
        <f>"2024"&amp;MATCH(Totals!D1324,OrgType,0)&amp;"_"&amp;MATCH(Totals!E1324,Organisations,0)&amp;"_"&amp;LEFT(Totals!F1324,1)&amp;"_"&amp;LEFT(G1324,1)&amp;"_"&amp;COUNTIF($G$3:G1324,G1324)</f>
        <v>#N/A</v>
      </c>
      <c r="C1324" s="193">
        <v>2025</v>
      </c>
      <c r="D1324" s="193">
        <f>Introduction!$D$7</f>
        <v>0</v>
      </c>
      <c r="E1324" s="193">
        <f>Introduction!$D$8</f>
        <v>0</v>
      </c>
      <c r="F1324" s="193" t="s">
        <v>493</v>
      </c>
      <c r="G1324" s="193" t="s">
        <v>493</v>
      </c>
      <c r="H1324" s="194"/>
      <c r="I1324" s="194"/>
      <c r="J1324" s="195" t="str">
        <f>'Supply chain'!B53</f>
        <v>Manufacturing</v>
      </c>
      <c r="K1324" s="194"/>
      <c r="L1324" s="194"/>
      <c r="M1324" s="195" t="str">
        <f>'Supply chain'!C53</f>
        <v>30OTHER</v>
      </c>
      <c r="N1324" s="195" t="str">
        <f>'Supply chain'!D53</f>
        <v xml:space="preserve">Other transport equipment - 30.2/4/9           </v>
      </c>
      <c r="O1324" s="194"/>
      <c r="P1324" s="195" t="str">
        <f>'Supply chain'!E53</f>
        <v>Tier 1</v>
      </c>
      <c r="Q1324" s="195">
        <f>'Supply chain'!F53</f>
        <v>0.25</v>
      </c>
      <c r="R1324" s="195">
        <f>'Supply chain'!G53</f>
        <v>0</v>
      </c>
      <c r="S1324" s="195" t="str">
        <f>'Supply chain'!H53</f>
        <v>£</v>
      </c>
      <c r="T1324" s="195">
        <f>'Supply chain'!I53</f>
        <v>0</v>
      </c>
      <c r="U1324" s="195" t="str">
        <f>'Supply chain'!J53</f>
        <v>£</v>
      </c>
      <c r="V1324" s="195">
        <f>'Supply chain'!K53</f>
        <v>0.33606028914104491</v>
      </c>
      <c r="W1324" s="195" t="str">
        <f>'Supply chain'!L53</f>
        <v/>
      </c>
      <c r="X1324" s="193">
        <f>'Supply chain'!M53</f>
        <v>0</v>
      </c>
      <c r="Y1324" s="195">
        <f>'Supply chain'!N53</f>
        <v>0</v>
      </c>
      <c r="Z1324" s="195">
        <f>'Supply chain'!O53</f>
        <v>0</v>
      </c>
      <c r="AA1324" s="195">
        <f>'Supply chain'!P53</f>
        <v>0</v>
      </c>
      <c r="AB1324" s="195">
        <f>'Supply chain'!Q53</f>
        <v>0</v>
      </c>
      <c r="AC1324" s="195">
        <f>'Supply chain'!R53</f>
        <v>0</v>
      </c>
      <c r="AD1324" s="195">
        <f>'Supply chain'!S53</f>
        <v>0</v>
      </c>
      <c r="AE1324" s="195">
        <f>'Supply chain'!T53</f>
        <v>0</v>
      </c>
      <c r="AF1324" s="195">
        <f>'Supply chain'!U53</f>
        <v>0</v>
      </c>
      <c r="AG1324" s="195">
        <f>'Supply chain'!V53</f>
        <v>0</v>
      </c>
      <c r="AI1324" s="193">
        <f t="shared" si="28"/>
        <v>0</v>
      </c>
      <c r="AJ1324" s="193">
        <f t="shared" si="29"/>
        <v>0</v>
      </c>
    </row>
    <row r="1325" spans="2:36" x14ac:dyDescent="0.35">
      <c r="B1325" s="193" t="e">
        <f>"2024"&amp;MATCH(Totals!D1325,OrgType,0)&amp;"_"&amp;MATCH(Totals!E1325,Organisations,0)&amp;"_"&amp;LEFT(Totals!F1325,1)&amp;"_"&amp;LEFT(G1325,1)&amp;"_"&amp;COUNTIF($G$3:G1325,G1325)</f>
        <v>#N/A</v>
      </c>
      <c r="C1325" s="193">
        <v>2025</v>
      </c>
      <c r="D1325" s="193">
        <f>Introduction!$D$7</f>
        <v>0</v>
      </c>
      <c r="E1325" s="193">
        <f>Introduction!$D$8</f>
        <v>0</v>
      </c>
      <c r="F1325" s="193" t="s">
        <v>493</v>
      </c>
      <c r="G1325" s="193" t="s">
        <v>493</v>
      </c>
      <c r="H1325" s="194"/>
      <c r="I1325" s="194"/>
      <c r="J1325" s="195" t="str">
        <f>'Supply chain'!B54</f>
        <v>Manufacturing</v>
      </c>
      <c r="K1325" s="194"/>
      <c r="L1325" s="194"/>
      <c r="M1325" s="195">
        <f>'Supply chain'!C54</f>
        <v>31</v>
      </c>
      <c r="N1325" s="195" t="str">
        <f>'Supply chain'!D54</f>
        <v xml:space="preserve">Furniture               </v>
      </c>
      <c r="O1325" s="194"/>
      <c r="P1325" s="195" t="str">
        <f>'Supply chain'!E54</f>
        <v>Tier 1</v>
      </c>
      <c r="Q1325" s="195">
        <f>'Supply chain'!F54</f>
        <v>0.25</v>
      </c>
      <c r="R1325" s="195">
        <f>'Supply chain'!G54</f>
        <v>0</v>
      </c>
      <c r="S1325" s="195" t="str">
        <f>'Supply chain'!H54</f>
        <v>£</v>
      </c>
      <c r="T1325" s="195">
        <f>'Supply chain'!I54</f>
        <v>0</v>
      </c>
      <c r="U1325" s="195" t="str">
        <f>'Supply chain'!J54</f>
        <v>£</v>
      </c>
      <c r="V1325" s="195">
        <f>'Supply chain'!K54</f>
        <v>0.45679612072606363</v>
      </c>
      <c r="W1325" s="195" t="str">
        <f>'Supply chain'!L54</f>
        <v/>
      </c>
      <c r="X1325" s="193">
        <f>'Supply chain'!M54</f>
        <v>0</v>
      </c>
      <c r="Y1325" s="195">
        <f>'Supply chain'!N54</f>
        <v>0</v>
      </c>
      <c r="Z1325" s="195">
        <f>'Supply chain'!O54</f>
        <v>0</v>
      </c>
      <c r="AA1325" s="195">
        <f>'Supply chain'!P54</f>
        <v>0</v>
      </c>
      <c r="AB1325" s="195">
        <f>'Supply chain'!Q54</f>
        <v>0</v>
      </c>
      <c r="AC1325" s="195">
        <f>'Supply chain'!R54</f>
        <v>0</v>
      </c>
      <c r="AD1325" s="195">
        <f>'Supply chain'!S54</f>
        <v>0</v>
      </c>
      <c r="AE1325" s="195">
        <f>'Supply chain'!T54</f>
        <v>0</v>
      </c>
      <c r="AF1325" s="195">
        <f>'Supply chain'!U54</f>
        <v>0</v>
      </c>
      <c r="AG1325" s="195">
        <f>'Supply chain'!V54</f>
        <v>0</v>
      </c>
      <c r="AI1325" s="193">
        <f t="shared" si="28"/>
        <v>0</v>
      </c>
      <c r="AJ1325" s="193">
        <f t="shared" si="29"/>
        <v>0</v>
      </c>
    </row>
    <row r="1326" spans="2:36" x14ac:dyDescent="0.35">
      <c r="B1326" s="193" t="e">
        <f>"2024"&amp;MATCH(Totals!D1326,OrgType,0)&amp;"_"&amp;MATCH(Totals!E1326,Organisations,0)&amp;"_"&amp;LEFT(Totals!F1326,1)&amp;"_"&amp;LEFT(G1326,1)&amp;"_"&amp;COUNTIF($G$3:G1326,G1326)</f>
        <v>#N/A</v>
      </c>
      <c r="C1326" s="193">
        <v>2025</v>
      </c>
      <c r="D1326" s="193">
        <f>Introduction!$D$7</f>
        <v>0</v>
      </c>
      <c r="E1326" s="193">
        <f>Introduction!$D$8</f>
        <v>0</v>
      </c>
      <c r="F1326" s="193" t="s">
        <v>493</v>
      </c>
      <c r="G1326" s="193" t="s">
        <v>493</v>
      </c>
      <c r="H1326" s="194"/>
      <c r="I1326" s="194"/>
      <c r="J1326" s="195" t="str">
        <f>'Supply chain'!B55</f>
        <v>Manufacturing</v>
      </c>
      <c r="K1326" s="194"/>
      <c r="L1326" s="194"/>
      <c r="M1326" s="195">
        <f>'Supply chain'!C55</f>
        <v>32</v>
      </c>
      <c r="N1326" s="195" t="str">
        <f>'Supply chain'!D55</f>
        <v xml:space="preserve">Other manufactured goods             </v>
      </c>
      <c r="O1326" s="194"/>
      <c r="P1326" s="195" t="str">
        <f>'Supply chain'!E55</f>
        <v>Tier 1</v>
      </c>
      <c r="Q1326" s="195">
        <f>'Supply chain'!F55</f>
        <v>0.25</v>
      </c>
      <c r="R1326" s="195">
        <f>'Supply chain'!G55</f>
        <v>0</v>
      </c>
      <c r="S1326" s="195" t="str">
        <f>'Supply chain'!H55</f>
        <v>£</v>
      </c>
      <c r="T1326" s="195">
        <f>'Supply chain'!I55</f>
        <v>0</v>
      </c>
      <c r="U1326" s="195" t="str">
        <f>'Supply chain'!J55</f>
        <v>£</v>
      </c>
      <c r="V1326" s="195">
        <f>'Supply chain'!K55</f>
        <v>0.61684143557441951</v>
      </c>
      <c r="W1326" s="195" t="str">
        <f>'Supply chain'!L55</f>
        <v/>
      </c>
      <c r="X1326" s="193">
        <f>'Supply chain'!M55</f>
        <v>0</v>
      </c>
      <c r="Y1326" s="195">
        <f>'Supply chain'!N55</f>
        <v>0</v>
      </c>
      <c r="Z1326" s="195">
        <f>'Supply chain'!O55</f>
        <v>0</v>
      </c>
      <c r="AA1326" s="195">
        <f>'Supply chain'!P55</f>
        <v>0</v>
      </c>
      <c r="AB1326" s="195">
        <f>'Supply chain'!Q55</f>
        <v>0</v>
      </c>
      <c r="AC1326" s="195">
        <f>'Supply chain'!R55</f>
        <v>0</v>
      </c>
      <c r="AD1326" s="195">
        <f>'Supply chain'!S55</f>
        <v>0</v>
      </c>
      <c r="AE1326" s="195">
        <f>'Supply chain'!T55</f>
        <v>0</v>
      </c>
      <c r="AF1326" s="195">
        <f>'Supply chain'!U55</f>
        <v>0</v>
      </c>
      <c r="AG1326" s="195">
        <f>'Supply chain'!V55</f>
        <v>0</v>
      </c>
      <c r="AI1326" s="193">
        <f t="shared" si="28"/>
        <v>0</v>
      </c>
      <c r="AJ1326" s="193">
        <f t="shared" si="29"/>
        <v>0</v>
      </c>
    </row>
    <row r="1327" spans="2:36" x14ac:dyDescent="0.35">
      <c r="B1327" s="193" t="e">
        <f>"2024"&amp;MATCH(Totals!D1327,OrgType,0)&amp;"_"&amp;MATCH(Totals!E1327,Organisations,0)&amp;"_"&amp;LEFT(Totals!F1327,1)&amp;"_"&amp;LEFT(G1327,1)&amp;"_"&amp;COUNTIF($G$3:G1327,G1327)</f>
        <v>#N/A</v>
      </c>
      <c r="C1327" s="193">
        <v>2025</v>
      </c>
      <c r="D1327" s="193">
        <f>Introduction!$D$7</f>
        <v>0</v>
      </c>
      <c r="E1327" s="193">
        <f>Introduction!$D$8</f>
        <v>0</v>
      </c>
      <c r="F1327" s="193" t="s">
        <v>493</v>
      </c>
      <c r="G1327" s="193" t="s">
        <v>493</v>
      </c>
      <c r="H1327" s="194"/>
      <c r="I1327" s="194"/>
      <c r="J1327" s="195" t="str">
        <f>'Supply chain'!B56</f>
        <v>Manufacturing</v>
      </c>
      <c r="K1327" s="194"/>
      <c r="L1327" s="194"/>
      <c r="M1327" s="195">
        <f>'Supply chain'!C56</f>
        <v>33.15</v>
      </c>
      <c r="N1327" s="195" t="str">
        <f>'Supply chain'!D56</f>
        <v xml:space="preserve">Repair and maintenance of ships and boats         </v>
      </c>
      <c r="O1327" s="194"/>
      <c r="P1327" s="195" t="str">
        <f>'Supply chain'!E56</f>
        <v>Tier 1</v>
      </c>
      <c r="Q1327" s="195">
        <f>'Supply chain'!F56</f>
        <v>0.25</v>
      </c>
      <c r="R1327" s="195">
        <f>'Supply chain'!G56</f>
        <v>0</v>
      </c>
      <c r="S1327" s="195" t="str">
        <f>'Supply chain'!H56</f>
        <v>£</v>
      </c>
      <c r="T1327" s="195">
        <f>'Supply chain'!I56</f>
        <v>0</v>
      </c>
      <c r="U1327" s="195" t="str">
        <f>'Supply chain'!J56</f>
        <v>£</v>
      </c>
      <c r="V1327" s="195">
        <f>'Supply chain'!K56</f>
        <v>0.30041520599579119</v>
      </c>
      <c r="W1327" s="195" t="str">
        <f>'Supply chain'!L56</f>
        <v/>
      </c>
      <c r="X1327" s="193">
        <f>'Supply chain'!M56</f>
        <v>0</v>
      </c>
      <c r="Y1327" s="195">
        <f>'Supply chain'!N56</f>
        <v>0</v>
      </c>
      <c r="Z1327" s="195">
        <f>'Supply chain'!O56</f>
        <v>0</v>
      </c>
      <c r="AA1327" s="195">
        <f>'Supply chain'!P56</f>
        <v>0</v>
      </c>
      <c r="AB1327" s="195">
        <f>'Supply chain'!Q56</f>
        <v>0</v>
      </c>
      <c r="AC1327" s="195">
        <f>'Supply chain'!R56</f>
        <v>0</v>
      </c>
      <c r="AD1327" s="195">
        <f>'Supply chain'!S56</f>
        <v>0</v>
      </c>
      <c r="AE1327" s="195">
        <f>'Supply chain'!T56</f>
        <v>0</v>
      </c>
      <c r="AF1327" s="195">
        <f>'Supply chain'!U56</f>
        <v>0</v>
      </c>
      <c r="AG1327" s="195">
        <f>'Supply chain'!V56</f>
        <v>0</v>
      </c>
      <c r="AI1327" s="193">
        <f t="shared" si="28"/>
        <v>0</v>
      </c>
      <c r="AJ1327" s="193">
        <f t="shared" si="29"/>
        <v>0</v>
      </c>
    </row>
    <row r="1328" spans="2:36" x14ac:dyDescent="0.35">
      <c r="B1328" s="193" t="e">
        <f>"2024"&amp;MATCH(Totals!D1328,OrgType,0)&amp;"_"&amp;MATCH(Totals!E1328,Organisations,0)&amp;"_"&amp;LEFT(Totals!F1328,1)&amp;"_"&amp;LEFT(G1328,1)&amp;"_"&amp;COUNTIF($G$3:G1328,G1328)</f>
        <v>#N/A</v>
      </c>
      <c r="C1328" s="193">
        <v>2025</v>
      </c>
      <c r="D1328" s="193">
        <f>Introduction!$D$7</f>
        <v>0</v>
      </c>
      <c r="E1328" s="193">
        <f>Introduction!$D$8</f>
        <v>0</v>
      </c>
      <c r="F1328" s="193" t="s">
        <v>493</v>
      </c>
      <c r="G1328" s="193" t="s">
        <v>493</v>
      </c>
      <c r="H1328" s="194"/>
      <c r="I1328" s="194"/>
      <c r="J1328" s="195" t="str">
        <f>'Supply chain'!B57</f>
        <v>Manufacturing</v>
      </c>
      <c r="K1328" s="194"/>
      <c r="L1328" s="194"/>
      <c r="M1328" s="195">
        <f>'Supply chain'!C57</f>
        <v>33.159999999999997</v>
      </c>
      <c r="N1328" s="195" t="str">
        <f>'Supply chain'!D57</f>
        <v xml:space="preserve">Repair and maintenance of aircraft and spacecraft         </v>
      </c>
      <c r="O1328" s="194"/>
      <c r="P1328" s="195" t="str">
        <f>'Supply chain'!E57</f>
        <v>Tier 1</v>
      </c>
      <c r="Q1328" s="195">
        <f>'Supply chain'!F57</f>
        <v>0.25</v>
      </c>
      <c r="R1328" s="195">
        <f>'Supply chain'!G57</f>
        <v>0</v>
      </c>
      <c r="S1328" s="195" t="str">
        <f>'Supply chain'!H57</f>
        <v>£</v>
      </c>
      <c r="T1328" s="195">
        <f>'Supply chain'!I57</f>
        <v>0</v>
      </c>
      <c r="U1328" s="195" t="str">
        <f>'Supply chain'!J57</f>
        <v>£</v>
      </c>
      <c r="V1328" s="195">
        <f>'Supply chain'!K57</f>
        <v>0.45035028574188452</v>
      </c>
      <c r="W1328" s="195" t="str">
        <f>'Supply chain'!L57</f>
        <v/>
      </c>
      <c r="X1328" s="193">
        <f>'Supply chain'!M57</f>
        <v>0</v>
      </c>
      <c r="Y1328" s="195">
        <f>'Supply chain'!N57</f>
        <v>0</v>
      </c>
      <c r="Z1328" s="195">
        <f>'Supply chain'!O57</f>
        <v>0</v>
      </c>
      <c r="AA1328" s="195">
        <f>'Supply chain'!P57</f>
        <v>0</v>
      </c>
      <c r="AB1328" s="195">
        <f>'Supply chain'!Q57</f>
        <v>0</v>
      </c>
      <c r="AC1328" s="195">
        <f>'Supply chain'!R57</f>
        <v>0</v>
      </c>
      <c r="AD1328" s="195">
        <f>'Supply chain'!S57</f>
        <v>0</v>
      </c>
      <c r="AE1328" s="195">
        <f>'Supply chain'!T57</f>
        <v>0</v>
      </c>
      <c r="AF1328" s="195">
        <f>'Supply chain'!U57</f>
        <v>0</v>
      </c>
      <c r="AG1328" s="195">
        <f>'Supply chain'!V57</f>
        <v>0</v>
      </c>
      <c r="AI1328" s="193">
        <f t="shared" si="28"/>
        <v>0</v>
      </c>
      <c r="AJ1328" s="193">
        <f t="shared" si="29"/>
        <v>0</v>
      </c>
    </row>
    <row r="1329" spans="2:36" x14ac:dyDescent="0.35">
      <c r="B1329" s="193" t="e">
        <f>"2024"&amp;MATCH(Totals!D1329,OrgType,0)&amp;"_"&amp;MATCH(Totals!E1329,Organisations,0)&amp;"_"&amp;LEFT(Totals!F1329,1)&amp;"_"&amp;LEFT(G1329,1)&amp;"_"&amp;COUNTIF($G$3:G1329,G1329)</f>
        <v>#N/A</v>
      </c>
      <c r="C1329" s="193">
        <v>2025</v>
      </c>
      <c r="D1329" s="193">
        <f>Introduction!$D$7</f>
        <v>0</v>
      </c>
      <c r="E1329" s="193">
        <f>Introduction!$D$8</f>
        <v>0</v>
      </c>
      <c r="F1329" s="193" t="s">
        <v>493</v>
      </c>
      <c r="G1329" s="193" t="s">
        <v>493</v>
      </c>
      <c r="H1329" s="194"/>
      <c r="I1329" s="194"/>
      <c r="J1329" s="195" t="str">
        <f>'Supply chain'!B58</f>
        <v>Manufacturing</v>
      </c>
      <c r="K1329" s="194"/>
      <c r="L1329" s="194"/>
      <c r="M1329" s="195" t="str">
        <f>'Supply chain'!C58</f>
        <v>33OTHER</v>
      </c>
      <c r="N1329" s="195" t="str">
        <f>'Supply chain'!D58</f>
        <v xml:space="preserve">Rest of repair; Installation - 33.11-14/17/19/20          </v>
      </c>
      <c r="O1329" s="194"/>
      <c r="P1329" s="195" t="str">
        <f>'Supply chain'!E58</f>
        <v>Tier 1</v>
      </c>
      <c r="Q1329" s="195">
        <f>'Supply chain'!F58</f>
        <v>0.25</v>
      </c>
      <c r="R1329" s="195">
        <f>'Supply chain'!G58</f>
        <v>0</v>
      </c>
      <c r="S1329" s="195" t="str">
        <f>'Supply chain'!H58</f>
        <v>£</v>
      </c>
      <c r="T1329" s="195">
        <f>'Supply chain'!I58</f>
        <v>0</v>
      </c>
      <c r="U1329" s="195" t="str">
        <f>'Supply chain'!J58</f>
        <v>£</v>
      </c>
      <c r="V1329" s="195">
        <f>'Supply chain'!K58</f>
        <v>0.20548367036640469</v>
      </c>
      <c r="W1329" s="195" t="str">
        <f>'Supply chain'!L58</f>
        <v/>
      </c>
      <c r="X1329" s="193">
        <f>'Supply chain'!M58</f>
        <v>0</v>
      </c>
      <c r="Y1329" s="195">
        <f>'Supply chain'!N58</f>
        <v>0</v>
      </c>
      <c r="Z1329" s="195">
        <f>'Supply chain'!O58</f>
        <v>0</v>
      </c>
      <c r="AA1329" s="195">
        <f>'Supply chain'!P58</f>
        <v>0</v>
      </c>
      <c r="AB1329" s="195">
        <f>'Supply chain'!Q58</f>
        <v>0</v>
      </c>
      <c r="AC1329" s="195">
        <f>'Supply chain'!R58</f>
        <v>0</v>
      </c>
      <c r="AD1329" s="195">
        <f>'Supply chain'!S58</f>
        <v>0</v>
      </c>
      <c r="AE1329" s="195">
        <f>'Supply chain'!T58</f>
        <v>0</v>
      </c>
      <c r="AF1329" s="195">
        <f>'Supply chain'!U58</f>
        <v>0</v>
      </c>
      <c r="AG1329" s="195">
        <f>'Supply chain'!V58</f>
        <v>0</v>
      </c>
      <c r="AI1329" s="193">
        <f t="shared" si="28"/>
        <v>0</v>
      </c>
      <c r="AJ1329" s="193">
        <f t="shared" si="29"/>
        <v>0</v>
      </c>
    </row>
    <row r="1330" spans="2:36" x14ac:dyDescent="0.35">
      <c r="B1330" s="193" t="e">
        <f>"2024"&amp;MATCH(Totals!D1330,OrgType,0)&amp;"_"&amp;MATCH(Totals!E1330,Organisations,0)&amp;"_"&amp;LEFT(Totals!F1330,1)&amp;"_"&amp;LEFT(G1330,1)&amp;"_"&amp;COUNTIF($G$3:G1330,G1330)</f>
        <v>#N/A</v>
      </c>
      <c r="C1330" s="193">
        <v>2025</v>
      </c>
      <c r="D1330" s="193">
        <f>Introduction!$D$7</f>
        <v>0</v>
      </c>
      <c r="E1330" s="193">
        <f>Introduction!$D$8</f>
        <v>0</v>
      </c>
      <c r="F1330" s="193" t="s">
        <v>493</v>
      </c>
      <c r="G1330" s="193" t="s">
        <v>493</v>
      </c>
      <c r="H1330" s="194"/>
      <c r="I1330" s="194"/>
      <c r="J1330" s="195" t="str">
        <f>'Supply chain'!B59</f>
        <v>Electricity, gas, steam and air conditioning supply</v>
      </c>
      <c r="K1330" s="194"/>
      <c r="L1330" s="194"/>
      <c r="M1330" s="195">
        <f>'Supply chain'!C59</f>
        <v>35.1</v>
      </c>
      <c r="N1330" s="195" t="str">
        <f>'Supply chain'!D59</f>
        <v>Electricity, transmission and distribution</v>
      </c>
      <c r="O1330" s="194"/>
      <c r="P1330" s="195" t="str">
        <f>'Supply chain'!E59</f>
        <v>Tier 1</v>
      </c>
      <c r="Q1330" s="195">
        <f>'Supply chain'!F59</f>
        <v>0.25</v>
      </c>
      <c r="R1330" s="195">
        <f>'Supply chain'!G59</f>
        <v>0</v>
      </c>
      <c r="S1330" s="195" t="str">
        <f>'Supply chain'!H59</f>
        <v>£</v>
      </c>
      <c r="T1330" s="195">
        <f>'Supply chain'!I59</f>
        <v>0</v>
      </c>
      <c r="U1330" s="195" t="str">
        <f>'Supply chain'!J59</f>
        <v>£</v>
      </c>
      <c r="V1330" s="195">
        <f>'Supply chain'!K59</f>
        <v>1.950064663483833</v>
      </c>
      <c r="W1330" s="195" t="str">
        <f>'Supply chain'!L59</f>
        <v/>
      </c>
      <c r="X1330" s="193">
        <f>'Supply chain'!M59</f>
        <v>0</v>
      </c>
      <c r="Y1330" s="195">
        <f>'Supply chain'!N59</f>
        <v>0</v>
      </c>
      <c r="Z1330" s="195">
        <f>'Supply chain'!O59</f>
        <v>0</v>
      </c>
      <c r="AA1330" s="195">
        <f>'Supply chain'!P59</f>
        <v>0</v>
      </c>
      <c r="AB1330" s="195">
        <f>'Supply chain'!Q59</f>
        <v>0</v>
      </c>
      <c r="AC1330" s="195">
        <f>'Supply chain'!R59</f>
        <v>0</v>
      </c>
      <c r="AD1330" s="195">
        <f>'Supply chain'!S59</f>
        <v>0</v>
      </c>
      <c r="AE1330" s="195">
        <f>'Supply chain'!T59</f>
        <v>0</v>
      </c>
      <c r="AF1330" s="195">
        <f>'Supply chain'!U59</f>
        <v>0</v>
      </c>
      <c r="AG1330" s="195">
        <f>'Supply chain'!V59</f>
        <v>0</v>
      </c>
      <c r="AI1330" s="193">
        <f t="shared" si="28"/>
        <v>0</v>
      </c>
      <c r="AJ1330" s="193">
        <f t="shared" si="29"/>
        <v>0</v>
      </c>
    </row>
    <row r="1331" spans="2:36" x14ac:dyDescent="0.35">
      <c r="B1331" s="193" t="e">
        <f>"2024"&amp;MATCH(Totals!D1331,OrgType,0)&amp;"_"&amp;MATCH(Totals!E1331,Organisations,0)&amp;"_"&amp;LEFT(Totals!F1331,1)&amp;"_"&amp;LEFT(G1331,1)&amp;"_"&amp;COUNTIF($G$3:G1331,G1331)</f>
        <v>#N/A</v>
      </c>
      <c r="C1331" s="193">
        <v>2025</v>
      </c>
      <c r="D1331" s="193">
        <f>Introduction!$D$7</f>
        <v>0</v>
      </c>
      <c r="E1331" s="193">
        <f>Introduction!$D$8</f>
        <v>0</v>
      </c>
      <c r="F1331" s="193" t="s">
        <v>493</v>
      </c>
      <c r="G1331" s="193" t="s">
        <v>493</v>
      </c>
      <c r="H1331" s="194"/>
      <c r="I1331" s="194"/>
      <c r="J1331" s="195" t="str">
        <f>'Supply chain'!B60</f>
        <v>Electricity, gas, steam and air conditioning supply</v>
      </c>
      <c r="K1331" s="194"/>
      <c r="L1331" s="194"/>
      <c r="M1331" s="195" t="str">
        <f>'Supply chain'!C60</f>
        <v>35.2-3</v>
      </c>
      <c r="N1331" s="195" t="str">
        <f>'Supply chain'!D60</f>
        <v xml:space="preserve">Gas; distribution of gaseous fuels through mains; steam and air conditioning supply    </v>
      </c>
      <c r="O1331" s="194"/>
      <c r="P1331" s="195" t="str">
        <f>'Supply chain'!E60</f>
        <v>Tier 1</v>
      </c>
      <c r="Q1331" s="195">
        <f>'Supply chain'!F60</f>
        <v>0.25</v>
      </c>
      <c r="R1331" s="195">
        <f>'Supply chain'!G60</f>
        <v>0</v>
      </c>
      <c r="S1331" s="195" t="str">
        <f>'Supply chain'!H60</f>
        <v>£</v>
      </c>
      <c r="T1331" s="195">
        <f>'Supply chain'!I60</f>
        <v>0</v>
      </c>
      <c r="U1331" s="195" t="str">
        <f>'Supply chain'!J60</f>
        <v>£</v>
      </c>
      <c r="V1331" s="195">
        <f>'Supply chain'!K60</f>
        <v>1.606990615033753</v>
      </c>
      <c r="W1331" s="195" t="str">
        <f>'Supply chain'!L60</f>
        <v/>
      </c>
      <c r="X1331" s="193">
        <f>'Supply chain'!M60</f>
        <v>0</v>
      </c>
      <c r="Y1331" s="195">
        <f>'Supply chain'!N60</f>
        <v>0</v>
      </c>
      <c r="Z1331" s="195">
        <f>'Supply chain'!O60</f>
        <v>0</v>
      </c>
      <c r="AA1331" s="195">
        <f>'Supply chain'!P60</f>
        <v>0</v>
      </c>
      <c r="AB1331" s="195">
        <f>'Supply chain'!Q60</f>
        <v>0</v>
      </c>
      <c r="AC1331" s="195">
        <f>'Supply chain'!R60</f>
        <v>0</v>
      </c>
      <c r="AD1331" s="195">
        <f>'Supply chain'!S60</f>
        <v>0</v>
      </c>
      <c r="AE1331" s="195">
        <f>'Supply chain'!T60</f>
        <v>0</v>
      </c>
      <c r="AF1331" s="195">
        <f>'Supply chain'!U60</f>
        <v>0</v>
      </c>
      <c r="AG1331" s="195">
        <f>'Supply chain'!V60</f>
        <v>0</v>
      </c>
      <c r="AI1331" s="193">
        <f t="shared" si="28"/>
        <v>0</v>
      </c>
      <c r="AJ1331" s="193">
        <f t="shared" si="29"/>
        <v>0</v>
      </c>
    </row>
    <row r="1332" spans="2:36" x14ac:dyDescent="0.35">
      <c r="B1332" s="193" t="e">
        <f>"2024"&amp;MATCH(Totals!D1332,OrgType,0)&amp;"_"&amp;MATCH(Totals!E1332,Organisations,0)&amp;"_"&amp;LEFT(Totals!F1332,1)&amp;"_"&amp;LEFT(G1332,1)&amp;"_"&amp;COUNTIF($G$3:G1332,G1332)</f>
        <v>#N/A</v>
      </c>
      <c r="C1332" s="193">
        <v>2025</v>
      </c>
      <c r="D1332" s="193">
        <f>Introduction!$D$7</f>
        <v>0</v>
      </c>
      <c r="E1332" s="193">
        <f>Introduction!$D$8</f>
        <v>0</v>
      </c>
      <c r="F1332" s="193" t="s">
        <v>493</v>
      </c>
      <c r="G1332" s="193" t="s">
        <v>493</v>
      </c>
      <c r="H1332" s="194"/>
      <c r="I1332" s="194"/>
      <c r="J1332" s="195" t="str">
        <f>'Supply chain'!B61</f>
        <v>Water supply; sewerage, waste management and remediation activities</v>
      </c>
      <c r="K1332" s="194"/>
      <c r="L1332" s="194"/>
      <c r="M1332" s="195">
        <f>'Supply chain'!C61</f>
        <v>36</v>
      </c>
      <c r="N1332" s="195" t="str">
        <f>'Supply chain'!D61</f>
        <v xml:space="preserve">Natural water; water treatment and supply services         </v>
      </c>
      <c r="O1332" s="194"/>
      <c r="P1332" s="195" t="str">
        <f>'Supply chain'!E61</f>
        <v>Tier 1</v>
      </c>
      <c r="Q1332" s="195">
        <f>'Supply chain'!F61</f>
        <v>0.25</v>
      </c>
      <c r="R1332" s="195">
        <f>'Supply chain'!G61</f>
        <v>0</v>
      </c>
      <c r="S1332" s="195" t="str">
        <f>'Supply chain'!H61</f>
        <v>£</v>
      </c>
      <c r="T1332" s="195">
        <f>'Supply chain'!I61</f>
        <v>0</v>
      </c>
      <c r="U1332" s="195" t="str">
        <f>'Supply chain'!J61</f>
        <v>£</v>
      </c>
      <c r="V1332" s="195">
        <f>'Supply chain'!K61</f>
        <v>0.29194245469675828</v>
      </c>
      <c r="W1332" s="195" t="str">
        <f>'Supply chain'!L61</f>
        <v/>
      </c>
      <c r="X1332" s="193">
        <f>'Supply chain'!M61</f>
        <v>0</v>
      </c>
      <c r="Y1332" s="195">
        <f>'Supply chain'!N61</f>
        <v>0</v>
      </c>
      <c r="Z1332" s="195">
        <f>'Supply chain'!O61</f>
        <v>0</v>
      </c>
      <c r="AA1332" s="195">
        <f>'Supply chain'!P61</f>
        <v>0</v>
      </c>
      <c r="AB1332" s="195">
        <f>'Supply chain'!Q61</f>
        <v>0</v>
      </c>
      <c r="AC1332" s="195">
        <f>'Supply chain'!R61</f>
        <v>0</v>
      </c>
      <c r="AD1332" s="195">
        <f>'Supply chain'!S61</f>
        <v>0</v>
      </c>
      <c r="AE1332" s="195">
        <f>'Supply chain'!T61</f>
        <v>0</v>
      </c>
      <c r="AF1332" s="195">
        <f>'Supply chain'!U61</f>
        <v>0</v>
      </c>
      <c r="AG1332" s="195">
        <f>'Supply chain'!V61</f>
        <v>0</v>
      </c>
      <c r="AI1332" s="193">
        <f t="shared" si="28"/>
        <v>0</v>
      </c>
      <c r="AJ1332" s="193">
        <f t="shared" si="29"/>
        <v>0</v>
      </c>
    </row>
    <row r="1333" spans="2:36" x14ac:dyDescent="0.35">
      <c r="B1333" s="193" t="e">
        <f>"2024"&amp;MATCH(Totals!D1333,OrgType,0)&amp;"_"&amp;MATCH(Totals!E1333,Organisations,0)&amp;"_"&amp;LEFT(Totals!F1333,1)&amp;"_"&amp;LEFT(G1333,1)&amp;"_"&amp;COUNTIF($G$3:G1333,G1333)</f>
        <v>#N/A</v>
      </c>
      <c r="C1333" s="193">
        <v>2025</v>
      </c>
      <c r="D1333" s="193">
        <f>Introduction!$D$7</f>
        <v>0</v>
      </c>
      <c r="E1333" s="193">
        <f>Introduction!$D$8</f>
        <v>0</v>
      </c>
      <c r="F1333" s="193" t="s">
        <v>493</v>
      </c>
      <c r="G1333" s="193" t="s">
        <v>493</v>
      </c>
      <c r="H1333" s="194"/>
      <c r="I1333" s="194"/>
      <c r="J1333" s="195" t="str">
        <f>'Supply chain'!B62</f>
        <v>Water supply; sewerage, waste management and remediation activities</v>
      </c>
      <c r="K1333" s="194"/>
      <c r="L1333" s="194"/>
      <c r="M1333" s="195">
        <f>'Supply chain'!C62</f>
        <v>37</v>
      </c>
      <c r="N1333" s="195" t="str">
        <f>'Supply chain'!D62</f>
        <v xml:space="preserve">Sewerage services; sewage sludge            </v>
      </c>
      <c r="O1333" s="194"/>
      <c r="P1333" s="195" t="str">
        <f>'Supply chain'!E62</f>
        <v>Tier 1</v>
      </c>
      <c r="Q1333" s="195">
        <f>'Supply chain'!F62</f>
        <v>0.25</v>
      </c>
      <c r="R1333" s="195">
        <f>'Supply chain'!G62</f>
        <v>0</v>
      </c>
      <c r="S1333" s="195" t="str">
        <f>'Supply chain'!H62</f>
        <v>£</v>
      </c>
      <c r="T1333" s="195">
        <f>'Supply chain'!I62</f>
        <v>0</v>
      </c>
      <c r="U1333" s="195" t="str">
        <f>'Supply chain'!J62</f>
        <v>£</v>
      </c>
      <c r="V1333" s="195">
        <f>'Supply chain'!K62</f>
        <v>0.39702680218395953</v>
      </c>
      <c r="W1333" s="195" t="str">
        <f>'Supply chain'!L62</f>
        <v/>
      </c>
      <c r="X1333" s="193">
        <f>'Supply chain'!M62</f>
        <v>0</v>
      </c>
      <c r="Y1333" s="195">
        <f>'Supply chain'!N62</f>
        <v>0</v>
      </c>
      <c r="Z1333" s="195">
        <f>'Supply chain'!O62</f>
        <v>0</v>
      </c>
      <c r="AA1333" s="195">
        <f>'Supply chain'!P62</f>
        <v>0</v>
      </c>
      <c r="AB1333" s="195">
        <f>'Supply chain'!Q62</f>
        <v>0</v>
      </c>
      <c r="AC1333" s="195">
        <f>'Supply chain'!R62</f>
        <v>0</v>
      </c>
      <c r="AD1333" s="195">
        <f>'Supply chain'!S62</f>
        <v>0</v>
      </c>
      <c r="AE1333" s="195">
        <f>'Supply chain'!T62</f>
        <v>0</v>
      </c>
      <c r="AF1333" s="195">
        <f>'Supply chain'!U62</f>
        <v>0</v>
      </c>
      <c r="AG1333" s="195">
        <f>'Supply chain'!V62</f>
        <v>0</v>
      </c>
      <c r="AI1333" s="193">
        <f t="shared" si="28"/>
        <v>0</v>
      </c>
      <c r="AJ1333" s="193">
        <f t="shared" si="29"/>
        <v>0</v>
      </c>
    </row>
    <row r="1334" spans="2:36" x14ac:dyDescent="0.35">
      <c r="B1334" s="193" t="e">
        <f>"2024"&amp;MATCH(Totals!D1334,OrgType,0)&amp;"_"&amp;MATCH(Totals!E1334,Organisations,0)&amp;"_"&amp;LEFT(Totals!F1334,1)&amp;"_"&amp;LEFT(G1334,1)&amp;"_"&amp;COUNTIF($G$3:G1334,G1334)</f>
        <v>#N/A</v>
      </c>
      <c r="C1334" s="193">
        <v>2025</v>
      </c>
      <c r="D1334" s="193">
        <f>Introduction!$D$7</f>
        <v>0</v>
      </c>
      <c r="E1334" s="193">
        <f>Introduction!$D$8</f>
        <v>0</v>
      </c>
      <c r="F1334" s="193" t="s">
        <v>493</v>
      </c>
      <c r="G1334" s="193" t="s">
        <v>493</v>
      </c>
      <c r="H1334" s="194"/>
      <c r="I1334" s="194"/>
      <c r="J1334" s="195" t="str">
        <f>'Supply chain'!B63</f>
        <v>Water supply; sewerage, waste management and remediation activities</v>
      </c>
      <c r="K1334" s="194"/>
      <c r="L1334" s="194"/>
      <c r="M1334" s="195">
        <f>'Supply chain'!C63</f>
        <v>38</v>
      </c>
      <c r="N1334" s="195" t="str">
        <f>'Supply chain'!D63</f>
        <v xml:space="preserve">Waste collection, treatment and disposal services; materials recovery services       </v>
      </c>
      <c r="O1334" s="194"/>
      <c r="P1334" s="195" t="str">
        <f>'Supply chain'!E63</f>
        <v>Tier 1</v>
      </c>
      <c r="Q1334" s="195">
        <f>'Supply chain'!F63</f>
        <v>0.25</v>
      </c>
      <c r="R1334" s="195">
        <f>'Supply chain'!G63</f>
        <v>0</v>
      </c>
      <c r="S1334" s="195" t="str">
        <f>'Supply chain'!H63</f>
        <v>£</v>
      </c>
      <c r="T1334" s="195">
        <f>'Supply chain'!I63</f>
        <v>0</v>
      </c>
      <c r="U1334" s="195" t="str">
        <f>'Supply chain'!J63</f>
        <v>£</v>
      </c>
      <c r="V1334" s="195">
        <f>'Supply chain'!K63</f>
        <v>1.3923113465408361</v>
      </c>
      <c r="W1334" s="195" t="str">
        <f>'Supply chain'!L63</f>
        <v/>
      </c>
      <c r="X1334" s="193">
        <f>'Supply chain'!M63</f>
        <v>0</v>
      </c>
      <c r="Y1334" s="195">
        <f>'Supply chain'!N63</f>
        <v>0</v>
      </c>
      <c r="Z1334" s="195">
        <f>'Supply chain'!O63</f>
        <v>0</v>
      </c>
      <c r="AA1334" s="195">
        <f>'Supply chain'!P63</f>
        <v>0</v>
      </c>
      <c r="AB1334" s="195">
        <f>'Supply chain'!Q63</f>
        <v>0</v>
      </c>
      <c r="AC1334" s="195">
        <f>'Supply chain'!R63</f>
        <v>0</v>
      </c>
      <c r="AD1334" s="195">
        <f>'Supply chain'!S63</f>
        <v>0</v>
      </c>
      <c r="AE1334" s="195">
        <f>'Supply chain'!T63</f>
        <v>0</v>
      </c>
      <c r="AF1334" s="195">
        <f>'Supply chain'!U63</f>
        <v>0</v>
      </c>
      <c r="AG1334" s="195">
        <f>'Supply chain'!V63</f>
        <v>0</v>
      </c>
      <c r="AI1334" s="193">
        <f t="shared" si="28"/>
        <v>0</v>
      </c>
      <c r="AJ1334" s="193">
        <f t="shared" si="29"/>
        <v>0</v>
      </c>
    </row>
    <row r="1335" spans="2:36" x14ac:dyDescent="0.35">
      <c r="B1335" s="193" t="e">
        <f>"2024"&amp;MATCH(Totals!D1335,OrgType,0)&amp;"_"&amp;MATCH(Totals!E1335,Organisations,0)&amp;"_"&amp;LEFT(Totals!F1335,1)&amp;"_"&amp;LEFT(G1335,1)&amp;"_"&amp;COUNTIF($G$3:G1335,G1335)</f>
        <v>#N/A</v>
      </c>
      <c r="C1335" s="193">
        <v>2025</v>
      </c>
      <c r="D1335" s="193">
        <f>Introduction!$D$7</f>
        <v>0</v>
      </c>
      <c r="E1335" s="193">
        <f>Introduction!$D$8</f>
        <v>0</v>
      </c>
      <c r="F1335" s="193" t="s">
        <v>493</v>
      </c>
      <c r="G1335" s="193" t="s">
        <v>493</v>
      </c>
      <c r="H1335" s="194"/>
      <c r="I1335" s="194"/>
      <c r="J1335" s="195" t="str">
        <f>'Supply chain'!B64</f>
        <v>Water supply; sewerage, waste management and remediation activities</v>
      </c>
      <c r="K1335" s="194"/>
      <c r="L1335" s="194"/>
      <c r="M1335" s="195">
        <f>'Supply chain'!C64</f>
        <v>39</v>
      </c>
      <c r="N1335" s="195" t="str">
        <f>'Supply chain'!D64</f>
        <v xml:space="preserve">Remediation services and other waste management services         </v>
      </c>
      <c r="O1335" s="194"/>
      <c r="P1335" s="195" t="str">
        <f>'Supply chain'!E64</f>
        <v>Tier 1</v>
      </c>
      <c r="Q1335" s="195">
        <f>'Supply chain'!F64</f>
        <v>0.25</v>
      </c>
      <c r="R1335" s="195">
        <f>'Supply chain'!G64</f>
        <v>0</v>
      </c>
      <c r="S1335" s="195" t="str">
        <f>'Supply chain'!H64</f>
        <v>£</v>
      </c>
      <c r="T1335" s="195">
        <f>'Supply chain'!I64</f>
        <v>0</v>
      </c>
      <c r="U1335" s="195" t="str">
        <f>'Supply chain'!J64</f>
        <v>£</v>
      </c>
      <c r="V1335" s="195">
        <f>'Supply chain'!K64</f>
        <v>3.4433095994245888</v>
      </c>
      <c r="W1335" s="195" t="str">
        <f>'Supply chain'!L64</f>
        <v/>
      </c>
      <c r="X1335" s="193">
        <f>'Supply chain'!M64</f>
        <v>0</v>
      </c>
      <c r="Y1335" s="195">
        <f>'Supply chain'!N64</f>
        <v>0</v>
      </c>
      <c r="Z1335" s="195">
        <f>'Supply chain'!O64</f>
        <v>0</v>
      </c>
      <c r="AA1335" s="195">
        <f>'Supply chain'!P64</f>
        <v>0</v>
      </c>
      <c r="AB1335" s="195">
        <f>'Supply chain'!Q64</f>
        <v>0</v>
      </c>
      <c r="AC1335" s="195">
        <f>'Supply chain'!R64</f>
        <v>0</v>
      </c>
      <c r="AD1335" s="195">
        <f>'Supply chain'!S64</f>
        <v>0</v>
      </c>
      <c r="AE1335" s="195">
        <f>'Supply chain'!T64</f>
        <v>0</v>
      </c>
      <c r="AF1335" s="195">
        <f>'Supply chain'!U64</f>
        <v>0</v>
      </c>
      <c r="AG1335" s="195">
        <f>'Supply chain'!V64</f>
        <v>0</v>
      </c>
      <c r="AI1335" s="193">
        <f t="shared" si="28"/>
        <v>0</v>
      </c>
      <c r="AJ1335" s="193">
        <f t="shared" si="29"/>
        <v>0</v>
      </c>
    </row>
    <row r="1336" spans="2:36" x14ac:dyDescent="0.35">
      <c r="B1336" s="193" t="e">
        <f>"2024"&amp;MATCH(Totals!D1336,OrgType,0)&amp;"_"&amp;MATCH(Totals!E1336,Organisations,0)&amp;"_"&amp;LEFT(Totals!F1336,1)&amp;"_"&amp;LEFT(G1336,1)&amp;"_"&amp;COUNTIF($G$3:G1336,G1336)</f>
        <v>#N/A</v>
      </c>
      <c r="C1336" s="193">
        <v>2025</v>
      </c>
      <c r="D1336" s="193">
        <f>Introduction!$D$7</f>
        <v>0</v>
      </c>
      <c r="E1336" s="193">
        <f>Introduction!$D$8</f>
        <v>0</v>
      </c>
      <c r="F1336" s="193" t="s">
        <v>493</v>
      </c>
      <c r="G1336" s="193" t="s">
        <v>493</v>
      </c>
      <c r="H1336" s="194"/>
      <c r="I1336" s="194"/>
      <c r="J1336" s="195" t="str">
        <f>'Supply chain'!B65</f>
        <v>Construction</v>
      </c>
      <c r="K1336" s="194"/>
      <c r="L1336" s="194"/>
      <c r="M1336" s="195">
        <f>'Supply chain'!C65</f>
        <v>41.2</v>
      </c>
      <c r="N1336" s="195" t="str">
        <f>'Supply chain'!D65</f>
        <v xml:space="preserve">Buildings and building construction works           </v>
      </c>
      <c r="O1336" s="194"/>
      <c r="P1336" s="195" t="str">
        <f>'Supply chain'!E65</f>
        <v>Tier 1</v>
      </c>
      <c r="Q1336" s="195">
        <f>'Supply chain'!F65</f>
        <v>0.25</v>
      </c>
      <c r="R1336" s="195">
        <f>'Supply chain'!G65</f>
        <v>0</v>
      </c>
      <c r="S1336" s="195" t="str">
        <f>'Supply chain'!H65</f>
        <v>£</v>
      </c>
      <c r="T1336" s="195">
        <f>'Supply chain'!I65</f>
        <v>0</v>
      </c>
      <c r="U1336" s="195" t="str">
        <f>'Supply chain'!J65</f>
        <v>£</v>
      </c>
      <c r="V1336" s="195">
        <f>'Supply chain'!K65</f>
        <v>0.32367885409353803</v>
      </c>
      <c r="W1336" s="195" t="str">
        <f>'Supply chain'!L65</f>
        <v/>
      </c>
      <c r="X1336" s="193">
        <f>'Supply chain'!M65</f>
        <v>0</v>
      </c>
      <c r="Y1336" s="195">
        <f>'Supply chain'!N65</f>
        <v>0</v>
      </c>
      <c r="Z1336" s="195">
        <f>'Supply chain'!O65</f>
        <v>0</v>
      </c>
      <c r="AA1336" s="195">
        <f>'Supply chain'!P65</f>
        <v>0</v>
      </c>
      <c r="AB1336" s="195">
        <f>'Supply chain'!Q65</f>
        <v>0</v>
      </c>
      <c r="AC1336" s="195">
        <f>'Supply chain'!R65</f>
        <v>0</v>
      </c>
      <c r="AD1336" s="195">
        <f>'Supply chain'!S65</f>
        <v>0</v>
      </c>
      <c r="AE1336" s="195">
        <f>'Supply chain'!T65</f>
        <v>0</v>
      </c>
      <c r="AF1336" s="195">
        <f>'Supply chain'!U65</f>
        <v>0</v>
      </c>
      <c r="AG1336" s="195">
        <f>'Supply chain'!V65</f>
        <v>0</v>
      </c>
      <c r="AI1336" s="193">
        <f t="shared" si="28"/>
        <v>0</v>
      </c>
      <c r="AJ1336" s="193">
        <f t="shared" si="29"/>
        <v>0</v>
      </c>
    </row>
    <row r="1337" spans="2:36" x14ac:dyDescent="0.35">
      <c r="B1337" s="193" t="e">
        <f>"2024"&amp;MATCH(Totals!D1337,OrgType,0)&amp;"_"&amp;MATCH(Totals!E1337,Organisations,0)&amp;"_"&amp;LEFT(Totals!F1337,1)&amp;"_"&amp;LEFT(G1337,1)&amp;"_"&amp;COUNTIF($G$3:G1337,G1337)</f>
        <v>#N/A</v>
      </c>
      <c r="C1337" s="193">
        <v>2025</v>
      </c>
      <c r="D1337" s="193">
        <f>Introduction!$D$7</f>
        <v>0</v>
      </c>
      <c r="E1337" s="193">
        <f>Introduction!$D$8</f>
        <v>0</v>
      </c>
      <c r="F1337" s="193" t="s">
        <v>493</v>
      </c>
      <c r="G1337" s="193" t="s">
        <v>493</v>
      </c>
      <c r="H1337" s="194"/>
      <c r="I1337" s="194"/>
      <c r="J1337" s="195" t="str">
        <f>'Supply chain'!B66</f>
        <v>Construction</v>
      </c>
      <c r="K1337" s="194"/>
      <c r="L1337" s="194"/>
      <c r="M1337" s="195" t="str">
        <f>'Supply chain'!C66</f>
        <v>42.1-2</v>
      </c>
      <c r="N1337" s="195" t="str">
        <f>'Supply chain'!D66</f>
        <v xml:space="preserve">Constructions and construction works for civil engineering         </v>
      </c>
      <c r="O1337" s="194"/>
      <c r="P1337" s="195" t="str">
        <f>'Supply chain'!E66</f>
        <v>Tier 1</v>
      </c>
      <c r="Q1337" s="195">
        <f>'Supply chain'!F66</f>
        <v>0.25</v>
      </c>
      <c r="R1337" s="195">
        <f>'Supply chain'!G66</f>
        <v>0</v>
      </c>
      <c r="S1337" s="195" t="str">
        <f>'Supply chain'!H66</f>
        <v>£</v>
      </c>
      <c r="T1337" s="195">
        <f>'Supply chain'!I66</f>
        <v>0</v>
      </c>
      <c r="U1337" s="195" t="str">
        <f>'Supply chain'!J66</f>
        <v>£</v>
      </c>
      <c r="V1337" s="195">
        <f>'Supply chain'!K66</f>
        <v>0.35318635883654831</v>
      </c>
      <c r="W1337" s="195" t="str">
        <f>'Supply chain'!L66</f>
        <v/>
      </c>
      <c r="X1337" s="193">
        <f>'Supply chain'!M66</f>
        <v>0</v>
      </c>
      <c r="Y1337" s="195">
        <f>'Supply chain'!N66</f>
        <v>0</v>
      </c>
      <c r="Z1337" s="195">
        <f>'Supply chain'!O66</f>
        <v>0</v>
      </c>
      <c r="AA1337" s="195">
        <f>'Supply chain'!P66</f>
        <v>0</v>
      </c>
      <c r="AB1337" s="195">
        <f>'Supply chain'!Q66</f>
        <v>0</v>
      </c>
      <c r="AC1337" s="195">
        <f>'Supply chain'!R66</f>
        <v>0</v>
      </c>
      <c r="AD1337" s="195">
        <f>'Supply chain'!S66</f>
        <v>0</v>
      </c>
      <c r="AE1337" s="195">
        <f>'Supply chain'!T66</f>
        <v>0</v>
      </c>
      <c r="AF1337" s="195">
        <f>'Supply chain'!U66</f>
        <v>0</v>
      </c>
      <c r="AG1337" s="195">
        <f>'Supply chain'!V66</f>
        <v>0</v>
      </c>
      <c r="AI1337" s="193">
        <f t="shared" si="28"/>
        <v>0</v>
      </c>
      <c r="AJ1337" s="193">
        <f t="shared" si="29"/>
        <v>0</v>
      </c>
    </row>
    <row r="1338" spans="2:36" x14ac:dyDescent="0.35">
      <c r="B1338" s="193" t="e">
        <f>"2024"&amp;MATCH(Totals!D1338,OrgType,0)&amp;"_"&amp;MATCH(Totals!E1338,Organisations,0)&amp;"_"&amp;LEFT(Totals!F1338,1)&amp;"_"&amp;LEFT(G1338,1)&amp;"_"&amp;COUNTIF($G$3:G1338,G1338)</f>
        <v>#N/A</v>
      </c>
      <c r="C1338" s="193">
        <v>2025</v>
      </c>
      <c r="D1338" s="193">
        <f>Introduction!$D$7</f>
        <v>0</v>
      </c>
      <c r="E1338" s="193">
        <f>Introduction!$D$8</f>
        <v>0</v>
      </c>
      <c r="F1338" s="193" t="s">
        <v>493</v>
      </c>
      <c r="G1338" s="193" t="s">
        <v>493</v>
      </c>
      <c r="H1338" s="194"/>
      <c r="I1338" s="194"/>
      <c r="J1338" s="195" t="str">
        <f>'Supply chain'!B67</f>
        <v>Construction</v>
      </c>
      <c r="K1338" s="194"/>
      <c r="L1338" s="194"/>
      <c r="M1338" s="195">
        <f>'Supply chain'!C67</f>
        <v>42.99</v>
      </c>
      <c r="N1338" s="195" t="str">
        <f>'Supply chain'!D67</f>
        <v xml:space="preserve">Specialised construction works             </v>
      </c>
      <c r="O1338" s="194"/>
      <c r="P1338" s="195" t="str">
        <f>'Supply chain'!E67</f>
        <v>Tier 1</v>
      </c>
      <c r="Q1338" s="195">
        <f>'Supply chain'!F67</f>
        <v>0.25</v>
      </c>
      <c r="R1338" s="195">
        <f>'Supply chain'!G67</f>
        <v>0</v>
      </c>
      <c r="S1338" s="195" t="str">
        <f>'Supply chain'!H67</f>
        <v>£</v>
      </c>
      <c r="T1338" s="195">
        <f>'Supply chain'!I67</f>
        <v>0</v>
      </c>
      <c r="U1338" s="195" t="str">
        <f>'Supply chain'!J67</f>
        <v>£</v>
      </c>
      <c r="V1338" s="195">
        <f>'Supply chain'!K67</f>
        <v>0.31233988221108178</v>
      </c>
      <c r="W1338" s="195" t="str">
        <f>'Supply chain'!L67</f>
        <v/>
      </c>
      <c r="X1338" s="193">
        <f>'Supply chain'!M67</f>
        <v>0</v>
      </c>
      <c r="Y1338" s="195">
        <f>'Supply chain'!N67</f>
        <v>0</v>
      </c>
      <c r="Z1338" s="195">
        <f>'Supply chain'!O67</f>
        <v>0</v>
      </c>
      <c r="AA1338" s="195">
        <f>'Supply chain'!P67</f>
        <v>0</v>
      </c>
      <c r="AB1338" s="195">
        <f>'Supply chain'!Q67</f>
        <v>0</v>
      </c>
      <c r="AC1338" s="195">
        <f>'Supply chain'!R67</f>
        <v>0</v>
      </c>
      <c r="AD1338" s="195">
        <f>'Supply chain'!S67</f>
        <v>0</v>
      </c>
      <c r="AE1338" s="195">
        <f>'Supply chain'!T67</f>
        <v>0</v>
      </c>
      <c r="AF1338" s="195">
        <f>'Supply chain'!U67</f>
        <v>0</v>
      </c>
      <c r="AG1338" s="195">
        <f>'Supply chain'!V67</f>
        <v>0</v>
      </c>
      <c r="AI1338" s="193">
        <f t="shared" si="28"/>
        <v>0</v>
      </c>
      <c r="AJ1338" s="193">
        <f t="shared" si="29"/>
        <v>0</v>
      </c>
    </row>
    <row r="1339" spans="2:36" x14ac:dyDescent="0.35">
      <c r="B1339" s="193" t="e">
        <f>"2024"&amp;MATCH(Totals!D1339,OrgType,0)&amp;"_"&amp;MATCH(Totals!E1339,Organisations,0)&amp;"_"&amp;LEFT(Totals!F1339,1)&amp;"_"&amp;LEFT(G1339,1)&amp;"_"&amp;COUNTIF($G$3:G1339,G1339)</f>
        <v>#N/A</v>
      </c>
      <c r="C1339" s="193">
        <v>2025</v>
      </c>
      <c r="D1339" s="193">
        <f>Introduction!$D$7</f>
        <v>0</v>
      </c>
      <c r="E1339" s="193">
        <f>Introduction!$D$8</f>
        <v>0</v>
      </c>
      <c r="F1339" s="193" t="s">
        <v>493</v>
      </c>
      <c r="G1339" s="193" t="s">
        <v>493</v>
      </c>
      <c r="H1339" s="194"/>
      <c r="I1339" s="194"/>
      <c r="J1339" s="195" t="str">
        <f>'Supply chain'!B68</f>
        <v>Wholesale and retail trade; repair of motor vehicles and motorcycles</v>
      </c>
      <c r="K1339" s="194"/>
      <c r="L1339" s="194"/>
      <c r="M1339" s="195">
        <f>'Supply chain'!C68</f>
        <v>45</v>
      </c>
      <c r="N1339" s="195" t="str">
        <f>'Supply chain'!D68</f>
        <v xml:space="preserve">Wholesale and retail trade and repair services of motor vehicles and motorcycles    </v>
      </c>
      <c r="O1339" s="194"/>
      <c r="P1339" s="195" t="str">
        <f>'Supply chain'!E68</f>
        <v>Tier 1</v>
      </c>
      <c r="Q1339" s="195">
        <f>'Supply chain'!F68</f>
        <v>0.25</v>
      </c>
      <c r="R1339" s="195">
        <f>'Supply chain'!G68</f>
        <v>0</v>
      </c>
      <c r="S1339" s="195" t="str">
        <f>'Supply chain'!H68</f>
        <v>£</v>
      </c>
      <c r="T1339" s="195">
        <f>'Supply chain'!I68</f>
        <v>0</v>
      </c>
      <c r="U1339" s="195" t="str">
        <f>'Supply chain'!J68</f>
        <v>£</v>
      </c>
      <c r="V1339" s="195">
        <f>'Supply chain'!K68</f>
        <v>0.29715372571251242</v>
      </c>
      <c r="W1339" s="195" t="str">
        <f>'Supply chain'!L68</f>
        <v/>
      </c>
      <c r="X1339" s="193">
        <f>'Supply chain'!M68</f>
        <v>0</v>
      </c>
      <c r="Y1339" s="195">
        <f>'Supply chain'!N68</f>
        <v>0</v>
      </c>
      <c r="Z1339" s="195">
        <f>'Supply chain'!O68</f>
        <v>0</v>
      </c>
      <c r="AA1339" s="195">
        <f>'Supply chain'!P68</f>
        <v>0</v>
      </c>
      <c r="AB1339" s="195">
        <f>'Supply chain'!Q68</f>
        <v>0</v>
      </c>
      <c r="AC1339" s="195">
        <f>'Supply chain'!R68</f>
        <v>0</v>
      </c>
      <c r="AD1339" s="195">
        <f>'Supply chain'!S68</f>
        <v>0</v>
      </c>
      <c r="AE1339" s="195">
        <f>'Supply chain'!T68</f>
        <v>0</v>
      </c>
      <c r="AF1339" s="195">
        <f>'Supply chain'!U68</f>
        <v>0</v>
      </c>
      <c r="AG1339" s="195">
        <f>'Supply chain'!V68</f>
        <v>0</v>
      </c>
      <c r="AI1339" s="193">
        <f t="shared" si="28"/>
        <v>0</v>
      </c>
      <c r="AJ1339" s="193">
        <f t="shared" si="29"/>
        <v>0</v>
      </c>
    </row>
    <row r="1340" spans="2:36" x14ac:dyDescent="0.35">
      <c r="B1340" s="193" t="e">
        <f>"2024"&amp;MATCH(Totals!D1340,OrgType,0)&amp;"_"&amp;MATCH(Totals!E1340,Organisations,0)&amp;"_"&amp;LEFT(Totals!F1340,1)&amp;"_"&amp;LEFT(G1340,1)&amp;"_"&amp;COUNTIF($G$3:G1340,G1340)</f>
        <v>#N/A</v>
      </c>
      <c r="C1340" s="193">
        <v>2025</v>
      </c>
      <c r="D1340" s="193">
        <f>Introduction!$D$7</f>
        <v>0</v>
      </c>
      <c r="E1340" s="193">
        <f>Introduction!$D$8</f>
        <v>0</v>
      </c>
      <c r="F1340" s="193" t="s">
        <v>493</v>
      </c>
      <c r="G1340" s="193" t="s">
        <v>493</v>
      </c>
      <c r="H1340" s="194"/>
      <c r="I1340" s="194"/>
      <c r="J1340" s="195" t="str">
        <f>'Supply chain'!B69</f>
        <v>Wholesale and retail trade; repair of motor vehicles and motorcycles</v>
      </c>
      <c r="K1340" s="194"/>
      <c r="L1340" s="194"/>
      <c r="M1340" s="195">
        <f>'Supply chain'!C69</f>
        <v>46</v>
      </c>
      <c r="N1340" s="195" t="str">
        <f>'Supply chain'!D69</f>
        <v xml:space="preserve">Wholesale trade services, except of motor vehicles and motorcycles       </v>
      </c>
      <c r="O1340" s="194"/>
      <c r="P1340" s="195" t="str">
        <f>'Supply chain'!E69</f>
        <v>Tier 1</v>
      </c>
      <c r="Q1340" s="195">
        <f>'Supply chain'!F69</f>
        <v>0.25</v>
      </c>
      <c r="R1340" s="195">
        <f>'Supply chain'!G69</f>
        <v>0</v>
      </c>
      <c r="S1340" s="195" t="str">
        <f>'Supply chain'!H69</f>
        <v>£</v>
      </c>
      <c r="T1340" s="195">
        <f>'Supply chain'!I69</f>
        <v>0</v>
      </c>
      <c r="U1340" s="195" t="str">
        <f>'Supply chain'!J69</f>
        <v>£</v>
      </c>
      <c r="V1340" s="195">
        <f>'Supply chain'!K69</f>
        <v>2.234131716568202E-2</v>
      </c>
      <c r="W1340" s="195" t="str">
        <f>'Supply chain'!L69</f>
        <v/>
      </c>
      <c r="X1340" s="193">
        <f>'Supply chain'!M69</f>
        <v>0</v>
      </c>
      <c r="Y1340" s="195">
        <f>'Supply chain'!N69</f>
        <v>0</v>
      </c>
      <c r="Z1340" s="195">
        <f>'Supply chain'!O69</f>
        <v>0</v>
      </c>
      <c r="AA1340" s="195">
        <f>'Supply chain'!P69</f>
        <v>0</v>
      </c>
      <c r="AB1340" s="195">
        <f>'Supply chain'!Q69</f>
        <v>0</v>
      </c>
      <c r="AC1340" s="195">
        <f>'Supply chain'!R69</f>
        <v>0</v>
      </c>
      <c r="AD1340" s="195">
        <f>'Supply chain'!S69</f>
        <v>0</v>
      </c>
      <c r="AE1340" s="195">
        <f>'Supply chain'!T69</f>
        <v>0</v>
      </c>
      <c r="AF1340" s="195">
        <f>'Supply chain'!U69</f>
        <v>0</v>
      </c>
      <c r="AG1340" s="195">
        <f>'Supply chain'!V69</f>
        <v>0</v>
      </c>
      <c r="AI1340" s="193">
        <f t="shared" si="28"/>
        <v>0</v>
      </c>
      <c r="AJ1340" s="193">
        <f t="shared" si="29"/>
        <v>0</v>
      </c>
    </row>
    <row r="1341" spans="2:36" x14ac:dyDescent="0.35">
      <c r="B1341" s="193" t="e">
        <f>"2024"&amp;MATCH(Totals!D1341,OrgType,0)&amp;"_"&amp;MATCH(Totals!E1341,Organisations,0)&amp;"_"&amp;LEFT(Totals!F1341,1)&amp;"_"&amp;LEFT(G1341,1)&amp;"_"&amp;COUNTIF($G$3:G1341,G1341)</f>
        <v>#N/A</v>
      </c>
      <c r="C1341" s="193">
        <v>2025</v>
      </c>
      <c r="D1341" s="193">
        <f>Introduction!$D$7</f>
        <v>0</v>
      </c>
      <c r="E1341" s="193">
        <f>Introduction!$D$8</f>
        <v>0</v>
      </c>
      <c r="F1341" s="193" t="s">
        <v>493</v>
      </c>
      <c r="G1341" s="193" t="s">
        <v>493</v>
      </c>
      <c r="H1341" s="194"/>
      <c r="I1341" s="194"/>
      <c r="J1341" s="195" t="str">
        <f>'Supply chain'!B70</f>
        <v>Wholesale and retail trade; repair of motor vehicles and motorcycles</v>
      </c>
      <c r="K1341" s="194"/>
      <c r="L1341" s="194"/>
      <c r="M1341" s="195">
        <f>'Supply chain'!C70</f>
        <v>47</v>
      </c>
      <c r="N1341" s="195" t="str">
        <f>'Supply chain'!D70</f>
        <v xml:space="preserve">Retail trade services, except of motor vehicles and motorcycles       </v>
      </c>
      <c r="O1341" s="194"/>
      <c r="P1341" s="195" t="str">
        <f>'Supply chain'!E70</f>
        <v>Tier 1</v>
      </c>
      <c r="Q1341" s="195">
        <f>'Supply chain'!F70</f>
        <v>0.25</v>
      </c>
      <c r="R1341" s="195">
        <f>'Supply chain'!G70</f>
        <v>0</v>
      </c>
      <c r="S1341" s="195" t="str">
        <f>'Supply chain'!H70</f>
        <v>£</v>
      </c>
      <c r="T1341" s="195">
        <f>'Supply chain'!I70</f>
        <v>0</v>
      </c>
      <c r="U1341" s="195" t="str">
        <f>'Supply chain'!J70</f>
        <v>£</v>
      </c>
      <c r="V1341" s="195">
        <f>'Supply chain'!K70</f>
        <v>0.1931057189600171</v>
      </c>
      <c r="W1341" s="195" t="str">
        <f>'Supply chain'!L70</f>
        <v/>
      </c>
      <c r="X1341" s="193">
        <f>'Supply chain'!M70</f>
        <v>0</v>
      </c>
      <c r="Y1341" s="195">
        <f>'Supply chain'!N70</f>
        <v>0</v>
      </c>
      <c r="Z1341" s="195">
        <f>'Supply chain'!O70</f>
        <v>0</v>
      </c>
      <c r="AA1341" s="195">
        <f>'Supply chain'!P70</f>
        <v>0</v>
      </c>
      <c r="AB1341" s="195">
        <f>'Supply chain'!Q70</f>
        <v>0</v>
      </c>
      <c r="AC1341" s="195">
        <f>'Supply chain'!R70</f>
        <v>0</v>
      </c>
      <c r="AD1341" s="195">
        <f>'Supply chain'!S70</f>
        <v>0</v>
      </c>
      <c r="AE1341" s="195">
        <f>'Supply chain'!T70</f>
        <v>0</v>
      </c>
      <c r="AF1341" s="195">
        <f>'Supply chain'!U70</f>
        <v>0</v>
      </c>
      <c r="AG1341" s="195">
        <f>'Supply chain'!V70</f>
        <v>0</v>
      </c>
      <c r="AI1341" s="193">
        <f t="shared" si="28"/>
        <v>0</v>
      </c>
      <c r="AJ1341" s="193">
        <f t="shared" si="29"/>
        <v>0</v>
      </c>
    </row>
    <row r="1342" spans="2:36" x14ac:dyDescent="0.35">
      <c r="B1342" s="193" t="e">
        <f>"2024"&amp;MATCH(Totals!D1342,OrgType,0)&amp;"_"&amp;MATCH(Totals!E1342,Organisations,0)&amp;"_"&amp;LEFT(Totals!F1342,1)&amp;"_"&amp;LEFT(G1342,1)&amp;"_"&amp;COUNTIF($G$3:G1342,G1342)</f>
        <v>#N/A</v>
      </c>
      <c r="C1342" s="193">
        <v>2025</v>
      </c>
      <c r="D1342" s="193">
        <f>Introduction!$D$7</f>
        <v>0</v>
      </c>
      <c r="E1342" s="193">
        <f>Introduction!$D$8</f>
        <v>0</v>
      </c>
      <c r="F1342" s="193" t="s">
        <v>493</v>
      </c>
      <c r="G1342" s="193" t="s">
        <v>493</v>
      </c>
      <c r="H1342" s="194"/>
      <c r="I1342" s="194"/>
      <c r="J1342" s="195" t="str">
        <f>'Supply chain'!B71</f>
        <v>Transportation and storage</v>
      </c>
      <c r="K1342" s="194"/>
      <c r="L1342" s="194"/>
      <c r="M1342" s="195" t="str">
        <f>'Supply chain'!C71</f>
        <v>49.1-2</v>
      </c>
      <c r="N1342" s="195" t="str">
        <f>'Supply chain'!D71</f>
        <v xml:space="preserve">Rail transport services             </v>
      </c>
      <c r="O1342" s="194"/>
      <c r="P1342" s="195" t="str">
        <f>'Supply chain'!E71</f>
        <v>Tier 1</v>
      </c>
      <c r="Q1342" s="195">
        <f>'Supply chain'!F71</f>
        <v>0.25</v>
      </c>
      <c r="R1342" s="195">
        <f>'Supply chain'!G71</f>
        <v>0</v>
      </c>
      <c r="S1342" s="195" t="str">
        <f>'Supply chain'!H71</f>
        <v>£</v>
      </c>
      <c r="T1342" s="195">
        <f>'Supply chain'!I71</f>
        <v>0</v>
      </c>
      <c r="U1342" s="195" t="str">
        <f>'Supply chain'!J71</f>
        <v>£</v>
      </c>
      <c r="V1342" s="195">
        <f>'Supply chain'!K71</f>
        <v>0.79424109102054019</v>
      </c>
      <c r="W1342" s="195" t="str">
        <f>'Supply chain'!L71</f>
        <v/>
      </c>
      <c r="X1342" s="193">
        <f>'Supply chain'!M71</f>
        <v>0</v>
      </c>
      <c r="Y1342" s="195">
        <f>'Supply chain'!N71</f>
        <v>0</v>
      </c>
      <c r="Z1342" s="195">
        <f>'Supply chain'!O71</f>
        <v>0</v>
      </c>
      <c r="AA1342" s="195">
        <f>'Supply chain'!P71</f>
        <v>0</v>
      </c>
      <c r="AB1342" s="195">
        <f>'Supply chain'!Q71</f>
        <v>0</v>
      </c>
      <c r="AC1342" s="195">
        <f>'Supply chain'!R71</f>
        <v>0</v>
      </c>
      <c r="AD1342" s="195">
        <f>'Supply chain'!S71</f>
        <v>0</v>
      </c>
      <c r="AE1342" s="195">
        <f>'Supply chain'!T71</f>
        <v>0</v>
      </c>
      <c r="AF1342" s="195">
        <f>'Supply chain'!U71</f>
        <v>0</v>
      </c>
      <c r="AG1342" s="195">
        <f>'Supply chain'!V71</f>
        <v>0</v>
      </c>
      <c r="AI1342" s="193">
        <f t="shared" si="28"/>
        <v>0</v>
      </c>
      <c r="AJ1342" s="193">
        <f t="shared" si="29"/>
        <v>0</v>
      </c>
    </row>
    <row r="1343" spans="2:36" x14ac:dyDescent="0.35">
      <c r="B1343" s="193" t="e">
        <f>"2024"&amp;MATCH(Totals!D1343,OrgType,0)&amp;"_"&amp;MATCH(Totals!E1343,Organisations,0)&amp;"_"&amp;LEFT(Totals!F1343,1)&amp;"_"&amp;LEFT(G1343,1)&amp;"_"&amp;COUNTIF($G$3:G1343,G1343)</f>
        <v>#N/A</v>
      </c>
      <c r="C1343" s="193">
        <v>2025</v>
      </c>
      <c r="D1343" s="193">
        <f>Introduction!$D$7</f>
        <v>0</v>
      </c>
      <c r="E1343" s="193">
        <f>Introduction!$D$8</f>
        <v>0</v>
      </c>
      <c r="F1343" s="193" t="s">
        <v>493</v>
      </c>
      <c r="G1343" s="193" t="s">
        <v>493</v>
      </c>
      <c r="H1343" s="194"/>
      <c r="I1343" s="194"/>
      <c r="J1343" s="195" t="str">
        <f>'Supply chain'!B72</f>
        <v>Transportation and storage</v>
      </c>
      <c r="K1343" s="194"/>
      <c r="L1343" s="194"/>
      <c r="M1343" s="195" t="str">
        <f>'Supply chain'!C72</f>
        <v>49.3-5</v>
      </c>
      <c r="N1343" s="195" t="str">
        <f>'Supply chain'!D72</f>
        <v xml:space="preserve">Land transport services and transport services via pipelines, excluding rail transport     </v>
      </c>
      <c r="O1343" s="194"/>
      <c r="P1343" s="195" t="str">
        <f>'Supply chain'!E72</f>
        <v>Tier 1</v>
      </c>
      <c r="Q1343" s="195">
        <f>'Supply chain'!F72</f>
        <v>0.25</v>
      </c>
      <c r="R1343" s="195">
        <f>'Supply chain'!G72</f>
        <v>0</v>
      </c>
      <c r="S1343" s="195" t="str">
        <f>'Supply chain'!H72</f>
        <v>£</v>
      </c>
      <c r="T1343" s="195">
        <f>'Supply chain'!I72</f>
        <v>0</v>
      </c>
      <c r="U1343" s="195" t="str">
        <f>'Supply chain'!J72</f>
        <v>£</v>
      </c>
      <c r="V1343" s="195">
        <f>'Supply chain'!K72</f>
        <v>0.62067816377251606</v>
      </c>
      <c r="W1343" s="195" t="str">
        <f>'Supply chain'!L72</f>
        <v/>
      </c>
      <c r="X1343" s="193">
        <f>'Supply chain'!M72</f>
        <v>0</v>
      </c>
      <c r="Y1343" s="195">
        <f>'Supply chain'!N72</f>
        <v>0</v>
      </c>
      <c r="Z1343" s="195">
        <f>'Supply chain'!O72</f>
        <v>0</v>
      </c>
      <c r="AA1343" s="195">
        <f>'Supply chain'!P72</f>
        <v>0</v>
      </c>
      <c r="AB1343" s="195">
        <f>'Supply chain'!Q72</f>
        <v>0</v>
      </c>
      <c r="AC1343" s="195">
        <f>'Supply chain'!R72</f>
        <v>0</v>
      </c>
      <c r="AD1343" s="195">
        <f>'Supply chain'!S72</f>
        <v>0</v>
      </c>
      <c r="AE1343" s="195">
        <f>'Supply chain'!T72</f>
        <v>0</v>
      </c>
      <c r="AF1343" s="195">
        <f>'Supply chain'!U72</f>
        <v>0</v>
      </c>
      <c r="AG1343" s="195">
        <f>'Supply chain'!V72</f>
        <v>0</v>
      </c>
      <c r="AI1343" s="193">
        <f t="shared" si="28"/>
        <v>0</v>
      </c>
      <c r="AJ1343" s="193">
        <f t="shared" si="29"/>
        <v>0</v>
      </c>
    </row>
    <row r="1344" spans="2:36" x14ac:dyDescent="0.35">
      <c r="B1344" s="193" t="e">
        <f>"2024"&amp;MATCH(Totals!D1344,OrgType,0)&amp;"_"&amp;MATCH(Totals!E1344,Organisations,0)&amp;"_"&amp;LEFT(Totals!F1344,1)&amp;"_"&amp;LEFT(G1344,1)&amp;"_"&amp;COUNTIF($G$3:G1344,G1344)</f>
        <v>#N/A</v>
      </c>
      <c r="C1344" s="193">
        <v>2025</v>
      </c>
      <c r="D1344" s="193">
        <f>Introduction!$D$7</f>
        <v>0</v>
      </c>
      <c r="E1344" s="193">
        <f>Introduction!$D$8</f>
        <v>0</v>
      </c>
      <c r="F1344" s="193" t="s">
        <v>493</v>
      </c>
      <c r="G1344" s="193" t="s">
        <v>493</v>
      </c>
      <c r="H1344" s="194"/>
      <c r="I1344" s="194"/>
      <c r="J1344" s="195" t="str">
        <f>'Supply chain'!B73</f>
        <v>Transportation and storage</v>
      </c>
      <c r="K1344" s="194"/>
      <c r="L1344" s="194"/>
      <c r="M1344" s="195">
        <f>'Supply chain'!C73</f>
        <v>50</v>
      </c>
      <c r="N1344" s="195" t="str">
        <f>'Supply chain'!D73</f>
        <v xml:space="preserve">Water transport services             </v>
      </c>
      <c r="O1344" s="194"/>
      <c r="P1344" s="195" t="str">
        <f>'Supply chain'!E73</f>
        <v>Tier 1</v>
      </c>
      <c r="Q1344" s="195">
        <f>'Supply chain'!F73</f>
        <v>0.25</v>
      </c>
      <c r="R1344" s="195">
        <f>'Supply chain'!G73</f>
        <v>0</v>
      </c>
      <c r="S1344" s="195" t="str">
        <f>'Supply chain'!H73</f>
        <v>£</v>
      </c>
      <c r="T1344" s="195">
        <f>'Supply chain'!I73</f>
        <v>0</v>
      </c>
      <c r="U1344" s="195" t="str">
        <f>'Supply chain'!J73</f>
        <v>£</v>
      </c>
      <c r="V1344" s="195">
        <f>'Supply chain'!K73</f>
        <v>2.4066987433516789</v>
      </c>
      <c r="W1344" s="195" t="str">
        <f>'Supply chain'!L73</f>
        <v/>
      </c>
      <c r="X1344" s="193">
        <f>'Supply chain'!M73</f>
        <v>0</v>
      </c>
      <c r="Y1344" s="195">
        <f>'Supply chain'!N73</f>
        <v>0</v>
      </c>
      <c r="Z1344" s="195">
        <f>'Supply chain'!O73</f>
        <v>0</v>
      </c>
      <c r="AA1344" s="195">
        <f>'Supply chain'!P73</f>
        <v>0</v>
      </c>
      <c r="AB1344" s="195">
        <f>'Supply chain'!Q73</f>
        <v>0</v>
      </c>
      <c r="AC1344" s="195">
        <f>'Supply chain'!R73</f>
        <v>0</v>
      </c>
      <c r="AD1344" s="195">
        <f>'Supply chain'!S73</f>
        <v>0</v>
      </c>
      <c r="AE1344" s="195">
        <f>'Supply chain'!T73</f>
        <v>0</v>
      </c>
      <c r="AF1344" s="195">
        <f>'Supply chain'!U73</f>
        <v>0</v>
      </c>
      <c r="AG1344" s="195">
        <f>'Supply chain'!V73</f>
        <v>0</v>
      </c>
      <c r="AI1344" s="193">
        <f t="shared" si="28"/>
        <v>0</v>
      </c>
      <c r="AJ1344" s="193">
        <f t="shared" si="29"/>
        <v>0</v>
      </c>
    </row>
    <row r="1345" spans="2:36" x14ac:dyDescent="0.35">
      <c r="B1345" s="193" t="e">
        <f>"2024"&amp;MATCH(Totals!D1345,OrgType,0)&amp;"_"&amp;MATCH(Totals!E1345,Organisations,0)&amp;"_"&amp;LEFT(Totals!F1345,1)&amp;"_"&amp;LEFT(G1345,1)&amp;"_"&amp;COUNTIF($G$3:G1345,G1345)</f>
        <v>#N/A</v>
      </c>
      <c r="C1345" s="193">
        <v>2025</v>
      </c>
      <c r="D1345" s="193">
        <f>Introduction!$D$7</f>
        <v>0</v>
      </c>
      <c r="E1345" s="193">
        <f>Introduction!$D$8</f>
        <v>0</v>
      </c>
      <c r="F1345" s="193" t="s">
        <v>493</v>
      </c>
      <c r="G1345" s="193" t="s">
        <v>493</v>
      </c>
      <c r="H1345" s="194"/>
      <c r="I1345" s="194"/>
      <c r="J1345" s="195" t="str">
        <f>'Supply chain'!B74</f>
        <v>Transportation and storage</v>
      </c>
      <c r="K1345" s="194"/>
      <c r="L1345" s="194"/>
      <c r="M1345" s="195">
        <f>'Supply chain'!C74</f>
        <v>51</v>
      </c>
      <c r="N1345" s="195" t="str">
        <f>'Supply chain'!D74</f>
        <v xml:space="preserve">Air transport services             </v>
      </c>
      <c r="O1345" s="194"/>
      <c r="P1345" s="195" t="str">
        <f>'Supply chain'!E74</f>
        <v>Tier 1</v>
      </c>
      <c r="Q1345" s="195">
        <f>'Supply chain'!F74</f>
        <v>0.25</v>
      </c>
      <c r="R1345" s="195">
        <f>'Supply chain'!G74</f>
        <v>0</v>
      </c>
      <c r="S1345" s="195" t="str">
        <f>'Supply chain'!H74</f>
        <v>£</v>
      </c>
      <c r="T1345" s="195">
        <f>'Supply chain'!I74</f>
        <v>0</v>
      </c>
      <c r="U1345" s="195" t="str">
        <f>'Supply chain'!J74</f>
        <v>£</v>
      </c>
      <c r="V1345" s="195">
        <f>'Supply chain'!K74</f>
        <v>1.49738557417494</v>
      </c>
      <c r="W1345" s="195" t="str">
        <f>'Supply chain'!L74</f>
        <v/>
      </c>
      <c r="X1345" s="193">
        <f>'Supply chain'!M74</f>
        <v>0</v>
      </c>
      <c r="Y1345" s="195">
        <f>'Supply chain'!N74</f>
        <v>0</v>
      </c>
      <c r="Z1345" s="195">
        <f>'Supply chain'!O74</f>
        <v>0</v>
      </c>
      <c r="AA1345" s="195">
        <f>'Supply chain'!P74</f>
        <v>0</v>
      </c>
      <c r="AB1345" s="195">
        <f>'Supply chain'!Q74</f>
        <v>0</v>
      </c>
      <c r="AC1345" s="195">
        <f>'Supply chain'!R74</f>
        <v>0</v>
      </c>
      <c r="AD1345" s="195">
        <f>'Supply chain'!S74</f>
        <v>0</v>
      </c>
      <c r="AE1345" s="195">
        <f>'Supply chain'!T74</f>
        <v>0</v>
      </c>
      <c r="AF1345" s="195">
        <f>'Supply chain'!U74</f>
        <v>0</v>
      </c>
      <c r="AG1345" s="195">
        <f>'Supply chain'!V74</f>
        <v>0</v>
      </c>
      <c r="AI1345" s="193">
        <f t="shared" si="28"/>
        <v>0</v>
      </c>
      <c r="AJ1345" s="193">
        <f t="shared" si="29"/>
        <v>0</v>
      </c>
    </row>
    <row r="1346" spans="2:36" x14ac:dyDescent="0.35">
      <c r="B1346" s="193" t="e">
        <f>"2024"&amp;MATCH(Totals!D1346,OrgType,0)&amp;"_"&amp;MATCH(Totals!E1346,Organisations,0)&amp;"_"&amp;LEFT(Totals!F1346,1)&amp;"_"&amp;LEFT(G1346,1)&amp;"_"&amp;COUNTIF($G$3:G1346,G1346)</f>
        <v>#N/A</v>
      </c>
      <c r="C1346" s="193">
        <v>2025</v>
      </c>
      <c r="D1346" s="193">
        <f>Introduction!$D$7</f>
        <v>0</v>
      </c>
      <c r="E1346" s="193">
        <f>Introduction!$D$8</f>
        <v>0</v>
      </c>
      <c r="F1346" s="193" t="s">
        <v>493</v>
      </c>
      <c r="G1346" s="193" t="s">
        <v>493</v>
      </c>
      <c r="H1346" s="194"/>
      <c r="I1346" s="194"/>
      <c r="J1346" s="195" t="str">
        <f>'Supply chain'!B75</f>
        <v>Transportation and storage</v>
      </c>
      <c r="K1346" s="194"/>
      <c r="L1346" s="194"/>
      <c r="M1346" s="195">
        <f>'Supply chain'!C75</f>
        <v>52</v>
      </c>
      <c r="N1346" s="195" t="str">
        <f>'Supply chain'!D75</f>
        <v xml:space="preserve">Warehousing and support services for transportation          </v>
      </c>
      <c r="O1346" s="194"/>
      <c r="P1346" s="195" t="str">
        <f>'Supply chain'!E75</f>
        <v>Tier 1</v>
      </c>
      <c r="Q1346" s="195">
        <f>'Supply chain'!F75</f>
        <v>0.25</v>
      </c>
      <c r="R1346" s="195">
        <f>'Supply chain'!G75</f>
        <v>0</v>
      </c>
      <c r="S1346" s="195" t="str">
        <f>'Supply chain'!H75</f>
        <v>£</v>
      </c>
      <c r="T1346" s="195">
        <f>'Supply chain'!I75</f>
        <v>0</v>
      </c>
      <c r="U1346" s="195" t="str">
        <f>'Supply chain'!J75</f>
        <v>£</v>
      </c>
      <c r="V1346" s="195">
        <f>'Supply chain'!K75</f>
        <v>0.33903194108126777</v>
      </c>
      <c r="W1346" s="195" t="str">
        <f>'Supply chain'!L75</f>
        <v/>
      </c>
      <c r="X1346" s="193">
        <f>'Supply chain'!M75</f>
        <v>0</v>
      </c>
      <c r="Y1346" s="195">
        <f>'Supply chain'!N75</f>
        <v>0</v>
      </c>
      <c r="Z1346" s="195">
        <f>'Supply chain'!O75</f>
        <v>0</v>
      </c>
      <c r="AA1346" s="195">
        <f>'Supply chain'!P75</f>
        <v>0</v>
      </c>
      <c r="AB1346" s="195">
        <f>'Supply chain'!Q75</f>
        <v>0</v>
      </c>
      <c r="AC1346" s="195">
        <f>'Supply chain'!R75</f>
        <v>0</v>
      </c>
      <c r="AD1346" s="195">
        <f>'Supply chain'!S75</f>
        <v>0</v>
      </c>
      <c r="AE1346" s="195">
        <f>'Supply chain'!T75</f>
        <v>0</v>
      </c>
      <c r="AF1346" s="195">
        <f>'Supply chain'!U75</f>
        <v>0</v>
      </c>
      <c r="AG1346" s="195">
        <f>'Supply chain'!V75</f>
        <v>0</v>
      </c>
      <c r="AI1346" s="193">
        <f t="shared" si="28"/>
        <v>0</v>
      </c>
      <c r="AJ1346" s="193">
        <f t="shared" si="29"/>
        <v>0</v>
      </c>
    </row>
    <row r="1347" spans="2:36" x14ac:dyDescent="0.35">
      <c r="B1347" s="193" t="e">
        <f>"2024"&amp;MATCH(Totals!D1347,OrgType,0)&amp;"_"&amp;MATCH(Totals!E1347,Organisations,0)&amp;"_"&amp;LEFT(Totals!F1347,1)&amp;"_"&amp;LEFT(G1347,1)&amp;"_"&amp;COUNTIF($G$3:G1347,G1347)</f>
        <v>#N/A</v>
      </c>
      <c r="C1347" s="193">
        <v>2025</v>
      </c>
      <c r="D1347" s="193">
        <f>Introduction!$D$7</f>
        <v>0</v>
      </c>
      <c r="E1347" s="193">
        <f>Introduction!$D$8</f>
        <v>0</v>
      </c>
      <c r="F1347" s="193" t="s">
        <v>493</v>
      </c>
      <c r="G1347" s="193" t="s">
        <v>493</v>
      </c>
      <c r="H1347" s="194"/>
      <c r="I1347" s="194"/>
      <c r="J1347" s="195" t="str">
        <f>'Supply chain'!B76</f>
        <v>Transportation and storage</v>
      </c>
      <c r="K1347" s="194"/>
      <c r="L1347" s="194"/>
      <c r="M1347" s="195">
        <f>'Supply chain'!C76</f>
        <v>53</v>
      </c>
      <c r="N1347" s="195" t="str">
        <f>'Supply chain'!D76</f>
        <v xml:space="preserve">Postal and courier services            </v>
      </c>
      <c r="O1347" s="194"/>
      <c r="P1347" s="195" t="str">
        <f>'Supply chain'!E76</f>
        <v>Tier 1</v>
      </c>
      <c r="Q1347" s="195">
        <f>'Supply chain'!F76</f>
        <v>0.25</v>
      </c>
      <c r="R1347" s="195">
        <f>'Supply chain'!G76</f>
        <v>0</v>
      </c>
      <c r="S1347" s="195" t="str">
        <f>'Supply chain'!H76</f>
        <v>£</v>
      </c>
      <c r="T1347" s="195">
        <f>'Supply chain'!I76</f>
        <v>0</v>
      </c>
      <c r="U1347" s="195" t="str">
        <f>'Supply chain'!J76</f>
        <v>£</v>
      </c>
      <c r="V1347" s="195">
        <f>'Supply chain'!K76</f>
        <v>0.26376569166190827</v>
      </c>
      <c r="W1347" s="195" t="str">
        <f>'Supply chain'!L76</f>
        <v/>
      </c>
      <c r="X1347" s="193">
        <f>'Supply chain'!M76</f>
        <v>0</v>
      </c>
      <c r="Y1347" s="195">
        <f>'Supply chain'!N76</f>
        <v>0</v>
      </c>
      <c r="Z1347" s="195">
        <f>'Supply chain'!O76</f>
        <v>0</v>
      </c>
      <c r="AA1347" s="195">
        <f>'Supply chain'!P76</f>
        <v>0</v>
      </c>
      <c r="AB1347" s="195">
        <f>'Supply chain'!Q76</f>
        <v>0</v>
      </c>
      <c r="AC1347" s="195">
        <f>'Supply chain'!R76</f>
        <v>0</v>
      </c>
      <c r="AD1347" s="195">
        <f>'Supply chain'!S76</f>
        <v>0</v>
      </c>
      <c r="AE1347" s="195">
        <f>'Supply chain'!T76</f>
        <v>0</v>
      </c>
      <c r="AF1347" s="195">
        <f>'Supply chain'!U76</f>
        <v>0</v>
      </c>
      <c r="AG1347" s="195">
        <f>'Supply chain'!V76</f>
        <v>0</v>
      </c>
      <c r="AI1347" s="193">
        <f t="shared" si="28"/>
        <v>0</v>
      </c>
      <c r="AJ1347" s="193">
        <f t="shared" si="29"/>
        <v>0</v>
      </c>
    </row>
    <row r="1348" spans="2:36" x14ac:dyDescent="0.35">
      <c r="B1348" s="193" t="e">
        <f>"2024"&amp;MATCH(Totals!D1348,OrgType,0)&amp;"_"&amp;MATCH(Totals!E1348,Organisations,0)&amp;"_"&amp;LEFT(Totals!F1348,1)&amp;"_"&amp;LEFT(G1348,1)&amp;"_"&amp;COUNTIF($G$3:G1348,G1348)</f>
        <v>#N/A</v>
      </c>
      <c r="C1348" s="193">
        <v>2025</v>
      </c>
      <c r="D1348" s="193">
        <f>Introduction!$D$7</f>
        <v>0</v>
      </c>
      <c r="E1348" s="193">
        <f>Introduction!$D$8</f>
        <v>0</v>
      </c>
      <c r="F1348" s="193" t="s">
        <v>493</v>
      </c>
      <c r="G1348" s="193" t="s">
        <v>493</v>
      </c>
      <c r="H1348" s="194"/>
      <c r="I1348" s="194"/>
      <c r="J1348" s="195" t="str">
        <f>'Supply chain'!B77</f>
        <v>Accommodation and food service activities</v>
      </c>
      <c r="K1348" s="194"/>
      <c r="L1348" s="194"/>
      <c r="M1348" s="195">
        <f>'Supply chain'!C77</f>
        <v>55</v>
      </c>
      <c r="N1348" s="195" t="str">
        <f>'Supply chain'!D77</f>
        <v xml:space="preserve">Accommodation services              </v>
      </c>
      <c r="O1348" s="194"/>
      <c r="P1348" s="195" t="str">
        <f>'Supply chain'!E77</f>
        <v>Tier 1</v>
      </c>
      <c r="Q1348" s="195">
        <f>'Supply chain'!F77</f>
        <v>0.25</v>
      </c>
      <c r="R1348" s="195">
        <f>'Supply chain'!G77</f>
        <v>0</v>
      </c>
      <c r="S1348" s="195" t="str">
        <f>'Supply chain'!H77</f>
        <v>£</v>
      </c>
      <c r="T1348" s="195">
        <f>'Supply chain'!I77</f>
        <v>0</v>
      </c>
      <c r="U1348" s="195" t="str">
        <f>'Supply chain'!J77</f>
        <v>£</v>
      </c>
      <c r="V1348" s="195">
        <f>'Supply chain'!K77</f>
        <v>0.3406388605930335</v>
      </c>
      <c r="W1348" s="195" t="str">
        <f>'Supply chain'!L77</f>
        <v/>
      </c>
      <c r="X1348" s="193">
        <f>'Supply chain'!M77</f>
        <v>0</v>
      </c>
      <c r="Y1348" s="195">
        <f>'Supply chain'!N77</f>
        <v>0</v>
      </c>
      <c r="Z1348" s="195">
        <f>'Supply chain'!O77</f>
        <v>0</v>
      </c>
      <c r="AA1348" s="195">
        <f>'Supply chain'!P77</f>
        <v>0</v>
      </c>
      <c r="AB1348" s="195">
        <f>'Supply chain'!Q77</f>
        <v>0</v>
      </c>
      <c r="AC1348" s="195">
        <f>'Supply chain'!R77</f>
        <v>0</v>
      </c>
      <c r="AD1348" s="195">
        <f>'Supply chain'!S77</f>
        <v>0</v>
      </c>
      <c r="AE1348" s="195">
        <f>'Supply chain'!T77</f>
        <v>0</v>
      </c>
      <c r="AF1348" s="195">
        <f>'Supply chain'!U77</f>
        <v>0</v>
      </c>
      <c r="AG1348" s="195">
        <f>'Supply chain'!V77</f>
        <v>0</v>
      </c>
      <c r="AI1348" s="193">
        <f t="shared" si="28"/>
        <v>0</v>
      </c>
      <c r="AJ1348" s="193">
        <f t="shared" si="29"/>
        <v>0</v>
      </c>
    </row>
    <row r="1349" spans="2:36" x14ac:dyDescent="0.35">
      <c r="B1349" s="193" t="e">
        <f>"2024"&amp;MATCH(Totals!D1349,OrgType,0)&amp;"_"&amp;MATCH(Totals!E1349,Organisations,0)&amp;"_"&amp;LEFT(Totals!F1349,1)&amp;"_"&amp;LEFT(G1349,1)&amp;"_"&amp;COUNTIF($G$3:G1349,G1349)</f>
        <v>#N/A</v>
      </c>
      <c r="C1349" s="193">
        <v>2025</v>
      </c>
      <c r="D1349" s="193">
        <f>Introduction!$D$7</f>
        <v>0</v>
      </c>
      <c r="E1349" s="193">
        <f>Introduction!$D$8</f>
        <v>0</v>
      </c>
      <c r="F1349" s="193" t="s">
        <v>493</v>
      </c>
      <c r="G1349" s="193" t="s">
        <v>493</v>
      </c>
      <c r="H1349" s="194"/>
      <c r="I1349" s="194"/>
      <c r="J1349" s="195" t="str">
        <f>'Supply chain'!B78</f>
        <v>Accommodation and food service activities</v>
      </c>
      <c r="K1349" s="194"/>
      <c r="L1349" s="194"/>
      <c r="M1349" s="195">
        <f>'Supply chain'!C78</f>
        <v>56</v>
      </c>
      <c r="N1349" s="195" t="str">
        <f>'Supply chain'!D78</f>
        <v xml:space="preserve">Food and beverage serving services           </v>
      </c>
      <c r="O1349" s="194"/>
      <c r="P1349" s="195" t="str">
        <f>'Supply chain'!E78</f>
        <v>Tier 1</v>
      </c>
      <c r="Q1349" s="195">
        <f>'Supply chain'!F78</f>
        <v>0.25</v>
      </c>
      <c r="R1349" s="195">
        <f>'Supply chain'!G78</f>
        <v>0</v>
      </c>
      <c r="S1349" s="195" t="str">
        <f>'Supply chain'!H78</f>
        <v>£</v>
      </c>
      <c r="T1349" s="195">
        <f>'Supply chain'!I78</f>
        <v>0</v>
      </c>
      <c r="U1349" s="195" t="str">
        <f>'Supply chain'!J78</f>
        <v>£</v>
      </c>
      <c r="V1349" s="195">
        <f>'Supply chain'!K78</f>
        <v>0.3160795231113418</v>
      </c>
      <c r="W1349" s="195" t="str">
        <f>'Supply chain'!L78</f>
        <v/>
      </c>
      <c r="X1349" s="193">
        <f>'Supply chain'!M78</f>
        <v>0</v>
      </c>
      <c r="Y1349" s="195">
        <f>'Supply chain'!N78</f>
        <v>0</v>
      </c>
      <c r="Z1349" s="195">
        <f>'Supply chain'!O78</f>
        <v>0</v>
      </c>
      <c r="AA1349" s="195">
        <f>'Supply chain'!P78</f>
        <v>0</v>
      </c>
      <c r="AB1349" s="195">
        <f>'Supply chain'!Q78</f>
        <v>0</v>
      </c>
      <c r="AC1349" s="195">
        <f>'Supply chain'!R78</f>
        <v>0</v>
      </c>
      <c r="AD1349" s="195">
        <f>'Supply chain'!S78</f>
        <v>0</v>
      </c>
      <c r="AE1349" s="195">
        <f>'Supply chain'!T78</f>
        <v>0</v>
      </c>
      <c r="AF1349" s="195">
        <f>'Supply chain'!U78</f>
        <v>0</v>
      </c>
      <c r="AG1349" s="195">
        <f>'Supply chain'!V78</f>
        <v>0</v>
      </c>
      <c r="AI1349" s="193">
        <f t="shared" si="28"/>
        <v>0</v>
      </c>
      <c r="AJ1349" s="193">
        <f t="shared" si="29"/>
        <v>0</v>
      </c>
    </row>
    <row r="1350" spans="2:36" x14ac:dyDescent="0.35">
      <c r="B1350" s="193" t="e">
        <f>"2024"&amp;MATCH(Totals!D1350,OrgType,0)&amp;"_"&amp;MATCH(Totals!E1350,Organisations,0)&amp;"_"&amp;LEFT(Totals!F1350,1)&amp;"_"&amp;LEFT(G1350,1)&amp;"_"&amp;COUNTIF($G$3:G1350,G1350)</f>
        <v>#N/A</v>
      </c>
      <c r="C1350" s="193">
        <v>2025</v>
      </c>
      <c r="D1350" s="193">
        <f>Introduction!$D$7</f>
        <v>0</v>
      </c>
      <c r="E1350" s="193">
        <f>Introduction!$D$8</f>
        <v>0</v>
      </c>
      <c r="F1350" s="193" t="s">
        <v>493</v>
      </c>
      <c r="G1350" s="193" t="s">
        <v>493</v>
      </c>
      <c r="H1350" s="194"/>
      <c r="I1350" s="194"/>
      <c r="J1350" s="195" t="str">
        <f>'Supply chain'!B79</f>
        <v>Information and communication</v>
      </c>
      <c r="K1350" s="194"/>
      <c r="L1350" s="194"/>
      <c r="M1350" s="195">
        <f>'Supply chain'!C79</f>
        <v>58</v>
      </c>
      <c r="N1350" s="195" t="str">
        <f>'Supply chain'!D79</f>
        <v xml:space="preserve">Publishing services              </v>
      </c>
      <c r="O1350" s="194"/>
      <c r="P1350" s="195" t="str">
        <f>'Supply chain'!E79</f>
        <v>Tier 1</v>
      </c>
      <c r="Q1350" s="195">
        <f>'Supply chain'!F79</f>
        <v>0.25</v>
      </c>
      <c r="R1350" s="195">
        <f>'Supply chain'!G79</f>
        <v>0</v>
      </c>
      <c r="S1350" s="195" t="str">
        <f>'Supply chain'!H79</f>
        <v>£</v>
      </c>
      <c r="T1350" s="195">
        <f>'Supply chain'!I79</f>
        <v>0</v>
      </c>
      <c r="U1350" s="195" t="str">
        <f>'Supply chain'!J79</f>
        <v>£</v>
      </c>
      <c r="V1350" s="195">
        <f>'Supply chain'!K79</f>
        <v>0.1022139832419458</v>
      </c>
      <c r="W1350" s="195" t="str">
        <f>'Supply chain'!L79</f>
        <v/>
      </c>
      <c r="X1350" s="193">
        <f>'Supply chain'!M79</f>
        <v>0</v>
      </c>
      <c r="Y1350" s="195">
        <f>'Supply chain'!N79</f>
        <v>0</v>
      </c>
      <c r="Z1350" s="195">
        <f>'Supply chain'!O79</f>
        <v>0</v>
      </c>
      <c r="AA1350" s="195">
        <f>'Supply chain'!P79</f>
        <v>0</v>
      </c>
      <c r="AB1350" s="195">
        <f>'Supply chain'!Q79</f>
        <v>0</v>
      </c>
      <c r="AC1350" s="195">
        <f>'Supply chain'!R79</f>
        <v>0</v>
      </c>
      <c r="AD1350" s="195">
        <f>'Supply chain'!S79</f>
        <v>0</v>
      </c>
      <c r="AE1350" s="195">
        <f>'Supply chain'!T79</f>
        <v>0</v>
      </c>
      <c r="AF1350" s="195">
        <f>'Supply chain'!U79</f>
        <v>0</v>
      </c>
      <c r="AG1350" s="195">
        <f>'Supply chain'!V79</f>
        <v>0</v>
      </c>
      <c r="AI1350" s="193">
        <f t="shared" si="28"/>
        <v>0</v>
      </c>
      <c r="AJ1350" s="193">
        <f t="shared" si="29"/>
        <v>0</v>
      </c>
    </row>
    <row r="1351" spans="2:36" x14ac:dyDescent="0.35">
      <c r="B1351" s="193" t="e">
        <f>"2024"&amp;MATCH(Totals!D1351,OrgType,0)&amp;"_"&amp;MATCH(Totals!E1351,Organisations,0)&amp;"_"&amp;LEFT(Totals!F1351,1)&amp;"_"&amp;LEFT(G1351,1)&amp;"_"&amp;COUNTIF($G$3:G1351,G1351)</f>
        <v>#N/A</v>
      </c>
      <c r="C1351" s="193">
        <v>2025</v>
      </c>
      <c r="D1351" s="193">
        <f>Introduction!$D$7</f>
        <v>0</v>
      </c>
      <c r="E1351" s="193">
        <f>Introduction!$D$8</f>
        <v>0</v>
      </c>
      <c r="F1351" s="193" t="s">
        <v>493</v>
      </c>
      <c r="G1351" s="193" t="s">
        <v>493</v>
      </c>
      <c r="H1351" s="194"/>
      <c r="I1351" s="194"/>
      <c r="J1351" s="195" t="str">
        <f>'Supply chain'!B80</f>
        <v>Information and communication</v>
      </c>
      <c r="K1351" s="194"/>
      <c r="L1351" s="194"/>
      <c r="M1351" s="195">
        <f>'Supply chain'!C80</f>
        <v>59</v>
      </c>
      <c r="N1351" s="195" t="str">
        <f>'Supply chain'!D80</f>
        <v xml:space="preserve">Motion picture, video and TV programme production services, sound recording &amp; music publishing   </v>
      </c>
      <c r="O1351" s="194"/>
      <c r="P1351" s="195" t="str">
        <f>'Supply chain'!E80</f>
        <v>Tier 1</v>
      </c>
      <c r="Q1351" s="195">
        <f>'Supply chain'!F80</f>
        <v>0.25</v>
      </c>
      <c r="R1351" s="195">
        <f>'Supply chain'!G80</f>
        <v>0</v>
      </c>
      <c r="S1351" s="195" t="str">
        <f>'Supply chain'!H80</f>
        <v>£</v>
      </c>
      <c r="T1351" s="195">
        <f>'Supply chain'!I80</f>
        <v>0</v>
      </c>
      <c r="U1351" s="195" t="str">
        <f>'Supply chain'!J80</f>
        <v>£</v>
      </c>
      <c r="V1351" s="195">
        <f>'Supply chain'!K80</f>
        <v>0.13508909105117459</v>
      </c>
      <c r="W1351" s="195" t="str">
        <f>'Supply chain'!L80</f>
        <v/>
      </c>
      <c r="X1351" s="193">
        <f>'Supply chain'!M80</f>
        <v>0</v>
      </c>
      <c r="Y1351" s="195">
        <f>'Supply chain'!N80</f>
        <v>0</v>
      </c>
      <c r="Z1351" s="195">
        <f>'Supply chain'!O80</f>
        <v>0</v>
      </c>
      <c r="AA1351" s="195">
        <f>'Supply chain'!P80</f>
        <v>0</v>
      </c>
      <c r="AB1351" s="195">
        <f>'Supply chain'!Q80</f>
        <v>0</v>
      </c>
      <c r="AC1351" s="195">
        <f>'Supply chain'!R80</f>
        <v>0</v>
      </c>
      <c r="AD1351" s="195">
        <f>'Supply chain'!S80</f>
        <v>0</v>
      </c>
      <c r="AE1351" s="195">
        <f>'Supply chain'!T80</f>
        <v>0</v>
      </c>
      <c r="AF1351" s="195">
        <f>'Supply chain'!U80</f>
        <v>0</v>
      </c>
      <c r="AG1351" s="195">
        <f>'Supply chain'!V80</f>
        <v>0</v>
      </c>
      <c r="AI1351" s="193">
        <f t="shared" si="28"/>
        <v>0</v>
      </c>
      <c r="AJ1351" s="193">
        <f t="shared" si="29"/>
        <v>0</v>
      </c>
    </row>
    <row r="1352" spans="2:36" x14ac:dyDescent="0.35">
      <c r="B1352" s="193" t="e">
        <f>"2024"&amp;MATCH(Totals!D1352,OrgType,0)&amp;"_"&amp;MATCH(Totals!E1352,Organisations,0)&amp;"_"&amp;LEFT(Totals!F1352,1)&amp;"_"&amp;LEFT(G1352,1)&amp;"_"&amp;COUNTIF($G$3:G1352,G1352)</f>
        <v>#N/A</v>
      </c>
      <c r="C1352" s="193">
        <v>2025</v>
      </c>
      <c r="D1352" s="193">
        <f>Introduction!$D$7</f>
        <v>0</v>
      </c>
      <c r="E1352" s="193">
        <f>Introduction!$D$8</f>
        <v>0</v>
      </c>
      <c r="F1352" s="193" t="s">
        <v>493</v>
      </c>
      <c r="G1352" s="193" t="s">
        <v>493</v>
      </c>
      <c r="H1352" s="194"/>
      <c r="I1352" s="194"/>
      <c r="J1352" s="195" t="str">
        <f>'Supply chain'!B81</f>
        <v>Information and communication</v>
      </c>
      <c r="K1352" s="194"/>
      <c r="L1352" s="194"/>
      <c r="M1352" s="195">
        <f>'Supply chain'!C81</f>
        <v>60</v>
      </c>
      <c r="N1352" s="195" t="str">
        <f>'Supply chain'!D81</f>
        <v xml:space="preserve">Programming and broadcasting services            </v>
      </c>
      <c r="O1352" s="194"/>
      <c r="P1352" s="195" t="str">
        <f>'Supply chain'!E81</f>
        <v>Tier 1</v>
      </c>
      <c r="Q1352" s="195">
        <f>'Supply chain'!F81</f>
        <v>0.25</v>
      </c>
      <c r="R1352" s="195">
        <f>'Supply chain'!G81</f>
        <v>0</v>
      </c>
      <c r="S1352" s="195" t="str">
        <f>'Supply chain'!H81</f>
        <v>£</v>
      </c>
      <c r="T1352" s="195">
        <f>'Supply chain'!I81</f>
        <v>0</v>
      </c>
      <c r="U1352" s="195" t="str">
        <f>'Supply chain'!J81</f>
        <v>£</v>
      </c>
      <c r="V1352" s="195">
        <f>'Supply chain'!K81</f>
        <v>0.20128128339165541</v>
      </c>
      <c r="W1352" s="195" t="str">
        <f>'Supply chain'!L81</f>
        <v/>
      </c>
      <c r="X1352" s="193">
        <f>'Supply chain'!M81</f>
        <v>0</v>
      </c>
      <c r="Y1352" s="195">
        <f>'Supply chain'!N81</f>
        <v>0</v>
      </c>
      <c r="Z1352" s="195">
        <f>'Supply chain'!O81</f>
        <v>0</v>
      </c>
      <c r="AA1352" s="195">
        <f>'Supply chain'!P81</f>
        <v>0</v>
      </c>
      <c r="AB1352" s="195">
        <f>'Supply chain'!Q81</f>
        <v>0</v>
      </c>
      <c r="AC1352" s="195">
        <f>'Supply chain'!R81</f>
        <v>0</v>
      </c>
      <c r="AD1352" s="195">
        <f>'Supply chain'!S81</f>
        <v>0</v>
      </c>
      <c r="AE1352" s="195">
        <f>'Supply chain'!T81</f>
        <v>0</v>
      </c>
      <c r="AF1352" s="195">
        <f>'Supply chain'!U81</f>
        <v>0</v>
      </c>
      <c r="AG1352" s="195">
        <f>'Supply chain'!V81</f>
        <v>0</v>
      </c>
      <c r="AI1352" s="193">
        <f t="shared" si="28"/>
        <v>0</v>
      </c>
      <c r="AJ1352" s="193">
        <f t="shared" si="29"/>
        <v>0</v>
      </c>
    </row>
    <row r="1353" spans="2:36" x14ac:dyDescent="0.35">
      <c r="B1353" s="193" t="e">
        <f>"2024"&amp;MATCH(Totals!D1353,OrgType,0)&amp;"_"&amp;MATCH(Totals!E1353,Organisations,0)&amp;"_"&amp;LEFT(Totals!F1353,1)&amp;"_"&amp;LEFT(G1353,1)&amp;"_"&amp;COUNTIF($G$3:G1353,G1353)</f>
        <v>#N/A</v>
      </c>
      <c r="C1353" s="193">
        <v>2025</v>
      </c>
      <c r="D1353" s="193">
        <f>Introduction!$D$7</f>
        <v>0</v>
      </c>
      <c r="E1353" s="193">
        <f>Introduction!$D$8</f>
        <v>0</v>
      </c>
      <c r="F1353" s="193" t="s">
        <v>493</v>
      </c>
      <c r="G1353" s="193" t="s">
        <v>493</v>
      </c>
      <c r="H1353" s="194"/>
      <c r="I1353" s="194"/>
      <c r="J1353" s="195" t="str">
        <f>'Supply chain'!B82</f>
        <v>Information and communication</v>
      </c>
      <c r="K1353" s="194"/>
      <c r="L1353" s="194"/>
      <c r="M1353" s="195">
        <f>'Supply chain'!C82</f>
        <v>61</v>
      </c>
      <c r="N1353" s="195" t="str">
        <f>'Supply chain'!D82</f>
        <v xml:space="preserve">Telecommunications services              </v>
      </c>
      <c r="O1353" s="194"/>
      <c r="P1353" s="195" t="str">
        <f>'Supply chain'!E82</f>
        <v>Tier 1</v>
      </c>
      <c r="Q1353" s="195">
        <f>'Supply chain'!F82</f>
        <v>0.25</v>
      </c>
      <c r="R1353" s="195">
        <f>'Supply chain'!G82</f>
        <v>0</v>
      </c>
      <c r="S1353" s="195" t="str">
        <f>'Supply chain'!H82</f>
        <v>£</v>
      </c>
      <c r="T1353" s="195">
        <f>'Supply chain'!I82</f>
        <v>0</v>
      </c>
      <c r="U1353" s="195" t="str">
        <f>'Supply chain'!J82</f>
        <v>£</v>
      </c>
      <c r="V1353" s="195">
        <f>'Supply chain'!K82</f>
        <v>0.17320973154895231</v>
      </c>
      <c r="W1353" s="195" t="str">
        <f>'Supply chain'!L82</f>
        <v/>
      </c>
      <c r="X1353" s="193">
        <f>'Supply chain'!M82</f>
        <v>0</v>
      </c>
      <c r="Y1353" s="195">
        <f>'Supply chain'!N82</f>
        <v>0</v>
      </c>
      <c r="Z1353" s="195">
        <f>'Supply chain'!O82</f>
        <v>0</v>
      </c>
      <c r="AA1353" s="195">
        <f>'Supply chain'!P82</f>
        <v>0</v>
      </c>
      <c r="AB1353" s="195">
        <f>'Supply chain'!Q82</f>
        <v>0</v>
      </c>
      <c r="AC1353" s="195">
        <f>'Supply chain'!R82</f>
        <v>0</v>
      </c>
      <c r="AD1353" s="195">
        <f>'Supply chain'!S82</f>
        <v>0</v>
      </c>
      <c r="AE1353" s="195">
        <f>'Supply chain'!T82</f>
        <v>0</v>
      </c>
      <c r="AF1353" s="195">
        <f>'Supply chain'!U82</f>
        <v>0</v>
      </c>
      <c r="AG1353" s="195">
        <f>'Supply chain'!V82</f>
        <v>0</v>
      </c>
      <c r="AI1353" s="193">
        <f t="shared" si="28"/>
        <v>0</v>
      </c>
      <c r="AJ1353" s="193">
        <f t="shared" si="29"/>
        <v>0</v>
      </c>
    </row>
    <row r="1354" spans="2:36" x14ac:dyDescent="0.35">
      <c r="B1354" s="193" t="e">
        <f>"2024"&amp;MATCH(Totals!D1354,OrgType,0)&amp;"_"&amp;MATCH(Totals!E1354,Organisations,0)&amp;"_"&amp;LEFT(Totals!F1354,1)&amp;"_"&amp;LEFT(G1354,1)&amp;"_"&amp;COUNTIF($G$3:G1354,G1354)</f>
        <v>#N/A</v>
      </c>
      <c r="C1354" s="193">
        <v>2025</v>
      </c>
      <c r="D1354" s="193">
        <f>Introduction!$D$7</f>
        <v>0</v>
      </c>
      <c r="E1354" s="193">
        <f>Introduction!$D$8</f>
        <v>0</v>
      </c>
      <c r="F1354" s="193" t="s">
        <v>493</v>
      </c>
      <c r="G1354" s="193" t="s">
        <v>493</v>
      </c>
      <c r="H1354" s="194"/>
      <c r="I1354" s="194"/>
      <c r="J1354" s="195" t="str">
        <f>'Supply chain'!B83</f>
        <v>Information and communication</v>
      </c>
      <c r="K1354" s="194"/>
      <c r="L1354" s="194"/>
      <c r="M1354" s="195">
        <f>'Supply chain'!C83</f>
        <v>62</v>
      </c>
      <c r="N1354" s="195" t="str">
        <f>'Supply chain'!D83</f>
        <v xml:space="preserve">Computer programming, consultancy and related services          </v>
      </c>
      <c r="O1354" s="194"/>
      <c r="P1354" s="195" t="str">
        <f>'Supply chain'!E83</f>
        <v>Tier 1</v>
      </c>
      <c r="Q1354" s="195">
        <f>'Supply chain'!F83</f>
        <v>0.25</v>
      </c>
      <c r="R1354" s="195">
        <f>'Supply chain'!G83</f>
        <v>0</v>
      </c>
      <c r="S1354" s="195" t="str">
        <f>'Supply chain'!H83</f>
        <v>£</v>
      </c>
      <c r="T1354" s="195">
        <f>'Supply chain'!I83</f>
        <v>0</v>
      </c>
      <c r="U1354" s="195" t="str">
        <f>'Supply chain'!J83</f>
        <v>£</v>
      </c>
      <c r="V1354" s="195">
        <f>'Supply chain'!K83</f>
        <v>0.15328963116306529</v>
      </c>
      <c r="W1354" s="195" t="str">
        <f>'Supply chain'!L83</f>
        <v/>
      </c>
      <c r="X1354" s="193">
        <f>'Supply chain'!M83</f>
        <v>0</v>
      </c>
      <c r="Y1354" s="195">
        <f>'Supply chain'!N83</f>
        <v>0</v>
      </c>
      <c r="Z1354" s="195">
        <f>'Supply chain'!O83</f>
        <v>0</v>
      </c>
      <c r="AA1354" s="195">
        <f>'Supply chain'!P83</f>
        <v>0</v>
      </c>
      <c r="AB1354" s="195">
        <f>'Supply chain'!Q83</f>
        <v>0</v>
      </c>
      <c r="AC1354" s="195">
        <f>'Supply chain'!R83</f>
        <v>0</v>
      </c>
      <c r="AD1354" s="195">
        <f>'Supply chain'!S83</f>
        <v>0</v>
      </c>
      <c r="AE1354" s="195">
        <f>'Supply chain'!T83</f>
        <v>0</v>
      </c>
      <c r="AF1354" s="195">
        <f>'Supply chain'!U83</f>
        <v>0</v>
      </c>
      <c r="AG1354" s="195">
        <f>'Supply chain'!V83</f>
        <v>0</v>
      </c>
      <c r="AI1354" s="193">
        <f t="shared" si="28"/>
        <v>0</v>
      </c>
      <c r="AJ1354" s="193">
        <f t="shared" si="29"/>
        <v>0</v>
      </c>
    </row>
    <row r="1355" spans="2:36" x14ac:dyDescent="0.35">
      <c r="B1355" s="193" t="e">
        <f>"2024"&amp;MATCH(Totals!D1355,OrgType,0)&amp;"_"&amp;MATCH(Totals!E1355,Organisations,0)&amp;"_"&amp;LEFT(Totals!F1355,1)&amp;"_"&amp;LEFT(G1355,1)&amp;"_"&amp;COUNTIF($G$3:G1355,G1355)</f>
        <v>#N/A</v>
      </c>
      <c r="C1355" s="193">
        <v>2025</v>
      </c>
      <c r="D1355" s="193">
        <f>Introduction!$D$7</f>
        <v>0</v>
      </c>
      <c r="E1355" s="193">
        <f>Introduction!$D$8</f>
        <v>0</v>
      </c>
      <c r="F1355" s="193" t="s">
        <v>493</v>
      </c>
      <c r="G1355" s="193" t="s">
        <v>493</v>
      </c>
      <c r="H1355" s="194"/>
      <c r="I1355" s="194"/>
      <c r="J1355" s="195" t="str">
        <f>'Supply chain'!B84</f>
        <v>Information and communication</v>
      </c>
      <c r="K1355" s="194"/>
      <c r="L1355" s="194"/>
      <c r="M1355" s="195">
        <f>'Supply chain'!C84</f>
        <v>63</v>
      </c>
      <c r="N1355" s="195" t="str">
        <f>'Supply chain'!D84</f>
        <v xml:space="preserve">Information services              </v>
      </c>
      <c r="O1355" s="194"/>
      <c r="P1355" s="195" t="str">
        <f>'Supply chain'!E84</f>
        <v>Tier 1</v>
      </c>
      <c r="Q1355" s="195">
        <f>'Supply chain'!F84</f>
        <v>0.25</v>
      </c>
      <c r="R1355" s="195">
        <f>'Supply chain'!G84</f>
        <v>0</v>
      </c>
      <c r="S1355" s="195" t="str">
        <f>'Supply chain'!H84</f>
        <v>£</v>
      </c>
      <c r="T1355" s="195">
        <f>'Supply chain'!I84</f>
        <v>0</v>
      </c>
      <c r="U1355" s="195" t="str">
        <f>'Supply chain'!J84</f>
        <v>£</v>
      </c>
      <c r="V1355" s="195">
        <f>'Supply chain'!K84</f>
        <v>0.19965704935272111</v>
      </c>
      <c r="W1355" s="195" t="str">
        <f>'Supply chain'!L84</f>
        <v/>
      </c>
      <c r="X1355" s="193">
        <f>'Supply chain'!M84</f>
        <v>0</v>
      </c>
      <c r="Y1355" s="195">
        <f>'Supply chain'!N84</f>
        <v>0</v>
      </c>
      <c r="Z1355" s="195">
        <f>'Supply chain'!O84</f>
        <v>0</v>
      </c>
      <c r="AA1355" s="195">
        <f>'Supply chain'!P84</f>
        <v>0</v>
      </c>
      <c r="AB1355" s="195">
        <f>'Supply chain'!Q84</f>
        <v>0</v>
      </c>
      <c r="AC1355" s="195">
        <f>'Supply chain'!R84</f>
        <v>0</v>
      </c>
      <c r="AD1355" s="195">
        <f>'Supply chain'!S84</f>
        <v>0</v>
      </c>
      <c r="AE1355" s="195">
        <f>'Supply chain'!T84</f>
        <v>0</v>
      </c>
      <c r="AF1355" s="195">
        <f>'Supply chain'!U84</f>
        <v>0</v>
      </c>
      <c r="AG1355" s="195">
        <f>'Supply chain'!V84</f>
        <v>0</v>
      </c>
      <c r="AI1355" s="193">
        <f t="shared" si="28"/>
        <v>0</v>
      </c>
      <c r="AJ1355" s="193">
        <f t="shared" si="29"/>
        <v>0</v>
      </c>
    </row>
    <row r="1356" spans="2:36" x14ac:dyDescent="0.35">
      <c r="B1356" s="193" t="e">
        <f>"2024"&amp;MATCH(Totals!D1356,OrgType,0)&amp;"_"&amp;MATCH(Totals!E1356,Organisations,0)&amp;"_"&amp;LEFT(Totals!F1356,1)&amp;"_"&amp;LEFT(G1356,1)&amp;"_"&amp;COUNTIF($G$3:G1356,G1356)</f>
        <v>#N/A</v>
      </c>
      <c r="C1356" s="193">
        <v>2025</v>
      </c>
      <c r="D1356" s="193">
        <f>Introduction!$D$7</f>
        <v>0</v>
      </c>
      <c r="E1356" s="193">
        <f>Introduction!$D$8</f>
        <v>0</v>
      </c>
      <c r="F1356" s="193" t="s">
        <v>493</v>
      </c>
      <c r="G1356" s="193" t="s">
        <v>493</v>
      </c>
      <c r="H1356" s="194"/>
      <c r="I1356" s="194"/>
      <c r="J1356" s="195" t="str">
        <f>'Supply chain'!B85</f>
        <v>Financial and insurance activities</v>
      </c>
      <c r="K1356" s="194"/>
      <c r="L1356" s="194"/>
      <c r="M1356" s="195">
        <f>'Supply chain'!C85</f>
        <v>64</v>
      </c>
      <c r="N1356" s="195" t="str">
        <f>'Supply chain'!D85</f>
        <v xml:space="preserve">Financial services, except insurance and pension funding         </v>
      </c>
      <c r="O1356" s="194"/>
      <c r="P1356" s="195" t="str">
        <f>'Supply chain'!E85</f>
        <v>Tier 1</v>
      </c>
      <c r="Q1356" s="195">
        <f>'Supply chain'!F85</f>
        <v>0.25</v>
      </c>
      <c r="R1356" s="195">
        <f>'Supply chain'!G85</f>
        <v>0</v>
      </c>
      <c r="S1356" s="195" t="str">
        <f>'Supply chain'!H85</f>
        <v>£</v>
      </c>
      <c r="T1356" s="195">
        <f>'Supply chain'!I85</f>
        <v>0</v>
      </c>
      <c r="U1356" s="195" t="str">
        <f>'Supply chain'!J85</f>
        <v>£</v>
      </c>
      <c r="V1356" s="195">
        <f>'Supply chain'!K85</f>
        <v>0.1192820911011494</v>
      </c>
      <c r="W1356" s="195" t="str">
        <f>'Supply chain'!L85</f>
        <v/>
      </c>
      <c r="X1356" s="193">
        <f>'Supply chain'!M85</f>
        <v>0</v>
      </c>
      <c r="Y1356" s="195">
        <f>'Supply chain'!N85</f>
        <v>0</v>
      </c>
      <c r="Z1356" s="195">
        <f>'Supply chain'!O85</f>
        <v>0</v>
      </c>
      <c r="AA1356" s="195">
        <f>'Supply chain'!P85</f>
        <v>0</v>
      </c>
      <c r="AB1356" s="195">
        <f>'Supply chain'!Q85</f>
        <v>0</v>
      </c>
      <c r="AC1356" s="195">
        <f>'Supply chain'!R85</f>
        <v>0</v>
      </c>
      <c r="AD1356" s="195">
        <f>'Supply chain'!S85</f>
        <v>0</v>
      </c>
      <c r="AE1356" s="195">
        <f>'Supply chain'!T85</f>
        <v>0</v>
      </c>
      <c r="AF1356" s="195">
        <f>'Supply chain'!U85</f>
        <v>0</v>
      </c>
      <c r="AG1356" s="195">
        <f>'Supply chain'!V85</f>
        <v>0</v>
      </c>
      <c r="AI1356" s="193">
        <f t="shared" si="28"/>
        <v>0</v>
      </c>
      <c r="AJ1356" s="193">
        <f t="shared" si="29"/>
        <v>0</v>
      </c>
    </row>
    <row r="1357" spans="2:36" x14ac:dyDescent="0.35">
      <c r="B1357" s="193" t="e">
        <f>"2024"&amp;MATCH(Totals!D1357,OrgType,0)&amp;"_"&amp;MATCH(Totals!E1357,Organisations,0)&amp;"_"&amp;LEFT(Totals!F1357,1)&amp;"_"&amp;LEFT(G1357,1)&amp;"_"&amp;COUNTIF($G$3:G1357,G1357)</f>
        <v>#N/A</v>
      </c>
      <c r="C1357" s="193">
        <v>2025</v>
      </c>
      <c r="D1357" s="193">
        <f>Introduction!$D$7</f>
        <v>0</v>
      </c>
      <c r="E1357" s="193">
        <f>Introduction!$D$8</f>
        <v>0</v>
      </c>
      <c r="F1357" s="193" t="s">
        <v>493</v>
      </c>
      <c r="G1357" s="193" t="s">
        <v>493</v>
      </c>
      <c r="H1357" s="194"/>
      <c r="I1357" s="194"/>
      <c r="J1357" s="195" t="str">
        <f>'Supply chain'!B86</f>
        <v>Financial and insurance activities</v>
      </c>
      <c r="K1357" s="194"/>
      <c r="L1357" s="194"/>
      <c r="M1357" s="195" t="str">
        <f>'Supply chain'!C86</f>
        <v>65.1-2</v>
      </c>
      <c r="N1357" s="195" t="str">
        <f>'Supply chain'!D86</f>
        <v xml:space="preserve">Insurance and reinsurance services, except compulsory social security      </v>
      </c>
      <c r="O1357" s="194"/>
      <c r="P1357" s="195" t="str">
        <f>'Supply chain'!E86</f>
        <v>Tier 1</v>
      </c>
      <c r="Q1357" s="195">
        <f>'Supply chain'!F86</f>
        <v>0.25</v>
      </c>
      <c r="R1357" s="195">
        <f>'Supply chain'!G86</f>
        <v>0</v>
      </c>
      <c r="S1357" s="195" t="str">
        <f>'Supply chain'!H86</f>
        <v>£</v>
      </c>
      <c r="T1357" s="195">
        <f>'Supply chain'!I86</f>
        <v>0</v>
      </c>
      <c r="U1357" s="195" t="str">
        <f>'Supply chain'!J86</f>
        <v>£</v>
      </c>
      <c r="V1357" s="195">
        <f>'Supply chain'!K86</f>
        <v>8.8193219876060436E-2</v>
      </c>
      <c r="W1357" s="195" t="str">
        <f>'Supply chain'!L86</f>
        <v/>
      </c>
      <c r="X1357" s="193">
        <f>'Supply chain'!M86</f>
        <v>0</v>
      </c>
      <c r="Y1357" s="195">
        <f>'Supply chain'!N86</f>
        <v>0</v>
      </c>
      <c r="Z1357" s="195">
        <f>'Supply chain'!O86</f>
        <v>0</v>
      </c>
      <c r="AA1357" s="195">
        <f>'Supply chain'!P86</f>
        <v>0</v>
      </c>
      <c r="AB1357" s="195">
        <f>'Supply chain'!Q86</f>
        <v>0</v>
      </c>
      <c r="AC1357" s="195">
        <f>'Supply chain'!R86</f>
        <v>0</v>
      </c>
      <c r="AD1357" s="195">
        <f>'Supply chain'!S86</f>
        <v>0</v>
      </c>
      <c r="AE1357" s="195">
        <f>'Supply chain'!T86</f>
        <v>0</v>
      </c>
      <c r="AF1357" s="195">
        <f>'Supply chain'!U86</f>
        <v>0</v>
      </c>
      <c r="AG1357" s="195">
        <f>'Supply chain'!V86</f>
        <v>0</v>
      </c>
      <c r="AI1357" s="193">
        <f t="shared" si="28"/>
        <v>0</v>
      </c>
      <c r="AJ1357" s="193">
        <f t="shared" si="29"/>
        <v>0</v>
      </c>
    </row>
    <row r="1358" spans="2:36" x14ac:dyDescent="0.35">
      <c r="B1358" s="193" t="e">
        <f>"2024"&amp;MATCH(Totals!D1358,OrgType,0)&amp;"_"&amp;MATCH(Totals!E1358,Organisations,0)&amp;"_"&amp;LEFT(Totals!F1358,1)&amp;"_"&amp;LEFT(G1358,1)&amp;"_"&amp;COUNTIF($G$3:G1358,G1358)</f>
        <v>#N/A</v>
      </c>
      <c r="C1358" s="193">
        <v>2025</v>
      </c>
      <c r="D1358" s="193">
        <f>Introduction!$D$7</f>
        <v>0</v>
      </c>
      <c r="E1358" s="193">
        <f>Introduction!$D$8</f>
        <v>0</v>
      </c>
      <c r="F1358" s="193" t="s">
        <v>493</v>
      </c>
      <c r="G1358" s="193" t="s">
        <v>493</v>
      </c>
      <c r="H1358" s="194"/>
      <c r="I1358" s="194"/>
      <c r="J1358" s="195" t="str">
        <f>'Supply chain'!B87</f>
        <v>Financial and insurance activities</v>
      </c>
      <c r="K1358" s="194"/>
      <c r="L1358" s="194"/>
      <c r="M1358" s="195">
        <f>'Supply chain'!C87</f>
        <v>66</v>
      </c>
      <c r="N1358" s="195" t="str">
        <f>'Supply chain'!D87</f>
        <v xml:space="preserve">Services auxiliary to financial services and insurance services        </v>
      </c>
      <c r="O1358" s="194"/>
      <c r="P1358" s="195" t="str">
        <f>'Supply chain'!E87</f>
        <v>Tier 1</v>
      </c>
      <c r="Q1358" s="195">
        <f>'Supply chain'!F87</f>
        <v>0.25</v>
      </c>
      <c r="R1358" s="195">
        <f>'Supply chain'!G87</f>
        <v>0</v>
      </c>
      <c r="S1358" s="195" t="str">
        <f>'Supply chain'!H87</f>
        <v>£</v>
      </c>
      <c r="T1358" s="195">
        <f>'Supply chain'!I87</f>
        <v>0</v>
      </c>
      <c r="U1358" s="195" t="str">
        <f>'Supply chain'!J87</f>
        <v>£</v>
      </c>
      <c r="V1358" s="195">
        <f>'Supply chain'!K87</f>
        <v>9.689386488025474E-2</v>
      </c>
      <c r="W1358" s="195" t="str">
        <f>'Supply chain'!L87</f>
        <v/>
      </c>
      <c r="X1358" s="193">
        <f>'Supply chain'!M87</f>
        <v>0</v>
      </c>
      <c r="Y1358" s="195">
        <f>'Supply chain'!N87</f>
        <v>0</v>
      </c>
      <c r="Z1358" s="195">
        <f>'Supply chain'!O87</f>
        <v>0</v>
      </c>
      <c r="AA1358" s="195">
        <f>'Supply chain'!P87</f>
        <v>0</v>
      </c>
      <c r="AB1358" s="195">
        <f>'Supply chain'!Q87</f>
        <v>0</v>
      </c>
      <c r="AC1358" s="195">
        <f>'Supply chain'!R87</f>
        <v>0</v>
      </c>
      <c r="AD1358" s="195">
        <f>'Supply chain'!S87</f>
        <v>0</v>
      </c>
      <c r="AE1358" s="195">
        <f>'Supply chain'!T87</f>
        <v>0</v>
      </c>
      <c r="AF1358" s="195">
        <f>'Supply chain'!U87</f>
        <v>0</v>
      </c>
      <c r="AG1358" s="195">
        <f>'Supply chain'!V87</f>
        <v>0</v>
      </c>
      <c r="AI1358" s="193">
        <f t="shared" si="28"/>
        <v>0</v>
      </c>
      <c r="AJ1358" s="193">
        <f t="shared" si="29"/>
        <v>0</v>
      </c>
    </row>
    <row r="1359" spans="2:36" x14ac:dyDescent="0.35">
      <c r="B1359" s="193" t="e">
        <f>"2024"&amp;MATCH(Totals!D1359,OrgType,0)&amp;"_"&amp;MATCH(Totals!E1359,Organisations,0)&amp;"_"&amp;LEFT(Totals!F1359,1)&amp;"_"&amp;LEFT(G1359,1)&amp;"_"&amp;COUNTIF($G$3:G1359,G1359)</f>
        <v>#N/A</v>
      </c>
      <c r="C1359" s="193">
        <v>2025</v>
      </c>
      <c r="D1359" s="193">
        <f>Introduction!$D$7</f>
        <v>0</v>
      </c>
      <c r="E1359" s="193">
        <f>Introduction!$D$8</f>
        <v>0</v>
      </c>
      <c r="F1359" s="193" t="s">
        <v>493</v>
      </c>
      <c r="G1359" s="193" t="s">
        <v>493</v>
      </c>
      <c r="H1359" s="194"/>
      <c r="I1359" s="194"/>
      <c r="J1359" s="195" t="str">
        <f>'Supply chain'!B88</f>
        <v>Real estate activities</v>
      </c>
      <c r="K1359" s="194"/>
      <c r="L1359" s="194"/>
      <c r="M1359" s="195">
        <f>'Supply chain'!C88</f>
        <v>68.12</v>
      </c>
      <c r="N1359" s="195" t="str">
        <f>'Supply chain'!D88</f>
        <v xml:space="preserve">Real estate services, excluding on a fee or contract basis and imputed rent   </v>
      </c>
      <c r="O1359" s="194"/>
      <c r="P1359" s="195" t="str">
        <f>'Supply chain'!E88</f>
        <v>Tier 1</v>
      </c>
      <c r="Q1359" s="195">
        <f>'Supply chain'!F88</f>
        <v>0.25</v>
      </c>
      <c r="R1359" s="195">
        <f>'Supply chain'!G88</f>
        <v>0</v>
      </c>
      <c r="S1359" s="195" t="str">
        <f>'Supply chain'!H88</f>
        <v>£</v>
      </c>
      <c r="T1359" s="195">
        <f>'Supply chain'!I88</f>
        <v>0</v>
      </c>
      <c r="U1359" s="195" t="str">
        <f>'Supply chain'!J88</f>
        <v>£</v>
      </c>
      <c r="V1359" s="195">
        <f>'Supply chain'!K88</f>
        <v>0.15119712924985149</v>
      </c>
      <c r="W1359" s="195" t="str">
        <f>'Supply chain'!L88</f>
        <v/>
      </c>
      <c r="X1359" s="193">
        <f>'Supply chain'!M88</f>
        <v>0</v>
      </c>
      <c r="Y1359" s="195">
        <f>'Supply chain'!N88</f>
        <v>0</v>
      </c>
      <c r="Z1359" s="195">
        <f>'Supply chain'!O88</f>
        <v>0</v>
      </c>
      <c r="AA1359" s="195">
        <f>'Supply chain'!P88</f>
        <v>0</v>
      </c>
      <c r="AB1359" s="195">
        <f>'Supply chain'!Q88</f>
        <v>0</v>
      </c>
      <c r="AC1359" s="195">
        <f>'Supply chain'!R88</f>
        <v>0</v>
      </c>
      <c r="AD1359" s="195">
        <f>'Supply chain'!S88</f>
        <v>0</v>
      </c>
      <c r="AE1359" s="195">
        <f>'Supply chain'!T88</f>
        <v>0</v>
      </c>
      <c r="AF1359" s="195">
        <f>'Supply chain'!U88</f>
        <v>0</v>
      </c>
      <c r="AG1359" s="195">
        <f>'Supply chain'!V88</f>
        <v>0</v>
      </c>
      <c r="AI1359" s="193">
        <f t="shared" si="28"/>
        <v>0</v>
      </c>
      <c r="AJ1359" s="193">
        <f t="shared" si="29"/>
        <v>0</v>
      </c>
    </row>
    <row r="1360" spans="2:36" x14ac:dyDescent="0.35">
      <c r="B1360" s="193" t="e">
        <f>"2024"&amp;MATCH(Totals!D1360,OrgType,0)&amp;"_"&amp;MATCH(Totals!E1360,Organisations,0)&amp;"_"&amp;LEFT(Totals!F1360,1)&amp;"_"&amp;LEFT(G1360,1)&amp;"_"&amp;COUNTIF($G$3:G1360,G1360)</f>
        <v>#N/A</v>
      </c>
      <c r="C1360" s="193">
        <v>2025</v>
      </c>
      <c r="D1360" s="193">
        <f>Introduction!$D$7</f>
        <v>0</v>
      </c>
      <c r="E1360" s="193">
        <f>Introduction!$D$8</f>
        <v>0</v>
      </c>
      <c r="F1360" s="193" t="s">
        <v>493</v>
      </c>
      <c r="G1360" s="193" t="s">
        <v>493</v>
      </c>
      <c r="H1360" s="194"/>
      <c r="I1360" s="194"/>
      <c r="J1360" s="195" t="str">
        <f>'Supply chain'!B89</f>
        <v>Real estate activities</v>
      </c>
      <c r="K1360" s="194"/>
      <c r="L1360" s="194"/>
      <c r="M1360" s="195" t="str">
        <f>'Supply chain'!C89</f>
        <v>68.2IMP</v>
      </c>
      <c r="N1360" s="195" t="str">
        <f>'Supply chain'!D89</f>
        <v>Owner-Occupiers' Housing Services</v>
      </c>
      <c r="O1360" s="194"/>
      <c r="P1360" s="195" t="str">
        <f>'Supply chain'!E89</f>
        <v>Tier 1</v>
      </c>
      <c r="Q1360" s="195">
        <f>'Supply chain'!F89</f>
        <v>0.25</v>
      </c>
      <c r="R1360" s="195">
        <f>'Supply chain'!G89</f>
        <v>0</v>
      </c>
      <c r="S1360" s="195" t="str">
        <f>'Supply chain'!H89</f>
        <v>£</v>
      </c>
      <c r="T1360" s="195">
        <f>'Supply chain'!I89</f>
        <v>0</v>
      </c>
      <c r="U1360" s="195" t="str">
        <f>'Supply chain'!J89</f>
        <v>£</v>
      </c>
      <c r="V1360" s="195">
        <f>'Supply chain'!K89</f>
        <v>4.4112213354825548E-2</v>
      </c>
      <c r="W1360" s="195" t="str">
        <f>'Supply chain'!L89</f>
        <v/>
      </c>
      <c r="X1360" s="193">
        <f>'Supply chain'!M89</f>
        <v>0</v>
      </c>
      <c r="Y1360" s="195">
        <f>'Supply chain'!N89</f>
        <v>0</v>
      </c>
      <c r="Z1360" s="195">
        <f>'Supply chain'!O89</f>
        <v>0</v>
      </c>
      <c r="AA1360" s="195">
        <f>'Supply chain'!P89</f>
        <v>0</v>
      </c>
      <c r="AB1360" s="195">
        <f>'Supply chain'!Q89</f>
        <v>0</v>
      </c>
      <c r="AC1360" s="195">
        <f>'Supply chain'!R89</f>
        <v>0</v>
      </c>
      <c r="AD1360" s="195">
        <f>'Supply chain'!S89</f>
        <v>0</v>
      </c>
      <c r="AE1360" s="195">
        <f>'Supply chain'!T89</f>
        <v>0</v>
      </c>
      <c r="AF1360" s="195">
        <f>'Supply chain'!U89</f>
        <v>0</v>
      </c>
      <c r="AG1360" s="195">
        <f>'Supply chain'!V89</f>
        <v>0</v>
      </c>
      <c r="AI1360" s="193">
        <f t="shared" si="28"/>
        <v>0</v>
      </c>
      <c r="AJ1360" s="193">
        <f t="shared" si="29"/>
        <v>0</v>
      </c>
    </row>
    <row r="1361" spans="2:36" x14ac:dyDescent="0.35">
      <c r="B1361" s="193" t="e">
        <f>"2024"&amp;MATCH(Totals!D1361,OrgType,0)&amp;"_"&amp;MATCH(Totals!E1361,Organisations,0)&amp;"_"&amp;LEFT(Totals!F1361,1)&amp;"_"&amp;LEFT(G1361,1)&amp;"_"&amp;COUNTIF($G$3:G1361,G1361)</f>
        <v>#N/A</v>
      </c>
      <c r="C1361" s="193">
        <v>2025</v>
      </c>
      <c r="D1361" s="193">
        <f>Introduction!$D$7</f>
        <v>0</v>
      </c>
      <c r="E1361" s="193">
        <f>Introduction!$D$8</f>
        <v>0</v>
      </c>
      <c r="F1361" s="193" t="s">
        <v>493</v>
      </c>
      <c r="G1361" s="193" t="s">
        <v>493</v>
      </c>
      <c r="H1361" s="194"/>
      <c r="I1361" s="194"/>
      <c r="J1361" s="195" t="str">
        <f>'Supply chain'!B90</f>
        <v>Real estate activities</v>
      </c>
      <c r="K1361" s="194"/>
      <c r="L1361" s="194"/>
      <c r="M1361" s="195">
        <f>'Supply chain'!C90</f>
        <v>68.3</v>
      </c>
      <c r="N1361" s="195" t="str">
        <f>'Supply chain'!D90</f>
        <v xml:space="preserve">Real estate services on a fee or contract basis       </v>
      </c>
      <c r="O1361" s="194"/>
      <c r="P1361" s="195" t="str">
        <f>'Supply chain'!E90</f>
        <v>Tier 1</v>
      </c>
      <c r="Q1361" s="195">
        <f>'Supply chain'!F90</f>
        <v>0.25</v>
      </c>
      <c r="R1361" s="195">
        <f>'Supply chain'!G90</f>
        <v>0</v>
      </c>
      <c r="S1361" s="195" t="str">
        <f>'Supply chain'!H90</f>
        <v>£</v>
      </c>
      <c r="T1361" s="195">
        <f>'Supply chain'!I90</f>
        <v>0</v>
      </c>
      <c r="U1361" s="195" t="str">
        <f>'Supply chain'!J90</f>
        <v>£</v>
      </c>
      <c r="V1361" s="195">
        <f>'Supply chain'!K90</f>
        <v>0.10399914290806921</v>
      </c>
      <c r="W1361" s="195" t="str">
        <f>'Supply chain'!L90</f>
        <v/>
      </c>
      <c r="X1361" s="193">
        <f>'Supply chain'!M90</f>
        <v>0</v>
      </c>
      <c r="Y1361" s="195">
        <f>'Supply chain'!N90</f>
        <v>0</v>
      </c>
      <c r="Z1361" s="195">
        <f>'Supply chain'!O90</f>
        <v>0</v>
      </c>
      <c r="AA1361" s="195">
        <f>'Supply chain'!P90</f>
        <v>0</v>
      </c>
      <c r="AB1361" s="195">
        <f>'Supply chain'!Q90</f>
        <v>0</v>
      </c>
      <c r="AC1361" s="195">
        <f>'Supply chain'!R90</f>
        <v>0</v>
      </c>
      <c r="AD1361" s="195">
        <f>'Supply chain'!S90</f>
        <v>0</v>
      </c>
      <c r="AE1361" s="195">
        <f>'Supply chain'!T90</f>
        <v>0</v>
      </c>
      <c r="AF1361" s="195">
        <f>'Supply chain'!U90</f>
        <v>0</v>
      </c>
      <c r="AG1361" s="195">
        <f>'Supply chain'!V90</f>
        <v>0</v>
      </c>
      <c r="AI1361" s="193">
        <f t="shared" si="28"/>
        <v>0</v>
      </c>
      <c r="AJ1361" s="193">
        <f t="shared" si="29"/>
        <v>0</v>
      </c>
    </row>
    <row r="1362" spans="2:36" x14ac:dyDescent="0.35">
      <c r="B1362" s="193" t="e">
        <f>"2024"&amp;MATCH(Totals!D1362,OrgType,0)&amp;"_"&amp;MATCH(Totals!E1362,Organisations,0)&amp;"_"&amp;LEFT(Totals!F1362,1)&amp;"_"&amp;LEFT(G1362,1)&amp;"_"&amp;COUNTIF($G$3:G1362,G1362)</f>
        <v>#N/A</v>
      </c>
      <c r="C1362" s="193">
        <v>2025</v>
      </c>
      <c r="D1362" s="193">
        <f>Introduction!$D$7</f>
        <v>0</v>
      </c>
      <c r="E1362" s="193">
        <f>Introduction!$D$8</f>
        <v>0</v>
      </c>
      <c r="F1362" s="193" t="s">
        <v>493</v>
      </c>
      <c r="G1362" s="193" t="s">
        <v>493</v>
      </c>
      <c r="H1362" s="194"/>
      <c r="I1362" s="194"/>
      <c r="J1362" s="195" t="str">
        <f>'Supply chain'!B91</f>
        <v>Professional, scientific and technical activities</v>
      </c>
      <c r="K1362" s="194"/>
      <c r="L1362" s="194"/>
      <c r="M1362" s="195">
        <f>'Supply chain'!C91</f>
        <v>69.099999999999994</v>
      </c>
      <c r="N1362" s="195" t="str">
        <f>'Supply chain'!D91</f>
        <v xml:space="preserve">Legal services              </v>
      </c>
      <c r="O1362" s="194"/>
      <c r="P1362" s="195" t="str">
        <f>'Supply chain'!E91</f>
        <v>Tier 1</v>
      </c>
      <c r="Q1362" s="195">
        <f>'Supply chain'!F91</f>
        <v>0.25</v>
      </c>
      <c r="R1362" s="195">
        <f>'Supply chain'!G91</f>
        <v>0</v>
      </c>
      <c r="S1362" s="195" t="str">
        <f>'Supply chain'!H91</f>
        <v>£</v>
      </c>
      <c r="T1362" s="195">
        <f>'Supply chain'!I91</f>
        <v>0</v>
      </c>
      <c r="U1362" s="195" t="str">
        <f>'Supply chain'!J91</f>
        <v>£</v>
      </c>
      <c r="V1362" s="195">
        <f>'Supply chain'!K91</f>
        <v>6.8055736247499304E-2</v>
      </c>
      <c r="W1362" s="195" t="str">
        <f>'Supply chain'!L91</f>
        <v/>
      </c>
      <c r="X1362" s="193">
        <f>'Supply chain'!M91</f>
        <v>0</v>
      </c>
      <c r="Y1362" s="195">
        <f>'Supply chain'!N91</f>
        <v>0</v>
      </c>
      <c r="Z1362" s="195">
        <f>'Supply chain'!O91</f>
        <v>0</v>
      </c>
      <c r="AA1362" s="195">
        <f>'Supply chain'!P91</f>
        <v>0</v>
      </c>
      <c r="AB1362" s="195">
        <f>'Supply chain'!Q91</f>
        <v>0</v>
      </c>
      <c r="AC1362" s="195">
        <f>'Supply chain'!R91</f>
        <v>0</v>
      </c>
      <c r="AD1362" s="195">
        <f>'Supply chain'!S91</f>
        <v>0</v>
      </c>
      <c r="AE1362" s="195">
        <f>'Supply chain'!T91</f>
        <v>0</v>
      </c>
      <c r="AF1362" s="195">
        <f>'Supply chain'!U91</f>
        <v>0</v>
      </c>
      <c r="AG1362" s="195">
        <f>'Supply chain'!V91</f>
        <v>0</v>
      </c>
      <c r="AI1362" s="193">
        <f t="shared" si="28"/>
        <v>0</v>
      </c>
      <c r="AJ1362" s="193">
        <f t="shared" si="29"/>
        <v>0</v>
      </c>
    </row>
    <row r="1363" spans="2:36" x14ac:dyDescent="0.35">
      <c r="B1363" s="193" t="e">
        <f>"2024"&amp;MATCH(Totals!D1363,OrgType,0)&amp;"_"&amp;MATCH(Totals!E1363,Organisations,0)&amp;"_"&amp;LEFT(Totals!F1363,1)&amp;"_"&amp;LEFT(G1363,1)&amp;"_"&amp;COUNTIF($G$3:G1363,G1363)</f>
        <v>#N/A</v>
      </c>
      <c r="C1363" s="193">
        <v>2025</v>
      </c>
      <c r="D1363" s="193">
        <f>Introduction!$D$7</f>
        <v>0</v>
      </c>
      <c r="E1363" s="193">
        <f>Introduction!$D$8</f>
        <v>0</v>
      </c>
      <c r="F1363" s="193" t="s">
        <v>493</v>
      </c>
      <c r="G1363" s="193" t="s">
        <v>493</v>
      </c>
      <c r="H1363" s="194"/>
      <c r="I1363" s="194"/>
      <c r="J1363" s="195" t="str">
        <f>'Supply chain'!B92</f>
        <v>Professional, scientific and technical activities</v>
      </c>
      <c r="K1363" s="194"/>
      <c r="L1363" s="194"/>
      <c r="M1363" s="195">
        <f>'Supply chain'!C92</f>
        <v>69.2</v>
      </c>
      <c r="N1363" s="195" t="str">
        <f>'Supply chain'!D92</f>
        <v xml:space="preserve">Accounting, bookkeeping and auditing services; tax consulting services        </v>
      </c>
      <c r="O1363" s="194"/>
      <c r="P1363" s="195" t="str">
        <f>'Supply chain'!E92</f>
        <v>Tier 1</v>
      </c>
      <c r="Q1363" s="195">
        <f>'Supply chain'!F92</f>
        <v>0.25</v>
      </c>
      <c r="R1363" s="195">
        <f>'Supply chain'!G92</f>
        <v>0</v>
      </c>
      <c r="S1363" s="195" t="str">
        <f>'Supply chain'!H92</f>
        <v>£</v>
      </c>
      <c r="T1363" s="195">
        <f>'Supply chain'!I92</f>
        <v>0</v>
      </c>
      <c r="U1363" s="195" t="str">
        <f>'Supply chain'!J92</f>
        <v>£</v>
      </c>
      <c r="V1363" s="195">
        <f>'Supply chain'!K92</f>
        <v>0.13749838044864279</v>
      </c>
      <c r="W1363" s="195" t="str">
        <f>'Supply chain'!L92</f>
        <v/>
      </c>
      <c r="X1363" s="193">
        <f>'Supply chain'!M92</f>
        <v>0</v>
      </c>
      <c r="Y1363" s="195">
        <f>'Supply chain'!N92</f>
        <v>0</v>
      </c>
      <c r="Z1363" s="195">
        <f>'Supply chain'!O92</f>
        <v>0</v>
      </c>
      <c r="AA1363" s="195">
        <f>'Supply chain'!P92</f>
        <v>0</v>
      </c>
      <c r="AB1363" s="195">
        <f>'Supply chain'!Q92</f>
        <v>0</v>
      </c>
      <c r="AC1363" s="195">
        <f>'Supply chain'!R92</f>
        <v>0</v>
      </c>
      <c r="AD1363" s="195">
        <f>'Supply chain'!S92</f>
        <v>0</v>
      </c>
      <c r="AE1363" s="195">
        <f>'Supply chain'!T92</f>
        <v>0</v>
      </c>
      <c r="AF1363" s="195">
        <f>'Supply chain'!U92</f>
        <v>0</v>
      </c>
      <c r="AG1363" s="195">
        <f>'Supply chain'!V92</f>
        <v>0</v>
      </c>
      <c r="AI1363" s="193">
        <f t="shared" si="28"/>
        <v>0</v>
      </c>
      <c r="AJ1363" s="193">
        <f t="shared" si="29"/>
        <v>0</v>
      </c>
    </row>
    <row r="1364" spans="2:36" x14ac:dyDescent="0.35">
      <c r="B1364" s="193" t="e">
        <f>"2024"&amp;MATCH(Totals!D1364,OrgType,0)&amp;"_"&amp;MATCH(Totals!E1364,Organisations,0)&amp;"_"&amp;LEFT(Totals!F1364,1)&amp;"_"&amp;LEFT(G1364,1)&amp;"_"&amp;COUNTIF($G$3:G1364,G1364)</f>
        <v>#N/A</v>
      </c>
      <c r="C1364" s="193">
        <v>2025</v>
      </c>
      <c r="D1364" s="193">
        <f>Introduction!$D$7</f>
        <v>0</v>
      </c>
      <c r="E1364" s="193">
        <f>Introduction!$D$8</f>
        <v>0</v>
      </c>
      <c r="F1364" s="193" t="s">
        <v>493</v>
      </c>
      <c r="G1364" s="193" t="s">
        <v>493</v>
      </c>
      <c r="H1364" s="194"/>
      <c r="I1364" s="194"/>
      <c r="J1364" s="195" t="str">
        <f>'Supply chain'!B93</f>
        <v>Professional, scientific and technical activities</v>
      </c>
      <c r="K1364" s="194"/>
      <c r="L1364" s="194"/>
      <c r="M1364" s="195">
        <f>'Supply chain'!C93</f>
        <v>70</v>
      </c>
      <c r="N1364" s="195" t="str">
        <f>'Supply chain'!D93</f>
        <v xml:space="preserve">Services of head offices; management consulting services         </v>
      </c>
      <c r="O1364" s="194"/>
      <c r="P1364" s="195" t="str">
        <f>'Supply chain'!E93</f>
        <v>Tier 1</v>
      </c>
      <c r="Q1364" s="195">
        <f>'Supply chain'!F93</f>
        <v>0.25</v>
      </c>
      <c r="R1364" s="195">
        <f>'Supply chain'!G93</f>
        <v>0</v>
      </c>
      <c r="S1364" s="195" t="str">
        <f>'Supply chain'!H93</f>
        <v>£</v>
      </c>
      <c r="T1364" s="195">
        <f>'Supply chain'!I93</f>
        <v>0</v>
      </c>
      <c r="U1364" s="195" t="str">
        <f>'Supply chain'!J93</f>
        <v>£</v>
      </c>
      <c r="V1364" s="195">
        <f>'Supply chain'!K93</f>
        <v>0.1606219056078951</v>
      </c>
      <c r="W1364" s="195" t="str">
        <f>'Supply chain'!L93</f>
        <v/>
      </c>
      <c r="X1364" s="193">
        <f>'Supply chain'!M93</f>
        <v>0</v>
      </c>
      <c r="Y1364" s="195">
        <f>'Supply chain'!N93</f>
        <v>0</v>
      </c>
      <c r="Z1364" s="195">
        <f>'Supply chain'!O93</f>
        <v>0</v>
      </c>
      <c r="AA1364" s="195">
        <f>'Supply chain'!P93</f>
        <v>0</v>
      </c>
      <c r="AB1364" s="195">
        <f>'Supply chain'!Q93</f>
        <v>0</v>
      </c>
      <c r="AC1364" s="195">
        <f>'Supply chain'!R93</f>
        <v>0</v>
      </c>
      <c r="AD1364" s="195">
        <f>'Supply chain'!S93</f>
        <v>0</v>
      </c>
      <c r="AE1364" s="195">
        <f>'Supply chain'!T93</f>
        <v>0</v>
      </c>
      <c r="AF1364" s="195">
        <f>'Supply chain'!U93</f>
        <v>0</v>
      </c>
      <c r="AG1364" s="195">
        <f>'Supply chain'!V93</f>
        <v>0</v>
      </c>
      <c r="AI1364" s="193">
        <f t="shared" si="28"/>
        <v>0</v>
      </c>
      <c r="AJ1364" s="193">
        <f t="shared" si="29"/>
        <v>0</v>
      </c>
    </row>
    <row r="1365" spans="2:36" x14ac:dyDescent="0.35">
      <c r="B1365" s="193" t="e">
        <f>"2024"&amp;MATCH(Totals!D1365,OrgType,0)&amp;"_"&amp;MATCH(Totals!E1365,Organisations,0)&amp;"_"&amp;LEFT(Totals!F1365,1)&amp;"_"&amp;LEFT(G1365,1)&amp;"_"&amp;COUNTIF($G$3:G1365,G1365)</f>
        <v>#N/A</v>
      </c>
      <c r="C1365" s="193">
        <v>2025</v>
      </c>
      <c r="D1365" s="193">
        <f>Introduction!$D$7</f>
        <v>0</v>
      </c>
      <c r="E1365" s="193">
        <f>Introduction!$D$8</f>
        <v>0</v>
      </c>
      <c r="F1365" s="193" t="s">
        <v>493</v>
      </c>
      <c r="G1365" s="193" t="s">
        <v>493</v>
      </c>
      <c r="H1365" s="194"/>
      <c r="I1365" s="194"/>
      <c r="J1365" s="195" t="str">
        <f>'Supply chain'!B94</f>
        <v>Professional, scientific and technical activities</v>
      </c>
      <c r="K1365" s="194"/>
      <c r="L1365" s="194"/>
      <c r="M1365" s="195">
        <f>'Supply chain'!C94</f>
        <v>71</v>
      </c>
      <c r="N1365" s="195" t="str">
        <f>'Supply chain'!D94</f>
        <v xml:space="preserve">Architectural and engineering services; technical testing and analysis services       </v>
      </c>
      <c r="O1365" s="194"/>
      <c r="P1365" s="195" t="str">
        <f>'Supply chain'!E94</f>
        <v>Tier 1</v>
      </c>
      <c r="Q1365" s="195">
        <f>'Supply chain'!F94</f>
        <v>0.25</v>
      </c>
      <c r="R1365" s="195">
        <f>'Supply chain'!G94</f>
        <v>0</v>
      </c>
      <c r="S1365" s="195" t="str">
        <f>'Supply chain'!H94</f>
        <v>£</v>
      </c>
      <c r="T1365" s="195">
        <f>'Supply chain'!I94</f>
        <v>0</v>
      </c>
      <c r="U1365" s="195" t="str">
        <f>'Supply chain'!J94</f>
        <v>£</v>
      </c>
      <c r="V1365" s="195">
        <f>'Supply chain'!K94</f>
        <v>0.19767415433147631</v>
      </c>
      <c r="W1365" s="195" t="str">
        <f>'Supply chain'!L94</f>
        <v/>
      </c>
      <c r="X1365" s="193">
        <f>'Supply chain'!M94</f>
        <v>0</v>
      </c>
      <c r="Y1365" s="195">
        <f>'Supply chain'!N94</f>
        <v>0</v>
      </c>
      <c r="Z1365" s="195">
        <f>'Supply chain'!O94</f>
        <v>0</v>
      </c>
      <c r="AA1365" s="195">
        <f>'Supply chain'!P94</f>
        <v>0</v>
      </c>
      <c r="AB1365" s="195">
        <f>'Supply chain'!Q94</f>
        <v>0</v>
      </c>
      <c r="AC1365" s="195">
        <f>'Supply chain'!R94</f>
        <v>0</v>
      </c>
      <c r="AD1365" s="195">
        <f>'Supply chain'!S94</f>
        <v>0</v>
      </c>
      <c r="AE1365" s="195">
        <f>'Supply chain'!T94</f>
        <v>0</v>
      </c>
      <c r="AF1365" s="195">
        <f>'Supply chain'!U94</f>
        <v>0</v>
      </c>
      <c r="AG1365" s="195">
        <f>'Supply chain'!V94</f>
        <v>0</v>
      </c>
      <c r="AI1365" s="193">
        <f t="shared" si="28"/>
        <v>0</v>
      </c>
      <c r="AJ1365" s="193">
        <f t="shared" si="29"/>
        <v>0</v>
      </c>
    </row>
    <row r="1366" spans="2:36" x14ac:dyDescent="0.35">
      <c r="B1366" s="193" t="e">
        <f>"2024"&amp;MATCH(Totals!D1366,OrgType,0)&amp;"_"&amp;MATCH(Totals!E1366,Organisations,0)&amp;"_"&amp;LEFT(Totals!F1366,1)&amp;"_"&amp;LEFT(G1366,1)&amp;"_"&amp;COUNTIF($G$3:G1366,G1366)</f>
        <v>#N/A</v>
      </c>
      <c r="C1366" s="193">
        <v>2025</v>
      </c>
      <c r="D1366" s="193">
        <f>Introduction!$D$7</f>
        <v>0</v>
      </c>
      <c r="E1366" s="193">
        <f>Introduction!$D$8</f>
        <v>0</v>
      </c>
      <c r="F1366" s="193" t="s">
        <v>493</v>
      </c>
      <c r="G1366" s="193" t="s">
        <v>493</v>
      </c>
      <c r="H1366" s="194"/>
      <c r="I1366" s="194"/>
      <c r="J1366" s="195" t="str">
        <f>'Supply chain'!B95</f>
        <v>Professional, scientific and technical activities</v>
      </c>
      <c r="K1366" s="194"/>
      <c r="L1366" s="194"/>
      <c r="M1366" s="195">
        <f>'Supply chain'!C95</f>
        <v>72</v>
      </c>
      <c r="N1366" s="195" t="str">
        <f>'Supply chain'!D95</f>
        <v xml:space="preserve">Scientific research and development services           </v>
      </c>
      <c r="O1366" s="194"/>
      <c r="P1366" s="195" t="str">
        <f>'Supply chain'!E95</f>
        <v>Tier 1</v>
      </c>
      <c r="Q1366" s="195">
        <f>'Supply chain'!F95</f>
        <v>0.25</v>
      </c>
      <c r="R1366" s="195">
        <f>'Supply chain'!G95</f>
        <v>0</v>
      </c>
      <c r="S1366" s="195" t="str">
        <f>'Supply chain'!H95</f>
        <v>£</v>
      </c>
      <c r="T1366" s="195">
        <f>'Supply chain'!I95</f>
        <v>0</v>
      </c>
      <c r="U1366" s="195" t="str">
        <f>'Supply chain'!J95</f>
        <v>£</v>
      </c>
      <c r="V1366" s="195">
        <f>'Supply chain'!K95</f>
        <v>0.22163212839847199</v>
      </c>
      <c r="W1366" s="195" t="str">
        <f>'Supply chain'!L95</f>
        <v/>
      </c>
      <c r="X1366" s="193">
        <f>'Supply chain'!M95</f>
        <v>0</v>
      </c>
      <c r="Y1366" s="195">
        <f>'Supply chain'!N95</f>
        <v>0</v>
      </c>
      <c r="Z1366" s="195">
        <f>'Supply chain'!O95</f>
        <v>0</v>
      </c>
      <c r="AA1366" s="195">
        <f>'Supply chain'!P95</f>
        <v>0</v>
      </c>
      <c r="AB1366" s="195">
        <f>'Supply chain'!Q95</f>
        <v>0</v>
      </c>
      <c r="AC1366" s="195">
        <f>'Supply chain'!R95</f>
        <v>0</v>
      </c>
      <c r="AD1366" s="195">
        <f>'Supply chain'!S95</f>
        <v>0</v>
      </c>
      <c r="AE1366" s="195">
        <f>'Supply chain'!T95</f>
        <v>0</v>
      </c>
      <c r="AF1366" s="195">
        <f>'Supply chain'!U95</f>
        <v>0</v>
      </c>
      <c r="AG1366" s="195">
        <f>'Supply chain'!V95</f>
        <v>0</v>
      </c>
      <c r="AI1366" s="193">
        <f t="shared" ref="AI1366:AI1524" si="30">IF(AND(V1366="",R1366&lt;&gt;0),1,0)</f>
        <v>0</v>
      </c>
      <c r="AJ1366" s="193">
        <f t="shared" ref="AJ1366:AJ1524" si="31">IF(AND(W1366="",R1366&lt;&gt;0),1,0)</f>
        <v>0</v>
      </c>
    </row>
    <row r="1367" spans="2:36" x14ac:dyDescent="0.35">
      <c r="B1367" s="193" t="e">
        <f>"2024"&amp;MATCH(Totals!D1367,OrgType,0)&amp;"_"&amp;MATCH(Totals!E1367,Organisations,0)&amp;"_"&amp;LEFT(Totals!F1367,1)&amp;"_"&amp;LEFT(G1367,1)&amp;"_"&amp;COUNTIF($G$3:G1367,G1367)</f>
        <v>#N/A</v>
      </c>
      <c r="C1367" s="193">
        <v>2025</v>
      </c>
      <c r="D1367" s="193">
        <f>Introduction!$D$7</f>
        <v>0</v>
      </c>
      <c r="E1367" s="193">
        <f>Introduction!$D$8</f>
        <v>0</v>
      </c>
      <c r="F1367" s="193" t="s">
        <v>493</v>
      </c>
      <c r="G1367" s="193" t="s">
        <v>493</v>
      </c>
      <c r="H1367" s="194"/>
      <c r="I1367" s="194"/>
      <c r="J1367" s="195" t="str">
        <f>'Supply chain'!B96</f>
        <v>Professional, scientific and technical activities</v>
      </c>
      <c r="K1367" s="194"/>
      <c r="L1367" s="194"/>
      <c r="M1367" s="195">
        <f>'Supply chain'!C96</f>
        <v>73</v>
      </c>
      <c r="N1367" s="195" t="str">
        <f>'Supply chain'!D96</f>
        <v xml:space="preserve">Advertising and market research services           </v>
      </c>
      <c r="O1367" s="194"/>
      <c r="P1367" s="195" t="str">
        <f>'Supply chain'!E96</f>
        <v>Tier 1</v>
      </c>
      <c r="Q1367" s="195">
        <f>'Supply chain'!F96</f>
        <v>0.25</v>
      </c>
      <c r="R1367" s="195">
        <f>'Supply chain'!G96</f>
        <v>0</v>
      </c>
      <c r="S1367" s="195" t="str">
        <f>'Supply chain'!H96</f>
        <v>£</v>
      </c>
      <c r="T1367" s="195">
        <f>'Supply chain'!I96</f>
        <v>0</v>
      </c>
      <c r="U1367" s="195" t="str">
        <f>'Supply chain'!J96</f>
        <v>£</v>
      </c>
      <c r="V1367" s="195">
        <f>'Supply chain'!K96</f>
        <v>0.1241431881090397</v>
      </c>
      <c r="W1367" s="195" t="str">
        <f>'Supply chain'!L96</f>
        <v/>
      </c>
      <c r="X1367" s="193">
        <f>'Supply chain'!M96</f>
        <v>0</v>
      </c>
      <c r="Y1367" s="195">
        <f>'Supply chain'!N96</f>
        <v>0</v>
      </c>
      <c r="Z1367" s="195">
        <f>'Supply chain'!O96</f>
        <v>0</v>
      </c>
      <c r="AA1367" s="195">
        <f>'Supply chain'!P96</f>
        <v>0</v>
      </c>
      <c r="AB1367" s="195">
        <f>'Supply chain'!Q96</f>
        <v>0</v>
      </c>
      <c r="AC1367" s="195">
        <f>'Supply chain'!R96</f>
        <v>0</v>
      </c>
      <c r="AD1367" s="195">
        <f>'Supply chain'!S96</f>
        <v>0</v>
      </c>
      <c r="AE1367" s="195">
        <f>'Supply chain'!T96</f>
        <v>0</v>
      </c>
      <c r="AF1367" s="195">
        <f>'Supply chain'!U96</f>
        <v>0</v>
      </c>
      <c r="AG1367" s="195">
        <f>'Supply chain'!V96</f>
        <v>0</v>
      </c>
      <c r="AI1367" s="193">
        <f t="shared" si="30"/>
        <v>0</v>
      </c>
      <c r="AJ1367" s="193">
        <f t="shared" si="31"/>
        <v>0</v>
      </c>
    </row>
    <row r="1368" spans="2:36" x14ac:dyDescent="0.35">
      <c r="B1368" s="193" t="e">
        <f>"2024"&amp;MATCH(Totals!D1368,OrgType,0)&amp;"_"&amp;MATCH(Totals!E1368,Organisations,0)&amp;"_"&amp;LEFT(Totals!F1368,1)&amp;"_"&amp;LEFT(G1368,1)&amp;"_"&amp;COUNTIF($G$3:G1368,G1368)</f>
        <v>#N/A</v>
      </c>
      <c r="C1368" s="193">
        <v>2025</v>
      </c>
      <c r="D1368" s="193">
        <f>Introduction!$D$7</f>
        <v>0</v>
      </c>
      <c r="E1368" s="193">
        <f>Introduction!$D$8</f>
        <v>0</v>
      </c>
      <c r="F1368" s="193" t="s">
        <v>493</v>
      </c>
      <c r="G1368" s="193" t="s">
        <v>493</v>
      </c>
      <c r="H1368" s="194"/>
      <c r="I1368" s="194"/>
      <c r="J1368" s="195" t="str">
        <f>'Supply chain'!B97</f>
        <v>Professional, scientific and technical activities</v>
      </c>
      <c r="K1368" s="194"/>
      <c r="L1368" s="194"/>
      <c r="M1368" s="195">
        <f>'Supply chain'!C97</f>
        <v>74</v>
      </c>
      <c r="N1368" s="195" t="str">
        <f>'Supply chain'!D97</f>
        <v xml:space="preserve">Other professional, scientific and technical services          </v>
      </c>
      <c r="O1368" s="194"/>
      <c r="P1368" s="195" t="str">
        <f>'Supply chain'!E97</f>
        <v>Tier 1</v>
      </c>
      <c r="Q1368" s="195">
        <f>'Supply chain'!F97</f>
        <v>0.25</v>
      </c>
      <c r="R1368" s="195">
        <f>'Supply chain'!G97</f>
        <v>0</v>
      </c>
      <c r="S1368" s="195" t="str">
        <f>'Supply chain'!H97</f>
        <v>£</v>
      </c>
      <c r="T1368" s="195">
        <f>'Supply chain'!I97</f>
        <v>0</v>
      </c>
      <c r="U1368" s="195" t="str">
        <f>'Supply chain'!J97</f>
        <v>£</v>
      </c>
      <c r="V1368" s="195">
        <f>'Supply chain'!K97</f>
        <v>0.16301321549815079</v>
      </c>
      <c r="W1368" s="195" t="str">
        <f>'Supply chain'!L97</f>
        <v/>
      </c>
      <c r="X1368" s="193">
        <f>'Supply chain'!M97</f>
        <v>0</v>
      </c>
      <c r="Y1368" s="195">
        <f>'Supply chain'!N97</f>
        <v>0</v>
      </c>
      <c r="Z1368" s="195">
        <f>'Supply chain'!O97</f>
        <v>0</v>
      </c>
      <c r="AA1368" s="195">
        <f>'Supply chain'!P97</f>
        <v>0</v>
      </c>
      <c r="AB1368" s="195">
        <f>'Supply chain'!Q97</f>
        <v>0</v>
      </c>
      <c r="AC1368" s="195">
        <f>'Supply chain'!R97</f>
        <v>0</v>
      </c>
      <c r="AD1368" s="195">
        <f>'Supply chain'!S97</f>
        <v>0</v>
      </c>
      <c r="AE1368" s="195">
        <f>'Supply chain'!T97</f>
        <v>0</v>
      </c>
      <c r="AF1368" s="195">
        <f>'Supply chain'!U97</f>
        <v>0</v>
      </c>
      <c r="AG1368" s="195">
        <f>'Supply chain'!V97</f>
        <v>0</v>
      </c>
      <c r="AI1368" s="193">
        <f t="shared" si="30"/>
        <v>0</v>
      </c>
      <c r="AJ1368" s="193">
        <f t="shared" si="31"/>
        <v>0</v>
      </c>
    </row>
    <row r="1369" spans="2:36" x14ac:dyDescent="0.35">
      <c r="B1369" s="193" t="e">
        <f>"2024"&amp;MATCH(Totals!D1369,OrgType,0)&amp;"_"&amp;MATCH(Totals!E1369,Organisations,0)&amp;"_"&amp;LEFT(Totals!F1369,1)&amp;"_"&amp;LEFT(G1369,1)&amp;"_"&amp;COUNTIF($G$3:G1369,G1369)</f>
        <v>#N/A</v>
      </c>
      <c r="C1369" s="193">
        <v>2025</v>
      </c>
      <c r="D1369" s="193">
        <f>Introduction!$D$7</f>
        <v>0</v>
      </c>
      <c r="E1369" s="193">
        <f>Introduction!$D$8</f>
        <v>0</v>
      </c>
      <c r="F1369" s="193" t="s">
        <v>493</v>
      </c>
      <c r="G1369" s="193" t="s">
        <v>493</v>
      </c>
      <c r="H1369" s="194"/>
      <c r="I1369" s="194"/>
      <c r="J1369" s="195" t="str">
        <f>'Supply chain'!B98</f>
        <v>Professional, scientific and technical activities</v>
      </c>
      <c r="K1369" s="194"/>
      <c r="L1369" s="194"/>
      <c r="M1369" s="195">
        <f>'Supply chain'!C98</f>
        <v>75</v>
      </c>
      <c r="N1369" s="195" t="str">
        <f>'Supply chain'!D98</f>
        <v xml:space="preserve">Veterinary services              </v>
      </c>
      <c r="O1369" s="194"/>
      <c r="P1369" s="195" t="str">
        <f>'Supply chain'!E98</f>
        <v>Tier 1</v>
      </c>
      <c r="Q1369" s="195">
        <f>'Supply chain'!F98</f>
        <v>0.25</v>
      </c>
      <c r="R1369" s="195">
        <f>'Supply chain'!G98</f>
        <v>0</v>
      </c>
      <c r="S1369" s="195" t="str">
        <f>'Supply chain'!H98</f>
        <v>£</v>
      </c>
      <c r="T1369" s="195">
        <f>'Supply chain'!I98</f>
        <v>0</v>
      </c>
      <c r="U1369" s="195" t="str">
        <f>'Supply chain'!J98</f>
        <v>£</v>
      </c>
      <c r="V1369" s="195">
        <f>'Supply chain'!K98</f>
        <v>0.1069182401674207</v>
      </c>
      <c r="W1369" s="195" t="str">
        <f>'Supply chain'!L98</f>
        <v/>
      </c>
      <c r="X1369" s="193">
        <f>'Supply chain'!M98</f>
        <v>0</v>
      </c>
      <c r="Y1369" s="195">
        <f>'Supply chain'!N98</f>
        <v>0</v>
      </c>
      <c r="Z1369" s="195">
        <f>'Supply chain'!O98</f>
        <v>0</v>
      </c>
      <c r="AA1369" s="195">
        <f>'Supply chain'!P98</f>
        <v>0</v>
      </c>
      <c r="AB1369" s="195">
        <f>'Supply chain'!Q98</f>
        <v>0</v>
      </c>
      <c r="AC1369" s="195">
        <f>'Supply chain'!R98</f>
        <v>0</v>
      </c>
      <c r="AD1369" s="195">
        <f>'Supply chain'!S98</f>
        <v>0</v>
      </c>
      <c r="AE1369" s="195">
        <f>'Supply chain'!T98</f>
        <v>0</v>
      </c>
      <c r="AF1369" s="195">
        <f>'Supply chain'!U98</f>
        <v>0</v>
      </c>
      <c r="AG1369" s="195">
        <f>'Supply chain'!V98</f>
        <v>0</v>
      </c>
      <c r="AI1369" s="193">
        <f t="shared" si="30"/>
        <v>0</v>
      </c>
      <c r="AJ1369" s="193">
        <f t="shared" si="31"/>
        <v>0</v>
      </c>
    </row>
    <row r="1370" spans="2:36" x14ac:dyDescent="0.35">
      <c r="B1370" s="193" t="e">
        <f>"2024"&amp;MATCH(Totals!D1370,OrgType,0)&amp;"_"&amp;MATCH(Totals!E1370,Organisations,0)&amp;"_"&amp;LEFT(Totals!F1370,1)&amp;"_"&amp;LEFT(G1370,1)&amp;"_"&amp;COUNTIF($G$3:G1370,G1370)</f>
        <v>#N/A</v>
      </c>
      <c r="C1370" s="193">
        <v>2025</v>
      </c>
      <c r="D1370" s="193">
        <f>Introduction!$D$7</f>
        <v>0</v>
      </c>
      <c r="E1370" s="193">
        <f>Introduction!$D$8</f>
        <v>0</v>
      </c>
      <c r="F1370" s="193" t="s">
        <v>493</v>
      </c>
      <c r="G1370" s="193" t="s">
        <v>493</v>
      </c>
      <c r="H1370" s="194"/>
      <c r="I1370" s="194"/>
      <c r="J1370" s="195" t="str">
        <f>'Supply chain'!B99</f>
        <v>Administrative and support service activities</v>
      </c>
      <c r="K1370" s="194"/>
      <c r="L1370" s="194"/>
      <c r="M1370" s="195">
        <f>'Supply chain'!C99</f>
        <v>77</v>
      </c>
      <c r="N1370" s="195" t="str">
        <f>'Supply chain'!D99</f>
        <v xml:space="preserve">Rental and leasing services            </v>
      </c>
      <c r="O1370" s="194"/>
      <c r="P1370" s="195" t="str">
        <f>'Supply chain'!E99</f>
        <v>Tier 1</v>
      </c>
      <c r="Q1370" s="195">
        <f>'Supply chain'!F99</f>
        <v>0.25</v>
      </c>
      <c r="R1370" s="195">
        <f>'Supply chain'!G99</f>
        <v>0</v>
      </c>
      <c r="S1370" s="195" t="str">
        <f>'Supply chain'!H99</f>
        <v>£</v>
      </c>
      <c r="T1370" s="195">
        <f>'Supply chain'!I99</f>
        <v>0</v>
      </c>
      <c r="U1370" s="195" t="str">
        <f>'Supply chain'!J99</f>
        <v>£</v>
      </c>
      <c r="V1370" s="195">
        <f>'Supply chain'!K99</f>
        <v>0.17744433103004759</v>
      </c>
      <c r="W1370" s="195" t="str">
        <f>'Supply chain'!L99</f>
        <v/>
      </c>
      <c r="X1370" s="193">
        <f>'Supply chain'!M99</f>
        <v>0</v>
      </c>
      <c r="Y1370" s="195">
        <f>'Supply chain'!N99</f>
        <v>0</v>
      </c>
      <c r="Z1370" s="195">
        <f>'Supply chain'!O99</f>
        <v>0</v>
      </c>
      <c r="AA1370" s="195">
        <f>'Supply chain'!P99</f>
        <v>0</v>
      </c>
      <c r="AB1370" s="195">
        <f>'Supply chain'!Q99</f>
        <v>0</v>
      </c>
      <c r="AC1370" s="195">
        <f>'Supply chain'!R99</f>
        <v>0</v>
      </c>
      <c r="AD1370" s="195">
        <f>'Supply chain'!S99</f>
        <v>0</v>
      </c>
      <c r="AE1370" s="195">
        <f>'Supply chain'!T99</f>
        <v>0</v>
      </c>
      <c r="AF1370" s="195">
        <f>'Supply chain'!U99</f>
        <v>0</v>
      </c>
      <c r="AG1370" s="195">
        <f>'Supply chain'!V99</f>
        <v>0</v>
      </c>
      <c r="AI1370" s="193">
        <f t="shared" si="30"/>
        <v>0</v>
      </c>
      <c r="AJ1370" s="193">
        <f t="shared" si="31"/>
        <v>0</v>
      </c>
    </row>
    <row r="1371" spans="2:36" x14ac:dyDescent="0.35">
      <c r="B1371" s="193" t="e">
        <f>"2024"&amp;MATCH(Totals!D1371,OrgType,0)&amp;"_"&amp;MATCH(Totals!E1371,Organisations,0)&amp;"_"&amp;LEFT(Totals!F1371,1)&amp;"_"&amp;LEFT(G1371,1)&amp;"_"&amp;COUNTIF($G$3:G1371,G1371)</f>
        <v>#N/A</v>
      </c>
      <c r="C1371" s="193">
        <v>2025</v>
      </c>
      <c r="D1371" s="193">
        <f>Introduction!$D$7</f>
        <v>0</v>
      </c>
      <c r="E1371" s="193">
        <f>Introduction!$D$8</f>
        <v>0</v>
      </c>
      <c r="F1371" s="193" t="s">
        <v>493</v>
      </c>
      <c r="G1371" s="193" t="s">
        <v>493</v>
      </c>
      <c r="H1371" s="194"/>
      <c r="I1371" s="194"/>
      <c r="J1371" s="195" t="str">
        <f>'Supply chain'!B100</f>
        <v>Administrative and support service activities</v>
      </c>
      <c r="K1371" s="194"/>
      <c r="L1371" s="194"/>
      <c r="M1371" s="195">
        <f>'Supply chain'!C100</f>
        <v>78</v>
      </c>
      <c r="N1371" s="195" t="str">
        <f>'Supply chain'!D100</f>
        <v xml:space="preserve">Employment services              </v>
      </c>
      <c r="O1371" s="194"/>
      <c r="P1371" s="195" t="str">
        <f>'Supply chain'!E100</f>
        <v>Tier 1</v>
      </c>
      <c r="Q1371" s="195">
        <f>'Supply chain'!F100</f>
        <v>0.25</v>
      </c>
      <c r="R1371" s="195">
        <f>'Supply chain'!G100</f>
        <v>0</v>
      </c>
      <c r="S1371" s="195" t="str">
        <f>'Supply chain'!H100</f>
        <v>£</v>
      </c>
      <c r="T1371" s="195">
        <f>'Supply chain'!I100</f>
        <v>0</v>
      </c>
      <c r="U1371" s="195" t="str">
        <f>'Supply chain'!J100</f>
        <v>£</v>
      </c>
      <c r="V1371" s="195">
        <f>'Supply chain'!K100</f>
        <v>0.12635541758388921</v>
      </c>
      <c r="W1371" s="195" t="str">
        <f>'Supply chain'!L100</f>
        <v/>
      </c>
      <c r="X1371" s="193">
        <f>'Supply chain'!M100</f>
        <v>0</v>
      </c>
      <c r="Y1371" s="195">
        <f>'Supply chain'!N100</f>
        <v>0</v>
      </c>
      <c r="Z1371" s="195">
        <f>'Supply chain'!O100</f>
        <v>0</v>
      </c>
      <c r="AA1371" s="195">
        <f>'Supply chain'!P100</f>
        <v>0</v>
      </c>
      <c r="AB1371" s="195">
        <f>'Supply chain'!Q100</f>
        <v>0</v>
      </c>
      <c r="AC1371" s="195">
        <f>'Supply chain'!R100</f>
        <v>0</v>
      </c>
      <c r="AD1371" s="195">
        <f>'Supply chain'!S100</f>
        <v>0</v>
      </c>
      <c r="AE1371" s="195">
        <f>'Supply chain'!T100</f>
        <v>0</v>
      </c>
      <c r="AF1371" s="195">
        <f>'Supply chain'!U100</f>
        <v>0</v>
      </c>
      <c r="AG1371" s="195">
        <f>'Supply chain'!V100</f>
        <v>0</v>
      </c>
      <c r="AI1371" s="193">
        <f t="shared" si="30"/>
        <v>0</v>
      </c>
      <c r="AJ1371" s="193">
        <f t="shared" si="31"/>
        <v>0</v>
      </c>
    </row>
    <row r="1372" spans="2:36" x14ac:dyDescent="0.35">
      <c r="B1372" s="193" t="e">
        <f>"2024"&amp;MATCH(Totals!D1372,OrgType,0)&amp;"_"&amp;MATCH(Totals!E1372,Organisations,0)&amp;"_"&amp;LEFT(Totals!F1372,1)&amp;"_"&amp;LEFT(G1372,1)&amp;"_"&amp;COUNTIF($G$3:G1372,G1372)</f>
        <v>#N/A</v>
      </c>
      <c r="C1372" s="193">
        <v>2025</v>
      </c>
      <c r="D1372" s="193">
        <f>Introduction!$D$7</f>
        <v>0</v>
      </c>
      <c r="E1372" s="193">
        <f>Introduction!$D$8</f>
        <v>0</v>
      </c>
      <c r="F1372" s="193" t="s">
        <v>493</v>
      </c>
      <c r="G1372" s="193" t="s">
        <v>493</v>
      </c>
      <c r="H1372" s="194"/>
      <c r="I1372" s="194"/>
      <c r="J1372" s="195" t="str">
        <f>'Supply chain'!B101</f>
        <v>Administrative and support service activities</v>
      </c>
      <c r="K1372" s="194"/>
      <c r="L1372" s="194"/>
      <c r="M1372" s="195">
        <f>'Supply chain'!C101</f>
        <v>79</v>
      </c>
      <c r="N1372" s="195" t="str">
        <f>'Supply chain'!D101</f>
        <v xml:space="preserve">Travel agency, tour operator and other reservation services and related services     </v>
      </c>
      <c r="O1372" s="194"/>
      <c r="P1372" s="195" t="str">
        <f>'Supply chain'!E101</f>
        <v>Tier 1</v>
      </c>
      <c r="Q1372" s="195">
        <f>'Supply chain'!F101</f>
        <v>0.25</v>
      </c>
      <c r="R1372" s="195">
        <f>'Supply chain'!G101</f>
        <v>0</v>
      </c>
      <c r="S1372" s="195" t="str">
        <f>'Supply chain'!H101</f>
        <v>£</v>
      </c>
      <c r="T1372" s="195">
        <f>'Supply chain'!I101</f>
        <v>0</v>
      </c>
      <c r="U1372" s="195" t="str">
        <f>'Supply chain'!J101</f>
        <v>£</v>
      </c>
      <c r="V1372" s="195">
        <f>'Supply chain'!K101</f>
        <v>0.1723782873269421</v>
      </c>
      <c r="W1372" s="195" t="str">
        <f>'Supply chain'!L101</f>
        <v/>
      </c>
      <c r="X1372" s="193">
        <f>'Supply chain'!M101</f>
        <v>0</v>
      </c>
      <c r="Y1372" s="195">
        <f>'Supply chain'!N101</f>
        <v>0</v>
      </c>
      <c r="Z1372" s="195">
        <f>'Supply chain'!O101</f>
        <v>0</v>
      </c>
      <c r="AA1372" s="195">
        <f>'Supply chain'!P101</f>
        <v>0</v>
      </c>
      <c r="AB1372" s="195">
        <f>'Supply chain'!Q101</f>
        <v>0</v>
      </c>
      <c r="AC1372" s="195">
        <f>'Supply chain'!R101</f>
        <v>0</v>
      </c>
      <c r="AD1372" s="195">
        <f>'Supply chain'!S101</f>
        <v>0</v>
      </c>
      <c r="AE1372" s="195">
        <f>'Supply chain'!T101</f>
        <v>0</v>
      </c>
      <c r="AF1372" s="195">
        <f>'Supply chain'!U101</f>
        <v>0</v>
      </c>
      <c r="AG1372" s="195">
        <f>'Supply chain'!V101</f>
        <v>0</v>
      </c>
      <c r="AI1372" s="193">
        <f t="shared" si="30"/>
        <v>0</v>
      </c>
      <c r="AJ1372" s="193">
        <f t="shared" si="31"/>
        <v>0</v>
      </c>
    </row>
    <row r="1373" spans="2:36" x14ac:dyDescent="0.35">
      <c r="B1373" s="193" t="e">
        <f>"2024"&amp;MATCH(Totals!D1373,OrgType,0)&amp;"_"&amp;MATCH(Totals!E1373,Organisations,0)&amp;"_"&amp;LEFT(Totals!F1373,1)&amp;"_"&amp;LEFT(G1373,1)&amp;"_"&amp;COUNTIF($G$3:G1373,G1373)</f>
        <v>#N/A</v>
      </c>
      <c r="C1373" s="193">
        <v>2025</v>
      </c>
      <c r="D1373" s="193">
        <f>Introduction!$D$7</f>
        <v>0</v>
      </c>
      <c r="E1373" s="193">
        <f>Introduction!$D$8</f>
        <v>0</v>
      </c>
      <c r="F1373" s="193" t="s">
        <v>493</v>
      </c>
      <c r="G1373" s="193" t="s">
        <v>493</v>
      </c>
      <c r="H1373" s="194"/>
      <c r="I1373" s="194"/>
      <c r="J1373" s="195" t="str">
        <f>'Supply chain'!B102</f>
        <v>Administrative and support service activities</v>
      </c>
      <c r="K1373" s="194"/>
      <c r="L1373" s="194"/>
      <c r="M1373" s="195">
        <f>'Supply chain'!C102</f>
        <v>80</v>
      </c>
      <c r="N1373" s="195" t="str">
        <f>'Supply chain'!D102</f>
        <v xml:space="preserve">Security and investigation services            </v>
      </c>
      <c r="O1373" s="194"/>
      <c r="P1373" s="195" t="str">
        <f>'Supply chain'!E102</f>
        <v>Tier 1</v>
      </c>
      <c r="Q1373" s="195">
        <f>'Supply chain'!F102</f>
        <v>0.25</v>
      </c>
      <c r="R1373" s="195">
        <f>'Supply chain'!G102</f>
        <v>0</v>
      </c>
      <c r="S1373" s="195" t="str">
        <f>'Supply chain'!H102</f>
        <v>£</v>
      </c>
      <c r="T1373" s="195">
        <f>'Supply chain'!I102</f>
        <v>0</v>
      </c>
      <c r="U1373" s="195" t="str">
        <f>'Supply chain'!J102</f>
        <v>£</v>
      </c>
      <c r="V1373" s="195">
        <f>'Supply chain'!K102</f>
        <v>0.1120917125434992</v>
      </c>
      <c r="W1373" s="195" t="str">
        <f>'Supply chain'!L102</f>
        <v/>
      </c>
      <c r="X1373" s="193">
        <f>'Supply chain'!M102</f>
        <v>0</v>
      </c>
      <c r="Y1373" s="195">
        <f>'Supply chain'!N102</f>
        <v>0</v>
      </c>
      <c r="Z1373" s="195">
        <f>'Supply chain'!O102</f>
        <v>0</v>
      </c>
      <c r="AA1373" s="195">
        <f>'Supply chain'!P102</f>
        <v>0</v>
      </c>
      <c r="AB1373" s="195">
        <f>'Supply chain'!Q102</f>
        <v>0</v>
      </c>
      <c r="AC1373" s="195">
        <f>'Supply chain'!R102</f>
        <v>0</v>
      </c>
      <c r="AD1373" s="195">
        <f>'Supply chain'!S102</f>
        <v>0</v>
      </c>
      <c r="AE1373" s="195">
        <f>'Supply chain'!T102</f>
        <v>0</v>
      </c>
      <c r="AF1373" s="195">
        <f>'Supply chain'!U102</f>
        <v>0</v>
      </c>
      <c r="AG1373" s="195">
        <f>'Supply chain'!V102</f>
        <v>0</v>
      </c>
      <c r="AI1373" s="193">
        <f t="shared" si="30"/>
        <v>0</v>
      </c>
      <c r="AJ1373" s="193">
        <f t="shared" si="31"/>
        <v>0</v>
      </c>
    </row>
    <row r="1374" spans="2:36" x14ac:dyDescent="0.35">
      <c r="B1374" s="193" t="e">
        <f>"2024"&amp;MATCH(Totals!D1374,OrgType,0)&amp;"_"&amp;MATCH(Totals!E1374,Organisations,0)&amp;"_"&amp;LEFT(Totals!F1374,1)&amp;"_"&amp;LEFT(G1374,1)&amp;"_"&amp;COUNTIF($G$3:G1374,G1374)</f>
        <v>#N/A</v>
      </c>
      <c r="C1374" s="193">
        <v>2025</v>
      </c>
      <c r="D1374" s="193">
        <f>Introduction!$D$7</f>
        <v>0</v>
      </c>
      <c r="E1374" s="193">
        <f>Introduction!$D$8</f>
        <v>0</v>
      </c>
      <c r="F1374" s="193" t="s">
        <v>493</v>
      </c>
      <c r="G1374" s="193" t="s">
        <v>493</v>
      </c>
      <c r="H1374" s="194"/>
      <c r="I1374" s="194"/>
      <c r="J1374" s="195" t="str">
        <f>'Supply chain'!B103</f>
        <v>Administrative and support service activities</v>
      </c>
      <c r="K1374" s="194"/>
      <c r="L1374" s="194"/>
      <c r="M1374" s="195">
        <f>'Supply chain'!C103</f>
        <v>81</v>
      </c>
      <c r="N1374" s="195" t="str">
        <f>'Supply chain'!D103</f>
        <v xml:space="preserve">Services to buildings and landscape           </v>
      </c>
      <c r="O1374" s="194"/>
      <c r="P1374" s="195" t="str">
        <f>'Supply chain'!E103</f>
        <v>Tier 1</v>
      </c>
      <c r="Q1374" s="195">
        <f>'Supply chain'!F103</f>
        <v>0.25</v>
      </c>
      <c r="R1374" s="195">
        <f>'Supply chain'!G103</f>
        <v>0</v>
      </c>
      <c r="S1374" s="195" t="str">
        <f>'Supply chain'!H103</f>
        <v>£</v>
      </c>
      <c r="T1374" s="195">
        <f>'Supply chain'!I103</f>
        <v>0</v>
      </c>
      <c r="U1374" s="195" t="str">
        <f>'Supply chain'!J103</f>
        <v>£</v>
      </c>
      <c r="V1374" s="195">
        <f>'Supply chain'!K103</f>
        <v>0.1929228046845079</v>
      </c>
      <c r="W1374" s="195" t="str">
        <f>'Supply chain'!L103</f>
        <v/>
      </c>
      <c r="X1374" s="193">
        <f>'Supply chain'!M103</f>
        <v>0</v>
      </c>
      <c r="Y1374" s="195">
        <f>'Supply chain'!N103</f>
        <v>0</v>
      </c>
      <c r="Z1374" s="195">
        <f>'Supply chain'!O103</f>
        <v>0</v>
      </c>
      <c r="AA1374" s="195">
        <f>'Supply chain'!P103</f>
        <v>0</v>
      </c>
      <c r="AB1374" s="195">
        <f>'Supply chain'!Q103</f>
        <v>0</v>
      </c>
      <c r="AC1374" s="195">
        <f>'Supply chain'!R103</f>
        <v>0</v>
      </c>
      <c r="AD1374" s="195">
        <f>'Supply chain'!S103</f>
        <v>0</v>
      </c>
      <c r="AE1374" s="195">
        <f>'Supply chain'!T103</f>
        <v>0</v>
      </c>
      <c r="AF1374" s="195">
        <f>'Supply chain'!U103</f>
        <v>0</v>
      </c>
      <c r="AG1374" s="195">
        <f>'Supply chain'!V103</f>
        <v>0</v>
      </c>
      <c r="AI1374" s="193">
        <f t="shared" si="30"/>
        <v>0</v>
      </c>
      <c r="AJ1374" s="193">
        <f t="shared" si="31"/>
        <v>0</v>
      </c>
    </row>
    <row r="1375" spans="2:36" x14ac:dyDescent="0.35">
      <c r="B1375" s="193" t="e">
        <f>"2024"&amp;MATCH(Totals!D1375,OrgType,0)&amp;"_"&amp;MATCH(Totals!E1375,Organisations,0)&amp;"_"&amp;LEFT(Totals!F1375,1)&amp;"_"&amp;LEFT(G1375,1)&amp;"_"&amp;COUNTIF($G$3:G1375,G1375)</f>
        <v>#N/A</v>
      </c>
      <c r="C1375" s="193">
        <v>2025</v>
      </c>
      <c r="D1375" s="193">
        <f>Introduction!$D$7</f>
        <v>0</v>
      </c>
      <c r="E1375" s="193">
        <f>Introduction!$D$8</f>
        <v>0</v>
      </c>
      <c r="F1375" s="193" t="s">
        <v>493</v>
      </c>
      <c r="G1375" s="193" t="s">
        <v>493</v>
      </c>
      <c r="H1375" s="194"/>
      <c r="I1375" s="194"/>
      <c r="J1375" s="195" t="str">
        <f>'Supply chain'!B104</f>
        <v>Administrative and support service activities</v>
      </c>
      <c r="K1375" s="194"/>
      <c r="L1375" s="194"/>
      <c r="M1375" s="195">
        <f>'Supply chain'!C104</f>
        <v>82</v>
      </c>
      <c r="N1375" s="195" t="str">
        <f>'Supply chain'!D104</f>
        <v xml:space="preserve">Office administrative, office support and other business support services       </v>
      </c>
      <c r="O1375" s="194"/>
      <c r="P1375" s="195" t="str">
        <f>'Supply chain'!E104</f>
        <v>Tier 1</v>
      </c>
      <c r="Q1375" s="195">
        <f>'Supply chain'!F104</f>
        <v>0.25</v>
      </c>
      <c r="R1375" s="195">
        <f>'Supply chain'!G104</f>
        <v>0</v>
      </c>
      <c r="S1375" s="195" t="str">
        <f>'Supply chain'!H104</f>
        <v>£</v>
      </c>
      <c r="T1375" s="195">
        <f>'Supply chain'!I104</f>
        <v>0</v>
      </c>
      <c r="U1375" s="195" t="str">
        <f>'Supply chain'!J104</f>
        <v>£</v>
      </c>
      <c r="V1375" s="195">
        <f>'Supply chain'!K104</f>
        <v>0.1892020832236927</v>
      </c>
      <c r="W1375" s="195" t="str">
        <f>'Supply chain'!L104</f>
        <v/>
      </c>
      <c r="X1375" s="193">
        <f>'Supply chain'!M104</f>
        <v>0</v>
      </c>
      <c r="Y1375" s="195">
        <f>'Supply chain'!N104</f>
        <v>0</v>
      </c>
      <c r="Z1375" s="195">
        <f>'Supply chain'!O104</f>
        <v>0</v>
      </c>
      <c r="AA1375" s="195">
        <f>'Supply chain'!P104</f>
        <v>0</v>
      </c>
      <c r="AB1375" s="195">
        <f>'Supply chain'!Q104</f>
        <v>0</v>
      </c>
      <c r="AC1375" s="195">
        <f>'Supply chain'!R104</f>
        <v>0</v>
      </c>
      <c r="AD1375" s="195">
        <f>'Supply chain'!S104</f>
        <v>0</v>
      </c>
      <c r="AE1375" s="195">
        <f>'Supply chain'!T104</f>
        <v>0</v>
      </c>
      <c r="AF1375" s="195">
        <f>'Supply chain'!U104</f>
        <v>0</v>
      </c>
      <c r="AG1375" s="195">
        <f>'Supply chain'!V104</f>
        <v>0</v>
      </c>
      <c r="AI1375" s="193">
        <f t="shared" si="30"/>
        <v>0</v>
      </c>
      <c r="AJ1375" s="193">
        <f t="shared" si="31"/>
        <v>0</v>
      </c>
    </row>
    <row r="1376" spans="2:36" x14ac:dyDescent="0.35">
      <c r="B1376" s="193" t="e">
        <f>"2024"&amp;MATCH(Totals!D1376,OrgType,0)&amp;"_"&amp;MATCH(Totals!E1376,Organisations,0)&amp;"_"&amp;LEFT(Totals!F1376,1)&amp;"_"&amp;LEFT(G1376,1)&amp;"_"&amp;COUNTIF($G$3:G1376,G1376)</f>
        <v>#N/A</v>
      </c>
      <c r="C1376" s="193">
        <v>2025</v>
      </c>
      <c r="D1376" s="193">
        <f>Introduction!$D$7</f>
        <v>0</v>
      </c>
      <c r="E1376" s="193">
        <f>Introduction!$D$8</f>
        <v>0</v>
      </c>
      <c r="F1376" s="193" t="s">
        <v>493</v>
      </c>
      <c r="G1376" s="193" t="s">
        <v>493</v>
      </c>
      <c r="H1376" s="194"/>
      <c r="I1376" s="194"/>
      <c r="J1376" s="195" t="str">
        <f>'Supply chain'!B105</f>
        <v>Public administration and defence; compulsory social security</v>
      </c>
      <c r="K1376" s="194"/>
      <c r="L1376" s="194"/>
      <c r="M1376" s="195">
        <f>'Supply chain'!C105</f>
        <v>84</v>
      </c>
      <c r="N1376" s="195" t="str">
        <f>'Supply chain'!D105</f>
        <v xml:space="preserve">Public administration and defence services; compulsory social security services       </v>
      </c>
      <c r="O1376" s="194"/>
      <c r="P1376" s="195" t="str">
        <f>'Supply chain'!E105</f>
        <v>Tier 1</v>
      </c>
      <c r="Q1376" s="195">
        <f>'Supply chain'!F105</f>
        <v>0.25</v>
      </c>
      <c r="R1376" s="195">
        <f>'Supply chain'!G105</f>
        <v>0</v>
      </c>
      <c r="S1376" s="195" t="str">
        <f>'Supply chain'!H105</f>
        <v>£</v>
      </c>
      <c r="T1376" s="195">
        <f>'Supply chain'!I105</f>
        <v>0</v>
      </c>
      <c r="U1376" s="195" t="str">
        <f>'Supply chain'!J105</f>
        <v>£</v>
      </c>
      <c r="V1376" s="195">
        <f>'Supply chain'!K105</f>
        <v>0.24979112307999549</v>
      </c>
      <c r="W1376" s="195" t="str">
        <f>'Supply chain'!L105</f>
        <v/>
      </c>
      <c r="X1376" s="193">
        <f>'Supply chain'!M105</f>
        <v>0</v>
      </c>
      <c r="Y1376" s="195">
        <f>'Supply chain'!N105</f>
        <v>0</v>
      </c>
      <c r="Z1376" s="195">
        <f>'Supply chain'!O105</f>
        <v>0</v>
      </c>
      <c r="AA1376" s="195">
        <f>'Supply chain'!P105</f>
        <v>0</v>
      </c>
      <c r="AB1376" s="195">
        <f>'Supply chain'!Q105</f>
        <v>0</v>
      </c>
      <c r="AC1376" s="195">
        <f>'Supply chain'!R105</f>
        <v>0</v>
      </c>
      <c r="AD1376" s="195">
        <f>'Supply chain'!S105</f>
        <v>0</v>
      </c>
      <c r="AE1376" s="195">
        <f>'Supply chain'!T105</f>
        <v>0</v>
      </c>
      <c r="AF1376" s="195">
        <f>'Supply chain'!U105</f>
        <v>0</v>
      </c>
      <c r="AG1376" s="195">
        <f>'Supply chain'!V105</f>
        <v>0</v>
      </c>
      <c r="AI1376" s="193">
        <f t="shared" si="30"/>
        <v>0</v>
      </c>
      <c r="AJ1376" s="193">
        <f t="shared" si="31"/>
        <v>0</v>
      </c>
    </row>
    <row r="1377" spans="2:36" x14ac:dyDescent="0.35">
      <c r="B1377" s="193" t="e">
        <f>"2024"&amp;MATCH(Totals!D1377,OrgType,0)&amp;"_"&amp;MATCH(Totals!E1377,Organisations,0)&amp;"_"&amp;LEFT(Totals!F1377,1)&amp;"_"&amp;LEFT(G1377,1)&amp;"_"&amp;COUNTIF($G$3:G1377,G1377)</f>
        <v>#N/A</v>
      </c>
      <c r="C1377" s="193">
        <v>2025</v>
      </c>
      <c r="D1377" s="193">
        <f>Introduction!$D$7</f>
        <v>0</v>
      </c>
      <c r="E1377" s="193">
        <f>Introduction!$D$8</f>
        <v>0</v>
      </c>
      <c r="F1377" s="193" t="s">
        <v>493</v>
      </c>
      <c r="G1377" s="193" t="s">
        <v>493</v>
      </c>
      <c r="H1377" s="194"/>
      <c r="I1377" s="194"/>
      <c r="J1377" s="195" t="str">
        <f>'Supply chain'!B106</f>
        <v>Education</v>
      </c>
      <c r="K1377" s="194"/>
      <c r="L1377" s="194"/>
      <c r="M1377" s="195">
        <f>'Supply chain'!C106</f>
        <v>85</v>
      </c>
      <c r="N1377" s="195" t="str">
        <f>'Supply chain'!D106</f>
        <v xml:space="preserve">Education services              </v>
      </c>
      <c r="O1377" s="194"/>
      <c r="P1377" s="195" t="str">
        <f>'Supply chain'!E106</f>
        <v>Tier 1</v>
      </c>
      <c r="Q1377" s="195">
        <f>'Supply chain'!F106</f>
        <v>0.25</v>
      </c>
      <c r="R1377" s="195">
        <f>'Supply chain'!G106</f>
        <v>0</v>
      </c>
      <c r="S1377" s="195" t="str">
        <f>'Supply chain'!H106</f>
        <v>£</v>
      </c>
      <c r="T1377" s="195">
        <f>'Supply chain'!I106</f>
        <v>0</v>
      </c>
      <c r="U1377" s="195" t="str">
        <f>'Supply chain'!J106</f>
        <v>£</v>
      </c>
      <c r="V1377" s="195">
        <f>'Supply chain'!K106</f>
        <v>0.18837997635479739</v>
      </c>
      <c r="W1377" s="195" t="str">
        <f>'Supply chain'!L106</f>
        <v/>
      </c>
      <c r="X1377" s="193">
        <f>'Supply chain'!M106</f>
        <v>0</v>
      </c>
      <c r="Y1377" s="195">
        <f>'Supply chain'!N106</f>
        <v>0</v>
      </c>
      <c r="Z1377" s="195">
        <f>'Supply chain'!O106</f>
        <v>0</v>
      </c>
      <c r="AA1377" s="195">
        <f>'Supply chain'!P106</f>
        <v>0</v>
      </c>
      <c r="AB1377" s="195">
        <f>'Supply chain'!Q106</f>
        <v>0</v>
      </c>
      <c r="AC1377" s="195">
        <f>'Supply chain'!R106</f>
        <v>0</v>
      </c>
      <c r="AD1377" s="195">
        <f>'Supply chain'!S106</f>
        <v>0</v>
      </c>
      <c r="AE1377" s="195">
        <f>'Supply chain'!T106</f>
        <v>0</v>
      </c>
      <c r="AF1377" s="195">
        <f>'Supply chain'!U106</f>
        <v>0</v>
      </c>
      <c r="AG1377" s="195">
        <f>'Supply chain'!V106</f>
        <v>0</v>
      </c>
      <c r="AI1377" s="193">
        <f t="shared" si="30"/>
        <v>0</v>
      </c>
      <c r="AJ1377" s="193">
        <f t="shared" si="31"/>
        <v>0</v>
      </c>
    </row>
    <row r="1378" spans="2:36" x14ac:dyDescent="0.35">
      <c r="B1378" s="193" t="e">
        <f>"2024"&amp;MATCH(Totals!D1378,OrgType,0)&amp;"_"&amp;MATCH(Totals!E1378,Organisations,0)&amp;"_"&amp;LEFT(Totals!F1378,1)&amp;"_"&amp;LEFT(G1378,1)&amp;"_"&amp;COUNTIF($G$3:G1378,G1378)</f>
        <v>#N/A</v>
      </c>
      <c r="C1378" s="193">
        <v>2025</v>
      </c>
      <c r="D1378" s="193">
        <f>Introduction!$D$7</f>
        <v>0</v>
      </c>
      <c r="E1378" s="193">
        <f>Introduction!$D$8</f>
        <v>0</v>
      </c>
      <c r="F1378" s="193" t="s">
        <v>493</v>
      </c>
      <c r="G1378" s="193" t="s">
        <v>493</v>
      </c>
      <c r="H1378" s="194"/>
      <c r="I1378" s="194"/>
      <c r="J1378" s="195" t="str">
        <f>'Supply chain'!B107</f>
        <v>Human health and social work activities</v>
      </c>
      <c r="K1378" s="194"/>
      <c r="L1378" s="194"/>
      <c r="M1378" s="195">
        <f>'Supply chain'!C107</f>
        <v>86</v>
      </c>
      <c r="N1378" s="195" t="str">
        <f>'Supply chain'!D107</f>
        <v xml:space="preserve">Human health services             </v>
      </c>
      <c r="O1378" s="194"/>
      <c r="P1378" s="195" t="str">
        <f>'Supply chain'!E107</f>
        <v>Tier 1</v>
      </c>
      <c r="Q1378" s="195">
        <f>'Supply chain'!F107</f>
        <v>0.25</v>
      </c>
      <c r="R1378" s="195">
        <f>'Supply chain'!G107</f>
        <v>0</v>
      </c>
      <c r="S1378" s="195" t="str">
        <f>'Supply chain'!H107</f>
        <v>£</v>
      </c>
      <c r="T1378" s="195">
        <f>'Supply chain'!I107</f>
        <v>0</v>
      </c>
      <c r="U1378" s="195" t="str">
        <f>'Supply chain'!J107</f>
        <v>£</v>
      </c>
      <c r="V1378" s="195">
        <f>'Supply chain'!K107</f>
        <v>0.32030770994409002</v>
      </c>
      <c r="W1378" s="195" t="str">
        <f>'Supply chain'!L107</f>
        <v/>
      </c>
      <c r="X1378" s="193">
        <f>'Supply chain'!M107</f>
        <v>0</v>
      </c>
      <c r="Y1378" s="195">
        <f>'Supply chain'!N107</f>
        <v>0</v>
      </c>
      <c r="Z1378" s="195">
        <f>'Supply chain'!O107</f>
        <v>0</v>
      </c>
      <c r="AA1378" s="195">
        <f>'Supply chain'!P107</f>
        <v>0</v>
      </c>
      <c r="AB1378" s="195">
        <f>'Supply chain'!Q107</f>
        <v>0</v>
      </c>
      <c r="AC1378" s="195">
        <f>'Supply chain'!R107</f>
        <v>0</v>
      </c>
      <c r="AD1378" s="195">
        <f>'Supply chain'!S107</f>
        <v>0</v>
      </c>
      <c r="AE1378" s="195">
        <f>'Supply chain'!T107</f>
        <v>0</v>
      </c>
      <c r="AF1378" s="195">
        <f>'Supply chain'!U107</f>
        <v>0</v>
      </c>
      <c r="AG1378" s="195">
        <f>'Supply chain'!V107</f>
        <v>0</v>
      </c>
      <c r="AI1378" s="193">
        <f t="shared" si="30"/>
        <v>0</v>
      </c>
      <c r="AJ1378" s="193">
        <f t="shared" si="31"/>
        <v>0</v>
      </c>
    </row>
    <row r="1379" spans="2:36" x14ac:dyDescent="0.35">
      <c r="B1379" s="193" t="e">
        <f>"2024"&amp;MATCH(Totals!D1379,OrgType,0)&amp;"_"&amp;MATCH(Totals!E1379,Organisations,0)&amp;"_"&amp;LEFT(Totals!F1379,1)&amp;"_"&amp;LEFT(G1379,1)&amp;"_"&amp;COUNTIF($G$3:G1379,G1379)</f>
        <v>#N/A</v>
      </c>
      <c r="C1379" s="193">
        <v>2025</v>
      </c>
      <c r="D1379" s="193">
        <f>Introduction!$D$7</f>
        <v>0</v>
      </c>
      <c r="E1379" s="193">
        <f>Introduction!$D$8</f>
        <v>0</v>
      </c>
      <c r="F1379" s="193" t="s">
        <v>493</v>
      </c>
      <c r="G1379" s="193" t="s">
        <v>493</v>
      </c>
      <c r="H1379" s="194"/>
      <c r="I1379" s="194"/>
      <c r="J1379" s="195" t="str">
        <f>'Supply chain'!B108</f>
        <v>Human health and social work activities</v>
      </c>
      <c r="K1379" s="194"/>
      <c r="L1379" s="194"/>
      <c r="M1379" s="195">
        <f>'Supply chain'!C108</f>
        <v>87</v>
      </c>
      <c r="N1379" s="195" t="str">
        <f>'Supply chain'!D108</f>
        <v xml:space="preserve">Residential care services             </v>
      </c>
      <c r="O1379" s="194"/>
      <c r="P1379" s="195" t="str">
        <f>'Supply chain'!E108</f>
        <v>Tier 1</v>
      </c>
      <c r="Q1379" s="195">
        <f>'Supply chain'!F108</f>
        <v>0.25</v>
      </c>
      <c r="R1379" s="195">
        <f>'Supply chain'!G108</f>
        <v>0</v>
      </c>
      <c r="S1379" s="195" t="str">
        <f>'Supply chain'!H108</f>
        <v>£</v>
      </c>
      <c r="T1379" s="195">
        <f>'Supply chain'!I108</f>
        <v>0</v>
      </c>
      <c r="U1379" s="195" t="str">
        <f>'Supply chain'!J108</f>
        <v>£</v>
      </c>
      <c r="V1379" s="195">
        <f>'Supply chain'!K108</f>
        <v>0.21393030781715039</v>
      </c>
      <c r="W1379" s="195" t="str">
        <f>'Supply chain'!L108</f>
        <v/>
      </c>
      <c r="X1379" s="193">
        <f>'Supply chain'!M108</f>
        <v>0</v>
      </c>
      <c r="Y1379" s="195">
        <f>'Supply chain'!N108</f>
        <v>0</v>
      </c>
      <c r="Z1379" s="195">
        <f>'Supply chain'!O108</f>
        <v>0</v>
      </c>
      <c r="AA1379" s="195">
        <f>'Supply chain'!P108</f>
        <v>0</v>
      </c>
      <c r="AB1379" s="195">
        <f>'Supply chain'!Q108</f>
        <v>0</v>
      </c>
      <c r="AC1379" s="195">
        <f>'Supply chain'!R108</f>
        <v>0</v>
      </c>
      <c r="AD1379" s="195">
        <f>'Supply chain'!S108</f>
        <v>0</v>
      </c>
      <c r="AE1379" s="195">
        <f>'Supply chain'!T108</f>
        <v>0</v>
      </c>
      <c r="AF1379" s="195">
        <f>'Supply chain'!U108</f>
        <v>0</v>
      </c>
      <c r="AG1379" s="195">
        <f>'Supply chain'!V108</f>
        <v>0</v>
      </c>
      <c r="AI1379" s="193">
        <f t="shared" si="30"/>
        <v>0</v>
      </c>
      <c r="AJ1379" s="193">
        <f t="shared" si="31"/>
        <v>0</v>
      </c>
    </row>
    <row r="1380" spans="2:36" x14ac:dyDescent="0.35">
      <c r="B1380" s="193" t="e">
        <f>"2024"&amp;MATCH(Totals!D1380,OrgType,0)&amp;"_"&amp;MATCH(Totals!E1380,Organisations,0)&amp;"_"&amp;LEFT(Totals!F1380,1)&amp;"_"&amp;LEFT(G1380,1)&amp;"_"&amp;COUNTIF($G$3:G1380,G1380)</f>
        <v>#N/A</v>
      </c>
      <c r="C1380" s="193">
        <v>2025</v>
      </c>
      <c r="D1380" s="193">
        <f>Introduction!$D$7</f>
        <v>0</v>
      </c>
      <c r="E1380" s="193">
        <f>Introduction!$D$8</f>
        <v>0</v>
      </c>
      <c r="F1380" s="193" t="s">
        <v>493</v>
      </c>
      <c r="G1380" s="193" t="s">
        <v>493</v>
      </c>
      <c r="H1380" s="194"/>
      <c r="I1380" s="194"/>
      <c r="J1380" s="195" t="str">
        <f>'Supply chain'!B109</f>
        <v>Human health and social work activities</v>
      </c>
      <c r="K1380" s="194"/>
      <c r="L1380" s="194"/>
      <c r="M1380" s="195">
        <f>'Supply chain'!C109</f>
        <v>88</v>
      </c>
      <c r="N1380" s="195" t="str">
        <f>'Supply chain'!D109</f>
        <v xml:space="preserve">Social work services without accommodation           </v>
      </c>
      <c r="O1380" s="194"/>
      <c r="P1380" s="195" t="str">
        <f>'Supply chain'!E109</f>
        <v>Tier 1</v>
      </c>
      <c r="Q1380" s="195">
        <f>'Supply chain'!F109</f>
        <v>0.25</v>
      </c>
      <c r="R1380" s="195">
        <f>'Supply chain'!G109</f>
        <v>0</v>
      </c>
      <c r="S1380" s="195" t="str">
        <f>'Supply chain'!H109</f>
        <v>£</v>
      </c>
      <c r="T1380" s="195">
        <f>'Supply chain'!I109</f>
        <v>0</v>
      </c>
      <c r="U1380" s="195" t="str">
        <f>'Supply chain'!J109</f>
        <v>£</v>
      </c>
      <c r="V1380" s="195">
        <f>'Supply chain'!K109</f>
        <v>0.22833607969297939</v>
      </c>
      <c r="W1380" s="195" t="str">
        <f>'Supply chain'!L109</f>
        <v/>
      </c>
      <c r="X1380" s="193">
        <f>'Supply chain'!M109</f>
        <v>0</v>
      </c>
      <c r="Y1380" s="195">
        <f>'Supply chain'!N109</f>
        <v>0</v>
      </c>
      <c r="Z1380" s="195">
        <f>'Supply chain'!O109</f>
        <v>0</v>
      </c>
      <c r="AA1380" s="195">
        <f>'Supply chain'!P109</f>
        <v>0</v>
      </c>
      <c r="AB1380" s="195">
        <f>'Supply chain'!Q109</f>
        <v>0</v>
      </c>
      <c r="AC1380" s="195">
        <f>'Supply chain'!R109</f>
        <v>0</v>
      </c>
      <c r="AD1380" s="195">
        <f>'Supply chain'!S109</f>
        <v>0</v>
      </c>
      <c r="AE1380" s="195">
        <f>'Supply chain'!T109</f>
        <v>0</v>
      </c>
      <c r="AF1380" s="195">
        <f>'Supply chain'!U109</f>
        <v>0</v>
      </c>
      <c r="AG1380" s="195">
        <f>'Supply chain'!V109</f>
        <v>0</v>
      </c>
      <c r="AI1380" s="193">
        <f t="shared" si="30"/>
        <v>0</v>
      </c>
      <c r="AJ1380" s="193">
        <f t="shared" si="31"/>
        <v>0</v>
      </c>
    </row>
    <row r="1381" spans="2:36" x14ac:dyDescent="0.35">
      <c r="B1381" s="193" t="e">
        <f>"2024"&amp;MATCH(Totals!D1381,OrgType,0)&amp;"_"&amp;MATCH(Totals!E1381,Organisations,0)&amp;"_"&amp;LEFT(Totals!F1381,1)&amp;"_"&amp;LEFT(G1381,1)&amp;"_"&amp;COUNTIF($G$3:G1381,G1381)</f>
        <v>#N/A</v>
      </c>
      <c r="C1381" s="193">
        <v>2025</v>
      </c>
      <c r="D1381" s="193">
        <f>Introduction!$D$7</f>
        <v>0</v>
      </c>
      <c r="E1381" s="193">
        <f>Introduction!$D$8</f>
        <v>0</v>
      </c>
      <c r="F1381" s="193" t="s">
        <v>493</v>
      </c>
      <c r="G1381" s="193" t="s">
        <v>493</v>
      </c>
      <c r="H1381" s="194"/>
      <c r="I1381" s="194"/>
      <c r="J1381" s="195" t="str">
        <f>'Supply chain'!B110</f>
        <v>Arts, entertainment and recreation</v>
      </c>
      <c r="K1381" s="194"/>
      <c r="L1381" s="194"/>
      <c r="M1381" s="195">
        <f>'Supply chain'!C110</f>
        <v>90</v>
      </c>
      <c r="N1381" s="195" t="str">
        <f>'Supply chain'!D110</f>
        <v xml:space="preserve">Creative, arts and entertainment services           </v>
      </c>
      <c r="O1381" s="194"/>
      <c r="P1381" s="195" t="str">
        <f>'Supply chain'!E110</f>
        <v>Tier 1</v>
      </c>
      <c r="Q1381" s="195">
        <f>'Supply chain'!F110</f>
        <v>0.25</v>
      </c>
      <c r="R1381" s="195">
        <f>'Supply chain'!G110</f>
        <v>0</v>
      </c>
      <c r="S1381" s="195" t="str">
        <f>'Supply chain'!H110</f>
        <v>£</v>
      </c>
      <c r="T1381" s="195">
        <f>'Supply chain'!I110</f>
        <v>0</v>
      </c>
      <c r="U1381" s="195" t="str">
        <f>'Supply chain'!J110</f>
        <v>£</v>
      </c>
      <c r="V1381" s="195">
        <f>'Supply chain'!K110</f>
        <v>0.32933033668211442</v>
      </c>
      <c r="W1381" s="195" t="str">
        <f>'Supply chain'!L110</f>
        <v/>
      </c>
      <c r="X1381" s="193">
        <f>'Supply chain'!M110</f>
        <v>0</v>
      </c>
      <c r="Y1381" s="195">
        <f>'Supply chain'!N110</f>
        <v>0</v>
      </c>
      <c r="Z1381" s="195">
        <f>'Supply chain'!O110</f>
        <v>0</v>
      </c>
      <c r="AA1381" s="195">
        <f>'Supply chain'!P110</f>
        <v>0</v>
      </c>
      <c r="AB1381" s="195">
        <f>'Supply chain'!Q110</f>
        <v>0</v>
      </c>
      <c r="AC1381" s="195">
        <f>'Supply chain'!R110</f>
        <v>0</v>
      </c>
      <c r="AD1381" s="195">
        <f>'Supply chain'!S110</f>
        <v>0</v>
      </c>
      <c r="AE1381" s="195">
        <f>'Supply chain'!T110</f>
        <v>0</v>
      </c>
      <c r="AF1381" s="195">
        <f>'Supply chain'!U110</f>
        <v>0</v>
      </c>
      <c r="AG1381" s="195">
        <f>'Supply chain'!V110</f>
        <v>0</v>
      </c>
      <c r="AI1381" s="193">
        <f t="shared" si="30"/>
        <v>0</v>
      </c>
      <c r="AJ1381" s="193">
        <f t="shared" si="31"/>
        <v>0</v>
      </c>
    </row>
    <row r="1382" spans="2:36" x14ac:dyDescent="0.35">
      <c r="B1382" s="193" t="e">
        <f>"2024"&amp;MATCH(Totals!D1382,OrgType,0)&amp;"_"&amp;MATCH(Totals!E1382,Organisations,0)&amp;"_"&amp;LEFT(Totals!F1382,1)&amp;"_"&amp;LEFT(G1382,1)&amp;"_"&amp;COUNTIF($G$3:G1382,G1382)</f>
        <v>#N/A</v>
      </c>
      <c r="C1382" s="193">
        <v>2025</v>
      </c>
      <c r="D1382" s="193">
        <f>Introduction!$D$7</f>
        <v>0</v>
      </c>
      <c r="E1382" s="193">
        <f>Introduction!$D$8</f>
        <v>0</v>
      </c>
      <c r="F1382" s="193" t="s">
        <v>493</v>
      </c>
      <c r="G1382" s="193" t="s">
        <v>493</v>
      </c>
      <c r="H1382" s="194"/>
      <c r="I1382" s="194"/>
      <c r="J1382" s="195" t="str">
        <f>'Supply chain'!B111</f>
        <v>Arts, entertainment and recreation</v>
      </c>
      <c r="K1382" s="194"/>
      <c r="L1382" s="194"/>
      <c r="M1382" s="195">
        <f>'Supply chain'!C111</f>
        <v>91</v>
      </c>
      <c r="N1382" s="195" t="str">
        <f>'Supply chain'!D111</f>
        <v xml:space="preserve">Libraries, archives, museums and other cultural services         </v>
      </c>
      <c r="O1382" s="194"/>
      <c r="P1382" s="195" t="str">
        <f>'Supply chain'!E111</f>
        <v>Tier 1</v>
      </c>
      <c r="Q1382" s="195">
        <f>'Supply chain'!F111</f>
        <v>0.25</v>
      </c>
      <c r="R1382" s="195">
        <f>'Supply chain'!G111</f>
        <v>0</v>
      </c>
      <c r="S1382" s="195" t="str">
        <f>'Supply chain'!H111</f>
        <v>£</v>
      </c>
      <c r="T1382" s="195">
        <f>'Supply chain'!I111</f>
        <v>0</v>
      </c>
      <c r="U1382" s="195" t="str">
        <f>'Supply chain'!J111</f>
        <v>£</v>
      </c>
      <c r="V1382" s="195">
        <f>'Supply chain'!K111</f>
        <v>0.25062527172398941</v>
      </c>
      <c r="W1382" s="195" t="str">
        <f>'Supply chain'!L111</f>
        <v/>
      </c>
      <c r="X1382" s="193">
        <f>'Supply chain'!M111</f>
        <v>0</v>
      </c>
      <c r="Y1382" s="195">
        <f>'Supply chain'!N111</f>
        <v>0</v>
      </c>
      <c r="Z1382" s="195">
        <f>'Supply chain'!O111</f>
        <v>0</v>
      </c>
      <c r="AA1382" s="195">
        <f>'Supply chain'!P111</f>
        <v>0</v>
      </c>
      <c r="AB1382" s="195">
        <f>'Supply chain'!Q111</f>
        <v>0</v>
      </c>
      <c r="AC1382" s="195">
        <f>'Supply chain'!R111</f>
        <v>0</v>
      </c>
      <c r="AD1382" s="195">
        <f>'Supply chain'!S111</f>
        <v>0</v>
      </c>
      <c r="AE1382" s="195">
        <f>'Supply chain'!T111</f>
        <v>0</v>
      </c>
      <c r="AF1382" s="195">
        <f>'Supply chain'!U111</f>
        <v>0</v>
      </c>
      <c r="AG1382" s="195">
        <f>'Supply chain'!V111</f>
        <v>0</v>
      </c>
      <c r="AI1382" s="193">
        <f t="shared" si="30"/>
        <v>0</v>
      </c>
      <c r="AJ1382" s="193">
        <f t="shared" si="31"/>
        <v>0</v>
      </c>
    </row>
    <row r="1383" spans="2:36" x14ac:dyDescent="0.35">
      <c r="B1383" s="193" t="e">
        <f>"2024"&amp;MATCH(Totals!D1383,OrgType,0)&amp;"_"&amp;MATCH(Totals!E1383,Organisations,0)&amp;"_"&amp;LEFT(Totals!F1383,1)&amp;"_"&amp;LEFT(G1383,1)&amp;"_"&amp;COUNTIF($G$3:G1383,G1383)</f>
        <v>#N/A</v>
      </c>
      <c r="C1383" s="193">
        <v>2025</v>
      </c>
      <c r="D1383" s="193">
        <f>Introduction!$D$7</f>
        <v>0</v>
      </c>
      <c r="E1383" s="193">
        <f>Introduction!$D$8</f>
        <v>0</v>
      </c>
      <c r="F1383" s="193" t="s">
        <v>493</v>
      </c>
      <c r="G1383" s="193" t="s">
        <v>493</v>
      </c>
      <c r="H1383" s="194"/>
      <c r="I1383" s="194"/>
      <c r="J1383" s="195" t="str">
        <f>'Supply chain'!B112</f>
        <v>Arts, entertainment and recreation</v>
      </c>
      <c r="K1383" s="194"/>
      <c r="L1383" s="194"/>
      <c r="M1383" s="195">
        <f>'Supply chain'!C112</f>
        <v>92</v>
      </c>
      <c r="N1383" s="195" t="str">
        <f>'Supply chain'!D112</f>
        <v xml:space="preserve">Gambling and betting services            </v>
      </c>
      <c r="O1383" s="194"/>
      <c r="P1383" s="195" t="str">
        <f>'Supply chain'!E112</f>
        <v>Tier 1</v>
      </c>
      <c r="Q1383" s="195">
        <f>'Supply chain'!F112</f>
        <v>0.25</v>
      </c>
      <c r="R1383" s="195">
        <f>'Supply chain'!G112</f>
        <v>0</v>
      </c>
      <c r="S1383" s="195" t="str">
        <f>'Supply chain'!H112</f>
        <v>£</v>
      </c>
      <c r="T1383" s="195">
        <f>'Supply chain'!I112</f>
        <v>0</v>
      </c>
      <c r="U1383" s="195" t="str">
        <f>'Supply chain'!J112</f>
        <v>£</v>
      </c>
      <c r="V1383" s="195">
        <f>'Supply chain'!K112</f>
        <v>0.14075978530262931</v>
      </c>
      <c r="W1383" s="195" t="str">
        <f>'Supply chain'!L112</f>
        <v/>
      </c>
      <c r="X1383" s="193">
        <f>'Supply chain'!M112</f>
        <v>0</v>
      </c>
      <c r="Y1383" s="195">
        <f>'Supply chain'!N112</f>
        <v>0</v>
      </c>
      <c r="Z1383" s="195">
        <f>'Supply chain'!O112</f>
        <v>0</v>
      </c>
      <c r="AA1383" s="195">
        <f>'Supply chain'!P112</f>
        <v>0</v>
      </c>
      <c r="AB1383" s="195">
        <f>'Supply chain'!Q112</f>
        <v>0</v>
      </c>
      <c r="AC1383" s="195">
        <f>'Supply chain'!R112</f>
        <v>0</v>
      </c>
      <c r="AD1383" s="195">
        <f>'Supply chain'!S112</f>
        <v>0</v>
      </c>
      <c r="AE1383" s="195">
        <f>'Supply chain'!T112</f>
        <v>0</v>
      </c>
      <c r="AF1383" s="195">
        <f>'Supply chain'!U112</f>
        <v>0</v>
      </c>
      <c r="AG1383" s="195">
        <f>'Supply chain'!V112</f>
        <v>0</v>
      </c>
      <c r="AI1383" s="193">
        <f t="shared" si="30"/>
        <v>0</v>
      </c>
      <c r="AJ1383" s="193">
        <f t="shared" si="31"/>
        <v>0</v>
      </c>
    </row>
    <row r="1384" spans="2:36" x14ac:dyDescent="0.35">
      <c r="B1384" s="193" t="e">
        <f>"2024"&amp;MATCH(Totals!D1384,OrgType,0)&amp;"_"&amp;MATCH(Totals!E1384,Organisations,0)&amp;"_"&amp;LEFT(Totals!F1384,1)&amp;"_"&amp;LEFT(G1384,1)&amp;"_"&amp;COUNTIF($G$3:G1384,G1384)</f>
        <v>#N/A</v>
      </c>
      <c r="C1384" s="193">
        <v>2025</v>
      </c>
      <c r="D1384" s="193">
        <f>Introduction!$D$7</f>
        <v>0</v>
      </c>
      <c r="E1384" s="193">
        <f>Introduction!$D$8</f>
        <v>0</v>
      </c>
      <c r="F1384" s="193" t="s">
        <v>493</v>
      </c>
      <c r="G1384" s="193" t="s">
        <v>493</v>
      </c>
      <c r="H1384" s="194"/>
      <c r="I1384" s="194"/>
      <c r="J1384" s="195" t="str">
        <f>'Supply chain'!B113</f>
        <v>Arts, entertainment and recreation</v>
      </c>
      <c r="K1384" s="194"/>
      <c r="L1384" s="194"/>
      <c r="M1384" s="195">
        <f>'Supply chain'!C113</f>
        <v>93</v>
      </c>
      <c r="N1384" s="195" t="str">
        <f>'Supply chain'!D113</f>
        <v xml:space="preserve">Sports services and amusement and recreation services         </v>
      </c>
      <c r="O1384" s="194"/>
      <c r="P1384" s="195" t="str">
        <f>'Supply chain'!E113</f>
        <v>Tier 1</v>
      </c>
      <c r="Q1384" s="195">
        <f>'Supply chain'!F113</f>
        <v>0.25</v>
      </c>
      <c r="R1384" s="195">
        <f>'Supply chain'!G113</f>
        <v>0</v>
      </c>
      <c r="S1384" s="195" t="str">
        <f>'Supply chain'!H113</f>
        <v>£</v>
      </c>
      <c r="T1384" s="195">
        <f>'Supply chain'!I113</f>
        <v>0</v>
      </c>
      <c r="U1384" s="195" t="str">
        <f>'Supply chain'!J113</f>
        <v>£</v>
      </c>
      <c r="V1384" s="195">
        <f>'Supply chain'!K113</f>
        <v>0.29121744195294358</v>
      </c>
      <c r="W1384" s="195" t="str">
        <f>'Supply chain'!L113</f>
        <v/>
      </c>
      <c r="X1384" s="193">
        <f>'Supply chain'!M113</f>
        <v>0</v>
      </c>
      <c r="Y1384" s="195">
        <f>'Supply chain'!N113</f>
        <v>0</v>
      </c>
      <c r="Z1384" s="195">
        <f>'Supply chain'!O113</f>
        <v>0</v>
      </c>
      <c r="AA1384" s="195">
        <f>'Supply chain'!P113</f>
        <v>0</v>
      </c>
      <c r="AB1384" s="195">
        <f>'Supply chain'!Q113</f>
        <v>0</v>
      </c>
      <c r="AC1384" s="195">
        <f>'Supply chain'!R113</f>
        <v>0</v>
      </c>
      <c r="AD1384" s="195">
        <f>'Supply chain'!S113</f>
        <v>0</v>
      </c>
      <c r="AE1384" s="195">
        <f>'Supply chain'!T113</f>
        <v>0</v>
      </c>
      <c r="AF1384" s="195">
        <f>'Supply chain'!U113</f>
        <v>0</v>
      </c>
      <c r="AG1384" s="195">
        <f>'Supply chain'!V113</f>
        <v>0</v>
      </c>
      <c r="AI1384" s="193">
        <f t="shared" si="30"/>
        <v>0</v>
      </c>
      <c r="AJ1384" s="193">
        <f t="shared" si="31"/>
        <v>0</v>
      </c>
    </row>
    <row r="1385" spans="2:36" x14ac:dyDescent="0.35">
      <c r="B1385" s="193" t="e">
        <f>"2024"&amp;MATCH(Totals!D1385,OrgType,0)&amp;"_"&amp;MATCH(Totals!E1385,Organisations,0)&amp;"_"&amp;LEFT(Totals!F1385,1)&amp;"_"&amp;LEFT(G1385,1)&amp;"_"&amp;COUNTIF($G$3:G1385,G1385)</f>
        <v>#N/A</v>
      </c>
      <c r="C1385" s="193">
        <v>2025</v>
      </c>
      <c r="D1385" s="193">
        <f>Introduction!$D$7</f>
        <v>0</v>
      </c>
      <c r="E1385" s="193">
        <f>Introduction!$D$8</f>
        <v>0</v>
      </c>
      <c r="F1385" s="193" t="s">
        <v>493</v>
      </c>
      <c r="G1385" s="193" t="s">
        <v>493</v>
      </c>
      <c r="H1385" s="194"/>
      <c r="I1385" s="194"/>
      <c r="J1385" s="195" t="str">
        <f>'Supply chain'!B114</f>
        <v>Other service activities</v>
      </c>
      <c r="K1385" s="194"/>
      <c r="L1385" s="194"/>
      <c r="M1385" s="195">
        <f>'Supply chain'!C114</f>
        <v>94</v>
      </c>
      <c r="N1385" s="195" t="str">
        <f>'Supply chain'!D114</f>
        <v xml:space="preserve">Services furnished by membership organisations           </v>
      </c>
      <c r="O1385" s="194"/>
      <c r="P1385" s="195" t="str">
        <f>'Supply chain'!E114</f>
        <v>Tier 1</v>
      </c>
      <c r="Q1385" s="195">
        <f>'Supply chain'!F114</f>
        <v>0.25</v>
      </c>
      <c r="R1385" s="195">
        <f>'Supply chain'!G114</f>
        <v>0</v>
      </c>
      <c r="S1385" s="195" t="str">
        <f>'Supply chain'!H114</f>
        <v>£</v>
      </c>
      <c r="T1385" s="195">
        <f>'Supply chain'!I114</f>
        <v>0</v>
      </c>
      <c r="U1385" s="195" t="str">
        <f>'Supply chain'!J114</f>
        <v>£</v>
      </c>
      <c r="V1385" s="195">
        <f>'Supply chain'!K114</f>
        <v>0.21525987935052771</v>
      </c>
      <c r="W1385" s="195" t="str">
        <f>'Supply chain'!L114</f>
        <v/>
      </c>
      <c r="X1385" s="193">
        <f>'Supply chain'!M114</f>
        <v>0</v>
      </c>
      <c r="Y1385" s="195">
        <f>'Supply chain'!N114</f>
        <v>0</v>
      </c>
      <c r="Z1385" s="195">
        <f>'Supply chain'!O114</f>
        <v>0</v>
      </c>
      <c r="AA1385" s="195">
        <f>'Supply chain'!P114</f>
        <v>0</v>
      </c>
      <c r="AB1385" s="195">
        <f>'Supply chain'!Q114</f>
        <v>0</v>
      </c>
      <c r="AC1385" s="195">
        <f>'Supply chain'!R114</f>
        <v>0</v>
      </c>
      <c r="AD1385" s="195">
        <f>'Supply chain'!S114</f>
        <v>0</v>
      </c>
      <c r="AE1385" s="195">
        <f>'Supply chain'!T114</f>
        <v>0</v>
      </c>
      <c r="AF1385" s="195">
        <f>'Supply chain'!U114</f>
        <v>0</v>
      </c>
      <c r="AG1385" s="195">
        <f>'Supply chain'!V114</f>
        <v>0</v>
      </c>
      <c r="AI1385" s="193">
        <f t="shared" si="30"/>
        <v>0</v>
      </c>
      <c r="AJ1385" s="193">
        <f t="shared" si="31"/>
        <v>0</v>
      </c>
    </row>
    <row r="1386" spans="2:36" x14ac:dyDescent="0.35">
      <c r="B1386" s="193" t="e">
        <f>"2024"&amp;MATCH(Totals!D1386,OrgType,0)&amp;"_"&amp;MATCH(Totals!E1386,Organisations,0)&amp;"_"&amp;LEFT(Totals!F1386,1)&amp;"_"&amp;LEFT(G1386,1)&amp;"_"&amp;COUNTIF($G$3:G1386,G1386)</f>
        <v>#N/A</v>
      </c>
      <c r="C1386" s="193">
        <v>2025</v>
      </c>
      <c r="D1386" s="193">
        <f>Introduction!$D$7</f>
        <v>0</v>
      </c>
      <c r="E1386" s="193">
        <f>Introduction!$D$8</f>
        <v>0</v>
      </c>
      <c r="F1386" s="193" t="s">
        <v>493</v>
      </c>
      <c r="G1386" s="193" t="s">
        <v>493</v>
      </c>
      <c r="H1386" s="194"/>
      <c r="I1386" s="194"/>
      <c r="J1386" s="195" t="str">
        <f>'Supply chain'!B115</f>
        <v>Other service activities</v>
      </c>
      <c r="K1386" s="194"/>
      <c r="L1386" s="194"/>
      <c r="M1386" s="195">
        <f>'Supply chain'!C115</f>
        <v>95</v>
      </c>
      <c r="N1386" s="195" t="str">
        <f>'Supply chain'!D115</f>
        <v xml:space="preserve">Repair services of computers and personal and household goods       </v>
      </c>
      <c r="O1386" s="194"/>
      <c r="P1386" s="195" t="str">
        <f>'Supply chain'!E115</f>
        <v>Tier 1</v>
      </c>
      <c r="Q1386" s="195">
        <f>'Supply chain'!F115</f>
        <v>0.25</v>
      </c>
      <c r="R1386" s="195">
        <f>'Supply chain'!G115</f>
        <v>0</v>
      </c>
      <c r="S1386" s="195" t="str">
        <f>'Supply chain'!H115</f>
        <v>£</v>
      </c>
      <c r="T1386" s="195">
        <f>'Supply chain'!I115</f>
        <v>0</v>
      </c>
      <c r="U1386" s="195" t="str">
        <f>'Supply chain'!J115</f>
        <v>£</v>
      </c>
      <c r="V1386" s="195">
        <f>'Supply chain'!K115</f>
        <v>0.1230151062026739</v>
      </c>
      <c r="W1386" s="195" t="str">
        <f>'Supply chain'!L115</f>
        <v/>
      </c>
      <c r="X1386" s="193">
        <f>'Supply chain'!M115</f>
        <v>0</v>
      </c>
      <c r="Y1386" s="195">
        <f>'Supply chain'!N115</f>
        <v>0</v>
      </c>
      <c r="Z1386" s="195">
        <f>'Supply chain'!O115</f>
        <v>0</v>
      </c>
      <c r="AA1386" s="195">
        <f>'Supply chain'!P115</f>
        <v>0</v>
      </c>
      <c r="AB1386" s="195">
        <f>'Supply chain'!Q115</f>
        <v>0</v>
      </c>
      <c r="AC1386" s="195">
        <f>'Supply chain'!R115</f>
        <v>0</v>
      </c>
      <c r="AD1386" s="195">
        <f>'Supply chain'!S115</f>
        <v>0</v>
      </c>
      <c r="AE1386" s="195">
        <f>'Supply chain'!T115</f>
        <v>0</v>
      </c>
      <c r="AF1386" s="195">
        <f>'Supply chain'!U115</f>
        <v>0</v>
      </c>
      <c r="AG1386" s="195">
        <f>'Supply chain'!V115</f>
        <v>0</v>
      </c>
      <c r="AI1386" s="193">
        <f t="shared" si="30"/>
        <v>0</v>
      </c>
      <c r="AJ1386" s="193">
        <f t="shared" si="31"/>
        <v>0</v>
      </c>
    </row>
    <row r="1387" spans="2:36" x14ac:dyDescent="0.35">
      <c r="B1387" s="193" t="e">
        <f>"2024"&amp;MATCH(Totals!D1387,OrgType,0)&amp;"_"&amp;MATCH(Totals!E1387,Organisations,0)&amp;"_"&amp;LEFT(Totals!F1387,1)&amp;"_"&amp;LEFT(G1387,1)&amp;"_"&amp;COUNTIF($G$3:G1387,G1387)</f>
        <v>#N/A</v>
      </c>
      <c r="C1387" s="193">
        <v>2025</v>
      </c>
      <c r="D1387" s="193">
        <f>Introduction!$D$7</f>
        <v>0</v>
      </c>
      <c r="E1387" s="193">
        <f>Introduction!$D$8</f>
        <v>0</v>
      </c>
      <c r="F1387" s="193" t="s">
        <v>493</v>
      </c>
      <c r="G1387" s="193" t="s">
        <v>493</v>
      </c>
      <c r="H1387" s="194"/>
      <c r="I1387" s="194"/>
      <c r="J1387" s="195" t="str">
        <f>'Supply chain'!B116</f>
        <v>Other service activities</v>
      </c>
      <c r="K1387" s="194"/>
      <c r="L1387" s="194"/>
      <c r="M1387" s="195">
        <f>'Supply chain'!C116</f>
        <v>96</v>
      </c>
      <c r="N1387" s="195" t="str">
        <f>'Supply chain'!D116</f>
        <v xml:space="preserve">Other personal services             </v>
      </c>
      <c r="O1387" s="194"/>
      <c r="P1387" s="195" t="str">
        <f>'Supply chain'!E116</f>
        <v>Tier 1</v>
      </c>
      <c r="Q1387" s="195">
        <f>'Supply chain'!F116</f>
        <v>0.25</v>
      </c>
      <c r="R1387" s="195">
        <f>'Supply chain'!G116</f>
        <v>0</v>
      </c>
      <c r="S1387" s="195" t="str">
        <f>'Supply chain'!H116</f>
        <v>£</v>
      </c>
      <c r="T1387" s="195">
        <f>'Supply chain'!I116</f>
        <v>0</v>
      </c>
      <c r="U1387" s="195" t="str">
        <f>'Supply chain'!J116</f>
        <v>£</v>
      </c>
      <c r="V1387" s="195">
        <f>'Supply chain'!K116</f>
        <v>9.2784792637761196E-2</v>
      </c>
      <c r="W1387" s="195" t="str">
        <f>'Supply chain'!L116</f>
        <v/>
      </c>
      <c r="X1387" s="193">
        <f>'Supply chain'!M116</f>
        <v>0</v>
      </c>
      <c r="Y1387" s="195">
        <f>'Supply chain'!N116</f>
        <v>0</v>
      </c>
      <c r="Z1387" s="195">
        <f>'Supply chain'!O116</f>
        <v>0</v>
      </c>
      <c r="AA1387" s="195">
        <f>'Supply chain'!P116</f>
        <v>0</v>
      </c>
      <c r="AB1387" s="195">
        <f>'Supply chain'!Q116</f>
        <v>0</v>
      </c>
      <c r="AC1387" s="195">
        <f>'Supply chain'!R116</f>
        <v>0</v>
      </c>
      <c r="AD1387" s="195">
        <f>'Supply chain'!S116</f>
        <v>0</v>
      </c>
      <c r="AE1387" s="195">
        <f>'Supply chain'!T116</f>
        <v>0</v>
      </c>
      <c r="AF1387" s="195">
        <f>'Supply chain'!U116</f>
        <v>0</v>
      </c>
      <c r="AG1387" s="195">
        <f>'Supply chain'!V116</f>
        <v>0</v>
      </c>
      <c r="AI1387" s="193">
        <f t="shared" si="30"/>
        <v>0</v>
      </c>
      <c r="AJ1387" s="193">
        <f t="shared" si="31"/>
        <v>0</v>
      </c>
    </row>
    <row r="1388" spans="2:36" x14ac:dyDescent="0.35">
      <c r="B1388" s="193" t="e">
        <f>"2024"&amp;MATCH(Totals!D1388,OrgType,0)&amp;"_"&amp;MATCH(Totals!E1388,Organisations,0)&amp;"_"&amp;LEFT(Totals!F1388,1)&amp;"_"&amp;LEFT(G1388,1)&amp;"_"&amp;COUNTIF($G$3:G1388,G1388)</f>
        <v>#N/A</v>
      </c>
      <c r="C1388" s="193">
        <v>2025</v>
      </c>
      <c r="D1388" s="193">
        <f>Introduction!$D$7</f>
        <v>0</v>
      </c>
      <c r="E1388" s="193">
        <f>Introduction!$D$8</f>
        <v>0</v>
      </c>
      <c r="F1388" s="193" t="s">
        <v>493</v>
      </c>
      <c r="G1388" s="193" t="s">
        <v>493</v>
      </c>
      <c r="H1388" s="194"/>
      <c r="I1388" s="194"/>
      <c r="J1388" s="195" t="str">
        <f>'Supply chain'!B117</f>
        <v>Activities of households as employers; undifferentiated goods- and services-producing activities of households for own use</v>
      </c>
      <c r="K1388" s="194"/>
      <c r="L1388" s="194"/>
      <c r="M1388" s="195">
        <f>'Supply chain'!C117</f>
        <v>97</v>
      </c>
      <c r="N1388" s="195" t="str">
        <f>'Supply chain'!D117</f>
        <v xml:space="preserve">Services of households as employers of domestic personnel        </v>
      </c>
      <c r="O1388" s="194"/>
      <c r="P1388" s="195" t="str">
        <f>'Supply chain'!E117</f>
        <v>Tier 1</v>
      </c>
      <c r="Q1388" s="195">
        <f>'Supply chain'!F117</f>
        <v>0.25</v>
      </c>
      <c r="R1388" s="195">
        <f>'Supply chain'!G117</f>
        <v>0</v>
      </c>
      <c r="S1388" s="195" t="str">
        <f>'Supply chain'!H117</f>
        <v>£</v>
      </c>
      <c r="T1388" s="195">
        <f>'Supply chain'!I117</f>
        <v>0</v>
      </c>
      <c r="U1388" s="195" t="str">
        <f>'Supply chain'!J117</f>
        <v>£</v>
      </c>
      <c r="V1388" s="195">
        <f>'Supply chain'!K117</f>
        <v>1.276394375429989E-2</v>
      </c>
      <c r="W1388" s="195" t="str">
        <f>'Supply chain'!L117</f>
        <v/>
      </c>
      <c r="X1388" s="193">
        <f>'Supply chain'!M117</f>
        <v>0</v>
      </c>
      <c r="Y1388" s="195">
        <f>'Supply chain'!N117</f>
        <v>0</v>
      </c>
      <c r="Z1388" s="195">
        <f>'Supply chain'!O117</f>
        <v>0</v>
      </c>
      <c r="AA1388" s="195">
        <f>'Supply chain'!P117</f>
        <v>0</v>
      </c>
      <c r="AB1388" s="195">
        <f>'Supply chain'!Q117</f>
        <v>0</v>
      </c>
      <c r="AC1388" s="195">
        <f>'Supply chain'!R117</f>
        <v>0</v>
      </c>
      <c r="AD1388" s="195">
        <f>'Supply chain'!S117</f>
        <v>0</v>
      </c>
      <c r="AE1388" s="195">
        <f>'Supply chain'!T117</f>
        <v>0</v>
      </c>
      <c r="AF1388" s="195">
        <f>'Supply chain'!U117</f>
        <v>0</v>
      </c>
      <c r="AG1388" s="195">
        <f>'Supply chain'!V117</f>
        <v>0</v>
      </c>
      <c r="AI1388" s="193">
        <f t="shared" si="30"/>
        <v>0</v>
      </c>
      <c r="AJ1388" s="193">
        <f t="shared" si="31"/>
        <v>0</v>
      </c>
    </row>
    <row r="1389" spans="2:36" x14ac:dyDescent="0.35">
      <c r="B1389" s="193" t="e">
        <f>"2024"&amp;MATCH(Totals!D1389,OrgType,0)&amp;"_"&amp;MATCH(Totals!E1389,Organisations,0)&amp;"_"&amp;LEFT(Totals!F1389,1)&amp;"_"&amp;LEFT(G1389,1)&amp;"_"&amp;COUNTIF($G$3:G1389,G1389)</f>
        <v>#N/A</v>
      </c>
      <c r="C1389" s="193">
        <v>2025</v>
      </c>
      <c r="D1389" s="193">
        <f>Introduction!$D$7</f>
        <v>0</v>
      </c>
      <c r="E1389" s="193">
        <f>Introduction!$D$8</f>
        <v>0</v>
      </c>
      <c r="F1389" s="193" t="s">
        <v>493</v>
      </c>
      <c r="G1389" s="193" t="s">
        <v>493</v>
      </c>
      <c r="H1389" s="194"/>
      <c r="I1389" s="194"/>
      <c r="J1389" s="196" t="str">
        <f>'Supply chain'!B124</f>
        <v/>
      </c>
      <c r="K1389" s="194"/>
      <c r="L1389" s="194"/>
      <c r="M1389" s="196" t="str">
        <f>'Supply chain'!C124</f>
        <v/>
      </c>
      <c r="N1389" s="196">
        <f>'Supply chain'!D124</f>
        <v>0</v>
      </c>
      <c r="O1389" s="194"/>
      <c r="P1389" s="196" t="str">
        <f>'Supply chain'!E124</f>
        <v>Tier 2</v>
      </c>
      <c r="Q1389" s="196">
        <f>'Supply chain'!F124</f>
        <v>0</v>
      </c>
      <c r="R1389" s="196">
        <f>'Supply chain'!G124</f>
        <v>0</v>
      </c>
      <c r="S1389" s="196" t="str">
        <f>'Supply chain'!H124</f>
        <v>£</v>
      </c>
      <c r="T1389" s="196">
        <f>'Supply chain'!I124</f>
        <v>0</v>
      </c>
      <c r="U1389" s="196" t="str">
        <f>'Supply chain'!J124</f>
        <v>£</v>
      </c>
      <c r="V1389" s="196" t="str">
        <f>'Supply chain'!K124</f>
        <v/>
      </c>
      <c r="W1389" s="196">
        <f>'Supply chain'!L124</f>
        <v>0</v>
      </c>
      <c r="X1389" s="193">
        <f>'Supply chain'!M124</f>
        <v>0</v>
      </c>
      <c r="Y1389" s="196">
        <f>'Supply chain'!N124</f>
        <v>0</v>
      </c>
      <c r="Z1389" s="196">
        <f>'Supply chain'!O124</f>
        <v>0</v>
      </c>
      <c r="AA1389" s="196">
        <f>'Supply chain'!P124</f>
        <v>0</v>
      </c>
      <c r="AB1389" s="196">
        <f>'Supply chain'!Q124</f>
        <v>0</v>
      </c>
      <c r="AC1389" s="196">
        <f>'Supply chain'!R124</f>
        <v>0</v>
      </c>
      <c r="AD1389" s="196">
        <f>'Supply chain'!S124</f>
        <v>0</v>
      </c>
      <c r="AE1389" s="196" t="str">
        <f>'Supply chain'!T124</f>
        <v/>
      </c>
      <c r="AF1389" s="196" t="str">
        <f>'Supply chain'!U124</f>
        <v/>
      </c>
      <c r="AG1389" s="196">
        <f>'Supply chain'!V124</f>
        <v>0</v>
      </c>
      <c r="AI1389" s="193">
        <f t="shared" si="30"/>
        <v>0</v>
      </c>
      <c r="AJ1389" s="193">
        <f t="shared" si="31"/>
        <v>0</v>
      </c>
    </row>
    <row r="1390" spans="2:36" x14ac:dyDescent="0.35">
      <c r="B1390" s="193" t="e">
        <f>"2024"&amp;MATCH(Totals!D1390,OrgType,0)&amp;"_"&amp;MATCH(Totals!E1390,Organisations,0)&amp;"_"&amp;LEFT(Totals!F1390,1)&amp;"_"&amp;LEFT(G1390,1)&amp;"_"&amp;COUNTIF($G$3:G1390,G1390)</f>
        <v>#N/A</v>
      </c>
      <c r="C1390" s="193">
        <v>2025</v>
      </c>
      <c r="D1390" s="193">
        <f>Introduction!$D$7</f>
        <v>0</v>
      </c>
      <c r="E1390" s="193">
        <f>Introduction!$D$8</f>
        <v>0</v>
      </c>
      <c r="F1390" s="193" t="s">
        <v>493</v>
      </c>
      <c r="G1390" s="193" t="s">
        <v>493</v>
      </c>
      <c r="H1390" s="194"/>
      <c r="I1390" s="194"/>
      <c r="J1390" s="196" t="str">
        <f>'Supply chain'!B125</f>
        <v/>
      </c>
      <c r="K1390" s="194"/>
      <c r="L1390" s="194"/>
      <c r="M1390" s="196" t="str">
        <f>'Supply chain'!C125</f>
        <v/>
      </c>
      <c r="N1390" s="196">
        <f>'Supply chain'!D125</f>
        <v>0</v>
      </c>
      <c r="O1390" s="194"/>
      <c r="P1390" s="196" t="str">
        <f>'Supply chain'!E125</f>
        <v>Tier 2</v>
      </c>
      <c r="Q1390" s="196">
        <f>'Supply chain'!F125</f>
        <v>0</v>
      </c>
      <c r="R1390" s="196">
        <f>'Supply chain'!G125</f>
        <v>0</v>
      </c>
      <c r="S1390" s="196" t="str">
        <f>'Supply chain'!H125</f>
        <v>£</v>
      </c>
      <c r="T1390" s="196">
        <f>'Supply chain'!I125</f>
        <v>0</v>
      </c>
      <c r="U1390" s="196" t="str">
        <f>'Supply chain'!J125</f>
        <v>£</v>
      </c>
      <c r="V1390" s="196" t="str">
        <f>'Supply chain'!K125</f>
        <v/>
      </c>
      <c r="W1390" s="196">
        <f>'Supply chain'!L125</f>
        <v>0</v>
      </c>
      <c r="X1390" s="193">
        <f>'Supply chain'!M125</f>
        <v>0</v>
      </c>
      <c r="Y1390" s="196">
        <f>'Supply chain'!N125</f>
        <v>0</v>
      </c>
      <c r="Z1390" s="196">
        <f>'Supply chain'!O125</f>
        <v>0</v>
      </c>
      <c r="AA1390" s="196">
        <f>'Supply chain'!P125</f>
        <v>0</v>
      </c>
      <c r="AB1390" s="196">
        <f>'Supply chain'!Q125</f>
        <v>0</v>
      </c>
      <c r="AC1390" s="196">
        <f>'Supply chain'!R125</f>
        <v>0</v>
      </c>
      <c r="AD1390" s="196">
        <f>'Supply chain'!S125</f>
        <v>0</v>
      </c>
      <c r="AE1390" s="196" t="str">
        <f>'Supply chain'!T125</f>
        <v/>
      </c>
      <c r="AF1390" s="196" t="str">
        <f>'Supply chain'!U125</f>
        <v/>
      </c>
      <c r="AG1390" s="196">
        <f>'Supply chain'!V125</f>
        <v>0</v>
      </c>
      <c r="AI1390" s="193">
        <f t="shared" si="30"/>
        <v>0</v>
      </c>
      <c r="AJ1390" s="193">
        <f t="shared" si="31"/>
        <v>0</v>
      </c>
    </row>
    <row r="1391" spans="2:36" x14ac:dyDescent="0.35">
      <c r="B1391" s="193" t="e">
        <f>"2024"&amp;MATCH(Totals!D1391,OrgType,0)&amp;"_"&amp;MATCH(Totals!E1391,Organisations,0)&amp;"_"&amp;LEFT(Totals!F1391,1)&amp;"_"&amp;LEFT(G1391,1)&amp;"_"&amp;COUNTIF($G$3:G1391,G1391)</f>
        <v>#N/A</v>
      </c>
      <c r="C1391" s="193">
        <v>2025</v>
      </c>
      <c r="D1391" s="193">
        <f>Introduction!$D$7</f>
        <v>0</v>
      </c>
      <c r="E1391" s="193">
        <f>Introduction!$D$8</f>
        <v>0</v>
      </c>
      <c r="F1391" s="193" t="s">
        <v>493</v>
      </c>
      <c r="G1391" s="193" t="s">
        <v>493</v>
      </c>
      <c r="H1391" s="194"/>
      <c r="I1391" s="194"/>
      <c r="J1391" s="196" t="str">
        <f>'Supply chain'!B126</f>
        <v/>
      </c>
      <c r="K1391" s="194"/>
      <c r="L1391" s="194"/>
      <c r="M1391" s="196" t="str">
        <f>'Supply chain'!C126</f>
        <v/>
      </c>
      <c r="N1391" s="196">
        <f>'Supply chain'!D126</f>
        <v>0</v>
      </c>
      <c r="O1391" s="194"/>
      <c r="P1391" s="196" t="str">
        <f>'Supply chain'!E126</f>
        <v>Tier 2</v>
      </c>
      <c r="Q1391" s="196">
        <f>'Supply chain'!F126</f>
        <v>0</v>
      </c>
      <c r="R1391" s="196">
        <f>'Supply chain'!G126</f>
        <v>0</v>
      </c>
      <c r="S1391" s="196" t="str">
        <f>'Supply chain'!H126</f>
        <v>£</v>
      </c>
      <c r="T1391" s="196">
        <f>'Supply chain'!I126</f>
        <v>0</v>
      </c>
      <c r="U1391" s="196" t="str">
        <f>'Supply chain'!J126</f>
        <v>£</v>
      </c>
      <c r="V1391" s="196" t="str">
        <f>'Supply chain'!K126</f>
        <v/>
      </c>
      <c r="W1391" s="196">
        <f>'Supply chain'!L126</f>
        <v>0</v>
      </c>
      <c r="X1391" s="193">
        <f>'Supply chain'!M126</f>
        <v>0</v>
      </c>
      <c r="Y1391" s="196">
        <f>'Supply chain'!N126</f>
        <v>0</v>
      </c>
      <c r="Z1391" s="196">
        <f>'Supply chain'!O126</f>
        <v>0</v>
      </c>
      <c r="AA1391" s="196">
        <f>'Supply chain'!P126</f>
        <v>0</v>
      </c>
      <c r="AB1391" s="196">
        <f>'Supply chain'!Q126</f>
        <v>0</v>
      </c>
      <c r="AC1391" s="196">
        <f>'Supply chain'!R126</f>
        <v>0</v>
      </c>
      <c r="AD1391" s="196">
        <f>'Supply chain'!S126</f>
        <v>0</v>
      </c>
      <c r="AE1391" s="196" t="str">
        <f>'Supply chain'!T126</f>
        <v/>
      </c>
      <c r="AF1391" s="196" t="str">
        <f>'Supply chain'!U126</f>
        <v/>
      </c>
      <c r="AG1391" s="196">
        <f>'Supply chain'!V126</f>
        <v>0</v>
      </c>
      <c r="AI1391" s="193">
        <f t="shared" si="30"/>
        <v>0</v>
      </c>
      <c r="AJ1391" s="193">
        <f t="shared" si="31"/>
        <v>0</v>
      </c>
    </row>
    <row r="1392" spans="2:36" x14ac:dyDescent="0.35">
      <c r="B1392" s="193" t="e">
        <f>"2024"&amp;MATCH(Totals!D1392,OrgType,0)&amp;"_"&amp;MATCH(Totals!E1392,Organisations,0)&amp;"_"&amp;LEFT(Totals!F1392,1)&amp;"_"&amp;LEFT(G1392,1)&amp;"_"&amp;COUNTIF($G$3:G1392,G1392)</f>
        <v>#N/A</v>
      </c>
      <c r="C1392" s="193">
        <v>2025</v>
      </c>
      <c r="D1392" s="193">
        <f>Introduction!$D$7</f>
        <v>0</v>
      </c>
      <c r="E1392" s="193">
        <f>Introduction!$D$8</f>
        <v>0</v>
      </c>
      <c r="F1392" s="193" t="s">
        <v>493</v>
      </c>
      <c r="G1392" s="193" t="s">
        <v>493</v>
      </c>
      <c r="H1392" s="194"/>
      <c r="I1392" s="194"/>
      <c r="J1392" s="196" t="str">
        <f>'Supply chain'!B127</f>
        <v/>
      </c>
      <c r="K1392" s="194"/>
      <c r="L1392" s="194"/>
      <c r="M1392" s="196" t="str">
        <f>'Supply chain'!C127</f>
        <v/>
      </c>
      <c r="N1392" s="196">
        <f>'Supply chain'!D127</f>
        <v>0</v>
      </c>
      <c r="O1392" s="194"/>
      <c r="P1392" s="196" t="str">
        <f>'Supply chain'!E127</f>
        <v>Tier 2</v>
      </c>
      <c r="Q1392" s="196">
        <f>'Supply chain'!F127</f>
        <v>0</v>
      </c>
      <c r="R1392" s="196">
        <f>'Supply chain'!G127</f>
        <v>0</v>
      </c>
      <c r="S1392" s="196" t="str">
        <f>'Supply chain'!H127</f>
        <v>£</v>
      </c>
      <c r="T1392" s="196">
        <f>'Supply chain'!I127</f>
        <v>0</v>
      </c>
      <c r="U1392" s="196" t="str">
        <f>'Supply chain'!J127</f>
        <v>£</v>
      </c>
      <c r="V1392" s="196" t="str">
        <f>'Supply chain'!K127</f>
        <v/>
      </c>
      <c r="W1392" s="196">
        <f>'Supply chain'!L127</f>
        <v>0</v>
      </c>
      <c r="X1392" s="193">
        <f>'Supply chain'!M127</f>
        <v>0</v>
      </c>
      <c r="Y1392" s="196">
        <f>'Supply chain'!N127</f>
        <v>0</v>
      </c>
      <c r="Z1392" s="196">
        <f>'Supply chain'!O127</f>
        <v>0</v>
      </c>
      <c r="AA1392" s="196">
        <f>'Supply chain'!P127</f>
        <v>0</v>
      </c>
      <c r="AB1392" s="196">
        <f>'Supply chain'!Q127</f>
        <v>0</v>
      </c>
      <c r="AC1392" s="196">
        <f>'Supply chain'!R127</f>
        <v>0</v>
      </c>
      <c r="AD1392" s="196">
        <f>'Supply chain'!S127</f>
        <v>0</v>
      </c>
      <c r="AE1392" s="196" t="str">
        <f>'Supply chain'!T127</f>
        <v/>
      </c>
      <c r="AF1392" s="196" t="str">
        <f>'Supply chain'!U127</f>
        <v/>
      </c>
      <c r="AG1392" s="196">
        <f>'Supply chain'!V127</f>
        <v>0</v>
      </c>
      <c r="AI1392" s="193">
        <f t="shared" si="30"/>
        <v>0</v>
      </c>
      <c r="AJ1392" s="193">
        <f t="shared" si="31"/>
        <v>0</v>
      </c>
    </row>
    <row r="1393" spans="2:36" x14ac:dyDescent="0.35">
      <c r="B1393" s="193" t="e">
        <f>"2024"&amp;MATCH(Totals!D1393,OrgType,0)&amp;"_"&amp;MATCH(Totals!E1393,Organisations,0)&amp;"_"&amp;LEFT(Totals!F1393,1)&amp;"_"&amp;LEFT(G1393,1)&amp;"_"&amp;COUNTIF($G$3:G1393,G1393)</f>
        <v>#N/A</v>
      </c>
      <c r="C1393" s="193">
        <v>2025</v>
      </c>
      <c r="D1393" s="193">
        <f>Introduction!$D$7</f>
        <v>0</v>
      </c>
      <c r="E1393" s="193">
        <f>Introduction!$D$8</f>
        <v>0</v>
      </c>
      <c r="F1393" s="193" t="s">
        <v>493</v>
      </c>
      <c r="G1393" s="193" t="s">
        <v>493</v>
      </c>
      <c r="H1393" s="194"/>
      <c r="I1393" s="194"/>
      <c r="J1393" s="196" t="str">
        <f>'Supply chain'!B128</f>
        <v/>
      </c>
      <c r="K1393" s="194"/>
      <c r="L1393" s="194"/>
      <c r="M1393" s="196" t="str">
        <f>'Supply chain'!C128</f>
        <v/>
      </c>
      <c r="N1393" s="196">
        <f>'Supply chain'!D128</f>
        <v>0</v>
      </c>
      <c r="O1393" s="194"/>
      <c r="P1393" s="196" t="str">
        <f>'Supply chain'!E128</f>
        <v>Tier 2</v>
      </c>
      <c r="Q1393" s="196">
        <f>'Supply chain'!F128</f>
        <v>0</v>
      </c>
      <c r="R1393" s="196">
        <f>'Supply chain'!G128</f>
        <v>0</v>
      </c>
      <c r="S1393" s="196" t="str">
        <f>'Supply chain'!H128</f>
        <v>£</v>
      </c>
      <c r="T1393" s="196">
        <f>'Supply chain'!I128</f>
        <v>0</v>
      </c>
      <c r="U1393" s="196" t="str">
        <f>'Supply chain'!J128</f>
        <v>£</v>
      </c>
      <c r="V1393" s="196" t="str">
        <f>'Supply chain'!K128</f>
        <v/>
      </c>
      <c r="W1393" s="196">
        <f>'Supply chain'!L128</f>
        <v>0</v>
      </c>
      <c r="X1393" s="193">
        <f>'Supply chain'!M128</f>
        <v>0</v>
      </c>
      <c r="Y1393" s="196">
        <f>'Supply chain'!N128</f>
        <v>0</v>
      </c>
      <c r="Z1393" s="196">
        <f>'Supply chain'!O128</f>
        <v>0</v>
      </c>
      <c r="AA1393" s="196">
        <f>'Supply chain'!P128</f>
        <v>0</v>
      </c>
      <c r="AB1393" s="196">
        <f>'Supply chain'!Q128</f>
        <v>0</v>
      </c>
      <c r="AC1393" s="196">
        <f>'Supply chain'!R128</f>
        <v>0</v>
      </c>
      <c r="AD1393" s="196">
        <f>'Supply chain'!S128</f>
        <v>0</v>
      </c>
      <c r="AE1393" s="196" t="str">
        <f>'Supply chain'!T128</f>
        <v/>
      </c>
      <c r="AF1393" s="196" t="str">
        <f>'Supply chain'!U128</f>
        <v/>
      </c>
      <c r="AG1393" s="196">
        <f>'Supply chain'!V128</f>
        <v>0</v>
      </c>
      <c r="AI1393" s="193">
        <f t="shared" si="30"/>
        <v>0</v>
      </c>
      <c r="AJ1393" s="193">
        <f t="shared" si="31"/>
        <v>0</v>
      </c>
    </row>
    <row r="1394" spans="2:36" x14ac:dyDescent="0.35">
      <c r="B1394" s="193" t="e">
        <f>"2024"&amp;MATCH(Totals!D1394,OrgType,0)&amp;"_"&amp;MATCH(Totals!E1394,Organisations,0)&amp;"_"&amp;LEFT(Totals!F1394,1)&amp;"_"&amp;LEFT(G1394,1)&amp;"_"&amp;COUNTIF($G$3:G1394,G1394)</f>
        <v>#N/A</v>
      </c>
      <c r="C1394" s="193">
        <v>2025</v>
      </c>
      <c r="D1394" s="193">
        <f>Introduction!$D$7</f>
        <v>0</v>
      </c>
      <c r="E1394" s="193">
        <f>Introduction!$D$8</f>
        <v>0</v>
      </c>
      <c r="F1394" s="193" t="s">
        <v>493</v>
      </c>
      <c r="G1394" s="193" t="s">
        <v>493</v>
      </c>
      <c r="H1394" s="194"/>
      <c r="I1394" s="194"/>
      <c r="J1394" s="196" t="str">
        <f>'Supply chain'!B129</f>
        <v/>
      </c>
      <c r="K1394" s="194"/>
      <c r="L1394" s="194"/>
      <c r="M1394" s="196" t="str">
        <f>'Supply chain'!C129</f>
        <v/>
      </c>
      <c r="N1394" s="196">
        <f>'Supply chain'!D129</f>
        <v>0</v>
      </c>
      <c r="O1394" s="194"/>
      <c r="P1394" s="196" t="str">
        <f>'Supply chain'!E129</f>
        <v>Tier 2</v>
      </c>
      <c r="Q1394" s="196">
        <f>'Supply chain'!F129</f>
        <v>0</v>
      </c>
      <c r="R1394" s="196">
        <f>'Supply chain'!G129</f>
        <v>0</v>
      </c>
      <c r="S1394" s="196" t="str">
        <f>'Supply chain'!H129</f>
        <v>£</v>
      </c>
      <c r="T1394" s="196">
        <f>'Supply chain'!I129</f>
        <v>0</v>
      </c>
      <c r="U1394" s="196" t="str">
        <f>'Supply chain'!J129</f>
        <v>£</v>
      </c>
      <c r="V1394" s="196" t="str">
        <f>'Supply chain'!K129</f>
        <v/>
      </c>
      <c r="W1394" s="196">
        <f>'Supply chain'!L129</f>
        <v>0</v>
      </c>
      <c r="X1394" s="193">
        <f>'Supply chain'!M129</f>
        <v>0</v>
      </c>
      <c r="Y1394" s="196">
        <f>'Supply chain'!N129</f>
        <v>0</v>
      </c>
      <c r="Z1394" s="196">
        <f>'Supply chain'!O129</f>
        <v>0</v>
      </c>
      <c r="AA1394" s="196">
        <f>'Supply chain'!P129</f>
        <v>0</v>
      </c>
      <c r="AB1394" s="196">
        <f>'Supply chain'!Q129</f>
        <v>0</v>
      </c>
      <c r="AC1394" s="196">
        <f>'Supply chain'!R129</f>
        <v>0</v>
      </c>
      <c r="AD1394" s="196">
        <f>'Supply chain'!S129</f>
        <v>0</v>
      </c>
      <c r="AE1394" s="196" t="str">
        <f>'Supply chain'!T129</f>
        <v/>
      </c>
      <c r="AF1394" s="196" t="str">
        <f>'Supply chain'!U129</f>
        <v/>
      </c>
      <c r="AG1394" s="196">
        <f>'Supply chain'!V129</f>
        <v>0</v>
      </c>
      <c r="AI1394" s="193">
        <f t="shared" si="30"/>
        <v>0</v>
      </c>
      <c r="AJ1394" s="193">
        <f t="shared" si="31"/>
        <v>0</v>
      </c>
    </row>
    <row r="1395" spans="2:36" x14ac:dyDescent="0.35">
      <c r="B1395" s="193" t="e">
        <f>"2024"&amp;MATCH(Totals!D1395,OrgType,0)&amp;"_"&amp;MATCH(Totals!E1395,Organisations,0)&amp;"_"&amp;LEFT(Totals!F1395,1)&amp;"_"&amp;LEFT(G1395,1)&amp;"_"&amp;COUNTIF($G$3:G1395,G1395)</f>
        <v>#N/A</v>
      </c>
      <c r="C1395" s="193">
        <v>2025</v>
      </c>
      <c r="D1395" s="193">
        <f>Introduction!$D$7</f>
        <v>0</v>
      </c>
      <c r="E1395" s="193">
        <f>Introduction!$D$8</f>
        <v>0</v>
      </c>
      <c r="F1395" s="193" t="s">
        <v>493</v>
      </c>
      <c r="G1395" s="193" t="s">
        <v>493</v>
      </c>
      <c r="H1395" s="194"/>
      <c r="I1395" s="194"/>
      <c r="J1395" s="196" t="str">
        <f>'Supply chain'!B130</f>
        <v/>
      </c>
      <c r="K1395" s="194"/>
      <c r="L1395" s="194"/>
      <c r="M1395" s="196" t="str">
        <f>'Supply chain'!C130</f>
        <v/>
      </c>
      <c r="N1395" s="196">
        <f>'Supply chain'!D130</f>
        <v>0</v>
      </c>
      <c r="O1395" s="194"/>
      <c r="P1395" s="196" t="str">
        <f>'Supply chain'!E130</f>
        <v>Tier 2</v>
      </c>
      <c r="Q1395" s="196">
        <f>'Supply chain'!F130</f>
        <v>0</v>
      </c>
      <c r="R1395" s="196">
        <f>'Supply chain'!G130</f>
        <v>0</v>
      </c>
      <c r="S1395" s="196" t="str">
        <f>'Supply chain'!H130</f>
        <v>£</v>
      </c>
      <c r="T1395" s="196">
        <f>'Supply chain'!I130</f>
        <v>0</v>
      </c>
      <c r="U1395" s="196" t="str">
        <f>'Supply chain'!J130</f>
        <v>£</v>
      </c>
      <c r="V1395" s="196" t="str">
        <f>'Supply chain'!K130</f>
        <v/>
      </c>
      <c r="W1395" s="196">
        <f>'Supply chain'!L130</f>
        <v>0</v>
      </c>
      <c r="X1395" s="193">
        <f>'Supply chain'!M130</f>
        <v>0</v>
      </c>
      <c r="Y1395" s="196">
        <f>'Supply chain'!N130</f>
        <v>0</v>
      </c>
      <c r="Z1395" s="196">
        <f>'Supply chain'!O130</f>
        <v>0</v>
      </c>
      <c r="AA1395" s="196">
        <f>'Supply chain'!P130</f>
        <v>0</v>
      </c>
      <c r="AB1395" s="196">
        <f>'Supply chain'!Q130</f>
        <v>0</v>
      </c>
      <c r="AC1395" s="196">
        <f>'Supply chain'!R130</f>
        <v>0</v>
      </c>
      <c r="AD1395" s="196">
        <f>'Supply chain'!S130</f>
        <v>0</v>
      </c>
      <c r="AE1395" s="196" t="str">
        <f>'Supply chain'!T130</f>
        <v/>
      </c>
      <c r="AF1395" s="196" t="str">
        <f>'Supply chain'!U130</f>
        <v/>
      </c>
      <c r="AG1395" s="196">
        <f>'Supply chain'!V130</f>
        <v>0</v>
      </c>
      <c r="AI1395" s="193">
        <f t="shared" si="30"/>
        <v>0</v>
      </c>
      <c r="AJ1395" s="193">
        <f t="shared" si="31"/>
        <v>0</v>
      </c>
    </row>
    <row r="1396" spans="2:36" x14ac:dyDescent="0.35">
      <c r="B1396" s="193" t="e">
        <f>"2024"&amp;MATCH(Totals!D1396,OrgType,0)&amp;"_"&amp;MATCH(Totals!E1396,Organisations,0)&amp;"_"&amp;LEFT(Totals!F1396,1)&amp;"_"&amp;LEFT(G1396,1)&amp;"_"&amp;COUNTIF($G$3:G1396,G1396)</f>
        <v>#N/A</v>
      </c>
      <c r="C1396" s="193">
        <v>2025</v>
      </c>
      <c r="D1396" s="193">
        <f>Introduction!$D$7</f>
        <v>0</v>
      </c>
      <c r="E1396" s="193">
        <f>Introduction!$D$8</f>
        <v>0</v>
      </c>
      <c r="F1396" s="193" t="s">
        <v>493</v>
      </c>
      <c r="G1396" s="193" t="s">
        <v>493</v>
      </c>
      <c r="H1396" s="194"/>
      <c r="I1396" s="194"/>
      <c r="J1396" s="196" t="str">
        <f>'Supply chain'!B131</f>
        <v/>
      </c>
      <c r="K1396" s="194"/>
      <c r="L1396" s="194"/>
      <c r="M1396" s="196" t="str">
        <f>'Supply chain'!C131</f>
        <v/>
      </c>
      <c r="N1396" s="196">
        <f>'Supply chain'!D131</f>
        <v>0</v>
      </c>
      <c r="O1396" s="194"/>
      <c r="P1396" s="196" t="str">
        <f>'Supply chain'!E131</f>
        <v>Tier 2</v>
      </c>
      <c r="Q1396" s="196">
        <f>'Supply chain'!F131</f>
        <v>0</v>
      </c>
      <c r="R1396" s="196">
        <f>'Supply chain'!G131</f>
        <v>0</v>
      </c>
      <c r="S1396" s="196" t="str">
        <f>'Supply chain'!H131</f>
        <v>£</v>
      </c>
      <c r="T1396" s="196">
        <f>'Supply chain'!I131</f>
        <v>0</v>
      </c>
      <c r="U1396" s="196" t="str">
        <f>'Supply chain'!J131</f>
        <v>£</v>
      </c>
      <c r="V1396" s="196" t="str">
        <f>'Supply chain'!K131</f>
        <v/>
      </c>
      <c r="W1396" s="196">
        <f>'Supply chain'!L131</f>
        <v>0</v>
      </c>
      <c r="X1396" s="193">
        <f>'Supply chain'!M131</f>
        <v>0</v>
      </c>
      <c r="Y1396" s="196">
        <f>'Supply chain'!N131</f>
        <v>0</v>
      </c>
      <c r="Z1396" s="196">
        <f>'Supply chain'!O131</f>
        <v>0</v>
      </c>
      <c r="AA1396" s="196">
        <f>'Supply chain'!P131</f>
        <v>0</v>
      </c>
      <c r="AB1396" s="196">
        <f>'Supply chain'!Q131</f>
        <v>0</v>
      </c>
      <c r="AC1396" s="196">
        <f>'Supply chain'!R131</f>
        <v>0</v>
      </c>
      <c r="AD1396" s="196">
        <f>'Supply chain'!S131</f>
        <v>0</v>
      </c>
      <c r="AE1396" s="196" t="str">
        <f>'Supply chain'!T131</f>
        <v/>
      </c>
      <c r="AF1396" s="196" t="str">
        <f>'Supply chain'!U131</f>
        <v/>
      </c>
      <c r="AG1396" s="196">
        <f>'Supply chain'!V131</f>
        <v>0</v>
      </c>
      <c r="AI1396" s="193">
        <f t="shared" si="30"/>
        <v>0</v>
      </c>
      <c r="AJ1396" s="193">
        <f t="shared" si="31"/>
        <v>0</v>
      </c>
    </row>
    <row r="1397" spans="2:36" x14ac:dyDescent="0.35">
      <c r="B1397" s="193" t="e">
        <f>"2024"&amp;MATCH(Totals!D1397,OrgType,0)&amp;"_"&amp;MATCH(Totals!E1397,Organisations,0)&amp;"_"&amp;LEFT(Totals!F1397,1)&amp;"_"&amp;LEFT(G1397,1)&amp;"_"&amp;COUNTIF($G$3:G1397,G1397)</f>
        <v>#N/A</v>
      </c>
      <c r="C1397" s="193">
        <v>2025</v>
      </c>
      <c r="D1397" s="193">
        <f>Introduction!$D$7</f>
        <v>0</v>
      </c>
      <c r="E1397" s="193">
        <f>Introduction!$D$8</f>
        <v>0</v>
      </c>
      <c r="F1397" s="193" t="s">
        <v>493</v>
      </c>
      <c r="G1397" s="193" t="s">
        <v>493</v>
      </c>
      <c r="H1397" s="194"/>
      <c r="I1397" s="194"/>
      <c r="J1397" s="196" t="str">
        <f>'Supply chain'!B132</f>
        <v/>
      </c>
      <c r="K1397" s="194"/>
      <c r="L1397" s="194"/>
      <c r="M1397" s="196" t="str">
        <f>'Supply chain'!C132</f>
        <v/>
      </c>
      <c r="N1397" s="196">
        <f>'Supply chain'!D132</f>
        <v>0</v>
      </c>
      <c r="O1397" s="194"/>
      <c r="P1397" s="196" t="str">
        <f>'Supply chain'!E132</f>
        <v>Tier 2</v>
      </c>
      <c r="Q1397" s="196">
        <f>'Supply chain'!F132</f>
        <v>0</v>
      </c>
      <c r="R1397" s="196">
        <f>'Supply chain'!G132</f>
        <v>0</v>
      </c>
      <c r="S1397" s="196" t="str">
        <f>'Supply chain'!H132</f>
        <v>£</v>
      </c>
      <c r="T1397" s="196">
        <f>'Supply chain'!I132</f>
        <v>0</v>
      </c>
      <c r="U1397" s="196" t="str">
        <f>'Supply chain'!J132</f>
        <v>£</v>
      </c>
      <c r="V1397" s="196" t="str">
        <f>'Supply chain'!K132</f>
        <v/>
      </c>
      <c r="W1397" s="196">
        <f>'Supply chain'!L132</f>
        <v>0</v>
      </c>
      <c r="X1397" s="193">
        <f>'Supply chain'!M132</f>
        <v>0</v>
      </c>
      <c r="Y1397" s="196">
        <f>'Supply chain'!N132</f>
        <v>0</v>
      </c>
      <c r="Z1397" s="196">
        <f>'Supply chain'!O132</f>
        <v>0</v>
      </c>
      <c r="AA1397" s="196">
        <f>'Supply chain'!P132</f>
        <v>0</v>
      </c>
      <c r="AB1397" s="196">
        <f>'Supply chain'!Q132</f>
        <v>0</v>
      </c>
      <c r="AC1397" s="196">
        <f>'Supply chain'!R132</f>
        <v>0</v>
      </c>
      <c r="AD1397" s="196">
        <f>'Supply chain'!S132</f>
        <v>0</v>
      </c>
      <c r="AE1397" s="196" t="str">
        <f>'Supply chain'!T132</f>
        <v/>
      </c>
      <c r="AF1397" s="196" t="str">
        <f>'Supply chain'!U132</f>
        <v/>
      </c>
      <c r="AG1397" s="196">
        <f>'Supply chain'!V132</f>
        <v>0</v>
      </c>
      <c r="AI1397" s="193">
        <f t="shared" si="30"/>
        <v>0</v>
      </c>
      <c r="AJ1397" s="193">
        <f t="shared" si="31"/>
        <v>0</v>
      </c>
    </row>
    <row r="1398" spans="2:36" x14ac:dyDescent="0.35">
      <c r="B1398" s="193" t="e">
        <f>"2024"&amp;MATCH(Totals!D1398,OrgType,0)&amp;"_"&amp;MATCH(Totals!E1398,Organisations,0)&amp;"_"&amp;LEFT(Totals!F1398,1)&amp;"_"&amp;LEFT(G1398,1)&amp;"_"&amp;COUNTIF($G$3:G1398,G1398)</f>
        <v>#N/A</v>
      </c>
      <c r="C1398" s="193">
        <v>2025</v>
      </c>
      <c r="D1398" s="193">
        <f>Introduction!$D$7</f>
        <v>0</v>
      </c>
      <c r="E1398" s="193">
        <f>Introduction!$D$8</f>
        <v>0</v>
      </c>
      <c r="F1398" s="193" t="s">
        <v>493</v>
      </c>
      <c r="G1398" s="193" t="s">
        <v>493</v>
      </c>
      <c r="H1398" s="194"/>
      <c r="I1398" s="194"/>
      <c r="J1398" s="196" t="str">
        <f>'Supply chain'!B133</f>
        <v/>
      </c>
      <c r="K1398" s="194"/>
      <c r="L1398" s="194"/>
      <c r="M1398" s="196" t="str">
        <f>'Supply chain'!C133</f>
        <v/>
      </c>
      <c r="N1398" s="196">
        <f>'Supply chain'!D133</f>
        <v>0</v>
      </c>
      <c r="O1398" s="194"/>
      <c r="P1398" s="196" t="str">
        <f>'Supply chain'!E133</f>
        <v>Tier 2</v>
      </c>
      <c r="Q1398" s="196">
        <f>'Supply chain'!F133</f>
        <v>0</v>
      </c>
      <c r="R1398" s="196">
        <f>'Supply chain'!G133</f>
        <v>0</v>
      </c>
      <c r="S1398" s="196" t="str">
        <f>'Supply chain'!H133</f>
        <v>£</v>
      </c>
      <c r="T1398" s="196">
        <f>'Supply chain'!I133</f>
        <v>0</v>
      </c>
      <c r="U1398" s="196" t="str">
        <f>'Supply chain'!J133</f>
        <v>£</v>
      </c>
      <c r="V1398" s="196" t="str">
        <f>'Supply chain'!K133</f>
        <v/>
      </c>
      <c r="W1398" s="196">
        <f>'Supply chain'!L133</f>
        <v>0</v>
      </c>
      <c r="X1398" s="193">
        <f>'Supply chain'!M133</f>
        <v>0</v>
      </c>
      <c r="Y1398" s="196">
        <f>'Supply chain'!N133</f>
        <v>0</v>
      </c>
      <c r="Z1398" s="196">
        <f>'Supply chain'!O133</f>
        <v>0</v>
      </c>
      <c r="AA1398" s="196">
        <f>'Supply chain'!P133</f>
        <v>0</v>
      </c>
      <c r="AB1398" s="196">
        <f>'Supply chain'!Q133</f>
        <v>0</v>
      </c>
      <c r="AC1398" s="196">
        <f>'Supply chain'!R133</f>
        <v>0</v>
      </c>
      <c r="AD1398" s="196">
        <f>'Supply chain'!S133</f>
        <v>0</v>
      </c>
      <c r="AE1398" s="196" t="str">
        <f>'Supply chain'!T133</f>
        <v/>
      </c>
      <c r="AF1398" s="196" t="str">
        <f>'Supply chain'!U133</f>
        <v/>
      </c>
      <c r="AG1398" s="196">
        <f>'Supply chain'!V133</f>
        <v>0</v>
      </c>
      <c r="AI1398" s="193">
        <f t="shared" si="30"/>
        <v>0</v>
      </c>
      <c r="AJ1398" s="193">
        <f t="shared" si="31"/>
        <v>0</v>
      </c>
    </row>
    <row r="1399" spans="2:36" x14ac:dyDescent="0.35">
      <c r="B1399" s="193" t="e">
        <f>"2024"&amp;MATCH(Totals!D1399,OrgType,0)&amp;"_"&amp;MATCH(Totals!E1399,Organisations,0)&amp;"_"&amp;LEFT(Totals!F1399,1)&amp;"_"&amp;LEFT(G1399,1)&amp;"_"&amp;COUNTIF($G$3:G1399,G1399)</f>
        <v>#N/A</v>
      </c>
      <c r="C1399" s="193">
        <v>2025</v>
      </c>
      <c r="D1399" s="193">
        <f>Introduction!$D$7</f>
        <v>0</v>
      </c>
      <c r="E1399" s="193">
        <f>Introduction!$D$8</f>
        <v>0</v>
      </c>
      <c r="F1399" s="193" t="s">
        <v>493</v>
      </c>
      <c r="G1399" s="193" t="s">
        <v>493</v>
      </c>
      <c r="H1399" s="194"/>
      <c r="I1399" s="194"/>
      <c r="J1399" s="196" t="str">
        <f>'Supply chain'!B134</f>
        <v/>
      </c>
      <c r="K1399" s="194"/>
      <c r="L1399" s="194"/>
      <c r="M1399" s="196" t="str">
        <f>'Supply chain'!C134</f>
        <v/>
      </c>
      <c r="N1399" s="196">
        <f>'Supply chain'!D134</f>
        <v>0</v>
      </c>
      <c r="O1399" s="194"/>
      <c r="P1399" s="196" t="str">
        <f>'Supply chain'!E134</f>
        <v>Tier 2</v>
      </c>
      <c r="Q1399" s="196">
        <f>'Supply chain'!F134</f>
        <v>0</v>
      </c>
      <c r="R1399" s="196">
        <f>'Supply chain'!G134</f>
        <v>0</v>
      </c>
      <c r="S1399" s="196" t="str">
        <f>'Supply chain'!H134</f>
        <v>£</v>
      </c>
      <c r="T1399" s="196">
        <f>'Supply chain'!I134</f>
        <v>0</v>
      </c>
      <c r="U1399" s="196" t="str">
        <f>'Supply chain'!J134</f>
        <v>£</v>
      </c>
      <c r="V1399" s="196" t="str">
        <f>'Supply chain'!K134</f>
        <v/>
      </c>
      <c r="W1399" s="196">
        <f>'Supply chain'!L134</f>
        <v>0</v>
      </c>
      <c r="X1399" s="193">
        <f>'Supply chain'!M134</f>
        <v>0</v>
      </c>
      <c r="Y1399" s="196">
        <f>'Supply chain'!N134</f>
        <v>0</v>
      </c>
      <c r="Z1399" s="196">
        <f>'Supply chain'!O134</f>
        <v>0</v>
      </c>
      <c r="AA1399" s="196">
        <f>'Supply chain'!P134</f>
        <v>0</v>
      </c>
      <c r="AB1399" s="196">
        <f>'Supply chain'!Q134</f>
        <v>0</v>
      </c>
      <c r="AC1399" s="196">
        <f>'Supply chain'!R134</f>
        <v>0</v>
      </c>
      <c r="AD1399" s="196">
        <f>'Supply chain'!S134</f>
        <v>0</v>
      </c>
      <c r="AE1399" s="196" t="str">
        <f>'Supply chain'!T134</f>
        <v/>
      </c>
      <c r="AF1399" s="196" t="str">
        <f>'Supply chain'!U134</f>
        <v/>
      </c>
      <c r="AG1399" s="196">
        <f>'Supply chain'!V134</f>
        <v>0</v>
      </c>
      <c r="AI1399" s="193">
        <f t="shared" si="30"/>
        <v>0</v>
      </c>
      <c r="AJ1399" s="193">
        <f t="shared" si="31"/>
        <v>0</v>
      </c>
    </row>
    <row r="1400" spans="2:36" x14ac:dyDescent="0.35">
      <c r="B1400" s="193" t="e">
        <f>"2024"&amp;MATCH(Totals!D1400,OrgType,0)&amp;"_"&amp;MATCH(Totals!E1400,Organisations,0)&amp;"_"&amp;LEFT(Totals!F1400,1)&amp;"_"&amp;LEFT(G1400,1)&amp;"_"&amp;COUNTIF($G$3:G1400,G1400)</f>
        <v>#N/A</v>
      </c>
      <c r="C1400" s="193">
        <v>2025</v>
      </c>
      <c r="D1400" s="193">
        <f>Introduction!$D$7</f>
        <v>0</v>
      </c>
      <c r="E1400" s="193">
        <f>Introduction!$D$8</f>
        <v>0</v>
      </c>
      <c r="F1400" s="193" t="s">
        <v>493</v>
      </c>
      <c r="G1400" s="193" t="s">
        <v>493</v>
      </c>
      <c r="H1400" s="194"/>
      <c r="I1400" s="194"/>
      <c r="J1400" s="196" t="str">
        <f>'Supply chain'!B135</f>
        <v/>
      </c>
      <c r="K1400" s="194"/>
      <c r="L1400" s="194"/>
      <c r="M1400" s="196" t="str">
        <f>'Supply chain'!C135</f>
        <v/>
      </c>
      <c r="N1400" s="196">
        <f>'Supply chain'!D135</f>
        <v>0</v>
      </c>
      <c r="O1400" s="194"/>
      <c r="P1400" s="196" t="str">
        <f>'Supply chain'!E135</f>
        <v>Tier 2</v>
      </c>
      <c r="Q1400" s="196">
        <f>'Supply chain'!F135</f>
        <v>0</v>
      </c>
      <c r="R1400" s="196">
        <f>'Supply chain'!G135</f>
        <v>0</v>
      </c>
      <c r="S1400" s="196" t="str">
        <f>'Supply chain'!H135</f>
        <v>£</v>
      </c>
      <c r="T1400" s="196">
        <f>'Supply chain'!I135</f>
        <v>0</v>
      </c>
      <c r="U1400" s="196" t="str">
        <f>'Supply chain'!J135</f>
        <v>£</v>
      </c>
      <c r="V1400" s="196" t="str">
        <f>'Supply chain'!K135</f>
        <v/>
      </c>
      <c r="W1400" s="196">
        <f>'Supply chain'!L135</f>
        <v>0</v>
      </c>
      <c r="X1400" s="193">
        <f>'Supply chain'!M135</f>
        <v>0</v>
      </c>
      <c r="Y1400" s="196">
        <f>'Supply chain'!N135</f>
        <v>0</v>
      </c>
      <c r="Z1400" s="196">
        <f>'Supply chain'!O135</f>
        <v>0</v>
      </c>
      <c r="AA1400" s="196">
        <f>'Supply chain'!P135</f>
        <v>0</v>
      </c>
      <c r="AB1400" s="196">
        <f>'Supply chain'!Q135</f>
        <v>0</v>
      </c>
      <c r="AC1400" s="196">
        <f>'Supply chain'!R135</f>
        <v>0</v>
      </c>
      <c r="AD1400" s="196">
        <f>'Supply chain'!S135</f>
        <v>0</v>
      </c>
      <c r="AE1400" s="196" t="str">
        <f>'Supply chain'!T135</f>
        <v/>
      </c>
      <c r="AF1400" s="196" t="str">
        <f>'Supply chain'!U135</f>
        <v/>
      </c>
      <c r="AG1400" s="196">
        <f>'Supply chain'!V135</f>
        <v>0</v>
      </c>
      <c r="AI1400" s="193">
        <f t="shared" si="30"/>
        <v>0</v>
      </c>
      <c r="AJ1400" s="193">
        <f t="shared" si="31"/>
        <v>0</v>
      </c>
    </row>
    <row r="1401" spans="2:36" x14ac:dyDescent="0.35">
      <c r="B1401" s="193" t="e">
        <f>"2024"&amp;MATCH(Totals!D1401,OrgType,0)&amp;"_"&amp;MATCH(Totals!E1401,Organisations,0)&amp;"_"&amp;LEFT(Totals!F1401,1)&amp;"_"&amp;LEFT(G1401,1)&amp;"_"&amp;COUNTIF($G$3:G1401,G1401)</f>
        <v>#N/A</v>
      </c>
      <c r="C1401" s="193">
        <v>2025</v>
      </c>
      <c r="D1401" s="193">
        <f>Introduction!$D$7</f>
        <v>0</v>
      </c>
      <c r="E1401" s="193">
        <f>Introduction!$D$8</f>
        <v>0</v>
      </c>
      <c r="F1401" s="193" t="s">
        <v>493</v>
      </c>
      <c r="G1401" s="193" t="s">
        <v>493</v>
      </c>
      <c r="H1401" s="194"/>
      <c r="I1401" s="194"/>
      <c r="J1401" s="196" t="str">
        <f>'Supply chain'!B136</f>
        <v/>
      </c>
      <c r="K1401" s="194"/>
      <c r="L1401" s="194"/>
      <c r="M1401" s="196" t="str">
        <f>'Supply chain'!C136</f>
        <v/>
      </c>
      <c r="N1401" s="196">
        <f>'Supply chain'!D136</f>
        <v>0</v>
      </c>
      <c r="O1401" s="194"/>
      <c r="P1401" s="196" t="str">
        <f>'Supply chain'!E136</f>
        <v>Tier 2</v>
      </c>
      <c r="Q1401" s="196">
        <f>'Supply chain'!F136</f>
        <v>0</v>
      </c>
      <c r="R1401" s="196">
        <f>'Supply chain'!G136</f>
        <v>0</v>
      </c>
      <c r="S1401" s="196" t="str">
        <f>'Supply chain'!H136</f>
        <v>£</v>
      </c>
      <c r="T1401" s="196">
        <f>'Supply chain'!I136</f>
        <v>0</v>
      </c>
      <c r="U1401" s="196" t="str">
        <f>'Supply chain'!J136</f>
        <v>£</v>
      </c>
      <c r="V1401" s="196" t="str">
        <f>'Supply chain'!K136</f>
        <v/>
      </c>
      <c r="W1401" s="196">
        <f>'Supply chain'!L136</f>
        <v>0</v>
      </c>
      <c r="X1401" s="193">
        <f>'Supply chain'!M136</f>
        <v>0</v>
      </c>
      <c r="Y1401" s="196">
        <f>'Supply chain'!N136</f>
        <v>0</v>
      </c>
      <c r="Z1401" s="196">
        <f>'Supply chain'!O136</f>
        <v>0</v>
      </c>
      <c r="AA1401" s="196">
        <f>'Supply chain'!P136</f>
        <v>0</v>
      </c>
      <c r="AB1401" s="196">
        <f>'Supply chain'!Q136</f>
        <v>0</v>
      </c>
      <c r="AC1401" s="196">
        <f>'Supply chain'!R136</f>
        <v>0</v>
      </c>
      <c r="AD1401" s="196">
        <f>'Supply chain'!S136</f>
        <v>0</v>
      </c>
      <c r="AE1401" s="196" t="str">
        <f>'Supply chain'!T136</f>
        <v/>
      </c>
      <c r="AF1401" s="196" t="str">
        <f>'Supply chain'!U136</f>
        <v/>
      </c>
      <c r="AG1401" s="196">
        <f>'Supply chain'!V136</f>
        <v>0</v>
      </c>
      <c r="AI1401" s="193">
        <f t="shared" si="30"/>
        <v>0</v>
      </c>
      <c r="AJ1401" s="193">
        <f t="shared" si="31"/>
        <v>0</v>
      </c>
    </row>
    <row r="1402" spans="2:36" x14ac:dyDescent="0.35">
      <c r="B1402" s="193" t="e">
        <f>"2024"&amp;MATCH(Totals!D1402,OrgType,0)&amp;"_"&amp;MATCH(Totals!E1402,Organisations,0)&amp;"_"&amp;LEFT(Totals!F1402,1)&amp;"_"&amp;LEFT(G1402,1)&amp;"_"&amp;COUNTIF($G$3:G1402,G1402)</f>
        <v>#N/A</v>
      </c>
      <c r="C1402" s="193">
        <v>2025</v>
      </c>
      <c r="D1402" s="193">
        <f>Introduction!$D$7</f>
        <v>0</v>
      </c>
      <c r="E1402" s="193">
        <f>Introduction!$D$8</f>
        <v>0</v>
      </c>
      <c r="F1402" s="193" t="s">
        <v>493</v>
      </c>
      <c r="G1402" s="193" t="s">
        <v>493</v>
      </c>
      <c r="H1402" s="194"/>
      <c r="I1402" s="194"/>
      <c r="J1402" s="196" t="str">
        <f>'Supply chain'!B137</f>
        <v/>
      </c>
      <c r="K1402" s="194"/>
      <c r="L1402" s="194"/>
      <c r="M1402" s="196" t="str">
        <f>'Supply chain'!C137</f>
        <v/>
      </c>
      <c r="N1402" s="196">
        <f>'Supply chain'!D137</f>
        <v>0</v>
      </c>
      <c r="O1402" s="194"/>
      <c r="P1402" s="196" t="str">
        <f>'Supply chain'!E137</f>
        <v>Tier 2</v>
      </c>
      <c r="Q1402" s="196">
        <f>'Supply chain'!F137</f>
        <v>0</v>
      </c>
      <c r="R1402" s="196">
        <f>'Supply chain'!G137</f>
        <v>0</v>
      </c>
      <c r="S1402" s="196" t="str">
        <f>'Supply chain'!H137</f>
        <v>£</v>
      </c>
      <c r="T1402" s="196">
        <f>'Supply chain'!I137</f>
        <v>0</v>
      </c>
      <c r="U1402" s="196" t="str">
        <f>'Supply chain'!J137</f>
        <v>£</v>
      </c>
      <c r="V1402" s="196" t="str">
        <f>'Supply chain'!K137</f>
        <v/>
      </c>
      <c r="W1402" s="196">
        <f>'Supply chain'!L137</f>
        <v>0</v>
      </c>
      <c r="X1402" s="193">
        <f>'Supply chain'!M137</f>
        <v>0</v>
      </c>
      <c r="Y1402" s="196">
        <f>'Supply chain'!N137</f>
        <v>0</v>
      </c>
      <c r="Z1402" s="196">
        <f>'Supply chain'!O137</f>
        <v>0</v>
      </c>
      <c r="AA1402" s="196">
        <f>'Supply chain'!P137</f>
        <v>0</v>
      </c>
      <c r="AB1402" s="196">
        <f>'Supply chain'!Q137</f>
        <v>0</v>
      </c>
      <c r="AC1402" s="196">
        <f>'Supply chain'!R137</f>
        <v>0</v>
      </c>
      <c r="AD1402" s="196">
        <f>'Supply chain'!S137</f>
        <v>0</v>
      </c>
      <c r="AE1402" s="196" t="str">
        <f>'Supply chain'!T137</f>
        <v/>
      </c>
      <c r="AF1402" s="196" t="str">
        <f>'Supply chain'!U137</f>
        <v/>
      </c>
      <c r="AG1402" s="196">
        <f>'Supply chain'!V137</f>
        <v>0</v>
      </c>
      <c r="AI1402" s="193">
        <f t="shared" si="30"/>
        <v>0</v>
      </c>
      <c r="AJ1402" s="193">
        <f t="shared" si="31"/>
        <v>0</v>
      </c>
    </row>
    <row r="1403" spans="2:36" x14ac:dyDescent="0.35">
      <c r="B1403" s="193" t="e">
        <f>"2024"&amp;MATCH(Totals!D1403,OrgType,0)&amp;"_"&amp;MATCH(Totals!E1403,Organisations,0)&amp;"_"&amp;LEFT(Totals!F1403,1)&amp;"_"&amp;LEFT(G1403,1)&amp;"_"&amp;COUNTIF($G$3:G1403,G1403)</f>
        <v>#N/A</v>
      </c>
      <c r="C1403" s="193">
        <v>2025</v>
      </c>
      <c r="D1403" s="193">
        <f>Introduction!$D$7</f>
        <v>0</v>
      </c>
      <c r="E1403" s="193">
        <f>Introduction!$D$8</f>
        <v>0</v>
      </c>
      <c r="F1403" s="193" t="s">
        <v>493</v>
      </c>
      <c r="G1403" s="193" t="s">
        <v>493</v>
      </c>
      <c r="H1403" s="194"/>
      <c r="I1403" s="194"/>
      <c r="J1403" s="196" t="str">
        <f>'Supply chain'!B138</f>
        <v/>
      </c>
      <c r="K1403" s="194"/>
      <c r="L1403" s="194"/>
      <c r="M1403" s="196" t="str">
        <f>'Supply chain'!C138</f>
        <v/>
      </c>
      <c r="N1403" s="196">
        <f>'Supply chain'!D138</f>
        <v>0</v>
      </c>
      <c r="O1403" s="194"/>
      <c r="P1403" s="196" t="str">
        <f>'Supply chain'!E138</f>
        <v>Tier 2</v>
      </c>
      <c r="Q1403" s="196">
        <f>'Supply chain'!F138</f>
        <v>0</v>
      </c>
      <c r="R1403" s="196">
        <f>'Supply chain'!G138</f>
        <v>0</v>
      </c>
      <c r="S1403" s="196" t="str">
        <f>'Supply chain'!H138</f>
        <v>£</v>
      </c>
      <c r="T1403" s="196">
        <f>'Supply chain'!I138</f>
        <v>0</v>
      </c>
      <c r="U1403" s="196" t="str">
        <f>'Supply chain'!J138</f>
        <v>£</v>
      </c>
      <c r="V1403" s="196" t="str">
        <f>'Supply chain'!K138</f>
        <v/>
      </c>
      <c r="W1403" s="196">
        <f>'Supply chain'!L138</f>
        <v>0</v>
      </c>
      <c r="X1403" s="193">
        <f>'Supply chain'!M138</f>
        <v>0</v>
      </c>
      <c r="Y1403" s="196">
        <f>'Supply chain'!N138</f>
        <v>0</v>
      </c>
      <c r="Z1403" s="196">
        <f>'Supply chain'!O138</f>
        <v>0</v>
      </c>
      <c r="AA1403" s="196">
        <f>'Supply chain'!P138</f>
        <v>0</v>
      </c>
      <c r="AB1403" s="196">
        <f>'Supply chain'!Q138</f>
        <v>0</v>
      </c>
      <c r="AC1403" s="196">
        <f>'Supply chain'!R138</f>
        <v>0</v>
      </c>
      <c r="AD1403" s="196">
        <f>'Supply chain'!S138</f>
        <v>0</v>
      </c>
      <c r="AE1403" s="196" t="str">
        <f>'Supply chain'!T138</f>
        <v/>
      </c>
      <c r="AF1403" s="196" t="str">
        <f>'Supply chain'!U138</f>
        <v/>
      </c>
      <c r="AG1403" s="196">
        <f>'Supply chain'!V138</f>
        <v>0</v>
      </c>
      <c r="AI1403" s="193">
        <f t="shared" si="30"/>
        <v>0</v>
      </c>
      <c r="AJ1403" s="193">
        <f t="shared" si="31"/>
        <v>0</v>
      </c>
    </row>
    <row r="1404" spans="2:36" x14ac:dyDescent="0.35">
      <c r="B1404" s="193" t="e">
        <f>"2024"&amp;MATCH(Totals!D1404,OrgType,0)&amp;"_"&amp;MATCH(Totals!E1404,Organisations,0)&amp;"_"&amp;LEFT(Totals!F1404,1)&amp;"_"&amp;LEFT(G1404,1)&amp;"_"&amp;COUNTIF($G$3:G1404,G1404)</f>
        <v>#N/A</v>
      </c>
      <c r="C1404" s="193">
        <v>2025</v>
      </c>
      <c r="D1404" s="193">
        <f>Introduction!$D$7</f>
        <v>0</v>
      </c>
      <c r="E1404" s="193">
        <f>Introduction!$D$8</f>
        <v>0</v>
      </c>
      <c r="F1404" s="193" t="s">
        <v>493</v>
      </c>
      <c r="G1404" s="193" t="s">
        <v>493</v>
      </c>
      <c r="H1404" s="194"/>
      <c r="I1404" s="194"/>
      <c r="J1404" s="196" t="str">
        <f>'Supply chain'!B139</f>
        <v/>
      </c>
      <c r="K1404" s="194"/>
      <c r="L1404" s="194"/>
      <c r="M1404" s="196" t="str">
        <f>'Supply chain'!C139</f>
        <v/>
      </c>
      <c r="N1404" s="196">
        <f>'Supply chain'!D139</f>
        <v>0</v>
      </c>
      <c r="O1404" s="194"/>
      <c r="P1404" s="196" t="str">
        <f>'Supply chain'!E139</f>
        <v>Tier 2</v>
      </c>
      <c r="Q1404" s="196">
        <f>'Supply chain'!F139</f>
        <v>0</v>
      </c>
      <c r="R1404" s="196">
        <f>'Supply chain'!G139</f>
        <v>0</v>
      </c>
      <c r="S1404" s="196" t="str">
        <f>'Supply chain'!H139</f>
        <v>£</v>
      </c>
      <c r="T1404" s="196">
        <f>'Supply chain'!I139</f>
        <v>0</v>
      </c>
      <c r="U1404" s="196" t="str">
        <f>'Supply chain'!J139</f>
        <v>£</v>
      </c>
      <c r="V1404" s="196" t="str">
        <f>'Supply chain'!K139</f>
        <v/>
      </c>
      <c r="W1404" s="196">
        <f>'Supply chain'!L139</f>
        <v>0</v>
      </c>
      <c r="X1404" s="193">
        <f>'Supply chain'!M139</f>
        <v>0</v>
      </c>
      <c r="Y1404" s="196">
        <f>'Supply chain'!N139</f>
        <v>0</v>
      </c>
      <c r="Z1404" s="196">
        <f>'Supply chain'!O139</f>
        <v>0</v>
      </c>
      <c r="AA1404" s="196">
        <f>'Supply chain'!P139</f>
        <v>0</v>
      </c>
      <c r="AB1404" s="196">
        <f>'Supply chain'!Q139</f>
        <v>0</v>
      </c>
      <c r="AC1404" s="196">
        <f>'Supply chain'!R139</f>
        <v>0</v>
      </c>
      <c r="AD1404" s="196">
        <f>'Supply chain'!S139</f>
        <v>0</v>
      </c>
      <c r="AE1404" s="196" t="str">
        <f>'Supply chain'!T139</f>
        <v/>
      </c>
      <c r="AF1404" s="196" t="str">
        <f>'Supply chain'!U139</f>
        <v/>
      </c>
      <c r="AG1404" s="196">
        <f>'Supply chain'!V139</f>
        <v>0</v>
      </c>
      <c r="AI1404" s="193">
        <f t="shared" si="30"/>
        <v>0</v>
      </c>
      <c r="AJ1404" s="193">
        <f t="shared" si="31"/>
        <v>0</v>
      </c>
    </row>
    <row r="1405" spans="2:36" x14ac:dyDescent="0.35">
      <c r="B1405" s="193" t="e">
        <f>"2024"&amp;MATCH(Totals!D1405,OrgType,0)&amp;"_"&amp;MATCH(Totals!E1405,Organisations,0)&amp;"_"&amp;LEFT(Totals!F1405,1)&amp;"_"&amp;LEFT(G1405,1)&amp;"_"&amp;COUNTIF($G$3:G1405,G1405)</f>
        <v>#N/A</v>
      </c>
      <c r="C1405" s="193">
        <v>2025</v>
      </c>
      <c r="D1405" s="193">
        <f>Introduction!$D$7</f>
        <v>0</v>
      </c>
      <c r="E1405" s="193">
        <f>Introduction!$D$8</f>
        <v>0</v>
      </c>
      <c r="F1405" s="193" t="s">
        <v>493</v>
      </c>
      <c r="G1405" s="193" t="s">
        <v>493</v>
      </c>
      <c r="H1405" s="194"/>
      <c r="I1405" s="194"/>
      <c r="J1405" s="196" t="str">
        <f>'Supply chain'!B140</f>
        <v/>
      </c>
      <c r="K1405" s="194"/>
      <c r="L1405" s="194"/>
      <c r="M1405" s="196" t="str">
        <f>'Supply chain'!C140</f>
        <v/>
      </c>
      <c r="N1405" s="196">
        <f>'Supply chain'!D140</f>
        <v>0</v>
      </c>
      <c r="O1405" s="194"/>
      <c r="P1405" s="196" t="str">
        <f>'Supply chain'!E140</f>
        <v>Tier 2</v>
      </c>
      <c r="Q1405" s="196">
        <f>'Supply chain'!F140</f>
        <v>0</v>
      </c>
      <c r="R1405" s="196">
        <f>'Supply chain'!G140</f>
        <v>0</v>
      </c>
      <c r="S1405" s="196" t="str">
        <f>'Supply chain'!H140</f>
        <v>£</v>
      </c>
      <c r="T1405" s="196">
        <f>'Supply chain'!I140</f>
        <v>0</v>
      </c>
      <c r="U1405" s="196" t="str">
        <f>'Supply chain'!J140</f>
        <v>£</v>
      </c>
      <c r="V1405" s="196" t="str">
        <f>'Supply chain'!K140</f>
        <v/>
      </c>
      <c r="W1405" s="196">
        <f>'Supply chain'!L140</f>
        <v>0</v>
      </c>
      <c r="X1405" s="193">
        <f>'Supply chain'!M140</f>
        <v>0</v>
      </c>
      <c r="Y1405" s="196">
        <f>'Supply chain'!N140</f>
        <v>0</v>
      </c>
      <c r="Z1405" s="196">
        <f>'Supply chain'!O140</f>
        <v>0</v>
      </c>
      <c r="AA1405" s="196">
        <f>'Supply chain'!P140</f>
        <v>0</v>
      </c>
      <c r="AB1405" s="196">
        <f>'Supply chain'!Q140</f>
        <v>0</v>
      </c>
      <c r="AC1405" s="196">
        <f>'Supply chain'!R140</f>
        <v>0</v>
      </c>
      <c r="AD1405" s="196">
        <f>'Supply chain'!S140</f>
        <v>0</v>
      </c>
      <c r="AE1405" s="196" t="str">
        <f>'Supply chain'!T140</f>
        <v/>
      </c>
      <c r="AF1405" s="196" t="str">
        <f>'Supply chain'!U140</f>
        <v/>
      </c>
      <c r="AG1405" s="196">
        <f>'Supply chain'!V140</f>
        <v>0</v>
      </c>
      <c r="AI1405" s="193">
        <f t="shared" si="30"/>
        <v>0</v>
      </c>
      <c r="AJ1405" s="193">
        <f t="shared" si="31"/>
        <v>0</v>
      </c>
    </row>
    <row r="1406" spans="2:36" x14ac:dyDescent="0.35">
      <c r="B1406" s="193" t="e">
        <f>"2024"&amp;MATCH(Totals!D1406,OrgType,0)&amp;"_"&amp;MATCH(Totals!E1406,Organisations,0)&amp;"_"&amp;LEFT(Totals!F1406,1)&amp;"_"&amp;LEFT(G1406,1)&amp;"_"&amp;COUNTIF($G$3:G1406,G1406)</f>
        <v>#N/A</v>
      </c>
      <c r="C1406" s="193">
        <v>2025</v>
      </c>
      <c r="D1406" s="193">
        <f>Introduction!$D$7</f>
        <v>0</v>
      </c>
      <c r="E1406" s="193">
        <f>Introduction!$D$8</f>
        <v>0</v>
      </c>
      <c r="F1406" s="193" t="s">
        <v>493</v>
      </c>
      <c r="G1406" s="193" t="s">
        <v>493</v>
      </c>
      <c r="H1406" s="194"/>
      <c r="I1406" s="194"/>
      <c r="J1406" s="196" t="str">
        <f>'Supply chain'!B141</f>
        <v/>
      </c>
      <c r="K1406" s="194"/>
      <c r="L1406" s="194"/>
      <c r="M1406" s="196" t="str">
        <f>'Supply chain'!C141</f>
        <v/>
      </c>
      <c r="N1406" s="196">
        <f>'Supply chain'!D141</f>
        <v>0</v>
      </c>
      <c r="O1406" s="194"/>
      <c r="P1406" s="196" t="str">
        <f>'Supply chain'!E141</f>
        <v>Tier 2</v>
      </c>
      <c r="Q1406" s="196">
        <f>'Supply chain'!F141</f>
        <v>0</v>
      </c>
      <c r="R1406" s="196">
        <f>'Supply chain'!G141</f>
        <v>0</v>
      </c>
      <c r="S1406" s="196" t="str">
        <f>'Supply chain'!H141</f>
        <v>£</v>
      </c>
      <c r="T1406" s="196">
        <f>'Supply chain'!I141</f>
        <v>0</v>
      </c>
      <c r="U1406" s="196" t="str">
        <f>'Supply chain'!J141</f>
        <v>£</v>
      </c>
      <c r="V1406" s="196" t="str">
        <f>'Supply chain'!K141</f>
        <v/>
      </c>
      <c r="W1406" s="196">
        <f>'Supply chain'!L141</f>
        <v>0</v>
      </c>
      <c r="X1406" s="193">
        <f>'Supply chain'!M141</f>
        <v>0</v>
      </c>
      <c r="Y1406" s="196">
        <f>'Supply chain'!N141</f>
        <v>0</v>
      </c>
      <c r="Z1406" s="196">
        <f>'Supply chain'!O141</f>
        <v>0</v>
      </c>
      <c r="AA1406" s="196">
        <f>'Supply chain'!P141</f>
        <v>0</v>
      </c>
      <c r="AB1406" s="196">
        <f>'Supply chain'!Q141</f>
        <v>0</v>
      </c>
      <c r="AC1406" s="196">
        <f>'Supply chain'!R141</f>
        <v>0</v>
      </c>
      <c r="AD1406" s="196">
        <f>'Supply chain'!S141</f>
        <v>0</v>
      </c>
      <c r="AE1406" s="196" t="str">
        <f>'Supply chain'!T141</f>
        <v/>
      </c>
      <c r="AF1406" s="196" t="str">
        <f>'Supply chain'!U141</f>
        <v/>
      </c>
      <c r="AG1406" s="196">
        <f>'Supply chain'!V141</f>
        <v>0</v>
      </c>
      <c r="AI1406" s="193">
        <f t="shared" si="30"/>
        <v>0</v>
      </c>
      <c r="AJ1406" s="193">
        <f t="shared" si="31"/>
        <v>0</v>
      </c>
    </row>
    <row r="1407" spans="2:36" x14ac:dyDescent="0.35">
      <c r="B1407" s="193" t="e">
        <f>"2024"&amp;MATCH(Totals!D1407,OrgType,0)&amp;"_"&amp;MATCH(Totals!E1407,Organisations,0)&amp;"_"&amp;LEFT(Totals!F1407,1)&amp;"_"&amp;LEFT(G1407,1)&amp;"_"&amp;COUNTIF($G$3:G1407,G1407)</f>
        <v>#N/A</v>
      </c>
      <c r="C1407" s="193">
        <v>2025</v>
      </c>
      <c r="D1407" s="193">
        <f>Introduction!$D$7</f>
        <v>0</v>
      </c>
      <c r="E1407" s="193">
        <f>Introduction!$D$8</f>
        <v>0</v>
      </c>
      <c r="F1407" s="193" t="s">
        <v>493</v>
      </c>
      <c r="G1407" s="193" t="s">
        <v>493</v>
      </c>
      <c r="H1407" s="194"/>
      <c r="I1407" s="194"/>
      <c r="J1407" s="196" t="str">
        <f>'Supply chain'!B142</f>
        <v/>
      </c>
      <c r="K1407" s="194"/>
      <c r="L1407" s="194"/>
      <c r="M1407" s="196" t="str">
        <f>'Supply chain'!C142</f>
        <v/>
      </c>
      <c r="N1407" s="196">
        <f>'Supply chain'!D142</f>
        <v>0</v>
      </c>
      <c r="O1407" s="194"/>
      <c r="P1407" s="196" t="str">
        <f>'Supply chain'!E142</f>
        <v>Tier 2</v>
      </c>
      <c r="Q1407" s="196">
        <f>'Supply chain'!F142</f>
        <v>0</v>
      </c>
      <c r="R1407" s="196">
        <f>'Supply chain'!G142</f>
        <v>0</v>
      </c>
      <c r="S1407" s="196" t="str">
        <f>'Supply chain'!H142</f>
        <v>£</v>
      </c>
      <c r="T1407" s="196">
        <f>'Supply chain'!I142</f>
        <v>0</v>
      </c>
      <c r="U1407" s="196" t="str">
        <f>'Supply chain'!J142</f>
        <v>£</v>
      </c>
      <c r="V1407" s="196" t="str">
        <f>'Supply chain'!K142</f>
        <v/>
      </c>
      <c r="W1407" s="196">
        <f>'Supply chain'!L142</f>
        <v>0</v>
      </c>
      <c r="X1407" s="193">
        <f>'Supply chain'!M142</f>
        <v>0</v>
      </c>
      <c r="Y1407" s="196">
        <f>'Supply chain'!N142</f>
        <v>0</v>
      </c>
      <c r="Z1407" s="196">
        <f>'Supply chain'!O142</f>
        <v>0</v>
      </c>
      <c r="AA1407" s="196">
        <f>'Supply chain'!P142</f>
        <v>0</v>
      </c>
      <c r="AB1407" s="196">
        <f>'Supply chain'!Q142</f>
        <v>0</v>
      </c>
      <c r="AC1407" s="196">
        <f>'Supply chain'!R142</f>
        <v>0</v>
      </c>
      <c r="AD1407" s="196">
        <f>'Supply chain'!S142</f>
        <v>0</v>
      </c>
      <c r="AE1407" s="196" t="str">
        <f>'Supply chain'!T142</f>
        <v/>
      </c>
      <c r="AF1407" s="196" t="str">
        <f>'Supply chain'!U142</f>
        <v/>
      </c>
      <c r="AG1407" s="196">
        <f>'Supply chain'!V142</f>
        <v>0</v>
      </c>
      <c r="AI1407" s="193">
        <f t="shared" si="30"/>
        <v>0</v>
      </c>
      <c r="AJ1407" s="193">
        <f t="shared" si="31"/>
        <v>0</v>
      </c>
    </row>
    <row r="1408" spans="2:36" x14ac:dyDescent="0.35">
      <c r="B1408" s="193" t="e">
        <f>"2024"&amp;MATCH(Totals!D1408,OrgType,0)&amp;"_"&amp;MATCH(Totals!E1408,Organisations,0)&amp;"_"&amp;LEFT(Totals!F1408,1)&amp;"_"&amp;LEFT(G1408,1)&amp;"_"&amp;COUNTIF($G$3:G1408,G1408)</f>
        <v>#N/A</v>
      </c>
      <c r="C1408" s="193">
        <v>2025</v>
      </c>
      <c r="D1408" s="193">
        <f>Introduction!$D$7</f>
        <v>0</v>
      </c>
      <c r="E1408" s="193">
        <f>Introduction!$D$8</f>
        <v>0</v>
      </c>
      <c r="F1408" s="193" t="s">
        <v>493</v>
      </c>
      <c r="G1408" s="193" t="s">
        <v>493</v>
      </c>
      <c r="H1408" s="194"/>
      <c r="I1408" s="194"/>
      <c r="J1408" s="196" t="str">
        <f>'Supply chain'!B143</f>
        <v/>
      </c>
      <c r="K1408" s="194"/>
      <c r="L1408" s="194"/>
      <c r="M1408" s="196" t="str">
        <f>'Supply chain'!C143</f>
        <v/>
      </c>
      <c r="N1408" s="196">
        <f>'Supply chain'!D143</f>
        <v>0</v>
      </c>
      <c r="O1408" s="194"/>
      <c r="P1408" s="196" t="str">
        <f>'Supply chain'!E143</f>
        <v>Tier 2</v>
      </c>
      <c r="Q1408" s="196">
        <f>'Supply chain'!F143</f>
        <v>0</v>
      </c>
      <c r="R1408" s="196">
        <f>'Supply chain'!G143</f>
        <v>0</v>
      </c>
      <c r="S1408" s="196" t="str">
        <f>'Supply chain'!H143</f>
        <v>£</v>
      </c>
      <c r="T1408" s="196">
        <f>'Supply chain'!I143</f>
        <v>0</v>
      </c>
      <c r="U1408" s="196" t="str">
        <f>'Supply chain'!J143</f>
        <v>£</v>
      </c>
      <c r="V1408" s="196" t="str">
        <f>'Supply chain'!K143</f>
        <v/>
      </c>
      <c r="W1408" s="196">
        <f>'Supply chain'!L143</f>
        <v>0</v>
      </c>
      <c r="X1408" s="193">
        <f>'Supply chain'!M143</f>
        <v>0</v>
      </c>
      <c r="Y1408" s="196">
        <f>'Supply chain'!N143</f>
        <v>0</v>
      </c>
      <c r="Z1408" s="196">
        <f>'Supply chain'!O143</f>
        <v>0</v>
      </c>
      <c r="AA1408" s="196">
        <f>'Supply chain'!P143</f>
        <v>0</v>
      </c>
      <c r="AB1408" s="196">
        <f>'Supply chain'!Q143</f>
        <v>0</v>
      </c>
      <c r="AC1408" s="196">
        <f>'Supply chain'!R143</f>
        <v>0</v>
      </c>
      <c r="AD1408" s="196">
        <f>'Supply chain'!S143</f>
        <v>0</v>
      </c>
      <c r="AE1408" s="196" t="str">
        <f>'Supply chain'!T143</f>
        <v/>
      </c>
      <c r="AF1408" s="196" t="str">
        <f>'Supply chain'!U143</f>
        <v/>
      </c>
      <c r="AG1408" s="196">
        <f>'Supply chain'!V143</f>
        <v>0</v>
      </c>
      <c r="AI1408" s="193">
        <f t="shared" si="30"/>
        <v>0</v>
      </c>
      <c r="AJ1408" s="193">
        <f t="shared" si="31"/>
        <v>0</v>
      </c>
    </row>
    <row r="1409" spans="2:36" x14ac:dyDescent="0.35">
      <c r="B1409" s="193" t="e">
        <f>"2024"&amp;MATCH(Totals!D1409,OrgType,0)&amp;"_"&amp;MATCH(Totals!E1409,Organisations,0)&amp;"_"&amp;LEFT(Totals!F1409,1)&amp;"_"&amp;LEFT(G1409,1)&amp;"_"&amp;COUNTIF($G$3:G1409,G1409)</f>
        <v>#N/A</v>
      </c>
      <c r="C1409" s="193">
        <v>2025</v>
      </c>
      <c r="D1409" s="193">
        <f>Introduction!$D$7</f>
        <v>0</v>
      </c>
      <c r="E1409" s="193">
        <f>Introduction!$D$8</f>
        <v>0</v>
      </c>
      <c r="F1409" s="193" t="s">
        <v>493</v>
      </c>
      <c r="G1409" s="193" t="s">
        <v>493</v>
      </c>
      <c r="H1409" s="194"/>
      <c r="I1409" s="194"/>
      <c r="J1409" s="196" t="str">
        <f>'Supply chain'!B144</f>
        <v/>
      </c>
      <c r="K1409" s="194"/>
      <c r="L1409" s="194"/>
      <c r="M1409" s="196" t="str">
        <f>'Supply chain'!C144</f>
        <v/>
      </c>
      <c r="N1409" s="196">
        <f>'Supply chain'!D144</f>
        <v>0</v>
      </c>
      <c r="O1409" s="194"/>
      <c r="P1409" s="196" t="str">
        <f>'Supply chain'!E144</f>
        <v>Tier 2</v>
      </c>
      <c r="Q1409" s="196">
        <f>'Supply chain'!F144</f>
        <v>0</v>
      </c>
      <c r="R1409" s="196">
        <f>'Supply chain'!G144</f>
        <v>0</v>
      </c>
      <c r="S1409" s="196" t="str">
        <f>'Supply chain'!H144</f>
        <v>£</v>
      </c>
      <c r="T1409" s="196">
        <f>'Supply chain'!I144</f>
        <v>0</v>
      </c>
      <c r="U1409" s="196" t="str">
        <f>'Supply chain'!J144</f>
        <v>£</v>
      </c>
      <c r="V1409" s="196" t="str">
        <f>'Supply chain'!K144</f>
        <v/>
      </c>
      <c r="W1409" s="196">
        <f>'Supply chain'!L144</f>
        <v>0</v>
      </c>
      <c r="X1409" s="193">
        <f>'Supply chain'!M144</f>
        <v>0</v>
      </c>
      <c r="Y1409" s="196">
        <f>'Supply chain'!N144</f>
        <v>0</v>
      </c>
      <c r="Z1409" s="196">
        <f>'Supply chain'!O144</f>
        <v>0</v>
      </c>
      <c r="AA1409" s="196">
        <f>'Supply chain'!P144</f>
        <v>0</v>
      </c>
      <c r="AB1409" s="196">
        <f>'Supply chain'!Q144</f>
        <v>0</v>
      </c>
      <c r="AC1409" s="196">
        <f>'Supply chain'!R144</f>
        <v>0</v>
      </c>
      <c r="AD1409" s="196">
        <f>'Supply chain'!S144</f>
        <v>0</v>
      </c>
      <c r="AE1409" s="196" t="str">
        <f>'Supply chain'!T144</f>
        <v/>
      </c>
      <c r="AF1409" s="196" t="str">
        <f>'Supply chain'!U144</f>
        <v/>
      </c>
      <c r="AG1409" s="196">
        <f>'Supply chain'!V144</f>
        <v>0</v>
      </c>
      <c r="AI1409" s="193">
        <f t="shared" si="30"/>
        <v>0</v>
      </c>
      <c r="AJ1409" s="193">
        <f t="shared" si="31"/>
        <v>0</v>
      </c>
    </row>
    <row r="1410" spans="2:36" x14ac:dyDescent="0.35">
      <c r="B1410" s="193" t="e">
        <f>"2024"&amp;MATCH(Totals!D1410,OrgType,0)&amp;"_"&amp;MATCH(Totals!E1410,Organisations,0)&amp;"_"&amp;LEFT(Totals!F1410,1)&amp;"_"&amp;LEFT(G1410,1)&amp;"_"&amp;COUNTIF($G$3:G1410,G1410)</f>
        <v>#N/A</v>
      </c>
      <c r="C1410" s="193">
        <v>2025</v>
      </c>
      <c r="D1410" s="193">
        <f>Introduction!$D$7</f>
        <v>0</v>
      </c>
      <c r="E1410" s="193">
        <f>Introduction!$D$8</f>
        <v>0</v>
      </c>
      <c r="F1410" s="193" t="s">
        <v>493</v>
      </c>
      <c r="G1410" s="193" t="s">
        <v>493</v>
      </c>
      <c r="H1410" s="194"/>
      <c r="I1410" s="194"/>
      <c r="J1410" s="196" t="str">
        <f>'Supply chain'!B145</f>
        <v/>
      </c>
      <c r="K1410" s="194"/>
      <c r="L1410" s="194"/>
      <c r="M1410" s="196" t="str">
        <f>'Supply chain'!C145</f>
        <v/>
      </c>
      <c r="N1410" s="196">
        <f>'Supply chain'!D145</f>
        <v>0</v>
      </c>
      <c r="O1410" s="194"/>
      <c r="P1410" s="196" t="str">
        <f>'Supply chain'!E145</f>
        <v>Tier 2</v>
      </c>
      <c r="Q1410" s="196">
        <f>'Supply chain'!F145</f>
        <v>0</v>
      </c>
      <c r="R1410" s="196">
        <f>'Supply chain'!G145</f>
        <v>0</v>
      </c>
      <c r="S1410" s="196" t="str">
        <f>'Supply chain'!H145</f>
        <v>£</v>
      </c>
      <c r="T1410" s="196">
        <f>'Supply chain'!I145</f>
        <v>0</v>
      </c>
      <c r="U1410" s="196" t="str">
        <f>'Supply chain'!J145</f>
        <v>£</v>
      </c>
      <c r="V1410" s="196" t="str">
        <f>'Supply chain'!K145</f>
        <v/>
      </c>
      <c r="W1410" s="196">
        <f>'Supply chain'!L145</f>
        <v>0</v>
      </c>
      <c r="X1410" s="193">
        <f>'Supply chain'!M145</f>
        <v>0</v>
      </c>
      <c r="Y1410" s="196">
        <f>'Supply chain'!N145</f>
        <v>0</v>
      </c>
      <c r="Z1410" s="196">
        <f>'Supply chain'!O145</f>
        <v>0</v>
      </c>
      <c r="AA1410" s="196">
        <f>'Supply chain'!P145</f>
        <v>0</v>
      </c>
      <c r="AB1410" s="196">
        <f>'Supply chain'!Q145</f>
        <v>0</v>
      </c>
      <c r="AC1410" s="196">
        <f>'Supply chain'!R145</f>
        <v>0</v>
      </c>
      <c r="AD1410" s="196">
        <f>'Supply chain'!S145</f>
        <v>0</v>
      </c>
      <c r="AE1410" s="196" t="str">
        <f>'Supply chain'!T145</f>
        <v/>
      </c>
      <c r="AF1410" s="196" t="str">
        <f>'Supply chain'!U145</f>
        <v/>
      </c>
      <c r="AG1410" s="196">
        <f>'Supply chain'!V145</f>
        <v>0</v>
      </c>
      <c r="AI1410" s="193">
        <f t="shared" si="30"/>
        <v>0</v>
      </c>
      <c r="AJ1410" s="193">
        <f t="shared" si="31"/>
        <v>0</v>
      </c>
    </row>
    <row r="1411" spans="2:36" x14ac:dyDescent="0.35">
      <c r="B1411" s="193" t="e">
        <f>"2024"&amp;MATCH(Totals!D1411,OrgType,0)&amp;"_"&amp;MATCH(Totals!E1411,Organisations,0)&amp;"_"&amp;LEFT(Totals!F1411,1)&amp;"_"&amp;LEFT(G1411,1)&amp;"_"&amp;COUNTIF($G$3:G1411,G1411)</f>
        <v>#N/A</v>
      </c>
      <c r="C1411" s="193">
        <v>2025</v>
      </c>
      <c r="D1411" s="193">
        <f>Introduction!$D$7</f>
        <v>0</v>
      </c>
      <c r="E1411" s="193">
        <f>Introduction!$D$8</f>
        <v>0</v>
      </c>
      <c r="F1411" s="193" t="s">
        <v>493</v>
      </c>
      <c r="G1411" s="193" t="s">
        <v>493</v>
      </c>
      <c r="H1411" s="194"/>
      <c r="I1411" s="194"/>
      <c r="J1411" s="196" t="str">
        <f>'Supply chain'!B146</f>
        <v/>
      </c>
      <c r="K1411" s="194"/>
      <c r="L1411" s="194"/>
      <c r="M1411" s="196" t="str">
        <f>'Supply chain'!C146</f>
        <v/>
      </c>
      <c r="N1411" s="196">
        <f>'Supply chain'!D146</f>
        <v>0</v>
      </c>
      <c r="O1411" s="194"/>
      <c r="P1411" s="196" t="str">
        <f>'Supply chain'!E146</f>
        <v>Tier 2</v>
      </c>
      <c r="Q1411" s="196">
        <f>'Supply chain'!F146</f>
        <v>0</v>
      </c>
      <c r="R1411" s="196">
        <f>'Supply chain'!G146</f>
        <v>0</v>
      </c>
      <c r="S1411" s="196" t="str">
        <f>'Supply chain'!H146</f>
        <v>£</v>
      </c>
      <c r="T1411" s="196">
        <f>'Supply chain'!I146</f>
        <v>0</v>
      </c>
      <c r="U1411" s="196" t="str">
        <f>'Supply chain'!J146</f>
        <v>£</v>
      </c>
      <c r="V1411" s="196" t="str">
        <f>'Supply chain'!K146</f>
        <v/>
      </c>
      <c r="W1411" s="196">
        <f>'Supply chain'!L146</f>
        <v>0</v>
      </c>
      <c r="X1411" s="193">
        <f>'Supply chain'!M146</f>
        <v>0</v>
      </c>
      <c r="Y1411" s="196">
        <f>'Supply chain'!N146</f>
        <v>0</v>
      </c>
      <c r="Z1411" s="196">
        <f>'Supply chain'!O146</f>
        <v>0</v>
      </c>
      <c r="AA1411" s="196">
        <f>'Supply chain'!P146</f>
        <v>0</v>
      </c>
      <c r="AB1411" s="196">
        <f>'Supply chain'!Q146</f>
        <v>0</v>
      </c>
      <c r="AC1411" s="196">
        <f>'Supply chain'!R146</f>
        <v>0</v>
      </c>
      <c r="AD1411" s="196">
        <f>'Supply chain'!S146</f>
        <v>0</v>
      </c>
      <c r="AE1411" s="196" t="str">
        <f>'Supply chain'!T146</f>
        <v/>
      </c>
      <c r="AF1411" s="196" t="str">
        <f>'Supply chain'!U146</f>
        <v/>
      </c>
      <c r="AG1411" s="196">
        <f>'Supply chain'!V146</f>
        <v>0</v>
      </c>
      <c r="AI1411" s="193">
        <f t="shared" si="30"/>
        <v>0</v>
      </c>
      <c r="AJ1411" s="193">
        <f t="shared" si="31"/>
        <v>0</v>
      </c>
    </row>
    <row r="1412" spans="2:36" x14ac:dyDescent="0.35">
      <c r="B1412" s="193" t="e">
        <f>"2024"&amp;MATCH(Totals!D1412,OrgType,0)&amp;"_"&amp;MATCH(Totals!E1412,Organisations,0)&amp;"_"&amp;LEFT(Totals!F1412,1)&amp;"_"&amp;LEFT(G1412,1)&amp;"_"&amp;COUNTIF($G$3:G1412,G1412)</f>
        <v>#N/A</v>
      </c>
      <c r="C1412" s="193">
        <v>2025</v>
      </c>
      <c r="D1412" s="193">
        <f>Introduction!$D$7</f>
        <v>0</v>
      </c>
      <c r="E1412" s="193">
        <f>Introduction!$D$8</f>
        <v>0</v>
      </c>
      <c r="F1412" s="193" t="s">
        <v>493</v>
      </c>
      <c r="G1412" s="193" t="s">
        <v>493</v>
      </c>
      <c r="H1412" s="194"/>
      <c r="I1412" s="194"/>
      <c r="J1412" s="196" t="str">
        <f>'Supply chain'!B147</f>
        <v/>
      </c>
      <c r="K1412" s="194"/>
      <c r="L1412" s="194"/>
      <c r="M1412" s="196" t="str">
        <f>'Supply chain'!C147</f>
        <v/>
      </c>
      <c r="N1412" s="196">
        <f>'Supply chain'!D147</f>
        <v>0</v>
      </c>
      <c r="O1412" s="194"/>
      <c r="P1412" s="196" t="str">
        <f>'Supply chain'!E147</f>
        <v>Tier 2</v>
      </c>
      <c r="Q1412" s="196">
        <f>'Supply chain'!F147</f>
        <v>0</v>
      </c>
      <c r="R1412" s="196">
        <f>'Supply chain'!G147</f>
        <v>0</v>
      </c>
      <c r="S1412" s="196" t="str">
        <f>'Supply chain'!H147</f>
        <v>£</v>
      </c>
      <c r="T1412" s="196">
        <f>'Supply chain'!I147</f>
        <v>0</v>
      </c>
      <c r="U1412" s="196" t="str">
        <f>'Supply chain'!J147</f>
        <v>£</v>
      </c>
      <c r="V1412" s="196" t="str">
        <f>'Supply chain'!K147</f>
        <v/>
      </c>
      <c r="W1412" s="196">
        <f>'Supply chain'!L147</f>
        <v>0</v>
      </c>
      <c r="X1412" s="193">
        <f>'Supply chain'!M147</f>
        <v>0</v>
      </c>
      <c r="Y1412" s="196">
        <f>'Supply chain'!N147</f>
        <v>0</v>
      </c>
      <c r="Z1412" s="196">
        <f>'Supply chain'!O147</f>
        <v>0</v>
      </c>
      <c r="AA1412" s="196">
        <f>'Supply chain'!P147</f>
        <v>0</v>
      </c>
      <c r="AB1412" s="196">
        <f>'Supply chain'!Q147</f>
        <v>0</v>
      </c>
      <c r="AC1412" s="196">
        <f>'Supply chain'!R147</f>
        <v>0</v>
      </c>
      <c r="AD1412" s="196">
        <f>'Supply chain'!S147</f>
        <v>0</v>
      </c>
      <c r="AE1412" s="196" t="str">
        <f>'Supply chain'!T147</f>
        <v/>
      </c>
      <c r="AF1412" s="196" t="str">
        <f>'Supply chain'!U147</f>
        <v/>
      </c>
      <c r="AG1412" s="196">
        <f>'Supply chain'!V147</f>
        <v>0</v>
      </c>
      <c r="AI1412" s="193">
        <f t="shared" si="30"/>
        <v>0</v>
      </c>
      <c r="AJ1412" s="193">
        <f t="shared" si="31"/>
        <v>0</v>
      </c>
    </row>
    <row r="1413" spans="2:36" x14ac:dyDescent="0.35">
      <c r="B1413" s="193" t="e">
        <f>"2024"&amp;MATCH(Totals!D1413,OrgType,0)&amp;"_"&amp;MATCH(Totals!E1413,Organisations,0)&amp;"_"&amp;LEFT(Totals!F1413,1)&amp;"_"&amp;LEFT(G1413,1)&amp;"_"&amp;COUNTIF($G$3:G1413,G1413)</f>
        <v>#N/A</v>
      </c>
      <c r="C1413" s="193">
        <v>2025</v>
      </c>
      <c r="D1413" s="193">
        <f>Introduction!$D$7</f>
        <v>0</v>
      </c>
      <c r="E1413" s="193">
        <f>Introduction!$D$8</f>
        <v>0</v>
      </c>
      <c r="F1413" s="193" t="s">
        <v>493</v>
      </c>
      <c r="G1413" s="193" t="s">
        <v>493</v>
      </c>
      <c r="H1413" s="194"/>
      <c r="I1413" s="194"/>
      <c r="J1413" s="196" t="str">
        <f>'Supply chain'!B148</f>
        <v/>
      </c>
      <c r="K1413" s="194"/>
      <c r="L1413" s="194"/>
      <c r="M1413" s="196" t="str">
        <f>'Supply chain'!C148</f>
        <v/>
      </c>
      <c r="N1413" s="196">
        <f>'Supply chain'!D148</f>
        <v>0</v>
      </c>
      <c r="O1413" s="194"/>
      <c r="P1413" s="196" t="str">
        <f>'Supply chain'!E148</f>
        <v>Tier 2</v>
      </c>
      <c r="Q1413" s="196">
        <f>'Supply chain'!F148</f>
        <v>0</v>
      </c>
      <c r="R1413" s="196">
        <f>'Supply chain'!G148</f>
        <v>0</v>
      </c>
      <c r="S1413" s="196" t="str">
        <f>'Supply chain'!H148</f>
        <v>£</v>
      </c>
      <c r="T1413" s="196">
        <f>'Supply chain'!I148</f>
        <v>0</v>
      </c>
      <c r="U1413" s="196" t="str">
        <f>'Supply chain'!J148</f>
        <v>£</v>
      </c>
      <c r="V1413" s="196" t="str">
        <f>'Supply chain'!K148</f>
        <v/>
      </c>
      <c r="W1413" s="196">
        <f>'Supply chain'!L148</f>
        <v>0</v>
      </c>
      <c r="X1413" s="193">
        <f>'Supply chain'!M148</f>
        <v>0</v>
      </c>
      <c r="Y1413" s="196">
        <f>'Supply chain'!N148</f>
        <v>0</v>
      </c>
      <c r="Z1413" s="196">
        <f>'Supply chain'!O148</f>
        <v>0</v>
      </c>
      <c r="AA1413" s="196">
        <f>'Supply chain'!P148</f>
        <v>0</v>
      </c>
      <c r="AB1413" s="196">
        <f>'Supply chain'!Q148</f>
        <v>0</v>
      </c>
      <c r="AC1413" s="196">
        <f>'Supply chain'!R148</f>
        <v>0</v>
      </c>
      <c r="AD1413" s="196">
        <f>'Supply chain'!S148</f>
        <v>0</v>
      </c>
      <c r="AE1413" s="196" t="str">
        <f>'Supply chain'!T148</f>
        <v/>
      </c>
      <c r="AF1413" s="196" t="str">
        <f>'Supply chain'!U148</f>
        <v/>
      </c>
      <c r="AG1413" s="196">
        <f>'Supply chain'!V148</f>
        <v>0</v>
      </c>
      <c r="AI1413" s="193">
        <f t="shared" si="30"/>
        <v>0</v>
      </c>
      <c r="AJ1413" s="193">
        <f t="shared" si="31"/>
        <v>0</v>
      </c>
    </row>
    <row r="1414" spans="2:36" x14ac:dyDescent="0.35">
      <c r="B1414" s="193" t="e">
        <f>"2024"&amp;MATCH(Totals!D1414,OrgType,0)&amp;"_"&amp;MATCH(Totals!E1414,Organisations,0)&amp;"_"&amp;LEFT(Totals!F1414,1)&amp;"_"&amp;LEFT(G1414,1)&amp;"_"&amp;COUNTIF($G$3:G1414,G1414)</f>
        <v>#N/A</v>
      </c>
      <c r="C1414" s="193">
        <v>2025</v>
      </c>
      <c r="D1414" s="193">
        <f>Introduction!$D$7</f>
        <v>0</v>
      </c>
      <c r="E1414" s="193">
        <f>Introduction!$D$8</f>
        <v>0</v>
      </c>
      <c r="F1414" s="193" t="s">
        <v>493</v>
      </c>
      <c r="G1414" s="193" t="s">
        <v>493</v>
      </c>
      <c r="H1414" s="194"/>
      <c r="I1414" s="194"/>
      <c r="J1414" s="196" t="str">
        <f>'Supply chain'!B149</f>
        <v/>
      </c>
      <c r="K1414" s="194"/>
      <c r="L1414" s="194"/>
      <c r="M1414" s="196" t="str">
        <f>'Supply chain'!C149</f>
        <v/>
      </c>
      <c r="N1414" s="196">
        <f>'Supply chain'!D149</f>
        <v>0</v>
      </c>
      <c r="O1414" s="194"/>
      <c r="P1414" s="196" t="str">
        <f>'Supply chain'!E149</f>
        <v>Tier 2</v>
      </c>
      <c r="Q1414" s="196">
        <f>'Supply chain'!F149</f>
        <v>0</v>
      </c>
      <c r="R1414" s="196">
        <f>'Supply chain'!G149</f>
        <v>0</v>
      </c>
      <c r="S1414" s="196" t="str">
        <f>'Supply chain'!H149</f>
        <v>£</v>
      </c>
      <c r="T1414" s="196">
        <f>'Supply chain'!I149</f>
        <v>0</v>
      </c>
      <c r="U1414" s="196" t="str">
        <f>'Supply chain'!J149</f>
        <v>£</v>
      </c>
      <c r="V1414" s="196" t="str">
        <f>'Supply chain'!K149</f>
        <v/>
      </c>
      <c r="W1414" s="196">
        <f>'Supply chain'!L149</f>
        <v>0</v>
      </c>
      <c r="X1414" s="193">
        <f>'Supply chain'!M149</f>
        <v>0</v>
      </c>
      <c r="Y1414" s="196">
        <f>'Supply chain'!N149</f>
        <v>0</v>
      </c>
      <c r="Z1414" s="196">
        <f>'Supply chain'!O149</f>
        <v>0</v>
      </c>
      <c r="AA1414" s="196">
        <f>'Supply chain'!P149</f>
        <v>0</v>
      </c>
      <c r="AB1414" s="196">
        <f>'Supply chain'!Q149</f>
        <v>0</v>
      </c>
      <c r="AC1414" s="196">
        <f>'Supply chain'!R149</f>
        <v>0</v>
      </c>
      <c r="AD1414" s="196">
        <f>'Supply chain'!S149</f>
        <v>0</v>
      </c>
      <c r="AE1414" s="196" t="str">
        <f>'Supply chain'!T149</f>
        <v/>
      </c>
      <c r="AF1414" s="196" t="str">
        <f>'Supply chain'!U149</f>
        <v/>
      </c>
      <c r="AG1414" s="196">
        <f>'Supply chain'!V149</f>
        <v>0</v>
      </c>
      <c r="AI1414" s="193">
        <f t="shared" si="30"/>
        <v>0</v>
      </c>
      <c r="AJ1414" s="193">
        <f t="shared" si="31"/>
        <v>0</v>
      </c>
    </row>
    <row r="1415" spans="2:36" x14ac:dyDescent="0.35">
      <c r="B1415" s="193" t="e">
        <f>"2024"&amp;MATCH(Totals!D1415,OrgType,0)&amp;"_"&amp;MATCH(Totals!E1415,Organisations,0)&amp;"_"&amp;LEFT(Totals!F1415,1)&amp;"_"&amp;LEFT(G1415,1)&amp;"_"&amp;COUNTIF($G$3:G1415,G1415)</f>
        <v>#N/A</v>
      </c>
      <c r="C1415" s="193">
        <v>2025</v>
      </c>
      <c r="D1415" s="193">
        <f>Introduction!$D$7</f>
        <v>0</v>
      </c>
      <c r="E1415" s="193">
        <f>Introduction!$D$8</f>
        <v>0</v>
      </c>
      <c r="F1415" s="193" t="s">
        <v>493</v>
      </c>
      <c r="G1415" s="193" t="s">
        <v>493</v>
      </c>
      <c r="H1415" s="194"/>
      <c r="I1415" s="194"/>
      <c r="J1415" s="196" t="str">
        <f>'Supply chain'!B150</f>
        <v/>
      </c>
      <c r="K1415" s="194"/>
      <c r="L1415" s="194"/>
      <c r="M1415" s="196" t="str">
        <f>'Supply chain'!C150</f>
        <v/>
      </c>
      <c r="N1415" s="196">
        <f>'Supply chain'!D150</f>
        <v>0</v>
      </c>
      <c r="O1415" s="194"/>
      <c r="P1415" s="196" t="str">
        <f>'Supply chain'!E150</f>
        <v>Tier 2</v>
      </c>
      <c r="Q1415" s="196">
        <f>'Supply chain'!F150</f>
        <v>0</v>
      </c>
      <c r="R1415" s="196">
        <f>'Supply chain'!G150</f>
        <v>0</v>
      </c>
      <c r="S1415" s="196" t="str">
        <f>'Supply chain'!H150</f>
        <v>£</v>
      </c>
      <c r="T1415" s="196">
        <f>'Supply chain'!I150</f>
        <v>0</v>
      </c>
      <c r="U1415" s="196" t="str">
        <f>'Supply chain'!J150</f>
        <v>£</v>
      </c>
      <c r="V1415" s="196" t="str">
        <f>'Supply chain'!K150</f>
        <v/>
      </c>
      <c r="W1415" s="196">
        <f>'Supply chain'!L150</f>
        <v>0</v>
      </c>
      <c r="X1415" s="193">
        <f>'Supply chain'!M150</f>
        <v>0</v>
      </c>
      <c r="Y1415" s="196">
        <f>'Supply chain'!N150</f>
        <v>0</v>
      </c>
      <c r="Z1415" s="196">
        <f>'Supply chain'!O150</f>
        <v>0</v>
      </c>
      <c r="AA1415" s="196">
        <f>'Supply chain'!P150</f>
        <v>0</v>
      </c>
      <c r="AB1415" s="196">
        <f>'Supply chain'!Q150</f>
        <v>0</v>
      </c>
      <c r="AC1415" s="196">
        <f>'Supply chain'!R150</f>
        <v>0</v>
      </c>
      <c r="AD1415" s="196">
        <f>'Supply chain'!S150</f>
        <v>0</v>
      </c>
      <c r="AE1415" s="196" t="str">
        <f>'Supply chain'!T150</f>
        <v/>
      </c>
      <c r="AF1415" s="196" t="str">
        <f>'Supply chain'!U150</f>
        <v/>
      </c>
      <c r="AG1415" s="196">
        <f>'Supply chain'!V150</f>
        <v>0</v>
      </c>
      <c r="AI1415" s="193">
        <f t="shared" si="30"/>
        <v>0</v>
      </c>
      <c r="AJ1415" s="193">
        <f t="shared" si="31"/>
        <v>0</v>
      </c>
    </row>
    <row r="1416" spans="2:36" x14ac:dyDescent="0.35">
      <c r="B1416" s="193" t="e">
        <f>"2024"&amp;MATCH(Totals!D1416,OrgType,0)&amp;"_"&amp;MATCH(Totals!E1416,Organisations,0)&amp;"_"&amp;LEFT(Totals!F1416,1)&amp;"_"&amp;LEFT(G1416,1)&amp;"_"&amp;COUNTIF($G$3:G1416,G1416)</f>
        <v>#N/A</v>
      </c>
      <c r="C1416" s="193">
        <v>2025</v>
      </c>
      <c r="D1416" s="193">
        <f>Introduction!$D$7</f>
        <v>0</v>
      </c>
      <c r="E1416" s="193">
        <f>Introduction!$D$8</f>
        <v>0</v>
      </c>
      <c r="F1416" s="193" t="s">
        <v>493</v>
      </c>
      <c r="G1416" s="193" t="s">
        <v>493</v>
      </c>
      <c r="H1416" s="194"/>
      <c r="I1416" s="194"/>
      <c r="J1416" s="196" t="str">
        <f>'Supply chain'!B151</f>
        <v/>
      </c>
      <c r="K1416" s="194"/>
      <c r="L1416" s="194"/>
      <c r="M1416" s="196" t="str">
        <f>'Supply chain'!C151</f>
        <v/>
      </c>
      <c r="N1416" s="196">
        <f>'Supply chain'!D151</f>
        <v>0</v>
      </c>
      <c r="O1416" s="194"/>
      <c r="P1416" s="196" t="str">
        <f>'Supply chain'!E151</f>
        <v>Tier 2</v>
      </c>
      <c r="Q1416" s="196">
        <f>'Supply chain'!F151</f>
        <v>0</v>
      </c>
      <c r="R1416" s="196">
        <f>'Supply chain'!G151</f>
        <v>0</v>
      </c>
      <c r="S1416" s="196" t="str">
        <f>'Supply chain'!H151</f>
        <v>£</v>
      </c>
      <c r="T1416" s="196">
        <f>'Supply chain'!I151</f>
        <v>0</v>
      </c>
      <c r="U1416" s="196" t="str">
        <f>'Supply chain'!J151</f>
        <v>£</v>
      </c>
      <c r="V1416" s="196" t="str">
        <f>'Supply chain'!K151</f>
        <v/>
      </c>
      <c r="W1416" s="196">
        <f>'Supply chain'!L151</f>
        <v>0</v>
      </c>
      <c r="X1416" s="193">
        <f>'Supply chain'!M151</f>
        <v>0</v>
      </c>
      <c r="Y1416" s="196">
        <f>'Supply chain'!N151</f>
        <v>0</v>
      </c>
      <c r="Z1416" s="196">
        <f>'Supply chain'!O151</f>
        <v>0</v>
      </c>
      <c r="AA1416" s="196">
        <f>'Supply chain'!P151</f>
        <v>0</v>
      </c>
      <c r="AB1416" s="196">
        <f>'Supply chain'!Q151</f>
        <v>0</v>
      </c>
      <c r="AC1416" s="196">
        <f>'Supply chain'!R151</f>
        <v>0</v>
      </c>
      <c r="AD1416" s="196">
        <f>'Supply chain'!S151</f>
        <v>0</v>
      </c>
      <c r="AE1416" s="196" t="str">
        <f>'Supply chain'!T151</f>
        <v/>
      </c>
      <c r="AF1416" s="196" t="str">
        <f>'Supply chain'!U151</f>
        <v/>
      </c>
      <c r="AG1416" s="196">
        <f>'Supply chain'!V151</f>
        <v>0</v>
      </c>
      <c r="AI1416" s="193">
        <f t="shared" si="30"/>
        <v>0</v>
      </c>
      <c r="AJ1416" s="193">
        <f t="shared" si="31"/>
        <v>0</v>
      </c>
    </row>
    <row r="1417" spans="2:36" x14ac:dyDescent="0.35">
      <c r="B1417" s="193" t="e">
        <f>"2024"&amp;MATCH(Totals!D1417,OrgType,0)&amp;"_"&amp;MATCH(Totals!E1417,Organisations,0)&amp;"_"&amp;LEFT(Totals!F1417,1)&amp;"_"&amp;LEFT(G1417,1)&amp;"_"&amp;COUNTIF($G$3:G1417,G1417)</f>
        <v>#N/A</v>
      </c>
      <c r="C1417" s="193">
        <v>2025</v>
      </c>
      <c r="D1417" s="193">
        <f>Introduction!$D$7</f>
        <v>0</v>
      </c>
      <c r="E1417" s="193">
        <f>Introduction!$D$8</f>
        <v>0</v>
      </c>
      <c r="F1417" s="193" t="s">
        <v>493</v>
      </c>
      <c r="G1417" s="193" t="s">
        <v>493</v>
      </c>
      <c r="H1417" s="194"/>
      <c r="I1417" s="194"/>
      <c r="J1417" s="196" t="str">
        <f>'Supply chain'!B152</f>
        <v/>
      </c>
      <c r="K1417" s="194"/>
      <c r="L1417" s="194"/>
      <c r="M1417" s="196" t="str">
        <f>'Supply chain'!C152</f>
        <v/>
      </c>
      <c r="N1417" s="196">
        <f>'Supply chain'!D152</f>
        <v>0</v>
      </c>
      <c r="O1417" s="194"/>
      <c r="P1417" s="196" t="str">
        <f>'Supply chain'!E152</f>
        <v>Tier 2</v>
      </c>
      <c r="Q1417" s="196">
        <f>'Supply chain'!F152</f>
        <v>0</v>
      </c>
      <c r="R1417" s="196">
        <f>'Supply chain'!G152</f>
        <v>0</v>
      </c>
      <c r="S1417" s="196" t="str">
        <f>'Supply chain'!H152</f>
        <v>£</v>
      </c>
      <c r="T1417" s="196">
        <f>'Supply chain'!I152</f>
        <v>0</v>
      </c>
      <c r="U1417" s="196" t="str">
        <f>'Supply chain'!J152</f>
        <v>£</v>
      </c>
      <c r="V1417" s="196" t="str">
        <f>'Supply chain'!K152</f>
        <v/>
      </c>
      <c r="W1417" s="196">
        <f>'Supply chain'!L152</f>
        <v>0</v>
      </c>
      <c r="X1417" s="193">
        <f>'Supply chain'!M152</f>
        <v>0</v>
      </c>
      <c r="Y1417" s="196">
        <f>'Supply chain'!N152</f>
        <v>0</v>
      </c>
      <c r="Z1417" s="196">
        <f>'Supply chain'!O152</f>
        <v>0</v>
      </c>
      <c r="AA1417" s="196">
        <f>'Supply chain'!P152</f>
        <v>0</v>
      </c>
      <c r="AB1417" s="196">
        <f>'Supply chain'!Q152</f>
        <v>0</v>
      </c>
      <c r="AC1417" s="196">
        <f>'Supply chain'!R152</f>
        <v>0</v>
      </c>
      <c r="AD1417" s="196">
        <f>'Supply chain'!S152</f>
        <v>0</v>
      </c>
      <c r="AE1417" s="196" t="str">
        <f>'Supply chain'!T152</f>
        <v/>
      </c>
      <c r="AF1417" s="196" t="str">
        <f>'Supply chain'!U152</f>
        <v/>
      </c>
      <c r="AG1417" s="196">
        <f>'Supply chain'!V152</f>
        <v>0</v>
      </c>
      <c r="AI1417" s="193">
        <f t="shared" si="30"/>
        <v>0</v>
      </c>
      <c r="AJ1417" s="193">
        <f t="shared" si="31"/>
        <v>0</v>
      </c>
    </row>
    <row r="1418" spans="2:36" x14ac:dyDescent="0.35">
      <c r="B1418" s="193" t="e">
        <f>"2024"&amp;MATCH(Totals!D1418,OrgType,0)&amp;"_"&amp;MATCH(Totals!E1418,Organisations,0)&amp;"_"&amp;LEFT(Totals!F1418,1)&amp;"_"&amp;LEFT(G1418,1)&amp;"_"&amp;COUNTIF($G$3:G1418,G1418)</f>
        <v>#N/A</v>
      </c>
      <c r="C1418" s="193">
        <v>2025</v>
      </c>
      <c r="D1418" s="193">
        <f>Introduction!$D$7</f>
        <v>0</v>
      </c>
      <c r="E1418" s="193">
        <f>Introduction!$D$8</f>
        <v>0</v>
      </c>
      <c r="F1418" s="193" t="s">
        <v>493</v>
      </c>
      <c r="G1418" s="193" t="s">
        <v>493</v>
      </c>
      <c r="H1418" s="194"/>
      <c r="I1418" s="194"/>
      <c r="J1418" s="196" t="str">
        <f>'Supply chain'!B153</f>
        <v/>
      </c>
      <c r="K1418" s="194"/>
      <c r="L1418" s="194"/>
      <c r="M1418" s="196" t="str">
        <f>'Supply chain'!C153</f>
        <v/>
      </c>
      <c r="N1418" s="196">
        <f>'Supply chain'!D153</f>
        <v>0</v>
      </c>
      <c r="O1418" s="194"/>
      <c r="P1418" s="196" t="str">
        <f>'Supply chain'!E153</f>
        <v>Tier 2</v>
      </c>
      <c r="Q1418" s="196">
        <f>'Supply chain'!F153</f>
        <v>0</v>
      </c>
      <c r="R1418" s="196">
        <f>'Supply chain'!G153</f>
        <v>0</v>
      </c>
      <c r="S1418" s="196" t="str">
        <f>'Supply chain'!H153</f>
        <v>£</v>
      </c>
      <c r="T1418" s="196">
        <f>'Supply chain'!I153</f>
        <v>0</v>
      </c>
      <c r="U1418" s="196" t="str">
        <f>'Supply chain'!J153</f>
        <v>£</v>
      </c>
      <c r="V1418" s="196" t="str">
        <f>'Supply chain'!K153</f>
        <v/>
      </c>
      <c r="W1418" s="196">
        <f>'Supply chain'!L153</f>
        <v>0</v>
      </c>
      <c r="X1418" s="193">
        <f>'Supply chain'!M153</f>
        <v>0</v>
      </c>
      <c r="Y1418" s="196">
        <f>'Supply chain'!N153</f>
        <v>0</v>
      </c>
      <c r="Z1418" s="196">
        <f>'Supply chain'!O153</f>
        <v>0</v>
      </c>
      <c r="AA1418" s="196">
        <f>'Supply chain'!P153</f>
        <v>0</v>
      </c>
      <c r="AB1418" s="196">
        <f>'Supply chain'!Q153</f>
        <v>0</v>
      </c>
      <c r="AC1418" s="196">
        <f>'Supply chain'!R153</f>
        <v>0</v>
      </c>
      <c r="AD1418" s="196">
        <f>'Supply chain'!S153</f>
        <v>0</v>
      </c>
      <c r="AE1418" s="196" t="str">
        <f>'Supply chain'!T153</f>
        <v/>
      </c>
      <c r="AF1418" s="196" t="str">
        <f>'Supply chain'!U153</f>
        <v/>
      </c>
      <c r="AG1418" s="196">
        <f>'Supply chain'!V153</f>
        <v>0</v>
      </c>
      <c r="AI1418" s="193">
        <f t="shared" si="30"/>
        <v>0</v>
      </c>
      <c r="AJ1418" s="193">
        <f t="shared" si="31"/>
        <v>0</v>
      </c>
    </row>
    <row r="1419" spans="2:36" x14ac:dyDescent="0.35">
      <c r="B1419" s="193" t="e">
        <f>"2024"&amp;MATCH(Totals!D1419,OrgType,0)&amp;"_"&amp;MATCH(Totals!E1419,Organisations,0)&amp;"_"&amp;LEFT(Totals!F1419,1)&amp;"_"&amp;LEFT(G1419,1)&amp;"_"&amp;COUNTIF($G$3:G1419,G1419)</f>
        <v>#N/A</v>
      </c>
      <c r="C1419" s="193">
        <v>2025</v>
      </c>
      <c r="D1419" s="193">
        <f>Introduction!$D$7</f>
        <v>0</v>
      </c>
      <c r="E1419" s="193">
        <f>Introduction!$D$8</f>
        <v>0</v>
      </c>
      <c r="F1419" s="193" t="s">
        <v>493</v>
      </c>
      <c r="G1419" s="193" t="s">
        <v>493</v>
      </c>
      <c r="H1419" s="194"/>
      <c r="I1419" s="194"/>
      <c r="J1419" s="196" t="str">
        <f>'Supply chain'!B154</f>
        <v/>
      </c>
      <c r="K1419" s="194"/>
      <c r="L1419" s="194"/>
      <c r="M1419" s="196" t="str">
        <f>'Supply chain'!C154</f>
        <v/>
      </c>
      <c r="N1419" s="196">
        <f>'Supply chain'!D154</f>
        <v>0</v>
      </c>
      <c r="O1419" s="194"/>
      <c r="P1419" s="196" t="str">
        <f>'Supply chain'!E154</f>
        <v>Tier 2</v>
      </c>
      <c r="Q1419" s="196">
        <f>'Supply chain'!F154</f>
        <v>0</v>
      </c>
      <c r="R1419" s="196">
        <f>'Supply chain'!G154</f>
        <v>0</v>
      </c>
      <c r="S1419" s="196" t="str">
        <f>'Supply chain'!H154</f>
        <v>£</v>
      </c>
      <c r="T1419" s="196">
        <f>'Supply chain'!I154</f>
        <v>0</v>
      </c>
      <c r="U1419" s="196" t="str">
        <f>'Supply chain'!J154</f>
        <v>£</v>
      </c>
      <c r="V1419" s="196" t="str">
        <f>'Supply chain'!K154</f>
        <v/>
      </c>
      <c r="W1419" s="196">
        <f>'Supply chain'!L154</f>
        <v>0</v>
      </c>
      <c r="X1419" s="193">
        <f>'Supply chain'!M154</f>
        <v>0</v>
      </c>
      <c r="Y1419" s="196">
        <f>'Supply chain'!N154</f>
        <v>0</v>
      </c>
      <c r="Z1419" s="196">
        <f>'Supply chain'!O154</f>
        <v>0</v>
      </c>
      <c r="AA1419" s="196">
        <f>'Supply chain'!P154</f>
        <v>0</v>
      </c>
      <c r="AB1419" s="196">
        <f>'Supply chain'!Q154</f>
        <v>0</v>
      </c>
      <c r="AC1419" s="196">
        <f>'Supply chain'!R154</f>
        <v>0</v>
      </c>
      <c r="AD1419" s="196">
        <f>'Supply chain'!S154</f>
        <v>0</v>
      </c>
      <c r="AE1419" s="196" t="str">
        <f>'Supply chain'!T154</f>
        <v/>
      </c>
      <c r="AF1419" s="196" t="str">
        <f>'Supply chain'!U154</f>
        <v/>
      </c>
      <c r="AG1419" s="196">
        <f>'Supply chain'!V154</f>
        <v>0</v>
      </c>
      <c r="AI1419" s="193">
        <f t="shared" si="30"/>
        <v>0</v>
      </c>
      <c r="AJ1419" s="193">
        <f t="shared" si="31"/>
        <v>0</v>
      </c>
    </row>
    <row r="1420" spans="2:36" x14ac:dyDescent="0.35">
      <c r="B1420" s="193" t="e">
        <f>"2024"&amp;MATCH(Totals!D1420,OrgType,0)&amp;"_"&amp;MATCH(Totals!E1420,Organisations,0)&amp;"_"&amp;LEFT(Totals!F1420,1)&amp;"_"&amp;LEFT(G1420,1)&amp;"_"&amp;COUNTIF($G$3:G1420,G1420)</f>
        <v>#N/A</v>
      </c>
      <c r="C1420" s="193">
        <v>2025</v>
      </c>
      <c r="D1420" s="193">
        <f>Introduction!$D$7</f>
        <v>0</v>
      </c>
      <c r="E1420" s="193">
        <f>Introduction!$D$8</f>
        <v>0</v>
      </c>
      <c r="F1420" s="193" t="s">
        <v>493</v>
      </c>
      <c r="G1420" s="193" t="s">
        <v>493</v>
      </c>
      <c r="H1420" s="194"/>
      <c r="I1420" s="194"/>
      <c r="J1420" s="196" t="str">
        <f>'Supply chain'!B155</f>
        <v/>
      </c>
      <c r="K1420" s="194"/>
      <c r="L1420" s="194"/>
      <c r="M1420" s="196" t="str">
        <f>'Supply chain'!C155</f>
        <v/>
      </c>
      <c r="N1420" s="196">
        <f>'Supply chain'!D155</f>
        <v>0</v>
      </c>
      <c r="O1420" s="194"/>
      <c r="P1420" s="196" t="str">
        <f>'Supply chain'!E155</f>
        <v>Tier 2</v>
      </c>
      <c r="Q1420" s="196">
        <f>'Supply chain'!F155</f>
        <v>0</v>
      </c>
      <c r="R1420" s="196">
        <f>'Supply chain'!G155</f>
        <v>0</v>
      </c>
      <c r="S1420" s="196" t="str">
        <f>'Supply chain'!H155</f>
        <v>£</v>
      </c>
      <c r="T1420" s="196">
        <f>'Supply chain'!I155</f>
        <v>0</v>
      </c>
      <c r="U1420" s="196" t="str">
        <f>'Supply chain'!J155</f>
        <v>£</v>
      </c>
      <c r="V1420" s="196" t="str">
        <f>'Supply chain'!K155</f>
        <v/>
      </c>
      <c r="W1420" s="196">
        <f>'Supply chain'!L155</f>
        <v>0</v>
      </c>
      <c r="X1420" s="193">
        <f>'Supply chain'!M155</f>
        <v>0</v>
      </c>
      <c r="Y1420" s="196">
        <f>'Supply chain'!N155</f>
        <v>0</v>
      </c>
      <c r="Z1420" s="196">
        <f>'Supply chain'!O155</f>
        <v>0</v>
      </c>
      <c r="AA1420" s="196">
        <f>'Supply chain'!P155</f>
        <v>0</v>
      </c>
      <c r="AB1420" s="196">
        <f>'Supply chain'!Q155</f>
        <v>0</v>
      </c>
      <c r="AC1420" s="196">
        <f>'Supply chain'!R155</f>
        <v>0</v>
      </c>
      <c r="AD1420" s="196">
        <f>'Supply chain'!S155</f>
        <v>0</v>
      </c>
      <c r="AE1420" s="196" t="str">
        <f>'Supply chain'!T155</f>
        <v/>
      </c>
      <c r="AF1420" s="196" t="str">
        <f>'Supply chain'!U155</f>
        <v/>
      </c>
      <c r="AG1420" s="196">
        <f>'Supply chain'!V155</f>
        <v>0</v>
      </c>
      <c r="AI1420" s="193">
        <f t="shared" si="30"/>
        <v>0</v>
      </c>
      <c r="AJ1420" s="193">
        <f t="shared" si="31"/>
        <v>0</v>
      </c>
    </row>
    <row r="1421" spans="2:36" x14ac:dyDescent="0.35">
      <c r="B1421" s="193" t="e">
        <f>"2024"&amp;MATCH(Totals!D1421,OrgType,0)&amp;"_"&amp;MATCH(Totals!E1421,Organisations,0)&amp;"_"&amp;LEFT(Totals!F1421,1)&amp;"_"&amp;LEFT(G1421,1)&amp;"_"&amp;COUNTIF($G$3:G1421,G1421)</f>
        <v>#N/A</v>
      </c>
      <c r="C1421" s="193">
        <v>2025</v>
      </c>
      <c r="D1421" s="193">
        <f>Introduction!$D$7</f>
        <v>0</v>
      </c>
      <c r="E1421" s="193">
        <f>Introduction!$D$8</f>
        <v>0</v>
      </c>
      <c r="F1421" s="193" t="s">
        <v>493</v>
      </c>
      <c r="G1421" s="193" t="s">
        <v>493</v>
      </c>
      <c r="H1421" s="194"/>
      <c r="I1421" s="194"/>
      <c r="J1421" s="196" t="str">
        <f>'Supply chain'!B156</f>
        <v/>
      </c>
      <c r="K1421" s="194"/>
      <c r="L1421" s="194"/>
      <c r="M1421" s="196" t="str">
        <f>'Supply chain'!C156</f>
        <v/>
      </c>
      <c r="N1421" s="196">
        <f>'Supply chain'!D156</f>
        <v>0</v>
      </c>
      <c r="O1421" s="194"/>
      <c r="P1421" s="196" t="str">
        <f>'Supply chain'!E156</f>
        <v>Tier 2</v>
      </c>
      <c r="Q1421" s="196">
        <f>'Supply chain'!F156</f>
        <v>0</v>
      </c>
      <c r="R1421" s="196">
        <f>'Supply chain'!G156</f>
        <v>0</v>
      </c>
      <c r="S1421" s="196" t="str">
        <f>'Supply chain'!H156</f>
        <v>£</v>
      </c>
      <c r="T1421" s="196">
        <f>'Supply chain'!I156</f>
        <v>0</v>
      </c>
      <c r="U1421" s="196" t="str">
        <f>'Supply chain'!J156</f>
        <v>£</v>
      </c>
      <c r="V1421" s="196" t="str">
        <f>'Supply chain'!K156</f>
        <v/>
      </c>
      <c r="W1421" s="196">
        <f>'Supply chain'!L156</f>
        <v>0</v>
      </c>
      <c r="X1421" s="193">
        <f>'Supply chain'!M156</f>
        <v>0</v>
      </c>
      <c r="Y1421" s="196">
        <f>'Supply chain'!N156</f>
        <v>0</v>
      </c>
      <c r="Z1421" s="196">
        <f>'Supply chain'!O156</f>
        <v>0</v>
      </c>
      <c r="AA1421" s="196">
        <f>'Supply chain'!P156</f>
        <v>0</v>
      </c>
      <c r="AB1421" s="196">
        <f>'Supply chain'!Q156</f>
        <v>0</v>
      </c>
      <c r="AC1421" s="196">
        <f>'Supply chain'!R156</f>
        <v>0</v>
      </c>
      <c r="AD1421" s="196">
        <f>'Supply chain'!S156</f>
        <v>0</v>
      </c>
      <c r="AE1421" s="196" t="str">
        <f>'Supply chain'!T156</f>
        <v/>
      </c>
      <c r="AF1421" s="196" t="str">
        <f>'Supply chain'!U156</f>
        <v/>
      </c>
      <c r="AG1421" s="196">
        <f>'Supply chain'!V156</f>
        <v>0</v>
      </c>
      <c r="AI1421" s="193">
        <f t="shared" ref="AI1421:AI1484" si="32">IF(AND(V1421="",R1421&lt;&gt;0),1,0)</f>
        <v>0</v>
      </c>
      <c r="AJ1421" s="193">
        <f t="shared" ref="AJ1421:AJ1484" si="33">IF(AND(W1421="",R1421&lt;&gt;0),1,0)</f>
        <v>0</v>
      </c>
    </row>
    <row r="1422" spans="2:36" x14ac:dyDescent="0.35">
      <c r="B1422" s="193" t="e">
        <f>"2024"&amp;MATCH(Totals!D1422,OrgType,0)&amp;"_"&amp;MATCH(Totals!E1422,Organisations,0)&amp;"_"&amp;LEFT(Totals!F1422,1)&amp;"_"&amp;LEFT(G1422,1)&amp;"_"&amp;COUNTIF($G$3:G1422,G1422)</f>
        <v>#N/A</v>
      </c>
      <c r="C1422" s="193">
        <v>2025</v>
      </c>
      <c r="D1422" s="193">
        <f>Introduction!$D$7</f>
        <v>0</v>
      </c>
      <c r="E1422" s="193">
        <f>Introduction!$D$8</f>
        <v>0</v>
      </c>
      <c r="F1422" s="193" t="s">
        <v>493</v>
      </c>
      <c r="G1422" s="193" t="s">
        <v>493</v>
      </c>
      <c r="H1422" s="194"/>
      <c r="I1422" s="194"/>
      <c r="J1422" s="196" t="str">
        <f>'Supply chain'!B157</f>
        <v/>
      </c>
      <c r="K1422" s="194"/>
      <c r="L1422" s="194"/>
      <c r="M1422" s="196" t="str">
        <f>'Supply chain'!C157</f>
        <v/>
      </c>
      <c r="N1422" s="196">
        <f>'Supply chain'!D157</f>
        <v>0</v>
      </c>
      <c r="O1422" s="194"/>
      <c r="P1422" s="196" t="str">
        <f>'Supply chain'!E157</f>
        <v>Tier 2</v>
      </c>
      <c r="Q1422" s="196">
        <f>'Supply chain'!F157</f>
        <v>0</v>
      </c>
      <c r="R1422" s="196">
        <f>'Supply chain'!G157</f>
        <v>0</v>
      </c>
      <c r="S1422" s="196" t="str">
        <f>'Supply chain'!H157</f>
        <v>£</v>
      </c>
      <c r="T1422" s="196">
        <f>'Supply chain'!I157</f>
        <v>0</v>
      </c>
      <c r="U1422" s="196" t="str">
        <f>'Supply chain'!J157</f>
        <v>£</v>
      </c>
      <c r="V1422" s="196" t="str">
        <f>'Supply chain'!K157</f>
        <v/>
      </c>
      <c r="W1422" s="196">
        <f>'Supply chain'!L157</f>
        <v>0</v>
      </c>
      <c r="X1422" s="193">
        <f>'Supply chain'!M157</f>
        <v>0</v>
      </c>
      <c r="Y1422" s="196">
        <f>'Supply chain'!N157</f>
        <v>0</v>
      </c>
      <c r="Z1422" s="196">
        <f>'Supply chain'!O157</f>
        <v>0</v>
      </c>
      <c r="AA1422" s="196">
        <f>'Supply chain'!P157</f>
        <v>0</v>
      </c>
      <c r="AB1422" s="196">
        <f>'Supply chain'!Q157</f>
        <v>0</v>
      </c>
      <c r="AC1422" s="196">
        <f>'Supply chain'!R157</f>
        <v>0</v>
      </c>
      <c r="AD1422" s="196">
        <f>'Supply chain'!S157</f>
        <v>0</v>
      </c>
      <c r="AE1422" s="196" t="str">
        <f>'Supply chain'!T157</f>
        <v/>
      </c>
      <c r="AF1422" s="196" t="str">
        <f>'Supply chain'!U157</f>
        <v/>
      </c>
      <c r="AG1422" s="196">
        <f>'Supply chain'!V157</f>
        <v>0</v>
      </c>
      <c r="AI1422" s="193">
        <f t="shared" si="32"/>
        <v>0</v>
      </c>
      <c r="AJ1422" s="193">
        <f t="shared" si="33"/>
        <v>0</v>
      </c>
    </row>
    <row r="1423" spans="2:36" x14ac:dyDescent="0.35">
      <c r="B1423" s="193" t="e">
        <f>"2024"&amp;MATCH(Totals!D1423,OrgType,0)&amp;"_"&amp;MATCH(Totals!E1423,Organisations,0)&amp;"_"&amp;LEFT(Totals!F1423,1)&amp;"_"&amp;LEFT(G1423,1)&amp;"_"&amp;COUNTIF($G$3:G1423,G1423)</f>
        <v>#N/A</v>
      </c>
      <c r="C1423" s="193">
        <v>2025</v>
      </c>
      <c r="D1423" s="193">
        <f>Introduction!$D$7</f>
        <v>0</v>
      </c>
      <c r="E1423" s="193">
        <f>Introduction!$D$8</f>
        <v>0</v>
      </c>
      <c r="F1423" s="193" t="s">
        <v>493</v>
      </c>
      <c r="G1423" s="193" t="s">
        <v>493</v>
      </c>
      <c r="H1423" s="194"/>
      <c r="I1423" s="194"/>
      <c r="J1423" s="196" t="str">
        <f>'Supply chain'!B158</f>
        <v/>
      </c>
      <c r="K1423" s="194"/>
      <c r="L1423" s="194"/>
      <c r="M1423" s="196" t="str">
        <f>'Supply chain'!C158</f>
        <v/>
      </c>
      <c r="N1423" s="196">
        <f>'Supply chain'!D158</f>
        <v>0</v>
      </c>
      <c r="O1423" s="194"/>
      <c r="P1423" s="196" t="str">
        <f>'Supply chain'!E158</f>
        <v>Tier 2</v>
      </c>
      <c r="Q1423" s="196">
        <f>'Supply chain'!F158</f>
        <v>0</v>
      </c>
      <c r="R1423" s="196">
        <f>'Supply chain'!G158</f>
        <v>0</v>
      </c>
      <c r="S1423" s="196" t="str">
        <f>'Supply chain'!H158</f>
        <v>£</v>
      </c>
      <c r="T1423" s="196">
        <f>'Supply chain'!I158</f>
        <v>0</v>
      </c>
      <c r="U1423" s="196" t="str">
        <f>'Supply chain'!J158</f>
        <v>£</v>
      </c>
      <c r="V1423" s="196" t="str">
        <f>'Supply chain'!K158</f>
        <v/>
      </c>
      <c r="W1423" s="196">
        <f>'Supply chain'!L158</f>
        <v>0</v>
      </c>
      <c r="X1423" s="193">
        <f>'Supply chain'!M158</f>
        <v>0</v>
      </c>
      <c r="Y1423" s="196">
        <f>'Supply chain'!N158</f>
        <v>0</v>
      </c>
      <c r="Z1423" s="196">
        <f>'Supply chain'!O158</f>
        <v>0</v>
      </c>
      <c r="AA1423" s="196">
        <f>'Supply chain'!P158</f>
        <v>0</v>
      </c>
      <c r="AB1423" s="196">
        <f>'Supply chain'!Q158</f>
        <v>0</v>
      </c>
      <c r="AC1423" s="196">
        <f>'Supply chain'!R158</f>
        <v>0</v>
      </c>
      <c r="AD1423" s="196">
        <f>'Supply chain'!S158</f>
        <v>0</v>
      </c>
      <c r="AE1423" s="196" t="str">
        <f>'Supply chain'!T158</f>
        <v/>
      </c>
      <c r="AF1423" s="196" t="str">
        <f>'Supply chain'!U158</f>
        <v/>
      </c>
      <c r="AG1423" s="196">
        <f>'Supply chain'!V158</f>
        <v>0</v>
      </c>
      <c r="AI1423" s="193">
        <f t="shared" si="32"/>
        <v>0</v>
      </c>
      <c r="AJ1423" s="193">
        <f t="shared" si="33"/>
        <v>0</v>
      </c>
    </row>
    <row r="1424" spans="2:36" x14ac:dyDescent="0.35">
      <c r="B1424" s="193" t="e">
        <f>"2024"&amp;MATCH(Totals!D1424,OrgType,0)&amp;"_"&amp;MATCH(Totals!E1424,Organisations,0)&amp;"_"&amp;LEFT(Totals!F1424,1)&amp;"_"&amp;LEFT(G1424,1)&amp;"_"&amp;COUNTIF($G$3:G1424,G1424)</f>
        <v>#N/A</v>
      </c>
      <c r="C1424" s="193">
        <v>2025</v>
      </c>
      <c r="D1424" s="193">
        <f>Introduction!$D$7</f>
        <v>0</v>
      </c>
      <c r="E1424" s="193">
        <f>Introduction!$D$8</f>
        <v>0</v>
      </c>
      <c r="F1424" s="193" t="s">
        <v>493</v>
      </c>
      <c r="G1424" s="193" t="s">
        <v>493</v>
      </c>
      <c r="H1424" s="194"/>
      <c r="I1424" s="194"/>
      <c r="J1424" s="196" t="str">
        <f>'Supply chain'!B159</f>
        <v/>
      </c>
      <c r="K1424" s="194"/>
      <c r="L1424" s="194"/>
      <c r="M1424" s="196" t="str">
        <f>'Supply chain'!C159</f>
        <v/>
      </c>
      <c r="N1424" s="196">
        <f>'Supply chain'!D159</f>
        <v>0</v>
      </c>
      <c r="O1424" s="194"/>
      <c r="P1424" s="196" t="str">
        <f>'Supply chain'!E159</f>
        <v>Tier 2</v>
      </c>
      <c r="Q1424" s="196">
        <f>'Supply chain'!F159</f>
        <v>0</v>
      </c>
      <c r="R1424" s="196">
        <f>'Supply chain'!G159</f>
        <v>0</v>
      </c>
      <c r="S1424" s="196" t="str">
        <f>'Supply chain'!H159</f>
        <v>£</v>
      </c>
      <c r="T1424" s="196">
        <f>'Supply chain'!I159</f>
        <v>0</v>
      </c>
      <c r="U1424" s="196" t="str">
        <f>'Supply chain'!J159</f>
        <v>£</v>
      </c>
      <c r="V1424" s="196" t="str">
        <f>'Supply chain'!K159</f>
        <v/>
      </c>
      <c r="W1424" s="196">
        <f>'Supply chain'!L159</f>
        <v>0</v>
      </c>
      <c r="X1424" s="193">
        <f>'Supply chain'!M159</f>
        <v>0</v>
      </c>
      <c r="Y1424" s="196">
        <f>'Supply chain'!N159</f>
        <v>0</v>
      </c>
      <c r="Z1424" s="196">
        <f>'Supply chain'!O159</f>
        <v>0</v>
      </c>
      <c r="AA1424" s="196">
        <f>'Supply chain'!P159</f>
        <v>0</v>
      </c>
      <c r="AB1424" s="196">
        <f>'Supply chain'!Q159</f>
        <v>0</v>
      </c>
      <c r="AC1424" s="196">
        <f>'Supply chain'!R159</f>
        <v>0</v>
      </c>
      <c r="AD1424" s="196">
        <f>'Supply chain'!S159</f>
        <v>0</v>
      </c>
      <c r="AE1424" s="196" t="str">
        <f>'Supply chain'!T159</f>
        <v/>
      </c>
      <c r="AF1424" s="196" t="str">
        <f>'Supply chain'!U159</f>
        <v/>
      </c>
      <c r="AG1424" s="196">
        <f>'Supply chain'!V159</f>
        <v>0</v>
      </c>
      <c r="AI1424" s="193">
        <f t="shared" si="32"/>
        <v>0</v>
      </c>
      <c r="AJ1424" s="193">
        <f t="shared" si="33"/>
        <v>0</v>
      </c>
    </row>
    <row r="1425" spans="2:36" x14ac:dyDescent="0.35">
      <c r="B1425" s="193" t="e">
        <f>"2024"&amp;MATCH(Totals!D1425,OrgType,0)&amp;"_"&amp;MATCH(Totals!E1425,Organisations,0)&amp;"_"&amp;LEFT(Totals!F1425,1)&amp;"_"&amp;LEFT(G1425,1)&amp;"_"&amp;COUNTIF($G$3:G1425,G1425)</f>
        <v>#N/A</v>
      </c>
      <c r="C1425" s="193">
        <v>2025</v>
      </c>
      <c r="D1425" s="193">
        <f>Introduction!$D$7</f>
        <v>0</v>
      </c>
      <c r="E1425" s="193">
        <f>Introduction!$D$8</f>
        <v>0</v>
      </c>
      <c r="F1425" s="193" t="s">
        <v>493</v>
      </c>
      <c r="G1425" s="193" t="s">
        <v>493</v>
      </c>
      <c r="H1425" s="194"/>
      <c r="I1425" s="194"/>
      <c r="J1425" s="196" t="str">
        <f>'Supply chain'!B160</f>
        <v/>
      </c>
      <c r="K1425" s="194"/>
      <c r="L1425" s="194"/>
      <c r="M1425" s="196" t="str">
        <f>'Supply chain'!C160</f>
        <v/>
      </c>
      <c r="N1425" s="196">
        <f>'Supply chain'!D160</f>
        <v>0</v>
      </c>
      <c r="O1425" s="194"/>
      <c r="P1425" s="196" t="str">
        <f>'Supply chain'!E160</f>
        <v>Tier 2</v>
      </c>
      <c r="Q1425" s="196">
        <f>'Supply chain'!F160</f>
        <v>0</v>
      </c>
      <c r="R1425" s="196">
        <f>'Supply chain'!G160</f>
        <v>0</v>
      </c>
      <c r="S1425" s="196" t="str">
        <f>'Supply chain'!H160</f>
        <v>£</v>
      </c>
      <c r="T1425" s="196">
        <f>'Supply chain'!I160</f>
        <v>0</v>
      </c>
      <c r="U1425" s="196" t="str">
        <f>'Supply chain'!J160</f>
        <v>£</v>
      </c>
      <c r="V1425" s="196" t="str">
        <f>'Supply chain'!K160</f>
        <v/>
      </c>
      <c r="W1425" s="196">
        <f>'Supply chain'!L160</f>
        <v>0</v>
      </c>
      <c r="X1425" s="193">
        <f>'Supply chain'!M160</f>
        <v>0</v>
      </c>
      <c r="Y1425" s="196">
        <f>'Supply chain'!N160</f>
        <v>0</v>
      </c>
      <c r="Z1425" s="196">
        <f>'Supply chain'!O160</f>
        <v>0</v>
      </c>
      <c r="AA1425" s="196">
        <f>'Supply chain'!P160</f>
        <v>0</v>
      </c>
      <c r="AB1425" s="196">
        <f>'Supply chain'!Q160</f>
        <v>0</v>
      </c>
      <c r="AC1425" s="196">
        <f>'Supply chain'!R160</f>
        <v>0</v>
      </c>
      <c r="AD1425" s="196">
        <f>'Supply chain'!S160</f>
        <v>0</v>
      </c>
      <c r="AE1425" s="196" t="str">
        <f>'Supply chain'!T160</f>
        <v/>
      </c>
      <c r="AF1425" s="196" t="str">
        <f>'Supply chain'!U160</f>
        <v/>
      </c>
      <c r="AG1425" s="196">
        <f>'Supply chain'!V160</f>
        <v>0</v>
      </c>
      <c r="AI1425" s="193">
        <f t="shared" si="32"/>
        <v>0</v>
      </c>
      <c r="AJ1425" s="193">
        <f t="shared" si="33"/>
        <v>0</v>
      </c>
    </row>
    <row r="1426" spans="2:36" x14ac:dyDescent="0.35">
      <c r="B1426" s="193" t="e">
        <f>"2024"&amp;MATCH(Totals!D1426,OrgType,0)&amp;"_"&amp;MATCH(Totals!E1426,Organisations,0)&amp;"_"&amp;LEFT(Totals!F1426,1)&amp;"_"&amp;LEFT(G1426,1)&amp;"_"&amp;COUNTIF($G$3:G1426,G1426)</f>
        <v>#N/A</v>
      </c>
      <c r="C1426" s="193">
        <v>2025</v>
      </c>
      <c r="D1426" s="193">
        <f>Introduction!$D$7</f>
        <v>0</v>
      </c>
      <c r="E1426" s="193">
        <f>Introduction!$D$8</f>
        <v>0</v>
      </c>
      <c r="F1426" s="193" t="s">
        <v>493</v>
      </c>
      <c r="G1426" s="193" t="s">
        <v>493</v>
      </c>
      <c r="H1426" s="194"/>
      <c r="I1426" s="194"/>
      <c r="J1426" s="196" t="str">
        <f>'Supply chain'!B161</f>
        <v/>
      </c>
      <c r="K1426" s="194"/>
      <c r="L1426" s="194"/>
      <c r="M1426" s="196" t="str">
        <f>'Supply chain'!C161</f>
        <v/>
      </c>
      <c r="N1426" s="196">
        <f>'Supply chain'!D161</f>
        <v>0</v>
      </c>
      <c r="O1426" s="194"/>
      <c r="P1426" s="196" t="str">
        <f>'Supply chain'!E161</f>
        <v>Tier 2</v>
      </c>
      <c r="Q1426" s="196">
        <f>'Supply chain'!F161</f>
        <v>0</v>
      </c>
      <c r="R1426" s="196">
        <f>'Supply chain'!G161</f>
        <v>0</v>
      </c>
      <c r="S1426" s="196" t="str">
        <f>'Supply chain'!H161</f>
        <v>£</v>
      </c>
      <c r="T1426" s="196">
        <f>'Supply chain'!I161</f>
        <v>0</v>
      </c>
      <c r="U1426" s="196" t="str">
        <f>'Supply chain'!J161</f>
        <v>£</v>
      </c>
      <c r="V1426" s="196" t="str">
        <f>'Supply chain'!K161</f>
        <v/>
      </c>
      <c r="W1426" s="196">
        <f>'Supply chain'!L161</f>
        <v>0</v>
      </c>
      <c r="X1426" s="193">
        <f>'Supply chain'!M161</f>
        <v>0</v>
      </c>
      <c r="Y1426" s="196">
        <f>'Supply chain'!N161</f>
        <v>0</v>
      </c>
      <c r="Z1426" s="196">
        <f>'Supply chain'!O161</f>
        <v>0</v>
      </c>
      <c r="AA1426" s="196">
        <f>'Supply chain'!P161</f>
        <v>0</v>
      </c>
      <c r="AB1426" s="196">
        <f>'Supply chain'!Q161</f>
        <v>0</v>
      </c>
      <c r="AC1426" s="196">
        <f>'Supply chain'!R161</f>
        <v>0</v>
      </c>
      <c r="AD1426" s="196">
        <f>'Supply chain'!S161</f>
        <v>0</v>
      </c>
      <c r="AE1426" s="196" t="str">
        <f>'Supply chain'!T161</f>
        <v/>
      </c>
      <c r="AF1426" s="196" t="str">
        <f>'Supply chain'!U161</f>
        <v/>
      </c>
      <c r="AG1426" s="196">
        <f>'Supply chain'!V161</f>
        <v>0</v>
      </c>
      <c r="AI1426" s="193">
        <f t="shared" si="32"/>
        <v>0</v>
      </c>
      <c r="AJ1426" s="193">
        <f t="shared" si="33"/>
        <v>0</v>
      </c>
    </row>
    <row r="1427" spans="2:36" x14ac:dyDescent="0.35">
      <c r="B1427" s="193" t="e">
        <f>"2024"&amp;MATCH(Totals!D1427,OrgType,0)&amp;"_"&amp;MATCH(Totals!E1427,Organisations,0)&amp;"_"&amp;LEFT(Totals!F1427,1)&amp;"_"&amp;LEFT(G1427,1)&amp;"_"&amp;COUNTIF($G$3:G1427,G1427)</f>
        <v>#N/A</v>
      </c>
      <c r="C1427" s="193">
        <v>2025</v>
      </c>
      <c r="D1427" s="193">
        <f>Introduction!$D$7</f>
        <v>0</v>
      </c>
      <c r="E1427" s="193">
        <f>Introduction!$D$8</f>
        <v>0</v>
      </c>
      <c r="F1427" s="193" t="s">
        <v>493</v>
      </c>
      <c r="G1427" s="193" t="s">
        <v>493</v>
      </c>
      <c r="H1427" s="194"/>
      <c r="I1427" s="194"/>
      <c r="J1427" s="196" t="str">
        <f>'Supply chain'!B162</f>
        <v/>
      </c>
      <c r="K1427" s="194"/>
      <c r="L1427" s="194"/>
      <c r="M1427" s="196" t="str">
        <f>'Supply chain'!C162</f>
        <v/>
      </c>
      <c r="N1427" s="196">
        <f>'Supply chain'!D162</f>
        <v>0</v>
      </c>
      <c r="O1427" s="194"/>
      <c r="P1427" s="196" t="str">
        <f>'Supply chain'!E162</f>
        <v>Tier 2</v>
      </c>
      <c r="Q1427" s="196">
        <f>'Supply chain'!F162</f>
        <v>0</v>
      </c>
      <c r="R1427" s="196">
        <f>'Supply chain'!G162</f>
        <v>0</v>
      </c>
      <c r="S1427" s="196" t="str">
        <f>'Supply chain'!H162</f>
        <v>£</v>
      </c>
      <c r="T1427" s="196">
        <f>'Supply chain'!I162</f>
        <v>0</v>
      </c>
      <c r="U1427" s="196" t="str">
        <f>'Supply chain'!J162</f>
        <v>£</v>
      </c>
      <c r="V1427" s="196" t="str">
        <f>'Supply chain'!K162</f>
        <v/>
      </c>
      <c r="W1427" s="196">
        <f>'Supply chain'!L162</f>
        <v>0</v>
      </c>
      <c r="X1427" s="193">
        <f>'Supply chain'!M162</f>
        <v>0</v>
      </c>
      <c r="Y1427" s="196">
        <f>'Supply chain'!N162</f>
        <v>0</v>
      </c>
      <c r="Z1427" s="196">
        <f>'Supply chain'!O162</f>
        <v>0</v>
      </c>
      <c r="AA1427" s="196">
        <f>'Supply chain'!P162</f>
        <v>0</v>
      </c>
      <c r="AB1427" s="196">
        <f>'Supply chain'!Q162</f>
        <v>0</v>
      </c>
      <c r="AC1427" s="196">
        <f>'Supply chain'!R162</f>
        <v>0</v>
      </c>
      <c r="AD1427" s="196">
        <f>'Supply chain'!S162</f>
        <v>0</v>
      </c>
      <c r="AE1427" s="196" t="str">
        <f>'Supply chain'!T162</f>
        <v/>
      </c>
      <c r="AF1427" s="196" t="str">
        <f>'Supply chain'!U162</f>
        <v/>
      </c>
      <c r="AG1427" s="196">
        <f>'Supply chain'!V162</f>
        <v>0</v>
      </c>
      <c r="AI1427" s="193">
        <f t="shared" si="32"/>
        <v>0</v>
      </c>
      <c r="AJ1427" s="193">
        <f t="shared" si="33"/>
        <v>0</v>
      </c>
    </row>
    <row r="1428" spans="2:36" x14ac:dyDescent="0.35">
      <c r="B1428" s="193" t="e">
        <f>"2024"&amp;MATCH(Totals!D1428,OrgType,0)&amp;"_"&amp;MATCH(Totals!E1428,Organisations,0)&amp;"_"&amp;LEFT(Totals!F1428,1)&amp;"_"&amp;LEFT(G1428,1)&amp;"_"&amp;COUNTIF($G$3:G1428,G1428)</f>
        <v>#N/A</v>
      </c>
      <c r="C1428" s="193">
        <v>2025</v>
      </c>
      <c r="D1428" s="193">
        <f>Introduction!$D$7</f>
        <v>0</v>
      </c>
      <c r="E1428" s="193">
        <f>Introduction!$D$8</f>
        <v>0</v>
      </c>
      <c r="F1428" s="193" t="s">
        <v>493</v>
      </c>
      <c r="G1428" s="193" t="s">
        <v>493</v>
      </c>
      <c r="H1428" s="194"/>
      <c r="I1428" s="194"/>
      <c r="J1428" s="196" t="str">
        <f>'Supply chain'!B163</f>
        <v/>
      </c>
      <c r="K1428" s="194"/>
      <c r="L1428" s="194"/>
      <c r="M1428" s="196" t="str">
        <f>'Supply chain'!C163</f>
        <v/>
      </c>
      <c r="N1428" s="196">
        <f>'Supply chain'!D163</f>
        <v>0</v>
      </c>
      <c r="O1428" s="194"/>
      <c r="P1428" s="196" t="str">
        <f>'Supply chain'!E163</f>
        <v>Tier 2</v>
      </c>
      <c r="Q1428" s="196">
        <f>'Supply chain'!F163</f>
        <v>0</v>
      </c>
      <c r="R1428" s="196">
        <f>'Supply chain'!G163</f>
        <v>0</v>
      </c>
      <c r="S1428" s="196" t="str">
        <f>'Supply chain'!H163</f>
        <v>£</v>
      </c>
      <c r="T1428" s="196">
        <f>'Supply chain'!I163</f>
        <v>0</v>
      </c>
      <c r="U1428" s="196" t="str">
        <f>'Supply chain'!J163</f>
        <v>£</v>
      </c>
      <c r="V1428" s="196" t="str">
        <f>'Supply chain'!K163</f>
        <v/>
      </c>
      <c r="W1428" s="196">
        <f>'Supply chain'!L163</f>
        <v>0</v>
      </c>
      <c r="X1428" s="193">
        <f>'Supply chain'!M163</f>
        <v>0</v>
      </c>
      <c r="Y1428" s="196">
        <f>'Supply chain'!N163</f>
        <v>0</v>
      </c>
      <c r="Z1428" s="196">
        <f>'Supply chain'!O163</f>
        <v>0</v>
      </c>
      <c r="AA1428" s="196">
        <f>'Supply chain'!P163</f>
        <v>0</v>
      </c>
      <c r="AB1428" s="196">
        <f>'Supply chain'!Q163</f>
        <v>0</v>
      </c>
      <c r="AC1428" s="196">
        <f>'Supply chain'!R163</f>
        <v>0</v>
      </c>
      <c r="AD1428" s="196">
        <f>'Supply chain'!S163</f>
        <v>0</v>
      </c>
      <c r="AE1428" s="196" t="str">
        <f>'Supply chain'!T163</f>
        <v/>
      </c>
      <c r="AF1428" s="196" t="str">
        <f>'Supply chain'!U163</f>
        <v/>
      </c>
      <c r="AG1428" s="196">
        <f>'Supply chain'!V163</f>
        <v>0</v>
      </c>
      <c r="AI1428" s="193">
        <f t="shared" si="32"/>
        <v>0</v>
      </c>
      <c r="AJ1428" s="193">
        <f t="shared" si="33"/>
        <v>0</v>
      </c>
    </row>
    <row r="1429" spans="2:36" x14ac:dyDescent="0.35">
      <c r="B1429" s="193" t="e">
        <f>"2024"&amp;MATCH(Totals!D1429,OrgType,0)&amp;"_"&amp;MATCH(Totals!E1429,Organisations,0)&amp;"_"&amp;LEFT(Totals!F1429,1)&amp;"_"&amp;LEFT(G1429,1)&amp;"_"&amp;COUNTIF($G$3:G1429,G1429)</f>
        <v>#N/A</v>
      </c>
      <c r="C1429" s="193">
        <v>2025</v>
      </c>
      <c r="D1429" s="193">
        <f>Introduction!$D$7</f>
        <v>0</v>
      </c>
      <c r="E1429" s="193">
        <f>Introduction!$D$8</f>
        <v>0</v>
      </c>
      <c r="F1429" s="193" t="s">
        <v>493</v>
      </c>
      <c r="G1429" s="193" t="s">
        <v>493</v>
      </c>
      <c r="H1429" s="194"/>
      <c r="I1429" s="194"/>
      <c r="J1429" s="196" t="str">
        <f>'Supply chain'!B164</f>
        <v/>
      </c>
      <c r="K1429" s="194"/>
      <c r="L1429" s="194"/>
      <c r="M1429" s="196" t="str">
        <f>'Supply chain'!C164</f>
        <v/>
      </c>
      <c r="N1429" s="196">
        <f>'Supply chain'!D164</f>
        <v>0</v>
      </c>
      <c r="O1429" s="194"/>
      <c r="P1429" s="196" t="str">
        <f>'Supply chain'!E164</f>
        <v>Tier 2</v>
      </c>
      <c r="Q1429" s="196">
        <f>'Supply chain'!F164</f>
        <v>0</v>
      </c>
      <c r="R1429" s="196">
        <f>'Supply chain'!G164</f>
        <v>0</v>
      </c>
      <c r="S1429" s="196" t="str">
        <f>'Supply chain'!H164</f>
        <v>£</v>
      </c>
      <c r="T1429" s="196">
        <f>'Supply chain'!I164</f>
        <v>0</v>
      </c>
      <c r="U1429" s="196" t="str">
        <f>'Supply chain'!J164</f>
        <v>£</v>
      </c>
      <c r="V1429" s="196" t="str">
        <f>'Supply chain'!K164</f>
        <v/>
      </c>
      <c r="W1429" s="196">
        <f>'Supply chain'!L164</f>
        <v>0</v>
      </c>
      <c r="X1429" s="193">
        <f>'Supply chain'!M164</f>
        <v>0</v>
      </c>
      <c r="Y1429" s="196">
        <f>'Supply chain'!N164</f>
        <v>0</v>
      </c>
      <c r="Z1429" s="196">
        <f>'Supply chain'!O164</f>
        <v>0</v>
      </c>
      <c r="AA1429" s="196">
        <f>'Supply chain'!P164</f>
        <v>0</v>
      </c>
      <c r="AB1429" s="196">
        <f>'Supply chain'!Q164</f>
        <v>0</v>
      </c>
      <c r="AC1429" s="196">
        <f>'Supply chain'!R164</f>
        <v>0</v>
      </c>
      <c r="AD1429" s="196">
        <f>'Supply chain'!S164</f>
        <v>0</v>
      </c>
      <c r="AE1429" s="196" t="str">
        <f>'Supply chain'!T164</f>
        <v/>
      </c>
      <c r="AF1429" s="196" t="str">
        <f>'Supply chain'!U164</f>
        <v/>
      </c>
      <c r="AG1429" s="196">
        <f>'Supply chain'!V164</f>
        <v>0</v>
      </c>
      <c r="AI1429" s="193">
        <f t="shared" si="32"/>
        <v>0</v>
      </c>
      <c r="AJ1429" s="193">
        <f t="shared" si="33"/>
        <v>0</v>
      </c>
    </row>
    <row r="1430" spans="2:36" x14ac:dyDescent="0.35">
      <c r="B1430" s="193" t="e">
        <f>"2024"&amp;MATCH(Totals!D1430,OrgType,0)&amp;"_"&amp;MATCH(Totals!E1430,Organisations,0)&amp;"_"&amp;LEFT(Totals!F1430,1)&amp;"_"&amp;LEFT(G1430,1)&amp;"_"&amp;COUNTIF($G$3:G1430,G1430)</f>
        <v>#N/A</v>
      </c>
      <c r="C1430" s="193">
        <v>2025</v>
      </c>
      <c r="D1430" s="193">
        <f>Introduction!$D$7</f>
        <v>0</v>
      </c>
      <c r="E1430" s="193">
        <f>Introduction!$D$8</f>
        <v>0</v>
      </c>
      <c r="F1430" s="193" t="s">
        <v>493</v>
      </c>
      <c r="G1430" s="193" t="s">
        <v>493</v>
      </c>
      <c r="H1430" s="194"/>
      <c r="I1430" s="194"/>
      <c r="J1430" s="196" t="str">
        <f>'Supply chain'!B165</f>
        <v/>
      </c>
      <c r="K1430" s="194"/>
      <c r="L1430" s="194"/>
      <c r="M1430" s="196" t="str">
        <f>'Supply chain'!C165</f>
        <v/>
      </c>
      <c r="N1430" s="196">
        <f>'Supply chain'!D165</f>
        <v>0</v>
      </c>
      <c r="O1430" s="194"/>
      <c r="P1430" s="196" t="str">
        <f>'Supply chain'!E165</f>
        <v>Tier 2</v>
      </c>
      <c r="Q1430" s="196">
        <f>'Supply chain'!F165</f>
        <v>0</v>
      </c>
      <c r="R1430" s="196">
        <f>'Supply chain'!G165</f>
        <v>0</v>
      </c>
      <c r="S1430" s="196" t="str">
        <f>'Supply chain'!H165</f>
        <v>£</v>
      </c>
      <c r="T1430" s="196">
        <f>'Supply chain'!I165</f>
        <v>0</v>
      </c>
      <c r="U1430" s="196" t="str">
        <f>'Supply chain'!J165</f>
        <v>£</v>
      </c>
      <c r="V1430" s="196" t="str">
        <f>'Supply chain'!K165</f>
        <v/>
      </c>
      <c r="W1430" s="196">
        <f>'Supply chain'!L165</f>
        <v>0</v>
      </c>
      <c r="X1430" s="193">
        <f>'Supply chain'!M165</f>
        <v>0</v>
      </c>
      <c r="Y1430" s="196">
        <f>'Supply chain'!N165</f>
        <v>0</v>
      </c>
      <c r="Z1430" s="196">
        <f>'Supply chain'!O165</f>
        <v>0</v>
      </c>
      <c r="AA1430" s="196">
        <f>'Supply chain'!P165</f>
        <v>0</v>
      </c>
      <c r="AB1430" s="196">
        <f>'Supply chain'!Q165</f>
        <v>0</v>
      </c>
      <c r="AC1430" s="196">
        <f>'Supply chain'!R165</f>
        <v>0</v>
      </c>
      <c r="AD1430" s="196">
        <f>'Supply chain'!S165</f>
        <v>0</v>
      </c>
      <c r="AE1430" s="196" t="str">
        <f>'Supply chain'!T165</f>
        <v/>
      </c>
      <c r="AF1430" s="196" t="str">
        <f>'Supply chain'!U165</f>
        <v/>
      </c>
      <c r="AG1430" s="196">
        <f>'Supply chain'!V165</f>
        <v>0</v>
      </c>
      <c r="AI1430" s="193">
        <f t="shared" si="32"/>
        <v>0</v>
      </c>
      <c r="AJ1430" s="193">
        <f t="shared" si="33"/>
        <v>0</v>
      </c>
    </row>
    <row r="1431" spans="2:36" x14ac:dyDescent="0.35">
      <c r="B1431" s="193" t="e">
        <f>"2024"&amp;MATCH(Totals!D1431,OrgType,0)&amp;"_"&amp;MATCH(Totals!E1431,Organisations,0)&amp;"_"&amp;LEFT(Totals!F1431,1)&amp;"_"&amp;LEFT(G1431,1)&amp;"_"&amp;COUNTIF($G$3:G1431,G1431)</f>
        <v>#N/A</v>
      </c>
      <c r="C1431" s="193">
        <v>2025</v>
      </c>
      <c r="D1431" s="193">
        <f>Introduction!$D$7</f>
        <v>0</v>
      </c>
      <c r="E1431" s="193">
        <f>Introduction!$D$8</f>
        <v>0</v>
      </c>
      <c r="F1431" s="193" t="s">
        <v>493</v>
      </c>
      <c r="G1431" s="193" t="s">
        <v>493</v>
      </c>
      <c r="H1431" s="194"/>
      <c r="I1431" s="194"/>
      <c r="J1431" s="196" t="str">
        <f>'Supply chain'!B166</f>
        <v/>
      </c>
      <c r="K1431" s="194"/>
      <c r="L1431" s="194"/>
      <c r="M1431" s="196" t="str">
        <f>'Supply chain'!C166</f>
        <v/>
      </c>
      <c r="N1431" s="196">
        <f>'Supply chain'!D166</f>
        <v>0</v>
      </c>
      <c r="O1431" s="194"/>
      <c r="P1431" s="196" t="str">
        <f>'Supply chain'!E166</f>
        <v>Tier 2</v>
      </c>
      <c r="Q1431" s="196">
        <f>'Supply chain'!F166</f>
        <v>0</v>
      </c>
      <c r="R1431" s="196">
        <f>'Supply chain'!G166</f>
        <v>0</v>
      </c>
      <c r="S1431" s="196" t="str">
        <f>'Supply chain'!H166</f>
        <v>£</v>
      </c>
      <c r="T1431" s="196">
        <f>'Supply chain'!I166</f>
        <v>0</v>
      </c>
      <c r="U1431" s="196" t="str">
        <f>'Supply chain'!J166</f>
        <v>£</v>
      </c>
      <c r="V1431" s="196" t="str">
        <f>'Supply chain'!K166</f>
        <v/>
      </c>
      <c r="W1431" s="196">
        <f>'Supply chain'!L166</f>
        <v>0</v>
      </c>
      <c r="X1431" s="193">
        <f>'Supply chain'!M166</f>
        <v>0</v>
      </c>
      <c r="Y1431" s="196">
        <f>'Supply chain'!N166</f>
        <v>0</v>
      </c>
      <c r="Z1431" s="196">
        <f>'Supply chain'!O166</f>
        <v>0</v>
      </c>
      <c r="AA1431" s="196">
        <f>'Supply chain'!P166</f>
        <v>0</v>
      </c>
      <c r="AB1431" s="196">
        <f>'Supply chain'!Q166</f>
        <v>0</v>
      </c>
      <c r="AC1431" s="196">
        <f>'Supply chain'!R166</f>
        <v>0</v>
      </c>
      <c r="AD1431" s="196">
        <f>'Supply chain'!S166</f>
        <v>0</v>
      </c>
      <c r="AE1431" s="196" t="str">
        <f>'Supply chain'!T166</f>
        <v/>
      </c>
      <c r="AF1431" s="196" t="str">
        <f>'Supply chain'!U166</f>
        <v/>
      </c>
      <c r="AG1431" s="196">
        <f>'Supply chain'!V166</f>
        <v>0</v>
      </c>
      <c r="AI1431" s="193">
        <f t="shared" si="32"/>
        <v>0</v>
      </c>
      <c r="AJ1431" s="193">
        <f t="shared" si="33"/>
        <v>0</v>
      </c>
    </row>
    <row r="1432" spans="2:36" x14ac:dyDescent="0.35">
      <c r="B1432" s="193" t="e">
        <f>"2024"&amp;MATCH(Totals!D1432,OrgType,0)&amp;"_"&amp;MATCH(Totals!E1432,Organisations,0)&amp;"_"&amp;LEFT(Totals!F1432,1)&amp;"_"&amp;LEFT(G1432,1)&amp;"_"&amp;COUNTIF($G$3:G1432,G1432)</f>
        <v>#N/A</v>
      </c>
      <c r="C1432" s="193">
        <v>2025</v>
      </c>
      <c r="D1432" s="193">
        <f>Introduction!$D$7</f>
        <v>0</v>
      </c>
      <c r="E1432" s="193">
        <f>Introduction!$D$8</f>
        <v>0</v>
      </c>
      <c r="F1432" s="193" t="s">
        <v>493</v>
      </c>
      <c r="G1432" s="193" t="s">
        <v>493</v>
      </c>
      <c r="H1432" s="194"/>
      <c r="I1432" s="194"/>
      <c r="J1432" s="196" t="str">
        <f>'Supply chain'!B167</f>
        <v/>
      </c>
      <c r="K1432" s="194"/>
      <c r="L1432" s="194"/>
      <c r="M1432" s="196" t="str">
        <f>'Supply chain'!C167</f>
        <v/>
      </c>
      <c r="N1432" s="196">
        <f>'Supply chain'!D167</f>
        <v>0</v>
      </c>
      <c r="O1432" s="194"/>
      <c r="P1432" s="196" t="str">
        <f>'Supply chain'!E167</f>
        <v>Tier 2</v>
      </c>
      <c r="Q1432" s="196">
        <f>'Supply chain'!F167</f>
        <v>0</v>
      </c>
      <c r="R1432" s="196">
        <f>'Supply chain'!G167</f>
        <v>0</v>
      </c>
      <c r="S1432" s="196" t="str">
        <f>'Supply chain'!H167</f>
        <v>£</v>
      </c>
      <c r="T1432" s="196">
        <f>'Supply chain'!I167</f>
        <v>0</v>
      </c>
      <c r="U1432" s="196" t="str">
        <f>'Supply chain'!J167</f>
        <v>£</v>
      </c>
      <c r="V1432" s="196" t="str">
        <f>'Supply chain'!K167</f>
        <v/>
      </c>
      <c r="W1432" s="196">
        <f>'Supply chain'!L167</f>
        <v>0</v>
      </c>
      <c r="X1432" s="193">
        <f>'Supply chain'!M167</f>
        <v>0</v>
      </c>
      <c r="Y1432" s="196">
        <f>'Supply chain'!N167</f>
        <v>0</v>
      </c>
      <c r="Z1432" s="196">
        <f>'Supply chain'!O167</f>
        <v>0</v>
      </c>
      <c r="AA1432" s="196">
        <f>'Supply chain'!P167</f>
        <v>0</v>
      </c>
      <c r="AB1432" s="196">
        <f>'Supply chain'!Q167</f>
        <v>0</v>
      </c>
      <c r="AC1432" s="196">
        <f>'Supply chain'!R167</f>
        <v>0</v>
      </c>
      <c r="AD1432" s="196">
        <f>'Supply chain'!S167</f>
        <v>0</v>
      </c>
      <c r="AE1432" s="196" t="str">
        <f>'Supply chain'!T167</f>
        <v/>
      </c>
      <c r="AF1432" s="196" t="str">
        <f>'Supply chain'!U167</f>
        <v/>
      </c>
      <c r="AG1432" s="196">
        <f>'Supply chain'!V167</f>
        <v>0</v>
      </c>
      <c r="AI1432" s="193">
        <f t="shared" si="32"/>
        <v>0</v>
      </c>
      <c r="AJ1432" s="193">
        <f t="shared" si="33"/>
        <v>0</v>
      </c>
    </row>
    <row r="1433" spans="2:36" x14ac:dyDescent="0.35">
      <c r="B1433" s="193" t="e">
        <f>"2024"&amp;MATCH(Totals!D1433,OrgType,0)&amp;"_"&amp;MATCH(Totals!E1433,Organisations,0)&amp;"_"&amp;LEFT(Totals!F1433,1)&amp;"_"&amp;LEFT(G1433,1)&amp;"_"&amp;COUNTIF($G$3:G1433,G1433)</f>
        <v>#N/A</v>
      </c>
      <c r="C1433" s="193">
        <v>2025</v>
      </c>
      <c r="D1433" s="193">
        <f>Introduction!$D$7</f>
        <v>0</v>
      </c>
      <c r="E1433" s="193">
        <f>Introduction!$D$8</f>
        <v>0</v>
      </c>
      <c r="F1433" s="193" t="s">
        <v>493</v>
      </c>
      <c r="G1433" s="193" t="s">
        <v>493</v>
      </c>
      <c r="H1433" s="194"/>
      <c r="I1433" s="194"/>
      <c r="J1433" s="196" t="str">
        <f>'Supply chain'!B168</f>
        <v/>
      </c>
      <c r="K1433" s="194"/>
      <c r="L1433" s="194"/>
      <c r="M1433" s="196" t="str">
        <f>'Supply chain'!C168</f>
        <v/>
      </c>
      <c r="N1433" s="196">
        <f>'Supply chain'!D168</f>
        <v>0</v>
      </c>
      <c r="O1433" s="194"/>
      <c r="P1433" s="196" t="str">
        <f>'Supply chain'!E168</f>
        <v>Tier 2</v>
      </c>
      <c r="Q1433" s="196">
        <f>'Supply chain'!F168</f>
        <v>0</v>
      </c>
      <c r="R1433" s="196">
        <f>'Supply chain'!G168</f>
        <v>0</v>
      </c>
      <c r="S1433" s="196" t="str">
        <f>'Supply chain'!H168</f>
        <v>£</v>
      </c>
      <c r="T1433" s="196">
        <f>'Supply chain'!I168</f>
        <v>0</v>
      </c>
      <c r="U1433" s="196" t="str">
        <f>'Supply chain'!J168</f>
        <v>£</v>
      </c>
      <c r="V1433" s="196" t="str">
        <f>'Supply chain'!K168</f>
        <v/>
      </c>
      <c r="W1433" s="196">
        <f>'Supply chain'!L168</f>
        <v>0</v>
      </c>
      <c r="X1433" s="193">
        <f>'Supply chain'!M168</f>
        <v>0</v>
      </c>
      <c r="Y1433" s="196">
        <f>'Supply chain'!N168</f>
        <v>0</v>
      </c>
      <c r="Z1433" s="196">
        <f>'Supply chain'!O168</f>
        <v>0</v>
      </c>
      <c r="AA1433" s="196">
        <f>'Supply chain'!P168</f>
        <v>0</v>
      </c>
      <c r="AB1433" s="196">
        <f>'Supply chain'!Q168</f>
        <v>0</v>
      </c>
      <c r="AC1433" s="196">
        <f>'Supply chain'!R168</f>
        <v>0</v>
      </c>
      <c r="AD1433" s="196">
        <f>'Supply chain'!S168</f>
        <v>0</v>
      </c>
      <c r="AE1433" s="196" t="str">
        <f>'Supply chain'!T168</f>
        <v/>
      </c>
      <c r="AF1433" s="196" t="str">
        <f>'Supply chain'!U168</f>
        <v/>
      </c>
      <c r="AG1433" s="196">
        <f>'Supply chain'!V168</f>
        <v>0</v>
      </c>
      <c r="AI1433" s="193">
        <f t="shared" si="32"/>
        <v>0</v>
      </c>
      <c r="AJ1433" s="193">
        <f t="shared" si="33"/>
        <v>0</v>
      </c>
    </row>
    <row r="1434" spans="2:36" x14ac:dyDescent="0.35">
      <c r="B1434" s="193" t="e">
        <f>"2024"&amp;MATCH(Totals!D1434,OrgType,0)&amp;"_"&amp;MATCH(Totals!E1434,Organisations,0)&amp;"_"&amp;LEFT(Totals!F1434,1)&amp;"_"&amp;LEFT(G1434,1)&amp;"_"&amp;COUNTIF($G$3:G1434,G1434)</f>
        <v>#N/A</v>
      </c>
      <c r="C1434" s="193">
        <v>2025</v>
      </c>
      <c r="D1434" s="193">
        <f>Introduction!$D$7</f>
        <v>0</v>
      </c>
      <c r="E1434" s="193">
        <f>Introduction!$D$8</f>
        <v>0</v>
      </c>
      <c r="F1434" s="193" t="s">
        <v>493</v>
      </c>
      <c r="G1434" s="193" t="s">
        <v>493</v>
      </c>
      <c r="H1434" s="194"/>
      <c r="I1434" s="194"/>
      <c r="J1434" s="196" t="str">
        <f>'Supply chain'!B169</f>
        <v/>
      </c>
      <c r="K1434" s="194"/>
      <c r="L1434" s="194"/>
      <c r="M1434" s="196" t="str">
        <f>'Supply chain'!C169</f>
        <v/>
      </c>
      <c r="N1434" s="196">
        <f>'Supply chain'!D169</f>
        <v>0</v>
      </c>
      <c r="O1434" s="194"/>
      <c r="P1434" s="196" t="str">
        <f>'Supply chain'!E169</f>
        <v>Tier 2</v>
      </c>
      <c r="Q1434" s="196">
        <f>'Supply chain'!F169</f>
        <v>0</v>
      </c>
      <c r="R1434" s="196">
        <f>'Supply chain'!G169</f>
        <v>0</v>
      </c>
      <c r="S1434" s="196" t="str">
        <f>'Supply chain'!H169</f>
        <v>£</v>
      </c>
      <c r="T1434" s="196">
        <f>'Supply chain'!I169</f>
        <v>0</v>
      </c>
      <c r="U1434" s="196" t="str">
        <f>'Supply chain'!J169</f>
        <v>£</v>
      </c>
      <c r="V1434" s="196" t="str">
        <f>'Supply chain'!K169</f>
        <v/>
      </c>
      <c r="W1434" s="196">
        <f>'Supply chain'!L169</f>
        <v>0</v>
      </c>
      <c r="X1434" s="193">
        <f>'Supply chain'!M169</f>
        <v>0</v>
      </c>
      <c r="Y1434" s="196">
        <f>'Supply chain'!N169</f>
        <v>0</v>
      </c>
      <c r="Z1434" s="196">
        <f>'Supply chain'!O169</f>
        <v>0</v>
      </c>
      <c r="AA1434" s="196">
        <f>'Supply chain'!P169</f>
        <v>0</v>
      </c>
      <c r="AB1434" s="196">
        <f>'Supply chain'!Q169</f>
        <v>0</v>
      </c>
      <c r="AC1434" s="196">
        <f>'Supply chain'!R169</f>
        <v>0</v>
      </c>
      <c r="AD1434" s="196">
        <f>'Supply chain'!S169</f>
        <v>0</v>
      </c>
      <c r="AE1434" s="196" t="str">
        <f>'Supply chain'!T169</f>
        <v/>
      </c>
      <c r="AF1434" s="196" t="str">
        <f>'Supply chain'!U169</f>
        <v/>
      </c>
      <c r="AG1434" s="196">
        <f>'Supply chain'!V169</f>
        <v>0</v>
      </c>
      <c r="AI1434" s="193">
        <f t="shared" si="32"/>
        <v>0</v>
      </c>
      <c r="AJ1434" s="193">
        <f t="shared" si="33"/>
        <v>0</v>
      </c>
    </row>
    <row r="1435" spans="2:36" x14ac:dyDescent="0.35">
      <c r="B1435" s="193" t="e">
        <f>"2024"&amp;MATCH(Totals!D1435,OrgType,0)&amp;"_"&amp;MATCH(Totals!E1435,Organisations,0)&amp;"_"&amp;LEFT(Totals!F1435,1)&amp;"_"&amp;LEFT(G1435,1)&amp;"_"&amp;COUNTIF($G$3:G1435,G1435)</f>
        <v>#N/A</v>
      </c>
      <c r="C1435" s="193">
        <v>2025</v>
      </c>
      <c r="D1435" s="193">
        <f>Introduction!$D$7</f>
        <v>0</v>
      </c>
      <c r="E1435" s="193">
        <f>Introduction!$D$8</f>
        <v>0</v>
      </c>
      <c r="F1435" s="193" t="s">
        <v>493</v>
      </c>
      <c r="G1435" s="193" t="s">
        <v>493</v>
      </c>
      <c r="H1435" s="194"/>
      <c r="I1435" s="194"/>
      <c r="J1435" s="196" t="str">
        <f>'Supply chain'!B170</f>
        <v/>
      </c>
      <c r="K1435" s="194"/>
      <c r="L1435" s="194"/>
      <c r="M1435" s="196" t="str">
        <f>'Supply chain'!C170</f>
        <v/>
      </c>
      <c r="N1435" s="196">
        <f>'Supply chain'!D170</f>
        <v>0</v>
      </c>
      <c r="O1435" s="194"/>
      <c r="P1435" s="196" t="str">
        <f>'Supply chain'!E170</f>
        <v>Tier 2</v>
      </c>
      <c r="Q1435" s="196">
        <f>'Supply chain'!F170</f>
        <v>0</v>
      </c>
      <c r="R1435" s="196">
        <f>'Supply chain'!G170</f>
        <v>0</v>
      </c>
      <c r="S1435" s="196" t="str">
        <f>'Supply chain'!H170</f>
        <v>£</v>
      </c>
      <c r="T1435" s="196">
        <f>'Supply chain'!I170</f>
        <v>0</v>
      </c>
      <c r="U1435" s="196" t="str">
        <f>'Supply chain'!J170</f>
        <v>£</v>
      </c>
      <c r="V1435" s="196" t="str">
        <f>'Supply chain'!K170</f>
        <v/>
      </c>
      <c r="W1435" s="196">
        <f>'Supply chain'!L170</f>
        <v>0</v>
      </c>
      <c r="X1435" s="193">
        <f>'Supply chain'!M170</f>
        <v>0</v>
      </c>
      <c r="Y1435" s="196">
        <f>'Supply chain'!N170</f>
        <v>0</v>
      </c>
      <c r="Z1435" s="196">
        <f>'Supply chain'!O170</f>
        <v>0</v>
      </c>
      <c r="AA1435" s="196">
        <f>'Supply chain'!P170</f>
        <v>0</v>
      </c>
      <c r="AB1435" s="196">
        <f>'Supply chain'!Q170</f>
        <v>0</v>
      </c>
      <c r="AC1435" s="196">
        <f>'Supply chain'!R170</f>
        <v>0</v>
      </c>
      <c r="AD1435" s="196">
        <f>'Supply chain'!S170</f>
        <v>0</v>
      </c>
      <c r="AE1435" s="196" t="str">
        <f>'Supply chain'!T170</f>
        <v/>
      </c>
      <c r="AF1435" s="196" t="str">
        <f>'Supply chain'!U170</f>
        <v/>
      </c>
      <c r="AG1435" s="196">
        <f>'Supply chain'!V170</f>
        <v>0</v>
      </c>
      <c r="AI1435" s="193">
        <f t="shared" si="32"/>
        <v>0</v>
      </c>
      <c r="AJ1435" s="193">
        <f t="shared" si="33"/>
        <v>0</v>
      </c>
    </row>
    <row r="1436" spans="2:36" x14ac:dyDescent="0.35">
      <c r="B1436" s="193" t="e">
        <f>"2024"&amp;MATCH(Totals!D1436,OrgType,0)&amp;"_"&amp;MATCH(Totals!E1436,Organisations,0)&amp;"_"&amp;LEFT(Totals!F1436,1)&amp;"_"&amp;LEFT(G1436,1)&amp;"_"&amp;COUNTIF($G$3:G1436,G1436)</f>
        <v>#N/A</v>
      </c>
      <c r="C1436" s="193">
        <v>2025</v>
      </c>
      <c r="D1436" s="193">
        <f>Introduction!$D$7</f>
        <v>0</v>
      </c>
      <c r="E1436" s="193">
        <f>Introduction!$D$8</f>
        <v>0</v>
      </c>
      <c r="F1436" s="193" t="s">
        <v>493</v>
      </c>
      <c r="G1436" s="193" t="s">
        <v>493</v>
      </c>
      <c r="H1436" s="194"/>
      <c r="I1436" s="194"/>
      <c r="J1436" s="196" t="str">
        <f>'Supply chain'!B171</f>
        <v/>
      </c>
      <c r="K1436" s="194"/>
      <c r="L1436" s="194"/>
      <c r="M1436" s="196" t="str">
        <f>'Supply chain'!C171</f>
        <v/>
      </c>
      <c r="N1436" s="196">
        <f>'Supply chain'!D171</f>
        <v>0</v>
      </c>
      <c r="O1436" s="194"/>
      <c r="P1436" s="196" t="str">
        <f>'Supply chain'!E171</f>
        <v>Tier 2</v>
      </c>
      <c r="Q1436" s="196">
        <f>'Supply chain'!F171</f>
        <v>0</v>
      </c>
      <c r="R1436" s="196">
        <f>'Supply chain'!G171</f>
        <v>0</v>
      </c>
      <c r="S1436" s="196" t="str">
        <f>'Supply chain'!H171</f>
        <v>£</v>
      </c>
      <c r="T1436" s="196">
        <f>'Supply chain'!I171</f>
        <v>0</v>
      </c>
      <c r="U1436" s="196" t="str">
        <f>'Supply chain'!J171</f>
        <v>£</v>
      </c>
      <c r="V1436" s="196" t="str">
        <f>'Supply chain'!K171</f>
        <v/>
      </c>
      <c r="W1436" s="196">
        <f>'Supply chain'!L171</f>
        <v>0</v>
      </c>
      <c r="X1436" s="193">
        <f>'Supply chain'!M171</f>
        <v>0</v>
      </c>
      <c r="Y1436" s="196">
        <f>'Supply chain'!N171</f>
        <v>0</v>
      </c>
      <c r="Z1436" s="196">
        <f>'Supply chain'!O171</f>
        <v>0</v>
      </c>
      <c r="AA1436" s="196">
        <f>'Supply chain'!P171</f>
        <v>0</v>
      </c>
      <c r="AB1436" s="196">
        <f>'Supply chain'!Q171</f>
        <v>0</v>
      </c>
      <c r="AC1436" s="196">
        <f>'Supply chain'!R171</f>
        <v>0</v>
      </c>
      <c r="AD1436" s="196">
        <f>'Supply chain'!S171</f>
        <v>0</v>
      </c>
      <c r="AE1436" s="196" t="str">
        <f>'Supply chain'!T171</f>
        <v/>
      </c>
      <c r="AF1436" s="196" t="str">
        <f>'Supply chain'!U171</f>
        <v/>
      </c>
      <c r="AG1436" s="196">
        <f>'Supply chain'!V171</f>
        <v>0</v>
      </c>
      <c r="AI1436" s="193">
        <f t="shared" si="32"/>
        <v>0</v>
      </c>
      <c r="AJ1436" s="193">
        <f t="shared" si="33"/>
        <v>0</v>
      </c>
    </row>
    <row r="1437" spans="2:36" x14ac:dyDescent="0.35">
      <c r="B1437" s="193" t="e">
        <f>"2024"&amp;MATCH(Totals!D1437,OrgType,0)&amp;"_"&amp;MATCH(Totals!E1437,Organisations,0)&amp;"_"&amp;LEFT(Totals!F1437,1)&amp;"_"&amp;LEFT(G1437,1)&amp;"_"&amp;COUNTIF($G$3:G1437,G1437)</f>
        <v>#N/A</v>
      </c>
      <c r="C1437" s="193">
        <v>2025</v>
      </c>
      <c r="D1437" s="193">
        <f>Introduction!$D$7</f>
        <v>0</v>
      </c>
      <c r="E1437" s="193">
        <f>Introduction!$D$8</f>
        <v>0</v>
      </c>
      <c r="F1437" s="193" t="s">
        <v>493</v>
      </c>
      <c r="G1437" s="193" t="s">
        <v>493</v>
      </c>
      <c r="H1437" s="194"/>
      <c r="I1437" s="194"/>
      <c r="J1437" s="196" t="str">
        <f>'Supply chain'!B172</f>
        <v/>
      </c>
      <c r="K1437" s="194"/>
      <c r="L1437" s="194"/>
      <c r="M1437" s="196" t="str">
        <f>'Supply chain'!C172</f>
        <v/>
      </c>
      <c r="N1437" s="196">
        <f>'Supply chain'!D172</f>
        <v>0</v>
      </c>
      <c r="O1437" s="194"/>
      <c r="P1437" s="196" t="str">
        <f>'Supply chain'!E172</f>
        <v>Tier 2</v>
      </c>
      <c r="Q1437" s="196">
        <f>'Supply chain'!F172</f>
        <v>0</v>
      </c>
      <c r="R1437" s="196">
        <f>'Supply chain'!G172</f>
        <v>0</v>
      </c>
      <c r="S1437" s="196" t="str">
        <f>'Supply chain'!H172</f>
        <v>£</v>
      </c>
      <c r="T1437" s="196">
        <f>'Supply chain'!I172</f>
        <v>0</v>
      </c>
      <c r="U1437" s="196" t="str">
        <f>'Supply chain'!J172</f>
        <v>£</v>
      </c>
      <c r="V1437" s="196" t="str">
        <f>'Supply chain'!K172</f>
        <v/>
      </c>
      <c r="W1437" s="196">
        <f>'Supply chain'!L172</f>
        <v>0</v>
      </c>
      <c r="X1437" s="193">
        <f>'Supply chain'!M172</f>
        <v>0</v>
      </c>
      <c r="Y1437" s="196">
        <f>'Supply chain'!N172</f>
        <v>0</v>
      </c>
      <c r="Z1437" s="196">
        <f>'Supply chain'!O172</f>
        <v>0</v>
      </c>
      <c r="AA1437" s="196">
        <f>'Supply chain'!P172</f>
        <v>0</v>
      </c>
      <c r="AB1437" s="196">
        <f>'Supply chain'!Q172</f>
        <v>0</v>
      </c>
      <c r="AC1437" s="196">
        <f>'Supply chain'!R172</f>
        <v>0</v>
      </c>
      <c r="AD1437" s="196">
        <f>'Supply chain'!S172</f>
        <v>0</v>
      </c>
      <c r="AE1437" s="196" t="str">
        <f>'Supply chain'!T172</f>
        <v/>
      </c>
      <c r="AF1437" s="196" t="str">
        <f>'Supply chain'!U172</f>
        <v/>
      </c>
      <c r="AG1437" s="196">
        <f>'Supply chain'!V172</f>
        <v>0</v>
      </c>
      <c r="AI1437" s="193">
        <f t="shared" si="32"/>
        <v>0</v>
      </c>
      <c r="AJ1437" s="193">
        <f t="shared" si="33"/>
        <v>0</v>
      </c>
    </row>
    <row r="1438" spans="2:36" x14ac:dyDescent="0.35">
      <c r="B1438" s="193" t="e">
        <f>"2024"&amp;MATCH(Totals!D1438,OrgType,0)&amp;"_"&amp;MATCH(Totals!E1438,Organisations,0)&amp;"_"&amp;LEFT(Totals!F1438,1)&amp;"_"&amp;LEFT(G1438,1)&amp;"_"&amp;COUNTIF($G$3:G1438,G1438)</f>
        <v>#N/A</v>
      </c>
      <c r="C1438" s="193">
        <v>2025</v>
      </c>
      <c r="D1438" s="193">
        <f>Introduction!$D$7</f>
        <v>0</v>
      </c>
      <c r="E1438" s="193">
        <f>Introduction!$D$8</f>
        <v>0</v>
      </c>
      <c r="F1438" s="193" t="s">
        <v>493</v>
      </c>
      <c r="G1438" s="193" t="s">
        <v>493</v>
      </c>
      <c r="H1438" s="194"/>
      <c r="I1438" s="194"/>
      <c r="J1438" s="196" t="str">
        <f>'Supply chain'!B173</f>
        <v/>
      </c>
      <c r="K1438" s="194"/>
      <c r="L1438" s="194"/>
      <c r="M1438" s="196" t="str">
        <f>'Supply chain'!C173</f>
        <v/>
      </c>
      <c r="N1438" s="196">
        <f>'Supply chain'!D173</f>
        <v>0</v>
      </c>
      <c r="O1438" s="194"/>
      <c r="P1438" s="196" t="str">
        <f>'Supply chain'!E173</f>
        <v>Tier 2</v>
      </c>
      <c r="Q1438" s="196">
        <f>'Supply chain'!F173</f>
        <v>0</v>
      </c>
      <c r="R1438" s="196">
        <f>'Supply chain'!G173</f>
        <v>0</v>
      </c>
      <c r="S1438" s="196" t="str">
        <f>'Supply chain'!H173</f>
        <v>£</v>
      </c>
      <c r="T1438" s="196">
        <f>'Supply chain'!I173</f>
        <v>0</v>
      </c>
      <c r="U1438" s="196" t="str">
        <f>'Supply chain'!J173</f>
        <v>£</v>
      </c>
      <c r="V1438" s="196" t="str">
        <f>'Supply chain'!K173</f>
        <v/>
      </c>
      <c r="W1438" s="196">
        <f>'Supply chain'!L173</f>
        <v>0</v>
      </c>
      <c r="X1438" s="193">
        <f>'Supply chain'!M173</f>
        <v>0</v>
      </c>
      <c r="Y1438" s="196">
        <f>'Supply chain'!N173</f>
        <v>0</v>
      </c>
      <c r="Z1438" s="196">
        <f>'Supply chain'!O173</f>
        <v>0</v>
      </c>
      <c r="AA1438" s="196">
        <f>'Supply chain'!P173</f>
        <v>0</v>
      </c>
      <c r="AB1438" s="196">
        <f>'Supply chain'!Q173</f>
        <v>0</v>
      </c>
      <c r="AC1438" s="196">
        <f>'Supply chain'!R173</f>
        <v>0</v>
      </c>
      <c r="AD1438" s="196">
        <f>'Supply chain'!S173</f>
        <v>0</v>
      </c>
      <c r="AE1438" s="196" t="str">
        <f>'Supply chain'!T173</f>
        <v/>
      </c>
      <c r="AF1438" s="196" t="str">
        <f>'Supply chain'!U173</f>
        <v/>
      </c>
      <c r="AG1438" s="196">
        <f>'Supply chain'!V173</f>
        <v>0</v>
      </c>
      <c r="AI1438" s="193">
        <f t="shared" si="32"/>
        <v>0</v>
      </c>
      <c r="AJ1438" s="193">
        <f t="shared" si="33"/>
        <v>0</v>
      </c>
    </row>
    <row r="1439" spans="2:36" x14ac:dyDescent="0.35">
      <c r="B1439" s="193" t="e">
        <f>"2024"&amp;MATCH(Totals!D1439,OrgType,0)&amp;"_"&amp;MATCH(Totals!E1439,Organisations,0)&amp;"_"&amp;LEFT(Totals!F1439,1)&amp;"_"&amp;LEFT(G1439,1)&amp;"_"&amp;COUNTIF($G$3:G1439,G1439)</f>
        <v>#N/A</v>
      </c>
      <c r="C1439" s="193">
        <v>2025</v>
      </c>
      <c r="D1439" s="193">
        <f>Introduction!$D$7</f>
        <v>0</v>
      </c>
      <c r="E1439" s="193">
        <f>Introduction!$D$8</f>
        <v>0</v>
      </c>
      <c r="F1439" s="193" t="s">
        <v>493</v>
      </c>
      <c r="G1439" s="193" t="s">
        <v>493</v>
      </c>
      <c r="H1439" s="194"/>
      <c r="I1439" s="194"/>
      <c r="J1439" s="196" t="str">
        <f>'Supply chain'!B174</f>
        <v/>
      </c>
      <c r="K1439" s="194"/>
      <c r="L1439" s="194"/>
      <c r="M1439" s="196" t="str">
        <f>'Supply chain'!C174</f>
        <v/>
      </c>
      <c r="N1439" s="196">
        <f>'Supply chain'!D174</f>
        <v>0</v>
      </c>
      <c r="O1439" s="194"/>
      <c r="P1439" s="196" t="str">
        <f>'Supply chain'!E174</f>
        <v>Tier 2</v>
      </c>
      <c r="Q1439" s="196">
        <f>'Supply chain'!F174</f>
        <v>0</v>
      </c>
      <c r="R1439" s="196">
        <f>'Supply chain'!G174</f>
        <v>0</v>
      </c>
      <c r="S1439" s="196" t="str">
        <f>'Supply chain'!H174</f>
        <v>£</v>
      </c>
      <c r="T1439" s="196">
        <f>'Supply chain'!I174</f>
        <v>0</v>
      </c>
      <c r="U1439" s="196" t="str">
        <f>'Supply chain'!J174</f>
        <v>£</v>
      </c>
      <c r="V1439" s="196" t="str">
        <f>'Supply chain'!K174</f>
        <v/>
      </c>
      <c r="W1439" s="196">
        <f>'Supply chain'!L174</f>
        <v>0</v>
      </c>
      <c r="X1439" s="193">
        <f>'Supply chain'!M174</f>
        <v>0</v>
      </c>
      <c r="Y1439" s="196">
        <f>'Supply chain'!N174</f>
        <v>0</v>
      </c>
      <c r="Z1439" s="196">
        <f>'Supply chain'!O174</f>
        <v>0</v>
      </c>
      <c r="AA1439" s="196">
        <f>'Supply chain'!P174</f>
        <v>0</v>
      </c>
      <c r="AB1439" s="196">
        <f>'Supply chain'!Q174</f>
        <v>0</v>
      </c>
      <c r="AC1439" s="196">
        <f>'Supply chain'!R174</f>
        <v>0</v>
      </c>
      <c r="AD1439" s="196">
        <f>'Supply chain'!S174</f>
        <v>0</v>
      </c>
      <c r="AE1439" s="196" t="str">
        <f>'Supply chain'!T174</f>
        <v/>
      </c>
      <c r="AF1439" s="196" t="str">
        <f>'Supply chain'!U174</f>
        <v/>
      </c>
      <c r="AG1439" s="196">
        <f>'Supply chain'!V174</f>
        <v>0</v>
      </c>
      <c r="AI1439" s="193">
        <f t="shared" si="32"/>
        <v>0</v>
      </c>
      <c r="AJ1439" s="193">
        <f t="shared" si="33"/>
        <v>0</v>
      </c>
    </row>
    <row r="1440" spans="2:36" x14ac:dyDescent="0.35">
      <c r="B1440" s="193" t="e">
        <f>"2024"&amp;MATCH(Totals!D1440,OrgType,0)&amp;"_"&amp;MATCH(Totals!E1440,Organisations,0)&amp;"_"&amp;LEFT(Totals!F1440,1)&amp;"_"&amp;LEFT(G1440,1)&amp;"_"&amp;COUNTIF($G$3:G1440,G1440)</f>
        <v>#N/A</v>
      </c>
      <c r="C1440" s="193">
        <v>2025</v>
      </c>
      <c r="D1440" s="193">
        <f>Introduction!$D$7</f>
        <v>0</v>
      </c>
      <c r="E1440" s="193">
        <f>Introduction!$D$8</f>
        <v>0</v>
      </c>
      <c r="F1440" s="193" t="s">
        <v>493</v>
      </c>
      <c r="G1440" s="193" t="s">
        <v>493</v>
      </c>
      <c r="H1440" s="194"/>
      <c r="I1440" s="194"/>
      <c r="J1440" s="196" t="str">
        <f>'Supply chain'!B175</f>
        <v/>
      </c>
      <c r="K1440" s="194"/>
      <c r="L1440" s="194"/>
      <c r="M1440" s="196" t="str">
        <f>'Supply chain'!C175</f>
        <v/>
      </c>
      <c r="N1440" s="196">
        <f>'Supply chain'!D175</f>
        <v>0</v>
      </c>
      <c r="O1440" s="194"/>
      <c r="P1440" s="196" t="str">
        <f>'Supply chain'!E175</f>
        <v>Tier 2</v>
      </c>
      <c r="Q1440" s="196">
        <f>'Supply chain'!F175</f>
        <v>0</v>
      </c>
      <c r="R1440" s="196">
        <f>'Supply chain'!G175</f>
        <v>0</v>
      </c>
      <c r="S1440" s="196" t="str">
        <f>'Supply chain'!H175</f>
        <v>£</v>
      </c>
      <c r="T1440" s="196">
        <f>'Supply chain'!I175</f>
        <v>0</v>
      </c>
      <c r="U1440" s="196" t="str">
        <f>'Supply chain'!J175</f>
        <v>£</v>
      </c>
      <c r="V1440" s="196" t="str">
        <f>'Supply chain'!K175</f>
        <v/>
      </c>
      <c r="W1440" s="196">
        <f>'Supply chain'!L175</f>
        <v>0</v>
      </c>
      <c r="X1440" s="193">
        <f>'Supply chain'!M175</f>
        <v>0</v>
      </c>
      <c r="Y1440" s="196">
        <f>'Supply chain'!N175</f>
        <v>0</v>
      </c>
      <c r="Z1440" s="196">
        <f>'Supply chain'!O175</f>
        <v>0</v>
      </c>
      <c r="AA1440" s="196">
        <f>'Supply chain'!P175</f>
        <v>0</v>
      </c>
      <c r="AB1440" s="196">
        <f>'Supply chain'!Q175</f>
        <v>0</v>
      </c>
      <c r="AC1440" s="196">
        <f>'Supply chain'!R175</f>
        <v>0</v>
      </c>
      <c r="AD1440" s="196">
        <f>'Supply chain'!S175</f>
        <v>0</v>
      </c>
      <c r="AE1440" s="196" t="str">
        <f>'Supply chain'!T175</f>
        <v/>
      </c>
      <c r="AF1440" s="196" t="str">
        <f>'Supply chain'!U175</f>
        <v/>
      </c>
      <c r="AG1440" s="196">
        <f>'Supply chain'!V175</f>
        <v>0</v>
      </c>
      <c r="AI1440" s="193">
        <f t="shared" si="32"/>
        <v>0</v>
      </c>
      <c r="AJ1440" s="193">
        <f t="shared" si="33"/>
        <v>0</v>
      </c>
    </row>
    <row r="1441" spans="2:36" x14ac:dyDescent="0.35">
      <c r="B1441" s="193" t="e">
        <f>"2024"&amp;MATCH(Totals!D1441,OrgType,0)&amp;"_"&amp;MATCH(Totals!E1441,Organisations,0)&amp;"_"&amp;LEFT(Totals!F1441,1)&amp;"_"&amp;LEFT(G1441,1)&amp;"_"&amp;COUNTIF($G$3:G1441,G1441)</f>
        <v>#N/A</v>
      </c>
      <c r="C1441" s="193">
        <v>2025</v>
      </c>
      <c r="D1441" s="193">
        <f>Introduction!$D$7</f>
        <v>0</v>
      </c>
      <c r="E1441" s="193">
        <f>Introduction!$D$8</f>
        <v>0</v>
      </c>
      <c r="F1441" s="193" t="s">
        <v>493</v>
      </c>
      <c r="G1441" s="193" t="s">
        <v>493</v>
      </c>
      <c r="H1441" s="194"/>
      <c r="I1441" s="194"/>
      <c r="J1441" s="196" t="str">
        <f>'Supply chain'!B176</f>
        <v/>
      </c>
      <c r="K1441" s="194"/>
      <c r="L1441" s="194"/>
      <c r="M1441" s="196" t="str">
        <f>'Supply chain'!C176</f>
        <v/>
      </c>
      <c r="N1441" s="196">
        <f>'Supply chain'!D176</f>
        <v>0</v>
      </c>
      <c r="O1441" s="194"/>
      <c r="P1441" s="196" t="str">
        <f>'Supply chain'!E176</f>
        <v>Tier 2</v>
      </c>
      <c r="Q1441" s="196">
        <f>'Supply chain'!F176</f>
        <v>0</v>
      </c>
      <c r="R1441" s="196">
        <f>'Supply chain'!G176</f>
        <v>0</v>
      </c>
      <c r="S1441" s="196" t="str">
        <f>'Supply chain'!H176</f>
        <v>£</v>
      </c>
      <c r="T1441" s="196">
        <f>'Supply chain'!I176</f>
        <v>0</v>
      </c>
      <c r="U1441" s="196" t="str">
        <f>'Supply chain'!J176</f>
        <v>£</v>
      </c>
      <c r="V1441" s="196" t="str">
        <f>'Supply chain'!K176</f>
        <v/>
      </c>
      <c r="W1441" s="196">
        <f>'Supply chain'!L176</f>
        <v>0</v>
      </c>
      <c r="X1441" s="193">
        <f>'Supply chain'!M176</f>
        <v>0</v>
      </c>
      <c r="Y1441" s="196">
        <f>'Supply chain'!N176</f>
        <v>0</v>
      </c>
      <c r="Z1441" s="196">
        <f>'Supply chain'!O176</f>
        <v>0</v>
      </c>
      <c r="AA1441" s="196">
        <f>'Supply chain'!P176</f>
        <v>0</v>
      </c>
      <c r="AB1441" s="196">
        <f>'Supply chain'!Q176</f>
        <v>0</v>
      </c>
      <c r="AC1441" s="196">
        <f>'Supply chain'!R176</f>
        <v>0</v>
      </c>
      <c r="AD1441" s="196">
        <f>'Supply chain'!S176</f>
        <v>0</v>
      </c>
      <c r="AE1441" s="196" t="str">
        <f>'Supply chain'!T176</f>
        <v/>
      </c>
      <c r="AF1441" s="196" t="str">
        <f>'Supply chain'!U176</f>
        <v/>
      </c>
      <c r="AG1441" s="196">
        <f>'Supply chain'!V176</f>
        <v>0</v>
      </c>
      <c r="AI1441" s="193">
        <f t="shared" si="32"/>
        <v>0</v>
      </c>
      <c r="AJ1441" s="193">
        <f t="shared" si="33"/>
        <v>0</v>
      </c>
    </row>
    <row r="1442" spans="2:36" x14ac:dyDescent="0.35">
      <c r="B1442" s="193" t="e">
        <f>"2024"&amp;MATCH(Totals!D1442,OrgType,0)&amp;"_"&amp;MATCH(Totals!E1442,Organisations,0)&amp;"_"&amp;LEFT(Totals!F1442,1)&amp;"_"&amp;LEFT(G1442,1)&amp;"_"&amp;COUNTIF($G$3:G1442,G1442)</f>
        <v>#N/A</v>
      </c>
      <c r="C1442" s="193">
        <v>2025</v>
      </c>
      <c r="D1442" s="193">
        <f>Introduction!$D$7</f>
        <v>0</v>
      </c>
      <c r="E1442" s="193">
        <f>Introduction!$D$8</f>
        <v>0</v>
      </c>
      <c r="F1442" s="193" t="s">
        <v>493</v>
      </c>
      <c r="G1442" s="193" t="s">
        <v>493</v>
      </c>
      <c r="H1442" s="194"/>
      <c r="I1442" s="194"/>
      <c r="J1442" s="196" t="str">
        <f>'Supply chain'!B177</f>
        <v/>
      </c>
      <c r="K1442" s="194"/>
      <c r="L1442" s="194"/>
      <c r="M1442" s="196" t="str">
        <f>'Supply chain'!C177</f>
        <v/>
      </c>
      <c r="N1442" s="196">
        <f>'Supply chain'!D177</f>
        <v>0</v>
      </c>
      <c r="O1442" s="194"/>
      <c r="P1442" s="196" t="str">
        <f>'Supply chain'!E177</f>
        <v>Tier 2</v>
      </c>
      <c r="Q1442" s="196">
        <f>'Supply chain'!F177</f>
        <v>0</v>
      </c>
      <c r="R1442" s="196">
        <f>'Supply chain'!G177</f>
        <v>0</v>
      </c>
      <c r="S1442" s="196" t="str">
        <f>'Supply chain'!H177</f>
        <v>£</v>
      </c>
      <c r="T1442" s="196">
        <f>'Supply chain'!I177</f>
        <v>0</v>
      </c>
      <c r="U1442" s="196" t="str">
        <f>'Supply chain'!J177</f>
        <v>£</v>
      </c>
      <c r="V1442" s="196" t="str">
        <f>'Supply chain'!K177</f>
        <v/>
      </c>
      <c r="W1442" s="196">
        <f>'Supply chain'!L177</f>
        <v>0</v>
      </c>
      <c r="X1442" s="193">
        <f>'Supply chain'!M177</f>
        <v>0</v>
      </c>
      <c r="Y1442" s="196">
        <f>'Supply chain'!N177</f>
        <v>0</v>
      </c>
      <c r="Z1442" s="196">
        <f>'Supply chain'!O177</f>
        <v>0</v>
      </c>
      <c r="AA1442" s="196">
        <f>'Supply chain'!P177</f>
        <v>0</v>
      </c>
      <c r="AB1442" s="196">
        <f>'Supply chain'!Q177</f>
        <v>0</v>
      </c>
      <c r="AC1442" s="196">
        <f>'Supply chain'!R177</f>
        <v>0</v>
      </c>
      <c r="AD1442" s="196">
        <f>'Supply chain'!S177</f>
        <v>0</v>
      </c>
      <c r="AE1442" s="196" t="str">
        <f>'Supply chain'!T177</f>
        <v/>
      </c>
      <c r="AF1442" s="196" t="str">
        <f>'Supply chain'!U177</f>
        <v/>
      </c>
      <c r="AG1442" s="196">
        <f>'Supply chain'!V177</f>
        <v>0</v>
      </c>
      <c r="AI1442" s="193">
        <f t="shared" si="32"/>
        <v>0</v>
      </c>
      <c r="AJ1442" s="193">
        <f t="shared" si="33"/>
        <v>0</v>
      </c>
    </row>
    <row r="1443" spans="2:36" x14ac:dyDescent="0.35">
      <c r="B1443" s="193" t="e">
        <f>"2024"&amp;MATCH(Totals!D1443,OrgType,0)&amp;"_"&amp;MATCH(Totals!E1443,Organisations,0)&amp;"_"&amp;LEFT(Totals!F1443,1)&amp;"_"&amp;LEFT(G1443,1)&amp;"_"&amp;COUNTIF($G$3:G1443,G1443)</f>
        <v>#N/A</v>
      </c>
      <c r="C1443" s="193">
        <v>2025</v>
      </c>
      <c r="D1443" s="193">
        <f>Introduction!$D$7</f>
        <v>0</v>
      </c>
      <c r="E1443" s="193">
        <f>Introduction!$D$8</f>
        <v>0</v>
      </c>
      <c r="F1443" s="193" t="s">
        <v>493</v>
      </c>
      <c r="G1443" s="193" t="s">
        <v>493</v>
      </c>
      <c r="H1443" s="194"/>
      <c r="I1443" s="194"/>
      <c r="J1443" s="196" t="str">
        <f>'Supply chain'!B178</f>
        <v/>
      </c>
      <c r="K1443" s="194"/>
      <c r="L1443" s="194"/>
      <c r="M1443" s="196" t="str">
        <f>'Supply chain'!C178</f>
        <v/>
      </c>
      <c r="N1443" s="196">
        <f>'Supply chain'!D178</f>
        <v>0</v>
      </c>
      <c r="O1443" s="194"/>
      <c r="P1443" s="196" t="str">
        <f>'Supply chain'!E178</f>
        <v>Tier 2</v>
      </c>
      <c r="Q1443" s="196">
        <f>'Supply chain'!F178</f>
        <v>0</v>
      </c>
      <c r="R1443" s="196">
        <f>'Supply chain'!G178</f>
        <v>0</v>
      </c>
      <c r="S1443" s="196" t="str">
        <f>'Supply chain'!H178</f>
        <v>£</v>
      </c>
      <c r="T1443" s="196">
        <f>'Supply chain'!I178</f>
        <v>0</v>
      </c>
      <c r="U1443" s="196" t="str">
        <f>'Supply chain'!J178</f>
        <v>£</v>
      </c>
      <c r="V1443" s="196" t="str">
        <f>'Supply chain'!K178</f>
        <v/>
      </c>
      <c r="W1443" s="196">
        <f>'Supply chain'!L178</f>
        <v>0</v>
      </c>
      <c r="X1443" s="193">
        <f>'Supply chain'!M178</f>
        <v>0</v>
      </c>
      <c r="Y1443" s="196">
        <f>'Supply chain'!N178</f>
        <v>0</v>
      </c>
      <c r="Z1443" s="196">
        <f>'Supply chain'!O178</f>
        <v>0</v>
      </c>
      <c r="AA1443" s="196">
        <f>'Supply chain'!P178</f>
        <v>0</v>
      </c>
      <c r="AB1443" s="196">
        <f>'Supply chain'!Q178</f>
        <v>0</v>
      </c>
      <c r="AC1443" s="196">
        <f>'Supply chain'!R178</f>
        <v>0</v>
      </c>
      <c r="AD1443" s="196">
        <f>'Supply chain'!S178</f>
        <v>0</v>
      </c>
      <c r="AE1443" s="196" t="str">
        <f>'Supply chain'!T178</f>
        <v/>
      </c>
      <c r="AF1443" s="196" t="str">
        <f>'Supply chain'!U178</f>
        <v/>
      </c>
      <c r="AG1443" s="196">
        <f>'Supply chain'!V178</f>
        <v>0</v>
      </c>
      <c r="AI1443" s="193">
        <f t="shared" si="32"/>
        <v>0</v>
      </c>
      <c r="AJ1443" s="193">
        <f t="shared" si="33"/>
        <v>0</v>
      </c>
    </row>
    <row r="1444" spans="2:36" x14ac:dyDescent="0.35">
      <c r="B1444" s="193" t="e">
        <f>"2024"&amp;MATCH(Totals!D1444,OrgType,0)&amp;"_"&amp;MATCH(Totals!E1444,Organisations,0)&amp;"_"&amp;LEFT(Totals!F1444,1)&amp;"_"&amp;LEFT(G1444,1)&amp;"_"&amp;COUNTIF($G$3:G1444,G1444)</f>
        <v>#N/A</v>
      </c>
      <c r="C1444" s="193">
        <v>2025</v>
      </c>
      <c r="D1444" s="193">
        <f>Introduction!$D$7</f>
        <v>0</v>
      </c>
      <c r="E1444" s="193">
        <f>Introduction!$D$8</f>
        <v>0</v>
      </c>
      <c r="F1444" s="193" t="s">
        <v>493</v>
      </c>
      <c r="G1444" s="193" t="s">
        <v>493</v>
      </c>
      <c r="H1444" s="194"/>
      <c r="I1444" s="194"/>
      <c r="J1444" s="196" t="str">
        <f>'Supply chain'!B179</f>
        <v/>
      </c>
      <c r="K1444" s="194"/>
      <c r="L1444" s="194"/>
      <c r="M1444" s="196" t="str">
        <f>'Supply chain'!C179</f>
        <v/>
      </c>
      <c r="N1444" s="196">
        <f>'Supply chain'!D179</f>
        <v>0</v>
      </c>
      <c r="O1444" s="194"/>
      <c r="P1444" s="196" t="str">
        <f>'Supply chain'!E179</f>
        <v>Tier 2</v>
      </c>
      <c r="Q1444" s="196">
        <f>'Supply chain'!F179</f>
        <v>0</v>
      </c>
      <c r="R1444" s="196">
        <f>'Supply chain'!G179</f>
        <v>0</v>
      </c>
      <c r="S1444" s="196" t="str">
        <f>'Supply chain'!H179</f>
        <v>£</v>
      </c>
      <c r="T1444" s="196">
        <f>'Supply chain'!I179</f>
        <v>0</v>
      </c>
      <c r="U1444" s="196" t="str">
        <f>'Supply chain'!J179</f>
        <v>£</v>
      </c>
      <c r="V1444" s="196" t="str">
        <f>'Supply chain'!K179</f>
        <v/>
      </c>
      <c r="W1444" s="196">
        <f>'Supply chain'!L179</f>
        <v>0</v>
      </c>
      <c r="X1444" s="193">
        <f>'Supply chain'!M179</f>
        <v>0</v>
      </c>
      <c r="Y1444" s="196">
        <f>'Supply chain'!N179</f>
        <v>0</v>
      </c>
      <c r="Z1444" s="196">
        <f>'Supply chain'!O179</f>
        <v>0</v>
      </c>
      <c r="AA1444" s="196">
        <f>'Supply chain'!P179</f>
        <v>0</v>
      </c>
      <c r="AB1444" s="196">
        <f>'Supply chain'!Q179</f>
        <v>0</v>
      </c>
      <c r="AC1444" s="196">
        <f>'Supply chain'!R179</f>
        <v>0</v>
      </c>
      <c r="AD1444" s="196">
        <f>'Supply chain'!S179</f>
        <v>0</v>
      </c>
      <c r="AE1444" s="196" t="str">
        <f>'Supply chain'!T179</f>
        <v/>
      </c>
      <c r="AF1444" s="196" t="str">
        <f>'Supply chain'!U179</f>
        <v/>
      </c>
      <c r="AG1444" s="196">
        <f>'Supply chain'!V179</f>
        <v>0</v>
      </c>
      <c r="AI1444" s="193">
        <f t="shared" si="32"/>
        <v>0</v>
      </c>
      <c r="AJ1444" s="193">
        <f t="shared" si="33"/>
        <v>0</v>
      </c>
    </row>
    <row r="1445" spans="2:36" x14ac:dyDescent="0.35">
      <c r="B1445" s="193" t="e">
        <f>"2024"&amp;MATCH(Totals!D1445,OrgType,0)&amp;"_"&amp;MATCH(Totals!E1445,Organisations,0)&amp;"_"&amp;LEFT(Totals!F1445,1)&amp;"_"&amp;LEFT(G1445,1)&amp;"_"&amp;COUNTIF($G$3:G1445,G1445)</f>
        <v>#N/A</v>
      </c>
      <c r="C1445" s="193">
        <v>2025</v>
      </c>
      <c r="D1445" s="193">
        <f>Introduction!$D$7</f>
        <v>0</v>
      </c>
      <c r="E1445" s="193">
        <f>Introduction!$D$8</f>
        <v>0</v>
      </c>
      <c r="F1445" s="193" t="s">
        <v>493</v>
      </c>
      <c r="G1445" s="193" t="s">
        <v>493</v>
      </c>
      <c r="H1445" s="194"/>
      <c r="I1445" s="194"/>
      <c r="J1445" s="196" t="str">
        <f>'Supply chain'!B180</f>
        <v/>
      </c>
      <c r="K1445" s="194"/>
      <c r="L1445" s="194"/>
      <c r="M1445" s="196" t="str">
        <f>'Supply chain'!C180</f>
        <v/>
      </c>
      <c r="N1445" s="196">
        <f>'Supply chain'!D180</f>
        <v>0</v>
      </c>
      <c r="O1445" s="194"/>
      <c r="P1445" s="196" t="str">
        <f>'Supply chain'!E180</f>
        <v>Tier 2</v>
      </c>
      <c r="Q1445" s="196">
        <f>'Supply chain'!F180</f>
        <v>0</v>
      </c>
      <c r="R1445" s="196">
        <f>'Supply chain'!G180</f>
        <v>0</v>
      </c>
      <c r="S1445" s="196" t="str">
        <f>'Supply chain'!H180</f>
        <v>£</v>
      </c>
      <c r="T1445" s="196">
        <f>'Supply chain'!I180</f>
        <v>0</v>
      </c>
      <c r="U1445" s="196" t="str">
        <f>'Supply chain'!J180</f>
        <v>£</v>
      </c>
      <c r="V1445" s="196" t="str">
        <f>'Supply chain'!K180</f>
        <v/>
      </c>
      <c r="W1445" s="196">
        <f>'Supply chain'!L180</f>
        <v>0</v>
      </c>
      <c r="X1445" s="193">
        <f>'Supply chain'!M180</f>
        <v>0</v>
      </c>
      <c r="Y1445" s="196">
        <f>'Supply chain'!N180</f>
        <v>0</v>
      </c>
      <c r="Z1445" s="196">
        <f>'Supply chain'!O180</f>
        <v>0</v>
      </c>
      <c r="AA1445" s="196">
        <f>'Supply chain'!P180</f>
        <v>0</v>
      </c>
      <c r="AB1445" s="196">
        <f>'Supply chain'!Q180</f>
        <v>0</v>
      </c>
      <c r="AC1445" s="196">
        <f>'Supply chain'!R180</f>
        <v>0</v>
      </c>
      <c r="AD1445" s="196">
        <f>'Supply chain'!S180</f>
        <v>0</v>
      </c>
      <c r="AE1445" s="196" t="str">
        <f>'Supply chain'!T180</f>
        <v/>
      </c>
      <c r="AF1445" s="196" t="str">
        <f>'Supply chain'!U180</f>
        <v/>
      </c>
      <c r="AG1445" s="196">
        <f>'Supply chain'!V180</f>
        <v>0</v>
      </c>
      <c r="AI1445" s="193">
        <f t="shared" si="32"/>
        <v>0</v>
      </c>
      <c r="AJ1445" s="193">
        <f t="shared" si="33"/>
        <v>0</v>
      </c>
    </row>
    <row r="1446" spans="2:36" x14ac:dyDescent="0.35">
      <c r="B1446" s="193" t="e">
        <f>"2024"&amp;MATCH(Totals!D1446,OrgType,0)&amp;"_"&amp;MATCH(Totals!E1446,Organisations,0)&amp;"_"&amp;LEFT(Totals!F1446,1)&amp;"_"&amp;LEFT(G1446,1)&amp;"_"&amp;COUNTIF($G$3:G1446,G1446)</f>
        <v>#N/A</v>
      </c>
      <c r="C1446" s="193">
        <v>2025</v>
      </c>
      <c r="D1446" s="193">
        <f>Introduction!$D$7</f>
        <v>0</v>
      </c>
      <c r="E1446" s="193">
        <f>Introduction!$D$8</f>
        <v>0</v>
      </c>
      <c r="F1446" s="193" t="s">
        <v>493</v>
      </c>
      <c r="G1446" s="193" t="s">
        <v>493</v>
      </c>
      <c r="H1446" s="194"/>
      <c r="I1446" s="194"/>
      <c r="J1446" s="196" t="str">
        <f>'Supply chain'!B181</f>
        <v/>
      </c>
      <c r="K1446" s="194"/>
      <c r="L1446" s="194"/>
      <c r="M1446" s="196" t="str">
        <f>'Supply chain'!C181</f>
        <v/>
      </c>
      <c r="N1446" s="196">
        <f>'Supply chain'!D181</f>
        <v>0</v>
      </c>
      <c r="O1446" s="194"/>
      <c r="P1446" s="196" t="str">
        <f>'Supply chain'!E181</f>
        <v>Tier 2</v>
      </c>
      <c r="Q1446" s="196">
        <f>'Supply chain'!F181</f>
        <v>0</v>
      </c>
      <c r="R1446" s="196">
        <f>'Supply chain'!G181</f>
        <v>0</v>
      </c>
      <c r="S1446" s="196" t="str">
        <f>'Supply chain'!H181</f>
        <v>£</v>
      </c>
      <c r="T1446" s="196">
        <f>'Supply chain'!I181</f>
        <v>0</v>
      </c>
      <c r="U1446" s="196" t="str">
        <f>'Supply chain'!J181</f>
        <v>£</v>
      </c>
      <c r="V1446" s="196" t="str">
        <f>'Supply chain'!K181</f>
        <v/>
      </c>
      <c r="W1446" s="196">
        <f>'Supply chain'!L181</f>
        <v>0</v>
      </c>
      <c r="X1446" s="193">
        <f>'Supply chain'!M181</f>
        <v>0</v>
      </c>
      <c r="Y1446" s="196">
        <f>'Supply chain'!N181</f>
        <v>0</v>
      </c>
      <c r="Z1446" s="196">
        <f>'Supply chain'!O181</f>
        <v>0</v>
      </c>
      <c r="AA1446" s="196">
        <f>'Supply chain'!P181</f>
        <v>0</v>
      </c>
      <c r="AB1446" s="196">
        <f>'Supply chain'!Q181</f>
        <v>0</v>
      </c>
      <c r="AC1446" s="196">
        <f>'Supply chain'!R181</f>
        <v>0</v>
      </c>
      <c r="AD1446" s="196">
        <f>'Supply chain'!S181</f>
        <v>0</v>
      </c>
      <c r="AE1446" s="196" t="str">
        <f>'Supply chain'!T181</f>
        <v/>
      </c>
      <c r="AF1446" s="196" t="str">
        <f>'Supply chain'!U181</f>
        <v/>
      </c>
      <c r="AG1446" s="196">
        <f>'Supply chain'!V181</f>
        <v>0</v>
      </c>
      <c r="AI1446" s="193">
        <f t="shared" si="32"/>
        <v>0</v>
      </c>
      <c r="AJ1446" s="193">
        <f t="shared" si="33"/>
        <v>0</v>
      </c>
    </row>
    <row r="1447" spans="2:36" x14ac:dyDescent="0.35">
      <c r="B1447" s="193" t="e">
        <f>"2024"&amp;MATCH(Totals!D1447,OrgType,0)&amp;"_"&amp;MATCH(Totals!E1447,Organisations,0)&amp;"_"&amp;LEFT(Totals!F1447,1)&amp;"_"&amp;LEFT(G1447,1)&amp;"_"&amp;COUNTIF($G$3:G1447,G1447)</f>
        <v>#N/A</v>
      </c>
      <c r="C1447" s="193">
        <v>2025</v>
      </c>
      <c r="D1447" s="193">
        <f>Introduction!$D$7</f>
        <v>0</v>
      </c>
      <c r="E1447" s="193">
        <f>Introduction!$D$8</f>
        <v>0</v>
      </c>
      <c r="F1447" s="193" t="s">
        <v>493</v>
      </c>
      <c r="G1447" s="193" t="s">
        <v>493</v>
      </c>
      <c r="H1447" s="194"/>
      <c r="I1447" s="194"/>
      <c r="J1447" s="196" t="str">
        <f>'Supply chain'!B182</f>
        <v/>
      </c>
      <c r="K1447" s="194"/>
      <c r="L1447" s="194"/>
      <c r="M1447" s="196" t="str">
        <f>'Supply chain'!C182</f>
        <v/>
      </c>
      <c r="N1447" s="196">
        <f>'Supply chain'!D182</f>
        <v>0</v>
      </c>
      <c r="O1447" s="194"/>
      <c r="P1447" s="196" t="str">
        <f>'Supply chain'!E182</f>
        <v>Tier 2</v>
      </c>
      <c r="Q1447" s="196">
        <f>'Supply chain'!F182</f>
        <v>0</v>
      </c>
      <c r="R1447" s="196">
        <f>'Supply chain'!G182</f>
        <v>0</v>
      </c>
      <c r="S1447" s="196" t="str">
        <f>'Supply chain'!H182</f>
        <v>£</v>
      </c>
      <c r="T1447" s="196">
        <f>'Supply chain'!I182</f>
        <v>0</v>
      </c>
      <c r="U1447" s="196" t="str">
        <f>'Supply chain'!J182</f>
        <v>£</v>
      </c>
      <c r="V1447" s="196" t="str">
        <f>'Supply chain'!K182</f>
        <v/>
      </c>
      <c r="W1447" s="196">
        <f>'Supply chain'!L182</f>
        <v>0</v>
      </c>
      <c r="X1447" s="193">
        <f>'Supply chain'!M182</f>
        <v>0</v>
      </c>
      <c r="Y1447" s="196">
        <f>'Supply chain'!N182</f>
        <v>0</v>
      </c>
      <c r="Z1447" s="196">
        <f>'Supply chain'!O182</f>
        <v>0</v>
      </c>
      <c r="AA1447" s="196">
        <f>'Supply chain'!P182</f>
        <v>0</v>
      </c>
      <c r="AB1447" s="196">
        <f>'Supply chain'!Q182</f>
        <v>0</v>
      </c>
      <c r="AC1447" s="196">
        <f>'Supply chain'!R182</f>
        <v>0</v>
      </c>
      <c r="AD1447" s="196">
        <f>'Supply chain'!S182</f>
        <v>0</v>
      </c>
      <c r="AE1447" s="196" t="str">
        <f>'Supply chain'!T182</f>
        <v/>
      </c>
      <c r="AF1447" s="196" t="str">
        <f>'Supply chain'!U182</f>
        <v/>
      </c>
      <c r="AG1447" s="196">
        <f>'Supply chain'!V182</f>
        <v>0</v>
      </c>
      <c r="AI1447" s="193">
        <f t="shared" si="32"/>
        <v>0</v>
      </c>
      <c r="AJ1447" s="193">
        <f t="shared" si="33"/>
        <v>0</v>
      </c>
    </row>
    <row r="1448" spans="2:36" x14ac:dyDescent="0.35">
      <c r="B1448" s="193" t="e">
        <f>"2024"&amp;MATCH(Totals!D1448,OrgType,0)&amp;"_"&amp;MATCH(Totals!E1448,Organisations,0)&amp;"_"&amp;LEFT(Totals!F1448,1)&amp;"_"&amp;LEFT(G1448,1)&amp;"_"&amp;COUNTIF($G$3:G1448,G1448)</f>
        <v>#N/A</v>
      </c>
      <c r="C1448" s="193">
        <v>2025</v>
      </c>
      <c r="D1448" s="193">
        <f>Introduction!$D$7</f>
        <v>0</v>
      </c>
      <c r="E1448" s="193">
        <f>Introduction!$D$8</f>
        <v>0</v>
      </c>
      <c r="F1448" s="193" t="s">
        <v>493</v>
      </c>
      <c r="G1448" s="193" t="s">
        <v>493</v>
      </c>
      <c r="H1448" s="194"/>
      <c r="I1448" s="194"/>
      <c r="J1448" s="196" t="str">
        <f>'Supply chain'!B183</f>
        <v/>
      </c>
      <c r="K1448" s="194"/>
      <c r="L1448" s="194"/>
      <c r="M1448" s="196" t="str">
        <f>'Supply chain'!C183</f>
        <v/>
      </c>
      <c r="N1448" s="196">
        <f>'Supply chain'!D183</f>
        <v>0</v>
      </c>
      <c r="O1448" s="194"/>
      <c r="P1448" s="196" t="str">
        <f>'Supply chain'!E183</f>
        <v>Tier 2</v>
      </c>
      <c r="Q1448" s="196">
        <f>'Supply chain'!F183</f>
        <v>0</v>
      </c>
      <c r="R1448" s="196">
        <f>'Supply chain'!G183</f>
        <v>0</v>
      </c>
      <c r="S1448" s="196" t="str">
        <f>'Supply chain'!H183</f>
        <v>£</v>
      </c>
      <c r="T1448" s="196">
        <f>'Supply chain'!I183</f>
        <v>0</v>
      </c>
      <c r="U1448" s="196" t="str">
        <f>'Supply chain'!J183</f>
        <v>£</v>
      </c>
      <c r="V1448" s="196" t="str">
        <f>'Supply chain'!K183</f>
        <v/>
      </c>
      <c r="W1448" s="196">
        <f>'Supply chain'!L183</f>
        <v>0</v>
      </c>
      <c r="X1448" s="193">
        <f>'Supply chain'!M183</f>
        <v>0</v>
      </c>
      <c r="Y1448" s="196">
        <f>'Supply chain'!N183</f>
        <v>0</v>
      </c>
      <c r="Z1448" s="196">
        <f>'Supply chain'!O183</f>
        <v>0</v>
      </c>
      <c r="AA1448" s="196">
        <f>'Supply chain'!P183</f>
        <v>0</v>
      </c>
      <c r="AB1448" s="196">
        <f>'Supply chain'!Q183</f>
        <v>0</v>
      </c>
      <c r="AC1448" s="196">
        <f>'Supply chain'!R183</f>
        <v>0</v>
      </c>
      <c r="AD1448" s="196">
        <f>'Supply chain'!S183</f>
        <v>0</v>
      </c>
      <c r="AE1448" s="196" t="str">
        <f>'Supply chain'!T183</f>
        <v/>
      </c>
      <c r="AF1448" s="196" t="str">
        <f>'Supply chain'!U183</f>
        <v/>
      </c>
      <c r="AG1448" s="196">
        <f>'Supply chain'!V183</f>
        <v>0</v>
      </c>
      <c r="AI1448" s="193">
        <f t="shared" si="32"/>
        <v>0</v>
      </c>
      <c r="AJ1448" s="193">
        <f t="shared" si="33"/>
        <v>0</v>
      </c>
    </row>
    <row r="1449" spans="2:36" x14ac:dyDescent="0.35">
      <c r="B1449" s="193" t="e">
        <f>"2024"&amp;MATCH(Totals!D1449,OrgType,0)&amp;"_"&amp;MATCH(Totals!E1449,Organisations,0)&amp;"_"&amp;LEFT(Totals!F1449,1)&amp;"_"&amp;LEFT(G1449,1)&amp;"_"&amp;COUNTIF($G$3:G1449,G1449)</f>
        <v>#N/A</v>
      </c>
      <c r="C1449" s="193">
        <v>2025</v>
      </c>
      <c r="D1449" s="193">
        <f>Introduction!$D$7</f>
        <v>0</v>
      </c>
      <c r="E1449" s="193">
        <f>Introduction!$D$8</f>
        <v>0</v>
      </c>
      <c r="F1449" s="193" t="s">
        <v>493</v>
      </c>
      <c r="G1449" s="193" t="s">
        <v>493</v>
      </c>
      <c r="H1449" s="194"/>
      <c r="I1449" s="194"/>
      <c r="J1449" s="196" t="str">
        <f>'Supply chain'!B184</f>
        <v/>
      </c>
      <c r="K1449" s="194"/>
      <c r="L1449" s="194"/>
      <c r="M1449" s="196" t="str">
        <f>'Supply chain'!C184</f>
        <v/>
      </c>
      <c r="N1449" s="196">
        <f>'Supply chain'!D184</f>
        <v>0</v>
      </c>
      <c r="O1449" s="194"/>
      <c r="P1449" s="196" t="str">
        <f>'Supply chain'!E184</f>
        <v>Tier 2</v>
      </c>
      <c r="Q1449" s="196">
        <f>'Supply chain'!F184</f>
        <v>0</v>
      </c>
      <c r="R1449" s="196">
        <f>'Supply chain'!G184</f>
        <v>0</v>
      </c>
      <c r="S1449" s="196" t="str">
        <f>'Supply chain'!H184</f>
        <v>£</v>
      </c>
      <c r="T1449" s="196">
        <f>'Supply chain'!I184</f>
        <v>0</v>
      </c>
      <c r="U1449" s="196" t="str">
        <f>'Supply chain'!J184</f>
        <v>£</v>
      </c>
      <c r="V1449" s="196" t="str">
        <f>'Supply chain'!K184</f>
        <v/>
      </c>
      <c r="W1449" s="196">
        <f>'Supply chain'!L184</f>
        <v>0</v>
      </c>
      <c r="X1449" s="193">
        <f>'Supply chain'!M184</f>
        <v>0</v>
      </c>
      <c r="Y1449" s="196">
        <f>'Supply chain'!N184</f>
        <v>0</v>
      </c>
      <c r="Z1449" s="196">
        <f>'Supply chain'!O184</f>
        <v>0</v>
      </c>
      <c r="AA1449" s="196">
        <f>'Supply chain'!P184</f>
        <v>0</v>
      </c>
      <c r="AB1449" s="196">
        <f>'Supply chain'!Q184</f>
        <v>0</v>
      </c>
      <c r="AC1449" s="196">
        <f>'Supply chain'!R184</f>
        <v>0</v>
      </c>
      <c r="AD1449" s="196">
        <f>'Supply chain'!S184</f>
        <v>0</v>
      </c>
      <c r="AE1449" s="196" t="str">
        <f>'Supply chain'!T184</f>
        <v/>
      </c>
      <c r="AF1449" s="196" t="str">
        <f>'Supply chain'!U184</f>
        <v/>
      </c>
      <c r="AG1449" s="196">
        <f>'Supply chain'!V184</f>
        <v>0</v>
      </c>
      <c r="AI1449" s="193">
        <f t="shared" si="32"/>
        <v>0</v>
      </c>
      <c r="AJ1449" s="193">
        <f t="shared" si="33"/>
        <v>0</v>
      </c>
    </row>
    <row r="1450" spans="2:36" x14ac:dyDescent="0.35">
      <c r="B1450" s="193" t="e">
        <f>"2024"&amp;MATCH(Totals!D1450,OrgType,0)&amp;"_"&amp;MATCH(Totals!E1450,Organisations,0)&amp;"_"&amp;LEFT(Totals!F1450,1)&amp;"_"&amp;LEFT(G1450,1)&amp;"_"&amp;COUNTIF($G$3:G1450,G1450)</f>
        <v>#N/A</v>
      </c>
      <c r="C1450" s="193">
        <v>2025</v>
      </c>
      <c r="D1450" s="193">
        <f>Introduction!$D$7</f>
        <v>0</v>
      </c>
      <c r="E1450" s="193">
        <f>Introduction!$D$8</f>
        <v>0</v>
      </c>
      <c r="F1450" s="193" t="s">
        <v>493</v>
      </c>
      <c r="G1450" s="193" t="s">
        <v>493</v>
      </c>
      <c r="H1450" s="194"/>
      <c r="I1450" s="194"/>
      <c r="J1450" s="196" t="str">
        <f>'Supply chain'!B185</f>
        <v/>
      </c>
      <c r="K1450" s="194"/>
      <c r="L1450" s="194"/>
      <c r="M1450" s="196" t="str">
        <f>'Supply chain'!C185</f>
        <v/>
      </c>
      <c r="N1450" s="196">
        <f>'Supply chain'!D185</f>
        <v>0</v>
      </c>
      <c r="O1450" s="194"/>
      <c r="P1450" s="196" t="str">
        <f>'Supply chain'!E185</f>
        <v>Tier 2</v>
      </c>
      <c r="Q1450" s="196">
        <f>'Supply chain'!F185</f>
        <v>0</v>
      </c>
      <c r="R1450" s="196">
        <f>'Supply chain'!G185</f>
        <v>0</v>
      </c>
      <c r="S1450" s="196" t="str">
        <f>'Supply chain'!H185</f>
        <v>£</v>
      </c>
      <c r="T1450" s="196">
        <f>'Supply chain'!I185</f>
        <v>0</v>
      </c>
      <c r="U1450" s="196" t="str">
        <f>'Supply chain'!J185</f>
        <v>£</v>
      </c>
      <c r="V1450" s="196" t="str">
        <f>'Supply chain'!K185</f>
        <v/>
      </c>
      <c r="W1450" s="196">
        <f>'Supply chain'!L185</f>
        <v>0</v>
      </c>
      <c r="X1450" s="193">
        <f>'Supply chain'!M185</f>
        <v>0</v>
      </c>
      <c r="Y1450" s="196">
        <f>'Supply chain'!N185</f>
        <v>0</v>
      </c>
      <c r="Z1450" s="196">
        <f>'Supply chain'!O185</f>
        <v>0</v>
      </c>
      <c r="AA1450" s="196">
        <f>'Supply chain'!P185</f>
        <v>0</v>
      </c>
      <c r="AB1450" s="196">
        <f>'Supply chain'!Q185</f>
        <v>0</v>
      </c>
      <c r="AC1450" s="196">
        <f>'Supply chain'!R185</f>
        <v>0</v>
      </c>
      <c r="AD1450" s="196">
        <f>'Supply chain'!S185</f>
        <v>0</v>
      </c>
      <c r="AE1450" s="196" t="str">
        <f>'Supply chain'!T185</f>
        <v/>
      </c>
      <c r="AF1450" s="196" t="str">
        <f>'Supply chain'!U185</f>
        <v/>
      </c>
      <c r="AG1450" s="196">
        <f>'Supply chain'!V185</f>
        <v>0</v>
      </c>
      <c r="AI1450" s="193">
        <f t="shared" si="32"/>
        <v>0</v>
      </c>
      <c r="AJ1450" s="193">
        <f t="shared" si="33"/>
        <v>0</v>
      </c>
    </row>
    <row r="1451" spans="2:36" x14ac:dyDescent="0.35">
      <c r="B1451" s="193" t="e">
        <f>"2024"&amp;MATCH(Totals!D1451,OrgType,0)&amp;"_"&amp;MATCH(Totals!E1451,Organisations,0)&amp;"_"&amp;LEFT(Totals!F1451,1)&amp;"_"&amp;LEFT(G1451,1)&amp;"_"&amp;COUNTIF($G$3:G1451,G1451)</f>
        <v>#N/A</v>
      </c>
      <c r="C1451" s="193">
        <v>2025</v>
      </c>
      <c r="D1451" s="193">
        <f>Introduction!$D$7</f>
        <v>0</v>
      </c>
      <c r="E1451" s="193">
        <f>Introduction!$D$8</f>
        <v>0</v>
      </c>
      <c r="F1451" s="193" t="s">
        <v>493</v>
      </c>
      <c r="G1451" s="193" t="s">
        <v>493</v>
      </c>
      <c r="H1451" s="194"/>
      <c r="I1451" s="194"/>
      <c r="J1451" s="196" t="str">
        <f>'Supply chain'!B186</f>
        <v/>
      </c>
      <c r="K1451" s="194"/>
      <c r="L1451" s="194"/>
      <c r="M1451" s="196" t="str">
        <f>'Supply chain'!C186</f>
        <v/>
      </c>
      <c r="N1451" s="196">
        <f>'Supply chain'!D186</f>
        <v>0</v>
      </c>
      <c r="O1451" s="194"/>
      <c r="P1451" s="196" t="str">
        <f>'Supply chain'!E186</f>
        <v>Tier 2</v>
      </c>
      <c r="Q1451" s="196">
        <f>'Supply chain'!F186</f>
        <v>0</v>
      </c>
      <c r="R1451" s="196">
        <f>'Supply chain'!G186</f>
        <v>0</v>
      </c>
      <c r="S1451" s="196" t="str">
        <f>'Supply chain'!H186</f>
        <v>£</v>
      </c>
      <c r="T1451" s="196">
        <f>'Supply chain'!I186</f>
        <v>0</v>
      </c>
      <c r="U1451" s="196" t="str">
        <f>'Supply chain'!J186</f>
        <v>£</v>
      </c>
      <c r="V1451" s="196" t="str">
        <f>'Supply chain'!K186</f>
        <v/>
      </c>
      <c r="W1451" s="196">
        <f>'Supply chain'!L186</f>
        <v>0</v>
      </c>
      <c r="X1451" s="193">
        <f>'Supply chain'!M186</f>
        <v>0</v>
      </c>
      <c r="Y1451" s="196">
        <f>'Supply chain'!N186</f>
        <v>0</v>
      </c>
      <c r="Z1451" s="196">
        <f>'Supply chain'!O186</f>
        <v>0</v>
      </c>
      <c r="AA1451" s="196">
        <f>'Supply chain'!P186</f>
        <v>0</v>
      </c>
      <c r="AB1451" s="196">
        <f>'Supply chain'!Q186</f>
        <v>0</v>
      </c>
      <c r="AC1451" s="196">
        <f>'Supply chain'!R186</f>
        <v>0</v>
      </c>
      <c r="AD1451" s="196">
        <f>'Supply chain'!S186</f>
        <v>0</v>
      </c>
      <c r="AE1451" s="196" t="str">
        <f>'Supply chain'!T186</f>
        <v/>
      </c>
      <c r="AF1451" s="196" t="str">
        <f>'Supply chain'!U186</f>
        <v/>
      </c>
      <c r="AG1451" s="196">
        <f>'Supply chain'!V186</f>
        <v>0</v>
      </c>
      <c r="AI1451" s="193">
        <f t="shared" si="32"/>
        <v>0</v>
      </c>
      <c r="AJ1451" s="193">
        <f t="shared" si="33"/>
        <v>0</v>
      </c>
    </row>
    <row r="1452" spans="2:36" x14ac:dyDescent="0.35">
      <c r="B1452" s="193" t="e">
        <f>"2024"&amp;MATCH(Totals!D1452,OrgType,0)&amp;"_"&amp;MATCH(Totals!E1452,Organisations,0)&amp;"_"&amp;LEFT(Totals!F1452,1)&amp;"_"&amp;LEFT(G1452,1)&amp;"_"&amp;COUNTIF($G$3:G1452,G1452)</f>
        <v>#N/A</v>
      </c>
      <c r="C1452" s="193">
        <v>2025</v>
      </c>
      <c r="D1452" s="193">
        <f>Introduction!$D$7</f>
        <v>0</v>
      </c>
      <c r="E1452" s="193">
        <f>Introduction!$D$8</f>
        <v>0</v>
      </c>
      <c r="F1452" s="193" t="s">
        <v>493</v>
      </c>
      <c r="G1452" s="193" t="s">
        <v>493</v>
      </c>
      <c r="H1452" s="194"/>
      <c r="I1452" s="194"/>
      <c r="J1452" s="196" t="str">
        <f>'Supply chain'!B187</f>
        <v/>
      </c>
      <c r="K1452" s="194"/>
      <c r="L1452" s="194"/>
      <c r="M1452" s="196" t="str">
        <f>'Supply chain'!C187</f>
        <v/>
      </c>
      <c r="N1452" s="196">
        <f>'Supply chain'!D187</f>
        <v>0</v>
      </c>
      <c r="O1452" s="194"/>
      <c r="P1452" s="196" t="str">
        <f>'Supply chain'!E187</f>
        <v>Tier 2</v>
      </c>
      <c r="Q1452" s="196">
        <f>'Supply chain'!F187</f>
        <v>0</v>
      </c>
      <c r="R1452" s="196">
        <f>'Supply chain'!G187</f>
        <v>0</v>
      </c>
      <c r="S1452" s="196" t="str">
        <f>'Supply chain'!H187</f>
        <v>£</v>
      </c>
      <c r="T1452" s="196">
        <f>'Supply chain'!I187</f>
        <v>0</v>
      </c>
      <c r="U1452" s="196" t="str">
        <f>'Supply chain'!J187</f>
        <v>£</v>
      </c>
      <c r="V1452" s="196" t="str">
        <f>'Supply chain'!K187</f>
        <v/>
      </c>
      <c r="W1452" s="196">
        <f>'Supply chain'!L187</f>
        <v>0</v>
      </c>
      <c r="X1452" s="193">
        <f>'Supply chain'!M187</f>
        <v>0</v>
      </c>
      <c r="Y1452" s="196">
        <f>'Supply chain'!N187</f>
        <v>0</v>
      </c>
      <c r="Z1452" s="196">
        <f>'Supply chain'!O187</f>
        <v>0</v>
      </c>
      <c r="AA1452" s="196">
        <f>'Supply chain'!P187</f>
        <v>0</v>
      </c>
      <c r="AB1452" s="196">
        <f>'Supply chain'!Q187</f>
        <v>0</v>
      </c>
      <c r="AC1452" s="196">
        <f>'Supply chain'!R187</f>
        <v>0</v>
      </c>
      <c r="AD1452" s="196">
        <f>'Supply chain'!S187</f>
        <v>0</v>
      </c>
      <c r="AE1452" s="196" t="str">
        <f>'Supply chain'!T187</f>
        <v/>
      </c>
      <c r="AF1452" s="196" t="str">
        <f>'Supply chain'!U187</f>
        <v/>
      </c>
      <c r="AG1452" s="196">
        <f>'Supply chain'!V187</f>
        <v>0</v>
      </c>
      <c r="AI1452" s="193">
        <f t="shared" si="32"/>
        <v>0</v>
      </c>
      <c r="AJ1452" s="193">
        <f t="shared" si="33"/>
        <v>0</v>
      </c>
    </row>
    <row r="1453" spans="2:36" x14ac:dyDescent="0.35">
      <c r="B1453" s="193" t="e">
        <f>"2024"&amp;MATCH(Totals!D1453,OrgType,0)&amp;"_"&amp;MATCH(Totals!E1453,Organisations,0)&amp;"_"&amp;LEFT(Totals!F1453,1)&amp;"_"&amp;LEFT(G1453,1)&amp;"_"&amp;COUNTIF($G$3:G1453,G1453)</f>
        <v>#N/A</v>
      </c>
      <c r="C1453" s="193">
        <v>2025</v>
      </c>
      <c r="D1453" s="193">
        <f>Introduction!$D$7</f>
        <v>0</v>
      </c>
      <c r="E1453" s="193">
        <f>Introduction!$D$8</f>
        <v>0</v>
      </c>
      <c r="F1453" s="193" t="s">
        <v>493</v>
      </c>
      <c r="G1453" s="193" t="s">
        <v>493</v>
      </c>
      <c r="H1453" s="194"/>
      <c r="I1453" s="194"/>
      <c r="J1453" s="196" t="str">
        <f>'Supply chain'!B188</f>
        <v/>
      </c>
      <c r="K1453" s="194"/>
      <c r="L1453" s="194"/>
      <c r="M1453" s="196" t="str">
        <f>'Supply chain'!C188</f>
        <v/>
      </c>
      <c r="N1453" s="196">
        <f>'Supply chain'!D188</f>
        <v>0</v>
      </c>
      <c r="O1453" s="194"/>
      <c r="P1453" s="196" t="str">
        <f>'Supply chain'!E188</f>
        <v>Tier 2</v>
      </c>
      <c r="Q1453" s="196">
        <f>'Supply chain'!F188</f>
        <v>0</v>
      </c>
      <c r="R1453" s="196">
        <f>'Supply chain'!G188</f>
        <v>0</v>
      </c>
      <c r="S1453" s="196" t="str">
        <f>'Supply chain'!H188</f>
        <v>£</v>
      </c>
      <c r="T1453" s="196">
        <f>'Supply chain'!I188</f>
        <v>0</v>
      </c>
      <c r="U1453" s="196" t="str">
        <f>'Supply chain'!J188</f>
        <v>£</v>
      </c>
      <c r="V1453" s="196" t="str">
        <f>'Supply chain'!K188</f>
        <v/>
      </c>
      <c r="W1453" s="196">
        <f>'Supply chain'!L188</f>
        <v>0</v>
      </c>
      <c r="X1453" s="193">
        <f>'Supply chain'!M188</f>
        <v>0</v>
      </c>
      <c r="Y1453" s="196">
        <f>'Supply chain'!N188</f>
        <v>0</v>
      </c>
      <c r="Z1453" s="196">
        <f>'Supply chain'!O188</f>
        <v>0</v>
      </c>
      <c r="AA1453" s="196">
        <f>'Supply chain'!P188</f>
        <v>0</v>
      </c>
      <c r="AB1453" s="196">
        <f>'Supply chain'!Q188</f>
        <v>0</v>
      </c>
      <c r="AC1453" s="196">
        <f>'Supply chain'!R188</f>
        <v>0</v>
      </c>
      <c r="AD1453" s="196">
        <f>'Supply chain'!S188</f>
        <v>0</v>
      </c>
      <c r="AE1453" s="196" t="str">
        <f>'Supply chain'!T188</f>
        <v/>
      </c>
      <c r="AF1453" s="196" t="str">
        <f>'Supply chain'!U188</f>
        <v/>
      </c>
      <c r="AG1453" s="196">
        <f>'Supply chain'!V188</f>
        <v>0</v>
      </c>
      <c r="AI1453" s="193">
        <f t="shared" si="32"/>
        <v>0</v>
      </c>
      <c r="AJ1453" s="193">
        <f t="shared" si="33"/>
        <v>0</v>
      </c>
    </row>
    <row r="1454" spans="2:36" x14ac:dyDescent="0.35">
      <c r="B1454" s="193" t="e">
        <f>"2024"&amp;MATCH(Totals!D1454,OrgType,0)&amp;"_"&amp;MATCH(Totals!E1454,Organisations,0)&amp;"_"&amp;LEFT(Totals!F1454,1)&amp;"_"&amp;LEFT(G1454,1)&amp;"_"&amp;COUNTIF($G$3:G1454,G1454)</f>
        <v>#N/A</v>
      </c>
      <c r="C1454" s="193">
        <v>2025</v>
      </c>
      <c r="D1454" s="193">
        <f>Introduction!$D$7</f>
        <v>0</v>
      </c>
      <c r="E1454" s="193">
        <f>Introduction!$D$8</f>
        <v>0</v>
      </c>
      <c r="F1454" s="193" t="s">
        <v>493</v>
      </c>
      <c r="G1454" s="193" t="s">
        <v>493</v>
      </c>
      <c r="H1454" s="194"/>
      <c r="I1454" s="194"/>
      <c r="J1454" s="196" t="str">
        <f>'Supply chain'!B189</f>
        <v/>
      </c>
      <c r="K1454" s="194"/>
      <c r="L1454" s="194"/>
      <c r="M1454" s="196" t="str">
        <f>'Supply chain'!C189</f>
        <v/>
      </c>
      <c r="N1454" s="196">
        <f>'Supply chain'!D189</f>
        <v>0</v>
      </c>
      <c r="O1454" s="194"/>
      <c r="P1454" s="196" t="str">
        <f>'Supply chain'!E189</f>
        <v>Tier 2</v>
      </c>
      <c r="Q1454" s="196">
        <f>'Supply chain'!F189</f>
        <v>0</v>
      </c>
      <c r="R1454" s="196">
        <f>'Supply chain'!G189</f>
        <v>0</v>
      </c>
      <c r="S1454" s="196" t="str">
        <f>'Supply chain'!H189</f>
        <v>£</v>
      </c>
      <c r="T1454" s="196">
        <f>'Supply chain'!I189</f>
        <v>0</v>
      </c>
      <c r="U1454" s="196" t="str">
        <f>'Supply chain'!J189</f>
        <v>£</v>
      </c>
      <c r="V1454" s="196" t="str">
        <f>'Supply chain'!K189</f>
        <v/>
      </c>
      <c r="W1454" s="196">
        <f>'Supply chain'!L189</f>
        <v>0</v>
      </c>
      <c r="X1454" s="193">
        <f>'Supply chain'!M189</f>
        <v>0</v>
      </c>
      <c r="Y1454" s="196">
        <f>'Supply chain'!N189</f>
        <v>0</v>
      </c>
      <c r="Z1454" s="196">
        <f>'Supply chain'!O189</f>
        <v>0</v>
      </c>
      <c r="AA1454" s="196">
        <f>'Supply chain'!P189</f>
        <v>0</v>
      </c>
      <c r="AB1454" s="196">
        <f>'Supply chain'!Q189</f>
        <v>0</v>
      </c>
      <c r="AC1454" s="196">
        <f>'Supply chain'!R189</f>
        <v>0</v>
      </c>
      <c r="AD1454" s="196">
        <f>'Supply chain'!S189</f>
        <v>0</v>
      </c>
      <c r="AE1454" s="196" t="str">
        <f>'Supply chain'!T189</f>
        <v/>
      </c>
      <c r="AF1454" s="196" t="str">
        <f>'Supply chain'!U189</f>
        <v/>
      </c>
      <c r="AG1454" s="196">
        <f>'Supply chain'!V189</f>
        <v>0</v>
      </c>
      <c r="AI1454" s="193">
        <f t="shared" si="32"/>
        <v>0</v>
      </c>
      <c r="AJ1454" s="193">
        <f t="shared" si="33"/>
        <v>0</v>
      </c>
    </row>
    <row r="1455" spans="2:36" x14ac:dyDescent="0.35">
      <c r="B1455" s="193" t="e">
        <f>"2024"&amp;MATCH(Totals!D1455,OrgType,0)&amp;"_"&amp;MATCH(Totals!E1455,Organisations,0)&amp;"_"&amp;LEFT(Totals!F1455,1)&amp;"_"&amp;LEFT(G1455,1)&amp;"_"&amp;COUNTIF($G$3:G1455,G1455)</f>
        <v>#N/A</v>
      </c>
      <c r="C1455" s="193">
        <v>2025</v>
      </c>
      <c r="D1455" s="193">
        <f>Introduction!$D$7</f>
        <v>0</v>
      </c>
      <c r="E1455" s="193">
        <f>Introduction!$D$8</f>
        <v>0</v>
      </c>
      <c r="F1455" s="193" t="s">
        <v>493</v>
      </c>
      <c r="G1455" s="193" t="s">
        <v>493</v>
      </c>
      <c r="H1455" s="194"/>
      <c r="I1455" s="194"/>
      <c r="J1455" s="196" t="str">
        <f>'Supply chain'!B190</f>
        <v/>
      </c>
      <c r="K1455" s="194"/>
      <c r="L1455" s="194"/>
      <c r="M1455" s="196" t="str">
        <f>'Supply chain'!C190</f>
        <v/>
      </c>
      <c r="N1455" s="196">
        <f>'Supply chain'!D190</f>
        <v>0</v>
      </c>
      <c r="O1455" s="194"/>
      <c r="P1455" s="196" t="str">
        <f>'Supply chain'!E190</f>
        <v>Tier 2</v>
      </c>
      <c r="Q1455" s="196">
        <f>'Supply chain'!F190</f>
        <v>0</v>
      </c>
      <c r="R1455" s="196">
        <f>'Supply chain'!G190</f>
        <v>0</v>
      </c>
      <c r="S1455" s="196" t="str">
        <f>'Supply chain'!H190</f>
        <v>£</v>
      </c>
      <c r="T1455" s="196">
        <f>'Supply chain'!I190</f>
        <v>0</v>
      </c>
      <c r="U1455" s="196" t="str">
        <f>'Supply chain'!J190</f>
        <v>£</v>
      </c>
      <c r="V1455" s="196" t="str">
        <f>'Supply chain'!K190</f>
        <v/>
      </c>
      <c r="W1455" s="196">
        <f>'Supply chain'!L190</f>
        <v>0</v>
      </c>
      <c r="X1455" s="193">
        <f>'Supply chain'!M190</f>
        <v>0</v>
      </c>
      <c r="Y1455" s="196">
        <f>'Supply chain'!N190</f>
        <v>0</v>
      </c>
      <c r="Z1455" s="196">
        <f>'Supply chain'!O190</f>
        <v>0</v>
      </c>
      <c r="AA1455" s="196">
        <f>'Supply chain'!P190</f>
        <v>0</v>
      </c>
      <c r="AB1455" s="196">
        <f>'Supply chain'!Q190</f>
        <v>0</v>
      </c>
      <c r="AC1455" s="196">
        <f>'Supply chain'!R190</f>
        <v>0</v>
      </c>
      <c r="AD1455" s="196">
        <f>'Supply chain'!S190</f>
        <v>0</v>
      </c>
      <c r="AE1455" s="196" t="str">
        <f>'Supply chain'!T190</f>
        <v/>
      </c>
      <c r="AF1455" s="196" t="str">
        <f>'Supply chain'!U190</f>
        <v/>
      </c>
      <c r="AG1455" s="196">
        <f>'Supply chain'!V190</f>
        <v>0</v>
      </c>
      <c r="AI1455" s="193">
        <f t="shared" si="32"/>
        <v>0</v>
      </c>
      <c r="AJ1455" s="193">
        <f t="shared" si="33"/>
        <v>0</v>
      </c>
    </row>
    <row r="1456" spans="2:36" x14ac:dyDescent="0.35">
      <c r="B1456" s="193" t="e">
        <f>"2024"&amp;MATCH(Totals!D1456,OrgType,0)&amp;"_"&amp;MATCH(Totals!E1456,Organisations,0)&amp;"_"&amp;LEFT(Totals!F1456,1)&amp;"_"&amp;LEFT(G1456,1)&amp;"_"&amp;COUNTIF($G$3:G1456,G1456)</f>
        <v>#N/A</v>
      </c>
      <c r="C1456" s="193">
        <v>2025</v>
      </c>
      <c r="D1456" s="193">
        <f>Introduction!$D$7</f>
        <v>0</v>
      </c>
      <c r="E1456" s="193">
        <f>Introduction!$D$8</f>
        <v>0</v>
      </c>
      <c r="F1456" s="193" t="s">
        <v>493</v>
      </c>
      <c r="G1456" s="193" t="s">
        <v>493</v>
      </c>
      <c r="H1456" s="194"/>
      <c r="I1456" s="194"/>
      <c r="J1456" s="196" t="str">
        <f>'Supply chain'!B191</f>
        <v/>
      </c>
      <c r="K1456" s="194"/>
      <c r="L1456" s="194"/>
      <c r="M1456" s="196" t="str">
        <f>'Supply chain'!C191</f>
        <v/>
      </c>
      <c r="N1456" s="196">
        <f>'Supply chain'!D191</f>
        <v>0</v>
      </c>
      <c r="O1456" s="194"/>
      <c r="P1456" s="196" t="str">
        <f>'Supply chain'!E191</f>
        <v>Tier 2</v>
      </c>
      <c r="Q1456" s="196">
        <f>'Supply chain'!F191</f>
        <v>0</v>
      </c>
      <c r="R1456" s="196">
        <f>'Supply chain'!G191</f>
        <v>0</v>
      </c>
      <c r="S1456" s="196" t="str">
        <f>'Supply chain'!H191</f>
        <v>£</v>
      </c>
      <c r="T1456" s="196">
        <f>'Supply chain'!I191</f>
        <v>0</v>
      </c>
      <c r="U1456" s="196" t="str">
        <f>'Supply chain'!J191</f>
        <v>£</v>
      </c>
      <c r="V1456" s="196" t="str">
        <f>'Supply chain'!K191</f>
        <v/>
      </c>
      <c r="W1456" s="196">
        <f>'Supply chain'!L191</f>
        <v>0</v>
      </c>
      <c r="X1456" s="193">
        <f>'Supply chain'!M191</f>
        <v>0</v>
      </c>
      <c r="Y1456" s="196">
        <f>'Supply chain'!N191</f>
        <v>0</v>
      </c>
      <c r="Z1456" s="196">
        <f>'Supply chain'!O191</f>
        <v>0</v>
      </c>
      <c r="AA1456" s="196">
        <f>'Supply chain'!P191</f>
        <v>0</v>
      </c>
      <c r="AB1456" s="196">
        <f>'Supply chain'!Q191</f>
        <v>0</v>
      </c>
      <c r="AC1456" s="196">
        <f>'Supply chain'!R191</f>
        <v>0</v>
      </c>
      <c r="AD1456" s="196">
        <f>'Supply chain'!S191</f>
        <v>0</v>
      </c>
      <c r="AE1456" s="196" t="str">
        <f>'Supply chain'!T191</f>
        <v/>
      </c>
      <c r="AF1456" s="196" t="str">
        <f>'Supply chain'!U191</f>
        <v/>
      </c>
      <c r="AG1456" s="196">
        <f>'Supply chain'!V191</f>
        <v>0</v>
      </c>
      <c r="AI1456" s="193">
        <f t="shared" si="32"/>
        <v>0</v>
      </c>
      <c r="AJ1456" s="193">
        <f t="shared" si="33"/>
        <v>0</v>
      </c>
    </row>
    <row r="1457" spans="2:36" x14ac:dyDescent="0.35">
      <c r="B1457" s="193" t="e">
        <f>"2024"&amp;MATCH(Totals!D1457,OrgType,0)&amp;"_"&amp;MATCH(Totals!E1457,Organisations,0)&amp;"_"&amp;LEFT(Totals!F1457,1)&amp;"_"&amp;LEFT(G1457,1)&amp;"_"&amp;COUNTIF($G$3:G1457,G1457)</f>
        <v>#N/A</v>
      </c>
      <c r="C1457" s="193">
        <v>2025</v>
      </c>
      <c r="D1457" s="193">
        <f>Introduction!$D$7</f>
        <v>0</v>
      </c>
      <c r="E1457" s="193">
        <f>Introduction!$D$8</f>
        <v>0</v>
      </c>
      <c r="F1457" s="193" t="s">
        <v>493</v>
      </c>
      <c r="G1457" s="193" t="s">
        <v>493</v>
      </c>
      <c r="H1457" s="194"/>
      <c r="I1457" s="194"/>
      <c r="J1457" s="196" t="str">
        <f>'Supply chain'!B192</f>
        <v/>
      </c>
      <c r="K1457" s="194"/>
      <c r="L1457" s="194"/>
      <c r="M1457" s="196" t="str">
        <f>'Supply chain'!C192</f>
        <v/>
      </c>
      <c r="N1457" s="196">
        <f>'Supply chain'!D192</f>
        <v>0</v>
      </c>
      <c r="O1457" s="194"/>
      <c r="P1457" s="196" t="str">
        <f>'Supply chain'!E192</f>
        <v>Tier 2</v>
      </c>
      <c r="Q1457" s="196">
        <f>'Supply chain'!F192</f>
        <v>0</v>
      </c>
      <c r="R1457" s="196">
        <f>'Supply chain'!G192</f>
        <v>0</v>
      </c>
      <c r="S1457" s="196" t="str">
        <f>'Supply chain'!H192</f>
        <v>£</v>
      </c>
      <c r="T1457" s="196">
        <f>'Supply chain'!I192</f>
        <v>0</v>
      </c>
      <c r="U1457" s="196" t="str">
        <f>'Supply chain'!J192</f>
        <v>£</v>
      </c>
      <c r="V1457" s="196" t="str">
        <f>'Supply chain'!K192</f>
        <v/>
      </c>
      <c r="W1457" s="196">
        <f>'Supply chain'!L192</f>
        <v>0</v>
      </c>
      <c r="X1457" s="193">
        <f>'Supply chain'!M192</f>
        <v>0</v>
      </c>
      <c r="Y1457" s="196">
        <f>'Supply chain'!N192</f>
        <v>0</v>
      </c>
      <c r="Z1457" s="196">
        <f>'Supply chain'!O192</f>
        <v>0</v>
      </c>
      <c r="AA1457" s="196">
        <f>'Supply chain'!P192</f>
        <v>0</v>
      </c>
      <c r="AB1457" s="196">
        <f>'Supply chain'!Q192</f>
        <v>0</v>
      </c>
      <c r="AC1457" s="196">
        <f>'Supply chain'!R192</f>
        <v>0</v>
      </c>
      <c r="AD1457" s="196">
        <f>'Supply chain'!S192</f>
        <v>0</v>
      </c>
      <c r="AE1457" s="196" t="str">
        <f>'Supply chain'!T192</f>
        <v/>
      </c>
      <c r="AF1457" s="196" t="str">
        <f>'Supply chain'!U192</f>
        <v/>
      </c>
      <c r="AG1457" s="196">
        <f>'Supply chain'!V192</f>
        <v>0</v>
      </c>
      <c r="AI1457" s="193">
        <f t="shared" si="32"/>
        <v>0</v>
      </c>
      <c r="AJ1457" s="193">
        <f t="shared" si="33"/>
        <v>0</v>
      </c>
    </row>
    <row r="1458" spans="2:36" x14ac:dyDescent="0.35">
      <c r="B1458" s="193" t="e">
        <f>"2024"&amp;MATCH(Totals!D1458,OrgType,0)&amp;"_"&amp;MATCH(Totals!E1458,Organisations,0)&amp;"_"&amp;LEFT(Totals!F1458,1)&amp;"_"&amp;LEFT(G1458,1)&amp;"_"&amp;COUNTIF($G$3:G1458,G1458)</f>
        <v>#N/A</v>
      </c>
      <c r="C1458" s="193">
        <v>2025</v>
      </c>
      <c r="D1458" s="193">
        <f>Introduction!$D$7</f>
        <v>0</v>
      </c>
      <c r="E1458" s="193">
        <f>Introduction!$D$8</f>
        <v>0</v>
      </c>
      <c r="F1458" s="193" t="s">
        <v>493</v>
      </c>
      <c r="G1458" s="193" t="s">
        <v>493</v>
      </c>
      <c r="H1458" s="194"/>
      <c r="I1458" s="194"/>
      <c r="J1458" s="196" t="str">
        <f>'Supply chain'!B193</f>
        <v/>
      </c>
      <c r="K1458" s="194"/>
      <c r="L1458" s="194"/>
      <c r="M1458" s="196" t="str">
        <f>'Supply chain'!C193</f>
        <v/>
      </c>
      <c r="N1458" s="196">
        <f>'Supply chain'!D193</f>
        <v>0</v>
      </c>
      <c r="O1458" s="194"/>
      <c r="P1458" s="196" t="str">
        <f>'Supply chain'!E193</f>
        <v>Tier 2</v>
      </c>
      <c r="Q1458" s="196">
        <f>'Supply chain'!F193</f>
        <v>0</v>
      </c>
      <c r="R1458" s="196">
        <f>'Supply chain'!G193</f>
        <v>0</v>
      </c>
      <c r="S1458" s="196" t="str">
        <f>'Supply chain'!H193</f>
        <v>£</v>
      </c>
      <c r="T1458" s="196">
        <f>'Supply chain'!I193</f>
        <v>0</v>
      </c>
      <c r="U1458" s="196" t="str">
        <f>'Supply chain'!J193</f>
        <v>£</v>
      </c>
      <c r="V1458" s="196" t="str">
        <f>'Supply chain'!K193</f>
        <v/>
      </c>
      <c r="W1458" s="196">
        <f>'Supply chain'!L193</f>
        <v>0</v>
      </c>
      <c r="X1458" s="193">
        <f>'Supply chain'!M193</f>
        <v>0</v>
      </c>
      <c r="Y1458" s="196">
        <f>'Supply chain'!N193</f>
        <v>0</v>
      </c>
      <c r="Z1458" s="196">
        <f>'Supply chain'!O193</f>
        <v>0</v>
      </c>
      <c r="AA1458" s="196">
        <f>'Supply chain'!P193</f>
        <v>0</v>
      </c>
      <c r="AB1458" s="196">
        <f>'Supply chain'!Q193</f>
        <v>0</v>
      </c>
      <c r="AC1458" s="196">
        <f>'Supply chain'!R193</f>
        <v>0</v>
      </c>
      <c r="AD1458" s="196">
        <f>'Supply chain'!S193</f>
        <v>0</v>
      </c>
      <c r="AE1458" s="196" t="str">
        <f>'Supply chain'!T193</f>
        <v/>
      </c>
      <c r="AF1458" s="196" t="str">
        <f>'Supply chain'!U193</f>
        <v/>
      </c>
      <c r="AG1458" s="196">
        <f>'Supply chain'!V193</f>
        <v>0</v>
      </c>
      <c r="AI1458" s="193">
        <f t="shared" si="32"/>
        <v>0</v>
      </c>
      <c r="AJ1458" s="193">
        <f t="shared" si="33"/>
        <v>0</v>
      </c>
    </row>
    <row r="1459" spans="2:36" x14ac:dyDescent="0.35">
      <c r="B1459" s="193" t="e">
        <f>"2024"&amp;MATCH(Totals!D1459,OrgType,0)&amp;"_"&amp;MATCH(Totals!E1459,Organisations,0)&amp;"_"&amp;LEFT(Totals!F1459,1)&amp;"_"&amp;LEFT(G1459,1)&amp;"_"&amp;COUNTIF($G$3:G1459,G1459)</f>
        <v>#N/A</v>
      </c>
      <c r="C1459" s="193">
        <v>2025</v>
      </c>
      <c r="D1459" s="193">
        <f>Introduction!$D$7</f>
        <v>0</v>
      </c>
      <c r="E1459" s="193">
        <f>Introduction!$D$8</f>
        <v>0</v>
      </c>
      <c r="F1459" s="193" t="s">
        <v>493</v>
      </c>
      <c r="G1459" s="193" t="s">
        <v>493</v>
      </c>
      <c r="H1459" s="194"/>
      <c r="I1459" s="194"/>
      <c r="J1459" s="196" t="str">
        <f>'Supply chain'!B194</f>
        <v/>
      </c>
      <c r="K1459" s="194"/>
      <c r="L1459" s="194"/>
      <c r="M1459" s="196" t="str">
        <f>'Supply chain'!C194</f>
        <v/>
      </c>
      <c r="N1459" s="196">
        <f>'Supply chain'!D194</f>
        <v>0</v>
      </c>
      <c r="O1459" s="194"/>
      <c r="P1459" s="196" t="str">
        <f>'Supply chain'!E194</f>
        <v>Tier 2</v>
      </c>
      <c r="Q1459" s="196">
        <f>'Supply chain'!F194</f>
        <v>0</v>
      </c>
      <c r="R1459" s="196">
        <f>'Supply chain'!G194</f>
        <v>0</v>
      </c>
      <c r="S1459" s="196" t="str">
        <f>'Supply chain'!H194</f>
        <v>£</v>
      </c>
      <c r="T1459" s="196">
        <f>'Supply chain'!I194</f>
        <v>0</v>
      </c>
      <c r="U1459" s="196" t="str">
        <f>'Supply chain'!J194</f>
        <v>£</v>
      </c>
      <c r="V1459" s="196" t="str">
        <f>'Supply chain'!K194</f>
        <v/>
      </c>
      <c r="W1459" s="196">
        <f>'Supply chain'!L194</f>
        <v>0</v>
      </c>
      <c r="X1459" s="193">
        <f>'Supply chain'!M194</f>
        <v>0</v>
      </c>
      <c r="Y1459" s="196">
        <f>'Supply chain'!N194</f>
        <v>0</v>
      </c>
      <c r="Z1459" s="196">
        <f>'Supply chain'!O194</f>
        <v>0</v>
      </c>
      <c r="AA1459" s="196">
        <f>'Supply chain'!P194</f>
        <v>0</v>
      </c>
      <c r="AB1459" s="196">
        <f>'Supply chain'!Q194</f>
        <v>0</v>
      </c>
      <c r="AC1459" s="196">
        <f>'Supply chain'!R194</f>
        <v>0</v>
      </c>
      <c r="AD1459" s="196">
        <f>'Supply chain'!S194</f>
        <v>0</v>
      </c>
      <c r="AE1459" s="196" t="str">
        <f>'Supply chain'!T194</f>
        <v/>
      </c>
      <c r="AF1459" s="196" t="str">
        <f>'Supply chain'!U194</f>
        <v/>
      </c>
      <c r="AG1459" s="196">
        <f>'Supply chain'!V194</f>
        <v>0</v>
      </c>
      <c r="AI1459" s="193">
        <f t="shared" si="32"/>
        <v>0</v>
      </c>
      <c r="AJ1459" s="193">
        <f t="shared" si="33"/>
        <v>0</v>
      </c>
    </row>
    <row r="1460" spans="2:36" x14ac:dyDescent="0.35">
      <c r="B1460" s="193" t="e">
        <f>"2024"&amp;MATCH(Totals!D1460,OrgType,0)&amp;"_"&amp;MATCH(Totals!E1460,Organisations,0)&amp;"_"&amp;LEFT(Totals!F1460,1)&amp;"_"&amp;LEFT(G1460,1)&amp;"_"&amp;COUNTIF($G$3:G1460,G1460)</f>
        <v>#N/A</v>
      </c>
      <c r="C1460" s="193">
        <v>2025</v>
      </c>
      <c r="D1460" s="193">
        <f>Introduction!$D$7</f>
        <v>0</v>
      </c>
      <c r="E1460" s="193">
        <f>Introduction!$D$8</f>
        <v>0</v>
      </c>
      <c r="F1460" s="193" t="s">
        <v>493</v>
      </c>
      <c r="G1460" s="193" t="s">
        <v>493</v>
      </c>
      <c r="H1460" s="194"/>
      <c r="I1460" s="194"/>
      <c r="J1460" s="196" t="str">
        <f>'Supply chain'!B195</f>
        <v/>
      </c>
      <c r="K1460" s="194"/>
      <c r="L1460" s="194"/>
      <c r="M1460" s="196" t="str">
        <f>'Supply chain'!C195</f>
        <v/>
      </c>
      <c r="N1460" s="196">
        <f>'Supply chain'!D195</f>
        <v>0</v>
      </c>
      <c r="O1460" s="194"/>
      <c r="P1460" s="196" t="str">
        <f>'Supply chain'!E195</f>
        <v>Tier 2</v>
      </c>
      <c r="Q1460" s="196">
        <f>'Supply chain'!F195</f>
        <v>0</v>
      </c>
      <c r="R1460" s="196">
        <f>'Supply chain'!G195</f>
        <v>0</v>
      </c>
      <c r="S1460" s="196" t="str">
        <f>'Supply chain'!H195</f>
        <v>£</v>
      </c>
      <c r="T1460" s="196">
        <f>'Supply chain'!I195</f>
        <v>0</v>
      </c>
      <c r="U1460" s="196" t="str">
        <f>'Supply chain'!J195</f>
        <v>£</v>
      </c>
      <c r="V1460" s="196" t="str">
        <f>'Supply chain'!K195</f>
        <v/>
      </c>
      <c r="W1460" s="196">
        <f>'Supply chain'!L195</f>
        <v>0</v>
      </c>
      <c r="X1460" s="193">
        <f>'Supply chain'!M195</f>
        <v>0</v>
      </c>
      <c r="Y1460" s="196">
        <f>'Supply chain'!N195</f>
        <v>0</v>
      </c>
      <c r="Z1460" s="196">
        <f>'Supply chain'!O195</f>
        <v>0</v>
      </c>
      <c r="AA1460" s="196">
        <f>'Supply chain'!P195</f>
        <v>0</v>
      </c>
      <c r="AB1460" s="196">
        <f>'Supply chain'!Q195</f>
        <v>0</v>
      </c>
      <c r="AC1460" s="196">
        <f>'Supply chain'!R195</f>
        <v>0</v>
      </c>
      <c r="AD1460" s="196">
        <f>'Supply chain'!S195</f>
        <v>0</v>
      </c>
      <c r="AE1460" s="196" t="str">
        <f>'Supply chain'!T195</f>
        <v/>
      </c>
      <c r="AF1460" s="196" t="str">
        <f>'Supply chain'!U195</f>
        <v/>
      </c>
      <c r="AG1460" s="196">
        <f>'Supply chain'!V195</f>
        <v>0</v>
      </c>
      <c r="AI1460" s="193">
        <f t="shared" si="32"/>
        <v>0</v>
      </c>
      <c r="AJ1460" s="193">
        <f t="shared" si="33"/>
        <v>0</v>
      </c>
    </row>
    <row r="1461" spans="2:36" x14ac:dyDescent="0.35">
      <c r="B1461" s="193" t="e">
        <f>"2024"&amp;MATCH(Totals!D1461,OrgType,0)&amp;"_"&amp;MATCH(Totals!E1461,Organisations,0)&amp;"_"&amp;LEFT(Totals!F1461,1)&amp;"_"&amp;LEFT(G1461,1)&amp;"_"&amp;COUNTIF($G$3:G1461,G1461)</f>
        <v>#N/A</v>
      </c>
      <c r="C1461" s="193">
        <v>2025</v>
      </c>
      <c r="D1461" s="193">
        <f>Introduction!$D$7</f>
        <v>0</v>
      </c>
      <c r="E1461" s="193">
        <f>Introduction!$D$8</f>
        <v>0</v>
      </c>
      <c r="F1461" s="193" t="s">
        <v>493</v>
      </c>
      <c r="G1461" s="193" t="s">
        <v>493</v>
      </c>
      <c r="H1461" s="194"/>
      <c r="I1461" s="194"/>
      <c r="J1461" s="196" t="str">
        <f>'Supply chain'!B196</f>
        <v/>
      </c>
      <c r="K1461" s="194"/>
      <c r="L1461" s="194"/>
      <c r="M1461" s="196" t="str">
        <f>'Supply chain'!C196</f>
        <v/>
      </c>
      <c r="N1461" s="196">
        <f>'Supply chain'!D196</f>
        <v>0</v>
      </c>
      <c r="O1461" s="194"/>
      <c r="P1461" s="196" t="str">
        <f>'Supply chain'!E196</f>
        <v>Tier 2</v>
      </c>
      <c r="Q1461" s="196">
        <f>'Supply chain'!F196</f>
        <v>0</v>
      </c>
      <c r="R1461" s="196">
        <f>'Supply chain'!G196</f>
        <v>0</v>
      </c>
      <c r="S1461" s="196" t="str">
        <f>'Supply chain'!H196</f>
        <v>£</v>
      </c>
      <c r="T1461" s="196">
        <f>'Supply chain'!I196</f>
        <v>0</v>
      </c>
      <c r="U1461" s="196" t="str">
        <f>'Supply chain'!J196</f>
        <v>£</v>
      </c>
      <c r="V1461" s="196" t="str">
        <f>'Supply chain'!K196</f>
        <v/>
      </c>
      <c r="W1461" s="196">
        <f>'Supply chain'!L196</f>
        <v>0</v>
      </c>
      <c r="X1461" s="193">
        <f>'Supply chain'!M196</f>
        <v>0</v>
      </c>
      <c r="Y1461" s="196">
        <f>'Supply chain'!N196</f>
        <v>0</v>
      </c>
      <c r="Z1461" s="196">
        <f>'Supply chain'!O196</f>
        <v>0</v>
      </c>
      <c r="AA1461" s="196">
        <f>'Supply chain'!P196</f>
        <v>0</v>
      </c>
      <c r="AB1461" s="196">
        <f>'Supply chain'!Q196</f>
        <v>0</v>
      </c>
      <c r="AC1461" s="196">
        <f>'Supply chain'!R196</f>
        <v>0</v>
      </c>
      <c r="AD1461" s="196">
        <f>'Supply chain'!S196</f>
        <v>0</v>
      </c>
      <c r="AE1461" s="196" t="str">
        <f>'Supply chain'!T196</f>
        <v/>
      </c>
      <c r="AF1461" s="196" t="str">
        <f>'Supply chain'!U196</f>
        <v/>
      </c>
      <c r="AG1461" s="196">
        <f>'Supply chain'!V196</f>
        <v>0</v>
      </c>
      <c r="AI1461" s="193">
        <f t="shared" si="32"/>
        <v>0</v>
      </c>
      <c r="AJ1461" s="193">
        <f t="shared" si="33"/>
        <v>0</v>
      </c>
    </row>
    <row r="1462" spans="2:36" x14ac:dyDescent="0.35">
      <c r="B1462" s="193" t="e">
        <f>"2024"&amp;MATCH(Totals!D1462,OrgType,0)&amp;"_"&amp;MATCH(Totals!E1462,Organisations,0)&amp;"_"&amp;LEFT(Totals!F1462,1)&amp;"_"&amp;LEFT(G1462,1)&amp;"_"&amp;COUNTIF($G$3:G1462,G1462)</f>
        <v>#N/A</v>
      </c>
      <c r="C1462" s="193">
        <v>2025</v>
      </c>
      <c r="D1462" s="193">
        <f>Introduction!$D$7</f>
        <v>0</v>
      </c>
      <c r="E1462" s="193">
        <f>Introduction!$D$8</f>
        <v>0</v>
      </c>
      <c r="F1462" s="193" t="s">
        <v>493</v>
      </c>
      <c r="G1462" s="193" t="s">
        <v>493</v>
      </c>
      <c r="H1462" s="194"/>
      <c r="I1462" s="194"/>
      <c r="J1462" s="196" t="str">
        <f>'Supply chain'!B197</f>
        <v/>
      </c>
      <c r="K1462" s="194"/>
      <c r="L1462" s="194"/>
      <c r="M1462" s="196" t="str">
        <f>'Supply chain'!C197</f>
        <v/>
      </c>
      <c r="N1462" s="196">
        <f>'Supply chain'!D197</f>
        <v>0</v>
      </c>
      <c r="O1462" s="194"/>
      <c r="P1462" s="196" t="str">
        <f>'Supply chain'!E197</f>
        <v>Tier 2</v>
      </c>
      <c r="Q1462" s="196">
        <f>'Supply chain'!F197</f>
        <v>0</v>
      </c>
      <c r="R1462" s="196">
        <f>'Supply chain'!G197</f>
        <v>0</v>
      </c>
      <c r="S1462" s="196" t="str">
        <f>'Supply chain'!H197</f>
        <v>£</v>
      </c>
      <c r="T1462" s="196">
        <f>'Supply chain'!I197</f>
        <v>0</v>
      </c>
      <c r="U1462" s="196" t="str">
        <f>'Supply chain'!J197</f>
        <v>£</v>
      </c>
      <c r="V1462" s="196" t="str">
        <f>'Supply chain'!K197</f>
        <v/>
      </c>
      <c r="W1462" s="196">
        <f>'Supply chain'!L197</f>
        <v>0</v>
      </c>
      <c r="X1462" s="193">
        <f>'Supply chain'!M197</f>
        <v>0</v>
      </c>
      <c r="Y1462" s="196">
        <f>'Supply chain'!N197</f>
        <v>0</v>
      </c>
      <c r="Z1462" s="196">
        <f>'Supply chain'!O197</f>
        <v>0</v>
      </c>
      <c r="AA1462" s="196">
        <f>'Supply chain'!P197</f>
        <v>0</v>
      </c>
      <c r="AB1462" s="196">
        <f>'Supply chain'!Q197</f>
        <v>0</v>
      </c>
      <c r="AC1462" s="196">
        <f>'Supply chain'!R197</f>
        <v>0</v>
      </c>
      <c r="AD1462" s="196">
        <f>'Supply chain'!S197</f>
        <v>0</v>
      </c>
      <c r="AE1462" s="196" t="str">
        <f>'Supply chain'!T197</f>
        <v/>
      </c>
      <c r="AF1462" s="196" t="str">
        <f>'Supply chain'!U197</f>
        <v/>
      </c>
      <c r="AG1462" s="196">
        <f>'Supply chain'!V197</f>
        <v>0</v>
      </c>
      <c r="AI1462" s="193">
        <f t="shared" si="32"/>
        <v>0</v>
      </c>
      <c r="AJ1462" s="193">
        <f t="shared" si="33"/>
        <v>0</v>
      </c>
    </row>
    <row r="1463" spans="2:36" x14ac:dyDescent="0.35">
      <c r="B1463" s="193" t="e">
        <f>"2024"&amp;MATCH(Totals!D1463,OrgType,0)&amp;"_"&amp;MATCH(Totals!E1463,Organisations,0)&amp;"_"&amp;LEFT(Totals!F1463,1)&amp;"_"&amp;LEFT(G1463,1)&amp;"_"&amp;COUNTIF($G$3:G1463,G1463)</f>
        <v>#N/A</v>
      </c>
      <c r="C1463" s="193">
        <v>2025</v>
      </c>
      <c r="D1463" s="193">
        <f>Introduction!$D$7</f>
        <v>0</v>
      </c>
      <c r="E1463" s="193">
        <f>Introduction!$D$8</f>
        <v>0</v>
      </c>
      <c r="F1463" s="193" t="s">
        <v>493</v>
      </c>
      <c r="G1463" s="193" t="s">
        <v>493</v>
      </c>
      <c r="H1463" s="194"/>
      <c r="I1463" s="194"/>
      <c r="J1463" s="196" t="str">
        <f>'Supply chain'!B198</f>
        <v/>
      </c>
      <c r="K1463" s="194"/>
      <c r="L1463" s="194"/>
      <c r="M1463" s="196" t="str">
        <f>'Supply chain'!C198</f>
        <v/>
      </c>
      <c r="N1463" s="196">
        <f>'Supply chain'!D198</f>
        <v>0</v>
      </c>
      <c r="O1463" s="194"/>
      <c r="P1463" s="196" t="str">
        <f>'Supply chain'!E198</f>
        <v>Tier 2</v>
      </c>
      <c r="Q1463" s="196">
        <f>'Supply chain'!F198</f>
        <v>0</v>
      </c>
      <c r="R1463" s="196">
        <f>'Supply chain'!G198</f>
        <v>0</v>
      </c>
      <c r="S1463" s="196" t="str">
        <f>'Supply chain'!H198</f>
        <v>£</v>
      </c>
      <c r="T1463" s="196">
        <f>'Supply chain'!I198</f>
        <v>0</v>
      </c>
      <c r="U1463" s="196" t="str">
        <f>'Supply chain'!J198</f>
        <v>£</v>
      </c>
      <c r="V1463" s="196" t="str">
        <f>'Supply chain'!K198</f>
        <v/>
      </c>
      <c r="W1463" s="196">
        <f>'Supply chain'!L198</f>
        <v>0</v>
      </c>
      <c r="X1463" s="193">
        <f>'Supply chain'!M198</f>
        <v>0</v>
      </c>
      <c r="Y1463" s="196">
        <f>'Supply chain'!N198</f>
        <v>0</v>
      </c>
      <c r="Z1463" s="196">
        <f>'Supply chain'!O198</f>
        <v>0</v>
      </c>
      <c r="AA1463" s="196">
        <f>'Supply chain'!P198</f>
        <v>0</v>
      </c>
      <c r="AB1463" s="196">
        <f>'Supply chain'!Q198</f>
        <v>0</v>
      </c>
      <c r="AC1463" s="196">
        <f>'Supply chain'!R198</f>
        <v>0</v>
      </c>
      <c r="AD1463" s="196">
        <f>'Supply chain'!S198</f>
        <v>0</v>
      </c>
      <c r="AE1463" s="196" t="str">
        <f>'Supply chain'!T198</f>
        <v/>
      </c>
      <c r="AF1463" s="196" t="str">
        <f>'Supply chain'!U198</f>
        <v/>
      </c>
      <c r="AG1463" s="196">
        <f>'Supply chain'!V198</f>
        <v>0</v>
      </c>
      <c r="AI1463" s="193">
        <f t="shared" si="32"/>
        <v>0</v>
      </c>
      <c r="AJ1463" s="193">
        <f t="shared" si="33"/>
        <v>0</v>
      </c>
    </row>
    <row r="1464" spans="2:36" x14ac:dyDescent="0.35">
      <c r="B1464" s="193" t="e">
        <f>"2024"&amp;MATCH(Totals!D1464,OrgType,0)&amp;"_"&amp;MATCH(Totals!E1464,Organisations,0)&amp;"_"&amp;LEFT(Totals!F1464,1)&amp;"_"&amp;LEFT(G1464,1)&amp;"_"&amp;COUNTIF($G$3:G1464,G1464)</f>
        <v>#N/A</v>
      </c>
      <c r="C1464" s="193">
        <v>2025</v>
      </c>
      <c r="D1464" s="193">
        <f>Introduction!$D$7</f>
        <v>0</v>
      </c>
      <c r="E1464" s="193">
        <f>Introduction!$D$8</f>
        <v>0</v>
      </c>
      <c r="F1464" s="193" t="s">
        <v>493</v>
      </c>
      <c r="G1464" s="193" t="s">
        <v>493</v>
      </c>
      <c r="H1464" s="194"/>
      <c r="I1464" s="194"/>
      <c r="J1464" s="196" t="str">
        <f>'Supply chain'!B199</f>
        <v/>
      </c>
      <c r="K1464" s="194"/>
      <c r="L1464" s="194"/>
      <c r="M1464" s="196" t="str">
        <f>'Supply chain'!C199</f>
        <v/>
      </c>
      <c r="N1464" s="196">
        <f>'Supply chain'!D199</f>
        <v>0</v>
      </c>
      <c r="O1464" s="194"/>
      <c r="P1464" s="196" t="str">
        <f>'Supply chain'!E199</f>
        <v>Tier 2</v>
      </c>
      <c r="Q1464" s="196">
        <f>'Supply chain'!F199</f>
        <v>0</v>
      </c>
      <c r="R1464" s="196">
        <f>'Supply chain'!G199</f>
        <v>0</v>
      </c>
      <c r="S1464" s="196" t="str">
        <f>'Supply chain'!H199</f>
        <v>£</v>
      </c>
      <c r="T1464" s="196">
        <f>'Supply chain'!I199</f>
        <v>0</v>
      </c>
      <c r="U1464" s="196" t="str">
        <f>'Supply chain'!J199</f>
        <v>£</v>
      </c>
      <c r="V1464" s="196" t="str">
        <f>'Supply chain'!K199</f>
        <v/>
      </c>
      <c r="W1464" s="196">
        <f>'Supply chain'!L199</f>
        <v>0</v>
      </c>
      <c r="X1464" s="193">
        <f>'Supply chain'!M199</f>
        <v>0</v>
      </c>
      <c r="Y1464" s="196">
        <f>'Supply chain'!N199</f>
        <v>0</v>
      </c>
      <c r="Z1464" s="196">
        <f>'Supply chain'!O199</f>
        <v>0</v>
      </c>
      <c r="AA1464" s="196">
        <f>'Supply chain'!P199</f>
        <v>0</v>
      </c>
      <c r="AB1464" s="196">
        <f>'Supply chain'!Q199</f>
        <v>0</v>
      </c>
      <c r="AC1464" s="196">
        <f>'Supply chain'!R199</f>
        <v>0</v>
      </c>
      <c r="AD1464" s="196">
        <f>'Supply chain'!S199</f>
        <v>0</v>
      </c>
      <c r="AE1464" s="196" t="str">
        <f>'Supply chain'!T199</f>
        <v/>
      </c>
      <c r="AF1464" s="196" t="str">
        <f>'Supply chain'!U199</f>
        <v/>
      </c>
      <c r="AG1464" s="196">
        <f>'Supply chain'!V199</f>
        <v>0</v>
      </c>
      <c r="AI1464" s="193">
        <f t="shared" si="32"/>
        <v>0</v>
      </c>
      <c r="AJ1464" s="193">
        <f t="shared" si="33"/>
        <v>0</v>
      </c>
    </row>
    <row r="1465" spans="2:36" x14ac:dyDescent="0.35">
      <c r="B1465" s="193" t="e">
        <f>"2024"&amp;MATCH(Totals!D1465,OrgType,0)&amp;"_"&amp;MATCH(Totals!E1465,Organisations,0)&amp;"_"&amp;LEFT(Totals!F1465,1)&amp;"_"&amp;LEFT(G1465,1)&amp;"_"&amp;COUNTIF($G$3:G1465,G1465)</f>
        <v>#N/A</v>
      </c>
      <c r="C1465" s="193">
        <v>2025</v>
      </c>
      <c r="D1465" s="193">
        <f>Introduction!$D$7</f>
        <v>0</v>
      </c>
      <c r="E1465" s="193">
        <f>Introduction!$D$8</f>
        <v>0</v>
      </c>
      <c r="F1465" s="193" t="s">
        <v>493</v>
      </c>
      <c r="G1465" s="193" t="s">
        <v>493</v>
      </c>
      <c r="H1465" s="194"/>
      <c r="I1465" s="194"/>
      <c r="J1465" s="196" t="str">
        <f>'Supply chain'!B200</f>
        <v/>
      </c>
      <c r="K1465" s="194"/>
      <c r="L1465" s="194"/>
      <c r="M1465" s="196" t="str">
        <f>'Supply chain'!C200</f>
        <v/>
      </c>
      <c r="N1465" s="196">
        <f>'Supply chain'!D200</f>
        <v>0</v>
      </c>
      <c r="O1465" s="194"/>
      <c r="P1465" s="196" t="str">
        <f>'Supply chain'!E200</f>
        <v>Tier 2</v>
      </c>
      <c r="Q1465" s="196">
        <f>'Supply chain'!F200</f>
        <v>0</v>
      </c>
      <c r="R1465" s="196">
        <f>'Supply chain'!G200</f>
        <v>0</v>
      </c>
      <c r="S1465" s="196" t="str">
        <f>'Supply chain'!H200</f>
        <v>£</v>
      </c>
      <c r="T1465" s="196">
        <f>'Supply chain'!I200</f>
        <v>0</v>
      </c>
      <c r="U1465" s="196" t="str">
        <f>'Supply chain'!J200</f>
        <v>£</v>
      </c>
      <c r="V1465" s="196" t="str">
        <f>'Supply chain'!K200</f>
        <v/>
      </c>
      <c r="W1465" s="196">
        <f>'Supply chain'!L200</f>
        <v>0</v>
      </c>
      <c r="X1465" s="193">
        <f>'Supply chain'!M200</f>
        <v>0</v>
      </c>
      <c r="Y1465" s="196">
        <f>'Supply chain'!N200</f>
        <v>0</v>
      </c>
      <c r="Z1465" s="196">
        <f>'Supply chain'!O200</f>
        <v>0</v>
      </c>
      <c r="AA1465" s="196">
        <f>'Supply chain'!P200</f>
        <v>0</v>
      </c>
      <c r="AB1465" s="196">
        <f>'Supply chain'!Q200</f>
        <v>0</v>
      </c>
      <c r="AC1465" s="196">
        <f>'Supply chain'!R200</f>
        <v>0</v>
      </c>
      <c r="AD1465" s="196">
        <f>'Supply chain'!S200</f>
        <v>0</v>
      </c>
      <c r="AE1465" s="196" t="str">
        <f>'Supply chain'!T200</f>
        <v/>
      </c>
      <c r="AF1465" s="196" t="str">
        <f>'Supply chain'!U200</f>
        <v/>
      </c>
      <c r="AG1465" s="196">
        <f>'Supply chain'!V200</f>
        <v>0</v>
      </c>
      <c r="AI1465" s="193">
        <f t="shared" si="32"/>
        <v>0</v>
      </c>
      <c r="AJ1465" s="193">
        <f t="shared" si="33"/>
        <v>0</v>
      </c>
    </row>
    <row r="1466" spans="2:36" x14ac:dyDescent="0.35">
      <c r="B1466" s="193" t="e">
        <f>"2024"&amp;MATCH(Totals!D1466,OrgType,0)&amp;"_"&amp;MATCH(Totals!E1466,Organisations,0)&amp;"_"&amp;LEFT(Totals!F1466,1)&amp;"_"&amp;LEFT(G1466,1)&amp;"_"&amp;COUNTIF($G$3:G1466,G1466)</f>
        <v>#N/A</v>
      </c>
      <c r="C1466" s="193">
        <v>2025</v>
      </c>
      <c r="D1466" s="193">
        <f>Introduction!$D$7</f>
        <v>0</v>
      </c>
      <c r="E1466" s="193">
        <f>Introduction!$D$8</f>
        <v>0</v>
      </c>
      <c r="F1466" s="193" t="s">
        <v>493</v>
      </c>
      <c r="G1466" s="193" t="s">
        <v>493</v>
      </c>
      <c r="H1466" s="194"/>
      <c r="I1466" s="194"/>
      <c r="J1466" s="196" t="str">
        <f>'Supply chain'!B201</f>
        <v/>
      </c>
      <c r="K1466" s="194"/>
      <c r="L1466" s="194"/>
      <c r="M1466" s="196" t="str">
        <f>'Supply chain'!C201</f>
        <v/>
      </c>
      <c r="N1466" s="196">
        <f>'Supply chain'!D201</f>
        <v>0</v>
      </c>
      <c r="O1466" s="194"/>
      <c r="P1466" s="196" t="str">
        <f>'Supply chain'!E201</f>
        <v>Tier 2</v>
      </c>
      <c r="Q1466" s="196">
        <f>'Supply chain'!F201</f>
        <v>0</v>
      </c>
      <c r="R1466" s="196">
        <f>'Supply chain'!G201</f>
        <v>0</v>
      </c>
      <c r="S1466" s="196" t="str">
        <f>'Supply chain'!H201</f>
        <v>£</v>
      </c>
      <c r="T1466" s="196">
        <f>'Supply chain'!I201</f>
        <v>0</v>
      </c>
      <c r="U1466" s="196" t="str">
        <f>'Supply chain'!J201</f>
        <v>£</v>
      </c>
      <c r="V1466" s="196" t="str">
        <f>'Supply chain'!K201</f>
        <v/>
      </c>
      <c r="W1466" s="196">
        <f>'Supply chain'!L201</f>
        <v>0</v>
      </c>
      <c r="X1466" s="193">
        <f>'Supply chain'!M201</f>
        <v>0</v>
      </c>
      <c r="Y1466" s="196">
        <f>'Supply chain'!N201</f>
        <v>0</v>
      </c>
      <c r="Z1466" s="196">
        <f>'Supply chain'!O201</f>
        <v>0</v>
      </c>
      <c r="AA1466" s="196">
        <f>'Supply chain'!P201</f>
        <v>0</v>
      </c>
      <c r="AB1466" s="196">
        <f>'Supply chain'!Q201</f>
        <v>0</v>
      </c>
      <c r="AC1466" s="196">
        <f>'Supply chain'!R201</f>
        <v>0</v>
      </c>
      <c r="AD1466" s="196">
        <f>'Supply chain'!S201</f>
        <v>0</v>
      </c>
      <c r="AE1466" s="196" t="str">
        <f>'Supply chain'!T201</f>
        <v/>
      </c>
      <c r="AF1466" s="196" t="str">
        <f>'Supply chain'!U201</f>
        <v/>
      </c>
      <c r="AG1466" s="196">
        <f>'Supply chain'!V201</f>
        <v>0</v>
      </c>
      <c r="AI1466" s="193">
        <f t="shared" si="32"/>
        <v>0</v>
      </c>
      <c r="AJ1466" s="193">
        <f t="shared" si="33"/>
        <v>0</v>
      </c>
    </row>
    <row r="1467" spans="2:36" x14ac:dyDescent="0.35">
      <c r="B1467" s="193" t="e">
        <f>"2024"&amp;MATCH(Totals!D1467,OrgType,0)&amp;"_"&amp;MATCH(Totals!E1467,Organisations,0)&amp;"_"&amp;LEFT(Totals!F1467,1)&amp;"_"&amp;LEFT(G1467,1)&amp;"_"&amp;COUNTIF($G$3:G1467,G1467)</f>
        <v>#N/A</v>
      </c>
      <c r="C1467" s="193">
        <v>2025</v>
      </c>
      <c r="D1467" s="193">
        <f>Introduction!$D$7</f>
        <v>0</v>
      </c>
      <c r="E1467" s="193">
        <f>Introduction!$D$8</f>
        <v>0</v>
      </c>
      <c r="F1467" s="193" t="s">
        <v>493</v>
      </c>
      <c r="G1467" s="193" t="s">
        <v>493</v>
      </c>
      <c r="H1467" s="194"/>
      <c r="I1467" s="194"/>
      <c r="J1467" s="196" t="str">
        <f>'Supply chain'!B202</f>
        <v/>
      </c>
      <c r="K1467" s="194"/>
      <c r="L1467" s="194"/>
      <c r="M1467" s="196" t="str">
        <f>'Supply chain'!C202</f>
        <v/>
      </c>
      <c r="N1467" s="196">
        <f>'Supply chain'!D202</f>
        <v>0</v>
      </c>
      <c r="O1467" s="194"/>
      <c r="P1467" s="196" t="str">
        <f>'Supply chain'!E202</f>
        <v>Tier 2</v>
      </c>
      <c r="Q1467" s="196">
        <f>'Supply chain'!F202</f>
        <v>0</v>
      </c>
      <c r="R1467" s="196">
        <f>'Supply chain'!G202</f>
        <v>0</v>
      </c>
      <c r="S1467" s="196" t="str">
        <f>'Supply chain'!H202</f>
        <v>£</v>
      </c>
      <c r="T1467" s="196">
        <f>'Supply chain'!I202</f>
        <v>0</v>
      </c>
      <c r="U1467" s="196" t="str">
        <f>'Supply chain'!J202</f>
        <v>£</v>
      </c>
      <c r="V1467" s="196" t="str">
        <f>'Supply chain'!K202</f>
        <v/>
      </c>
      <c r="W1467" s="196">
        <f>'Supply chain'!L202</f>
        <v>0</v>
      </c>
      <c r="X1467" s="193">
        <f>'Supply chain'!M202</f>
        <v>0</v>
      </c>
      <c r="Y1467" s="196">
        <f>'Supply chain'!N202</f>
        <v>0</v>
      </c>
      <c r="Z1467" s="196">
        <f>'Supply chain'!O202</f>
        <v>0</v>
      </c>
      <c r="AA1467" s="196">
        <f>'Supply chain'!P202</f>
        <v>0</v>
      </c>
      <c r="AB1467" s="196">
        <f>'Supply chain'!Q202</f>
        <v>0</v>
      </c>
      <c r="AC1467" s="196">
        <f>'Supply chain'!R202</f>
        <v>0</v>
      </c>
      <c r="AD1467" s="196">
        <f>'Supply chain'!S202</f>
        <v>0</v>
      </c>
      <c r="AE1467" s="196" t="str">
        <f>'Supply chain'!T202</f>
        <v/>
      </c>
      <c r="AF1467" s="196" t="str">
        <f>'Supply chain'!U202</f>
        <v/>
      </c>
      <c r="AG1467" s="196">
        <f>'Supply chain'!V202</f>
        <v>0</v>
      </c>
      <c r="AI1467" s="193">
        <f t="shared" si="32"/>
        <v>0</v>
      </c>
      <c r="AJ1467" s="193">
        <f t="shared" si="33"/>
        <v>0</v>
      </c>
    </row>
    <row r="1468" spans="2:36" x14ac:dyDescent="0.35">
      <c r="B1468" s="193" t="e">
        <f>"2024"&amp;MATCH(Totals!D1468,OrgType,0)&amp;"_"&amp;MATCH(Totals!E1468,Organisations,0)&amp;"_"&amp;LEFT(Totals!F1468,1)&amp;"_"&amp;LEFT(G1468,1)&amp;"_"&amp;COUNTIF($G$3:G1468,G1468)</f>
        <v>#N/A</v>
      </c>
      <c r="C1468" s="193">
        <v>2025</v>
      </c>
      <c r="D1468" s="193">
        <f>Introduction!$D$7</f>
        <v>0</v>
      </c>
      <c r="E1468" s="193">
        <f>Introduction!$D$8</f>
        <v>0</v>
      </c>
      <c r="F1468" s="193" t="s">
        <v>493</v>
      </c>
      <c r="G1468" s="193" t="s">
        <v>493</v>
      </c>
      <c r="H1468" s="194"/>
      <c r="I1468" s="194"/>
      <c r="J1468" s="196" t="str">
        <f>'Supply chain'!B203</f>
        <v/>
      </c>
      <c r="K1468" s="194"/>
      <c r="L1468" s="194"/>
      <c r="M1468" s="196" t="str">
        <f>'Supply chain'!C203</f>
        <v/>
      </c>
      <c r="N1468" s="196">
        <f>'Supply chain'!D203</f>
        <v>0</v>
      </c>
      <c r="O1468" s="194"/>
      <c r="P1468" s="196" t="str">
        <f>'Supply chain'!E203</f>
        <v>Tier 2</v>
      </c>
      <c r="Q1468" s="196">
        <f>'Supply chain'!F203</f>
        <v>0</v>
      </c>
      <c r="R1468" s="196">
        <f>'Supply chain'!G203</f>
        <v>0</v>
      </c>
      <c r="S1468" s="196" t="str">
        <f>'Supply chain'!H203</f>
        <v>£</v>
      </c>
      <c r="T1468" s="196">
        <f>'Supply chain'!I203</f>
        <v>0</v>
      </c>
      <c r="U1468" s="196" t="str">
        <f>'Supply chain'!J203</f>
        <v>£</v>
      </c>
      <c r="V1468" s="196" t="str">
        <f>'Supply chain'!K203</f>
        <v/>
      </c>
      <c r="W1468" s="196">
        <f>'Supply chain'!L203</f>
        <v>0</v>
      </c>
      <c r="X1468" s="193">
        <f>'Supply chain'!M203</f>
        <v>0</v>
      </c>
      <c r="Y1468" s="196">
        <f>'Supply chain'!N203</f>
        <v>0</v>
      </c>
      <c r="Z1468" s="196">
        <f>'Supply chain'!O203</f>
        <v>0</v>
      </c>
      <c r="AA1468" s="196">
        <f>'Supply chain'!P203</f>
        <v>0</v>
      </c>
      <c r="AB1468" s="196">
        <f>'Supply chain'!Q203</f>
        <v>0</v>
      </c>
      <c r="AC1468" s="196">
        <f>'Supply chain'!R203</f>
        <v>0</v>
      </c>
      <c r="AD1468" s="196">
        <f>'Supply chain'!S203</f>
        <v>0</v>
      </c>
      <c r="AE1468" s="196" t="str">
        <f>'Supply chain'!T203</f>
        <v/>
      </c>
      <c r="AF1468" s="196" t="str">
        <f>'Supply chain'!U203</f>
        <v/>
      </c>
      <c r="AG1468" s="196">
        <f>'Supply chain'!V203</f>
        <v>0</v>
      </c>
      <c r="AI1468" s="193">
        <f t="shared" si="32"/>
        <v>0</v>
      </c>
      <c r="AJ1468" s="193">
        <f t="shared" si="33"/>
        <v>0</v>
      </c>
    </row>
    <row r="1469" spans="2:36" x14ac:dyDescent="0.35">
      <c r="B1469" s="193" t="e">
        <f>"2024"&amp;MATCH(Totals!D1469,OrgType,0)&amp;"_"&amp;MATCH(Totals!E1469,Organisations,0)&amp;"_"&amp;LEFT(Totals!F1469,1)&amp;"_"&amp;LEFT(G1469,1)&amp;"_"&amp;COUNTIF($G$3:G1469,G1469)</f>
        <v>#N/A</v>
      </c>
      <c r="C1469" s="193">
        <v>2025</v>
      </c>
      <c r="D1469" s="193">
        <f>Introduction!$D$7</f>
        <v>0</v>
      </c>
      <c r="E1469" s="193">
        <f>Introduction!$D$8</f>
        <v>0</v>
      </c>
      <c r="F1469" s="193" t="s">
        <v>493</v>
      </c>
      <c r="G1469" s="193" t="s">
        <v>493</v>
      </c>
      <c r="H1469" s="194"/>
      <c r="I1469" s="194"/>
      <c r="J1469" s="196" t="str">
        <f>'Supply chain'!B204</f>
        <v/>
      </c>
      <c r="K1469" s="194"/>
      <c r="L1469" s="194"/>
      <c r="M1469" s="196" t="str">
        <f>'Supply chain'!C204</f>
        <v/>
      </c>
      <c r="N1469" s="196">
        <f>'Supply chain'!D204</f>
        <v>0</v>
      </c>
      <c r="O1469" s="194"/>
      <c r="P1469" s="196" t="str">
        <f>'Supply chain'!E204</f>
        <v>Tier 2</v>
      </c>
      <c r="Q1469" s="196">
        <f>'Supply chain'!F204</f>
        <v>0</v>
      </c>
      <c r="R1469" s="196">
        <f>'Supply chain'!G204</f>
        <v>0</v>
      </c>
      <c r="S1469" s="196" t="str">
        <f>'Supply chain'!H204</f>
        <v>£</v>
      </c>
      <c r="T1469" s="196">
        <f>'Supply chain'!I204</f>
        <v>0</v>
      </c>
      <c r="U1469" s="196" t="str">
        <f>'Supply chain'!J204</f>
        <v>£</v>
      </c>
      <c r="V1469" s="196" t="str">
        <f>'Supply chain'!K204</f>
        <v/>
      </c>
      <c r="W1469" s="196">
        <f>'Supply chain'!L204</f>
        <v>0</v>
      </c>
      <c r="X1469" s="193">
        <f>'Supply chain'!M204</f>
        <v>0</v>
      </c>
      <c r="Y1469" s="196">
        <f>'Supply chain'!N204</f>
        <v>0</v>
      </c>
      <c r="Z1469" s="196">
        <f>'Supply chain'!O204</f>
        <v>0</v>
      </c>
      <c r="AA1469" s="196">
        <f>'Supply chain'!P204</f>
        <v>0</v>
      </c>
      <c r="AB1469" s="196">
        <f>'Supply chain'!Q204</f>
        <v>0</v>
      </c>
      <c r="AC1469" s="196">
        <f>'Supply chain'!R204</f>
        <v>0</v>
      </c>
      <c r="AD1469" s="196">
        <f>'Supply chain'!S204</f>
        <v>0</v>
      </c>
      <c r="AE1469" s="196" t="str">
        <f>'Supply chain'!T204</f>
        <v/>
      </c>
      <c r="AF1469" s="196" t="str">
        <f>'Supply chain'!U204</f>
        <v/>
      </c>
      <c r="AG1469" s="196">
        <f>'Supply chain'!V204</f>
        <v>0</v>
      </c>
      <c r="AI1469" s="193">
        <f t="shared" si="32"/>
        <v>0</v>
      </c>
      <c r="AJ1469" s="193">
        <f t="shared" si="33"/>
        <v>0</v>
      </c>
    </row>
    <row r="1470" spans="2:36" x14ac:dyDescent="0.35">
      <c r="B1470" s="193" t="e">
        <f>"2024"&amp;MATCH(Totals!D1470,OrgType,0)&amp;"_"&amp;MATCH(Totals!E1470,Organisations,0)&amp;"_"&amp;LEFT(Totals!F1470,1)&amp;"_"&amp;LEFT(G1470,1)&amp;"_"&amp;COUNTIF($G$3:G1470,G1470)</f>
        <v>#N/A</v>
      </c>
      <c r="C1470" s="193">
        <v>2025</v>
      </c>
      <c r="D1470" s="193">
        <f>Introduction!$D$7</f>
        <v>0</v>
      </c>
      <c r="E1470" s="193">
        <f>Introduction!$D$8</f>
        <v>0</v>
      </c>
      <c r="F1470" s="193" t="s">
        <v>493</v>
      </c>
      <c r="G1470" s="193" t="s">
        <v>493</v>
      </c>
      <c r="H1470" s="194"/>
      <c r="I1470" s="194"/>
      <c r="J1470" s="196" t="str">
        <f>'Supply chain'!B205</f>
        <v/>
      </c>
      <c r="K1470" s="194"/>
      <c r="L1470" s="194"/>
      <c r="M1470" s="196" t="str">
        <f>'Supply chain'!C205</f>
        <v/>
      </c>
      <c r="N1470" s="196">
        <f>'Supply chain'!D205</f>
        <v>0</v>
      </c>
      <c r="O1470" s="194"/>
      <c r="P1470" s="196" t="str">
        <f>'Supply chain'!E205</f>
        <v>Tier 2</v>
      </c>
      <c r="Q1470" s="196">
        <f>'Supply chain'!F205</f>
        <v>0</v>
      </c>
      <c r="R1470" s="196">
        <f>'Supply chain'!G205</f>
        <v>0</v>
      </c>
      <c r="S1470" s="196" t="str">
        <f>'Supply chain'!H205</f>
        <v>£</v>
      </c>
      <c r="T1470" s="196">
        <f>'Supply chain'!I205</f>
        <v>0</v>
      </c>
      <c r="U1470" s="196" t="str">
        <f>'Supply chain'!J205</f>
        <v>£</v>
      </c>
      <c r="V1470" s="196" t="str">
        <f>'Supply chain'!K205</f>
        <v/>
      </c>
      <c r="W1470" s="196">
        <f>'Supply chain'!L205</f>
        <v>0</v>
      </c>
      <c r="X1470" s="193">
        <f>'Supply chain'!M205</f>
        <v>0</v>
      </c>
      <c r="Y1470" s="196">
        <f>'Supply chain'!N205</f>
        <v>0</v>
      </c>
      <c r="Z1470" s="196">
        <f>'Supply chain'!O205</f>
        <v>0</v>
      </c>
      <c r="AA1470" s="196">
        <f>'Supply chain'!P205</f>
        <v>0</v>
      </c>
      <c r="AB1470" s="196">
        <f>'Supply chain'!Q205</f>
        <v>0</v>
      </c>
      <c r="AC1470" s="196">
        <f>'Supply chain'!R205</f>
        <v>0</v>
      </c>
      <c r="AD1470" s="196">
        <f>'Supply chain'!S205</f>
        <v>0</v>
      </c>
      <c r="AE1470" s="196" t="str">
        <f>'Supply chain'!T205</f>
        <v/>
      </c>
      <c r="AF1470" s="196" t="str">
        <f>'Supply chain'!U205</f>
        <v/>
      </c>
      <c r="AG1470" s="196">
        <f>'Supply chain'!V205</f>
        <v>0</v>
      </c>
      <c r="AI1470" s="193">
        <f t="shared" si="32"/>
        <v>0</v>
      </c>
      <c r="AJ1470" s="193">
        <f t="shared" si="33"/>
        <v>0</v>
      </c>
    </row>
    <row r="1471" spans="2:36" x14ac:dyDescent="0.35">
      <c r="B1471" s="193" t="e">
        <f>"2024"&amp;MATCH(Totals!D1471,OrgType,0)&amp;"_"&amp;MATCH(Totals!E1471,Organisations,0)&amp;"_"&amp;LEFT(Totals!F1471,1)&amp;"_"&amp;LEFT(G1471,1)&amp;"_"&amp;COUNTIF($G$3:G1471,G1471)</f>
        <v>#N/A</v>
      </c>
      <c r="C1471" s="193">
        <v>2025</v>
      </c>
      <c r="D1471" s="193">
        <f>Introduction!$D$7</f>
        <v>0</v>
      </c>
      <c r="E1471" s="193">
        <f>Introduction!$D$8</f>
        <v>0</v>
      </c>
      <c r="F1471" s="193" t="s">
        <v>493</v>
      </c>
      <c r="G1471" s="193" t="s">
        <v>493</v>
      </c>
      <c r="H1471" s="194"/>
      <c r="I1471" s="194"/>
      <c r="J1471" s="196" t="str">
        <f>'Supply chain'!B206</f>
        <v/>
      </c>
      <c r="K1471" s="194"/>
      <c r="L1471" s="194"/>
      <c r="M1471" s="196" t="str">
        <f>'Supply chain'!C206</f>
        <v/>
      </c>
      <c r="N1471" s="196">
        <f>'Supply chain'!D206</f>
        <v>0</v>
      </c>
      <c r="O1471" s="194"/>
      <c r="P1471" s="196" t="str">
        <f>'Supply chain'!E206</f>
        <v>Tier 2</v>
      </c>
      <c r="Q1471" s="196">
        <f>'Supply chain'!F206</f>
        <v>0</v>
      </c>
      <c r="R1471" s="196">
        <f>'Supply chain'!G206</f>
        <v>0</v>
      </c>
      <c r="S1471" s="196" t="str">
        <f>'Supply chain'!H206</f>
        <v>£</v>
      </c>
      <c r="T1471" s="196">
        <f>'Supply chain'!I206</f>
        <v>0</v>
      </c>
      <c r="U1471" s="196" t="str">
        <f>'Supply chain'!J206</f>
        <v>£</v>
      </c>
      <c r="V1471" s="196" t="str">
        <f>'Supply chain'!K206</f>
        <v/>
      </c>
      <c r="W1471" s="196">
        <f>'Supply chain'!L206</f>
        <v>0</v>
      </c>
      <c r="X1471" s="193">
        <f>'Supply chain'!M206</f>
        <v>0</v>
      </c>
      <c r="Y1471" s="196">
        <f>'Supply chain'!N206</f>
        <v>0</v>
      </c>
      <c r="Z1471" s="196">
        <f>'Supply chain'!O206</f>
        <v>0</v>
      </c>
      <c r="AA1471" s="196">
        <f>'Supply chain'!P206</f>
        <v>0</v>
      </c>
      <c r="AB1471" s="196">
        <f>'Supply chain'!Q206</f>
        <v>0</v>
      </c>
      <c r="AC1471" s="196">
        <f>'Supply chain'!R206</f>
        <v>0</v>
      </c>
      <c r="AD1471" s="196">
        <f>'Supply chain'!S206</f>
        <v>0</v>
      </c>
      <c r="AE1471" s="196" t="str">
        <f>'Supply chain'!T206</f>
        <v/>
      </c>
      <c r="AF1471" s="196" t="str">
        <f>'Supply chain'!U206</f>
        <v/>
      </c>
      <c r="AG1471" s="196">
        <f>'Supply chain'!V206</f>
        <v>0</v>
      </c>
      <c r="AI1471" s="193">
        <f t="shared" si="32"/>
        <v>0</v>
      </c>
      <c r="AJ1471" s="193">
        <f t="shared" si="33"/>
        <v>0</v>
      </c>
    </row>
    <row r="1472" spans="2:36" x14ac:dyDescent="0.35">
      <c r="B1472" s="193" t="e">
        <f>"2024"&amp;MATCH(Totals!D1472,OrgType,0)&amp;"_"&amp;MATCH(Totals!E1472,Organisations,0)&amp;"_"&amp;LEFT(Totals!F1472,1)&amp;"_"&amp;LEFT(G1472,1)&amp;"_"&amp;COUNTIF($G$3:G1472,G1472)</f>
        <v>#N/A</v>
      </c>
      <c r="C1472" s="193">
        <v>2025</v>
      </c>
      <c r="D1472" s="193">
        <f>Introduction!$D$7</f>
        <v>0</v>
      </c>
      <c r="E1472" s="193">
        <f>Introduction!$D$8</f>
        <v>0</v>
      </c>
      <c r="F1472" s="193" t="s">
        <v>493</v>
      </c>
      <c r="G1472" s="193" t="s">
        <v>493</v>
      </c>
      <c r="H1472" s="194"/>
      <c r="I1472" s="194"/>
      <c r="J1472" s="196" t="str">
        <f>'Supply chain'!B207</f>
        <v/>
      </c>
      <c r="K1472" s="194"/>
      <c r="L1472" s="194"/>
      <c r="M1472" s="196" t="str">
        <f>'Supply chain'!C207</f>
        <v/>
      </c>
      <c r="N1472" s="196">
        <f>'Supply chain'!D207</f>
        <v>0</v>
      </c>
      <c r="O1472" s="194"/>
      <c r="P1472" s="196" t="str">
        <f>'Supply chain'!E207</f>
        <v>Tier 2</v>
      </c>
      <c r="Q1472" s="196">
        <f>'Supply chain'!F207</f>
        <v>0</v>
      </c>
      <c r="R1472" s="196">
        <f>'Supply chain'!G207</f>
        <v>0</v>
      </c>
      <c r="S1472" s="196" t="str">
        <f>'Supply chain'!H207</f>
        <v>£</v>
      </c>
      <c r="T1472" s="196">
        <f>'Supply chain'!I207</f>
        <v>0</v>
      </c>
      <c r="U1472" s="196" t="str">
        <f>'Supply chain'!J207</f>
        <v>£</v>
      </c>
      <c r="V1472" s="196" t="str">
        <f>'Supply chain'!K207</f>
        <v/>
      </c>
      <c r="W1472" s="196">
        <f>'Supply chain'!L207</f>
        <v>0</v>
      </c>
      <c r="X1472" s="193">
        <f>'Supply chain'!M207</f>
        <v>0</v>
      </c>
      <c r="Y1472" s="196">
        <f>'Supply chain'!N207</f>
        <v>0</v>
      </c>
      <c r="Z1472" s="196">
        <f>'Supply chain'!O207</f>
        <v>0</v>
      </c>
      <c r="AA1472" s="196">
        <f>'Supply chain'!P207</f>
        <v>0</v>
      </c>
      <c r="AB1472" s="196">
        <f>'Supply chain'!Q207</f>
        <v>0</v>
      </c>
      <c r="AC1472" s="196">
        <f>'Supply chain'!R207</f>
        <v>0</v>
      </c>
      <c r="AD1472" s="196">
        <f>'Supply chain'!S207</f>
        <v>0</v>
      </c>
      <c r="AE1472" s="196" t="str">
        <f>'Supply chain'!T207</f>
        <v/>
      </c>
      <c r="AF1472" s="196" t="str">
        <f>'Supply chain'!U207</f>
        <v/>
      </c>
      <c r="AG1472" s="196">
        <f>'Supply chain'!V207</f>
        <v>0</v>
      </c>
      <c r="AI1472" s="193">
        <f t="shared" si="32"/>
        <v>0</v>
      </c>
      <c r="AJ1472" s="193">
        <f t="shared" si="33"/>
        <v>0</v>
      </c>
    </row>
    <row r="1473" spans="2:36" x14ac:dyDescent="0.35">
      <c r="B1473" s="193" t="e">
        <f>"2024"&amp;MATCH(Totals!D1473,OrgType,0)&amp;"_"&amp;MATCH(Totals!E1473,Organisations,0)&amp;"_"&amp;LEFT(Totals!F1473,1)&amp;"_"&amp;LEFT(G1473,1)&amp;"_"&amp;COUNTIF($G$3:G1473,G1473)</f>
        <v>#N/A</v>
      </c>
      <c r="C1473" s="193">
        <v>2025</v>
      </c>
      <c r="D1473" s="193">
        <f>Introduction!$D$7</f>
        <v>0</v>
      </c>
      <c r="E1473" s="193">
        <f>Introduction!$D$8</f>
        <v>0</v>
      </c>
      <c r="F1473" s="193" t="s">
        <v>493</v>
      </c>
      <c r="G1473" s="193" t="s">
        <v>493</v>
      </c>
      <c r="H1473" s="194"/>
      <c r="I1473" s="194"/>
      <c r="J1473" s="196" t="str">
        <f>'Supply chain'!B208</f>
        <v/>
      </c>
      <c r="K1473" s="194"/>
      <c r="L1473" s="194"/>
      <c r="M1473" s="196" t="str">
        <f>'Supply chain'!C208</f>
        <v/>
      </c>
      <c r="N1473" s="196">
        <f>'Supply chain'!D208</f>
        <v>0</v>
      </c>
      <c r="O1473" s="194"/>
      <c r="P1473" s="196" t="str">
        <f>'Supply chain'!E208</f>
        <v>Tier 2</v>
      </c>
      <c r="Q1473" s="196">
        <f>'Supply chain'!F208</f>
        <v>0</v>
      </c>
      <c r="R1473" s="196">
        <f>'Supply chain'!G208</f>
        <v>0</v>
      </c>
      <c r="S1473" s="196" t="str">
        <f>'Supply chain'!H208</f>
        <v>£</v>
      </c>
      <c r="T1473" s="196">
        <f>'Supply chain'!I208</f>
        <v>0</v>
      </c>
      <c r="U1473" s="196" t="str">
        <f>'Supply chain'!J208</f>
        <v>£</v>
      </c>
      <c r="V1473" s="196" t="str">
        <f>'Supply chain'!K208</f>
        <v/>
      </c>
      <c r="W1473" s="196">
        <f>'Supply chain'!L208</f>
        <v>0</v>
      </c>
      <c r="X1473" s="193">
        <f>'Supply chain'!M208</f>
        <v>0</v>
      </c>
      <c r="Y1473" s="196">
        <f>'Supply chain'!N208</f>
        <v>0</v>
      </c>
      <c r="Z1473" s="196">
        <f>'Supply chain'!O208</f>
        <v>0</v>
      </c>
      <c r="AA1473" s="196">
        <f>'Supply chain'!P208</f>
        <v>0</v>
      </c>
      <c r="AB1473" s="196">
        <f>'Supply chain'!Q208</f>
        <v>0</v>
      </c>
      <c r="AC1473" s="196">
        <f>'Supply chain'!R208</f>
        <v>0</v>
      </c>
      <c r="AD1473" s="196">
        <f>'Supply chain'!S208</f>
        <v>0</v>
      </c>
      <c r="AE1473" s="196" t="str">
        <f>'Supply chain'!T208</f>
        <v/>
      </c>
      <c r="AF1473" s="196" t="str">
        <f>'Supply chain'!U208</f>
        <v/>
      </c>
      <c r="AG1473" s="196">
        <f>'Supply chain'!V208</f>
        <v>0</v>
      </c>
      <c r="AI1473" s="193">
        <f t="shared" si="32"/>
        <v>0</v>
      </c>
      <c r="AJ1473" s="193">
        <f t="shared" si="33"/>
        <v>0</v>
      </c>
    </row>
    <row r="1474" spans="2:36" x14ac:dyDescent="0.35">
      <c r="B1474" s="193" t="e">
        <f>"2024"&amp;MATCH(Totals!D1474,OrgType,0)&amp;"_"&amp;MATCH(Totals!E1474,Organisations,0)&amp;"_"&amp;LEFT(Totals!F1474,1)&amp;"_"&amp;LEFT(G1474,1)&amp;"_"&amp;COUNTIF($G$3:G1474,G1474)</f>
        <v>#N/A</v>
      </c>
      <c r="C1474" s="193">
        <v>2025</v>
      </c>
      <c r="D1474" s="193">
        <f>Introduction!$D$7</f>
        <v>0</v>
      </c>
      <c r="E1474" s="193">
        <f>Introduction!$D$8</f>
        <v>0</v>
      </c>
      <c r="F1474" s="193" t="s">
        <v>493</v>
      </c>
      <c r="G1474" s="193" t="s">
        <v>493</v>
      </c>
      <c r="H1474" s="194"/>
      <c r="I1474" s="194"/>
      <c r="J1474" s="196" t="str">
        <f>'Supply chain'!B209</f>
        <v/>
      </c>
      <c r="K1474" s="194"/>
      <c r="L1474" s="194"/>
      <c r="M1474" s="196" t="str">
        <f>'Supply chain'!C209</f>
        <v/>
      </c>
      <c r="N1474" s="196">
        <f>'Supply chain'!D209</f>
        <v>0</v>
      </c>
      <c r="O1474" s="194"/>
      <c r="P1474" s="196" t="str">
        <f>'Supply chain'!E209</f>
        <v>Tier 2</v>
      </c>
      <c r="Q1474" s="196">
        <f>'Supply chain'!F209</f>
        <v>0</v>
      </c>
      <c r="R1474" s="196">
        <f>'Supply chain'!G209</f>
        <v>0</v>
      </c>
      <c r="S1474" s="196" t="str">
        <f>'Supply chain'!H209</f>
        <v>£</v>
      </c>
      <c r="T1474" s="196">
        <f>'Supply chain'!I209</f>
        <v>0</v>
      </c>
      <c r="U1474" s="196" t="str">
        <f>'Supply chain'!J209</f>
        <v>£</v>
      </c>
      <c r="V1474" s="196" t="str">
        <f>'Supply chain'!K209</f>
        <v/>
      </c>
      <c r="W1474" s="196">
        <f>'Supply chain'!L209</f>
        <v>0</v>
      </c>
      <c r="X1474" s="193">
        <f>'Supply chain'!M209</f>
        <v>0</v>
      </c>
      <c r="Y1474" s="196">
        <f>'Supply chain'!N209</f>
        <v>0</v>
      </c>
      <c r="Z1474" s="196">
        <f>'Supply chain'!O209</f>
        <v>0</v>
      </c>
      <c r="AA1474" s="196">
        <f>'Supply chain'!P209</f>
        <v>0</v>
      </c>
      <c r="AB1474" s="196">
        <f>'Supply chain'!Q209</f>
        <v>0</v>
      </c>
      <c r="AC1474" s="196">
        <f>'Supply chain'!R209</f>
        <v>0</v>
      </c>
      <c r="AD1474" s="196">
        <f>'Supply chain'!S209</f>
        <v>0</v>
      </c>
      <c r="AE1474" s="196" t="str">
        <f>'Supply chain'!T209</f>
        <v/>
      </c>
      <c r="AF1474" s="196" t="str">
        <f>'Supply chain'!U209</f>
        <v/>
      </c>
      <c r="AG1474" s="196">
        <f>'Supply chain'!V209</f>
        <v>0</v>
      </c>
      <c r="AI1474" s="193">
        <f t="shared" si="32"/>
        <v>0</v>
      </c>
      <c r="AJ1474" s="193">
        <f t="shared" si="33"/>
        <v>0</v>
      </c>
    </row>
    <row r="1475" spans="2:36" x14ac:dyDescent="0.35">
      <c r="B1475" s="193" t="e">
        <f>"2024"&amp;MATCH(Totals!D1475,OrgType,0)&amp;"_"&amp;MATCH(Totals!E1475,Organisations,0)&amp;"_"&amp;LEFT(Totals!F1475,1)&amp;"_"&amp;LEFT(G1475,1)&amp;"_"&amp;COUNTIF($G$3:G1475,G1475)</f>
        <v>#N/A</v>
      </c>
      <c r="C1475" s="193">
        <v>2025</v>
      </c>
      <c r="D1475" s="193">
        <f>Introduction!$D$7</f>
        <v>0</v>
      </c>
      <c r="E1475" s="193">
        <f>Introduction!$D$8</f>
        <v>0</v>
      </c>
      <c r="F1475" s="193" t="s">
        <v>493</v>
      </c>
      <c r="G1475" s="193" t="s">
        <v>493</v>
      </c>
      <c r="H1475" s="194"/>
      <c r="I1475" s="194"/>
      <c r="J1475" s="196" t="str">
        <f>'Supply chain'!B210</f>
        <v/>
      </c>
      <c r="K1475" s="194"/>
      <c r="L1475" s="194"/>
      <c r="M1475" s="196" t="str">
        <f>'Supply chain'!C210</f>
        <v/>
      </c>
      <c r="N1475" s="196">
        <f>'Supply chain'!D210</f>
        <v>0</v>
      </c>
      <c r="O1475" s="194"/>
      <c r="P1475" s="196" t="str">
        <f>'Supply chain'!E210</f>
        <v>Tier 2</v>
      </c>
      <c r="Q1475" s="196">
        <f>'Supply chain'!F210</f>
        <v>0</v>
      </c>
      <c r="R1475" s="196">
        <f>'Supply chain'!G210</f>
        <v>0</v>
      </c>
      <c r="S1475" s="196" t="str">
        <f>'Supply chain'!H210</f>
        <v>£</v>
      </c>
      <c r="T1475" s="196">
        <f>'Supply chain'!I210</f>
        <v>0</v>
      </c>
      <c r="U1475" s="196" t="str">
        <f>'Supply chain'!J210</f>
        <v>£</v>
      </c>
      <c r="V1475" s="196" t="str">
        <f>'Supply chain'!K210</f>
        <v/>
      </c>
      <c r="W1475" s="196">
        <f>'Supply chain'!L210</f>
        <v>0</v>
      </c>
      <c r="X1475" s="193">
        <f>'Supply chain'!M210</f>
        <v>0</v>
      </c>
      <c r="Y1475" s="196">
        <f>'Supply chain'!N210</f>
        <v>0</v>
      </c>
      <c r="Z1475" s="196">
        <f>'Supply chain'!O210</f>
        <v>0</v>
      </c>
      <c r="AA1475" s="196">
        <f>'Supply chain'!P210</f>
        <v>0</v>
      </c>
      <c r="AB1475" s="196">
        <f>'Supply chain'!Q210</f>
        <v>0</v>
      </c>
      <c r="AC1475" s="196">
        <f>'Supply chain'!R210</f>
        <v>0</v>
      </c>
      <c r="AD1475" s="196">
        <f>'Supply chain'!S210</f>
        <v>0</v>
      </c>
      <c r="AE1475" s="196" t="str">
        <f>'Supply chain'!T210</f>
        <v/>
      </c>
      <c r="AF1475" s="196" t="str">
        <f>'Supply chain'!U210</f>
        <v/>
      </c>
      <c r="AG1475" s="196">
        <f>'Supply chain'!V210</f>
        <v>0</v>
      </c>
      <c r="AI1475" s="193">
        <f t="shared" si="32"/>
        <v>0</v>
      </c>
      <c r="AJ1475" s="193">
        <f t="shared" si="33"/>
        <v>0</v>
      </c>
    </row>
    <row r="1476" spans="2:36" x14ac:dyDescent="0.35">
      <c r="B1476" s="193" t="e">
        <f>"2024"&amp;MATCH(Totals!D1476,OrgType,0)&amp;"_"&amp;MATCH(Totals!E1476,Organisations,0)&amp;"_"&amp;LEFT(Totals!F1476,1)&amp;"_"&amp;LEFT(G1476,1)&amp;"_"&amp;COUNTIF($G$3:G1476,G1476)</f>
        <v>#N/A</v>
      </c>
      <c r="C1476" s="193">
        <v>2025</v>
      </c>
      <c r="D1476" s="193">
        <f>Introduction!$D$7</f>
        <v>0</v>
      </c>
      <c r="E1476" s="193">
        <f>Introduction!$D$8</f>
        <v>0</v>
      </c>
      <c r="F1476" s="193" t="s">
        <v>493</v>
      </c>
      <c r="G1476" s="193" t="s">
        <v>493</v>
      </c>
      <c r="H1476" s="194"/>
      <c r="I1476" s="194"/>
      <c r="J1476" s="196" t="str">
        <f>'Supply chain'!B211</f>
        <v/>
      </c>
      <c r="K1476" s="194"/>
      <c r="L1476" s="194"/>
      <c r="M1476" s="196" t="str">
        <f>'Supply chain'!C211</f>
        <v/>
      </c>
      <c r="N1476" s="196">
        <f>'Supply chain'!D211</f>
        <v>0</v>
      </c>
      <c r="O1476" s="194"/>
      <c r="P1476" s="196" t="str">
        <f>'Supply chain'!E211</f>
        <v>Tier 2</v>
      </c>
      <c r="Q1476" s="196">
        <f>'Supply chain'!F211</f>
        <v>0</v>
      </c>
      <c r="R1476" s="196">
        <f>'Supply chain'!G211</f>
        <v>0</v>
      </c>
      <c r="S1476" s="196" t="str">
        <f>'Supply chain'!H211</f>
        <v>£</v>
      </c>
      <c r="T1476" s="196">
        <f>'Supply chain'!I211</f>
        <v>0</v>
      </c>
      <c r="U1476" s="196" t="str">
        <f>'Supply chain'!J211</f>
        <v>£</v>
      </c>
      <c r="V1476" s="196" t="str">
        <f>'Supply chain'!K211</f>
        <v/>
      </c>
      <c r="W1476" s="196">
        <f>'Supply chain'!L211</f>
        <v>0</v>
      </c>
      <c r="X1476" s="193">
        <f>'Supply chain'!M211</f>
        <v>0</v>
      </c>
      <c r="Y1476" s="196">
        <f>'Supply chain'!N211</f>
        <v>0</v>
      </c>
      <c r="Z1476" s="196">
        <f>'Supply chain'!O211</f>
        <v>0</v>
      </c>
      <c r="AA1476" s="196">
        <f>'Supply chain'!P211</f>
        <v>0</v>
      </c>
      <c r="AB1476" s="196">
        <f>'Supply chain'!Q211</f>
        <v>0</v>
      </c>
      <c r="AC1476" s="196">
        <f>'Supply chain'!R211</f>
        <v>0</v>
      </c>
      <c r="AD1476" s="196">
        <f>'Supply chain'!S211</f>
        <v>0</v>
      </c>
      <c r="AE1476" s="196" t="str">
        <f>'Supply chain'!T211</f>
        <v/>
      </c>
      <c r="AF1476" s="196" t="str">
        <f>'Supply chain'!U211</f>
        <v/>
      </c>
      <c r="AG1476" s="196">
        <f>'Supply chain'!V211</f>
        <v>0</v>
      </c>
      <c r="AI1476" s="193">
        <f t="shared" si="32"/>
        <v>0</v>
      </c>
      <c r="AJ1476" s="193">
        <f t="shared" si="33"/>
        <v>0</v>
      </c>
    </row>
    <row r="1477" spans="2:36" x14ac:dyDescent="0.35">
      <c r="B1477" s="193" t="e">
        <f>"2024"&amp;MATCH(Totals!D1477,OrgType,0)&amp;"_"&amp;MATCH(Totals!E1477,Organisations,0)&amp;"_"&amp;LEFT(Totals!F1477,1)&amp;"_"&amp;LEFT(G1477,1)&amp;"_"&amp;COUNTIF($G$3:G1477,G1477)</f>
        <v>#N/A</v>
      </c>
      <c r="C1477" s="193">
        <v>2025</v>
      </c>
      <c r="D1477" s="193">
        <f>Introduction!$D$7</f>
        <v>0</v>
      </c>
      <c r="E1477" s="193">
        <f>Introduction!$D$8</f>
        <v>0</v>
      </c>
      <c r="F1477" s="193" t="s">
        <v>493</v>
      </c>
      <c r="G1477" s="193" t="s">
        <v>493</v>
      </c>
      <c r="H1477" s="194"/>
      <c r="I1477" s="194"/>
      <c r="J1477" s="196" t="str">
        <f>'Supply chain'!B212</f>
        <v/>
      </c>
      <c r="K1477" s="194"/>
      <c r="L1477" s="194"/>
      <c r="M1477" s="196" t="str">
        <f>'Supply chain'!C212</f>
        <v/>
      </c>
      <c r="N1477" s="196">
        <f>'Supply chain'!D212</f>
        <v>0</v>
      </c>
      <c r="O1477" s="194"/>
      <c r="P1477" s="196" t="str">
        <f>'Supply chain'!E212</f>
        <v>Tier 2</v>
      </c>
      <c r="Q1477" s="196">
        <f>'Supply chain'!F212</f>
        <v>0</v>
      </c>
      <c r="R1477" s="196">
        <f>'Supply chain'!G212</f>
        <v>0</v>
      </c>
      <c r="S1477" s="196" t="str">
        <f>'Supply chain'!H212</f>
        <v>£</v>
      </c>
      <c r="T1477" s="196">
        <f>'Supply chain'!I212</f>
        <v>0</v>
      </c>
      <c r="U1477" s="196" t="str">
        <f>'Supply chain'!J212</f>
        <v>£</v>
      </c>
      <c r="V1477" s="196" t="str">
        <f>'Supply chain'!K212</f>
        <v/>
      </c>
      <c r="W1477" s="196">
        <f>'Supply chain'!L212</f>
        <v>0</v>
      </c>
      <c r="X1477" s="193">
        <f>'Supply chain'!M212</f>
        <v>0</v>
      </c>
      <c r="Y1477" s="196">
        <f>'Supply chain'!N212</f>
        <v>0</v>
      </c>
      <c r="Z1477" s="196">
        <f>'Supply chain'!O212</f>
        <v>0</v>
      </c>
      <c r="AA1477" s="196">
        <f>'Supply chain'!P212</f>
        <v>0</v>
      </c>
      <c r="AB1477" s="196">
        <f>'Supply chain'!Q212</f>
        <v>0</v>
      </c>
      <c r="AC1477" s="196">
        <f>'Supply chain'!R212</f>
        <v>0</v>
      </c>
      <c r="AD1477" s="196">
        <f>'Supply chain'!S212</f>
        <v>0</v>
      </c>
      <c r="AE1477" s="196" t="str">
        <f>'Supply chain'!T212</f>
        <v/>
      </c>
      <c r="AF1477" s="196" t="str">
        <f>'Supply chain'!U212</f>
        <v/>
      </c>
      <c r="AG1477" s="196">
        <f>'Supply chain'!V212</f>
        <v>0</v>
      </c>
      <c r="AI1477" s="193">
        <f t="shared" si="32"/>
        <v>0</v>
      </c>
      <c r="AJ1477" s="193">
        <f t="shared" si="33"/>
        <v>0</v>
      </c>
    </row>
    <row r="1478" spans="2:36" x14ac:dyDescent="0.35">
      <c r="B1478" s="193" t="e">
        <f>"2024"&amp;MATCH(Totals!D1478,OrgType,0)&amp;"_"&amp;MATCH(Totals!E1478,Organisations,0)&amp;"_"&amp;LEFT(Totals!F1478,1)&amp;"_"&amp;LEFT(G1478,1)&amp;"_"&amp;COUNTIF($G$3:G1478,G1478)</f>
        <v>#N/A</v>
      </c>
      <c r="C1478" s="193">
        <v>2025</v>
      </c>
      <c r="D1478" s="193">
        <f>Introduction!$D$7</f>
        <v>0</v>
      </c>
      <c r="E1478" s="193">
        <f>Introduction!$D$8</f>
        <v>0</v>
      </c>
      <c r="F1478" s="193" t="s">
        <v>493</v>
      </c>
      <c r="G1478" s="193" t="s">
        <v>493</v>
      </c>
      <c r="H1478" s="194"/>
      <c r="I1478" s="194"/>
      <c r="J1478" s="196" t="str">
        <f>'Supply chain'!B213</f>
        <v/>
      </c>
      <c r="K1478" s="194"/>
      <c r="L1478" s="194"/>
      <c r="M1478" s="196" t="str">
        <f>'Supply chain'!C213</f>
        <v/>
      </c>
      <c r="N1478" s="196">
        <f>'Supply chain'!D213</f>
        <v>0</v>
      </c>
      <c r="O1478" s="194"/>
      <c r="P1478" s="196" t="str">
        <f>'Supply chain'!E213</f>
        <v>Tier 2</v>
      </c>
      <c r="Q1478" s="196">
        <f>'Supply chain'!F213</f>
        <v>0</v>
      </c>
      <c r="R1478" s="196">
        <f>'Supply chain'!G213</f>
        <v>0</v>
      </c>
      <c r="S1478" s="196" t="str">
        <f>'Supply chain'!H213</f>
        <v>£</v>
      </c>
      <c r="T1478" s="196">
        <f>'Supply chain'!I213</f>
        <v>0</v>
      </c>
      <c r="U1478" s="196" t="str">
        <f>'Supply chain'!J213</f>
        <v>£</v>
      </c>
      <c r="V1478" s="196" t="str">
        <f>'Supply chain'!K213</f>
        <v/>
      </c>
      <c r="W1478" s="196">
        <f>'Supply chain'!L213</f>
        <v>0</v>
      </c>
      <c r="X1478" s="193">
        <f>'Supply chain'!M213</f>
        <v>0</v>
      </c>
      <c r="Y1478" s="196">
        <f>'Supply chain'!N213</f>
        <v>0</v>
      </c>
      <c r="Z1478" s="196">
        <f>'Supply chain'!O213</f>
        <v>0</v>
      </c>
      <c r="AA1478" s="196">
        <f>'Supply chain'!P213</f>
        <v>0</v>
      </c>
      <c r="AB1478" s="196">
        <f>'Supply chain'!Q213</f>
        <v>0</v>
      </c>
      <c r="AC1478" s="196">
        <f>'Supply chain'!R213</f>
        <v>0</v>
      </c>
      <c r="AD1478" s="196">
        <f>'Supply chain'!S213</f>
        <v>0</v>
      </c>
      <c r="AE1478" s="196" t="str">
        <f>'Supply chain'!T213</f>
        <v/>
      </c>
      <c r="AF1478" s="196" t="str">
        <f>'Supply chain'!U213</f>
        <v/>
      </c>
      <c r="AG1478" s="196">
        <f>'Supply chain'!V213</f>
        <v>0</v>
      </c>
      <c r="AI1478" s="193">
        <f t="shared" si="32"/>
        <v>0</v>
      </c>
      <c r="AJ1478" s="193">
        <f t="shared" si="33"/>
        <v>0</v>
      </c>
    </row>
    <row r="1479" spans="2:36" x14ac:dyDescent="0.35">
      <c r="B1479" s="193" t="e">
        <f>"2024"&amp;MATCH(Totals!D1479,OrgType,0)&amp;"_"&amp;MATCH(Totals!E1479,Organisations,0)&amp;"_"&amp;LEFT(Totals!F1479,1)&amp;"_"&amp;LEFT(G1479,1)&amp;"_"&amp;COUNTIF($G$3:G1479,G1479)</f>
        <v>#N/A</v>
      </c>
      <c r="C1479" s="193">
        <v>2025</v>
      </c>
      <c r="D1479" s="193">
        <f>Introduction!$D$7</f>
        <v>0</v>
      </c>
      <c r="E1479" s="193">
        <f>Introduction!$D$8</f>
        <v>0</v>
      </c>
      <c r="F1479" s="193" t="s">
        <v>493</v>
      </c>
      <c r="G1479" s="193" t="s">
        <v>493</v>
      </c>
      <c r="H1479" s="194"/>
      <c r="I1479" s="194"/>
      <c r="J1479" s="196" t="str">
        <f>'Supply chain'!B214</f>
        <v/>
      </c>
      <c r="K1479" s="194"/>
      <c r="L1479" s="194"/>
      <c r="M1479" s="196" t="str">
        <f>'Supply chain'!C214</f>
        <v/>
      </c>
      <c r="N1479" s="196">
        <f>'Supply chain'!D214</f>
        <v>0</v>
      </c>
      <c r="O1479" s="194"/>
      <c r="P1479" s="196" t="str">
        <f>'Supply chain'!E214</f>
        <v>Tier 2</v>
      </c>
      <c r="Q1479" s="196">
        <f>'Supply chain'!F214</f>
        <v>0</v>
      </c>
      <c r="R1479" s="196">
        <f>'Supply chain'!G214</f>
        <v>0</v>
      </c>
      <c r="S1479" s="196" t="str">
        <f>'Supply chain'!H214</f>
        <v>£</v>
      </c>
      <c r="T1479" s="196">
        <f>'Supply chain'!I214</f>
        <v>0</v>
      </c>
      <c r="U1479" s="196" t="str">
        <f>'Supply chain'!J214</f>
        <v>£</v>
      </c>
      <c r="V1479" s="196" t="str">
        <f>'Supply chain'!K214</f>
        <v/>
      </c>
      <c r="W1479" s="196">
        <f>'Supply chain'!L214</f>
        <v>0</v>
      </c>
      <c r="X1479" s="193">
        <f>'Supply chain'!M214</f>
        <v>0</v>
      </c>
      <c r="Y1479" s="196">
        <f>'Supply chain'!N214</f>
        <v>0</v>
      </c>
      <c r="Z1479" s="196">
        <f>'Supply chain'!O214</f>
        <v>0</v>
      </c>
      <c r="AA1479" s="196">
        <f>'Supply chain'!P214</f>
        <v>0</v>
      </c>
      <c r="AB1479" s="196">
        <f>'Supply chain'!Q214</f>
        <v>0</v>
      </c>
      <c r="AC1479" s="196">
        <f>'Supply chain'!R214</f>
        <v>0</v>
      </c>
      <c r="AD1479" s="196">
        <f>'Supply chain'!S214</f>
        <v>0</v>
      </c>
      <c r="AE1479" s="196" t="str">
        <f>'Supply chain'!T214</f>
        <v/>
      </c>
      <c r="AF1479" s="196" t="str">
        <f>'Supply chain'!U214</f>
        <v/>
      </c>
      <c r="AG1479" s="196">
        <f>'Supply chain'!V214</f>
        <v>0</v>
      </c>
      <c r="AI1479" s="193">
        <f t="shared" si="32"/>
        <v>0</v>
      </c>
      <c r="AJ1479" s="193">
        <f t="shared" si="33"/>
        <v>0</v>
      </c>
    </row>
    <row r="1480" spans="2:36" x14ac:dyDescent="0.35">
      <c r="B1480" s="193" t="e">
        <f>"2024"&amp;MATCH(Totals!D1480,OrgType,0)&amp;"_"&amp;MATCH(Totals!E1480,Organisations,0)&amp;"_"&amp;LEFT(Totals!F1480,1)&amp;"_"&amp;LEFT(G1480,1)&amp;"_"&amp;COUNTIF($G$3:G1480,G1480)</f>
        <v>#N/A</v>
      </c>
      <c r="C1480" s="193">
        <v>2025</v>
      </c>
      <c r="D1480" s="193">
        <f>Introduction!$D$7</f>
        <v>0</v>
      </c>
      <c r="E1480" s="193">
        <f>Introduction!$D$8</f>
        <v>0</v>
      </c>
      <c r="F1480" s="193" t="s">
        <v>493</v>
      </c>
      <c r="G1480" s="193" t="s">
        <v>493</v>
      </c>
      <c r="H1480" s="194"/>
      <c r="I1480" s="194"/>
      <c r="J1480" s="196" t="str">
        <f>'Supply chain'!B215</f>
        <v/>
      </c>
      <c r="K1480" s="194"/>
      <c r="L1480" s="194"/>
      <c r="M1480" s="196" t="str">
        <f>'Supply chain'!C215</f>
        <v/>
      </c>
      <c r="N1480" s="196">
        <f>'Supply chain'!D215</f>
        <v>0</v>
      </c>
      <c r="O1480" s="194"/>
      <c r="P1480" s="196" t="str">
        <f>'Supply chain'!E215</f>
        <v>Tier 2</v>
      </c>
      <c r="Q1480" s="196">
        <f>'Supply chain'!F215</f>
        <v>0</v>
      </c>
      <c r="R1480" s="196">
        <f>'Supply chain'!G215</f>
        <v>0</v>
      </c>
      <c r="S1480" s="196" t="str">
        <f>'Supply chain'!H215</f>
        <v>£</v>
      </c>
      <c r="T1480" s="196">
        <f>'Supply chain'!I215</f>
        <v>0</v>
      </c>
      <c r="U1480" s="196" t="str">
        <f>'Supply chain'!J215</f>
        <v>£</v>
      </c>
      <c r="V1480" s="196" t="str">
        <f>'Supply chain'!K215</f>
        <v/>
      </c>
      <c r="W1480" s="196">
        <f>'Supply chain'!L215</f>
        <v>0</v>
      </c>
      <c r="X1480" s="193">
        <f>'Supply chain'!M215</f>
        <v>0</v>
      </c>
      <c r="Y1480" s="196">
        <f>'Supply chain'!N215</f>
        <v>0</v>
      </c>
      <c r="Z1480" s="196">
        <f>'Supply chain'!O215</f>
        <v>0</v>
      </c>
      <c r="AA1480" s="196">
        <f>'Supply chain'!P215</f>
        <v>0</v>
      </c>
      <c r="AB1480" s="196">
        <f>'Supply chain'!Q215</f>
        <v>0</v>
      </c>
      <c r="AC1480" s="196">
        <f>'Supply chain'!R215</f>
        <v>0</v>
      </c>
      <c r="AD1480" s="196">
        <f>'Supply chain'!S215</f>
        <v>0</v>
      </c>
      <c r="AE1480" s="196" t="str">
        <f>'Supply chain'!T215</f>
        <v/>
      </c>
      <c r="AF1480" s="196" t="str">
        <f>'Supply chain'!U215</f>
        <v/>
      </c>
      <c r="AG1480" s="196">
        <f>'Supply chain'!V215</f>
        <v>0</v>
      </c>
      <c r="AI1480" s="193">
        <f t="shared" si="32"/>
        <v>0</v>
      </c>
      <c r="AJ1480" s="193">
        <f t="shared" si="33"/>
        <v>0</v>
      </c>
    </row>
    <row r="1481" spans="2:36" x14ac:dyDescent="0.35">
      <c r="B1481" s="193" t="e">
        <f>"2024"&amp;MATCH(Totals!D1481,OrgType,0)&amp;"_"&amp;MATCH(Totals!E1481,Organisations,0)&amp;"_"&amp;LEFT(Totals!F1481,1)&amp;"_"&amp;LEFT(G1481,1)&amp;"_"&amp;COUNTIF($G$3:G1481,G1481)</f>
        <v>#N/A</v>
      </c>
      <c r="C1481" s="193">
        <v>2025</v>
      </c>
      <c r="D1481" s="193">
        <f>Introduction!$D$7</f>
        <v>0</v>
      </c>
      <c r="E1481" s="193">
        <f>Introduction!$D$8</f>
        <v>0</v>
      </c>
      <c r="F1481" s="193" t="s">
        <v>493</v>
      </c>
      <c r="G1481" s="193" t="s">
        <v>493</v>
      </c>
      <c r="H1481" s="194"/>
      <c r="I1481" s="194"/>
      <c r="J1481" s="196" t="str">
        <f>'Supply chain'!B216</f>
        <v/>
      </c>
      <c r="K1481" s="194"/>
      <c r="L1481" s="194"/>
      <c r="M1481" s="196" t="str">
        <f>'Supply chain'!C216</f>
        <v/>
      </c>
      <c r="N1481" s="196">
        <f>'Supply chain'!D216</f>
        <v>0</v>
      </c>
      <c r="O1481" s="194"/>
      <c r="P1481" s="196" t="str">
        <f>'Supply chain'!E216</f>
        <v>Tier 2</v>
      </c>
      <c r="Q1481" s="196">
        <f>'Supply chain'!F216</f>
        <v>0</v>
      </c>
      <c r="R1481" s="196">
        <f>'Supply chain'!G216</f>
        <v>0</v>
      </c>
      <c r="S1481" s="196" t="str">
        <f>'Supply chain'!H216</f>
        <v>£</v>
      </c>
      <c r="T1481" s="196">
        <f>'Supply chain'!I216</f>
        <v>0</v>
      </c>
      <c r="U1481" s="196" t="str">
        <f>'Supply chain'!J216</f>
        <v>£</v>
      </c>
      <c r="V1481" s="196" t="str">
        <f>'Supply chain'!K216</f>
        <v/>
      </c>
      <c r="W1481" s="196">
        <f>'Supply chain'!L216</f>
        <v>0</v>
      </c>
      <c r="X1481" s="193">
        <f>'Supply chain'!M216</f>
        <v>0</v>
      </c>
      <c r="Y1481" s="196">
        <f>'Supply chain'!N216</f>
        <v>0</v>
      </c>
      <c r="Z1481" s="196">
        <f>'Supply chain'!O216</f>
        <v>0</v>
      </c>
      <c r="AA1481" s="196">
        <f>'Supply chain'!P216</f>
        <v>0</v>
      </c>
      <c r="AB1481" s="196">
        <f>'Supply chain'!Q216</f>
        <v>0</v>
      </c>
      <c r="AC1481" s="196">
        <f>'Supply chain'!R216</f>
        <v>0</v>
      </c>
      <c r="AD1481" s="196">
        <f>'Supply chain'!S216</f>
        <v>0</v>
      </c>
      <c r="AE1481" s="196" t="str">
        <f>'Supply chain'!T216</f>
        <v/>
      </c>
      <c r="AF1481" s="196" t="str">
        <f>'Supply chain'!U216</f>
        <v/>
      </c>
      <c r="AG1481" s="196">
        <f>'Supply chain'!V216</f>
        <v>0</v>
      </c>
      <c r="AI1481" s="193">
        <f t="shared" si="32"/>
        <v>0</v>
      </c>
      <c r="AJ1481" s="193">
        <f t="shared" si="33"/>
        <v>0</v>
      </c>
    </row>
    <row r="1482" spans="2:36" x14ac:dyDescent="0.35">
      <c r="B1482" s="193" t="e">
        <f>"2024"&amp;MATCH(Totals!D1482,OrgType,0)&amp;"_"&amp;MATCH(Totals!E1482,Organisations,0)&amp;"_"&amp;LEFT(Totals!F1482,1)&amp;"_"&amp;LEFT(G1482,1)&amp;"_"&amp;COUNTIF($G$3:G1482,G1482)</f>
        <v>#N/A</v>
      </c>
      <c r="C1482" s="193">
        <v>2025</v>
      </c>
      <c r="D1482" s="193">
        <f>Introduction!$D$7</f>
        <v>0</v>
      </c>
      <c r="E1482" s="193">
        <f>Introduction!$D$8</f>
        <v>0</v>
      </c>
      <c r="F1482" s="193" t="s">
        <v>493</v>
      </c>
      <c r="G1482" s="193" t="s">
        <v>493</v>
      </c>
      <c r="H1482" s="194"/>
      <c r="I1482" s="194"/>
      <c r="J1482" s="196" t="str">
        <f>'Supply chain'!B217</f>
        <v/>
      </c>
      <c r="K1482" s="194"/>
      <c r="L1482" s="194"/>
      <c r="M1482" s="196" t="str">
        <f>'Supply chain'!C217</f>
        <v/>
      </c>
      <c r="N1482" s="196">
        <f>'Supply chain'!D217</f>
        <v>0</v>
      </c>
      <c r="O1482" s="194"/>
      <c r="P1482" s="196" t="str">
        <f>'Supply chain'!E217</f>
        <v>Tier 2</v>
      </c>
      <c r="Q1482" s="196">
        <f>'Supply chain'!F217</f>
        <v>0</v>
      </c>
      <c r="R1482" s="196">
        <f>'Supply chain'!G217</f>
        <v>0</v>
      </c>
      <c r="S1482" s="196" t="str">
        <f>'Supply chain'!H217</f>
        <v>£</v>
      </c>
      <c r="T1482" s="196">
        <f>'Supply chain'!I217</f>
        <v>0</v>
      </c>
      <c r="U1482" s="196" t="str">
        <f>'Supply chain'!J217</f>
        <v>£</v>
      </c>
      <c r="V1482" s="196" t="str">
        <f>'Supply chain'!K217</f>
        <v/>
      </c>
      <c r="W1482" s="196">
        <f>'Supply chain'!L217</f>
        <v>0</v>
      </c>
      <c r="X1482" s="193">
        <f>'Supply chain'!M217</f>
        <v>0</v>
      </c>
      <c r="Y1482" s="196">
        <f>'Supply chain'!N217</f>
        <v>0</v>
      </c>
      <c r="Z1482" s="196">
        <f>'Supply chain'!O217</f>
        <v>0</v>
      </c>
      <c r="AA1482" s="196">
        <f>'Supply chain'!P217</f>
        <v>0</v>
      </c>
      <c r="AB1482" s="196">
        <f>'Supply chain'!Q217</f>
        <v>0</v>
      </c>
      <c r="AC1482" s="196">
        <f>'Supply chain'!R217</f>
        <v>0</v>
      </c>
      <c r="AD1482" s="196">
        <f>'Supply chain'!S217</f>
        <v>0</v>
      </c>
      <c r="AE1482" s="196" t="str">
        <f>'Supply chain'!T217</f>
        <v/>
      </c>
      <c r="AF1482" s="196" t="str">
        <f>'Supply chain'!U217</f>
        <v/>
      </c>
      <c r="AG1482" s="196">
        <f>'Supply chain'!V217</f>
        <v>0</v>
      </c>
      <c r="AI1482" s="193">
        <f t="shared" si="32"/>
        <v>0</v>
      </c>
      <c r="AJ1482" s="193">
        <f t="shared" si="33"/>
        <v>0</v>
      </c>
    </row>
    <row r="1483" spans="2:36" x14ac:dyDescent="0.35">
      <c r="B1483" s="193" t="e">
        <f>"2024"&amp;MATCH(Totals!D1483,OrgType,0)&amp;"_"&amp;MATCH(Totals!E1483,Organisations,0)&amp;"_"&amp;LEFT(Totals!F1483,1)&amp;"_"&amp;LEFT(G1483,1)&amp;"_"&amp;COUNTIF($G$3:G1483,G1483)</f>
        <v>#N/A</v>
      </c>
      <c r="C1483" s="193">
        <v>2025</v>
      </c>
      <c r="D1483" s="193">
        <f>Introduction!$D$7</f>
        <v>0</v>
      </c>
      <c r="E1483" s="193">
        <f>Introduction!$D$8</f>
        <v>0</v>
      </c>
      <c r="F1483" s="193" t="s">
        <v>493</v>
      </c>
      <c r="G1483" s="193" t="s">
        <v>493</v>
      </c>
      <c r="H1483" s="194"/>
      <c r="I1483" s="194"/>
      <c r="J1483" s="196" t="str">
        <f>'Supply chain'!B218</f>
        <v/>
      </c>
      <c r="K1483" s="194"/>
      <c r="L1483" s="194"/>
      <c r="M1483" s="196" t="str">
        <f>'Supply chain'!C218</f>
        <v/>
      </c>
      <c r="N1483" s="196">
        <f>'Supply chain'!D218</f>
        <v>0</v>
      </c>
      <c r="O1483" s="194"/>
      <c r="P1483" s="196" t="str">
        <f>'Supply chain'!E218</f>
        <v>Tier 2</v>
      </c>
      <c r="Q1483" s="196">
        <f>'Supply chain'!F218</f>
        <v>0</v>
      </c>
      <c r="R1483" s="196">
        <f>'Supply chain'!G218</f>
        <v>0</v>
      </c>
      <c r="S1483" s="196" t="str">
        <f>'Supply chain'!H218</f>
        <v>£</v>
      </c>
      <c r="T1483" s="196">
        <f>'Supply chain'!I218</f>
        <v>0</v>
      </c>
      <c r="U1483" s="196" t="str">
        <f>'Supply chain'!J218</f>
        <v>£</v>
      </c>
      <c r="V1483" s="196" t="str">
        <f>'Supply chain'!K218</f>
        <v/>
      </c>
      <c r="W1483" s="196">
        <f>'Supply chain'!L218</f>
        <v>0</v>
      </c>
      <c r="X1483" s="193">
        <f>'Supply chain'!M218</f>
        <v>0</v>
      </c>
      <c r="Y1483" s="196">
        <f>'Supply chain'!N218</f>
        <v>0</v>
      </c>
      <c r="Z1483" s="196">
        <f>'Supply chain'!O218</f>
        <v>0</v>
      </c>
      <c r="AA1483" s="196">
        <f>'Supply chain'!P218</f>
        <v>0</v>
      </c>
      <c r="AB1483" s="196">
        <f>'Supply chain'!Q218</f>
        <v>0</v>
      </c>
      <c r="AC1483" s="196">
        <f>'Supply chain'!R218</f>
        <v>0</v>
      </c>
      <c r="AD1483" s="196">
        <f>'Supply chain'!S218</f>
        <v>0</v>
      </c>
      <c r="AE1483" s="196" t="str">
        <f>'Supply chain'!T218</f>
        <v/>
      </c>
      <c r="AF1483" s="196" t="str">
        <f>'Supply chain'!U218</f>
        <v/>
      </c>
      <c r="AG1483" s="196">
        <f>'Supply chain'!V218</f>
        <v>0</v>
      </c>
      <c r="AI1483" s="193">
        <f t="shared" si="32"/>
        <v>0</v>
      </c>
      <c r="AJ1483" s="193">
        <f t="shared" si="33"/>
        <v>0</v>
      </c>
    </row>
    <row r="1484" spans="2:36" x14ac:dyDescent="0.35">
      <c r="B1484" s="193" t="e">
        <f>"2024"&amp;MATCH(Totals!D1484,OrgType,0)&amp;"_"&amp;MATCH(Totals!E1484,Organisations,0)&amp;"_"&amp;LEFT(Totals!F1484,1)&amp;"_"&amp;LEFT(G1484,1)&amp;"_"&amp;COUNTIF($G$3:G1484,G1484)</f>
        <v>#N/A</v>
      </c>
      <c r="C1484" s="193">
        <v>2025</v>
      </c>
      <c r="D1484" s="193">
        <f>Introduction!$D$7</f>
        <v>0</v>
      </c>
      <c r="E1484" s="193">
        <f>Introduction!$D$8</f>
        <v>0</v>
      </c>
      <c r="F1484" s="193" t="s">
        <v>493</v>
      </c>
      <c r="G1484" s="193" t="s">
        <v>493</v>
      </c>
      <c r="H1484" s="194"/>
      <c r="I1484" s="194"/>
      <c r="J1484" s="196" t="str">
        <f>'Supply chain'!B219</f>
        <v/>
      </c>
      <c r="K1484" s="194"/>
      <c r="L1484" s="194"/>
      <c r="M1484" s="196" t="str">
        <f>'Supply chain'!C219</f>
        <v/>
      </c>
      <c r="N1484" s="196">
        <f>'Supply chain'!D219</f>
        <v>0</v>
      </c>
      <c r="O1484" s="194"/>
      <c r="P1484" s="196" t="str">
        <f>'Supply chain'!E219</f>
        <v>Tier 2</v>
      </c>
      <c r="Q1484" s="196">
        <f>'Supply chain'!F219</f>
        <v>0</v>
      </c>
      <c r="R1484" s="196">
        <f>'Supply chain'!G219</f>
        <v>0</v>
      </c>
      <c r="S1484" s="196" t="str">
        <f>'Supply chain'!H219</f>
        <v>£</v>
      </c>
      <c r="T1484" s="196">
        <f>'Supply chain'!I219</f>
        <v>0</v>
      </c>
      <c r="U1484" s="196" t="str">
        <f>'Supply chain'!J219</f>
        <v>£</v>
      </c>
      <c r="V1484" s="196" t="str">
        <f>'Supply chain'!K219</f>
        <v/>
      </c>
      <c r="W1484" s="196">
        <f>'Supply chain'!L219</f>
        <v>0</v>
      </c>
      <c r="X1484" s="193">
        <f>'Supply chain'!M219</f>
        <v>0</v>
      </c>
      <c r="Y1484" s="196">
        <f>'Supply chain'!N219</f>
        <v>0</v>
      </c>
      <c r="Z1484" s="196">
        <f>'Supply chain'!O219</f>
        <v>0</v>
      </c>
      <c r="AA1484" s="196">
        <f>'Supply chain'!P219</f>
        <v>0</v>
      </c>
      <c r="AB1484" s="196">
        <f>'Supply chain'!Q219</f>
        <v>0</v>
      </c>
      <c r="AC1484" s="196">
        <f>'Supply chain'!R219</f>
        <v>0</v>
      </c>
      <c r="AD1484" s="196">
        <f>'Supply chain'!S219</f>
        <v>0</v>
      </c>
      <c r="AE1484" s="196" t="str">
        <f>'Supply chain'!T219</f>
        <v/>
      </c>
      <c r="AF1484" s="196" t="str">
        <f>'Supply chain'!U219</f>
        <v/>
      </c>
      <c r="AG1484" s="196">
        <f>'Supply chain'!V219</f>
        <v>0</v>
      </c>
      <c r="AI1484" s="193">
        <f t="shared" si="32"/>
        <v>0</v>
      </c>
      <c r="AJ1484" s="193">
        <f t="shared" si="33"/>
        <v>0</v>
      </c>
    </row>
    <row r="1485" spans="2:36" x14ac:dyDescent="0.35">
      <c r="B1485" s="193" t="e">
        <f>"2024"&amp;MATCH(Totals!D1485,OrgType,0)&amp;"_"&amp;MATCH(Totals!E1485,Organisations,0)&amp;"_"&amp;LEFT(Totals!F1485,1)&amp;"_"&amp;LEFT(G1485,1)&amp;"_"&amp;COUNTIF($G$3:G1485,G1485)</f>
        <v>#N/A</v>
      </c>
      <c r="C1485" s="193">
        <v>2025</v>
      </c>
      <c r="D1485" s="193">
        <f>Introduction!$D$7</f>
        <v>0</v>
      </c>
      <c r="E1485" s="193">
        <f>Introduction!$D$8</f>
        <v>0</v>
      </c>
      <c r="F1485" s="193" t="s">
        <v>493</v>
      </c>
      <c r="G1485" s="193" t="s">
        <v>493</v>
      </c>
      <c r="H1485" s="194"/>
      <c r="I1485" s="194"/>
      <c r="J1485" s="196" t="str">
        <f>'Supply chain'!B220</f>
        <v/>
      </c>
      <c r="K1485" s="194"/>
      <c r="L1485" s="194"/>
      <c r="M1485" s="196" t="str">
        <f>'Supply chain'!C220</f>
        <v/>
      </c>
      <c r="N1485" s="196">
        <f>'Supply chain'!D220</f>
        <v>0</v>
      </c>
      <c r="O1485" s="194"/>
      <c r="P1485" s="196" t="str">
        <f>'Supply chain'!E220</f>
        <v>Tier 2</v>
      </c>
      <c r="Q1485" s="196">
        <f>'Supply chain'!F220</f>
        <v>0</v>
      </c>
      <c r="R1485" s="196">
        <f>'Supply chain'!G220</f>
        <v>0</v>
      </c>
      <c r="S1485" s="196" t="str">
        <f>'Supply chain'!H220</f>
        <v>£</v>
      </c>
      <c r="T1485" s="196">
        <f>'Supply chain'!I220</f>
        <v>0</v>
      </c>
      <c r="U1485" s="196" t="str">
        <f>'Supply chain'!J220</f>
        <v>£</v>
      </c>
      <c r="V1485" s="196" t="str">
        <f>'Supply chain'!K220</f>
        <v/>
      </c>
      <c r="W1485" s="196">
        <f>'Supply chain'!L220</f>
        <v>0</v>
      </c>
      <c r="X1485" s="193">
        <f>'Supply chain'!M220</f>
        <v>0</v>
      </c>
      <c r="Y1485" s="196">
        <f>'Supply chain'!N220</f>
        <v>0</v>
      </c>
      <c r="Z1485" s="196">
        <f>'Supply chain'!O220</f>
        <v>0</v>
      </c>
      <c r="AA1485" s="196">
        <f>'Supply chain'!P220</f>
        <v>0</v>
      </c>
      <c r="AB1485" s="196">
        <f>'Supply chain'!Q220</f>
        <v>0</v>
      </c>
      <c r="AC1485" s="196">
        <f>'Supply chain'!R220</f>
        <v>0</v>
      </c>
      <c r="AD1485" s="196">
        <f>'Supply chain'!S220</f>
        <v>0</v>
      </c>
      <c r="AE1485" s="196" t="str">
        <f>'Supply chain'!T220</f>
        <v/>
      </c>
      <c r="AF1485" s="196" t="str">
        <f>'Supply chain'!U220</f>
        <v/>
      </c>
      <c r="AG1485" s="196">
        <f>'Supply chain'!V220</f>
        <v>0</v>
      </c>
      <c r="AI1485" s="193">
        <f t="shared" ref="AI1485:AI1515" si="34">IF(AND(V1485="",R1485&lt;&gt;0),1,0)</f>
        <v>0</v>
      </c>
      <c r="AJ1485" s="193">
        <f t="shared" ref="AJ1485:AJ1515" si="35">IF(AND(W1485="",R1485&lt;&gt;0),1,0)</f>
        <v>0</v>
      </c>
    </row>
    <row r="1486" spans="2:36" x14ac:dyDescent="0.35">
      <c r="B1486" s="193" t="e">
        <f>"2024"&amp;MATCH(Totals!D1486,OrgType,0)&amp;"_"&amp;MATCH(Totals!E1486,Organisations,0)&amp;"_"&amp;LEFT(Totals!F1486,1)&amp;"_"&amp;LEFT(G1486,1)&amp;"_"&amp;COUNTIF($G$3:G1486,G1486)</f>
        <v>#N/A</v>
      </c>
      <c r="C1486" s="193">
        <v>2025</v>
      </c>
      <c r="D1486" s="193">
        <f>Introduction!$D$7</f>
        <v>0</v>
      </c>
      <c r="E1486" s="193">
        <f>Introduction!$D$8</f>
        <v>0</v>
      </c>
      <c r="F1486" s="193" t="s">
        <v>493</v>
      </c>
      <c r="G1486" s="193" t="s">
        <v>493</v>
      </c>
      <c r="H1486" s="194"/>
      <c r="I1486" s="194"/>
      <c r="J1486" s="196" t="str">
        <f>'Supply chain'!B221</f>
        <v/>
      </c>
      <c r="K1486" s="194"/>
      <c r="L1486" s="194"/>
      <c r="M1486" s="196" t="str">
        <f>'Supply chain'!C221</f>
        <v/>
      </c>
      <c r="N1486" s="196">
        <f>'Supply chain'!D221</f>
        <v>0</v>
      </c>
      <c r="O1486" s="194"/>
      <c r="P1486" s="196" t="str">
        <f>'Supply chain'!E221</f>
        <v>Tier 2</v>
      </c>
      <c r="Q1486" s="196">
        <f>'Supply chain'!F221</f>
        <v>0</v>
      </c>
      <c r="R1486" s="196">
        <f>'Supply chain'!G221</f>
        <v>0</v>
      </c>
      <c r="S1486" s="196" t="str">
        <f>'Supply chain'!H221</f>
        <v>£</v>
      </c>
      <c r="T1486" s="196">
        <f>'Supply chain'!I221</f>
        <v>0</v>
      </c>
      <c r="U1486" s="196" t="str">
        <f>'Supply chain'!J221</f>
        <v>£</v>
      </c>
      <c r="V1486" s="196" t="str">
        <f>'Supply chain'!K221</f>
        <v/>
      </c>
      <c r="W1486" s="196">
        <f>'Supply chain'!L221</f>
        <v>0</v>
      </c>
      <c r="X1486" s="193">
        <f>'Supply chain'!M221</f>
        <v>0</v>
      </c>
      <c r="Y1486" s="196">
        <f>'Supply chain'!N221</f>
        <v>0</v>
      </c>
      <c r="Z1486" s="196">
        <f>'Supply chain'!O221</f>
        <v>0</v>
      </c>
      <c r="AA1486" s="196">
        <f>'Supply chain'!P221</f>
        <v>0</v>
      </c>
      <c r="AB1486" s="196">
        <f>'Supply chain'!Q221</f>
        <v>0</v>
      </c>
      <c r="AC1486" s="196">
        <f>'Supply chain'!R221</f>
        <v>0</v>
      </c>
      <c r="AD1486" s="196">
        <f>'Supply chain'!S221</f>
        <v>0</v>
      </c>
      <c r="AE1486" s="196" t="str">
        <f>'Supply chain'!T221</f>
        <v/>
      </c>
      <c r="AF1486" s="196" t="str">
        <f>'Supply chain'!U221</f>
        <v/>
      </c>
      <c r="AG1486" s="196">
        <f>'Supply chain'!V221</f>
        <v>0</v>
      </c>
      <c r="AI1486" s="193">
        <f t="shared" si="34"/>
        <v>0</v>
      </c>
      <c r="AJ1486" s="193">
        <f t="shared" si="35"/>
        <v>0</v>
      </c>
    </row>
    <row r="1487" spans="2:36" x14ac:dyDescent="0.35">
      <c r="B1487" s="193" t="e">
        <f>"2024"&amp;MATCH(Totals!D1487,OrgType,0)&amp;"_"&amp;MATCH(Totals!E1487,Organisations,0)&amp;"_"&amp;LEFT(Totals!F1487,1)&amp;"_"&amp;LEFT(G1487,1)&amp;"_"&amp;COUNTIF($G$3:G1487,G1487)</f>
        <v>#N/A</v>
      </c>
      <c r="C1487" s="193">
        <v>2025</v>
      </c>
      <c r="D1487" s="193">
        <f>Introduction!$D$7</f>
        <v>0</v>
      </c>
      <c r="E1487" s="193">
        <f>Introduction!$D$8</f>
        <v>0</v>
      </c>
      <c r="F1487" s="193" t="s">
        <v>493</v>
      </c>
      <c r="G1487" s="193" t="s">
        <v>493</v>
      </c>
      <c r="H1487" s="194"/>
      <c r="I1487" s="194"/>
      <c r="J1487" s="196" t="str">
        <f>'Supply chain'!B222</f>
        <v/>
      </c>
      <c r="K1487" s="194"/>
      <c r="L1487" s="194"/>
      <c r="M1487" s="196" t="str">
        <f>'Supply chain'!C222</f>
        <v/>
      </c>
      <c r="N1487" s="196">
        <f>'Supply chain'!D222</f>
        <v>0</v>
      </c>
      <c r="O1487" s="194"/>
      <c r="P1487" s="196" t="str">
        <f>'Supply chain'!E222</f>
        <v>Tier 2</v>
      </c>
      <c r="Q1487" s="196">
        <f>'Supply chain'!F222</f>
        <v>0</v>
      </c>
      <c r="R1487" s="196">
        <f>'Supply chain'!G222</f>
        <v>0</v>
      </c>
      <c r="S1487" s="196" t="str">
        <f>'Supply chain'!H222</f>
        <v>£</v>
      </c>
      <c r="T1487" s="196">
        <f>'Supply chain'!I222</f>
        <v>0</v>
      </c>
      <c r="U1487" s="196" t="str">
        <f>'Supply chain'!J222</f>
        <v>£</v>
      </c>
      <c r="V1487" s="196" t="str">
        <f>'Supply chain'!K222</f>
        <v/>
      </c>
      <c r="W1487" s="196">
        <f>'Supply chain'!L222</f>
        <v>0</v>
      </c>
      <c r="X1487" s="193">
        <f>'Supply chain'!M222</f>
        <v>0</v>
      </c>
      <c r="Y1487" s="196">
        <f>'Supply chain'!N222</f>
        <v>0</v>
      </c>
      <c r="Z1487" s="196">
        <f>'Supply chain'!O222</f>
        <v>0</v>
      </c>
      <c r="AA1487" s="196">
        <f>'Supply chain'!P222</f>
        <v>0</v>
      </c>
      <c r="AB1487" s="196">
        <f>'Supply chain'!Q222</f>
        <v>0</v>
      </c>
      <c r="AC1487" s="196">
        <f>'Supply chain'!R222</f>
        <v>0</v>
      </c>
      <c r="AD1487" s="196">
        <f>'Supply chain'!S222</f>
        <v>0</v>
      </c>
      <c r="AE1487" s="196" t="str">
        <f>'Supply chain'!T222</f>
        <v/>
      </c>
      <c r="AF1487" s="196" t="str">
        <f>'Supply chain'!U222</f>
        <v/>
      </c>
      <c r="AG1487" s="196">
        <f>'Supply chain'!V222</f>
        <v>0</v>
      </c>
      <c r="AI1487" s="193">
        <f t="shared" si="34"/>
        <v>0</v>
      </c>
      <c r="AJ1487" s="193">
        <f t="shared" si="35"/>
        <v>0</v>
      </c>
    </row>
    <row r="1488" spans="2:36" x14ac:dyDescent="0.35">
      <c r="B1488" s="193" t="e">
        <f>"2024"&amp;MATCH(Totals!D1488,OrgType,0)&amp;"_"&amp;MATCH(Totals!E1488,Organisations,0)&amp;"_"&amp;LEFT(Totals!F1488,1)&amp;"_"&amp;LEFT(G1488,1)&amp;"_"&amp;COUNTIF($G$3:G1488,G1488)</f>
        <v>#N/A</v>
      </c>
      <c r="C1488" s="193">
        <v>2025</v>
      </c>
      <c r="D1488" s="193">
        <f>Introduction!$D$7</f>
        <v>0</v>
      </c>
      <c r="E1488" s="193">
        <f>Introduction!$D$8</f>
        <v>0</v>
      </c>
      <c r="F1488" s="193" t="s">
        <v>493</v>
      </c>
      <c r="G1488" s="193" t="s">
        <v>493</v>
      </c>
      <c r="H1488" s="194"/>
      <c r="I1488" s="194"/>
      <c r="J1488" s="196" t="str">
        <f>'Supply chain'!B223</f>
        <v/>
      </c>
      <c r="K1488" s="194"/>
      <c r="L1488" s="194"/>
      <c r="M1488" s="196" t="str">
        <f>'Supply chain'!C223</f>
        <v/>
      </c>
      <c r="N1488" s="196">
        <f>'Supply chain'!D223</f>
        <v>0</v>
      </c>
      <c r="O1488" s="194"/>
      <c r="P1488" s="196" t="str">
        <f>'Supply chain'!E223</f>
        <v>Tier 2</v>
      </c>
      <c r="Q1488" s="196">
        <f>'Supply chain'!F223</f>
        <v>0</v>
      </c>
      <c r="R1488" s="196">
        <f>'Supply chain'!G223</f>
        <v>0</v>
      </c>
      <c r="S1488" s="196" t="str">
        <f>'Supply chain'!H223</f>
        <v>£</v>
      </c>
      <c r="T1488" s="196">
        <f>'Supply chain'!I223</f>
        <v>0</v>
      </c>
      <c r="U1488" s="196" t="str">
        <f>'Supply chain'!J223</f>
        <v>£</v>
      </c>
      <c r="V1488" s="196" t="str">
        <f>'Supply chain'!K223</f>
        <v/>
      </c>
      <c r="W1488" s="196">
        <f>'Supply chain'!L223</f>
        <v>0</v>
      </c>
      <c r="X1488" s="193">
        <f>'Supply chain'!M223</f>
        <v>0</v>
      </c>
      <c r="Y1488" s="196">
        <f>'Supply chain'!N223</f>
        <v>0</v>
      </c>
      <c r="Z1488" s="196">
        <f>'Supply chain'!O223</f>
        <v>0</v>
      </c>
      <c r="AA1488" s="196">
        <f>'Supply chain'!P223</f>
        <v>0</v>
      </c>
      <c r="AB1488" s="196">
        <f>'Supply chain'!Q223</f>
        <v>0</v>
      </c>
      <c r="AC1488" s="196">
        <f>'Supply chain'!R223</f>
        <v>0</v>
      </c>
      <c r="AD1488" s="196">
        <f>'Supply chain'!S223</f>
        <v>0</v>
      </c>
      <c r="AE1488" s="196" t="str">
        <f>'Supply chain'!T223</f>
        <v/>
      </c>
      <c r="AF1488" s="196" t="str">
        <f>'Supply chain'!U223</f>
        <v/>
      </c>
      <c r="AG1488" s="196">
        <f>'Supply chain'!V223</f>
        <v>0</v>
      </c>
      <c r="AI1488" s="193">
        <f t="shared" si="34"/>
        <v>0</v>
      </c>
      <c r="AJ1488" s="193">
        <f t="shared" si="35"/>
        <v>0</v>
      </c>
    </row>
    <row r="1489" spans="2:36" x14ac:dyDescent="0.35">
      <c r="B1489" s="193" t="e">
        <f>"2024"&amp;MATCH(Totals!D1489,OrgType,0)&amp;"_"&amp;MATCH(Totals!E1489,Organisations,0)&amp;"_"&amp;LEFT(Totals!F1489,1)&amp;"_"&amp;LEFT(G1489,1)&amp;"_"&amp;COUNTIF($G$3:G1489,G1489)</f>
        <v>#N/A</v>
      </c>
      <c r="C1489" s="193">
        <v>2025</v>
      </c>
      <c r="D1489" s="193">
        <f>Introduction!$D$7</f>
        <v>0</v>
      </c>
      <c r="E1489" s="193">
        <f>Introduction!$D$8</f>
        <v>0</v>
      </c>
      <c r="F1489" s="193" t="s">
        <v>493</v>
      </c>
      <c r="G1489" s="193" t="s">
        <v>493</v>
      </c>
      <c r="H1489" s="194"/>
      <c r="I1489" s="194"/>
      <c r="J1489" s="196" t="str">
        <f>'Supply chain'!B224</f>
        <v/>
      </c>
      <c r="K1489" s="194"/>
      <c r="L1489" s="194"/>
      <c r="M1489" s="196" t="str">
        <f>'Supply chain'!C224</f>
        <v/>
      </c>
      <c r="N1489" s="196">
        <f>'Supply chain'!D224</f>
        <v>0</v>
      </c>
      <c r="O1489" s="194"/>
      <c r="P1489" s="196" t="str">
        <f>'Supply chain'!E224</f>
        <v>Tier 2</v>
      </c>
      <c r="Q1489" s="196">
        <f>'Supply chain'!F224</f>
        <v>0</v>
      </c>
      <c r="R1489" s="196">
        <f>'Supply chain'!G224</f>
        <v>0</v>
      </c>
      <c r="S1489" s="196" t="str">
        <f>'Supply chain'!H224</f>
        <v>£</v>
      </c>
      <c r="T1489" s="196">
        <f>'Supply chain'!I224</f>
        <v>0</v>
      </c>
      <c r="U1489" s="196" t="str">
        <f>'Supply chain'!J224</f>
        <v>£</v>
      </c>
      <c r="V1489" s="196" t="str">
        <f>'Supply chain'!K224</f>
        <v/>
      </c>
      <c r="W1489" s="196">
        <f>'Supply chain'!L224</f>
        <v>0</v>
      </c>
      <c r="X1489" s="193">
        <f>'Supply chain'!M224</f>
        <v>0</v>
      </c>
      <c r="Y1489" s="196">
        <f>'Supply chain'!N224</f>
        <v>0</v>
      </c>
      <c r="Z1489" s="196">
        <f>'Supply chain'!O224</f>
        <v>0</v>
      </c>
      <c r="AA1489" s="196">
        <f>'Supply chain'!P224</f>
        <v>0</v>
      </c>
      <c r="AB1489" s="196">
        <f>'Supply chain'!Q224</f>
        <v>0</v>
      </c>
      <c r="AC1489" s="196">
        <f>'Supply chain'!R224</f>
        <v>0</v>
      </c>
      <c r="AD1489" s="196">
        <f>'Supply chain'!S224</f>
        <v>0</v>
      </c>
      <c r="AE1489" s="196" t="str">
        <f>'Supply chain'!T224</f>
        <v/>
      </c>
      <c r="AF1489" s="196" t="str">
        <f>'Supply chain'!U224</f>
        <v/>
      </c>
      <c r="AG1489" s="196">
        <f>'Supply chain'!V224</f>
        <v>0</v>
      </c>
      <c r="AI1489" s="193">
        <f t="shared" si="34"/>
        <v>0</v>
      </c>
      <c r="AJ1489" s="193">
        <f t="shared" si="35"/>
        <v>0</v>
      </c>
    </row>
    <row r="1490" spans="2:36" x14ac:dyDescent="0.35">
      <c r="B1490" s="193" t="e">
        <f>"2024"&amp;MATCH(Totals!D1490,OrgType,0)&amp;"_"&amp;MATCH(Totals!E1490,Organisations,0)&amp;"_"&amp;LEFT(Totals!F1490,1)&amp;"_"&amp;LEFT(G1490,1)&amp;"_"&amp;COUNTIF($G$3:G1490,G1490)</f>
        <v>#N/A</v>
      </c>
      <c r="C1490" s="193">
        <v>2025</v>
      </c>
      <c r="D1490" s="193">
        <f>Introduction!$D$7</f>
        <v>0</v>
      </c>
      <c r="E1490" s="193">
        <f>Introduction!$D$8</f>
        <v>0</v>
      </c>
      <c r="F1490" s="193" t="s">
        <v>493</v>
      </c>
      <c r="G1490" s="193" t="s">
        <v>493</v>
      </c>
      <c r="H1490" s="194"/>
      <c r="I1490" s="194"/>
      <c r="J1490" s="196" t="str">
        <f>'Supply chain'!B225</f>
        <v/>
      </c>
      <c r="K1490" s="194"/>
      <c r="L1490" s="194"/>
      <c r="M1490" s="196" t="str">
        <f>'Supply chain'!C225</f>
        <v/>
      </c>
      <c r="N1490" s="196">
        <f>'Supply chain'!D225</f>
        <v>0</v>
      </c>
      <c r="O1490" s="194"/>
      <c r="P1490" s="196" t="str">
        <f>'Supply chain'!E225</f>
        <v>Tier 2</v>
      </c>
      <c r="Q1490" s="196">
        <f>'Supply chain'!F225</f>
        <v>0</v>
      </c>
      <c r="R1490" s="196">
        <f>'Supply chain'!G225</f>
        <v>0</v>
      </c>
      <c r="S1490" s="196" t="str">
        <f>'Supply chain'!H225</f>
        <v>£</v>
      </c>
      <c r="T1490" s="196">
        <f>'Supply chain'!I225</f>
        <v>0</v>
      </c>
      <c r="U1490" s="196" t="str">
        <f>'Supply chain'!J225</f>
        <v>£</v>
      </c>
      <c r="V1490" s="196" t="str">
        <f>'Supply chain'!K225</f>
        <v/>
      </c>
      <c r="W1490" s="196">
        <f>'Supply chain'!L225</f>
        <v>0</v>
      </c>
      <c r="X1490" s="193">
        <f>'Supply chain'!M225</f>
        <v>0</v>
      </c>
      <c r="Y1490" s="196">
        <f>'Supply chain'!N225</f>
        <v>0</v>
      </c>
      <c r="Z1490" s="196">
        <f>'Supply chain'!O225</f>
        <v>0</v>
      </c>
      <c r="AA1490" s="196">
        <f>'Supply chain'!P225</f>
        <v>0</v>
      </c>
      <c r="AB1490" s="196">
        <f>'Supply chain'!Q225</f>
        <v>0</v>
      </c>
      <c r="AC1490" s="196">
        <f>'Supply chain'!R225</f>
        <v>0</v>
      </c>
      <c r="AD1490" s="196">
        <f>'Supply chain'!S225</f>
        <v>0</v>
      </c>
      <c r="AE1490" s="196" t="str">
        <f>'Supply chain'!T225</f>
        <v/>
      </c>
      <c r="AF1490" s="196" t="str">
        <f>'Supply chain'!U225</f>
        <v/>
      </c>
      <c r="AG1490" s="196">
        <f>'Supply chain'!V225</f>
        <v>0</v>
      </c>
      <c r="AI1490" s="193">
        <f t="shared" si="34"/>
        <v>0</v>
      </c>
      <c r="AJ1490" s="193">
        <f t="shared" si="35"/>
        <v>0</v>
      </c>
    </row>
    <row r="1491" spans="2:36" x14ac:dyDescent="0.35">
      <c r="B1491" s="193" t="e">
        <f>"2024"&amp;MATCH(Totals!D1491,OrgType,0)&amp;"_"&amp;MATCH(Totals!E1491,Organisations,0)&amp;"_"&amp;LEFT(Totals!F1491,1)&amp;"_"&amp;LEFT(G1491,1)&amp;"_"&amp;COUNTIF($G$3:G1491,G1491)</f>
        <v>#N/A</v>
      </c>
      <c r="C1491" s="193">
        <v>2025</v>
      </c>
      <c r="D1491" s="193">
        <f>Introduction!$D$7</f>
        <v>0</v>
      </c>
      <c r="E1491" s="193">
        <f>Introduction!$D$8</f>
        <v>0</v>
      </c>
      <c r="F1491" s="193" t="s">
        <v>493</v>
      </c>
      <c r="G1491" s="193" t="s">
        <v>493</v>
      </c>
      <c r="H1491" s="194"/>
      <c r="I1491" s="194"/>
      <c r="J1491" s="196" t="str">
        <f>'Supply chain'!B226</f>
        <v/>
      </c>
      <c r="K1491" s="194"/>
      <c r="L1491" s="194"/>
      <c r="M1491" s="196" t="str">
        <f>'Supply chain'!C226</f>
        <v/>
      </c>
      <c r="N1491" s="196">
        <f>'Supply chain'!D226</f>
        <v>0</v>
      </c>
      <c r="O1491" s="194"/>
      <c r="P1491" s="196" t="str">
        <f>'Supply chain'!E226</f>
        <v>Tier 2</v>
      </c>
      <c r="Q1491" s="196">
        <f>'Supply chain'!F226</f>
        <v>0</v>
      </c>
      <c r="R1491" s="196">
        <f>'Supply chain'!G226</f>
        <v>0</v>
      </c>
      <c r="S1491" s="196" t="str">
        <f>'Supply chain'!H226</f>
        <v>£</v>
      </c>
      <c r="T1491" s="196">
        <f>'Supply chain'!I226</f>
        <v>0</v>
      </c>
      <c r="U1491" s="196" t="str">
        <f>'Supply chain'!J226</f>
        <v>£</v>
      </c>
      <c r="V1491" s="196" t="str">
        <f>'Supply chain'!K226</f>
        <v/>
      </c>
      <c r="W1491" s="196">
        <f>'Supply chain'!L226</f>
        <v>0</v>
      </c>
      <c r="X1491" s="193">
        <f>'Supply chain'!M226</f>
        <v>0</v>
      </c>
      <c r="Y1491" s="196">
        <f>'Supply chain'!N226</f>
        <v>0</v>
      </c>
      <c r="Z1491" s="196">
        <f>'Supply chain'!O226</f>
        <v>0</v>
      </c>
      <c r="AA1491" s="196">
        <f>'Supply chain'!P226</f>
        <v>0</v>
      </c>
      <c r="AB1491" s="196">
        <f>'Supply chain'!Q226</f>
        <v>0</v>
      </c>
      <c r="AC1491" s="196">
        <f>'Supply chain'!R226</f>
        <v>0</v>
      </c>
      <c r="AD1491" s="196">
        <f>'Supply chain'!S226</f>
        <v>0</v>
      </c>
      <c r="AE1491" s="196" t="str">
        <f>'Supply chain'!T226</f>
        <v/>
      </c>
      <c r="AF1491" s="196" t="str">
        <f>'Supply chain'!U226</f>
        <v/>
      </c>
      <c r="AG1491" s="196">
        <f>'Supply chain'!V226</f>
        <v>0</v>
      </c>
      <c r="AI1491" s="193">
        <f t="shared" si="34"/>
        <v>0</v>
      </c>
      <c r="AJ1491" s="193">
        <f t="shared" si="35"/>
        <v>0</v>
      </c>
    </row>
    <row r="1492" spans="2:36" x14ac:dyDescent="0.35">
      <c r="B1492" s="193" t="e">
        <f>"2024"&amp;MATCH(Totals!D1492,OrgType,0)&amp;"_"&amp;MATCH(Totals!E1492,Organisations,0)&amp;"_"&amp;LEFT(Totals!F1492,1)&amp;"_"&amp;LEFT(G1492,1)&amp;"_"&amp;COUNTIF($G$3:G1492,G1492)</f>
        <v>#N/A</v>
      </c>
      <c r="C1492" s="193">
        <v>2025</v>
      </c>
      <c r="D1492" s="193">
        <f>Introduction!$D$7</f>
        <v>0</v>
      </c>
      <c r="E1492" s="193">
        <f>Introduction!$D$8</f>
        <v>0</v>
      </c>
      <c r="F1492" s="193" t="s">
        <v>493</v>
      </c>
      <c r="G1492" s="193" t="s">
        <v>493</v>
      </c>
      <c r="H1492" s="194"/>
      <c r="I1492" s="194"/>
      <c r="J1492" s="196" t="str">
        <f>'Supply chain'!B227</f>
        <v/>
      </c>
      <c r="K1492" s="194"/>
      <c r="L1492" s="194"/>
      <c r="M1492" s="196" t="str">
        <f>'Supply chain'!C227</f>
        <v/>
      </c>
      <c r="N1492" s="196">
        <f>'Supply chain'!D227</f>
        <v>0</v>
      </c>
      <c r="O1492" s="194"/>
      <c r="P1492" s="196" t="str">
        <f>'Supply chain'!E227</f>
        <v>Tier 2</v>
      </c>
      <c r="Q1492" s="196">
        <f>'Supply chain'!F227</f>
        <v>0</v>
      </c>
      <c r="R1492" s="196">
        <f>'Supply chain'!G227</f>
        <v>0</v>
      </c>
      <c r="S1492" s="196" t="str">
        <f>'Supply chain'!H227</f>
        <v>£</v>
      </c>
      <c r="T1492" s="196">
        <f>'Supply chain'!I227</f>
        <v>0</v>
      </c>
      <c r="U1492" s="196" t="str">
        <f>'Supply chain'!J227</f>
        <v>£</v>
      </c>
      <c r="V1492" s="196" t="str">
        <f>'Supply chain'!K227</f>
        <v/>
      </c>
      <c r="W1492" s="196">
        <f>'Supply chain'!L227</f>
        <v>0</v>
      </c>
      <c r="X1492" s="193">
        <f>'Supply chain'!M227</f>
        <v>0</v>
      </c>
      <c r="Y1492" s="196">
        <f>'Supply chain'!N227</f>
        <v>0</v>
      </c>
      <c r="Z1492" s="196">
        <f>'Supply chain'!O227</f>
        <v>0</v>
      </c>
      <c r="AA1492" s="196">
        <f>'Supply chain'!P227</f>
        <v>0</v>
      </c>
      <c r="AB1492" s="196">
        <f>'Supply chain'!Q227</f>
        <v>0</v>
      </c>
      <c r="AC1492" s="196">
        <f>'Supply chain'!R227</f>
        <v>0</v>
      </c>
      <c r="AD1492" s="196">
        <f>'Supply chain'!S227</f>
        <v>0</v>
      </c>
      <c r="AE1492" s="196" t="str">
        <f>'Supply chain'!T227</f>
        <v/>
      </c>
      <c r="AF1492" s="196" t="str">
        <f>'Supply chain'!U227</f>
        <v/>
      </c>
      <c r="AG1492" s="196">
        <f>'Supply chain'!V227</f>
        <v>0</v>
      </c>
      <c r="AI1492" s="193">
        <f t="shared" si="34"/>
        <v>0</v>
      </c>
      <c r="AJ1492" s="193">
        <f t="shared" si="35"/>
        <v>0</v>
      </c>
    </row>
    <row r="1493" spans="2:36" x14ac:dyDescent="0.35">
      <c r="B1493" s="193" t="e">
        <f>"2024"&amp;MATCH(Totals!D1493,OrgType,0)&amp;"_"&amp;MATCH(Totals!E1493,Organisations,0)&amp;"_"&amp;LEFT(Totals!F1493,1)&amp;"_"&amp;LEFT(G1493,1)&amp;"_"&amp;COUNTIF($G$3:G1493,G1493)</f>
        <v>#N/A</v>
      </c>
      <c r="C1493" s="193">
        <v>2025</v>
      </c>
      <c r="D1493" s="193">
        <f>Introduction!$D$7</f>
        <v>0</v>
      </c>
      <c r="E1493" s="193">
        <f>Introduction!$D$8</f>
        <v>0</v>
      </c>
      <c r="F1493" s="193" t="s">
        <v>493</v>
      </c>
      <c r="G1493" s="193" t="s">
        <v>493</v>
      </c>
      <c r="H1493" s="194"/>
      <c r="I1493" s="194"/>
      <c r="J1493" s="196" t="str">
        <f>'Supply chain'!B290</f>
        <v/>
      </c>
      <c r="K1493" s="194"/>
      <c r="L1493" s="194"/>
      <c r="M1493" s="196" t="str">
        <f>'Supply chain'!C290</f>
        <v/>
      </c>
      <c r="N1493" s="196">
        <f>'Supply chain'!D290</f>
        <v>0</v>
      </c>
      <c r="O1493" s="194"/>
      <c r="P1493" s="196" t="str">
        <f>'Supply chain'!E290</f>
        <v>Tier 2</v>
      </c>
      <c r="Q1493" s="196">
        <f>'Supply chain'!F290</f>
        <v>0</v>
      </c>
      <c r="R1493" s="196">
        <f>'Supply chain'!G290</f>
        <v>0</v>
      </c>
      <c r="S1493" s="196" t="str">
        <f>'Supply chain'!H290</f>
        <v>£</v>
      </c>
      <c r="T1493" s="196">
        <f>'Supply chain'!I290</f>
        <v>0</v>
      </c>
      <c r="U1493" s="196" t="str">
        <f>'Supply chain'!J290</f>
        <v>£</v>
      </c>
      <c r="V1493" s="196" t="str">
        <f>'Supply chain'!K290</f>
        <v/>
      </c>
      <c r="W1493" s="196">
        <f>'Supply chain'!L290</f>
        <v>0</v>
      </c>
      <c r="X1493" s="193">
        <f>'Supply chain'!M290</f>
        <v>0</v>
      </c>
      <c r="Y1493" s="196">
        <f>'Supply chain'!N290</f>
        <v>0</v>
      </c>
      <c r="Z1493" s="196">
        <f>'Supply chain'!O290</f>
        <v>0</v>
      </c>
      <c r="AA1493" s="196">
        <f>'Supply chain'!P290</f>
        <v>0</v>
      </c>
      <c r="AB1493" s="196">
        <f>'Supply chain'!Q290</f>
        <v>0</v>
      </c>
      <c r="AC1493" s="196">
        <f>'Supply chain'!R290</f>
        <v>0</v>
      </c>
      <c r="AD1493" s="196">
        <f>'Supply chain'!S290</f>
        <v>0</v>
      </c>
      <c r="AE1493" s="196" t="str">
        <f>'Supply chain'!T290</f>
        <v/>
      </c>
      <c r="AF1493" s="196" t="str">
        <f>'Supply chain'!U290</f>
        <v/>
      </c>
      <c r="AG1493" s="196">
        <f>'Supply chain'!V290</f>
        <v>0</v>
      </c>
      <c r="AI1493" s="193">
        <f t="shared" si="34"/>
        <v>0</v>
      </c>
      <c r="AJ1493" s="193">
        <f t="shared" si="35"/>
        <v>0</v>
      </c>
    </row>
    <row r="1494" spans="2:36" x14ac:dyDescent="0.35">
      <c r="B1494" s="193" t="e">
        <f>"2024"&amp;MATCH(Totals!D1494,OrgType,0)&amp;"_"&amp;MATCH(Totals!E1494,Organisations,0)&amp;"_"&amp;LEFT(Totals!F1494,1)&amp;"_"&amp;LEFT(G1494,1)&amp;"_"&amp;COUNTIF($G$3:G1494,G1494)</f>
        <v>#N/A</v>
      </c>
      <c r="C1494" s="193">
        <v>2025</v>
      </c>
      <c r="D1494" s="193">
        <f>Introduction!$D$7</f>
        <v>0</v>
      </c>
      <c r="E1494" s="193">
        <f>Introduction!$D$8</f>
        <v>0</v>
      </c>
      <c r="F1494" s="193" t="s">
        <v>493</v>
      </c>
      <c r="G1494" s="193" t="s">
        <v>493</v>
      </c>
      <c r="H1494" s="194"/>
      <c r="I1494" s="194"/>
      <c r="J1494" s="196" t="str">
        <f>'Supply chain'!B291</f>
        <v/>
      </c>
      <c r="K1494" s="194"/>
      <c r="L1494" s="194"/>
      <c r="M1494" s="196" t="str">
        <f>'Supply chain'!C291</f>
        <v/>
      </c>
      <c r="N1494" s="196">
        <f>'Supply chain'!D291</f>
        <v>0</v>
      </c>
      <c r="O1494" s="194"/>
      <c r="P1494" s="196" t="str">
        <f>'Supply chain'!E291</f>
        <v>Tier 2</v>
      </c>
      <c r="Q1494" s="196">
        <f>'Supply chain'!F291</f>
        <v>0</v>
      </c>
      <c r="R1494" s="196">
        <f>'Supply chain'!G291</f>
        <v>0</v>
      </c>
      <c r="S1494" s="196" t="str">
        <f>'Supply chain'!H291</f>
        <v>£</v>
      </c>
      <c r="T1494" s="196">
        <f>'Supply chain'!I291</f>
        <v>0</v>
      </c>
      <c r="U1494" s="196" t="str">
        <f>'Supply chain'!J291</f>
        <v>£</v>
      </c>
      <c r="V1494" s="196" t="str">
        <f>'Supply chain'!K291</f>
        <v/>
      </c>
      <c r="W1494" s="196">
        <f>'Supply chain'!L291</f>
        <v>0</v>
      </c>
      <c r="X1494" s="193">
        <f>'Supply chain'!M291</f>
        <v>0</v>
      </c>
      <c r="Y1494" s="196">
        <f>'Supply chain'!N291</f>
        <v>0</v>
      </c>
      <c r="Z1494" s="196">
        <f>'Supply chain'!O291</f>
        <v>0</v>
      </c>
      <c r="AA1494" s="196">
        <f>'Supply chain'!P291</f>
        <v>0</v>
      </c>
      <c r="AB1494" s="196">
        <f>'Supply chain'!Q291</f>
        <v>0</v>
      </c>
      <c r="AC1494" s="196">
        <f>'Supply chain'!R291</f>
        <v>0</v>
      </c>
      <c r="AD1494" s="196">
        <f>'Supply chain'!S291</f>
        <v>0</v>
      </c>
      <c r="AE1494" s="196" t="str">
        <f>'Supply chain'!T291</f>
        <v/>
      </c>
      <c r="AF1494" s="196" t="str">
        <f>'Supply chain'!U291</f>
        <v/>
      </c>
      <c r="AG1494" s="196">
        <f>'Supply chain'!V291</f>
        <v>0</v>
      </c>
      <c r="AI1494" s="193">
        <f t="shared" si="34"/>
        <v>0</v>
      </c>
      <c r="AJ1494" s="193">
        <f t="shared" si="35"/>
        <v>0</v>
      </c>
    </row>
    <row r="1495" spans="2:36" x14ac:dyDescent="0.35">
      <c r="B1495" s="193" t="e">
        <f>"2024"&amp;MATCH(Totals!D1495,OrgType,0)&amp;"_"&amp;MATCH(Totals!E1495,Organisations,0)&amp;"_"&amp;LEFT(Totals!F1495,1)&amp;"_"&amp;LEFT(G1495,1)&amp;"_"&amp;COUNTIF($G$3:G1495,G1495)</f>
        <v>#N/A</v>
      </c>
      <c r="C1495" s="193">
        <v>2025</v>
      </c>
      <c r="D1495" s="193">
        <f>Introduction!$D$7</f>
        <v>0</v>
      </c>
      <c r="E1495" s="193">
        <f>Introduction!$D$8</f>
        <v>0</v>
      </c>
      <c r="F1495" s="193" t="s">
        <v>493</v>
      </c>
      <c r="G1495" s="193" t="s">
        <v>493</v>
      </c>
      <c r="H1495" s="194"/>
      <c r="I1495" s="194"/>
      <c r="J1495" s="196" t="str">
        <f>'Supply chain'!B292</f>
        <v/>
      </c>
      <c r="K1495" s="194"/>
      <c r="L1495" s="194"/>
      <c r="M1495" s="196" t="str">
        <f>'Supply chain'!C292</f>
        <v/>
      </c>
      <c r="N1495" s="196">
        <f>'Supply chain'!D292</f>
        <v>0</v>
      </c>
      <c r="O1495" s="194"/>
      <c r="P1495" s="196" t="str">
        <f>'Supply chain'!E292</f>
        <v>Tier 2</v>
      </c>
      <c r="Q1495" s="196">
        <f>'Supply chain'!F292</f>
        <v>0</v>
      </c>
      <c r="R1495" s="196">
        <f>'Supply chain'!G292</f>
        <v>0</v>
      </c>
      <c r="S1495" s="196" t="str">
        <f>'Supply chain'!H292</f>
        <v>£</v>
      </c>
      <c r="T1495" s="196">
        <f>'Supply chain'!I292</f>
        <v>0</v>
      </c>
      <c r="U1495" s="196" t="str">
        <f>'Supply chain'!J292</f>
        <v>£</v>
      </c>
      <c r="V1495" s="196" t="str">
        <f>'Supply chain'!K292</f>
        <v/>
      </c>
      <c r="W1495" s="196">
        <f>'Supply chain'!L292</f>
        <v>0</v>
      </c>
      <c r="X1495" s="193">
        <f>'Supply chain'!M292</f>
        <v>0</v>
      </c>
      <c r="Y1495" s="196">
        <f>'Supply chain'!N292</f>
        <v>0</v>
      </c>
      <c r="Z1495" s="196">
        <f>'Supply chain'!O292</f>
        <v>0</v>
      </c>
      <c r="AA1495" s="196">
        <f>'Supply chain'!P292</f>
        <v>0</v>
      </c>
      <c r="AB1495" s="196">
        <f>'Supply chain'!Q292</f>
        <v>0</v>
      </c>
      <c r="AC1495" s="196">
        <f>'Supply chain'!R292</f>
        <v>0</v>
      </c>
      <c r="AD1495" s="196">
        <f>'Supply chain'!S292</f>
        <v>0</v>
      </c>
      <c r="AE1495" s="196" t="str">
        <f>'Supply chain'!T292</f>
        <v/>
      </c>
      <c r="AF1495" s="196" t="str">
        <f>'Supply chain'!U292</f>
        <v/>
      </c>
      <c r="AG1495" s="196">
        <f>'Supply chain'!V292</f>
        <v>0</v>
      </c>
      <c r="AI1495" s="193">
        <f t="shared" si="34"/>
        <v>0</v>
      </c>
      <c r="AJ1495" s="193">
        <f t="shared" si="35"/>
        <v>0</v>
      </c>
    </row>
    <row r="1496" spans="2:36" x14ac:dyDescent="0.35">
      <c r="B1496" s="193" t="e">
        <f>"2024"&amp;MATCH(Totals!D1496,OrgType,0)&amp;"_"&amp;MATCH(Totals!E1496,Organisations,0)&amp;"_"&amp;LEFT(Totals!F1496,1)&amp;"_"&amp;LEFT(G1496,1)&amp;"_"&amp;COUNTIF($G$3:G1496,G1496)</f>
        <v>#N/A</v>
      </c>
      <c r="C1496" s="193">
        <v>2025</v>
      </c>
      <c r="D1496" s="193">
        <f>Introduction!$D$7</f>
        <v>0</v>
      </c>
      <c r="E1496" s="193">
        <f>Introduction!$D$8</f>
        <v>0</v>
      </c>
      <c r="F1496" s="193" t="s">
        <v>493</v>
      </c>
      <c r="G1496" s="193" t="s">
        <v>493</v>
      </c>
      <c r="H1496" s="194"/>
      <c r="I1496" s="194"/>
      <c r="J1496" s="196" t="str">
        <f>'Supply chain'!B293</f>
        <v/>
      </c>
      <c r="K1496" s="194"/>
      <c r="L1496" s="194"/>
      <c r="M1496" s="196" t="str">
        <f>'Supply chain'!C293</f>
        <v/>
      </c>
      <c r="N1496" s="196">
        <f>'Supply chain'!D293</f>
        <v>0</v>
      </c>
      <c r="O1496" s="194"/>
      <c r="P1496" s="196" t="str">
        <f>'Supply chain'!E293</f>
        <v>Tier 2</v>
      </c>
      <c r="Q1496" s="196">
        <f>'Supply chain'!F293</f>
        <v>0</v>
      </c>
      <c r="R1496" s="196">
        <f>'Supply chain'!G293</f>
        <v>0</v>
      </c>
      <c r="S1496" s="196" t="str">
        <f>'Supply chain'!H293</f>
        <v>£</v>
      </c>
      <c r="T1496" s="196">
        <f>'Supply chain'!I293</f>
        <v>0</v>
      </c>
      <c r="U1496" s="196" t="str">
        <f>'Supply chain'!J293</f>
        <v>£</v>
      </c>
      <c r="V1496" s="196" t="str">
        <f>'Supply chain'!K293</f>
        <v/>
      </c>
      <c r="W1496" s="196">
        <f>'Supply chain'!L293</f>
        <v>0</v>
      </c>
      <c r="X1496" s="193">
        <f>'Supply chain'!M293</f>
        <v>0</v>
      </c>
      <c r="Y1496" s="196">
        <f>'Supply chain'!N293</f>
        <v>0</v>
      </c>
      <c r="Z1496" s="196">
        <f>'Supply chain'!O293</f>
        <v>0</v>
      </c>
      <c r="AA1496" s="196">
        <f>'Supply chain'!P293</f>
        <v>0</v>
      </c>
      <c r="AB1496" s="196">
        <f>'Supply chain'!Q293</f>
        <v>0</v>
      </c>
      <c r="AC1496" s="196">
        <f>'Supply chain'!R293</f>
        <v>0</v>
      </c>
      <c r="AD1496" s="196">
        <f>'Supply chain'!S293</f>
        <v>0</v>
      </c>
      <c r="AE1496" s="196" t="str">
        <f>'Supply chain'!T293</f>
        <v/>
      </c>
      <c r="AF1496" s="196" t="str">
        <f>'Supply chain'!U293</f>
        <v/>
      </c>
      <c r="AG1496" s="196">
        <f>'Supply chain'!V293</f>
        <v>0</v>
      </c>
      <c r="AI1496" s="193">
        <f t="shared" si="34"/>
        <v>0</v>
      </c>
      <c r="AJ1496" s="193">
        <f t="shared" si="35"/>
        <v>0</v>
      </c>
    </row>
    <row r="1497" spans="2:36" x14ac:dyDescent="0.35">
      <c r="B1497" s="193" t="e">
        <f>"2024"&amp;MATCH(Totals!D1497,OrgType,0)&amp;"_"&amp;MATCH(Totals!E1497,Organisations,0)&amp;"_"&amp;LEFT(Totals!F1497,1)&amp;"_"&amp;LEFT(G1497,1)&amp;"_"&amp;COUNTIF($G$3:G1497,G1497)</f>
        <v>#N/A</v>
      </c>
      <c r="C1497" s="193">
        <v>2025</v>
      </c>
      <c r="D1497" s="193">
        <f>Introduction!$D$7</f>
        <v>0</v>
      </c>
      <c r="E1497" s="193">
        <f>Introduction!$D$8</f>
        <v>0</v>
      </c>
      <c r="F1497" s="193" t="s">
        <v>493</v>
      </c>
      <c r="G1497" s="193" t="s">
        <v>493</v>
      </c>
      <c r="H1497" s="194"/>
      <c r="I1497" s="194"/>
      <c r="J1497" s="196" t="str">
        <f>'Supply chain'!B294</f>
        <v/>
      </c>
      <c r="K1497" s="194"/>
      <c r="L1497" s="194"/>
      <c r="M1497" s="196" t="str">
        <f>'Supply chain'!C294</f>
        <v/>
      </c>
      <c r="N1497" s="196">
        <f>'Supply chain'!D294</f>
        <v>0</v>
      </c>
      <c r="O1497" s="194"/>
      <c r="P1497" s="196" t="str">
        <f>'Supply chain'!E294</f>
        <v>Tier 2</v>
      </c>
      <c r="Q1497" s="196">
        <f>'Supply chain'!F294</f>
        <v>0</v>
      </c>
      <c r="R1497" s="196">
        <f>'Supply chain'!G294</f>
        <v>0</v>
      </c>
      <c r="S1497" s="196" t="str">
        <f>'Supply chain'!H294</f>
        <v>£</v>
      </c>
      <c r="T1497" s="196">
        <f>'Supply chain'!I294</f>
        <v>0</v>
      </c>
      <c r="U1497" s="196" t="str">
        <f>'Supply chain'!J294</f>
        <v>£</v>
      </c>
      <c r="V1497" s="196" t="str">
        <f>'Supply chain'!K294</f>
        <v/>
      </c>
      <c r="W1497" s="196">
        <f>'Supply chain'!L294</f>
        <v>0</v>
      </c>
      <c r="X1497" s="193">
        <f>'Supply chain'!M294</f>
        <v>0</v>
      </c>
      <c r="Y1497" s="196">
        <f>'Supply chain'!N294</f>
        <v>0</v>
      </c>
      <c r="Z1497" s="196">
        <f>'Supply chain'!O294</f>
        <v>0</v>
      </c>
      <c r="AA1497" s="196">
        <f>'Supply chain'!P294</f>
        <v>0</v>
      </c>
      <c r="AB1497" s="196">
        <f>'Supply chain'!Q294</f>
        <v>0</v>
      </c>
      <c r="AC1497" s="196">
        <f>'Supply chain'!R294</f>
        <v>0</v>
      </c>
      <c r="AD1497" s="196">
        <f>'Supply chain'!S294</f>
        <v>0</v>
      </c>
      <c r="AE1497" s="196" t="str">
        <f>'Supply chain'!T294</f>
        <v/>
      </c>
      <c r="AF1497" s="196" t="str">
        <f>'Supply chain'!U294</f>
        <v/>
      </c>
      <c r="AG1497" s="196">
        <f>'Supply chain'!V294</f>
        <v>0</v>
      </c>
      <c r="AI1497" s="193">
        <f t="shared" si="34"/>
        <v>0</v>
      </c>
      <c r="AJ1497" s="193">
        <f t="shared" si="35"/>
        <v>0</v>
      </c>
    </row>
    <row r="1498" spans="2:36" x14ac:dyDescent="0.35">
      <c r="B1498" s="193" t="e">
        <f>"2024"&amp;MATCH(Totals!D1498,OrgType,0)&amp;"_"&amp;MATCH(Totals!E1498,Organisations,0)&amp;"_"&amp;LEFT(Totals!F1498,1)&amp;"_"&amp;LEFT(G1498,1)&amp;"_"&amp;COUNTIF($G$3:G1498,G1498)</f>
        <v>#N/A</v>
      </c>
      <c r="C1498" s="193">
        <v>2025</v>
      </c>
      <c r="D1498" s="193">
        <f>Introduction!$D$7</f>
        <v>0</v>
      </c>
      <c r="E1498" s="193">
        <f>Introduction!$D$8</f>
        <v>0</v>
      </c>
      <c r="F1498" s="193" t="s">
        <v>493</v>
      </c>
      <c r="G1498" s="193" t="s">
        <v>493</v>
      </c>
      <c r="H1498" s="194"/>
      <c r="I1498" s="194"/>
      <c r="J1498" s="196" t="str">
        <f>'Supply chain'!B295</f>
        <v/>
      </c>
      <c r="K1498" s="194"/>
      <c r="L1498" s="194"/>
      <c r="M1498" s="196" t="str">
        <f>'Supply chain'!C295</f>
        <v/>
      </c>
      <c r="N1498" s="196">
        <f>'Supply chain'!D295</f>
        <v>0</v>
      </c>
      <c r="O1498" s="194"/>
      <c r="P1498" s="196" t="str">
        <f>'Supply chain'!E295</f>
        <v>Tier 2</v>
      </c>
      <c r="Q1498" s="196">
        <f>'Supply chain'!F295</f>
        <v>0</v>
      </c>
      <c r="R1498" s="196">
        <f>'Supply chain'!G295</f>
        <v>0</v>
      </c>
      <c r="S1498" s="196" t="str">
        <f>'Supply chain'!H295</f>
        <v>£</v>
      </c>
      <c r="T1498" s="196">
        <f>'Supply chain'!I295</f>
        <v>0</v>
      </c>
      <c r="U1498" s="196" t="str">
        <f>'Supply chain'!J295</f>
        <v>£</v>
      </c>
      <c r="V1498" s="196" t="str">
        <f>'Supply chain'!K295</f>
        <v/>
      </c>
      <c r="W1498" s="196">
        <f>'Supply chain'!L295</f>
        <v>0</v>
      </c>
      <c r="X1498" s="193">
        <f>'Supply chain'!M295</f>
        <v>0</v>
      </c>
      <c r="Y1498" s="196">
        <f>'Supply chain'!N295</f>
        <v>0</v>
      </c>
      <c r="Z1498" s="196">
        <f>'Supply chain'!O295</f>
        <v>0</v>
      </c>
      <c r="AA1498" s="196">
        <f>'Supply chain'!P295</f>
        <v>0</v>
      </c>
      <c r="AB1498" s="196">
        <f>'Supply chain'!Q295</f>
        <v>0</v>
      </c>
      <c r="AC1498" s="196">
        <f>'Supply chain'!R295</f>
        <v>0</v>
      </c>
      <c r="AD1498" s="196">
        <f>'Supply chain'!S295</f>
        <v>0</v>
      </c>
      <c r="AE1498" s="196" t="str">
        <f>'Supply chain'!T295</f>
        <v/>
      </c>
      <c r="AF1498" s="196" t="str">
        <f>'Supply chain'!U295</f>
        <v/>
      </c>
      <c r="AG1498" s="196">
        <f>'Supply chain'!V295</f>
        <v>0</v>
      </c>
      <c r="AI1498" s="193">
        <f t="shared" si="34"/>
        <v>0</v>
      </c>
      <c r="AJ1498" s="193">
        <f t="shared" si="35"/>
        <v>0</v>
      </c>
    </row>
    <row r="1499" spans="2:36" x14ac:dyDescent="0.35">
      <c r="B1499" s="193" t="e">
        <f>"2024"&amp;MATCH(Totals!D1499,OrgType,0)&amp;"_"&amp;MATCH(Totals!E1499,Organisations,0)&amp;"_"&amp;LEFT(Totals!F1499,1)&amp;"_"&amp;LEFT(G1499,1)&amp;"_"&amp;COUNTIF($G$3:G1499,G1499)</f>
        <v>#N/A</v>
      </c>
      <c r="C1499" s="193">
        <v>2025</v>
      </c>
      <c r="D1499" s="193">
        <f>Introduction!$D$7</f>
        <v>0</v>
      </c>
      <c r="E1499" s="193">
        <f>Introduction!$D$8</f>
        <v>0</v>
      </c>
      <c r="F1499" s="193" t="s">
        <v>493</v>
      </c>
      <c r="G1499" s="193" t="s">
        <v>493</v>
      </c>
      <c r="H1499" s="194"/>
      <c r="I1499" s="194"/>
      <c r="J1499" s="196" t="str">
        <f>'Supply chain'!B296</f>
        <v/>
      </c>
      <c r="K1499" s="194"/>
      <c r="L1499" s="194"/>
      <c r="M1499" s="196" t="str">
        <f>'Supply chain'!C296</f>
        <v/>
      </c>
      <c r="N1499" s="196">
        <f>'Supply chain'!D296</f>
        <v>0</v>
      </c>
      <c r="O1499" s="194"/>
      <c r="P1499" s="196" t="str">
        <f>'Supply chain'!E296</f>
        <v>Tier 2</v>
      </c>
      <c r="Q1499" s="196">
        <f>'Supply chain'!F296</f>
        <v>0</v>
      </c>
      <c r="R1499" s="196">
        <f>'Supply chain'!G296</f>
        <v>0</v>
      </c>
      <c r="S1499" s="196" t="str">
        <f>'Supply chain'!H296</f>
        <v>£</v>
      </c>
      <c r="T1499" s="196">
        <f>'Supply chain'!I296</f>
        <v>0</v>
      </c>
      <c r="U1499" s="196" t="str">
        <f>'Supply chain'!J296</f>
        <v>£</v>
      </c>
      <c r="V1499" s="196" t="str">
        <f>'Supply chain'!K296</f>
        <v/>
      </c>
      <c r="W1499" s="196">
        <f>'Supply chain'!L296</f>
        <v>0</v>
      </c>
      <c r="X1499" s="193">
        <f>'Supply chain'!M296</f>
        <v>0</v>
      </c>
      <c r="Y1499" s="196">
        <f>'Supply chain'!N296</f>
        <v>0</v>
      </c>
      <c r="Z1499" s="196">
        <f>'Supply chain'!O296</f>
        <v>0</v>
      </c>
      <c r="AA1499" s="196">
        <f>'Supply chain'!P296</f>
        <v>0</v>
      </c>
      <c r="AB1499" s="196">
        <f>'Supply chain'!Q296</f>
        <v>0</v>
      </c>
      <c r="AC1499" s="196">
        <f>'Supply chain'!R296</f>
        <v>0</v>
      </c>
      <c r="AD1499" s="196">
        <f>'Supply chain'!S296</f>
        <v>0</v>
      </c>
      <c r="AE1499" s="196" t="str">
        <f>'Supply chain'!T296</f>
        <v/>
      </c>
      <c r="AF1499" s="196" t="str">
        <f>'Supply chain'!U296</f>
        <v/>
      </c>
      <c r="AG1499" s="196">
        <f>'Supply chain'!V296</f>
        <v>0</v>
      </c>
      <c r="AI1499" s="193">
        <f t="shared" si="34"/>
        <v>0</v>
      </c>
      <c r="AJ1499" s="193">
        <f t="shared" si="35"/>
        <v>0</v>
      </c>
    </row>
    <row r="1500" spans="2:36" x14ac:dyDescent="0.35">
      <c r="B1500" s="193" t="e">
        <f>"2024"&amp;MATCH(Totals!D1500,OrgType,0)&amp;"_"&amp;MATCH(Totals!E1500,Organisations,0)&amp;"_"&amp;LEFT(Totals!F1500,1)&amp;"_"&amp;LEFT(G1500,1)&amp;"_"&amp;COUNTIF($G$3:G1500,G1500)</f>
        <v>#N/A</v>
      </c>
      <c r="C1500" s="193">
        <v>2025</v>
      </c>
      <c r="D1500" s="193">
        <f>Introduction!$D$7</f>
        <v>0</v>
      </c>
      <c r="E1500" s="193">
        <f>Introduction!$D$8</f>
        <v>0</v>
      </c>
      <c r="F1500" s="193" t="s">
        <v>493</v>
      </c>
      <c r="G1500" s="193" t="s">
        <v>493</v>
      </c>
      <c r="H1500" s="194"/>
      <c r="I1500" s="194"/>
      <c r="J1500" s="196" t="str">
        <f>'Supply chain'!B297</f>
        <v/>
      </c>
      <c r="K1500" s="194"/>
      <c r="L1500" s="194"/>
      <c r="M1500" s="196" t="str">
        <f>'Supply chain'!C297</f>
        <v/>
      </c>
      <c r="N1500" s="196">
        <f>'Supply chain'!D297</f>
        <v>0</v>
      </c>
      <c r="O1500" s="194"/>
      <c r="P1500" s="196" t="str">
        <f>'Supply chain'!E297</f>
        <v>Tier 2</v>
      </c>
      <c r="Q1500" s="196">
        <f>'Supply chain'!F297</f>
        <v>0</v>
      </c>
      <c r="R1500" s="196">
        <f>'Supply chain'!G297</f>
        <v>0</v>
      </c>
      <c r="S1500" s="196" t="str">
        <f>'Supply chain'!H297</f>
        <v>£</v>
      </c>
      <c r="T1500" s="196">
        <f>'Supply chain'!I297</f>
        <v>0</v>
      </c>
      <c r="U1500" s="196" t="str">
        <f>'Supply chain'!J297</f>
        <v>£</v>
      </c>
      <c r="V1500" s="196" t="str">
        <f>'Supply chain'!K297</f>
        <v/>
      </c>
      <c r="W1500" s="196">
        <f>'Supply chain'!L297</f>
        <v>0</v>
      </c>
      <c r="X1500" s="193">
        <f>'Supply chain'!M297</f>
        <v>0</v>
      </c>
      <c r="Y1500" s="196">
        <f>'Supply chain'!N297</f>
        <v>0</v>
      </c>
      <c r="Z1500" s="196">
        <f>'Supply chain'!O297</f>
        <v>0</v>
      </c>
      <c r="AA1500" s="196">
        <f>'Supply chain'!P297</f>
        <v>0</v>
      </c>
      <c r="AB1500" s="196">
        <f>'Supply chain'!Q297</f>
        <v>0</v>
      </c>
      <c r="AC1500" s="196">
        <f>'Supply chain'!R297</f>
        <v>0</v>
      </c>
      <c r="AD1500" s="196">
        <f>'Supply chain'!S297</f>
        <v>0</v>
      </c>
      <c r="AE1500" s="196" t="str">
        <f>'Supply chain'!T297</f>
        <v/>
      </c>
      <c r="AF1500" s="196" t="str">
        <f>'Supply chain'!U297</f>
        <v/>
      </c>
      <c r="AG1500" s="196">
        <f>'Supply chain'!V297</f>
        <v>0</v>
      </c>
      <c r="AI1500" s="193">
        <f t="shared" si="34"/>
        <v>0</v>
      </c>
      <c r="AJ1500" s="193">
        <f t="shared" si="35"/>
        <v>0</v>
      </c>
    </row>
    <row r="1501" spans="2:36" x14ac:dyDescent="0.35">
      <c r="B1501" s="193" t="e">
        <f>"2024"&amp;MATCH(Totals!D1501,OrgType,0)&amp;"_"&amp;MATCH(Totals!E1501,Organisations,0)&amp;"_"&amp;LEFT(Totals!F1501,1)&amp;"_"&amp;LEFT(G1501,1)&amp;"_"&amp;COUNTIF($G$3:G1501,G1501)</f>
        <v>#N/A</v>
      </c>
      <c r="C1501" s="193">
        <v>2025</v>
      </c>
      <c r="D1501" s="193">
        <f>Introduction!$D$7</f>
        <v>0</v>
      </c>
      <c r="E1501" s="193">
        <f>Introduction!$D$8</f>
        <v>0</v>
      </c>
      <c r="F1501" s="193" t="s">
        <v>493</v>
      </c>
      <c r="G1501" s="193" t="s">
        <v>493</v>
      </c>
      <c r="H1501" s="194"/>
      <c r="I1501" s="194"/>
      <c r="J1501" s="196" t="str">
        <f>'Supply chain'!B298</f>
        <v/>
      </c>
      <c r="K1501" s="194"/>
      <c r="L1501" s="194"/>
      <c r="M1501" s="196" t="str">
        <f>'Supply chain'!C298</f>
        <v/>
      </c>
      <c r="N1501" s="196">
        <f>'Supply chain'!D298</f>
        <v>0</v>
      </c>
      <c r="O1501" s="194"/>
      <c r="P1501" s="196" t="str">
        <f>'Supply chain'!E298</f>
        <v>Tier 2</v>
      </c>
      <c r="Q1501" s="196">
        <f>'Supply chain'!F298</f>
        <v>0</v>
      </c>
      <c r="R1501" s="196">
        <f>'Supply chain'!G298</f>
        <v>0</v>
      </c>
      <c r="S1501" s="196" t="str">
        <f>'Supply chain'!H298</f>
        <v>£</v>
      </c>
      <c r="T1501" s="196">
        <f>'Supply chain'!I298</f>
        <v>0</v>
      </c>
      <c r="U1501" s="196" t="str">
        <f>'Supply chain'!J298</f>
        <v>£</v>
      </c>
      <c r="V1501" s="196" t="str">
        <f>'Supply chain'!K298</f>
        <v/>
      </c>
      <c r="W1501" s="196">
        <f>'Supply chain'!L298</f>
        <v>0</v>
      </c>
      <c r="X1501" s="193">
        <f>'Supply chain'!M298</f>
        <v>0</v>
      </c>
      <c r="Y1501" s="196">
        <f>'Supply chain'!N298</f>
        <v>0</v>
      </c>
      <c r="Z1501" s="196">
        <f>'Supply chain'!O298</f>
        <v>0</v>
      </c>
      <c r="AA1501" s="196">
        <f>'Supply chain'!P298</f>
        <v>0</v>
      </c>
      <c r="AB1501" s="196">
        <f>'Supply chain'!Q298</f>
        <v>0</v>
      </c>
      <c r="AC1501" s="196">
        <f>'Supply chain'!R298</f>
        <v>0</v>
      </c>
      <c r="AD1501" s="196">
        <f>'Supply chain'!S298</f>
        <v>0</v>
      </c>
      <c r="AE1501" s="196" t="str">
        <f>'Supply chain'!T298</f>
        <v/>
      </c>
      <c r="AF1501" s="196" t="str">
        <f>'Supply chain'!U298</f>
        <v/>
      </c>
      <c r="AG1501" s="196">
        <f>'Supply chain'!V298</f>
        <v>0</v>
      </c>
      <c r="AI1501" s="193">
        <f t="shared" si="34"/>
        <v>0</v>
      </c>
      <c r="AJ1501" s="193">
        <f t="shared" si="35"/>
        <v>0</v>
      </c>
    </row>
    <row r="1502" spans="2:36" x14ac:dyDescent="0.35">
      <c r="B1502" s="193" t="e">
        <f>"2024"&amp;MATCH(Totals!D1502,OrgType,0)&amp;"_"&amp;MATCH(Totals!E1502,Organisations,0)&amp;"_"&amp;LEFT(Totals!F1502,1)&amp;"_"&amp;LEFT(G1502,1)&amp;"_"&amp;COUNTIF($G$3:G1502,G1502)</f>
        <v>#N/A</v>
      </c>
      <c r="C1502" s="193">
        <v>2025</v>
      </c>
      <c r="D1502" s="193">
        <f>Introduction!$D$7</f>
        <v>0</v>
      </c>
      <c r="E1502" s="193">
        <f>Introduction!$D$8</f>
        <v>0</v>
      </c>
      <c r="F1502" s="193" t="s">
        <v>493</v>
      </c>
      <c r="G1502" s="193" t="s">
        <v>493</v>
      </c>
      <c r="H1502" s="194"/>
      <c r="I1502" s="194"/>
      <c r="J1502" s="196" t="str">
        <f>'Supply chain'!B299</f>
        <v/>
      </c>
      <c r="K1502" s="194"/>
      <c r="L1502" s="194"/>
      <c r="M1502" s="196" t="str">
        <f>'Supply chain'!C299</f>
        <v/>
      </c>
      <c r="N1502" s="196">
        <f>'Supply chain'!D299</f>
        <v>0</v>
      </c>
      <c r="O1502" s="194"/>
      <c r="P1502" s="196" t="str">
        <f>'Supply chain'!E299</f>
        <v>Tier 2</v>
      </c>
      <c r="Q1502" s="196">
        <f>'Supply chain'!F299</f>
        <v>0</v>
      </c>
      <c r="R1502" s="196">
        <f>'Supply chain'!G299</f>
        <v>0</v>
      </c>
      <c r="S1502" s="196" t="str">
        <f>'Supply chain'!H299</f>
        <v>£</v>
      </c>
      <c r="T1502" s="196">
        <f>'Supply chain'!I299</f>
        <v>0</v>
      </c>
      <c r="U1502" s="196" t="str">
        <f>'Supply chain'!J299</f>
        <v>£</v>
      </c>
      <c r="V1502" s="196" t="str">
        <f>'Supply chain'!K299</f>
        <v/>
      </c>
      <c r="W1502" s="196">
        <f>'Supply chain'!L299</f>
        <v>0</v>
      </c>
      <c r="X1502" s="193">
        <f>'Supply chain'!M299</f>
        <v>0</v>
      </c>
      <c r="Y1502" s="196">
        <f>'Supply chain'!N299</f>
        <v>0</v>
      </c>
      <c r="Z1502" s="196">
        <f>'Supply chain'!O299</f>
        <v>0</v>
      </c>
      <c r="AA1502" s="196">
        <f>'Supply chain'!P299</f>
        <v>0</v>
      </c>
      <c r="AB1502" s="196">
        <f>'Supply chain'!Q299</f>
        <v>0</v>
      </c>
      <c r="AC1502" s="196">
        <f>'Supply chain'!R299</f>
        <v>0</v>
      </c>
      <c r="AD1502" s="196">
        <f>'Supply chain'!S299</f>
        <v>0</v>
      </c>
      <c r="AE1502" s="196" t="str">
        <f>'Supply chain'!T299</f>
        <v/>
      </c>
      <c r="AF1502" s="196" t="str">
        <f>'Supply chain'!U299</f>
        <v/>
      </c>
      <c r="AG1502" s="196">
        <f>'Supply chain'!V299</f>
        <v>0</v>
      </c>
      <c r="AI1502" s="193">
        <f t="shared" si="34"/>
        <v>0</v>
      </c>
      <c r="AJ1502" s="193">
        <f t="shared" si="35"/>
        <v>0</v>
      </c>
    </row>
    <row r="1503" spans="2:36" x14ac:dyDescent="0.35">
      <c r="B1503" s="193" t="e">
        <f>"2024"&amp;MATCH(Totals!D1503,OrgType,0)&amp;"_"&amp;MATCH(Totals!E1503,Organisations,0)&amp;"_"&amp;LEFT(Totals!F1503,1)&amp;"_"&amp;LEFT(G1503,1)&amp;"_"&amp;COUNTIF($G$3:G1503,G1503)</f>
        <v>#N/A</v>
      </c>
      <c r="C1503" s="193">
        <v>2025</v>
      </c>
      <c r="D1503" s="193">
        <f>Introduction!$D$7</f>
        <v>0</v>
      </c>
      <c r="E1503" s="193">
        <f>Introduction!$D$8</f>
        <v>0</v>
      </c>
      <c r="F1503" s="193" t="s">
        <v>493</v>
      </c>
      <c r="G1503" s="193" t="s">
        <v>493</v>
      </c>
      <c r="H1503" s="194"/>
      <c r="I1503" s="194"/>
      <c r="J1503" s="196" t="str">
        <f>'Supply chain'!B300</f>
        <v/>
      </c>
      <c r="K1503" s="194"/>
      <c r="L1503" s="194"/>
      <c r="M1503" s="196" t="str">
        <f>'Supply chain'!C300</f>
        <v/>
      </c>
      <c r="N1503" s="196">
        <f>'Supply chain'!D300</f>
        <v>0</v>
      </c>
      <c r="O1503" s="194"/>
      <c r="P1503" s="196" t="str">
        <f>'Supply chain'!E300</f>
        <v>Tier 2</v>
      </c>
      <c r="Q1503" s="196">
        <f>'Supply chain'!F300</f>
        <v>0</v>
      </c>
      <c r="R1503" s="196">
        <f>'Supply chain'!G300</f>
        <v>0</v>
      </c>
      <c r="S1503" s="196" t="str">
        <f>'Supply chain'!H300</f>
        <v>£</v>
      </c>
      <c r="T1503" s="196">
        <f>'Supply chain'!I300</f>
        <v>0</v>
      </c>
      <c r="U1503" s="196" t="str">
        <f>'Supply chain'!J300</f>
        <v>£</v>
      </c>
      <c r="V1503" s="196" t="str">
        <f>'Supply chain'!K300</f>
        <v/>
      </c>
      <c r="W1503" s="196">
        <f>'Supply chain'!L300</f>
        <v>0</v>
      </c>
      <c r="X1503" s="193">
        <f>'Supply chain'!M300</f>
        <v>0</v>
      </c>
      <c r="Y1503" s="196">
        <f>'Supply chain'!N300</f>
        <v>0</v>
      </c>
      <c r="Z1503" s="196">
        <f>'Supply chain'!O300</f>
        <v>0</v>
      </c>
      <c r="AA1503" s="196">
        <f>'Supply chain'!P300</f>
        <v>0</v>
      </c>
      <c r="AB1503" s="196">
        <f>'Supply chain'!Q300</f>
        <v>0</v>
      </c>
      <c r="AC1503" s="196">
        <f>'Supply chain'!R300</f>
        <v>0</v>
      </c>
      <c r="AD1503" s="196">
        <f>'Supply chain'!S300</f>
        <v>0</v>
      </c>
      <c r="AE1503" s="196" t="str">
        <f>'Supply chain'!T300</f>
        <v/>
      </c>
      <c r="AF1503" s="196" t="str">
        <f>'Supply chain'!U300</f>
        <v/>
      </c>
      <c r="AG1503" s="196">
        <f>'Supply chain'!V300</f>
        <v>0</v>
      </c>
      <c r="AI1503" s="193">
        <f t="shared" si="34"/>
        <v>0</v>
      </c>
      <c r="AJ1503" s="193">
        <f t="shared" si="35"/>
        <v>0</v>
      </c>
    </row>
    <row r="1504" spans="2:36" x14ac:dyDescent="0.35">
      <c r="B1504" s="193" t="e">
        <f>"2024"&amp;MATCH(Totals!D1504,OrgType,0)&amp;"_"&amp;MATCH(Totals!E1504,Organisations,0)&amp;"_"&amp;LEFT(Totals!F1504,1)&amp;"_"&amp;LEFT(G1504,1)&amp;"_"&amp;COUNTIF($G$3:G1504,G1504)</f>
        <v>#N/A</v>
      </c>
      <c r="C1504" s="193">
        <v>2025</v>
      </c>
      <c r="D1504" s="193">
        <f>Introduction!$D$7</f>
        <v>0</v>
      </c>
      <c r="E1504" s="193">
        <f>Introduction!$D$8</f>
        <v>0</v>
      </c>
      <c r="F1504" s="193" t="s">
        <v>493</v>
      </c>
      <c r="G1504" s="193" t="s">
        <v>493</v>
      </c>
      <c r="H1504" s="194"/>
      <c r="I1504" s="194"/>
      <c r="J1504" s="196" t="str">
        <f>'Supply chain'!B301</f>
        <v/>
      </c>
      <c r="K1504" s="194"/>
      <c r="L1504" s="194"/>
      <c r="M1504" s="196" t="str">
        <f>'Supply chain'!C301</f>
        <v/>
      </c>
      <c r="N1504" s="196">
        <f>'Supply chain'!D301</f>
        <v>0</v>
      </c>
      <c r="O1504" s="194"/>
      <c r="P1504" s="196" t="str">
        <f>'Supply chain'!E301</f>
        <v>Tier 2</v>
      </c>
      <c r="Q1504" s="196">
        <f>'Supply chain'!F301</f>
        <v>0</v>
      </c>
      <c r="R1504" s="196">
        <f>'Supply chain'!G301</f>
        <v>0</v>
      </c>
      <c r="S1504" s="196" t="str">
        <f>'Supply chain'!H301</f>
        <v>£</v>
      </c>
      <c r="T1504" s="196">
        <f>'Supply chain'!I301</f>
        <v>0</v>
      </c>
      <c r="U1504" s="196" t="str">
        <f>'Supply chain'!J301</f>
        <v>£</v>
      </c>
      <c r="V1504" s="196" t="str">
        <f>'Supply chain'!K301</f>
        <v/>
      </c>
      <c r="W1504" s="196">
        <f>'Supply chain'!L301</f>
        <v>0</v>
      </c>
      <c r="X1504" s="193">
        <f>'Supply chain'!M301</f>
        <v>0</v>
      </c>
      <c r="Y1504" s="196">
        <f>'Supply chain'!N301</f>
        <v>0</v>
      </c>
      <c r="Z1504" s="196">
        <f>'Supply chain'!O301</f>
        <v>0</v>
      </c>
      <c r="AA1504" s="196">
        <f>'Supply chain'!P301</f>
        <v>0</v>
      </c>
      <c r="AB1504" s="196">
        <f>'Supply chain'!Q301</f>
        <v>0</v>
      </c>
      <c r="AC1504" s="196">
        <f>'Supply chain'!R301</f>
        <v>0</v>
      </c>
      <c r="AD1504" s="196">
        <f>'Supply chain'!S301</f>
        <v>0</v>
      </c>
      <c r="AE1504" s="196" t="str">
        <f>'Supply chain'!T301</f>
        <v/>
      </c>
      <c r="AF1504" s="196" t="str">
        <f>'Supply chain'!U301</f>
        <v/>
      </c>
      <c r="AG1504" s="196">
        <f>'Supply chain'!V301</f>
        <v>0</v>
      </c>
      <c r="AI1504" s="193">
        <f t="shared" si="34"/>
        <v>0</v>
      </c>
      <c r="AJ1504" s="193">
        <f t="shared" si="35"/>
        <v>0</v>
      </c>
    </row>
    <row r="1505" spans="2:36" x14ac:dyDescent="0.35">
      <c r="B1505" s="193" t="e">
        <f>"2024"&amp;MATCH(Totals!D1505,OrgType,0)&amp;"_"&amp;MATCH(Totals!E1505,Organisations,0)&amp;"_"&amp;LEFT(Totals!F1505,1)&amp;"_"&amp;LEFT(G1505,1)&amp;"_"&amp;COUNTIF($G$3:G1505,G1505)</f>
        <v>#N/A</v>
      </c>
      <c r="C1505" s="193">
        <v>2025</v>
      </c>
      <c r="D1505" s="193">
        <f>Introduction!$D$7</f>
        <v>0</v>
      </c>
      <c r="E1505" s="193">
        <f>Introduction!$D$8</f>
        <v>0</v>
      </c>
      <c r="F1505" s="193" t="s">
        <v>493</v>
      </c>
      <c r="G1505" s="193" t="s">
        <v>493</v>
      </c>
      <c r="H1505" s="194"/>
      <c r="I1505" s="194"/>
      <c r="J1505" s="196" t="str">
        <f>'Supply chain'!B302</f>
        <v/>
      </c>
      <c r="K1505" s="194"/>
      <c r="L1505" s="194"/>
      <c r="M1505" s="196" t="str">
        <f>'Supply chain'!C302</f>
        <v/>
      </c>
      <c r="N1505" s="196">
        <f>'Supply chain'!D302</f>
        <v>0</v>
      </c>
      <c r="O1505" s="194"/>
      <c r="P1505" s="196" t="str">
        <f>'Supply chain'!E302</f>
        <v>Tier 2</v>
      </c>
      <c r="Q1505" s="196">
        <f>'Supply chain'!F302</f>
        <v>0</v>
      </c>
      <c r="R1505" s="196">
        <f>'Supply chain'!G302</f>
        <v>0</v>
      </c>
      <c r="S1505" s="196" t="str">
        <f>'Supply chain'!H302</f>
        <v>£</v>
      </c>
      <c r="T1505" s="196">
        <f>'Supply chain'!I302</f>
        <v>0</v>
      </c>
      <c r="U1505" s="196" t="str">
        <f>'Supply chain'!J302</f>
        <v>£</v>
      </c>
      <c r="V1505" s="196" t="str">
        <f>'Supply chain'!K302</f>
        <v/>
      </c>
      <c r="W1505" s="196">
        <f>'Supply chain'!L302</f>
        <v>0</v>
      </c>
      <c r="X1505" s="193">
        <f>'Supply chain'!M302</f>
        <v>0</v>
      </c>
      <c r="Y1505" s="196">
        <f>'Supply chain'!N302</f>
        <v>0</v>
      </c>
      <c r="Z1505" s="196">
        <f>'Supply chain'!O302</f>
        <v>0</v>
      </c>
      <c r="AA1505" s="196">
        <f>'Supply chain'!P302</f>
        <v>0</v>
      </c>
      <c r="AB1505" s="196">
        <f>'Supply chain'!Q302</f>
        <v>0</v>
      </c>
      <c r="AC1505" s="196">
        <f>'Supply chain'!R302</f>
        <v>0</v>
      </c>
      <c r="AD1505" s="196">
        <f>'Supply chain'!S302</f>
        <v>0</v>
      </c>
      <c r="AE1505" s="196" t="str">
        <f>'Supply chain'!T302</f>
        <v/>
      </c>
      <c r="AF1505" s="196" t="str">
        <f>'Supply chain'!U302</f>
        <v/>
      </c>
      <c r="AG1505" s="196">
        <f>'Supply chain'!V302</f>
        <v>0</v>
      </c>
      <c r="AI1505" s="193">
        <f t="shared" si="34"/>
        <v>0</v>
      </c>
      <c r="AJ1505" s="193">
        <f t="shared" si="35"/>
        <v>0</v>
      </c>
    </row>
    <row r="1506" spans="2:36" x14ac:dyDescent="0.35">
      <c r="B1506" s="193" t="e">
        <f>"2024"&amp;MATCH(Totals!D1506,OrgType,0)&amp;"_"&amp;MATCH(Totals!E1506,Organisations,0)&amp;"_"&amp;LEFT(Totals!F1506,1)&amp;"_"&amp;LEFT(G1506,1)&amp;"_"&amp;COUNTIF($G$3:G1506,G1506)</f>
        <v>#N/A</v>
      </c>
      <c r="C1506" s="193">
        <v>2025</v>
      </c>
      <c r="D1506" s="193">
        <f>Introduction!$D$7</f>
        <v>0</v>
      </c>
      <c r="E1506" s="193">
        <f>Introduction!$D$8</f>
        <v>0</v>
      </c>
      <c r="F1506" s="193" t="s">
        <v>493</v>
      </c>
      <c r="G1506" s="193" t="s">
        <v>493</v>
      </c>
      <c r="H1506" s="194"/>
      <c r="I1506" s="194"/>
      <c r="J1506" s="196" t="str">
        <f>'Supply chain'!B303</f>
        <v/>
      </c>
      <c r="K1506" s="194"/>
      <c r="L1506" s="194"/>
      <c r="M1506" s="196" t="str">
        <f>'Supply chain'!C303</f>
        <v/>
      </c>
      <c r="N1506" s="196">
        <f>'Supply chain'!D303</f>
        <v>0</v>
      </c>
      <c r="O1506" s="194"/>
      <c r="P1506" s="196" t="str">
        <f>'Supply chain'!E303</f>
        <v>Tier 2</v>
      </c>
      <c r="Q1506" s="196">
        <f>'Supply chain'!F303</f>
        <v>0</v>
      </c>
      <c r="R1506" s="196">
        <f>'Supply chain'!G303</f>
        <v>0</v>
      </c>
      <c r="S1506" s="196" t="str">
        <f>'Supply chain'!H303</f>
        <v>£</v>
      </c>
      <c r="T1506" s="196">
        <f>'Supply chain'!I303</f>
        <v>0</v>
      </c>
      <c r="U1506" s="196" t="str">
        <f>'Supply chain'!J303</f>
        <v>£</v>
      </c>
      <c r="V1506" s="196" t="str">
        <f>'Supply chain'!K303</f>
        <v/>
      </c>
      <c r="W1506" s="196">
        <f>'Supply chain'!L303</f>
        <v>0</v>
      </c>
      <c r="X1506" s="193">
        <f>'Supply chain'!M303</f>
        <v>0</v>
      </c>
      <c r="Y1506" s="196">
        <f>'Supply chain'!N303</f>
        <v>0</v>
      </c>
      <c r="Z1506" s="196">
        <f>'Supply chain'!O303</f>
        <v>0</v>
      </c>
      <c r="AA1506" s="196">
        <f>'Supply chain'!P303</f>
        <v>0</v>
      </c>
      <c r="AB1506" s="196">
        <f>'Supply chain'!Q303</f>
        <v>0</v>
      </c>
      <c r="AC1506" s="196">
        <f>'Supply chain'!R303</f>
        <v>0</v>
      </c>
      <c r="AD1506" s="196">
        <f>'Supply chain'!S303</f>
        <v>0</v>
      </c>
      <c r="AE1506" s="196" t="str">
        <f>'Supply chain'!T303</f>
        <v/>
      </c>
      <c r="AF1506" s="196" t="str">
        <f>'Supply chain'!U303</f>
        <v/>
      </c>
      <c r="AG1506" s="196">
        <f>'Supply chain'!V303</f>
        <v>0</v>
      </c>
      <c r="AI1506" s="193">
        <f t="shared" si="34"/>
        <v>0</v>
      </c>
      <c r="AJ1506" s="193">
        <f t="shared" si="35"/>
        <v>0</v>
      </c>
    </row>
    <row r="1507" spans="2:36" x14ac:dyDescent="0.35">
      <c r="B1507" s="193" t="e">
        <f>"2024"&amp;MATCH(Totals!D1507,OrgType,0)&amp;"_"&amp;MATCH(Totals!E1507,Organisations,0)&amp;"_"&amp;LEFT(Totals!F1507,1)&amp;"_"&amp;LEFT(G1507,1)&amp;"_"&amp;COUNTIF($G$3:G1507,G1507)</f>
        <v>#N/A</v>
      </c>
      <c r="C1507" s="193">
        <v>2025</v>
      </c>
      <c r="D1507" s="193">
        <f>Introduction!$D$7</f>
        <v>0</v>
      </c>
      <c r="E1507" s="193">
        <f>Introduction!$D$8</f>
        <v>0</v>
      </c>
      <c r="F1507" s="193" t="s">
        <v>493</v>
      </c>
      <c r="G1507" s="193" t="s">
        <v>493</v>
      </c>
      <c r="H1507" s="194"/>
      <c r="I1507" s="194"/>
      <c r="J1507" s="196" t="str">
        <f>'Supply chain'!B304</f>
        <v/>
      </c>
      <c r="K1507" s="194"/>
      <c r="L1507" s="194"/>
      <c r="M1507" s="196" t="str">
        <f>'Supply chain'!C304</f>
        <v/>
      </c>
      <c r="N1507" s="196">
        <f>'Supply chain'!D304</f>
        <v>0</v>
      </c>
      <c r="O1507" s="194"/>
      <c r="P1507" s="196" t="str">
        <f>'Supply chain'!E304</f>
        <v>Tier 2</v>
      </c>
      <c r="Q1507" s="196">
        <f>'Supply chain'!F304</f>
        <v>0</v>
      </c>
      <c r="R1507" s="196">
        <f>'Supply chain'!G304</f>
        <v>0</v>
      </c>
      <c r="S1507" s="196" t="str">
        <f>'Supply chain'!H304</f>
        <v>£</v>
      </c>
      <c r="T1507" s="196">
        <f>'Supply chain'!I304</f>
        <v>0</v>
      </c>
      <c r="U1507" s="196" t="str">
        <f>'Supply chain'!J304</f>
        <v>£</v>
      </c>
      <c r="V1507" s="196" t="str">
        <f>'Supply chain'!K304</f>
        <v/>
      </c>
      <c r="W1507" s="196">
        <f>'Supply chain'!L304</f>
        <v>0</v>
      </c>
      <c r="X1507" s="193">
        <f>'Supply chain'!M304</f>
        <v>0</v>
      </c>
      <c r="Y1507" s="196">
        <f>'Supply chain'!N304</f>
        <v>0</v>
      </c>
      <c r="Z1507" s="196">
        <f>'Supply chain'!O304</f>
        <v>0</v>
      </c>
      <c r="AA1507" s="196">
        <f>'Supply chain'!P304</f>
        <v>0</v>
      </c>
      <c r="AB1507" s="196">
        <f>'Supply chain'!Q304</f>
        <v>0</v>
      </c>
      <c r="AC1507" s="196">
        <f>'Supply chain'!R304</f>
        <v>0</v>
      </c>
      <c r="AD1507" s="196">
        <f>'Supply chain'!S304</f>
        <v>0</v>
      </c>
      <c r="AE1507" s="196" t="str">
        <f>'Supply chain'!T304</f>
        <v/>
      </c>
      <c r="AF1507" s="196" t="str">
        <f>'Supply chain'!U304</f>
        <v/>
      </c>
      <c r="AG1507" s="196">
        <f>'Supply chain'!V304</f>
        <v>0</v>
      </c>
      <c r="AI1507" s="193">
        <f t="shared" si="34"/>
        <v>0</v>
      </c>
      <c r="AJ1507" s="193">
        <f t="shared" si="35"/>
        <v>0</v>
      </c>
    </row>
    <row r="1508" spans="2:36" x14ac:dyDescent="0.35">
      <c r="B1508" s="193" t="e">
        <f>"2024"&amp;MATCH(Totals!D1508,OrgType,0)&amp;"_"&amp;MATCH(Totals!E1508,Organisations,0)&amp;"_"&amp;LEFT(Totals!F1508,1)&amp;"_"&amp;LEFT(G1508,1)&amp;"_"&amp;COUNTIF($G$3:G1508,G1508)</f>
        <v>#N/A</v>
      </c>
      <c r="C1508" s="193">
        <v>2025</v>
      </c>
      <c r="D1508" s="193">
        <f>Introduction!$D$7</f>
        <v>0</v>
      </c>
      <c r="E1508" s="193">
        <f>Introduction!$D$8</f>
        <v>0</v>
      </c>
      <c r="F1508" s="193" t="s">
        <v>493</v>
      </c>
      <c r="G1508" s="193" t="s">
        <v>493</v>
      </c>
      <c r="H1508" s="194"/>
      <c r="I1508" s="194"/>
      <c r="J1508" s="196" t="str">
        <f>'Supply chain'!B305</f>
        <v/>
      </c>
      <c r="K1508" s="194"/>
      <c r="L1508" s="194"/>
      <c r="M1508" s="196" t="str">
        <f>'Supply chain'!C305</f>
        <v/>
      </c>
      <c r="N1508" s="196">
        <f>'Supply chain'!D305</f>
        <v>0</v>
      </c>
      <c r="O1508" s="194"/>
      <c r="P1508" s="196" t="str">
        <f>'Supply chain'!E305</f>
        <v>Tier 2</v>
      </c>
      <c r="Q1508" s="196">
        <f>'Supply chain'!F305</f>
        <v>0</v>
      </c>
      <c r="R1508" s="196">
        <f>'Supply chain'!G305</f>
        <v>0</v>
      </c>
      <c r="S1508" s="196" t="str">
        <f>'Supply chain'!H305</f>
        <v>£</v>
      </c>
      <c r="T1508" s="196">
        <f>'Supply chain'!I305</f>
        <v>0</v>
      </c>
      <c r="U1508" s="196" t="str">
        <f>'Supply chain'!J305</f>
        <v>£</v>
      </c>
      <c r="V1508" s="196" t="str">
        <f>'Supply chain'!K305</f>
        <v/>
      </c>
      <c r="W1508" s="196">
        <f>'Supply chain'!L305</f>
        <v>0</v>
      </c>
      <c r="X1508" s="193">
        <f>'Supply chain'!M305</f>
        <v>0</v>
      </c>
      <c r="Y1508" s="196">
        <f>'Supply chain'!N305</f>
        <v>0</v>
      </c>
      <c r="Z1508" s="196">
        <f>'Supply chain'!O305</f>
        <v>0</v>
      </c>
      <c r="AA1508" s="196">
        <f>'Supply chain'!P305</f>
        <v>0</v>
      </c>
      <c r="AB1508" s="196">
        <f>'Supply chain'!Q305</f>
        <v>0</v>
      </c>
      <c r="AC1508" s="196">
        <f>'Supply chain'!R305</f>
        <v>0</v>
      </c>
      <c r="AD1508" s="196">
        <f>'Supply chain'!S305</f>
        <v>0</v>
      </c>
      <c r="AE1508" s="196" t="str">
        <f>'Supply chain'!T305</f>
        <v/>
      </c>
      <c r="AF1508" s="196" t="str">
        <f>'Supply chain'!U305</f>
        <v/>
      </c>
      <c r="AG1508" s="196">
        <f>'Supply chain'!V305</f>
        <v>0</v>
      </c>
      <c r="AI1508" s="193">
        <f t="shared" si="34"/>
        <v>0</v>
      </c>
      <c r="AJ1508" s="193">
        <f t="shared" si="35"/>
        <v>0</v>
      </c>
    </row>
    <row r="1509" spans="2:36" x14ac:dyDescent="0.35">
      <c r="B1509" s="193" t="e">
        <f>"2024"&amp;MATCH(Totals!D1509,OrgType,0)&amp;"_"&amp;MATCH(Totals!E1509,Organisations,0)&amp;"_"&amp;LEFT(Totals!F1509,1)&amp;"_"&amp;LEFT(G1509,1)&amp;"_"&amp;COUNTIF($G$3:G1509,G1509)</f>
        <v>#N/A</v>
      </c>
      <c r="C1509" s="193">
        <v>2025</v>
      </c>
      <c r="D1509" s="193">
        <f>Introduction!$D$7</f>
        <v>0</v>
      </c>
      <c r="E1509" s="193">
        <f>Introduction!$D$8</f>
        <v>0</v>
      </c>
      <c r="F1509" s="193" t="s">
        <v>493</v>
      </c>
      <c r="G1509" s="193" t="s">
        <v>493</v>
      </c>
      <c r="H1509" s="194"/>
      <c r="I1509" s="194"/>
      <c r="J1509" s="196" t="str">
        <f>'Supply chain'!B306</f>
        <v/>
      </c>
      <c r="K1509" s="194"/>
      <c r="L1509" s="194"/>
      <c r="M1509" s="196" t="str">
        <f>'Supply chain'!C306</f>
        <v/>
      </c>
      <c r="N1509" s="196">
        <f>'Supply chain'!D306</f>
        <v>0</v>
      </c>
      <c r="O1509" s="194"/>
      <c r="P1509" s="196" t="str">
        <f>'Supply chain'!E306</f>
        <v>Tier 2</v>
      </c>
      <c r="Q1509" s="196">
        <f>'Supply chain'!F306</f>
        <v>0</v>
      </c>
      <c r="R1509" s="196">
        <f>'Supply chain'!G306</f>
        <v>0</v>
      </c>
      <c r="S1509" s="196" t="str">
        <f>'Supply chain'!H306</f>
        <v>£</v>
      </c>
      <c r="T1509" s="196">
        <f>'Supply chain'!I306</f>
        <v>0</v>
      </c>
      <c r="U1509" s="196" t="str">
        <f>'Supply chain'!J306</f>
        <v>£</v>
      </c>
      <c r="V1509" s="196" t="str">
        <f>'Supply chain'!K306</f>
        <v/>
      </c>
      <c r="W1509" s="196">
        <f>'Supply chain'!L306</f>
        <v>0</v>
      </c>
      <c r="X1509" s="193">
        <f>'Supply chain'!M306</f>
        <v>0</v>
      </c>
      <c r="Y1509" s="196">
        <f>'Supply chain'!N306</f>
        <v>0</v>
      </c>
      <c r="Z1509" s="196">
        <f>'Supply chain'!O306</f>
        <v>0</v>
      </c>
      <c r="AA1509" s="196">
        <f>'Supply chain'!P306</f>
        <v>0</v>
      </c>
      <c r="AB1509" s="196">
        <f>'Supply chain'!Q306</f>
        <v>0</v>
      </c>
      <c r="AC1509" s="196">
        <f>'Supply chain'!R306</f>
        <v>0</v>
      </c>
      <c r="AD1509" s="196">
        <f>'Supply chain'!S306</f>
        <v>0</v>
      </c>
      <c r="AE1509" s="196" t="str">
        <f>'Supply chain'!T306</f>
        <v/>
      </c>
      <c r="AF1509" s="196" t="str">
        <f>'Supply chain'!U306</f>
        <v/>
      </c>
      <c r="AG1509" s="196">
        <f>'Supply chain'!V306</f>
        <v>0</v>
      </c>
      <c r="AI1509" s="193">
        <f t="shared" si="34"/>
        <v>0</v>
      </c>
      <c r="AJ1509" s="193">
        <f t="shared" si="35"/>
        <v>0</v>
      </c>
    </row>
    <row r="1510" spans="2:36" x14ac:dyDescent="0.35">
      <c r="B1510" s="193" t="e">
        <f>"2024"&amp;MATCH(Totals!D1510,OrgType,0)&amp;"_"&amp;MATCH(Totals!E1510,Organisations,0)&amp;"_"&amp;LEFT(Totals!F1510,1)&amp;"_"&amp;LEFT(G1510,1)&amp;"_"&amp;COUNTIF($G$3:G1510,G1510)</f>
        <v>#N/A</v>
      </c>
      <c r="C1510" s="193">
        <v>2025</v>
      </c>
      <c r="D1510" s="193">
        <f>Introduction!$D$7</f>
        <v>0</v>
      </c>
      <c r="E1510" s="193">
        <f>Introduction!$D$8</f>
        <v>0</v>
      </c>
      <c r="F1510" s="193" t="s">
        <v>493</v>
      </c>
      <c r="G1510" s="193" t="s">
        <v>493</v>
      </c>
      <c r="H1510" s="194"/>
      <c r="I1510" s="194"/>
      <c r="J1510" s="196" t="str">
        <f>'Supply chain'!B307</f>
        <v/>
      </c>
      <c r="K1510" s="194"/>
      <c r="L1510" s="194"/>
      <c r="M1510" s="196" t="str">
        <f>'Supply chain'!C307</f>
        <v/>
      </c>
      <c r="N1510" s="196">
        <f>'Supply chain'!D307</f>
        <v>0</v>
      </c>
      <c r="O1510" s="194"/>
      <c r="P1510" s="196" t="str">
        <f>'Supply chain'!E307</f>
        <v>Tier 2</v>
      </c>
      <c r="Q1510" s="196">
        <f>'Supply chain'!F307</f>
        <v>0</v>
      </c>
      <c r="R1510" s="196">
        <f>'Supply chain'!G307</f>
        <v>0</v>
      </c>
      <c r="S1510" s="196" t="str">
        <f>'Supply chain'!H307</f>
        <v>£</v>
      </c>
      <c r="T1510" s="196">
        <f>'Supply chain'!I307</f>
        <v>0</v>
      </c>
      <c r="U1510" s="196" t="str">
        <f>'Supply chain'!J307</f>
        <v>£</v>
      </c>
      <c r="V1510" s="196" t="str">
        <f>'Supply chain'!K307</f>
        <v/>
      </c>
      <c r="W1510" s="196">
        <f>'Supply chain'!L307</f>
        <v>0</v>
      </c>
      <c r="X1510" s="193">
        <f>'Supply chain'!M307</f>
        <v>0</v>
      </c>
      <c r="Y1510" s="196">
        <f>'Supply chain'!N307</f>
        <v>0</v>
      </c>
      <c r="Z1510" s="196">
        <f>'Supply chain'!O307</f>
        <v>0</v>
      </c>
      <c r="AA1510" s="196">
        <f>'Supply chain'!P307</f>
        <v>0</v>
      </c>
      <c r="AB1510" s="196">
        <f>'Supply chain'!Q307</f>
        <v>0</v>
      </c>
      <c r="AC1510" s="196">
        <f>'Supply chain'!R307</f>
        <v>0</v>
      </c>
      <c r="AD1510" s="196">
        <f>'Supply chain'!S307</f>
        <v>0</v>
      </c>
      <c r="AE1510" s="196" t="str">
        <f>'Supply chain'!T307</f>
        <v/>
      </c>
      <c r="AF1510" s="196" t="str">
        <f>'Supply chain'!U307</f>
        <v/>
      </c>
      <c r="AG1510" s="196">
        <f>'Supply chain'!V307</f>
        <v>0</v>
      </c>
      <c r="AI1510" s="193">
        <f t="shared" si="34"/>
        <v>0</v>
      </c>
      <c r="AJ1510" s="193">
        <f t="shared" si="35"/>
        <v>0</v>
      </c>
    </row>
    <row r="1511" spans="2:36" x14ac:dyDescent="0.35">
      <c r="B1511" s="193" t="e">
        <f>"2024"&amp;MATCH(Totals!D1511,OrgType,0)&amp;"_"&amp;MATCH(Totals!E1511,Organisations,0)&amp;"_"&amp;LEFT(Totals!F1511,1)&amp;"_"&amp;LEFT(G1511,1)&amp;"_"&amp;COUNTIF($G$3:G1511,G1511)</f>
        <v>#N/A</v>
      </c>
      <c r="C1511" s="193">
        <v>2025</v>
      </c>
      <c r="D1511" s="193">
        <f>Introduction!$D$7</f>
        <v>0</v>
      </c>
      <c r="E1511" s="193">
        <f>Introduction!$D$8</f>
        <v>0</v>
      </c>
      <c r="F1511" s="193" t="s">
        <v>493</v>
      </c>
      <c r="G1511" s="193" t="s">
        <v>493</v>
      </c>
      <c r="H1511" s="194"/>
      <c r="I1511" s="194"/>
      <c r="J1511" s="196" t="str">
        <f>'Supply chain'!B308</f>
        <v/>
      </c>
      <c r="K1511" s="194"/>
      <c r="L1511" s="194"/>
      <c r="M1511" s="196" t="str">
        <f>'Supply chain'!C308</f>
        <v/>
      </c>
      <c r="N1511" s="196">
        <f>'Supply chain'!D308</f>
        <v>0</v>
      </c>
      <c r="O1511" s="194"/>
      <c r="P1511" s="196" t="str">
        <f>'Supply chain'!E308</f>
        <v>Tier 2</v>
      </c>
      <c r="Q1511" s="196">
        <f>'Supply chain'!F308</f>
        <v>0</v>
      </c>
      <c r="R1511" s="196">
        <f>'Supply chain'!G308</f>
        <v>0</v>
      </c>
      <c r="S1511" s="196" t="str">
        <f>'Supply chain'!H308</f>
        <v>£</v>
      </c>
      <c r="T1511" s="196">
        <f>'Supply chain'!I308</f>
        <v>0</v>
      </c>
      <c r="U1511" s="196" t="str">
        <f>'Supply chain'!J308</f>
        <v>£</v>
      </c>
      <c r="V1511" s="196" t="str">
        <f>'Supply chain'!K308</f>
        <v/>
      </c>
      <c r="W1511" s="196">
        <f>'Supply chain'!L308</f>
        <v>0</v>
      </c>
      <c r="X1511" s="193">
        <f>'Supply chain'!M308</f>
        <v>0</v>
      </c>
      <c r="Y1511" s="196">
        <f>'Supply chain'!N308</f>
        <v>0</v>
      </c>
      <c r="Z1511" s="196">
        <f>'Supply chain'!O308</f>
        <v>0</v>
      </c>
      <c r="AA1511" s="196">
        <f>'Supply chain'!P308</f>
        <v>0</v>
      </c>
      <c r="AB1511" s="196">
        <f>'Supply chain'!Q308</f>
        <v>0</v>
      </c>
      <c r="AC1511" s="196">
        <f>'Supply chain'!R308</f>
        <v>0</v>
      </c>
      <c r="AD1511" s="196">
        <f>'Supply chain'!S308</f>
        <v>0</v>
      </c>
      <c r="AE1511" s="196" t="str">
        <f>'Supply chain'!T308</f>
        <v/>
      </c>
      <c r="AF1511" s="196" t="str">
        <f>'Supply chain'!U308</f>
        <v/>
      </c>
      <c r="AG1511" s="196">
        <f>'Supply chain'!V308</f>
        <v>0</v>
      </c>
      <c r="AI1511" s="193">
        <f t="shared" si="34"/>
        <v>0</v>
      </c>
      <c r="AJ1511" s="193">
        <f t="shared" si="35"/>
        <v>0</v>
      </c>
    </row>
    <row r="1512" spans="2:36" x14ac:dyDescent="0.35">
      <c r="B1512" s="193" t="e">
        <f>"2024"&amp;MATCH(Totals!D1512,OrgType,0)&amp;"_"&amp;MATCH(Totals!E1512,Organisations,0)&amp;"_"&amp;LEFT(Totals!F1512,1)&amp;"_"&amp;LEFT(G1512,1)&amp;"_"&amp;COUNTIF($G$3:G1512,G1512)</f>
        <v>#N/A</v>
      </c>
      <c r="C1512" s="193">
        <v>2025</v>
      </c>
      <c r="D1512" s="193">
        <f>Introduction!$D$7</f>
        <v>0</v>
      </c>
      <c r="E1512" s="193">
        <f>Introduction!$D$8</f>
        <v>0</v>
      </c>
      <c r="F1512" s="193" t="s">
        <v>493</v>
      </c>
      <c r="G1512" s="193" t="s">
        <v>493</v>
      </c>
      <c r="H1512" s="194"/>
      <c r="I1512" s="194"/>
      <c r="J1512" s="196" t="str">
        <f>'Supply chain'!B309</f>
        <v/>
      </c>
      <c r="K1512" s="194"/>
      <c r="L1512" s="194"/>
      <c r="M1512" s="196" t="str">
        <f>'Supply chain'!C309</f>
        <v/>
      </c>
      <c r="N1512" s="196">
        <f>'Supply chain'!D309</f>
        <v>0</v>
      </c>
      <c r="O1512" s="194"/>
      <c r="P1512" s="196" t="str">
        <f>'Supply chain'!E309</f>
        <v>Tier 2</v>
      </c>
      <c r="Q1512" s="196">
        <f>'Supply chain'!F309</f>
        <v>0</v>
      </c>
      <c r="R1512" s="196">
        <f>'Supply chain'!G309</f>
        <v>0</v>
      </c>
      <c r="S1512" s="196" t="str">
        <f>'Supply chain'!H309</f>
        <v>£</v>
      </c>
      <c r="T1512" s="196">
        <f>'Supply chain'!I309</f>
        <v>0</v>
      </c>
      <c r="U1512" s="196" t="str">
        <f>'Supply chain'!J309</f>
        <v>£</v>
      </c>
      <c r="V1512" s="196" t="str">
        <f>'Supply chain'!K309</f>
        <v/>
      </c>
      <c r="W1512" s="196">
        <f>'Supply chain'!L309</f>
        <v>0</v>
      </c>
      <c r="X1512" s="193">
        <f>'Supply chain'!M309</f>
        <v>0</v>
      </c>
      <c r="Y1512" s="196">
        <f>'Supply chain'!N309</f>
        <v>0</v>
      </c>
      <c r="Z1512" s="196">
        <f>'Supply chain'!O309</f>
        <v>0</v>
      </c>
      <c r="AA1512" s="196">
        <f>'Supply chain'!P309</f>
        <v>0</v>
      </c>
      <c r="AB1512" s="196">
        <f>'Supply chain'!Q309</f>
        <v>0</v>
      </c>
      <c r="AC1512" s="196">
        <f>'Supply chain'!R309</f>
        <v>0</v>
      </c>
      <c r="AD1512" s="196">
        <f>'Supply chain'!S309</f>
        <v>0</v>
      </c>
      <c r="AE1512" s="196" t="str">
        <f>'Supply chain'!T309</f>
        <v/>
      </c>
      <c r="AF1512" s="196" t="str">
        <f>'Supply chain'!U309</f>
        <v/>
      </c>
      <c r="AG1512" s="196">
        <f>'Supply chain'!V309</f>
        <v>0</v>
      </c>
      <c r="AI1512" s="193">
        <f t="shared" si="34"/>
        <v>0</v>
      </c>
      <c r="AJ1512" s="193">
        <f t="shared" si="35"/>
        <v>0</v>
      </c>
    </row>
    <row r="1513" spans="2:36" x14ac:dyDescent="0.35">
      <c r="B1513" s="193" t="e">
        <f>"2024"&amp;MATCH(Totals!D1513,OrgType,0)&amp;"_"&amp;MATCH(Totals!E1513,Organisations,0)&amp;"_"&amp;LEFT(Totals!F1513,1)&amp;"_"&amp;LEFT(G1513,1)&amp;"_"&amp;COUNTIF($G$3:G1513,G1513)</f>
        <v>#N/A</v>
      </c>
      <c r="C1513" s="193">
        <v>2025</v>
      </c>
      <c r="D1513" s="193">
        <f>Introduction!$D$7</f>
        <v>0</v>
      </c>
      <c r="E1513" s="193">
        <f>Introduction!$D$8</f>
        <v>0</v>
      </c>
      <c r="F1513" s="193" t="s">
        <v>493</v>
      </c>
      <c r="G1513" s="193" t="s">
        <v>493</v>
      </c>
      <c r="H1513" s="194"/>
      <c r="I1513" s="194"/>
      <c r="J1513" s="196" t="str">
        <f>'Supply chain'!B310</f>
        <v/>
      </c>
      <c r="K1513" s="194"/>
      <c r="L1513" s="194"/>
      <c r="M1513" s="196" t="str">
        <f>'Supply chain'!C310</f>
        <v/>
      </c>
      <c r="N1513" s="196">
        <f>'Supply chain'!D310</f>
        <v>0</v>
      </c>
      <c r="O1513" s="194"/>
      <c r="P1513" s="196" t="str">
        <f>'Supply chain'!E310</f>
        <v>Tier 2</v>
      </c>
      <c r="Q1513" s="196">
        <f>'Supply chain'!F310</f>
        <v>0</v>
      </c>
      <c r="R1513" s="196">
        <f>'Supply chain'!G310</f>
        <v>0</v>
      </c>
      <c r="S1513" s="196" t="str">
        <f>'Supply chain'!H310</f>
        <v>£</v>
      </c>
      <c r="T1513" s="196">
        <f>'Supply chain'!I310</f>
        <v>0</v>
      </c>
      <c r="U1513" s="196" t="str">
        <f>'Supply chain'!J310</f>
        <v>£</v>
      </c>
      <c r="V1513" s="196" t="str">
        <f>'Supply chain'!K310</f>
        <v/>
      </c>
      <c r="W1513" s="196">
        <f>'Supply chain'!L310</f>
        <v>0</v>
      </c>
      <c r="X1513" s="193">
        <f>'Supply chain'!M310</f>
        <v>0</v>
      </c>
      <c r="Y1513" s="196">
        <f>'Supply chain'!N310</f>
        <v>0</v>
      </c>
      <c r="Z1513" s="196">
        <f>'Supply chain'!O310</f>
        <v>0</v>
      </c>
      <c r="AA1513" s="196">
        <f>'Supply chain'!P310</f>
        <v>0</v>
      </c>
      <c r="AB1513" s="196">
        <f>'Supply chain'!Q310</f>
        <v>0</v>
      </c>
      <c r="AC1513" s="196">
        <f>'Supply chain'!R310</f>
        <v>0</v>
      </c>
      <c r="AD1513" s="196">
        <f>'Supply chain'!S310</f>
        <v>0</v>
      </c>
      <c r="AE1513" s="196" t="str">
        <f>'Supply chain'!T310</f>
        <v/>
      </c>
      <c r="AF1513" s="196" t="str">
        <f>'Supply chain'!U310</f>
        <v/>
      </c>
      <c r="AG1513" s="196">
        <f>'Supply chain'!V310</f>
        <v>0</v>
      </c>
      <c r="AI1513" s="193">
        <f t="shared" si="34"/>
        <v>0</v>
      </c>
      <c r="AJ1513" s="193">
        <f t="shared" si="35"/>
        <v>0</v>
      </c>
    </row>
    <row r="1514" spans="2:36" x14ac:dyDescent="0.35">
      <c r="B1514" s="193" t="e">
        <f>"2024"&amp;MATCH(Totals!D1514,OrgType,0)&amp;"_"&amp;MATCH(Totals!E1514,Organisations,0)&amp;"_"&amp;LEFT(Totals!F1514,1)&amp;"_"&amp;LEFT(G1514,1)&amp;"_"&amp;COUNTIF($G$3:G1514,G1514)</f>
        <v>#N/A</v>
      </c>
      <c r="C1514" s="193">
        <v>2025</v>
      </c>
      <c r="D1514" s="193">
        <f>Introduction!$D$7</f>
        <v>0</v>
      </c>
      <c r="E1514" s="193">
        <f>Introduction!$D$8</f>
        <v>0</v>
      </c>
      <c r="F1514" s="193" t="s">
        <v>493</v>
      </c>
      <c r="G1514" s="193" t="s">
        <v>493</v>
      </c>
      <c r="H1514" s="194"/>
      <c r="I1514" s="194"/>
      <c r="J1514" s="196" t="str">
        <f>'Supply chain'!B311</f>
        <v/>
      </c>
      <c r="K1514" s="194"/>
      <c r="L1514" s="194"/>
      <c r="M1514" s="196" t="str">
        <f>'Supply chain'!C311</f>
        <v/>
      </c>
      <c r="N1514" s="196">
        <f>'Supply chain'!D311</f>
        <v>0</v>
      </c>
      <c r="O1514" s="194"/>
      <c r="P1514" s="196" t="str">
        <f>'Supply chain'!E311</f>
        <v>Tier 2</v>
      </c>
      <c r="Q1514" s="196">
        <f>'Supply chain'!F311</f>
        <v>0</v>
      </c>
      <c r="R1514" s="196">
        <f>'Supply chain'!G311</f>
        <v>0</v>
      </c>
      <c r="S1514" s="196" t="str">
        <f>'Supply chain'!H311</f>
        <v>£</v>
      </c>
      <c r="T1514" s="196">
        <f>'Supply chain'!I311</f>
        <v>0</v>
      </c>
      <c r="U1514" s="196" t="str">
        <f>'Supply chain'!J311</f>
        <v>£</v>
      </c>
      <c r="V1514" s="196" t="str">
        <f>'Supply chain'!K311</f>
        <v/>
      </c>
      <c r="W1514" s="196">
        <f>'Supply chain'!L311</f>
        <v>0</v>
      </c>
      <c r="X1514" s="193">
        <f>'Supply chain'!M311</f>
        <v>0</v>
      </c>
      <c r="Y1514" s="196">
        <f>'Supply chain'!N311</f>
        <v>0</v>
      </c>
      <c r="Z1514" s="196">
        <f>'Supply chain'!O311</f>
        <v>0</v>
      </c>
      <c r="AA1514" s="196">
        <f>'Supply chain'!P311</f>
        <v>0</v>
      </c>
      <c r="AB1514" s="196">
        <f>'Supply chain'!Q311</f>
        <v>0</v>
      </c>
      <c r="AC1514" s="196">
        <f>'Supply chain'!R311</f>
        <v>0</v>
      </c>
      <c r="AD1514" s="196">
        <f>'Supply chain'!S311</f>
        <v>0</v>
      </c>
      <c r="AE1514" s="196" t="str">
        <f>'Supply chain'!T311</f>
        <v/>
      </c>
      <c r="AF1514" s="196" t="str">
        <f>'Supply chain'!U311</f>
        <v/>
      </c>
      <c r="AG1514" s="196">
        <f>'Supply chain'!V311</f>
        <v>0</v>
      </c>
      <c r="AI1514" s="193">
        <f t="shared" si="34"/>
        <v>0</v>
      </c>
      <c r="AJ1514" s="193">
        <f t="shared" si="35"/>
        <v>0</v>
      </c>
    </row>
    <row r="1515" spans="2:36" x14ac:dyDescent="0.35">
      <c r="B1515" s="193" t="e">
        <f>"2024"&amp;MATCH(Totals!D1515,OrgType,0)&amp;"_"&amp;MATCH(Totals!E1515,Organisations,0)&amp;"_"&amp;LEFT(Totals!F1515,1)&amp;"_"&amp;LEFT(G1515,1)&amp;"_"&amp;COUNTIF($G$3:G1515,G1515)</f>
        <v>#N/A</v>
      </c>
      <c r="C1515" s="193">
        <v>2025</v>
      </c>
      <c r="D1515" s="193">
        <f>Introduction!$D$7</f>
        <v>0</v>
      </c>
      <c r="E1515" s="193">
        <f>Introduction!$D$8</f>
        <v>0</v>
      </c>
      <c r="F1515" s="193" t="s">
        <v>493</v>
      </c>
      <c r="G1515" s="193" t="s">
        <v>493</v>
      </c>
      <c r="H1515" s="194"/>
      <c r="I1515" s="194"/>
      <c r="J1515" s="196" t="str">
        <f>'Supply chain'!B312</f>
        <v/>
      </c>
      <c r="K1515" s="194"/>
      <c r="L1515" s="194"/>
      <c r="M1515" s="196" t="str">
        <f>'Supply chain'!C312</f>
        <v/>
      </c>
      <c r="N1515" s="196">
        <f>'Supply chain'!D312</f>
        <v>0</v>
      </c>
      <c r="O1515" s="194"/>
      <c r="P1515" s="196" t="str">
        <f>'Supply chain'!E312</f>
        <v>Tier 2</v>
      </c>
      <c r="Q1515" s="196">
        <f>'Supply chain'!F312</f>
        <v>0</v>
      </c>
      <c r="R1515" s="196">
        <f>'Supply chain'!G312</f>
        <v>0</v>
      </c>
      <c r="S1515" s="196" t="str">
        <f>'Supply chain'!H312</f>
        <v>£</v>
      </c>
      <c r="T1515" s="196">
        <f>'Supply chain'!I312</f>
        <v>0</v>
      </c>
      <c r="U1515" s="196" t="str">
        <f>'Supply chain'!J312</f>
        <v>£</v>
      </c>
      <c r="V1515" s="196" t="str">
        <f>'Supply chain'!K312</f>
        <v/>
      </c>
      <c r="W1515" s="196">
        <f>'Supply chain'!L312</f>
        <v>0</v>
      </c>
      <c r="X1515" s="193">
        <f>'Supply chain'!M312</f>
        <v>0</v>
      </c>
      <c r="Y1515" s="196">
        <f>'Supply chain'!N312</f>
        <v>0</v>
      </c>
      <c r="Z1515" s="196">
        <f>'Supply chain'!O312</f>
        <v>0</v>
      </c>
      <c r="AA1515" s="196">
        <f>'Supply chain'!P312</f>
        <v>0</v>
      </c>
      <c r="AB1515" s="196">
        <f>'Supply chain'!Q312</f>
        <v>0</v>
      </c>
      <c r="AC1515" s="196">
        <f>'Supply chain'!R312</f>
        <v>0</v>
      </c>
      <c r="AD1515" s="196">
        <f>'Supply chain'!S312</f>
        <v>0</v>
      </c>
      <c r="AE1515" s="196" t="str">
        <f>'Supply chain'!T312</f>
        <v/>
      </c>
      <c r="AF1515" s="196" t="str">
        <f>'Supply chain'!U312</f>
        <v/>
      </c>
      <c r="AG1515" s="196">
        <f>'Supply chain'!V312</f>
        <v>0</v>
      </c>
      <c r="AI1515" s="193">
        <f t="shared" si="34"/>
        <v>0</v>
      </c>
      <c r="AJ1515" s="193">
        <f t="shared" si="35"/>
        <v>0</v>
      </c>
    </row>
    <row r="1516" spans="2:36" x14ac:dyDescent="0.35">
      <c r="B1516" s="193" t="e">
        <f>"2024"&amp;MATCH(Totals!D1516,OrgType,0)&amp;"_"&amp;MATCH(Totals!E1516,Organisations,0)&amp;"_"&amp;LEFT(Totals!F1516,1)&amp;"_"&amp;LEFT(G1516,1)&amp;"_"&amp;COUNTIF($G$3:G1516,G1516)</f>
        <v>#N/A</v>
      </c>
      <c r="C1516" s="193">
        <v>2025</v>
      </c>
      <c r="D1516" s="193">
        <f>Introduction!$D$7</f>
        <v>0</v>
      </c>
      <c r="E1516" s="193">
        <f>Introduction!$D$8</f>
        <v>0</v>
      </c>
      <c r="F1516" s="193" t="s">
        <v>113</v>
      </c>
      <c r="G1516" s="193" t="s">
        <v>494</v>
      </c>
      <c r="H1516" s="194"/>
      <c r="I1516" s="194"/>
      <c r="J1516" s="193">
        <f>Waste!B8</f>
        <v>0</v>
      </c>
      <c r="K1516" s="194"/>
      <c r="L1516" s="194"/>
      <c r="M1516" s="193">
        <f>Waste!C8</f>
        <v>0</v>
      </c>
      <c r="N1516" s="193">
        <f>Waste!D8</f>
        <v>0</v>
      </c>
      <c r="O1516" s="194"/>
      <c r="P1516" s="193">
        <f>Waste!E8</f>
        <v>0</v>
      </c>
      <c r="Q1516" s="193" t="str">
        <f>Waste!F8</f>
        <v/>
      </c>
      <c r="R1516" s="193">
        <f>Waste!G8</f>
        <v>0</v>
      </c>
      <c r="S1516" s="193">
        <f>Waste!H8</f>
        <v>0</v>
      </c>
      <c r="T1516" s="193" t="str">
        <f>Waste!I8</f>
        <v/>
      </c>
      <c r="U1516" s="193" t="str">
        <f>Waste!J8</f>
        <v/>
      </c>
      <c r="V1516" s="193" t="str">
        <f>Waste!K8</f>
        <v/>
      </c>
      <c r="W1516" s="193" t="str">
        <f>Waste!L8</f>
        <v/>
      </c>
      <c r="X1516" s="193">
        <f>Waste!M8</f>
        <v>0</v>
      </c>
      <c r="Y1516" s="193">
        <f>Waste!N8</f>
        <v>0</v>
      </c>
      <c r="Z1516" s="193" t="str">
        <f>Waste!O8</f>
        <v/>
      </c>
      <c r="AA1516" s="193" t="str">
        <f>Waste!P8</f>
        <v/>
      </c>
      <c r="AB1516" s="193" t="str">
        <f>Waste!Q8</f>
        <v/>
      </c>
      <c r="AC1516" s="193" t="str">
        <f>Waste!R8</f>
        <v/>
      </c>
      <c r="AD1516" s="193" t="str">
        <f>Waste!S8</f>
        <v/>
      </c>
      <c r="AE1516" s="193" t="str">
        <f>Waste!T8</f>
        <v/>
      </c>
      <c r="AF1516" s="193" t="str">
        <f>Waste!U8</f>
        <v/>
      </c>
      <c r="AG1516" s="193" t="str">
        <f>Waste!V8</f>
        <v/>
      </c>
      <c r="AI1516" s="193">
        <f t="shared" si="30"/>
        <v>0</v>
      </c>
      <c r="AJ1516" s="193">
        <f t="shared" si="31"/>
        <v>0</v>
      </c>
    </row>
    <row r="1517" spans="2:36" x14ac:dyDescent="0.35">
      <c r="B1517" s="193" t="e">
        <f>"2024"&amp;MATCH(Totals!D1517,OrgType,0)&amp;"_"&amp;MATCH(Totals!E1517,Organisations,0)&amp;"_"&amp;LEFT(Totals!F1517,1)&amp;"_"&amp;LEFT(G1517,1)&amp;"_"&amp;COUNTIF($G$3:G1517,G1517)</f>
        <v>#N/A</v>
      </c>
      <c r="C1517" s="193">
        <v>2025</v>
      </c>
      <c r="D1517" s="193">
        <f>Introduction!$D$7</f>
        <v>0</v>
      </c>
      <c r="E1517" s="193">
        <f>Introduction!$D$8</f>
        <v>0</v>
      </c>
      <c r="F1517" s="193" t="s">
        <v>113</v>
      </c>
      <c r="G1517" s="193" t="s">
        <v>494</v>
      </c>
      <c r="H1517" s="194"/>
      <c r="I1517" s="194"/>
      <c r="J1517" s="193">
        <f>Waste!B9</f>
        <v>0</v>
      </c>
      <c r="K1517" s="194"/>
      <c r="L1517" s="194"/>
      <c r="M1517" s="193">
        <f>Waste!C9</f>
        <v>0</v>
      </c>
      <c r="N1517" s="193">
        <f>Waste!D9</f>
        <v>0</v>
      </c>
      <c r="O1517" s="194"/>
      <c r="P1517" s="193">
        <f>Waste!E9</f>
        <v>0</v>
      </c>
      <c r="Q1517" s="193" t="str">
        <f>Waste!F9</f>
        <v/>
      </c>
      <c r="R1517" s="193">
        <f>Waste!G9</f>
        <v>0</v>
      </c>
      <c r="S1517" s="193">
        <f>Waste!H9</f>
        <v>0</v>
      </c>
      <c r="T1517" s="193" t="str">
        <f>Waste!I9</f>
        <v/>
      </c>
      <c r="U1517" s="193" t="str">
        <f>Waste!J9</f>
        <v/>
      </c>
      <c r="V1517" s="193" t="str">
        <f>Waste!K9</f>
        <v/>
      </c>
      <c r="W1517" s="193" t="str">
        <f>Waste!L9</f>
        <v/>
      </c>
      <c r="X1517" s="193">
        <f>Waste!M9</f>
        <v>0</v>
      </c>
      <c r="Y1517" s="193">
        <f>Waste!N9</f>
        <v>0</v>
      </c>
      <c r="Z1517" s="193" t="str">
        <f>Waste!O9</f>
        <v/>
      </c>
      <c r="AA1517" s="193" t="str">
        <f>Waste!P9</f>
        <v/>
      </c>
      <c r="AB1517" s="193" t="str">
        <f>Waste!Q9</f>
        <v/>
      </c>
      <c r="AC1517" s="193" t="str">
        <f>Waste!R9</f>
        <v/>
      </c>
      <c r="AD1517" s="193" t="str">
        <f>Waste!S9</f>
        <v/>
      </c>
      <c r="AE1517" s="193" t="str">
        <f>Waste!T9</f>
        <v/>
      </c>
      <c r="AF1517" s="193" t="str">
        <f>Waste!U9</f>
        <v/>
      </c>
      <c r="AG1517" s="193" t="str">
        <f>Waste!V9</f>
        <v/>
      </c>
      <c r="AI1517" s="193">
        <f t="shared" si="30"/>
        <v>0</v>
      </c>
      <c r="AJ1517" s="193">
        <f t="shared" si="31"/>
        <v>0</v>
      </c>
    </row>
    <row r="1518" spans="2:36" x14ac:dyDescent="0.35">
      <c r="B1518" s="193" t="e">
        <f>"2024"&amp;MATCH(Totals!D1518,OrgType,0)&amp;"_"&amp;MATCH(Totals!E1518,Organisations,0)&amp;"_"&amp;LEFT(Totals!F1518,1)&amp;"_"&amp;LEFT(G1518,1)&amp;"_"&amp;COUNTIF($G$3:G1518,G1518)</f>
        <v>#N/A</v>
      </c>
      <c r="C1518" s="193">
        <v>2025</v>
      </c>
      <c r="D1518" s="193">
        <f>Introduction!$D$7</f>
        <v>0</v>
      </c>
      <c r="E1518" s="193">
        <f>Introduction!$D$8</f>
        <v>0</v>
      </c>
      <c r="F1518" s="193" t="s">
        <v>113</v>
      </c>
      <c r="G1518" s="193" t="s">
        <v>494</v>
      </c>
      <c r="H1518" s="194"/>
      <c r="I1518" s="194"/>
      <c r="J1518" s="193">
        <f>Waste!B10</f>
        <v>0</v>
      </c>
      <c r="K1518" s="194"/>
      <c r="L1518" s="194"/>
      <c r="M1518" s="193">
        <f>Waste!C10</f>
        <v>0</v>
      </c>
      <c r="N1518" s="193">
        <f>Waste!D10</f>
        <v>0</v>
      </c>
      <c r="O1518" s="194"/>
      <c r="P1518" s="193">
        <f>Waste!E10</f>
        <v>0</v>
      </c>
      <c r="Q1518" s="193" t="str">
        <f>Waste!F10</f>
        <v/>
      </c>
      <c r="R1518" s="193">
        <f>Waste!G10</f>
        <v>0</v>
      </c>
      <c r="S1518" s="193">
        <f>Waste!H10</f>
        <v>0</v>
      </c>
      <c r="T1518" s="193" t="str">
        <f>Waste!I10</f>
        <v/>
      </c>
      <c r="U1518" s="193" t="str">
        <f>Waste!J10</f>
        <v/>
      </c>
      <c r="V1518" s="193" t="str">
        <f>Waste!K10</f>
        <v/>
      </c>
      <c r="W1518" s="193" t="str">
        <f>Waste!L10</f>
        <v/>
      </c>
      <c r="X1518" s="193">
        <f>Waste!M10</f>
        <v>0</v>
      </c>
      <c r="Y1518" s="193">
        <f>Waste!N10</f>
        <v>0</v>
      </c>
      <c r="Z1518" s="193" t="str">
        <f>Waste!O10</f>
        <v/>
      </c>
      <c r="AA1518" s="193" t="str">
        <f>Waste!P10</f>
        <v/>
      </c>
      <c r="AB1518" s="193" t="str">
        <f>Waste!Q10</f>
        <v/>
      </c>
      <c r="AC1518" s="193" t="str">
        <f>Waste!R10</f>
        <v/>
      </c>
      <c r="AD1518" s="193" t="str">
        <f>Waste!S10</f>
        <v/>
      </c>
      <c r="AE1518" s="193" t="str">
        <f>Waste!T10</f>
        <v/>
      </c>
      <c r="AF1518" s="193" t="str">
        <f>Waste!U10</f>
        <v/>
      </c>
      <c r="AG1518" s="193" t="str">
        <f>Waste!V10</f>
        <v/>
      </c>
      <c r="AI1518" s="193">
        <f t="shared" si="30"/>
        <v>0</v>
      </c>
      <c r="AJ1518" s="193">
        <f t="shared" si="31"/>
        <v>0</v>
      </c>
    </row>
    <row r="1519" spans="2:36" x14ac:dyDescent="0.35">
      <c r="B1519" s="193" t="e">
        <f>"2024"&amp;MATCH(Totals!D1519,OrgType,0)&amp;"_"&amp;MATCH(Totals!E1519,Organisations,0)&amp;"_"&amp;LEFT(Totals!F1519,1)&amp;"_"&amp;LEFT(G1519,1)&amp;"_"&amp;COUNTIF($G$3:G1519,G1519)</f>
        <v>#N/A</v>
      </c>
      <c r="C1519" s="193">
        <v>2025</v>
      </c>
      <c r="D1519" s="193">
        <f>Introduction!$D$7</f>
        <v>0</v>
      </c>
      <c r="E1519" s="193">
        <f>Introduction!$D$8</f>
        <v>0</v>
      </c>
      <c r="F1519" s="193" t="s">
        <v>113</v>
      </c>
      <c r="G1519" s="193" t="s">
        <v>494</v>
      </c>
      <c r="H1519" s="194"/>
      <c r="I1519" s="194"/>
      <c r="J1519" s="193">
        <f>Waste!B11</f>
        <v>0</v>
      </c>
      <c r="K1519" s="194"/>
      <c r="L1519" s="194"/>
      <c r="M1519" s="193">
        <f>Waste!C11</f>
        <v>0</v>
      </c>
      <c r="N1519" s="193">
        <f>Waste!D11</f>
        <v>0</v>
      </c>
      <c r="O1519" s="194"/>
      <c r="P1519" s="193">
        <f>Waste!E11</f>
        <v>0</v>
      </c>
      <c r="Q1519" s="193" t="str">
        <f>Waste!F11</f>
        <v/>
      </c>
      <c r="R1519" s="193">
        <f>Waste!G11</f>
        <v>0</v>
      </c>
      <c r="S1519" s="193">
        <f>Waste!H11</f>
        <v>0</v>
      </c>
      <c r="T1519" s="193" t="str">
        <f>Waste!I11</f>
        <v/>
      </c>
      <c r="U1519" s="193" t="str">
        <f>Waste!J11</f>
        <v/>
      </c>
      <c r="V1519" s="193" t="str">
        <f>Waste!K11</f>
        <v/>
      </c>
      <c r="W1519" s="193" t="str">
        <f>Waste!L11</f>
        <v/>
      </c>
      <c r="X1519" s="193">
        <f>Waste!M11</f>
        <v>0</v>
      </c>
      <c r="Y1519" s="193">
        <f>Waste!N11</f>
        <v>0</v>
      </c>
      <c r="Z1519" s="193" t="str">
        <f>Waste!O11</f>
        <v/>
      </c>
      <c r="AA1519" s="193" t="str">
        <f>Waste!P11</f>
        <v/>
      </c>
      <c r="AB1519" s="193" t="str">
        <f>Waste!Q11</f>
        <v/>
      </c>
      <c r="AC1519" s="193" t="str">
        <f>Waste!R11</f>
        <v/>
      </c>
      <c r="AD1519" s="193" t="str">
        <f>Waste!S11</f>
        <v/>
      </c>
      <c r="AE1519" s="193" t="str">
        <f>Waste!T11</f>
        <v/>
      </c>
      <c r="AF1519" s="193" t="str">
        <f>Waste!U11</f>
        <v/>
      </c>
      <c r="AG1519" s="193" t="str">
        <f>Waste!V11</f>
        <v/>
      </c>
      <c r="AI1519" s="193">
        <f t="shared" si="30"/>
        <v>0</v>
      </c>
      <c r="AJ1519" s="193">
        <f t="shared" si="31"/>
        <v>0</v>
      </c>
    </row>
    <row r="1520" spans="2:36" x14ac:dyDescent="0.35">
      <c r="B1520" s="193" t="e">
        <f>"2024"&amp;MATCH(Totals!D1520,OrgType,0)&amp;"_"&amp;MATCH(Totals!E1520,Organisations,0)&amp;"_"&amp;LEFT(Totals!F1520,1)&amp;"_"&amp;LEFT(G1520,1)&amp;"_"&amp;COUNTIF($G$3:G1520,G1520)</f>
        <v>#N/A</v>
      </c>
      <c r="C1520" s="193">
        <v>2025</v>
      </c>
      <c r="D1520" s="193">
        <f>Introduction!$D$7</f>
        <v>0</v>
      </c>
      <c r="E1520" s="193">
        <f>Introduction!$D$8</f>
        <v>0</v>
      </c>
      <c r="F1520" s="193" t="s">
        <v>113</v>
      </c>
      <c r="G1520" s="193" t="s">
        <v>494</v>
      </c>
      <c r="H1520" s="194"/>
      <c r="I1520" s="194"/>
      <c r="J1520" s="193">
        <f>Waste!B12</f>
        <v>0</v>
      </c>
      <c r="K1520" s="194"/>
      <c r="L1520" s="194"/>
      <c r="M1520" s="193">
        <f>Waste!C12</f>
        <v>0</v>
      </c>
      <c r="N1520" s="193">
        <f>Waste!D12</f>
        <v>0</v>
      </c>
      <c r="O1520" s="194"/>
      <c r="P1520" s="193">
        <f>Waste!E12</f>
        <v>0</v>
      </c>
      <c r="Q1520" s="193" t="str">
        <f>Waste!F12</f>
        <v/>
      </c>
      <c r="R1520" s="193">
        <f>Waste!G12</f>
        <v>0</v>
      </c>
      <c r="S1520" s="193">
        <f>Waste!H12</f>
        <v>0</v>
      </c>
      <c r="T1520" s="193" t="str">
        <f>Waste!I12</f>
        <v/>
      </c>
      <c r="U1520" s="193" t="str">
        <f>Waste!J12</f>
        <v/>
      </c>
      <c r="V1520" s="193" t="str">
        <f>Waste!K12</f>
        <v/>
      </c>
      <c r="W1520" s="193" t="str">
        <f>Waste!L12</f>
        <v/>
      </c>
      <c r="X1520" s="193">
        <f>Waste!M12</f>
        <v>0</v>
      </c>
      <c r="Y1520" s="193">
        <f>Waste!N12</f>
        <v>0</v>
      </c>
      <c r="Z1520" s="193" t="str">
        <f>Waste!O12</f>
        <v/>
      </c>
      <c r="AA1520" s="193" t="str">
        <f>Waste!P12</f>
        <v/>
      </c>
      <c r="AB1520" s="193" t="str">
        <f>Waste!Q12</f>
        <v/>
      </c>
      <c r="AC1520" s="193" t="str">
        <f>Waste!R12</f>
        <v/>
      </c>
      <c r="AD1520" s="193" t="str">
        <f>Waste!S12</f>
        <v/>
      </c>
      <c r="AE1520" s="193" t="str">
        <f>Waste!T12</f>
        <v/>
      </c>
      <c r="AF1520" s="193" t="str">
        <f>Waste!U12</f>
        <v/>
      </c>
      <c r="AG1520" s="193" t="str">
        <f>Waste!V12</f>
        <v/>
      </c>
      <c r="AI1520" s="193">
        <f t="shared" si="30"/>
        <v>0</v>
      </c>
      <c r="AJ1520" s="193">
        <f t="shared" si="31"/>
        <v>0</v>
      </c>
    </row>
    <row r="1521" spans="2:36" x14ac:dyDescent="0.35">
      <c r="B1521" s="193" t="e">
        <f>"2024"&amp;MATCH(Totals!D1521,OrgType,0)&amp;"_"&amp;MATCH(Totals!E1521,Organisations,0)&amp;"_"&amp;LEFT(Totals!F1521,1)&amp;"_"&amp;LEFT(G1521,1)&amp;"_"&amp;COUNTIF($G$3:G1521,G1521)</f>
        <v>#N/A</v>
      </c>
      <c r="C1521" s="193">
        <v>2025</v>
      </c>
      <c r="D1521" s="193">
        <f>Introduction!$D$7</f>
        <v>0</v>
      </c>
      <c r="E1521" s="193">
        <f>Introduction!$D$8</f>
        <v>0</v>
      </c>
      <c r="F1521" s="193" t="s">
        <v>113</v>
      </c>
      <c r="G1521" s="193" t="s">
        <v>494</v>
      </c>
      <c r="H1521" s="194"/>
      <c r="I1521" s="194"/>
      <c r="J1521" s="193">
        <f>Waste!B13</f>
        <v>0</v>
      </c>
      <c r="K1521" s="194"/>
      <c r="L1521" s="194"/>
      <c r="M1521" s="193">
        <f>Waste!C13</f>
        <v>0</v>
      </c>
      <c r="N1521" s="193">
        <f>Waste!D13</f>
        <v>0</v>
      </c>
      <c r="O1521" s="194"/>
      <c r="P1521" s="193">
        <f>Waste!E13</f>
        <v>0</v>
      </c>
      <c r="Q1521" s="193" t="str">
        <f>Waste!F13</f>
        <v/>
      </c>
      <c r="R1521" s="193">
        <f>Waste!G13</f>
        <v>0</v>
      </c>
      <c r="S1521" s="193">
        <f>Waste!H13</f>
        <v>0</v>
      </c>
      <c r="T1521" s="193" t="str">
        <f>Waste!I13</f>
        <v/>
      </c>
      <c r="U1521" s="193" t="str">
        <f>Waste!J13</f>
        <v/>
      </c>
      <c r="V1521" s="193" t="str">
        <f>Waste!K13</f>
        <v/>
      </c>
      <c r="W1521" s="193" t="str">
        <f>Waste!L13</f>
        <v/>
      </c>
      <c r="X1521" s="193">
        <f>Waste!M13</f>
        <v>0</v>
      </c>
      <c r="Y1521" s="193">
        <f>Waste!N13</f>
        <v>0</v>
      </c>
      <c r="Z1521" s="193" t="str">
        <f>Waste!O13</f>
        <v/>
      </c>
      <c r="AA1521" s="193" t="str">
        <f>Waste!P13</f>
        <v/>
      </c>
      <c r="AB1521" s="193" t="str">
        <f>Waste!Q13</f>
        <v/>
      </c>
      <c r="AC1521" s="193" t="str">
        <f>Waste!R13</f>
        <v/>
      </c>
      <c r="AD1521" s="193" t="str">
        <f>Waste!S13</f>
        <v/>
      </c>
      <c r="AE1521" s="193" t="str">
        <f>Waste!T13</f>
        <v/>
      </c>
      <c r="AF1521" s="193" t="str">
        <f>Waste!U13</f>
        <v/>
      </c>
      <c r="AG1521" s="193" t="str">
        <f>Waste!V13</f>
        <v/>
      </c>
      <c r="AI1521" s="193">
        <f t="shared" si="30"/>
        <v>0</v>
      </c>
      <c r="AJ1521" s="193">
        <f t="shared" si="31"/>
        <v>0</v>
      </c>
    </row>
    <row r="1522" spans="2:36" x14ac:dyDescent="0.35">
      <c r="B1522" s="193" t="e">
        <f>"2024"&amp;MATCH(Totals!D1522,OrgType,0)&amp;"_"&amp;MATCH(Totals!E1522,Organisations,0)&amp;"_"&amp;LEFT(Totals!F1522,1)&amp;"_"&amp;LEFT(G1522,1)&amp;"_"&amp;COUNTIF($G$3:G1522,G1522)</f>
        <v>#N/A</v>
      </c>
      <c r="C1522" s="193">
        <v>2025</v>
      </c>
      <c r="D1522" s="193">
        <f>Introduction!$D$7</f>
        <v>0</v>
      </c>
      <c r="E1522" s="193">
        <f>Introduction!$D$8</f>
        <v>0</v>
      </c>
      <c r="F1522" s="193" t="s">
        <v>113</v>
      </c>
      <c r="G1522" s="193" t="s">
        <v>494</v>
      </c>
      <c r="H1522" s="194"/>
      <c r="I1522" s="194"/>
      <c r="J1522" s="193">
        <f>Waste!B14</f>
        <v>0</v>
      </c>
      <c r="K1522" s="194"/>
      <c r="L1522" s="194"/>
      <c r="M1522" s="193">
        <f>Waste!C14</f>
        <v>0</v>
      </c>
      <c r="N1522" s="193">
        <f>Waste!D14</f>
        <v>0</v>
      </c>
      <c r="O1522" s="194"/>
      <c r="P1522" s="193">
        <f>Waste!E14</f>
        <v>0</v>
      </c>
      <c r="Q1522" s="193" t="str">
        <f>Waste!F14</f>
        <v/>
      </c>
      <c r="R1522" s="193">
        <f>Waste!G14</f>
        <v>0</v>
      </c>
      <c r="S1522" s="193">
        <f>Waste!H14</f>
        <v>0</v>
      </c>
      <c r="T1522" s="193" t="str">
        <f>Waste!I14</f>
        <v/>
      </c>
      <c r="U1522" s="193" t="str">
        <f>Waste!J14</f>
        <v/>
      </c>
      <c r="V1522" s="193" t="str">
        <f>Waste!K14</f>
        <v/>
      </c>
      <c r="W1522" s="193" t="str">
        <f>Waste!L14</f>
        <v/>
      </c>
      <c r="X1522" s="193">
        <f>Waste!M14</f>
        <v>0</v>
      </c>
      <c r="Y1522" s="193">
        <f>Waste!N14</f>
        <v>0</v>
      </c>
      <c r="Z1522" s="193" t="str">
        <f>Waste!O14</f>
        <v/>
      </c>
      <c r="AA1522" s="193" t="str">
        <f>Waste!P14</f>
        <v/>
      </c>
      <c r="AB1522" s="193" t="str">
        <f>Waste!Q14</f>
        <v/>
      </c>
      <c r="AC1522" s="193" t="str">
        <f>Waste!R14</f>
        <v/>
      </c>
      <c r="AD1522" s="193" t="str">
        <f>Waste!S14</f>
        <v/>
      </c>
      <c r="AE1522" s="193" t="str">
        <f>Waste!T14</f>
        <v/>
      </c>
      <c r="AF1522" s="193" t="str">
        <f>Waste!U14</f>
        <v/>
      </c>
      <c r="AG1522" s="193" t="str">
        <f>Waste!V14</f>
        <v/>
      </c>
      <c r="AI1522" s="193">
        <f t="shared" si="30"/>
        <v>0</v>
      </c>
      <c r="AJ1522" s="193">
        <f t="shared" si="31"/>
        <v>0</v>
      </c>
    </row>
    <row r="1523" spans="2:36" x14ac:dyDescent="0.35">
      <c r="B1523" s="193" t="e">
        <f>"2024"&amp;MATCH(Totals!D1523,OrgType,0)&amp;"_"&amp;MATCH(Totals!E1523,Organisations,0)&amp;"_"&amp;LEFT(Totals!F1523,1)&amp;"_"&amp;LEFT(G1523,1)&amp;"_"&amp;COUNTIF($G$3:G1523,G1523)</f>
        <v>#N/A</v>
      </c>
      <c r="C1523" s="193">
        <v>2025</v>
      </c>
      <c r="D1523" s="193">
        <f>Introduction!$D$7</f>
        <v>0</v>
      </c>
      <c r="E1523" s="193">
        <f>Introduction!$D$8</f>
        <v>0</v>
      </c>
      <c r="F1523" s="193" t="s">
        <v>113</v>
      </c>
      <c r="G1523" s="193" t="s">
        <v>494</v>
      </c>
      <c r="H1523" s="194"/>
      <c r="I1523" s="194"/>
      <c r="J1523" s="193">
        <f>Waste!B15</f>
        <v>0</v>
      </c>
      <c r="K1523" s="194"/>
      <c r="L1523" s="194"/>
      <c r="M1523" s="193">
        <f>Waste!C15</f>
        <v>0</v>
      </c>
      <c r="N1523" s="193">
        <f>Waste!D15</f>
        <v>0</v>
      </c>
      <c r="O1523" s="194"/>
      <c r="P1523" s="193">
        <f>Waste!E15</f>
        <v>0</v>
      </c>
      <c r="Q1523" s="193" t="str">
        <f>Waste!F15</f>
        <v/>
      </c>
      <c r="R1523" s="193">
        <f>Waste!G15</f>
        <v>0</v>
      </c>
      <c r="S1523" s="193">
        <f>Waste!H15</f>
        <v>0</v>
      </c>
      <c r="T1523" s="193" t="str">
        <f>Waste!I15</f>
        <v/>
      </c>
      <c r="U1523" s="193" t="str">
        <f>Waste!J15</f>
        <v/>
      </c>
      <c r="V1523" s="193" t="str">
        <f>Waste!K15</f>
        <v/>
      </c>
      <c r="W1523" s="193" t="str">
        <f>Waste!L15</f>
        <v/>
      </c>
      <c r="X1523" s="193">
        <f>Waste!M15</f>
        <v>0</v>
      </c>
      <c r="Y1523" s="193">
        <f>Waste!N15</f>
        <v>0</v>
      </c>
      <c r="Z1523" s="193" t="str">
        <f>Waste!O15</f>
        <v/>
      </c>
      <c r="AA1523" s="193" t="str">
        <f>Waste!P15</f>
        <v/>
      </c>
      <c r="AB1523" s="193" t="str">
        <f>Waste!Q15</f>
        <v/>
      </c>
      <c r="AC1523" s="193" t="str">
        <f>Waste!R15</f>
        <v/>
      </c>
      <c r="AD1523" s="193" t="str">
        <f>Waste!S15</f>
        <v/>
      </c>
      <c r="AE1523" s="193" t="str">
        <f>Waste!T15</f>
        <v/>
      </c>
      <c r="AF1523" s="193" t="str">
        <f>Waste!U15</f>
        <v/>
      </c>
      <c r="AG1523" s="193" t="str">
        <f>Waste!V15</f>
        <v/>
      </c>
      <c r="AI1523" s="193">
        <f t="shared" si="30"/>
        <v>0</v>
      </c>
      <c r="AJ1523" s="193">
        <f t="shared" si="31"/>
        <v>0</v>
      </c>
    </row>
    <row r="1524" spans="2:36" x14ac:dyDescent="0.35">
      <c r="B1524" s="193" t="e">
        <f>"2024"&amp;MATCH(Totals!D1524,OrgType,0)&amp;"_"&amp;MATCH(Totals!E1524,Organisations,0)&amp;"_"&amp;LEFT(Totals!F1524,1)&amp;"_"&amp;LEFT(G1524,1)&amp;"_"&amp;COUNTIF($G$3:G1524,G1524)</f>
        <v>#N/A</v>
      </c>
      <c r="C1524" s="193">
        <v>2025</v>
      </c>
      <c r="D1524" s="193">
        <f>Introduction!$D$7</f>
        <v>0</v>
      </c>
      <c r="E1524" s="193">
        <f>Introduction!$D$8</f>
        <v>0</v>
      </c>
      <c r="F1524" s="193" t="s">
        <v>113</v>
      </c>
      <c r="G1524" s="193" t="s">
        <v>494</v>
      </c>
      <c r="H1524" s="194"/>
      <c r="I1524" s="194"/>
      <c r="J1524" s="193">
        <f>Waste!B16</f>
        <v>0</v>
      </c>
      <c r="K1524" s="194"/>
      <c r="L1524" s="194"/>
      <c r="M1524" s="193">
        <f>Waste!C16</f>
        <v>0</v>
      </c>
      <c r="N1524" s="193">
        <f>Waste!D16</f>
        <v>0</v>
      </c>
      <c r="O1524" s="194"/>
      <c r="P1524" s="193">
        <f>Waste!E16</f>
        <v>0</v>
      </c>
      <c r="Q1524" s="193" t="str">
        <f>Waste!F16</f>
        <v/>
      </c>
      <c r="R1524" s="193">
        <f>Waste!G16</f>
        <v>0</v>
      </c>
      <c r="S1524" s="193">
        <f>Waste!H16</f>
        <v>0</v>
      </c>
      <c r="T1524" s="193" t="str">
        <f>Waste!I16</f>
        <v/>
      </c>
      <c r="U1524" s="193" t="str">
        <f>Waste!J16</f>
        <v/>
      </c>
      <c r="V1524" s="193" t="str">
        <f>Waste!K16</f>
        <v/>
      </c>
      <c r="W1524" s="193" t="str">
        <f>Waste!L16</f>
        <v/>
      </c>
      <c r="X1524" s="193">
        <f>Waste!M16</f>
        <v>0</v>
      </c>
      <c r="Y1524" s="193">
        <f>Waste!N16</f>
        <v>0</v>
      </c>
      <c r="Z1524" s="193" t="str">
        <f>Waste!O16</f>
        <v/>
      </c>
      <c r="AA1524" s="193" t="str">
        <f>Waste!P16</f>
        <v/>
      </c>
      <c r="AB1524" s="193" t="str">
        <f>Waste!Q16</f>
        <v/>
      </c>
      <c r="AC1524" s="193" t="str">
        <f>Waste!R16</f>
        <v/>
      </c>
      <c r="AD1524" s="193" t="str">
        <f>Waste!S16</f>
        <v/>
      </c>
      <c r="AE1524" s="193" t="str">
        <f>Waste!T16</f>
        <v/>
      </c>
      <c r="AF1524" s="193" t="str">
        <f>Waste!U16</f>
        <v/>
      </c>
      <c r="AG1524" s="193" t="str">
        <f>Waste!V16</f>
        <v/>
      </c>
      <c r="AI1524" s="193">
        <f t="shared" si="30"/>
        <v>0</v>
      </c>
      <c r="AJ1524" s="193">
        <f t="shared" si="31"/>
        <v>0</v>
      </c>
    </row>
    <row r="1525" spans="2:36" x14ac:dyDescent="0.35">
      <c r="B1525" s="193" t="e">
        <f>"2024"&amp;MATCH(Totals!D1525,OrgType,0)&amp;"_"&amp;MATCH(Totals!E1525,Organisations,0)&amp;"_"&amp;LEFT(Totals!F1525,1)&amp;"_"&amp;LEFT(G1525,1)&amp;"_"&amp;COUNTIF($G$3:G1525,G1525)</f>
        <v>#N/A</v>
      </c>
      <c r="C1525" s="193">
        <v>2025</v>
      </c>
      <c r="D1525" s="193">
        <f>Introduction!$D$7</f>
        <v>0</v>
      </c>
      <c r="E1525" s="193">
        <f>Introduction!$D$8</f>
        <v>0</v>
      </c>
      <c r="F1525" s="193" t="s">
        <v>113</v>
      </c>
      <c r="G1525" s="193" t="s">
        <v>494</v>
      </c>
      <c r="H1525" s="194"/>
      <c r="I1525" s="194"/>
      <c r="J1525" s="193">
        <f>Waste!B17</f>
        <v>0</v>
      </c>
      <c r="K1525" s="194"/>
      <c r="L1525" s="194"/>
      <c r="M1525" s="193">
        <f>Waste!C17</f>
        <v>0</v>
      </c>
      <c r="N1525" s="193">
        <f>Waste!D17</f>
        <v>0</v>
      </c>
      <c r="O1525" s="194"/>
      <c r="P1525" s="193">
        <f>Waste!E17</f>
        <v>0</v>
      </c>
      <c r="Q1525" s="193" t="str">
        <f>Waste!F17</f>
        <v/>
      </c>
      <c r="R1525" s="193">
        <f>Waste!G17</f>
        <v>0</v>
      </c>
      <c r="S1525" s="193">
        <f>Waste!H17</f>
        <v>0</v>
      </c>
      <c r="T1525" s="193" t="str">
        <f>Waste!I17</f>
        <v/>
      </c>
      <c r="U1525" s="193" t="str">
        <f>Waste!J17</f>
        <v/>
      </c>
      <c r="V1525" s="193" t="str">
        <f>Waste!K17</f>
        <v/>
      </c>
      <c r="W1525" s="193" t="str">
        <f>Waste!L17</f>
        <v/>
      </c>
      <c r="X1525" s="193">
        <f>Waste!M17</f>
        <v>0</v>
      </c>
      <c r="Y1525" s="193">
        <f>Waste!N17</f>
        <v>0</v>
      </c>
      <c r="Z1525" s="193" t="str">
        <f>Waste!O17</f>
        <v/>
      </c>
      <c r="AA1525" s="193" t="str">
        <f>Waste!P17</f>
        <v/>
      </c>
      <c r="AB1525" s="193" t="str">
        <f>Waste!Q17</f>
        <v/>
      </c>
      <c r="AC1525" s="193" t="str">
        <f>Waste!R17</f>
        <v/>
      </c>
      <c r="AD1525" s="193" t="str">
        <f>Waste!S17</f>
        <v/>
      </c>
      <c r="AE1525" s="193" t="str">
        <f>Waste!T17</f>
        <v/>
      </c>
      <c r="AF1525" s="193" t="str">
        <f>Waste!U17</f>
        <v/>
      </c>
      <c r="AG1525" s="193" t="str">
        <f>Waste!V17</f>
        <v/>
      </c>
      <c r="AI1525" s="193">
        <f t="shared" ref="AI1525:AI1588" si="36">IF(AND(V1525="",R1525&lt;&gt;0),1,0)</f>
        <v>0</v>
      </c>
      <c r="AJ1525" s="193">
        <f t="shared" ref="AJ1525:AJ1588" si="37">IF(AND(W1525="",R1525&lt;&gt;0),1,0)</f>
        <v>0</v>
      </c>
    </row>
    <row r="1526" spans="2:36" x14ac:dyDescent="0.35">
      <c r="B1526" s="193" t="e">
        <f>"2024"&amp;MATCH(Totals!D1526,OrgType,0)&amp;"_"&amp;MATCH(Totals!E1526,Organisations,0)&amp;"_"&amp;LEFT(Totals!F1526,1)&amp;"_"&amp;LEFT(G1526,1)&amp;"_"&amp;COUNTIF($G$3:G1526,G1526)</f>
        <v>#N/A</v>
      </c>
      <c r="C1526" s="193">
        <v>2025</v>
      </c>
      <c r="D1526" s="193">
        <f>Introduction!$D$7</f>
        <v>0</v>
      </c>
      <c r="E1526" s="193">
        <f>Introduction!$D$8</f>
        <v>0</v>
      </c>
      <c r="F1526" s="193" t="s">
        <v>113</v>
      </c>
      <c r="G1526" s="193" t="s">
        <v>494</v>
      </c>
      <c r="H1526" s="194"/>
      <c r="I1526" s="194"/>
      <c r="J1526" s="193">
        <f>Waste!B18</f>
        <v>0</v>
      </c>
      <c r="K1526" s="194"/>
      <c r="L1526" s="194"/>
      <c r="M1526" s="193">
        <f>Waste!C18</f>
        <v>0</v>
      </c>
      <c r="N1526" s="193">
        <f>Waste!D18</f>
        <v>0</v>
      </c>
      <c r="O1526" s="194"/>
      <c r="P1526" s="193">
        <f>Waste!E18</f>
        <v>0</v>
      </c>
      <c r="Q1526" s="193" t="str">
        <f>Waste!F18</f>
        <v/>
      </c>
      <c r="R1526" s="193">
        <f>Waste!G18</f>
        <v>0</v>
      </c>
      <c r="S1526" s="193">
        <f>Waste!H18</f>
        <v>0</v>
      </c>
      <c r="T1526" s="193" t="str">
        <f>Waste!I18</f>
        <v/>
      </c>
      <c r="U1526" s="193" t="str">
        <f>Waste!J18</f>
        <v/>
      </c>
      <c r="V1526" s="193" t="str">
        <f>Waste!K18</f>
        <v/>
      </c>
      <c r="W1526" s="193" t="str">
        <f>Waste!L18</f>
        <v/>
      </c>
      <c r="X1526" s="193">
        <f>Waste!M18</f>
        <v>0</v>
      </c>
      <c r="Y1526" s="193">
        <f>Waste!N18</f>
        <v>0</v>
      </c>
      <c r="Z1526" s="193" t="str">
        <f>Waste!O18</f>
        <v/>
      </c>
      <c r="AA1526" s="193" t="str">
        <f>Waste!P18</f>
        <v/>
      </c>
      <c r="AB1526" s="193" t="str">
        <f>Waste!Q18</f>
        <v/>
      </c>
      <c r="AC1526" s="193" t="str">
        <f>Waste!R18</f>
        <v/>
      </c>
      <c r="AD1526" s="193" t="str">
        <f>Waste!S18</f>
        <v/>
      </c>
      <c r="AE1526" s="193" t="str">
        <f>Waste!T18</f>
        <v/>
      </c>
      <c r="AF1526" s="193" t="str">
        <f>Waste!U18</f>
        <v/>
      </c>
      <c r="AG1526" s="193" t="str">
        <f>Waste!V18</f>
        <v/>
      </c>
      <c r="AI1526" s="193">
        <f t="shared" si="36"/>
        <v>0</v>
      </c>
      <c r="AJ1526" s="193">
        <f t="shared" si="37"/>
        <v>0</v>
      </c>
    </row>
    <row r="1527" spans="2:36" x14ac:dyDescent="0.35">
      <c r="B1527" s="193" t="e">
        <f>"2024"&amp;MATCH(Totals!D1527,OrgType,0)&amp;"_"&amp;MATCH(Totals!E1527,Organisations,0)&amp;"_"&amp;LEFT(Totals!F1527,1)&amp;"_"&amp;LEFT(G1527,1)&amp;"_"&amp;COUNTIF($G$3:G1527,G1527)</f>
        <v>#N/A</v>
      </c>
      <c r="C1527" s="193">
        <v>2025</v>
      </c>
      <c r="D1527" s="193">
        <f>Introduction!$D$7</f>
        <v>0</v>
      </c>
      <c r="E1527" s="193">
        <f>Introduction!$D$8</f>
        <v>0</v>
      </c>
      <c r="F1527" s="193" t="s">
        <v>113</v>
      </c>
      <c r="G1527" s="193" t="s">
        <v>494</v>
      </c>
      <c r="H1527" s="194"/>
      <c r="I1527" s="194"/>
      <c r="J1527" s="193">
        <f>Waste!B19</f>
        <v>0</v>
      </c>
      <c r="K1527" s="194"/>
      <c r="L1527" s="194"/>
      <c r="M1527" s="193">
        <f>Waste!C19</f>
        <v>0</v>
      </c>
      <c r="N1527" s="193">
        <f>Waste!D19</f>
        <v>0</v>
      </c>
      <c r="O1527" s="194"/>
      <c r="P1527" s="193">
        <f>Waste!E19</f>
        <v>0</v>
      </c>
      <c r="Q1527" s="193" t="str">
        <f>Waste!F19</f>
        <v/>
      </c>
      <c r="R1527" s="193">
        <f>Waste!G19</f>
        <v>0</v>
      </c>
      <c r="S1527" s="193">
        <f>Waste!H19</f>
        <v>0</v>
      </c>
      <c r="T1527" s="193" t="str">
        <f>Waste!I19</f>
        <v/>
      </c>
      <c r="U1527" s="193" t="str">
        <f>Waste!J19</f>
        <v/>
      </c>
      <c r="V1527" s="193" t="str">
        <f>Waste!K19</f>
        <v/>
      </c>
      <c r="W1527" s="193" t="str">
        <f>Waste!L19</f>
        <v/>
      </c>
      <c r="X1527" s="193">
        <f>Waste!M19</f>
        <v>0</v>
      </c>
      <c r="Y1527" s="193">
        <f>Waste!N19</f>
        <v>0</v>
      </c>
      <c r="Z1527" s="193" t="str">
        <f>Waste!O19</f>
        <v/>
      </c>
      <c r="AA1527" s="193" t="str">
        <f>Waste!P19</f>
        <v/>
      </c>
      <c r="AB1527" s="193" t="str">
        <f>Waste!Q19</f>
        <v/>
      </c>
      <c r="AC1527" s="193" t="str">
        <f>Waste!R19</f>
        <v/>
      </c>
      <c r="AD1527" s="193" t="str">
        <f>Waste!S19</f>
        <v/>
      </c>
      <c r="AE1527" s="193" t="str">
        <f>Waste!T19</f>
        <v/>
      </c>
      <c r="AF1527" s="193" t="str">
        <f>Waste!U19</f>
        <v/>
      </c>
      <c r="AG1527" s="193" t="str">
        <f>Waste!V19</f>
        <v/>
      </c>
      <c r="AI1527" s="193">
        <f t="shared" si="36"/>
        <v>0</v>
      </c>
      <c r="AJ1527" s="193">
        <f t="shared" si="37"/>
        <v>0</v>
      </c>
    </row>
    <row r="1528" spans="2:36" x14ac:dyDescent="0.35">
      <c r="B1528" s="193" t="e">
        <f>"2024"&amp;MATCH(Totals!D1528,OrgType,0)&amp;"_"&amp;MATCH(Totals!E1528,Organisations,0)&amp;"_"&amp;LEFT(Totals!F1528,1)&amp;"_"&amp;LEFT(G1528,1)&amp;"_"&amp;COUNTIF($G$3:G1528,G1528)</f>
        <v>#N/A</v>
      </c>
      <c r="C1528" s="193">
        <v>2025</v>
      </c>
      <c r="D1528" s="193">
        <f>Introduction!$D$7</f>
        <v>0</v>
      </c>
      <c r="E1528" s="193">
        <f>Introduction!$D$8</f>
        <v>0</v>
      </c>
      <c r="F1528" s="193" t="s">
        <v>113</v>
      </c>
      <c r="G1528" s="193" t="s">
        <v>494</v>
      </c>
      <c r="H1528" s="194"/>
      <c r="I1528" s="194"/>
      <c r="J1528" s="193">
        <f>Waste!B20</f>
        <v>0</v>
      </c>
      <c r="K1528" s="194"/>
      <c r="L1528" s="194"/>
      <c r="M1528" s="193">
        <f>Waste!C20</f>
        <v>0</v>
      </c>
      <c r="N1528" s="193">
        <f>Waste!D20</f>
        <v>0</v>
      </c>
      <c r="O1528" s="194"/>
      <c r="P1528" s="193">
        <f>Waste!E20</f>
        <v>0</v>
      </c>
      <c r="Q1528" s="193" t="str">
        <f>Waste!F20</f>
        <v/>
      </c>
      <c r="R1528" s="193">
        <f>Waste!G20</f>
        <v>0</v>
      </c>
      <c r="S1528" s="193">
        <f>Waste!H20</f>
        <v>0</v>
      </c>
      <c r="T1528" s="193" t="str">
        <f>Waste!I20</f>
        <v/>
      </c>
      <c r="U1528" s="193" t="str">
        <f>Waste!J20</f>
        <v/>
      </c>
      <c r="V1528" s="193" t="str">
        <f>Waste!K20</f>
        <v/>
      </c>
      <c r="W1528" s="193" t="str">
        <f>Waste!L20</f>
        <v/>
      </c>
      <c r="X1528" s="193">
        <f>Waste!M20</f>
        <v>0</v>
      </c>
      <c r="Y1528" s="193">
        <f>Waste!N20</f>
        <v>0</v>
      </c>
      <c r="Z1528" s="193" t="str">
        <f>Waste!O20</f>
        <v/>
      </c>
      <c r="AA1528" s="193" t="str">
        <f>Waste!P20</f>
        <v/>
      </c>
      <c r="AB1528" s="193" t="str">
        <f>Waste!Q20</f>
        <v/>
      </c>
      <c r="AC1528" s="193" t="str">
        <f>Waste!R20</f>
        <v/>
      </c>
      <c r="AD1528" s="193" t="str">
        <f>Waste!S20</f>
        <v/>
      </c>
      <c r="AE1528" s="193" t="str">
        <f>Waste!T20</f>
        <v/>
      </c>
      <c r="AF1528" s="193" t="str">
        <f>Waste!U20</f>
        <v/>
      </c>
      <c r="AG1528" s="193" t="str">
        <f>Waste!V20</f>
        <v/>
      </c>
      <c r="AI1528" s="193">
        <f t="shared" si="36"/>
        <v>0</v>
      </c>
      <c r="AJ1528" s="193">
        <f t="shared" si="37"/>
        <v>0</v>
      </c>
    </row>
    <row r="1529" spans="2:36" x14ac:dyDescent="0.35">
      <c r="B1529" s="193" t="e">
        <f>"2024"&amp;MATCH(Totals!D1529,OrgType,0)&amp;"_"&amp;MATCH(Totals!E1529,Organisations,0)&amp;"_"&amp;LEFT(Totals!F1529,1)&amp;"_"&amp;LEFT(G1529,1)&amp;"_"&amp;COUNTIF($G$3:G1529,G1529)</f>
        <v>#N/A</v>
      </c>
      <c r="C1529" s="193">
        <v>2025</v>
      </c>
      <c r="D1529" s="193">
        <f>Introduction!$D$7</f>
        <v>0</v>
      </c>
      <c r="E1529" s="193">
        <f>Introduction!$D$8</f>
        <v>0</v>
      </c>
      <c r="F1529" s="193" t="s">
        <v>113</v>
      </c>
      <c r="G1529" s="193" t="s">
        <v>494</v>
      </c>
      <c r="H1529" s="194"/>
      <c r="I1529" s="194"/>
      <c r="J1529" s="193">
        <f>Waste!B21</f>
        <v>0</v>
      </c>
      <c r="K1529" s="194"/>
      <c r="L1529" s="194"/>
      <c r="M1529" s="193">
        <f>Waste!C21</f>
        <v>0</v>
      </c>
      <c r="N1529" s="193">
        <f>Waste!D21</f>
        <v>0</v>
      </c>
      <c r="O1529" s="194"/>
      <c r="P1529" s="193">
        <f>Waste!E21</f>
        <v>0</v>
      </c>
      <c r="Q1529" s="193" t="str">
        <f>Waste!F21</f>
        <v/>
      </c>
      <c r="R1529" s="193">
        <f>Waste!G21</f>
        <v>0</v>
      </c>
      <c r="S1529" s="193">
        <f>Waste!H21</f>
        <v>0</v>
      </c>
      <c r="T1529" s="193" t="str">
        <f>Waste!I21</f>
        <v/>
      </c>
      <c r="U1529" s="193" t="str">
        <f>Waste!J21</f>
        <v/>
      </c>
      <c r="V1529" s="193" t="str">
        <f>Waste!K21</f>
        <v/>
      </c>
      <c r="W1529" s="193" t="str">
        <f>Waste!L21</f>
        <v/>
      </c>
      <c r="X1529" s="193">
        <f>Waste!M21</f>
        <v>0</v>
      </c>
      <c r="Y1529" s="193">
        <f>Waste!N21</f>
        <v>0</v>
      </c>
      <c r="Z1529" s="193" t="str">
        <f>Waste!O21</f>
        <v/>
      </c>
      <c r="AA1529" s="193" t="str">
        <f>Waste!P21</f>
        <v/>
      </c>
      <c r="AB1529" s="193" t="str">
        <f>Waste!Q21</f>
        <v/>
      </c>
      <c r="AC1529" s="193" t="str">
        <f>Waste!R21</f>
        <v/>
      </c>
      <c r="AD1529" s="193" t="str">
        <f>Waste!S21</f>
        <v/>
      </c>
      <c r="AE1529" s="193" t="str">
        <f>Waste!T21</f>
        <v/>
      </c>
      <c r="AF1529" s="193" t="str">
        <f>Waste!U21</f>
        <v/>
      </c>
      <c r="AG1529" s="193" t="str">
        <f>Waste!V21</f>
        <v/>
      </c>
      <c r="AI1529" s="193">
        <f t="shared" si="36"/>
        <v>0</v>
      </c>
      <c r="AJ1529" s="193">
        <f t="shared" si="37"/>
        <v>0</v>
      </c>
    </row>
    <row r="1530" spans="2:36" x14ac:dyDescent="0.35">
      <c r="B1530" s="193" t="e">
        <f>"2024"&amp;MATCH(Totals!D1530,OrgType,0)&amp;"_"&amp;MATCH(Totals!E1530,Organisations,0)&amp;"_"&amp;LEFT(Totals!F1530,1)&amp;"_"&amp;LEFT(G1530,1)&amp;"_"&amp;COUNTIF($G$3:G1530,G1530)</f>
        <v>#N/A</v>
      </c>
      <c r="C1530" s="193">
        <v>2025</v>
      </c>
      <c r="D1530" s="193">
        <f>Introduction!$D$7</f>
        <v>0</v>
      </c>
      <c r="E1530" s="193">
        <f>Introduction!$D$8</f>
        <v>0</v>
      </c>
      <c r="F1530" s="193" t="s">
        <v>113</v>
      </c>
      <c r="G1530" s="193" t="s">
        <v>494</v>
      </c>
      <c r="H1530" s="194"/>
      <c r="I1530" s="194"/>
      <c r="J1530" s="193">
        <f>Waste!B22</f>
        <v>0</v>
      </c>
      <c r="K1530" s="194"/>
      <c r="L1530" s="194"/>
      <c r="M1530" s="193">
        <f>Waste!C22</f>
        <v>0</v>
      </c>
      <c r="N1530" s="193">
        <f>Waste!D22</f>
        <v>0</v>
      </c>
      <c r="O1530" s="194"/>
      <c r="P1530" s="193">
        <f>Waste!E22</f>
        <v>0</v>
      </c>
      <c r="Q1530" s="193" t="str">
        <f>Waste!F22</f>
        <v/>
      </c>
      <c r="R1530" s="193">
        <f>Waste!G22</f>
        <v>0</v>
      </c>
      <c r="S1530" s="193">
        <f>Waste!H22</f>
        <v>0</v>
      </c>
      <c r="T1530" s="193" t="str">
        <f>Waste!I22</f>
        <v/>
      </c>
      <c r="U1530" s="193" t="str">
        <f>Waste!J22</f>
        <v/>
      </c>
      <c r="V1530" s="193" t="str">
        <f>Waste!K22</f>
        <v/>
      </c>
      <c r="W1530" s="193" t="str">
        <f>Waste!L22</f>
        <v/>
      </c>
      <c r="X1530" s="193">
        <f>Waste!M22</f>
        <v>0</v>
      </c>
      <c r="Y1530" s="193">
        <f>Waste!N22</f>
        <v>0</v>
      </c>
      <c r="Z1530" s="193" t="str">
        <f>Waste!O22</f>
        <v/>
      </c>
      <c r="AA1530" s="193" t="str">
        <f>Waste!P22</f>
        <v/>
      </c>
      <c r="AB1530" s="193" t="str">
        <f>Waste!Q22</f>
        <v/>
      </c>
      <c r="AC1530" s="193" t="str">
        <f>Waste!R22</f>
        <v/>
      </c>
      <c r="AD1530" s="193" t="str">
        <f>Waste!S22</f>
        <v/>
      </c>
      <c r="AE1530" s="193" t="str">
        <f>Waste!T22</f>
        <v/>
      </c>
      <c r="AF1530" s="193" t="str">
        <f>Waste!U22</f>
        <v/>
      </c>
      <c r="AG1530" s="193" t="str">
        <f>Waste!V22</f>
        <v/>
      </c>
      <c r="AI1530" s="193">
        <f t="shared" si="36"/>
        <v>0</v>
      </c>
      <c r="AJ1530" s="193">
        <f t="shared" si="37"/>
        <v>0</v>
      </c>
    </row>
    <row r="1531" spans="2:36" x14ac:dyDescent="0.35">
      <c r="B1531" s="193" t="e">
        <f>"2024"&amp;MATCH(Totals!D1531,OrgType,0)&amp;"_"&amp;MATCH(Totals!E1531,Organisations,0)&amp;"_"&amp;LEFT(Totals!F1531,1)&amp;"_"&amp;LEFT(G1531,1)&amp;"_"&amp;COUNTIF($G$3:G1531,G1531)</f>
        <v>#N/A</v>
      </c>
      <c r="C1531" s="193">
        <v>2025</v>
      </c>
      <c r="D1531" s="193">
        <f>Introduction!$D$7</f>
        <v>0</v>
      </c>
      <c r="E1531" s="193">
        <f>Introduction!$D$8</f>
        <v>0</v>
      </c>
      <c r="F1531" s="193" t="s">
        <v>113</v>
      </c>
      <c r="G1531" s="193" t="s">
        <v>494</v>
      </c>
      <c r="H1531" s="194"/>
      <c r="I1531" s="194"/>
      <c r="J1531" s="193">
        <f>Waste!B23</f>
        <v>0</v>
      </c>
      <c r="K1531" s="194"/>
      <c r="L1531" s="194"/>
      <c r="M1531" s="193">
        <f>Waste!C23</f>
        <v>0</v>
      </c>
      <c r="N1531" s="193">
        <f>Waste!D23</f>
        <v>0</v>
      </c>
      <c r="O1531" s="194"/>
      <c r="P1531" s="193">
        <f>Waste!E23</f>
        <v>0</v>
      </c>
      <c r="Q1531" s="193" t="str">
        <f>Waste!F23</f>
        <v/>
      </c>
      <c r="R1531" s="193">
        <f>Waste!G23</f>
        <v>0</v>
      </c>
      <c r="S1531" s="193">
        <f>Waste!H23</f>
        <v>0</v>
      </c>
      <c r="T1531" s="193" t="str">
        <f>Waste!I23</f>
        <v/>
      </c>
      <c r="U1531" s="193" t="str">
        <f>Waste!J23</f>
        <v/>
      </c>
      <c r="V1531" s="193" t="str">
        <f>Waste!K23</f>
        <v/>
      </c>
      <c r="W1531" s="193" t="str">
        <f>Waste!L23</f>
        <v/>
      </c>
      <c r="X1531" s="193">
        <f>Waste!M23</f>
        <v>0</v>
      </c>
      <c r="Y1531" s="193">
        <f>Waste!N23</f>
        <v>0</v>
      </c>
      <c r="Z1531" s="193" t="str">
        <f>Waste!O23</f>
        <v/>
      </c>
      <c r="AA1531" s="193" t="str">
        <f>Waste!P23</f>
        <v/>
      </c>
      <c r="AB1531" s="193" t="str">
        <f>Waste!Q23</f>
        <v/>
      </c>
      <c r="AC1531" s="193" t="str">
        <f>Waste!R23</f>
        <v/>
      </c>
      <c r="AD1531" s="193" t="str">
        <f>Waste!S23</f>
        <v/>
      </c>
      <c r="AE1531" s="193" t="str">
        <f>Waste!T23</f>
        <v/>
      </c>
      <c r="AF1531" s="193" t="str">
        <f>Waste!U23</f>
        <v/>
      </c>
      <c r="AG1531" s="193" t="str">
        <f>Waste!V23</f>
        <v/>
      </c>
      <c r="AI1531" s="193">
        <f t="shared" si="36"/>
        <v>0</v>
      </c>
      <c r="AJ1531" s="193">
        <f t="shared" si="37"/>
        <v>0</v>
      </c>
    </row>
    <row r="1532" spans="2:36" x14ac:dyDescent="0.35">
      <c r="B1532" s="193" t="e">
        <f>"2024"&amp;MATCH(Totals!D1532,OrgType,0)&amp;"_"&amp;MATCH(Totals!E1532,Organisations,0)&amp;"_"&amp;LEFT(Totals!F1532,1)&amp;"_"&amp;LEFT(G1532,1)&amp;"_"&amp;COUNTIF($G$3:G1532,G1532)</f>
        <v>#N/A</v>
      </c>
      <c r="C1532" s="193">
        <v>2025</v>
      </c>
      <c r="D1532" s="193">
        <f>Introduction!$D$7</f>
        <v>0</v>
      </c>
      <c r="E1532" s="193">
        <f>Introduction!$D$8</f>
        <v>0</v>
      </c>
      <c r="F1532" s="193" t="s">
        <v>113</v>
      </c>
      <c r="G1532" s="193" t="s">
        <v>494</v>
      </c>
      <c r="H1532" s="194"/>
      <c r="I1532" s="194"/>
      <c r="J1532" s="193">
        <f>Waste!B24</f>
        <v>0</v>
      </c>
      <c r="K1532" s="194"/>
      <c r="L1532" s="194"/>
      <c r="M1532" s="193">
        <f>Waste!C24</f>
        <v>0</v>
      </c>
      <c r="N1532" s="193">
        <f>Waste!D24</f>
        <v>0</v>
      </c>
      <c r="O1532" s="194"/>
      <c r="P1532" s="193">
        <f>Waste!E24</f>
        <v>0</v>
      </c>
      <c r="Q1532" s="193" t="str">
        <f>Waste!F24</f>
        <v/>
      </c>
      <c r="R1532" s="193">
        <f>Waste!G24</f>
        <v>0</v>
      </c>
      <c r="S1532" s="193">
        <f>Waste!H24</f>
        <v>0</v>
      </c>
      <c r="T1532" s="193" t="str">
        <f>Waste!I24</f>
        <v/>
      </c>
      <c r="U1532" s="193" t="str">
        <f>Waste!J24</f>
        <v/>
      </c>
      <c r="V1532" s="193" t="str">
        <f>Waste!K24</f>
        <v/>
      </c>
      <c r="W1532" s="193" t="str">
        <f>Waste!L24</f>
        <v/>
      </c>
      <c r="X1532" s="193">
        <f>Waste!M24</f>
        <v>0</v>
      </c>
      <c r="Y1532" s="193">
        <f>Waste!N24</f>
        <v>0</v>
      </c>
      <c r="Z1532" s="193" t="str">
        <f>Waste!O24</f>
        <v/>
      </c>
      <c r="AA1532" s="193" t="str">
        <f>Waste!P24</f>
        <v/>
      </c>
      <c r="AB1532" s="193" t="str">
        <f>Waste!Q24</f>
        <v/>
      </c>
      <c r="AC1532" s="193" t="str">
        <f>Waste!R24</f>
        <v/>
      </c>
      <c r="AD1532" s="193" t="str">
        <f>Waste!S24</f>
        <v/>
      </c>
      <c r="AE1532" s="193" t="str">
        <f>Waste!T24</f>
        <v/>
      </c>
      <c r="AF1532" s="193" t="str">
        <f>Waste!U24</f>
        <v/>
      </c>
      <c r="AG1532" s="193" t="str">
        <f>Waste!V24</f>
        <v/>
      </c>
      <c r="AI1532" s="193">
        <f t="shared" si="36"/>
        <v>0</v>
      </c>
      <c r="AJ1532" s="193">
        <f t="shared" si="37"/>
        <v>0</v>
      </c>
    </row>
    <row r="1533" spans="2:36" x14ac:dyDescent="0.35">
      <c r="B1533" s="193" t="e">
        <f>"2024"&amp;MATCH(Totals!D1533,OrgType,0)&amp;"_"&amp;MATCH(Totals!E1533,Organisations,0)&amp;"_"&amp;LEFT(Totals!F1533,1)&amp;"_"&amp;LEFT(G1533,1)&amp;"_"&amp;COUNTIF($G$3:G1533,G1533)</f>
        <v>#N/A</v>
      </c>
      <c r="C1533" s="193">
        <v>2025</v>
      </c>
      <c r="D1533" s="193">
        <f>Introduction!$D$7</f>
        <v>0</v>
      </c>
      <c r="E1533" s="193">
        <f>Introduction!$D$8</f>
        <v>0</v>
      </c>
      <c r="F1533" s="193" t="s">
        <v>113</v>
      </c>
      <c r="G1533" s="193" t="s">
        <v>494</v>
      </c>
      <c r="H1533" s="194"/>
      <c r="I1533" s="194"/>
      <c r="J1533" s="193">
        <f>Waste!B25</f>
        <v>0</v>
      </c>
      <c r="K1533" s="194"/>
      <c r="L1533" s="194"/>
      <c r="M1533" s="193">
        <f>Waste!C25</f>
        <v>0</v>
      </c>
      <c r="N1533" s="193">
        <f>Waste!D25</f>
        <v>0</v>
      </c>
      <c r="O1533" s="194"/>
      <c r="P1533" s="193">
        <f>Waste!E25</f>
        <v>0</v>
      </c>
      <c r="Q1533" s="193" t="str">
        <f>Waste!F25</f>
        <v/>
      </c>
      <c r="R1533" s="193">
        <f>Waste!G25</f>
        <v>0</v>
      </c>
      <c r="S1533" s="193">
        <f>Waste!H25</f>
        <v>0</v>
      </c>
      <c r="T1533" s="193" t="str">
        <f>Waste!I25</f>
        <v/>
      </c>
      <c r="U1533" s="193" t="str">
        <f>Waste!J25</f>
        <v/>
      </c>
      <c r="V1533" s="193" t="str">
        <f>Waste!K25</f>
        <v/>
      </c>
      <c r="W1533" s="193" t="str">
        <f>Waste!L25</f>
        <v/>
      </c>
      <c r="X1533" s="193">
        <f>Waste!M25</f>
        <v>0</v>
      </c>
      <c r="Y1533" s="193">
        <f>Waste!N25</f>
        <v>0</v>
      </c>
      <c r="Z1533" s="193" t="str">
        <f>Waste!O25</f>
        <v/>
      </c>
      <c r="AA1533" s="193" t="str">
        <f>Waste!P25</f>
        <v/>
      </c>
      <c r="AB1533" s="193" t="str">
        <f>Waste!Q25</f>
        <v/>
      </c>
      <c r="AC1533" s="193" t="str">
        <f>Waste!R25</f>
        <v/>
      </c>
      <c r="AD1533" s="193" t="str">
        <f>Waste!S25</f>
        <v/>
      </c>
      <c r="AE1533" s="193" t="str">
        <f>Waste!T25</f>
        <v/>
      </c>
      <c r="AF1533" s="193" t="str">
        <f>Waste!U25</f>
        <v/>
      </c>
      <c r="AG1533" s="193" t="str">
        <f>Waste!V25</f>
        <v/>
      </c>
      <c r="AI1533" s="193">
        <f t="shared" si="36"/>
        <v>0</v>
      </c>
      <c r="AJ1533" s="193">
        <f t="shared" si="37"/>
        <v>0</v>
      </c>
    </row>
    <row r="1534" spans="2:36" x14ac:dyDescent="0.35">
      <c r="B1534" s="193" t="e">
        <f>"2024"&amp;MATCH(Totals!D1534,OrgType,0)&amp;"_"&amp;MATCH(Totals!E1534,Organisations,0)&amp;"_"&amp;LEFT(Totals!F1534,1)&amp;"_"&amp;LEFT(G1534,1)&amp;"_"&amp;COUNTIF($G$3:G1534,G1534)</f>
        <v>#N/A</v>
      </c>
      <c r="C1534" s="193">
        <v>2025</v>
      </c>
      <c r="D1534" s="193">
        <f>Introduction!$D$7</f>
        <v>0</v>
      </c>
      <c r="E1534" s="193">
        <f>Introduction!$D$8</f>
        <v>0</v>
      </c>
      <c r="F1534" s="193" t="s">
        <v>113</v>
      </c>
      <c r="G1534" s="193" t="s">
        <v>494</v>
      </c>
      <c r="H1534" s="194"/>
      <c r="I1534" s="194"/>
      <c r="J1534" s="193">
        <f>Waste!B26</f>
        <v>0</v>
      </c>
      <c r="K1534" s="194"/>
      <c r="L1534" s="194"/>
      <c r="M1534" s="193">
        <f>Waste!C26</f>
        <v>0</v>
      </c>
      <c r="N1534" s="193">
        <f>Waste!D26</f>
        <v>0</v>
      </c>
      <c r="O1534" s="194"/>
      <c r="P1534" s="193">
        <f>Waste!E26</f>
        <v>0</v>
      </c>
      <c r="Q1534" s="193" t="str">
        <f>Waste!F26</f>
        <v/>
      </c>
      <c r="R1534" s="193">
        <f>Waste!G26</f>
        <v>0</v>
      </c>
      <c r="S1534" s="193">
        <f>Waste!H26</f>
        <v>0</v>
      </c>
      <c r="T1534" s="193" t="str">
        <f>Waste!I26</f>
        <v/>
      </c>
      <c r="U1534" s="193" t="str">
        <f>Waste!J26</f>
        <v/>
      </c>
      <c r="V1534" s="193" t="str">
        <f>Waste!K26</f>
        <v/>
      </c>
      <c r="W1534" s="193" t="str">
        <f>Waste!L26</f>
        <v/>
      </c>
      <c r="X1534" s="193">
        <f>Waste!M26</f>
        <v>0</v>
      </c>
      <c r="Y1534" s="193">
        <f>Waste!N26</f>
        <v>0</v>
      </c>
      <c r="Z1534" s="193" t="str">
        <f>Waste!O26</f>
        <v/>
      </c>
      <c r="AA1534" s="193" t="str">
        <f>Waste!P26</f>
        <v/>
      </c>
      <c r="AB1534" s="193" t="str">
        <f>Waste!Q26</f>
        <v/>
      </c>
      <c r="AC1534" s="193" t="str">
        <f>Waste!R26</f>
        <v/>
      </c>
      <c r="AD1534" s="193" t="str">
        <f>Waste!S26</f>
        <v/>
      </c>
      <c r="AE1534" s="193" t="str">
        <f>Waste!T26</f>
        <v/>
      </c>
      <c r="AF1534" s="193" t="str">
        <f>Waste!U26</f>
        <v/>
      </c>
      <c r="AG1534" s="193" t="str">
        <f>Waste!V26</f>
        <v/>
      </c>
      <c r="AI1534" s="193">
        <f t="shared" si="36"/>
        <v>0</v>
      </c>
      <c r="AJ1534" s="193">
        <f t="shared" si="37"/>
        <v>0</v>
      </c>
    </row>
    <row r="1535" spans="2:36" x14ac:dyDescent="0.35">
      <c r="B1535" s="193" t="e">
        <f>"2024"&amp;MATCH(Totals!D1535,OrgType,0)&amp;"_"&amp;MATCH(Totals!E1535,Organisations,0)&amp;"_"&amp;LEFT(Totals!F1535,1)&amp;"_"&amp;LEFT(G1535,1)&amp;"_"&amp;COUNTIF($G$3:G1535,G1535)</f>
        <v>#N/A</v>
      </c>
      <c r="C1535" s="193">
        <v>2025</v>
      </c>
      <c r="D1535" s="193">
        <f>Introduction!$D$7</f>
        <v>0</v>
      </c>
      <c r="E1535" s="193">
        <f>Introduction!$D$8</f>
        <v>0</v>
      </c>
      <c r="F1535" s="193" t="s">
        <v>113</v>
      </c>
      <c r="G1535" s="193" t="s">
        <v>494</v>
      </c>
      <c r="H1535" s="194"/>
      <c r="I1535" s="194"/>
      <c r="J1535" s="193">
        <f>Waste!B27</f>
        <v>0</v>
      </c>
      <c r="K1535" s="194"/>
      <c r="L1535" s="194"/>
      <c r="M1535" s="193">
        <f>Waste!C27</f>
        <v>0</v>
      </c>
      <c r="N1535" s="193">
        <f>Waste!D27</f>
        <v>0</v>
      </c>
      <c r="O1535" s="194"/>
      <c r="P1535" s="193">
        <f>Waste!E27</f>
        <v>0</v>
      </c>
      <c r="Q1535" s="193" t="str">
        <f>Waste!F27</f>
        <v/>
      </c>
      <c r="R1535" s="193">
        <f>Waste!G27</f>
        <v>0</v>
      </c>
      <c r="S1535" s="193">
        <f>Waste!H27</f>
        <v>0</v>
      </c>
      <c r="T1535" s="193" t="str">
        <f>Waste!I27</f>
        <v/>
      </c>
      <c r="U1535" s="193" t="str">
        <f>Waste!J27</f>
        <v/>
      </c>
      <c r="V1535" s="193" t="str">
        <f>Waste!K27</f>
        <v/>
      </c>
      <c r="W1535" s="193" t="str">
        <f>Waste!L27</f>
        <v/>
      </c>
      <c r="X1535" s="193">
        <f>Waste!M27</f>
        <v>0</v>
      </c>
      <c r="Y1535" s="193">
        <f>Waste!N27</f>
        <v>0</v>
      </c>
      <c r="Z1535" s="193" t="str">
        <f>Waste!O27</f>
        <v/>
      </c>
      <c r="AA1535" s="193" t="str">
        <f>Waste!P27</f>
        <v/>
      </c>
      <c r="AB1535" s="193" t="str">
        <f>Waste!Q27</f>
        <v/>
      </c>
      <c r="AC1535" s="193" t="str">
        <f>Waste!R27</f>
        <v/>
      </c>
      <c r="AD1535" s="193" t="str">
        <f>Waste!S27</f>
        <v/>
      </c>
      <c r="AE1535" s="193" t="str">
        <f>Waste!T27</f>
        <v/>
      </c>
      <c r="AF1535" s="193" t="str">
        <f>Waste!U27</f>
        <v/>
      </c>
      <c r="AG1535" s="193" t="str">
        <f>Waste!V27</f>
        <v/>
      </c>
      <c r="AI1535" s="193">
        <f t="shared" si="36"/>
        <v>0</v>
      </c>
      <c r="AJ1535" s="193">
        <f t="shared" si="37"/>
        <v>0</v>
      </c>
    </row>
    <row r="1536" spans="2:36" x14ac:dyDescent="0.35">
      <c r="B1536" s="193" t="e">
        <f>"2024"&amp;MATCH(Totals!D1536,OrgType,0)&amp;"_"&amp;MATCH(Totals!E1536,Organisations,0)&amp;"_"&amp;LEFT(Totals!F1536,1)&amp;"_"&amp;LEFT(G1536,1)&amp;"_"&amp;COUNTIF($G$3:G1536,G1536)</f>
        <v>#N/A</v>
      </c>
      <c r="C1536" s="193">
        <v>2025</v>
      </c>
      <c r="D1536" s="193">
        <f>Introduction!$D$7</f>
        <v>0</v>
      </c>
      <c r="E1536" s="193">
        <f>Introduction!$D$8</f>
        <v>0</v>
      </c>
      <c r="F1536" s="193" t="s">
        <v>113</v>
      </c>
      <c r="G1536" s="193" t="s">
        <v>494</v>
      </c>
      <c r="H1536" s="194"/>
      <c r="I1536" s="194"/>
      <c r="J1536" s="193">
        <f>Waste!B28</f>
        <v>0</v>
      </c>
      <c r="K1536" s="194"/>
      <c r="L1536" s="194"/>
      <c r="M1536" s="193">
        <f>Waste!C28</f>
        <v>0</v>
      </c>
      <c r="N1536" s="193">
        <f>Waste!D28</f>
        <v>0</v>
      </c>
      <c r="O1536" s="194"/>
      <c r="P1536" s="193">
        <f>Waste!E28</f>
        <v>0</v>
      </c>
      <c r="Q1536" s="193" t="str">
        <f>Waste!F28</f>
        <v/>
      </c>
      <c r="R1536" s="193">
        <f>Waste!G28</f>
        <v>0</v>
      </c>
      <c r="S1536" s="193">
        <f>Waste!H28</f>
        <v>0</v>
      </c>
      <c r="T1536" s="193" t="str">
        <f>Waste!I28</f>
        <v/>
      </c>
      <c r="U1536" s="193" t="str">
        <f>Waste!J28</f>
        <v/>
      </c>
      <c r="V1536" s="193" t="str">
        <f>Waste!K28</f>
        <v/>
      </c>
      <c r="W1536" s="193" t="str">
        <f>Waste!L28</f>
        <v/>
      </c>
      <c r="X1536" s="193">
        <f>Waste!M28</f>
        <v>0</v>
      </c>
      <c r="Y1536" s="193">
        <f>Waste!N28</f>
        <v>0</v>
      </c>
      <c r="Z1536" s="193" t="str">
        <f>Waste!O28</f>
        <v/>
      </c>
      <c r="AA1536" s="193" t="str">
        <f>Waste!P28</f>
        <v/>
      </c>
      <c r="AB1536" s="193" t="str">
        <f>Waste!Q28</f>
        <v/>
      </c>
      <c r="AC1536" s="193" t="str">
        <f>Waste!R28</f>
        <v/>
      </c>
      <c r="AD1536" s="193" t="str">
        <f>Waste!S28</f>
        <v/>
      </c>
      <c r="AE1536" s="193" t="str">
        <f>Waste!T28</f>
        <v/>
      </c>
      <c r="AF1536" s="193" t="str">
        <f>Waste!U28</f>
        <v/>
      </c>
      <c r="AG1536" s="193" t="str">
        <f>Waste!V28</f>
        <v/>
      </c>
      <c r="AI1536" s="193">
        <f t="shared" si="36"/>
        <v>0</v>
      </c>
      <c r="AJ1536" s="193">
        <f t="shared" si="37"/>
        <v>0</v>
      </c>
    </row>
    <row r="1537" spans="2:36" x14ac:dyDescent="0.35">
      <c r="B1537" s="193" t="e">
        <f>"2024"&amp;MATCH(Totals!D1537,OrgType,0)&amp;"_"&amp;MATCH(Totals!E1537,Organisations,0)&amp;"_"&amp;LEFT(Totals!F1537,1)&amp;"_"&amp;LEFT(G1537,1)&amp;"_"&amp;COUNTIF($G$3:G1537,G1537)</f>
        <v>#N/A</v>
      </c>
      <c r="C1537" s="193">
        <v>2025</v>
      </c>
      <c r="D1537" s="193">
        <f>Introduction!$D$7</f>
        <v>0</v>
      </c>
      <c r="E1537" s="193">
        <f>Introduction!$D$8</f>
        <v>0</v>
      </c>
      <c r="F1537" s="193" t="s">
        <v>113</v>
      </c>
      <c r="G1537" s="193" t="s">
        <v>494</v>
      </c>
      <c r="H1537" s="194"/>
      <c r="I1537" s="194"/>
      <c r="J1537" s="193">
        <f>Waste!B29</f>
        <v>0</v>
      </c>
      <c r="K1537" s="194"/>
      <c r="L1537" s="194"/>
      <c r="M1537" s="193">
        <f>Waste!C29</f>
        <v>0</v>
      </c>
      <c r="N1537" s="193">
        <f>Waste!D29</f>
        <v>0</v>
      </c>
      <c r="O1537" s="194"/>
      <c r="P1537" s="193">
        <f>Waste!E29</f>
        <v>0</v>
      </c>
      <c r="Q1537" s="193" t="str">
        <f>Waste!F29</f>
        <v/>
      </c>
      <c r="R1537" s="193">
        <f>Waste!G29</f>
        <v>0</v>
      </c>
      <c r="S1537" s="193">
        <f>Waste!H29</f>
        <v>0</v>
      </c>
      <c r="T1537" s="193" t="str">
        <f>Waste!I29</f>
        <v/>
      </c>
      <c r="U1537" s="193" t="str">
        <f>Waste!J29</f>
        <v/>
      </c>
      <c r="V1537" s="193" t="str">
        <f>Waste!K29</f>
        <v/>
      </c>
      <c r="W1537" s="193" t="str">
        <f>Waste!L29</f>
        <v/>
      </c>
      <c r="X1537" s="193">
        <f>Waste!M29</f>
        <v>0</v>
      </c>
      <c r="Y1537" s="193">
        <f>Waste!N29</f>
        <v>0</v>
      </c>
      <c r="Z1537" s="193" t="str">
        <f>Waste!O29</f>
        <v/>
      </c>
      <c r="AA1537" s="193" t="str">
        <f>Waste!P29</f>
        <v/>
      </c>
      <c r="AB1537" s="193" t="str">
        <f>Waste!Q29</f>
        <v/>
      </c>
      <c r="AC1537" s="193" t="str">
        <f>Waste!R29</f>
        <v/>
      </c>
      <c r="AD1537" s="193" t="str">
        <f>Waste!S29</f>
        <v/>
      </c>
      <c r="AE1537" s="193" t="str">
        <f>Waste!T29</f>
        <v/>
      </c>
      <c r="AF1537" s="193" t="str">
        <f>Waste!U29</f>
        <v/>
      </c>
      <c r="AG1537" s="193" t="str">
        <f>Waste!V29</f>
        <v/>
      </c>
      <c r="AI1537" s="193">
        <f t="shared" si="36"/>
        <v>0</v>
      </c>
      <c r="AJ1537" s="193">
        <f t="shared" si="37"/>
        <v>0</v>
      </c>
    </row>
    <row r="1538" spans="2:36" x14ac:dyDescent="0.35">
      <c r="B1538" s="193" t="e">
        <f>"2024"&amp;MATCH(Totals!D1538,OrgType,0)&amp;"_"&amp;MATCH(Totals!E1538,Organisations,0)&amp;"_"&amp;LEFT(Totals!F1538,1)&amp;"_"&amp;LEFT(G1538,1)&amp;"_"&amp;COUNTIF($G$3:G1538,G1538)</f>
        <v>#N/A</v>
      </c>
      <c r="C1538" s="193">
        <v>2025</v>
      </c>
      <c r="D1538" s="193">
        <f>Introduction!$D$7</f>
        <v>0</v>
      </c>
      <c r="E1538" s="193">
        <f>Introduction!$D$8</f>
        <v>0</v>
      </c>
      <c r="F1538" s="193" t="s">
        <v>113</v>
      </c>
      <c r="G1538" s="193" t="s">
        <v>494</v>
      </c>
      <c r="H1538" s="194"/>
      <c r="I1538" s="194"/>
      <c r="J1538" s="193">
        <f>Waste!B30</f>
        <v>0</v>
      </c>
      <c r="K1538" s="194"/>
      <c r="L1538" s="194"/>
      <c r="M1538" s="193">
        <f>Waste!C30</f>
        <v>0</v>
      </c>
      <c r="N1538" s="193">
        <f>Waste!D30</f>
        <v>0</v>
      </c>
      <c r="O1538" s="194"/>
      <c r="P1538" s="193">
        <f>Waste!E30</f>
        <v>0</v>
      </c>
      <c r="Q1538" s="193" t="str">
        <f>Waste!F30</f>
        <v/>
      </c>
      <c r="R1538" s="193">
        <f>Waste!G30</f>
        <v>0</v>
      </c>
      <c r="S1538" s="193">
        <f>Waste!H30</f>
        <v>0</v>
      </c>
      <c r="T1538" s="193" t="str">
        <f>Waste!I30</f>
        <v/>
      </c>
      <c r="U1538" s="193" t="str">
        <f>Waste!J30</f>
        <v/>
      </c>
      <c r="V1538" s="193" t="str">
        <f>Waste!K30</f>
        <v/>
      </c>
      <c r="W1538" s="193" t="str">
        <f>Waste!L30</f>
        <v/>
      </c>
      <c r="X1538" s="193">
        <f>Waste!M30</f>
        <v>0</v>
      </c>
      <c r="Y1538" s="193">
        <f>Waste!N30</f>
        <v>0</v>
      </c>
      <c r="Z1538" s="193" t="str">
        <f>Waste!O30</f>
        <v/>
      </c>
      <c r="AA1538" s="193" t="str">
        <f>Waste!P30</f>
        <v/>
      </c>
      <c r="AB1538" s="193" t="str">
        <f>Waste!Q30</f>
        <v/>
      </c>
      <c r="AC1538" s="193" t="str">
        <f>Waste!R30</f>
        <v/>
      </c>
      <c r="AD1538" s="193" t="str">
        <f>Waste!S30</f>
        <v/>
      </c>
      <c r="AE1538" s="193" t="str">
        <f>Waste!T30</f>
        <v/>
      </c>
      <c r="AF1538" s="193" t="str">
        <f>Waste!U30</f>
        <v/>
      </c>
      <c r="AG1538" s="193" t="str">
        <f>Waste!V30</f>
        <v/>
      </c>
      <c r="AI1538" s="193">
        <f t="shared" si="36"/>
        <v>0</v>
      </c>
      <c r="AJ1538" s="193">
        <f t="shared" si="37"/>
        <v>0</v>
      </c>
    </row>
    <row r="1539" spans="2:36" x14ac:dyDescent="0.35">
      <c r="B1539" s="193" t="e">
        <f>"2024"&amp;MATCH(Totals!D1539,OrgType,0)&amp;"_"&amp;MATCH(Totals!E1539,Organisations,0)&amp;"_"&amp;LEFT(Totals!F1539,1)&amp;"_"&amp;LEFT(G1539,1)&amp;"_"&amp;COUNTIF($G$3:G1539,G1539)</f>
        <v>#N/A</v>
      </c>
      <c r="C1539" s="193">
        <v>2025</v>
      </c>
      <c r="D1539" s="193">
        <f>Introduction!$D$7</f>
        <v>0</v>
      </c>
      <c r="E1539" s="193">
        <f>Introduction!$D$8</f>
        <v>0</v>
      </c>
      <c r="F1539" s="193" t="s">
        <v>113</v>
      </c>
      <c r="G1539" s="193" t="s">
        <v>494</v>
      </c>
      <c r="H1539" s="194"/>
      <c r="I1539" s="194"/>
      <c r="J1539" s="193">
        <f>Waste!B31</f>
        <v>0</v>
      </c>
      <c r="K1539" s="194"/>
      <c r="L1539" s="194"/>
      <c r="M1539" s="193">
        <f>Waste!C31</f>
        <v>0</v>
      </c>
      <c r="N1539" s="193">
        <f>Waste!D31</f>
        <v>0</v>
      </c>
      <c r="O1539" s="194"/>
      <c r="P1539" s="193">
        <f>Waste!E31</f>
        <v>0</v>
      </c>
      <c r="Q1539" s="193" t="str">
        <f>Waste!F31</f>
        <v/>
      </c>
      <c r="R1539" s="193">
        <f>Waste!G31</f>
        <v>0</v>
      </c>
      <c r="S1539" s="193">
        <f>Waste!H31</f>
        <v>0</v>
      </c>
      <c r="T1539" s="193" t="str">
        <f>Waste!I31</f>
        <v/>
      </c>
      <c r="U1539" s="193" t="str">
        <f>Waste!J31</f>
        <v/>
      </c>
      <c r="V1539" s="193" t="str">
        <f>Waste!K31</f>
        <v/>
      </c>
      <c r="W1539" s="193" t="str">
        <f>Waste!L31</f>
        <v/>
      </c>
      <c r="X1539" s="193">
        <f>Waste!M31</f>
        <v>0</v>
      </c>
      <c r="Y1539" s="193">
        <f>Waste!N31</f>
        <v>0</v>
      </c>
      <c r="Z1539" s="193" t="str">
        <f>Waste!O31</f>
        <v/>
      </c>
      <c r="AA1539" s="193" t="str">
        <f>Waste!P31</f>
        <v/>
      </c>
      <c r="AB1539" s="193" t="str">
        <f>Waste!Q31</f>
        <v/>
      </c>
      <c r="AC1539" s="193" t="str">
        <f>Waste!R31</f>
        <v/>
      </c>
      <c r="AD1539" s="193" t="str">
        <f>Waste!S31</f>
        <v/>
      </c>
      <c r="AE1539" s="193" t="str">
        <f>Waste!T31</f>
        <v/>
      </c>
      <c r="AF1539" s="193" t="str">
        <f>Waste!U31</f>
        <v/>
      </c>
      <c r="AG1539" s="193" t="str">
        <f>Waste!V31</f>
        <v/>
      </c>
      <c r="AI1539" s="193">
        <f t="shared" si="36"/>
        <v>0</v>
      </c>
      <c r="AJ1539" s="193">
        <f t="shared" si="37"/>
        <v>0</v>
      </c>
    </row>
    <row r="1540" spans="2:36" x14ac:dyDescent="0.35">
      <c r="B1540" s="193" t="e">
        <f>"2024"&amp;MATCH(Totals!D1540,OrgType,0)&amp;"_"&amp;MATCH(Totals!E1540,Organisations,0)&amp;"_"&amp;LEFT(Totals!F1540,1)&amp;"_"&amp;LEFT(G1540,1)&amp;"_"&amp;COUNTIF($G$3:G1540,G1540)</f>
        <v>#N/A</v>
      </c>
      <c r="C1540" s="193">
        <v>2025</v>
      </c>
      <c r="D1540" s="193">
        <f>Introduction!$D$7</f>
        <v>0</v>
      </c>
      <c r="E1540" s="193">
        <f>Introduction!$D$8</f>
        <v>0</v>
      </c>
      <c r="F1540" s="193" t="s">
        <v>113</v>
      </c>
      <c r="G1540" s="193" t="s">
        <v>494</v>
      </c>
      <c r="H1540" s="194"/>
      <c r="I1540" s="194"/>
      <c r="J1540" s="193">
        <f>Waste!B32</f>
        <v>0</v>
      </c>
      <c r="K1540" s="194"/>
      <c r="L1540" s="194"/>
      <c r="M1540" s="193">
        <f>Waste!C32</f>
        <v>0</v>
      </c>
      <c r="N1540" s="193">
        <f>Waste!D32</f>
        <v>0</v>
      </c>
      <c r="O1540" s="194"/>
      <c r="P1540" s="193">
        <f>Waste!E32</f>
        <v>0</v>
      </c>
      <c r="Q1540" s="193" t="str">
        <f>Waste!F32</f>
        <v/>
      </c>
      <c r="R1540" s="193">
        <f>Waste!G32</f>
        <v>0</v>
      </c>
      <c r="S1540" s="193">
        <f>Waste!H32</f>
        <v>0</v>
      </c>
      <c r="T1540" s="193" t="str">
        <f>Waste!I32</f>
        <v/>
      </c>
      <c r="U1540" s="193" t="str">
        <f>Waste!J32</f>
        <v/>
      </c>
      <c r="V1540" s="193" t="str">
        <f>Waste!K32</f>
        <v/>
      </c>
      <c r="W1540" s="193" t="str">
        <f>Waste!L32</f>
        <v/>
      </c>
      <c r="X1540" s="193">
        <f>Waste!M32</f>
        <v>0</v>
      </c>
      <c r="Y1540" s="193">
        <f>Waste!N32</f>
        <v>0</v>
      </c>
      <c r="Z1540" s="193" t="str">
        <f>Waste!O32</f>
        <v/>
      </c>
      <c r="AA1540" s="193" t="str">
        <f>Waste!P32</f>
        <v/>
      </c>
      <c r="AB1540" s="193" t="str">
        <f>Waste!Q32</f>
        <v/>
      </c>
      <c r="AC1540" s="193" t="str">
        <f>Waste!R32</f>
        <v/>
      </c>
      <c r="AD1540" s="193" t="str">
        <f>Waste!S32</f>
        <v/>
      </c>
      <c r="AE1540" s="193" t="str">
        <f>Waste!T32</f>
        <v/>
      </c>
      <c r="AF1540" s="193" t="str">
        <f>Waste!U32</f>
        <v/>
      </c>
      <c r="AG1540" s="193" t="str">
        <f>Waste!V32</f>
        <v/>
      </c>
      <c r="AI1540" s="193">
        <f t="shared" si="36"/>
        <v>0</v>
      </c>
      <c r="AJ1540" s="193">
        <f t="shared" si="37"/>
        <v>0</v>
      </c>
    </row>
    <row r="1541" spans="2:36" x14ac:dyDescent="0.35">
      <c r="B1541" s="193" t="e">
        <f>"2024"&amp;MATCH(Totals!D1541,OrgType,0)&amp;"_"&amp;MATCH(Totals!E1541,Organisations,0)&amp;"_"&amp;LEFT(Totals!F1541,1)&amp;"_"&amp;LEFT(G1541,1)&amp;"_"&amp;COUNTIF($G$3:G1541,G1541)</f>
        <v>#N/A</v>
      </c>
      <c r="C1541" s="193">
        <v>2025</v>
      </c>
      <c r="D1541" s="193">
        <f>Introduction!$D$7</f>
        <v>0</v>
      </c>
      <c r="E1541" s="193">
        <f>Introduction!$D$8</f>
        <v>0</v>
      </c>
      <c r="F1541" s="193" t="s">
        <v>113</v>
      </c>
      <c r="G1541" s="193" t="s">
        <v>494</v>
      </c>
      <c r="H1541" s="194"/>
      <c r="I1541" s="194"/>
      <c r="J1541" s="193">
        <f>Waste!B33</f>
        <v>0</v>
      </c>
      <c r="K1541" s="194"/>
      <c r="L1541" s="194"/>
      <c r="M1541" s="193">
        <f>Waste!C33</f>
        <v>0</v>
      </c>
      <c r="N1541" s="193">
        <f>Waste!D33</f>
        <v>0</v>
      </c>
      <c r="O1541" s="194"/>
      <c r="P1541" s="193">
        <f>Waste!E33</f>
        <v>0</v>
      </c>
      <c r="Q1541" s="193" t="str">
        <f>Waste!F33</f>
        <v/>
      </c>
      <c r="R1541" s="193">
        <f>Waste!G33</f>
        <v>0</v>
      </c>
      <c r="S1541" s="193">
        <f>Waste!H33</f>
        <v>0</v>
      </c>
      <c r="T1541" s="193" t="str">
        <f>Waste!I33</f>
        <v/>
      </c>
      <c r="U1541" s="193" t="str">
        <f>Waste!J33</f>
        <v/>
      </c>
      <c r="V1541" s="193" t="str">
        <f>Waste!K33</f>
        <v/>
      </c>
      <c r="W1541" s="193" t="str">
        <f>Waste!L33</f>
        <v/>
      </c>
      <c r="X1541" s="193">
        <f>Waste!M33</f>
        <v>0</v>
      </c>
      <c r="Y1541" s="193">
        <f>Waste!N33</f>
        <v>0</v>
      </c>
      <c r="Z1541" s="193" t="str">
        <f>Waste!O33</f>
        <v/>
      </c>
      <c r="AA1541" s="193" t="str">
        <f>Waste!P33</f>
        <v/>
      </c>
      <c r="AB1541" s="193" t="str">
        <f>Waste!Q33</f>
        <v/>
      </c>
      <c r="AC1541" s="193" t="str">
        <f>Waste!R33</f>
        <v/>
      </c>
      <c r="AD1541" s="193" t="str">
        <f>Waste!S33</f>
        <v/>
      </c>
      <c r="AE1541" s="193" t="str">
        <f>Waste!T33</f>
        <v/>
      </c>
      <c r="AF1541" s="193" t="str">
        <f>Waste!U33</f>
        <v/>
      </c>
      <c r="AG1541" s="193" t="str">
        <f>Waste!V33</f>
        <v/>
      </c>
      <c r="AI1541" s="193">
        <f t="shared" si="36"/>
        <v>0</v>
      </c>
      <c r="AJ1541" s="193">
        <f t="shared" si="37"/>
        <v>0</v>
      </c>
    </row>
    <row r="1542" spans="2:36" x14ac:dyDescent="0.35">
      <c r="B1542" s="193" t="e">
        <f>"2024"&amp;MATCH(Totals!D1542,OrgType,0)&amp;"_"&amp;MATCH(Totals!E1542,Organisations,0)&amp;"_"&amp;LEFT(Totals!F1542,1)&amp;"_"&amp;LEFT(G1542,1)&amp;"_"&amp;COUNTIF($G$3:G1542,G1542)</f>
        <v>#N/A</v>
      </c>
      <c r="C1542" s="193">
        <v>2025</v>
      </c>
      <c r="D1542" s="193">
        <f>Introduction!$D$7</f>
        <v>0</v>
      </c>
      <c r="E1542" s="193">
        <f>Introduction!$D$8</f>
        <v>0</v>
      </c>
      <c r="F1542" s="193" t="s">
        <v>113</v>
      </c>
      <c r="G1542" s="193" t="s">
        <v>494</v>
      </c>
      <c r="H1542" s="194"/>
      <c r="I1542" s="194"/>
      <c r="J1542" s="193">
        <f>Waste!B34</f>
        <v>0</v>
      </c>
      <c r="K1542" s="194"/>
      <c r="L1542" s="194"/>
      <c r="M1542" s="193">
        <f>Waste!C34</f>
        <v>0</v>
      </c>
      <c r="N1542" s="193">
        <f>Waste!D34</f>
        <v>0</v>
      </c>
      <c r="O1542" s="194"/>
      <c r="P1542" s="193">
        <f>Waste!E34</f>
        <v>0</v>
      </c>
      <c r="Q1542" s="193" t="str">
        <f>Waste!F34</f>
        <v/>
      </c>
      <c r="R1542" s="193">
        <f>Waste!G34</f>
        <v>0</v>
      </c>
      <c r="S1542" s="193">
        <f>Waste!H34</f>
        <v>0</v>
      </c>
      <c r="T1542" s="193" t="str">
        <f>Waste!I34</f>
        <v/>
      </c>
      <c r="U1542" s="193" t="str">
        <f>Waste!J34</f>
        <v/>
      </c>
      <c r="V1542" s="193" t="str">
        <f>Waste!K34</f>
        <v/>
      </c>
      <c r="W1542" s="193" t="str">
        <f>Waste!L34</f>
        <v/>
      </c>
      <c r="X1542" s="193">
        <f>Waste!M34</f>
        <v>0</v>
      </c>
      <c r="Y1542" s="193">
        <f>Waste!N34</f>
        <v>0</v>
      </c>
      <c r="Z1542" s="193" t="str">
        <f>Waste!O34</f>
        <v/>
      </c>
      <c r="AA1542" s="193" t="str">
        <f>Waste!P34</f>
        <v/>
      </c>
      <c r="AB1542" s="193" t="str">
        <f>Waste!Q34</f>
        <v/>
      </c>
      <c r="AC1542" s="193" t="str">
        <f>Waste!R34</f>
        <v/>
      </c>
      <c r="AD1542" s="193" t="str">
        <f>Waste!S34</f>
        <v/>
      </c>
      <c r="AE1542" s="193" t="str">
        <f>Waste!T34</f>
        <v/>
      </c>
      <c r="AF1542" s="193" t="str">
        <f>Waste!U34</f>
        <v/>
      </c>
      <c r="AG1542" s="193" t="str">
        <f>Waste!V34</f>
        <v/>
      </c>
      <c r="AI1542" s="193">
        <f t="shared" si="36"/>
        <v>0</v>
      </c>
      <c r="AJ1542" s="193">
        <f t="shared" si="37"/>
        <v>0</v>
      </c>
    </row>
    <row r="1543" spans="2:36" x14ac:dyDescent="0.35">
      <c r="B1543" s="193" t="e">
        <f>"2024"&amp;MATCH(Totals!D1543,OrgType,0)&amp;"_"&amp;MATCH(Totals!E1543,Organisations,0)&amp;"_"&amp;LEFT(Totals!F1543,1)&amp;"_"&amp;LEFT(G1543,1)&amp;"_"&amp;COUNTIF($G$3:G1543,G1543)</f>
        <v>#N/A</v>
      </c>
      <c r="C1543" s="193">
        <v>2025</v>
      </c>
      <c r="D1543" s="193">
        <f>Introduction!$D$7</f>
        <v>0</v>
      </c>
      <c r="E1543" s="193">
        <f>Introduction!$D$8</f>
        <v>0</v>
      </c>
      <c r="F1543" s="193" t="s">
        <v>113</v>
      </c>
      <c r="G1543" s="193" t="s">
        <v>494</v>
      </c>
      <c r="H1543" s="194"/>
      <c r="I1543" s="194"/>
      <c r="J1543" s="193">
        <f>Waste!B35</f>
        <v>0</v>
      </c>
      <c r="K1543" s="194"/>
      <c r="L1543" s="194"/>
      <c r="M1543" s="193">
        <f>Waste!C35</f>
        <v>0</v>
      </c>
      <c r="N1543" s="193">
        <f>Waste!D35</f>
        <v>0</v>
      </c>
      <c r="O1543" s="194"/>
      <c r="P1543" s="193">
        <f>Waste!E35</f>
        <v>0</v>
      </c>
      <c r="Q1543" s="193" t="str">
        <f>Waste!F35</f>
        <v/>
      </c>
      <c r="R1543" s="193">
        <f>Waste!G35</f>
        <v>0</v>
      </c>
      <c r="S1543" s="193">
        <f>Waste!H35</f>
        <v>0</v>
      </c>
      <c r="T1543" s="193" t="str">
        <f>Waste!I35</f>
        <v/>
      </c>
      <c r="U1543" s="193" t="str">
        <f>Waste!J35</f>
        <v/>
      </c>
      <c r="V1543" s="193" t="str">
        <f>Waste!K35</f>
        <v/>
      </c>
      <c r="W1543" s="193" t="str">
        <f>Waste!L35</f>
        <v/>
      </c>
      <c r="X1543" s="193">
        <f>Waste!M35</f>
        <v>0</v>
      </c>
      <c r="Y1543" s="193">
        <f>Waste!N35</f>
        <v>0</v>
      </c>
      <c r="Z1543" s="193" t="str">
        <f>Waste!O35</f>
        <v/>
      </c>
      <c r="AA1543" s="193" t="str">
        <f>Waste!P35</f>
        <v/>
      </c>
      <c r="AB1543" s="193" t="str">
        <f>Waste!Q35</f>
        <v/>
      </c>
      <c r="AC1543" s="193" t="str">
        <f>Waste!R35</f>
        <v/>
      </c>
      <c r="AD1543" s="193" t="str">
        <f>Waste!S35</f>
        <v/>
      </c>
      <c r="AE1543" s="193" t="str">
        <f>Waste!T35</f>
        <v/>
      </c>
      <c r="AF1543" s="193" t="str">
        <f>Waste!U35</f>
        <v/>
      </c>
      <c r="AG1543" s="193" t="str">
        <f>Waste!V35</f>
        <v/>
      </c>
      <c r="AI1543" s="193">
        <f t="shared" si="36"/>
        <v>0</v>
      </c>
      <c r="AJ1543" s="193">
        <f t="shared" si="37"/>
        <v>0</v>
      </c>
    </row>
    <row r="1544" spans="2:36" x14ac:dyDescent="0.35">
      <c r="B1544" s="193" t="e">
        <f>"2024"&amp;MATCH(Totals!D1544,OrgType,0)&amp;"_"&amp;MATCH(Totals!E1544,Organisations,0)&amp;"_"&amp;LEFT(Totals!F1544,1)&amp;"_"&amp;LEFT(G1544,1)&amp;"_"&amp;COUNTIF($G$3:G1544,G1544)</f>
        <v>#N/A</v>
      </c>
      <c r="C1544" s="193">
        <v>2025</v>
      </c>
      <c r="D1544" s="193">
        <f>Introduction!$D$7</f>
        <v>0</v>
      </c>
      <c r="E1544" s="193">
        <f>Introduction!$D$8</f>
        <v>0</v>
      </c>
      <c r="F1544" s="193" t="s">
        <v>113</v>
      </c>
      <c r="G1544" s="193" t="s">
        <v>494</v>
      </c>
      <c r="H1544" s="194"/>
      <c r="I1544" s="194"/>
      <c r="J1544" s="193">
        <f>Waste!B36</f>
        <v>0</v>
      </c>
      <c r="K1544" s="194"/>
      <c r="L1544" s="194"/>
      <c r="M1544" s="193">
        <f>Waste!C36</f>
        <v>0</v>
      </c>
      <c r="N1544" s="193">
        <f>Waste!D36</f>
        <v>0</v>
      </c>
      <c r="O1544" s="194"/>
      <c r="P1544" s="193">
        <f>Waste!E36</f>
        <v>0</v>
      </c>
      <c r="Q1544" s="193" t="str">
        <f>Waste!F36</f>
        <v/>
      </c>
      <c r="R1544" s="193">
        <f>Waste!G36</f>
        <v>0</v>
      </c>
      <c r="S1544" s="193">
        <f>Waste!H36</f>
        <v>0</v>
      </c>
      <c r="T1544" s="193" t="str">
        <f>Waste!I36</f>
        <v/>
      </c>
      <c r="U1544" s="193" t="str">
        <f>Waste!J36</f>
        <v/>
      </c>
      <c r="V1544" s="193" t="str">
        <f>Waste!K36</f>
        <v/>
      </c>
      <c r="W1544" s="193" t="str">
        <f>Waste!L36</f>
        <v/>
      </c>
      <c r="X1544" s="193">
        <f>Waste!M36</f>
        <v>0</v>
      </c>
      <c r="Y1544" s="193">
        <f>Waste!N36</f>
        <v>0</v>
      </c>
      <c r="Z1544" s="193" t="str">
        <f>Waste!O36</f>
        <v/>
      </c>
      <c r="AA1544" s="193" t="str">
        <f>Waste!P36</f>
        <v/>
      </c>
      <c r="AB1544" s="193" t="str">
        <f>Waste!Q36</f>
        <v/>
      </c>
      <c r="AC1544" s="193" t="str">
        <f>Waste!R36</f>
        <v/>
      </c>
      <c r="AD1544" s="193" t="str">
        <f>Waste!S36</f>
        <v/>
      </c>
      <c r="AE1544" s="193" t="str">
        <f>Waste!T36</f>
        <v/>
      </c>
      <c r="AF1544" s="193" t="str">
        <f>Waste!U36</f>
        <v/>
      </c>
      <c r="AG1544" s="193" t="str">
        <f>Waste!V36</f>
        <v/>
      </c>
      <c r="AI1544" s="193">
        <f t="shared" si="36"/>
        <v>0</v>
      </c>
      <c r="AJ1544" s="193">
        <f t="shared" si="37"/>
        <v>0</v>
      </c>
    </row>
    <row r="1545" spans="2:36" x14ac:dyDescent="0.35">
      <c r="B1545" s="193" t="e">
        <f>"2024"&amp;MATCH(Totals!D1545,OrgType,0)&amp;"_"&amp;MATCH(Totals!E1545,Organisations,0)&amp;"_"&amp;LEFT(Totals!F1545,1)&amp;"_"&amp;LEFT(G1545,1)&amp;"_"&amp;COUNTIF($G$3:G1545,G1545)</f>
        <v>#N/A</v>
      </c>
      <c r="C1545" s="193">
        <v>2025</v>
      </c>
      <c r="D1545" s="193">
        <f>Introduction!$D$7</f>
        <v>0</v>
      </c>
      <c r="E1545" s="193">
        <f>Introduction!$D$8</f>
        <v>0</v>
      </c>
      <c r="F1545" s="193" t="s">
        <v>113</v>
      </c>
      <c r="G1545" s="193" t="s">
        <v>494</v>
      </c>
      <c r="H1545" s="194"/>
      <c r="I1545" s="194"/>
      <c r="J1545" s="193">
        <f>Waste!B37</f>
        <v>0</v>
      </c>
      <c r="K1545" s="194"/>
      <c r="L1545" s="194"/>
      <c r="M1545" s="193">
        <f>Waste!C37</f>
        <v>0</v>
      </c>
      <c r="N1545" s="193">
        <f>Waste!D37</f>
        <v>0</v>
      </c>
      <c r="O1545" s="194"/>
      <c r="P1545" s="193">
        <f>Waste!E37</f>
        <v>0</v>
      </c>
      <c r="Q1545" s="193" t="str">
        <f>Waste!F37</f>
        <v/>
      </c>
      <c r="R1545" s="193">
        <f>Waste!G37</f>
        <v>0</v>
      </c>
      <c r="S1545" s="193">
        <f>Waste!H37</f>
        <v>0</v>
      </c>
      <c r="T1545" s="193" t="str">
        <f>Waste!I37</f>
        <v/>
      </c>
      <c r="U1545" s="193" t="str">
        <f>Waste!J37</f>
        <v/>
      </c>
      <c r="V1545" s="193" t="str">
        <f>Waste!K37</f>
        <v/>
      </c>
      <c r="W1545" s="193" t="str">
        <f>Waste!L37</f>
        <v/>
      </c>
      <c r="X1545" s="193">
        <f>Waste!M37</f>
        <v>0</v>
      </c>
      <c r="Y1545" s="193">
        <f>Waste!N37</f>
        <v>0</v>
      </c>
      <c r="Z1545" s="193" t="str">
        <f>Waste!O37</f>
        <v/>
      </c>
      <c r="AA1545" s="193" t="str">
        <f>Waste!P37</f>
        <v/>
      </c>
      <c r="AB1545" s="193" t="str">
        <f>Waste!Q37</f>
        <v/>
      </c>
      <c r="AC1545" s="193" t="str">
        <f>Waste!R37</f>
        <v/>
      </c>
      <c r="AD1545" s="193" t="str">
        <f>Waste!S37</f>
        <v/>
      </c>
      <c r="AE1545" s="193" t="str">
        <f>Waste!T37</f>
        <v/>
      </c>
      <c r="AF1545" s="193" t="str">
        <f>Waste!U37</f>
        <v/>
      </c>
      <c r="AG1545" s="193" t="str">
        <f>Waste!V37</f>
        <v/>
      </c>
      <c r="AI1545" s="193">
        <f t="shared" si="36"/>
        <v>0</v>
      </c>
      <c r="AJ1545" s="193">
        <f t="shared" si="37"/>
        <v>0</v>
      </c>
    </row>
    <row r="1546" spans="2:36" x14ac:dyDescent="0.35">
      <c r="B1546" s="193" t="e">
        <f>"2024"&amp;MATCH(Totals!D1546,OrgType,0)&amp;"_"&amp;MATCH(Totals!E1546,Organisations,0)&amp;"_"&amp;LEFT(Totals!F1546,1)&amp;"_"&amp;LEFT(G1546,1)&amp;"_"&amp;COUNTIF($G$3:G1546,G1546)</f>
        <v>#N/A</v>
      </c>
      <c r="C1546" s="193">
        <v>2025</v>
      </c>
      <c r="D1546" s="193">
        <f>Introduction!$D$7</f>
        <v>0</v>
      </c>
      <c r="E1546" s="193">
        <f>Introduction!$D$8</f>
        <v>0</v>
      </c>
      <c r="F1546" s="193" t="s">
        <v>113</v>
      </c>
      <c r="G1546" s="193" t="s">
        <v>494</v>
      </c>
      <c r="H1546" s="194"/>
      <c r="I1546" s="194"/>
      <c r="J1546" s="193">
        <f>Waste!B38</f>
        <v>0</v>
      </c>
      <c r="K1546" s="194"/>
      <c r="L1546" s="194"/>
      <c r="M1546" s="193">
        <f>Waste!C38</f>
        <v>0</v>
      </c>
      <c r="N1546" s="193">
        <f>Waste!D38</f>
        <v>0</v>
      </c>
      <c r="O1546" s="194"/>
      <c r="P1546" s="193">
        <f>Waste!E38</f>
        <v>0</v>
      </c>
      <c r="Q1546" s="193" t="str">
        <f>Waste!F38</f>
        <v/>
      </c>
      <c r="R1546" s="193">
        <f>Waste!G38</f>
        <v>0</v>
      </c>
      <c r="S1546" s="193">
        <f>Waste!H38</f>
        <v>0</v>
      </c>
      <c r="T1546" s="193" t="str">
        <f>Waste!I38</f>
        <v/>
      </c>
      <c r="U1546" s="193" t="str">
        <f>Waste!J38</f>
        <v/>
      </c>
      <c r="V1546" s="193" t="str">
        <f>Waste!K38</f>
        <v/>
      </c>
      <c r="W1546" s="193" t="str">
        <f>Waste!L38</f>
        <v/>
      </c>
      <c r="X1546" s="193">
        <f>Waste!M38</f>
        <v>0</v>
      </c>
      <c r="Y1546" s="193">
        <f>Waste!N38</f>
        <v>0</v>
      </c>
      <c r="Z1546" s="193" t="str">
        <f>Waste!O38</f>
        <v/>
      </c>
      <c r="AA1546" s="193" t="str">
        <f>Waste!P38</f>
        <v/>
      </c>
      <c r="AB1546" s="193" t="str">
        <f>Waste!Q38</f>
        <v/>
      </c>
      <c r="AC1546" s="193" t="str">
        <f>Waste!R38</f>
        <v/>
      </c>
      <c r="AD1546" s="193" t="str">
        <f>Waste!S38</f>
        <v/>
      </c>
      <c r="AE1546" s="193" t="str">
        <f>Waste!T38</f>
        <v/>
      </c>
      <c r="AF1546" s="193" t="str">
        <f>Waste!U38</f>
        <v/>
      </c>
      <c r="AG1546" s="193" t="str">
        <f>Waste!V38</f>
        <v/>
      </c>
      <c r="AI1546" s="193">
        <f t="shared" si="36"/>
        <v>0</v>
      </c>
      <c r="AJ1546" s="193">
        <f t="shared" si="37"/>
        <v>0</v>
      </c>
    </row>
    <row r="1547" spans="2:36" x14ac:dyDescent="0.35">
      <c r="B1547" s="193" t="e">
        <f>"2024"&amp;MATCH(Totals!D1547,OrgType,0)&amp;"_"&amp;MATCH(Totals!E1547,Organisations,0)&amp;"_"&amp;LEFT(Totals!F1547,1)&amp;"_"&amp;LEFT(G1547,1)&amp;"_"&amp;COUNTIF($G$3:G1547,G1547)</f>
        <v>#N/A</v>
      </c>
      <c r="C1547" s="193">
        <v>2025</v>
      </c>
      <c r="D1547" s="193">
        <f>Introduction!$D$7</f>
        <v>0</v>
      </c>
      <c r="E1547" s="193">
        <f>Introduction!$D$8</f>
        <v>0</v>
      </c>
      <c r="F1547" s="193" t="s">
        <v>113</v>
      </c>
      <c r="G1547" s="193" t="s">
        <v>494</v>
      </c>
      <c r="H1547" s="194"/>
      <c r="I1547" s="194"/>
      <c r="J1547" s="193">
        <f>Waste!B39</f>
        <v>0</v>
      </c>
      <c r="K1547" s="194"/>
      <c r="L1547" s="194"/>
      <c r="M1547" s="193">
        <f>Waste!C39</f>
        <v>0</v>
      </c>
      <c r="N1547" s="193">
        <f>Waste!D39</f>
        <v>0</v>
      </c>
      <c r="O1547" s="194"/>
      <c r="P1547" s="193">
        <f>Waste!E39</f>
        <v>0</v>
      </c>
      <c r="Q1547" s="193" t="str">
        <f>Waste!F39</f>
        <v/>
      </c>
      <c r="R1547" s="193">
        <f>Waste!G39</f>
        <v>0</v>
      </c>
      <c r="S1547" s="193">
        <f>Waste!H39</f>
        <v>0</v>
      </c>
      <c r="T1547" s="193" t="str">
        <f>Waste!I39</f>
        <v/>
      </c>
      <c r="U1547" s="193" t="str">
        <f>Waste!J39</f>
        <v/>
      </c>
      <c r="V1547" s="193" t="str">
        <f>Waste!K39</f>
        <v/>
      </c>
      <c r="W1547" s="193" t="str">
        <f>Waste!L39</f>
        <v/>
      </c>
      <c r="X1547" s="193">
        <f>Waste!M39</f>
        <v>0</v>
      </c>
      <c r="Y1547" s="193">
        <f>Waste!N39</f>
        <v>0</v>
      </c>
      <c r="Z1547" s="193" t="str">
        <f>Waste!O39</f>
        <v/>
      </c>
      <c r="AA1547" s="193" t="str">
        <f>Waste!P39</f>
        <v/>
      </c>
      <c r="AB1547" s="193" t="str">
        <f>Waste!Q39</f>
        <v/>
      </c>
      <c r="AC1547" s="193" t="str">
        <f>Waste!R39</f>
        <v/>
      </c>
      <c r="AD1547" s="193" t="str">
        <f>Waste!S39</f>
        <v/>
      </c>
      <c r="AE1547" s="193" t="str">
        <f>Waste!T39</f>
        <v/>
      </c>
      <c r="AF1547" s="193" t="str">
        <f>Waste!U39</f>
        <v/>
      </c>
      <c r="AG1547" s="193" t="str">
        <f>Waste!V39</f>
        <v/>
      </c>
      <c r="AI1547" s="193">
        <f t="shared" si="36"/>
        <v>0</v>
      </c>
      <c r="AJ1547" s="193">
        <f t="shared" si="37"/>
        <v>0</v>
      </c>
    </row>
    <row r="1548" spans="2:36" x14ac:dyDescent="0.35">
      <c r="B1548" s="193" t="e">
        <f>"2024"&amp;MATCH(Totals!D1548,OrgType,0)&amp;"_"&amp;MATCH(Totals!E1548,Organisations,0)&amp;"_"&amp;LEFT(Totals!F1548,1)&amp;"_"&amp;LEFT(G1548,1)&amp;"_"&amp;COUNTIF($G$3:G1548,G1548)</f>
        <v>#N/A</v>
      </c>
      <c r="C1548" s="193">
        <v>2025</v>
      </c>
      <c r="D1548" s="193">
        <f>Introduction!$D$7</f>
        <v>0</v>
      </c>
      <c r="E1548" s="193">
        <f>Introduction!$D$8</f>
        <v>0</v>
      </c>
      <c r="F1548" s="193" t="s">
        <v>113</v>
      </c>
      <c r="G1548" s="193" t="s">
        <v>494</v>
      </c>
      <c r="H1548" s="194"/>
      <c r="I1548" s="194"/>
      <c r="J1548" s="193">
        <f>Waste!B40</f>
        <v>0</v>
      </c>
      <c r="K1548" s="194"/>
      <c r="L1548" s="194"/>
      <c r="M1548" s="193">
        <f>Waste!C40</f>
        <v>0</v>
      </c>
      <c r="N1548" s="193">
        <f>Waste!D40</f>
        <v>0</v>
      </c>
      <c r="O1548" s="194"/>
      <c r="P1548" s="193">
        <f>Waste!E40</f>
        <v>0</v>
      </c>
      <c r="Q1548" s="193" t="str">
        <f>Waste!F40</f>
        <v/>
      </c>
      <c r="R1548" s="193">
        <f>Waste!G40</f>
        <v>0</v>
      </c>
      <c r="S1548" s="193">
        <f>Waste!H40</f>
        <v>0</v>
      </c>
      <c r="T1548" s="193" t="str">
        <f>Waste!I40</f>
        <v/>
      </c>
      <c r="U1548" s="193" t="str">
        <f>Waste!J40</f>
        <v/>
      </c>
      <c r="V1548" s="193" t="str">
        <f>Waste!K40</f>
        <v/>
      </c>
      <c r="W1548" s="193" t="str">
        <f>Waste!L40</f>
        <v/>
      </c>
      <c r="X1548" s="193">
        <f>Waste!M40</f>
        <v>0</v>
      </c>
      <c r="Y1548" s="193">
        <f>Waste!N40</f>
        <v>0</v>
      </c>
      <c r="Z1548" s="193" t="str">
        <f>Waste!O40</f>
        <v/>
      </c>
      <c r="AA1548" s="193" t="str">
        <f>Waste!P40</f>
        <v/>
      </c>
      <c r="AB1548" s="193" t="str">
        <f>Waste!Q40</f>
        <v/>
      </c>
      <c r="AC1548" s="193" t="str">
        <f>Waste!R40</f>
        <v/>
      </c>
      <c r="AD1548" s="193" t="str">
        <f>Waste!S40</f>
        <v/>
      </c>
      <c r="AE1548" s="193" t="str">
        <f>Waste!T40</f>
        <v/>
      </c>
      <c r="AF1548" s="193" t="str">
        <f>Waste!U40</f>
        <v/>
      </c>
      <c r="AG1548" s="193" t="str">
        <f>Waste!V40</f>
        <v/>
      </c>
      <c r="AI1548" s="193">
        <f t="shared" si="36"/>
        <v>0</v>
      </c>
      <c r="AJ1548" s="193">
        <f t="shared" si="37"/>
        <v>0</v>
      </c>
    </row>
    <row r="1549" spans="2:36" x14ac:dyDescent="0.35">
      <c r="B1549" s="193" t="e">
        <f>"2024"&amp;MATCH(Totals!D1549,OrgType,0)&amp;"_"&amp;MATCH(Totals!E1549,Organisations,0)&amp;"_"&amp;LEFT(Totals!F1549,1)&amp;"_"&amp;LEFT(G1549,1)&amp;"_"&amp;COUNTIF($G$3:G1549,G1549)</f>
        <v>#N/A</v>
      </c>
      <c r="C1549" s="193">
        <v>2025</v>
      </c>
      <c r="D1549" s="193">
        <f>Introduction!$D$7</f>
        <v>0</v>
      </c>
      <c r="E1549" s="193">
        <f>Introduction!$D$8</f>
        <v>0</v>
      </c>
      <c r="F1549" s="193" t="s">
        <v>113</v>
      </c>
      <c r="G1549" s="193" t="s">
        <v>494</v>
      </c>
      <c r="H1549" s="194"/>
      <c r="I1549" s="194"/>
      <c r="J1549" s="193">
        <f>Waste!B41</f>
        <v>0</v>
      </c>
      <c r="K1549" s="194"/>
      <c r="L1549" s="194"/>
      <c r="M1549" s="193">
        <f>Waste!C41</f>
        <v>0</v>
      </c>
      <c r="N1549" s="193">
        <f>Waste!D41</f>
        <v>0</v>
      </c>
      <c r="O1549" s="194"/>
      <c r="P1549" s="193">
        <f>Waste!E41</f>
        <v>0</v>
      </c>
      <c r="Q1549" s="193" t="str">
        <f>Waste!F41</f>
        <v/>
      </c>
      <c r="R1549" s="193">
        <f>Waste!G41</f>
        <v>0</v>
      </c>
      <c r="S1549" s="193">
        <f>Waste!H41</f>
        <v>0</v>
      </c>
      <c r="T1549" s="193" t="str">
        <f>Waste!I41</f>
        <v/>
      </c>
      <c r="U1549" s="193" t="str">
        <f>Waste!J41</f>
        <v/>
      </c>
      <c r="V1549" s="193" t="str">
        <f>Waste!K41</f>
        <v/>
      </c>
      <c r="W1549" s="193" t="str">
        <f>Waste!L41</f>
        <v/>
      </c>
      <c r="X1549" s="193">
        <f>Waste!M41</f>
        <v>0</v>
      </c>
      <c r="Y1549" s="193">
        <f>Waste!N41</f>
        <v>0</v>
      </c>
      <c r="Z1549" s="193" t="str">
        <f>Waste!O41</f>
        <v/>
      </c>
      <c r="AA1549" s="193" t="str">
        <f>Waste!P41</f>
        <v/>
      </c>
      <c r="AB1549" s="193" t="str">
        <f>Waste!Q41</f>
        <v/>
      </c>
      <c r="AC1549" s="193" t="str">
        <f>Waste!R41</f>
        <v/>
      </c>
      <c r="AD1549" s="193" t="str">
        <f>Waste!S41</f>
        <v/>
      </c>
      <c r="AE1549" s="193" t="str">
        <f>Waste!T41</f>
        <v/>
      </c>
      <c r="AF1549" s="193" t="str">
        <f>Waste!U41</f>
        <v/>
      </c>
      <c r="AG1549" s="193" t="str">
        <f>Waste!V41</f>
        <v/>
      </c>
      <c r="AI1549" s="193">
        <f t="shared" si="36"/>
        <v>0</v>
      </c>
      <c r="AJ1549" s="193">
        <f t="shared" si="37"/>
        <v>0</v>
      </c>
    </row>
    <row r="1550" spans="2:36" x14ac:dyDescent="0.35">
      <c r="B1550" s="193" t="e">
        <f>"2024"&amp;MATCH(Totals!D1550,OrgType,0)&amp;"_"&amp;MATCH(Totals!E1550,Organisations,0)&amp;"_"&amp;LEFT(Totals!F1550,1)&amp;"_"&amp;LEFT(G1550,1)&amp;"_"&amp;COUNTIF($G$3:G1550,G1550)</f>
        <v>#N/A</v>
      </c>
      <c r="C1550" s="193">
        <v>2025</v>
      </c>
      <c r="D1550" s="193">
        <f>Introduction!$D$7</f>
        <v>0</v>
      </c>
      <c r="E1550" s="193">
        <f>Introduction!$D$8</f>
        <v>0</v>
      </c>
      <c r="F1550" s="193" t="s">
        <v>113</v>
      </c>
      <c r="G1550" s="193" t="s">
        <v>494</v>
      </c>
      <c r="H1550" s="194"/>
      <c r="I1550" s="194"/>
      <c r="J1550" s="193">
        <f>Waste!B42</f>
        <v>0</v>
      </c>
      <c r="K1550" s="194"/>
      <c r="L1550" s="194"/>
      <c r="M1550" s="193">
        <f>Waste!C42</f>
        <v>0</v>
      </c>
      <c r="N1550" s="193">
        <f>Waste!D42</f>
        <v>0</v>
      </c>
      <c r="O1550" s="194"/>
      <c r="P1550" s="193">
        <f>Waste!E42</f>
        <v>0</v>
      </c>
      <c r="Q1550" s="193" t="str">
        <f>Waste!F42</f>
        <v/>
      </c>
      <c r="R1550" s="193">
        <f>Waste!G42</f>
        <v>0</v>
      </c>
      <c r="S1550" s="193">
        <f>Waste!H42</f>
        <v>0</v>
      </c>
      <c r="T1550" s="193" t="str">
        <f>Waste!I42</f>
        <v/>
      </c>
      <c r="U1550" s="193" t="str">
        <f>Waste!J42</f>
        <v/>
      </c>
      <c r="V1550" s="193" t="str">
        <f>Waste!K42</f>
        <v/>
      </c>
      <c r="W1550" s="193" t="str">
        <f>Waste!L42</f>
        <v/>
      </c>
      <c r="X1550" s="193">
        <f>Waste!M42</f>
        <v>0</v>
      </c>
      <c r="Y1550" s="193">
        <f>Waste!N42</f>
        <v>0</v>
      </c>
      <c r="Z1550" s="193" t="str">
        <f>Waste!O42</f>
        <v/>
      </c>
      <c r="AA1550" s="193" t="str">
        <f>Waste!P42</f>
        <v/>
      </c>
      <c r="AB1550" s="193" t="str">
        <f>Waste!Q42</f>
        <v/>
      </c>
      <c r="AC1550" s="193" t="str">
        <f>Waste!R42</f>
        <v/>
      </c>
      <c r="AD1550" s="193" t="str">
        <f>Waste!S42</f>
        <v/>
      </c>
      <c r="AE1550" s="193" t="str">
        <f>Waste!T42</f>
        <v/>
      </c>
      <c r="AF1550" s="193" t="str">
        <f>Waste!U42</f>
        <v/>
      </c>
      <c r="AG1550" s="193" t="str">
        <f>Waste!V42</f>
        <v/>
      </c>
      <c r="AI1550" s="193">
        <f t="shared" si="36"/>
        <v>0</v>
      </c>
      <c r="AJ1550" s="193">
        <f t="shared" si="37"/>
        <v>0</v>
      </c>
    </row>
    <row r="1551" spans="2:36" x14ac:dyDescent="0.35">
      <c r="B1551" s="193" t="e">
        <f>"2024"&amp;MATCH(Totals!D1551,OrgType,0)&amp;"_"&amp;MATCH(Totals!E1551,Organisations,0)&amp;"_"&amp;LEFT(Totals!F1551,1)&amp;"_"&amp;LEFT(G1551,1)&amp;"_"&amp;COUNTIF($G$3:G1551,G1551)</f>
        <v>#N/A</v>
      </c>
      <c r="C1551" s="193">
        <v>2025</v>
      </c>
      <c r="D1551" s="193">
        <f>Introduction!$D$7</f>
        <v>0</v>
      </c>
      <c r="E1551" s="193">
        <f>Introduction!$D$8</f>
        <v>0</v>
      </c>
      <c r="F1551" s="193" t="s">
        <v>113</v>
      </c>
      <c r="G1551" s="193" t="s">
        <v>494</v>
      </c>
      <c r="H1551" s="194"/>
      <c r="I1551" s="194"/>
      <c r="J1551" s="193">
        <f>Waste!B43</f>
        <v>0</v>
      </c>
      <c r="K1551" s="194"/>
      <c r="L1551" s="194"/>
      <c r="M1551" s="193">
        <f>Waste!C43</f>
        <v>0</v>
      </c>
      <c r="N1551" s="193">
        <f>Waste!D43</f>
        <v>0</v>
      </c>
      <c r="O1551" s="194"/>
      <c r="P1551" s="193">
        <f>Waste!E43</f>
        <v>0</v>
      </c>
      <c r="Q1551" s="193" t="str">
        <f>Waste!F43</f>
        <v/>
      </c>
      <c r="R1551" s="193">
        <f>Waste!G43</f>
        <v>0</v>
      </c>
      <c r="S1551" s="193">
        <f>Waste!H43</f>
        <v>0</v>
      </c>
      <c r="T1551" s="193" t="str">
        <f>Waste!I43</f>
        <v/>
      </c>
      <c r="U1551" s="193" t="str">
        <f>Waste!J43</f>
        <v/>
      </c>
      <c r="V1551" s="193" t="str">
        <f>Waste!K43</f>
        <v/>
      </c>
      <c r="W1551" s="193" t="str">
        <f>Waste!L43</f>
        <v/>
      </c>
      <c r="X1551" s="193">
        <f>Waste!M43</f>
        <v>0</v>
      </c>
      <c r="Y1551" s="193">
        <f>Waste!N43</f>
        <v>0</v>
      </c>
      <c r="Z1551" s="193" t="str">
        <f>Waste!O43</f>
        <v/>
      </c>
      <c r="AA1551" s="193" t="str">
        <f>Waste!P43</f>
        <v/>
      </c>
      <c r="AB1551" s="193" t="str">
        <f>Waste!Q43</f>
        <v/>
      </c>
      <c r="AC1551" s="193" t="str">
        <f>Waste!R43</f>
        <v/>
      </c>
      <c r="AD1551" s="193" t="str">
        <f>Waste!S43</f>
        <v/>
      </c>
      <c r="AE1551" s="193" t="str">
        <f>Waste!T43</f>
        <v/>
      </c>
      <c r="AF1551" s="193" t="str">
        <f>Waste!U43</f>
        <v/>
      </c>
      <c r="AG1551" s="193" t="str">
        <f>Waste!V43</f>
        <v/>
      </c>
      <c r="AI1551" s="193">
        <f t="shared" si="36"/>
        <v>0</v>
      </c>
      <c r="AJ1551" s="193">
        <f t="shared" si="37"/>
        <v>0</v>
      </c>
    </row>
    <row r="1552" spans="2:36" x14ac:dyDescent="0.35">
      <c r="B1552" s="193" t="e">
        <f>"2024"&amp;MATCH(Totals!D1552,OrgType,0)&amp;"_"&amp;MATCH(Totals!E1552,Organisations,0)&amp;"_"&amp;LEFT(Totals!F1552,1)&amp;"_"&amp;LEFT(G1552,1)&amp;"_"&amp;COUNTIF($G$3:G1552,G1552)</f>
        <v>#N/A</v>
      </c>
      <c r="C1552" s="193">
        <v>2025</v>
      </c>
      <c r="D1552" s="193">
        <f>Introduction!$D$7</f>
        <v>0</v>
      </c>
      <c r="E1552" s="193">
        <f>Introduction!$D$8</f>
        <v>0</v>
      </c>
      <c r="F1552" s="193" t="s">
        <v>113</v>
      </c>
      <c r="G1552" s="193" t="s">
        <v>494</v>
      </c>
      <c r="H1552" s="194"/>
      <c r="I1552" s="194"/>
      <c r="J1552" s="193">
        <f>Waste!B44</f>
        <v>0</v>
      </c>
      <c r="K1552" s="194"/>
      <c r="L1552" s="194"/>
      <c r="M1552" s="193">
        <f>Waste!C44</f>
        <v>0</v>
      </c>
      <c r="N1552" s="193">
        <f>Waste!D44</f>
        <v>0</v>
      </c>
      <c r="O1552" s="194"/>
      <c r="P1552" s="193">
        <f>Waste!E44</f>
        <v>0</v>
      </c>
      <c r="Q1552" s="193" t="str">
        <f>Waste!F44</f>
        <v/>
      </c>
      <c r="R1552" s="193">
        <f>Waste!G44</f>
        <v>0</v>
      </c>
      <c r="S1552" s="193">
        <f>Waste!H44</f>
        <v>0</v>
      </c>
      <c r="T1552" s="193" t="str">
        <f>Waste!I44</f>
        <v/>
      </c>
      <c r="U1552" s="193" t="str">
        <f>Waste!J44</f>
        <v/>
      </c>
      <c r="V1552" s="193" t="str">
        <f>Waste!K44</f>
        <v/>
      </c>
      <c r="W1552" s="193" t="str">
        <f>Waste!L44</f>
        <v/>
      </c>
      <c r="X1552" s="193">
        <f>Waste!M44</f>
        <v>0</v>
      </c>
      <c r="Y1552" s="193">
        <f>Waste!N44</f>
        <v>0</v>
      </c>
      <c r="Z1552" s="193" t="str">
        <f>Waste!O44</f>
        <v/>
      </c>
      <c r="AA1552" s="193" t="str">
        <f>Waste!P44</f>
        <v/>
      </c>
      <c r="AB1552" s="193" t="str">
        <f>Waste!Q44</f>
        <v/>
      </c>
      <c r="AC1552" s="193" t="str">
        <f>Waste!R44</f>
        <v/>
      </c>
      <c r="AD1552" s="193" t="str">
        <f>Waste!S44</f>
        <v/>
      </c>
      <c r="AE1552" s="193" t="str">
        <f>Waste!T44</f>
        <v/>
      </c>
      <c r="AF1552" s="193" t="str">
        <f>Waste!U44</f>
        <v/>
      </c>
      <c r="AG1552" s="193" t="str">
        <f>Waste!V44</f>
        <v/>
      </c>
      <c r="AI1552" s="193">
        <f t="shared" si="36"/>
        <v>0</v>
      </c>
      <c r="AJ1552" s="193">
        <f t="shared" si="37"/>
        <v>0</v>
      </c>
    </row>
    <row r="1553" spans="2:36" x14ac:dyDescent="0.35">
      <c r="B1553" s="193" t="e">
        <f>"2024"&amp;MATCH(Totals!D1553,OrgType,0)&amp;"_"&amp;MATCH(Totals!E1553,Organisations,0)&amp;"_"&amp;LEFT(Totals!F1553,1)&amp;"_"&amp;LEFT(G1553,1)&amp;"_"&amp;COUNTIF($G$3:G1553,G1553)</f>
        <v>#N/A</v>
      </c>
      <c r="C1553" s="193">
        <v>2025</v>
      </c>
      <c r="D1553" s="193">
        <f>Introduction!$D$7</f>
        <v>0</v>
      </c>
      <c r="E1553" s="193">
        <f>Introduction!$D$8</f>
        <v>0</v>
      </c>
      <c r="F1553" s="193" t="s">
        <v>113</v>
      </c>
      <c r="G1553" s="193" t="s">
        <v>494</v>
      </c>
      <c r="H1553" s="194"/>
      <c r="I1553" s="194"/>
      <c r="J1553" s="193">
        <f>Waste!B45</f>
        <v>0</v>
      </c>
      <c r="K1553" s="194"/>
      <c r="L1553" s="194"/>
      <c r="M1553" s="193">
        <f>Waste!C45</f>
        <v>0</v>
      </c>
      <c r="N1553" s="193">
        <f>Waste!D45</f>
        <v>0</v>
      </c>
      <c r="O1553" s="194"/>
      <c r="P1553" s="193">
        <f>Waste!E45</f>
        <v>0</v>
      </c>
      <c r="Q1553" s="193" t="str">
        <f>Waste!F45</f>
        <v/>
      </c>
      <c r="R1553" s="193">
        <f>Waste!G45</f>
        <v>0</v>
      </c>
      <c r="S1553" s="193">
        <f>Waste!H45</f>
        <v>0</v>
      </c>
      <c r="T1553" s="193" t="str">
        <f>Waste!I45</f>
        <v/>
      </c>
      <c r="U1553" s="193" t="str">
        <f>Waste!J45</f>
        <v/>
      </c>
      <c r="V1553" s="193" t="str">
        <f>Waste!K45</f>
        <v/>
      </c>
      <c r="W1553" s="193" t="str">
        <f>Waste!L45</f>
        <v/>
      </c>
      <c r="X1553" s="193">
        <f>Waste!M45</f>
        <v>0</v>
      </c>
      <c r="Y1553" s="193">
        <f>Waste!N45</f>
        <v>0</v>
      </c>
      <c r="Z1553" s="193" t="str">
        <f>Waste!O45</f>
        <v/>
      </c>
      <c r="AA1553" s="193" t="str">
        <f>Waste!P45</f>
        <v/>
      </c>
      <c r="AB1553" s="193" t="str">
        <f>Waste!Q45</f>
        <v/>
      </c>
      <c r="AC1553" s="193" t="str">
        <f>Waste!R45</f>
        <v/>
      </c>
      <c r="AD1553" s="193" t="str">
        <f>Waste!S45</f>
        <v/>
      </c>
      <c r="AE1553" s="193" t="str">
        <f>Waste!T45</f>
        <v/>
      </c>
      <c r="AF1553" s="193" t="str">
        <f>Waste!U45</f>
        <v/>
      </c>
      <c r="AG1553" s="193" t="str">
        <f>Waste!V45</f>
        <v/>
      </c>
      <c r="AI1553" s="193">
        <f t="shared" si="36"/>
        <v>0</v>
      </c>
      <c r="AJ1553" s="193">
        <f t="shared" si="37"/>
        <v>0</v>
      </c>
    </row>
    <row r="1554" spans="2:36" x14ac:dyDescent="0.35">
      <c r="B1554" s="193" t="e">
        <f>"2024"&amp;MATCH(Totals!D1554,OrgType,0)&amp;"_"&amp;MATCH(Totals!E1554,Organisations,0)&amp;"_"&amp;LEFT(Totals!F1554,1)&amp;"_"&amp;LEFT(G1554,1)&amp;"_"&amp;COUNTIF($G$3:G1554,G1554)</f>
        <v>#N/A</v>
      </c>
      <c r="C1554" s="193">
        <v>2025</v>
      </c>
      <c r="D1554" s="193">
        <f>Introduction!$D$7</f>
        <v>0</v>
      </c>
      <c r="E1554" s="193">
        <f>Introduction!$D$8</f>
        <v>0</v>
      </c>
      <c r="F1554" s="193" t="s">
        <v>113</v>
      </c>
      <c r="G1554" s="193" t="s">
        <v>494</v>
      </c>
      <c r="H1554" s="194"/>
      <c r="I1554" s="194"/>
      <c r="J1554" s="193">
        <f>Waste!B46</f>
        <v>0</v>
      </c>
      <c r="K1554" s="194"/>
      <c r="L1554" s="194"/>
      <c r="M1554" s="193">
        <f>Waste!C46</f>
        <v>0</v>
      </c>
      <c r="N1554" s="193">
        <f>Waste!D46</f>
        <v>0</v>
      </c>
      <c r="O1554" s="194"/>
      <c r="P1554" s="193">
        <f>Waste!E46</f>
        <v>0</v>
      </c>
      <c r="Q1554" s="193" t="str">
        <f>Waste!F46</f>
        <v/>
      </c>
      <c r="R1554" s="193">
        <f>Waste!G46</f>
        <v>0</v>
      </c>
      <c r="S1554" s="193">
        <f>Waste!H46</f>
        <v>0</v>
      </c>
      <c r="T1554" s="193" t="str">
        <f>Waste!I46</f>
        <v/>
      </c>
      <c r="U1554" s="193" t="str">
        <f>Waste!J46</f>
        <v/>
      </c>
      <c r="V1554" s="193" t="str">
        <f>Waste!K46</f>
        <v/>
      </c>
      <c r="W1554" s="193" t="str">
        <f>Waste!L46</f>
        <v/>
      </c>
      <c r="X1554" s="193">
        <f>Waste!M46</f>
        <v>0</v>
      </c>
      <c r="Y1554" s="193">
        <f>Waste!N46</f>
        <v>0</v>
      </c>
      <c r="Z1554" s="193" t="str">
        <f>Waste!O46</f>
        <v/>
      </c>
      <c r="AA1554" s="193" t="str">
        <f>Waste!P46</f>
        <v/>
      </c>
      <c r="AB1554" s="193" t="str">
        <f>Waste!Q46</f>
        <v/>
      </c>
      <c r="AC1554" s="193" t="str">
        <f>Waste!R46</f>
        <v/>
      </c>
      <c r="AD1554" s="193" t="str">
        <f>Waste!S46</f>
        <v/>
      </c>
      <c r="AE1554" s="193" t="str">
        <f>Waste!T46</f>
        <v/>
      </c>
      <c r="AF1554" s="193" t="str">
        <f>Waste!U46</f>
        <v/>
      </c>
      <c r="AG1554" s="193" t="str">
        <f>Waste!V46</f>
        <v/>
      </c>
      <c r="AI1554" s="193">
        <f t="shared" si="36"/>
        <v>0</v>
      </c>
      <c r="AJ1554" s="193">
        <f t="shared" si="37"/>
        <v>0</v>
      </c>
    </row>
    <row r="1555" spans="2:36" x14ac:dyDescent="0.35">
      <c r="B1555" s="193" t="e">
        <f>"2024"&amp;MATCH(Totals!D1555,OrgType,0)&amp;"_"&amp;MATCH(Totals!E1555,Organisations,0)&amp;"_"&amp;LEFT(Totals!F1555,1)&amp;"_"&amp;LEFT(G1555,1)&amp;"_"&amp;COUNTIF($G$3:G1555,G1555)</f>
        <v>#N/A</v>
      </c>
      <c r="C1555" s="193">
        <v>2025</v>
      </c>
      <c r="D1555" s="193">
        <f>Introduction!$D$7</f>
        <v>0</v>
      </c>
      <c r="E1555" s="193">
        <f>Introduction!$D$8</f>
        <v>0</v>
      </c>
      <c r="F1555" s="193" t="s">
        <v>113</v>
      </c>
      <c r="G1555" s="193" t="s">
        <v>494</v>
      </c>
      <c r="H1555" s="194"/>
      <c r="I1555" s="194"/>
      <c r="J1555" s="193">
        <f>Waste!B47</f>
        <v>0</v>
      </c>
      <c r="K1555" s="194"/>
      <c r="L1555" s="194"/>
      <c r="M1555" s="193">
        <f>Waste!C47</f>
        <v>0</v>
      </c>
      <c r="N1555" s="193">
        <f>Waste!D47</f>
        <v>0</v>
      </c>
      <c r="O1555" s="194"/>
      <c r="P1555" s="193">
        <f>Waste!E47</f>
        <v>0</v>
      </c>
      <c r="Q1555" s="193" t="str">
        <f>Waste!F47</f>
        <v/>
      </c>
      <c r="R1555" s="193">
        <f>Waste!G47</f>
        <v>0</v>
      </c>
      <c r="S1555" s="193">
        <f>Waste!H47</f>
        <v>0</v>
      </c>
      <c r="T1555" s="193" t="str">
        <f>Waste!I47</f>
        <v/>
      </c>
      <c r="U1555" s="193" t="str">
        <f>Waste!J47</f>
        <v/>
      </c>
      <c r="V1555" s="193" t="str">
        <f>Waste!K47</f>
        <v/>
      </c>
      <c r="W1555" s="193" t="str">
        <f>Waste!L47</f>
        <v/>
      </c>
      <c r="X1555" s="193">
        <f>Waste!M47</f>
        <v>0</v>
      </c>
      <c r="Y1555" s="193">
        <f>Waste!N47</f>
        <v>0</v>
      </c>
      <c r="Z1555" s="193" t="str">
        <f>Waste!O47</f>
        <v/>
      </c>
      <c r="AA1555" s="193" t="str">
        <f>Waste!P47</f>
        <v/>
      </c>
      <c r="AB1555" s="193" t="str">
        <f>Waste!Q47</f>
        <v/>
      </c>
      <c r="AC1555" s="193" t="str">
        <f>Waste!R47</f>
        <v/>
      </c>
      <c r="AD1555" s="193" t="str">
        <f>Waste!S47</f>
        <v/>
      </c>
      <c r="AE1555" s="193" t="str">
        <f>Waste!T47</f>
        <v/>
      </c>
      <c r="AF1555" s="193" t="str">
        <f>Waste!U47</f>
        <v/>
      </c>
      <c r="AG1555" s="193" t="str">
        <f>Waste!V47</f>
        <v/>
      </c>
      <c r="AI1555" s="193">
        <f t="shared" si="36"/>
        <v>0</v>
      </c>
      <c r="AJ1555" s="193">
        <f t="shared" si="37"/>
        <v>0</v>
      </c>
    </row>
    <row r="1556" spans="2:36" x14ac:dyDescent="0.35">
      <c r="B1556" s="193" t="e">
        <f>"2024"&amp;MATCH(Totals!D1556,OrgType,0)&amp;"_"&amp;MATCH(Totals!E1556,Organisations,0)&amp;"_"&amp;LEFT(Totals!F1556,1)&amp;"_"&amp;LEFT(G1556,1)&amp;"_"&amp;COUNTIF($G$3:G1556,G1556)</f>
        <v>#N/A</v>
      </c>
      <c r="C1556" s="193">
        <v>2025</v>
      </c>
      <c r="D1556" s="193">
        <f>Introduction!$D$7</f>
        <v>0</v>
      </c>
      <c r="E1556" s="193">
        <f>Introduction!$D$8</f>
        <v>0</v>
      </c>
      <c r="F1556" s="193" t="s">
        <v>113</v>
      </c>
      <c r="G1556" s="193" t="s">
        <v>494</v>
      </c>
      <c r="H1556" s="194"/>
      <c r="I1556" s="194"/>
      <c r="J1556" s="193">
        <f>Waste!B48</f>
        <v>0</v>
      </c>
      <c r="K1556" s="194"/>
      <c r="L1556" s="194"/>
      <c r="M1556" s="193">
        <f>Waste!C48</f>
        <v>0</v>
      </c>
      <c r="N1556" s="193">
        <f>Waste!D48</f>
        <v>0</v>
      </c>
      <c r="O1556" s="194"/>
      <c r="P1556" s="193">
        <f>Waste!E48</f>
        <v>0</v>
      </c>
      <c r="Q1556" s="193" t="str">
        <f>Waste!F48</f>
        <v/>
      </c>
      <c r="R1556" s="193">
        <f>Waste!G48</f>
        <v>0</v>
      </c>
      <c r="S1556" s="193">
        <f>Waste!H48</f>
        <v>0</v>
      </c>
      <c r="T1556" s="193" t="str">
        <f>Waste!I48</f>
        <v/>
      </c>
      <c r="U1556" s="193" t="str">
        <f>Waste!J48</f>
        <v/>
      </c>
      <c r="V1556" s="193" t="str">
        <f>Waste!K48</f>
        <v/>
      </c>
      <c r="W1556" s="193" t="str">
        <f>Waste!L48</f>
        <v/>
      </c>
      <c r="X1556" s="193">
        <f>Waste!M48</f>
        <v>0</v>
      </c>
      <c r="Y1556" s="193">
        <f>Waste!N48</f>
        <v>0</v>
      </c>
      <c r="Z1556" s="193" t="str">
        <f>Waste!O48</f>
        <v/>
      </c>
      <c r="AA1556" s="193" t="str">
        <f>Waste!P48</f>
        <v/>
      </c>
      <c r="AB1556" s="193" t="str">
        <f>Waste!Q48</f>
        <v/>
      </c>
      <c r="AC1556" s="193" t="str">
        <f>Waste!R48</f>
        <v/>
      </c>
      <c r="AD1556" s="193" t="str">
        <f>Waste!S48</f>
        <v/>
      </c>
      <c r="AE1556" s="193" t="str">
        <f>Waste!T48</f>
        <v/>
      </c>
      <c r="AF1556" s="193" t="str">
        <f>Waste!U48</f>
        <v/>
      </c>
      <c r="AG1556" s="193" t="str">
        <f>Waste!V48</f>
        <v/>
      </c>
      <c r="AI1556" s="193">
        <f t="shared" si="36"/>
        <v>0</v>
      </c>
      <c r="AJ1556" s="193">
        <f t="shared" si="37"/>
        <v>0</v>
      </c>
    </row>
    <row r="1557" spans="2:36" x14ac:dyDescent="0.35">
      <c r="B1557" s="193" t="e">
        <f>"2024"&amp;MATCH(Totals!D1557,OrgType,0)&amp;"_"&amp;MATCH(Totals!E1557,Organisations,0)&amp;"_"&amp;LEFT(Totals!F1557,1)&amp;"_"&amp;LEFT(G1557,1)&amp;"_"&amp;COUNTIF($G$3:G1557,G1557)</f>
        <v>#N/A</v>
      </c>
      <c r="C1557" s="193">
        <v>2025</v>
      </c>
      <c r="D1557" s="193">
        <f>Introduction!$D$7</f>
        <v>0</v>
      </c>
      <c r="E1557" s="193">
        <f>Introduction!$D$8</f>
        <v>0</v>
      </c>
      <c r="F1557" s="193" t="s">
        <v>113</v>
      </c>
      <c r="G1557" s="193" t="s">
        <v>495</v>
      </c>
      <c r="H1557" s="194"/>
      <c r="I1557" s="194"/>
      <c r="J1557" s="193">
        <f>Waste!B53</f>
        <v>0</v>
      </c>
      <c r="K1557" s="194"/>
      <c r="L1557" s="194"/>
      <c r="M1557" s="193">
        <f>Waste!C53</f>
        <v>0</v>
      </c>
      <c r="N1557" s="193">
        <f>Waste!D53</f>
        <v>0</v>
      </c>
      <c r="O1557" s="194"/>
      <c r="P1557" s="193">
        <f>Waste!E53</f>
        <v>0</v>
      </c>
      <c r="Q1557" s="193" t="str">
        <f>Waste!F53</f>
        <v/>
      </c>
      <c r="R1557" s="193">
        <f>Waste!G53</f>
        <v>0</v>
      </c>
      <c r="S1557" s="193">
        <f>Waste!H53</f>
        <v>0</v>
      </c>
      <c r="T1557" s="193" t="str">
        <f>Waste!I53</f>
        <v/>
      </c>
      <c r="U1557" s="193" t="str">
        <f>Waste!J53</f>
        <v/>
      </c>
      <c r="V1557" s="193" t="str">
        <f>Waste!K53</f>
        <v/>
      </c>
      <c r="W1557" s="193">
        <f>Waste!L53</f>
        <v>0</v>
      </c>
      <c r="X1557" s="193">
        <f>Waste!M53</f>
        <v>0</v>
      </c>
      <c r="Y1557" s="193">
        <f>Waste!N53</f>
        <v>0</v>
      </c>
      <c r="Z1557" s="193" t="str">
        <f>Waste!O53</f>
        <v/>
      </c>
      <c r="AA1557" s="193" t="str">
        <f>Waste!P53</f>
        <v/>
      </c>
      <c r="AB1557" s="193" t="str">
        <f>Waste!Q53</f>
        <v/>
      </c>
      <c r="AC1557" s="193" t="str">
        <f>Waste!R53</f>
        <v/>
      </c>
      <c r="AD1557" s="193" t="str">
        <f>Waste!S53</f>
        <v/>
      </c>
      <c r="AE1557" s="193" t="str">
        <f>Waste!T53</f>
        <v/>
      </c>
      <c r="AF1557" s="193" t="str">
        <f>Waste!U53</f>
        <v/>
      </c>
      <c r="AG1557" s="193" t="str">
        <f>Waste!V53</f>
        <v/>
      </c>
      <c r="AI1557" s="193">
        <f t="shared" si="36"/>
        <v>0</v>
      </c>
      <c r="AJ1557" s="193">
        <f t="shared" si="37"/>
        <v>0</v>
      </c>
    </row>
    <row r="1558" spans="2:36" x14ac:dyDescent="0.35">
      <c r="B1558" s="193" t="e">
        <f>"2024"&amp;MATCH(Totals!D1558,OrgType,0)&amp;"_"&amp;MATCH(Totals!E1558,Organisations,0)&amp;"_"&amp;LEFT(Totals!F1558,1)&amp;"_"&amp;LEFT(G1558,1)&amp;"_"&amp;COUNTIF($G$3:G1558,G1558)</f>
        <v>#N/A</v>
      </c>
      <c r="C1558" s="193">
        <v>2025</v>
      </c>
      <c r="D1558" s="193">
        <f>Introduction!$D$7</f>
        <v>0</v>
      </c>
      <c r="E1558" s="193">
        <f>Introduction!$D$8</f>
        <v>0</v>
      </c>
      <c r="F1558" s="193" t="s">
        <v>113</v>
      </c>
      <c r="G1558" s="193" t="s">
        <v>495</v>
      </c>
      <c r="H1558" s="194"/>
      <c r="I1558" s="194"/>
      <c r="J1558" s="193">
        <f>Waste!B54</f>
        <v>0</v>
      </c>
      <c r="K1558" s="194"/>
      <c r="L1558" s="194"/>
      <c r="M1558" s="193">
        <f>Waste!C54</f>
        <v>0</v>
      </c>
      <c r="N1558" s="193">
        <f>Waste!D54</f>
        <v>0</v>
      </c>
      <c r="O1558" s="194"/>
      <c r="P1558" s="193">
        <f>Waste!E54</f>
        <v>0</v>
      </c>
      <c r="Q1558" s="193" t="str">
        <f>Waste!F54</f>
        <v/>
      </c>
      <c r="R1558" s="193">
        <f>Waste!G54</f>
        <v>0</v>
      </c>
      <c r="S1558" s="193">
        <f>Waste!H54</f>
        <v>0</v>
      </c>
      <c r="T1558" s="193" t="str">
        <f>Waste!I54</f>
        <v/>
      </c>
      <c r="U1558" s="193" t="str">
        <f>Waste!J54</f>
        <v/>
      </c>
      <c r="V1558" s="193" t="str">
        <f>Waste!K54</f>
        <v/>
      </c>
      <c r="W1558" s="193">
        <f>Waste!L54</f>
        <v>0</v>
      </c>
      <c r="X1558" s="193">
        <f>Waste!M54</f>
        <v>0</v>
      </c>
      <c r="Y1558" s="193">
        <f>Waste!N54</f>
        <v>0</v>
      </c>
      <c r="Z1558" s="193" t="str">
        <f>Waste!O54</f>
        <v/>
      </c>
      <c r="AA1558" s="193" t="str">
        <f>Waste!P54</f>
        <v/>
      </c>
      <c r="AB1558" s="193" t="str">
        <f>Waste!Q54</f>
        <v/>
      </c>
      <c r="AC1558" s="193" t="str">
        <f>Waste!R54</f>
        <v/>
      </c>
      <c r="AD1558" s="193" t="str">
        <f>Waste!S54</f>
        <v/>
      </c>
      <c r="AE1558" s="193" t="str">
        <f>Waste!T54</f>
        <v/>
      </c>
      <c r="AF1558" s="193" t="str">
        <f>Waste!U54</f>
        <v/>
      </c>
      <c r="AG1558" s="193" t="str">
        <f>Waste!V54</f>
        <v/>
      </c>
      <c r="AI1558" s="193">
        <f t="shared" si="36"/>
        <v>0</v>
      </c>
      <c r="AJ1558" s="193">
        <f t="shared" si="37"/>
        <v>0</v>
      </c>
    </row>
    <row r="1559" spans="2:36" x14ac:dyDescent="0.35">
      <c r="B1559" s="193" t="e">
        <f>"2024"&amp;MATCH(Totals!D1559,OrgType,0)&amp;"_"&amp;MATCH(Totals!E1559,Organisations,0)&amp;"_"&amp;LEFT(Totals!F1559,1)&amp;"_"&amp;LEFT(G1559,1)&amp;"_"&amp;COUNTIF($G$3:G1559,G1559)</f>
        <v>#N/A</v>
      </c>
      <c r="C1559" s="193">
        <v>2025</v>
      </c>
      <c r="D1559" s="193">
        <f>Introduction!$D$7</f>
        <v>0</v>
      </c>
      <c r="E1559" s="193">
        <f>Introduction!$D$8</f>
        <v>0</v>
      </c>
      <c r="F1559" s="193" t="s">
        <v>113</v>
      </c>
      <c r="G1559" s="193" t="s">
        <v>495</v>
      </c>
      <c r="H1559" s="194"/>
      <c r="I1559" s="194"/>
      <c r="J1559" s="193">
        <f>Waste!B55</f>
        <v>0</v>
      </c>
      <c r="K1559" s="194"/>
      <c r="L1559" s="194"/>
      <c r="M1559" s="193">
        <f>Waste!C55</f>
        <v>0</v>
      </c>
      <c r="N1559" s="193">
        <f>Waste!D55</f>
        <v>0</v>
      </c>
      <c r="O1559" s="194"/>
      <c r="P1559" s="193">
        <f>Waste!E55</f>
        <v>0</v>
      </c>
      <c r="Q1559" s="193" t="str">
        <f>Waste!F55</f>
        <v/>
      </c>
      <c r="R1559" s="193">
        <f>Waste!G55</f>
        <v>0</v>
      </c>
      <c r="S1559" s="193">
        <f>Waste!H55</f>
        <v>0</v>
      </c>
      <c r="T1559" s="193" t="str">
        <f>Waste!I55</f>
        <v/>
      </c>
      <c r="U1559" s="193" t="str">
        <f>Waste!J55</f>
        <v/>
      </c>
      <c r="V1559" s="193" t="str">
        <f>Waste!K55</f>
        <v/>
      </c>
      <c r="W1559" s="193">
        <f>Waste!L55</f>
        <v>0</v>
      </c>
      <c r="X1559" s="193">
        <f>Waste!M55</f>
        <v>0</v>
      </c>
      <c r="Y1559" s="193">
        <f>Waste!N55</f>
        <v>0</v>
      </c>
      <c r="Z1559" s="193" t="str">
        <f>Waste!O55</f>
        <v/>
      </c>
      <c r="AA1559" s="193" t="str">
        <f>Waste!P55</f>
        <v/>
      </c>
      <c r="AB1559" s="193" t="str">
        <f>Waste!Q55</f>
        <v/>
      </c>
      <c r="AC1559" s="193" t="str">
        <f>Waste!R55</f>
        <v/>
      </c>
      <c r="AD1559" s="193" t="str">
        <f>Waste!S55</f>
        <v/>
      </c>
      <c r="AE1559" s="193" t="str">
        <f>Waste!T55</f>
        <v/>
      </c>
      <c r="AF1559" s="193" t="str">
        <f>Waste!U55</f>
        <v/>
      </c>
      <c r="AG1559" s="193" t="str">
        <f>Waste!V55</f>
        <v/>
      </c>
      <c r="AI1559" s="193">
        <f t="shared" si="36"/>
        <v>0</v>
      </c>
      <c r="AJ1559" s="193">
        <f t="shared" si="37"/>
        <v>0</v>
      </c>
    </row>
    <row r="1560" spans="2:36" x14ac:dyDescent="0.35">
      <c r="B1560" s="193" t="e">
        <f>"2024"&amp;MATCH(Totals!D1560,OrgType,0)&amp;"_"&amp;MATCH(Totals!E1560,Organisations,0)&amp;"_"&amp;LEFT(Totals!F1560,1)&amp;"_"&amp;LEFT(G1560,1)&amp;"_"&amp;COUNTIF($G$3:G1560,G1560)</f>
        <v>#N/A</v>
      </c>
      <c r="C1560" s="193">
        <v>2025</v>
      </c>
      <c r="D1560" s="193">
        <f>Introduction!$D$7</f>
        <v>0</v>
      </c>
      <c r="E1560" s="193">
        <f>Introduction!$D$8</f>
        <v>0</v>
      </c>
      <c r="F1560" s="193" t="s">
        <v>113</v>
      </c>
      <c r="G1560" s="193" t="s">
        <v>495</v>
      </c>
      <c r="H1560" s="194"/>
      <c r="I1560" s="194"/>
      <c r="J1560" s="193">
        <f>Waste!B56</f>
        <v>0</v>
      </c>
      <c r="K1560" s="194"/>
      <c r="L1560" s="194"/>
      <c r="M1560" s="193">
        <f>Waste!C56</f>
        <v>0</v>
      </c>
      <c r="N1560" s="193">
        <f>Waste!D56</f>
        <v>0</v>
      </c>
      <c r="O1560" s="194"/>
      <c r="P1560" s="193">
        <f>Waste!E56</f>
        <v>0</v>
      </c>
      <c r="Q1560" s="193" t="str">
        <f>Waste!F56</f>
        <v/>
      </c>
      <c r="R1560" s="193">
        <f>Waste!G56</f>
        <v>0</v>
      </c>
      <c r="S1560" s="193">
        <f>Waste!H56</f>
        <v>0</v>
      </c>
      <c r="T1560" s="193" t="str">
        <f>Waste!I56</f>
        <v/>
      </c>
      <c r="U1560" s="193" t="str">
        <f>Waste!J56</f>
        <v/>
      </c>
      <c r="V1560" s="193" t="str">
        <f>Waste!K56</f>
        <v/>
      </c>
      <c r="W1560" s="193">
        <f>Waste!L56</f>
        <v>0</v>
      </c>
      <c r="X1560" s="193">
        <f>Waste!M56</f>
        <v>0</v>
      </c>
      <c r="Y1560" s="193">
        <f>Waste!N56</f>
        <v>0</v>
      </c>
      <c r="Z1560" s="193" t="str">
        <f>Waste!O56</f>
        <v/>
      </c>
      <c r="AA1560" s="193" t="str">
        <f>Waste!P56</f>
        <v/>
      </c>
      <c r="AB1560" s="193" t="str">
        <f>Waste!Q56</f>
        <v/>
      </c>
      <c r="AC1560" s="193" t="str">
        <f>Waste!R56</f>
        <v/>
      </c>
      <c r="AD1560" s="193" t="str">
        <f>Waste!S56</f>
        <v/>
      </c>
      <c r="AE1560" s="193" t="str">
        <f>Waste!T56</f>
        <v/>
      </c>
      <c r="AF1560" s="193" t="str">
        <f>Waste!U56</f>
        <v/>
      </c>
      <c r="AG1560" s="193" t="str">
        <f>Waste!V56</f>
        <v/>
      </c>
      <c r="AI1560" s="193">
        <f t="shared" si="36"/>
        <v>0</v>
      </c>
      <c r="AJ1560" s="193">
        <f t="shared" si="37"/>
        <v>0</v>
      </c>
    </row>
    <row r="1561" spans="2:36" x14ac:dyDescent="0.35">
      <c r="B1561" s="193" t="e">
        <f>"2024"&amp;MATCH(Totals!D1561,OrgType,0)&amp;"_"&amp;MATCH(Totals!E1561,Organisations,0)&amp;"_"&amp;LEFT(Totals!F1561,1)&amp;"_"&amp;LEFT(G1561,1)&amp;"_"&amp;COUNTIF($G$3:G1561,G1561)</f>
        <v>#N/A</v>
      </c>
      <c r="C1561" s="193">
        <v>2025</v>
      </c>
      <c r="D1561" s="193">
        <f>Introduction!$D$7</f>
        <v>0</v>
      </c>
      <c r="E1561" s="193">
        <f>Introduction!$D$8</f>
        <v>0</v>
      </c>
      <c r="F1561" s="193" t="s">
        <v>113</v>
      </c>
      <c r="G1561" s="193" t="s">
        <v>495</v>
      </c>
      <c r="H1561" s="194"/>
      <c r="I1561" s="194"/>
      <c r="J1561" s="193">
        <f>Waste!B57</f>
        <v>0</v>
      </c>
      <c r="K1561" s="194"/>
      <c r="L1561" s="194"/>
      <c r="M1561" s="193">
        <f>Waste!C57</f>
        <v>0</v>
      </c>
      <c r="N1561" s="193">
        <f>Waste!D57</f>
        <v>0</v>
      </c>
      <c r="O1561" s="194"/>
      <c r="P1561" s="193">
        <f>Waste!E57</f>
        <v>0</v>
      </c>
      <c r="Q1561" s="193" t="str">
        <f>Waste!F57</f>
        <v/>
      </c>
      <c r="R1561" s="193">
        <f>Waste!G57</f>
        <v>0</v>
      </c>
      <c r="S1561" s="193">
        <f>Waste!H57</f>
        <v>0</v>
      </c>
      <c r="T1561" s="193" t="str">
        <f>Waste!I57</f>
        <v/>
      </c>
      <c r="U1561" s="193" t="str">
        <f>Waste!J57</f>
        <v/>
      </c>
      <c r="V1561" s="193" t="str">
        <f>Waste!K57</f>
        <v/>
      </c>
      <c r="W1561" s="193">
        <f>Waste!L57</f>
        <v>0</v>
      </c>
      <c r="X1561" s="193">
        <f>Waste!M57</f>
        <v>0</v>
      </c>
      <c r="Y1561" s="193">
        <f>Waste!N57</f>
        <v>0</v>
      </c>
      <c r="Z1561" s="193" t="str">
        <f>Waste!O57</f>
        <v/>
      </c>
      <c r="AA1561" s="193" t="str">
        <f>Waste!P57</f>
        <v/>
      </c>
      <c r="AB1561" s="193" t="str">
        <f>Waste!Q57</f>
        <v/>
      </c>
      <c r="AC1561" s="193" t="str">
        <f>Waste!R57</f>
        <v/>
      </c>
      <c r="AD1561" s="193" t="str">
        <f>Waste!S57</f>
        <v/>
      </c>
      <c r="AE1561" s="193" t="str">
        <f>Waste!T57</f>
        <v/>
      </c>
      <c r="AF1561" s="193" t="str">
        <f>Waste!U57</f>
        <v/>
      </c>
      <c r="AG1561" s="193" t="str">
        <f>Waste!V57</f>
        <v/>
      </c>
      <c r="AI1561" s="193">
        <f t="shared" si="36"/>
        <v>0</v>
      </c>
      <c r="AJ1561" s="193">
        <f t="shared" si="37"/>
        <v>0</v>
      </c>
    </row>
    <row r="1562" spans="2:36" x14ac:dyDescent="0.35">
      <c r="B1562" s="193" t="e">
        <f>"2024"&amp;MATCH(Totals!D1562,OrgType,0)&amp;"_"&amp;MATCH(Totals!E1562,Organisations,0)&amp;"_"&amp;LEFT(Totals!F1562,1)&amp;"_"&amp;LEFT(G1562,1)&amp;"_"&amp;COUNTIF($G$3:G1562,G1562)</f>
        <v>#N/A</v>
      </c>
      <c r="C1562" s="193">
        <v>2025</v>
      </c>
      <c r="D1562" s="193">
        <f>Introduction!$D$7</f>
        <v>0</v>
      </c>
      <c r="E1562" s="193">
        <f>Introduction!$D$8</f>
        <v>0</v>
      </c>
      <c r="F1562" s="193" t="s">
        <v>113</v>
      </c>
      <c r="G1562" s="193" t="s">
        <v>495</v>
      </c>
      <c r="H1562" s="194"/>
      <c r="I1562" s="194"/>
      <c r="J1562" s="193">
        <f>Waste!B58</f>
        <v>0</v>
      </c>
      <c r="K1562" s="194"/>
      <c r="L1562" s="194"/>
      <c r="M1562" s="193">
        <f>Waste!C58</f>
        <v>0</v>
      </c>
      <c r="N1562" s="193">
        <f>Waste!D58</f>
        <v>0</v>
      </c>
      <c r="O1562" s="194"/>
      <c r="P1562" s="193">
        <f>Waste!E58</f>
        <v>0</v>
      </c>
      <c r="Q1562" s="193" t="str">
        <f>Waste!F58</f>
        <v/>
      </c>
      <c r="R1562" s="193">
        <f>Waste!G58</f>
        <v>0</v>
      </c>
      <c r="S1562" s="193">
        <f>Waste!H58</f>
        <v>0</v>
      </c>
      <c r="T1562" s="193" t="str">
        <f>Waste!I58</f>
        <v/>
      </c>
      <c r="U1562" s="193" t="str">
        <f>Waste!J58</f>
        <v/>
      </c>
      <c r="V1562" s="193" t="str">
        <f>Waste!K58</f>
        <v/>
      </c>
      <c r="W1562" s="193">
        <f>Waste!L58</f>
        <v>0</v>
      </c>
      <c r="X1562" s="193">
        <f>Waste!M58</f>
        <v>0</v>
      </c>
      <c r="Y1562" s="193">
        <f>Waste!N58</f>
        <v>0</v>
      </c>
      <c r="Z1562" s="193" t="str">
        <f>Waste!O58</f>
        <v/>
      </c>
      <c r="AA1562" s="193" t="str">
        <f>Waste!P58</f>
        <v/>
      </c>
      <c r="AB1562" s="193" t="str">
        <f>Waste!Q58</f>
        <v/>
      </c>
      <c r="AC1562" s="193" t="str">
        <f>Waste!R58</f>
        <v/>
      </c>
      <c r="AD1562" s="193" t="str">
        <f>Waste!S58</f>
        <v/>
      </c>
      <c r="AE1562" s="193" t="str">
        <f>Waste!T58</f>
        <v/>
      </c>
      <c r="AF1562" s="193" t="str">
        <f>Waste!U58</f>
        <v/>
      </c>
      <c r="AG1562" s="193" t="str">
        <f>Waste!V58</f>
        <v/>
      </c>
      <c r="AI1562" s="193">
        <f t="shared" si="36"/>
        <v>0</v>
      </c>
      <c r="AJ1562" s="193">
        <f t="shared" si="37"/>
        <v>0</v>
      </c>
    </row>
    <row r="1563" spans="2:36" x14ac:dyDescent="0.35">
      <c r="B1563" s="193" t="e">
        <f>"2024"&amp;MATCH(Totals!D1563,OrgType,0)&amp;"_"&amp;MATCH(Totals!E1563,Organisations,0)&amp;"_"&amp;LEFT(Totals!F1563,1)&amp;"_"&amp;LEFT(G1563,1)&amp;"_"&amp;COUNTIF($G$3:G1563,G1563)</f>
        <v>#N/A</v>
      </c>
      <c r="C1563" s="193">
        <v>2025</v>
      </c>
      <c r="D1563" s="193">
        <f>Introduction!$D$7</f>
        <v>0</v>
      </c>
      <c r="E1563" s="193">
        <f>Introduction!$D$8</f>
        <v>0</v>
      </c>
      <c r="F1563" s="193" t="s">
        <v>113</v>
      </c>
      <c r="G1563" s="193" t="s">
        <v>495</v>
      </c>
      <c r="H1563" s="194"/>
      <c r="I1563" s="194"/>
      <c r="J1563" s="193">
        <f>Waste!B59</f>
        <v>0</v>
      </c>
      <c r="K1563" s="194"/>
      <c r="L1563" s="194"/>
      <c r="M1563" s="193">
        <f>Waste!C59</f>
        <v>0</v>
      </c>
      <c r="N1563" s="193">
        <f>Waste!D59</f>
        <v>0</v>
      </c>
      <c r="O1563" s="194"/>
      <c r="P1563" s="193">
        <f>Waste!E59</f>
        <v>0</v>
      </c>
      <c r="Q1563" s="193" t="str">
        <f>Waste!F59</f>
        <v/>
      </c>
      <c r="R1563" s="193">
        <f>Waste!G59</f>
        <v>0</v>
      </c>
      <c r="S1563" s="193">
        <f>Waste!H59</f>
        <v>0</v>
      </c>
      <c r="T1563" s="193" t="str">
        <f>Waste!I59</f>
        <v/>
      </c>
      <c r="U1563" s="193" t="str">
        <f>Waste!J59</f>
        <v/>
      </c>
      <c r="V1563" s="193" t="str">
        <f>Waste!K59</f>
        <v/>
      </c>
      <c r="W1563" s="193">
        <f>Waste!L59</f>
        <v>0</v>
      </c>
      <c r="X1563" s="193">
        <f>Waste!M59</f>
        <v>0</v>
      </c>
      <c r="Y1563" s="193">
        <f>Waste!N59</f>
        <v>0</v>
      </c>
      <c r="Z1563" s="193" t="str">
        <f>Waste!O59</f>
        <v/>
      </c>
      <c r="AA1563" s="193" t="str">
        <f>Waste!P59</f>
        <v/>
      </c>
      <c r="AB1563" s="193" t="str">
        <f>Waste!Q59</f>
        <v/>
      </c>
      <c r="AC1563" s="193" t="str">
        <f>Waste!R59</f>
        <v/>
      </c>
      <c r="AD1563" s="193" t="str">
        <f>Waste!S59</f>
        <v/>
      </c>
      <c r="AE1563" s="193" t="str">
        <f>Waste!T59</f>
        <v/>
      </c>
      <c r="AF1563" s="193" t="str">
        <f>Waste!U59</f>
        <v/>
      </c>
      <c r="AG1563" s="193" t="str">
        <f>Waste!V59</f>
        <v/>
      </c>
      <c r="AI1563" s="193">
        <f t="shared" si="36"/>
        <v>0</v>
      </c>
      <c r="AJ1563" s="193">
        <f t="shared" si="37"/>
        <v>0</v>
      </c>
    </row>
    <row r="1564" spans="2:36" x14ac:dyDescent="0.35">
      <c r="B1564" s="193" t="e">
        <f>"2024"&amp;MATCH(Totals!D1564,OrgType,0)&amp;"_"&amp;MATCH(Totals!E1564,Organisations,0)&amp;"_"&amp;LEFT(Totals!F1564,1)&amp;"_"&amp;LEFT(G1564,1)&amp;"_"&amp;COUNTIF($G$3:G1564,G1564)</f>
        <v>#N/A</v>
      </c>
      <c r="C1564" s="193">
        <v>2025</v>
      </c>
      <c r="D1564" s="193">
        <f>Introduction!$D$7</f>
        <v>0</v>
      </c>
      <c r="E1564" s="193">
        <f>Introduction!$D$8</f>
        <v>0</v>
      </c>
      <c r="F1564" s="193" t="s">
        <v>113</v>
      </c>
      <c r="G1564" s="193" t="s">
        <v>495</v>
      </c>
      <c r="H1564" s="194"/>
      <c r="I1564" s="194"/>
      <c r="J1564" s="193">
        <f>Waste!B60</f>
        <v>0</v>
      </c>
      <c r="K1564" s="194"/>
      <c r="L1564" s="194"/>
      <c r="M1564" s="193">
        <f>Waste!C60</f>
        <v>0</v>
      </c>
      <c r="N1564" s="193">
        <f>Waste!D60</f>
        <v>0</v>
      </c>
      <c r="O1564" s="194"/>
      <c r="P1564" s="193">
        <f>Waste!E60</f>
        <v>0</v>
      </c>
      <c r="Q1564" s="193" t="str">
        <f>Waste!F60</f>
        <v/>
      </c>
      <c r="R1564" s="193">
        <f>Waste!G60</f>
        <v>0</v>
      </c>
      <c r="S1564" s="193">
        <f>Waste!H60</f>
        <v>0</v>
      </c>
      <c r="T1564" s="193" t="str">
        <f>Waste!I60</f>
        <v/>
      </c>
      <c r="U1564" s="193" t="str">
        <f>Waste!J60</f>
        <v/>
      </c>
      <c r="V1564" s="193" t="str">
        <f>Waste!K60</f>
        <v/>
      </c>
      <c r="W1564" s="193">
        <f>Waste!L60</f>
        <v>0</v>
      </c>
      <c r="X1564" s="193">
        <f>Waste!M60</f>
        <v>0</v>
      </c>
      <c r="Y1564" s="193">
        <f>Waste!N60</f>
        <v>0</v>
      </c>
      <c r="Z1564" s="193" t="str">
        <f>Waste!O60</f>
        <v/>
      </c>
      <c r="AA1564" s="193" t="str">
        <f>Waste!P60</f>
        <v/>
      </c>
      <c r="AB1564" s="193" t="str">
        <f>Waste!Q60</f>
        <v/>
      </c>
      <c r="AC1564" s="193" t="str">
        <f>Waste!R60</f>
        <v/>
      </c>
      <c r="AD1564" s="193" t="str">
        <f>Waste!S60</f>
        <v/>
      </c>
      <c r="AE1564" s="193" t="str">
        <f>Waste!T60</f>
        <v/>
      </c>
      <c r="AF1564" s="193" t="str">
        <f>Waste!U60</f>
        <v/>
      </c>
      <c r="AG1564" s="193" t="str">
        <f>Waste!V60</f>
        <v/>
      </c>
      <c r="AI1564" s="193">
        <f t="shared" si="36"/>
        <v>0</v>
      </c>
      <c r="AJ1564" s="193">
        <f t="shared" si="37"/>
        <v>0</v>
      </c>
    </row>
    <row r="1565" spans="2:36" x14ac:dyDescent="0.35">
      <c r="B1565" s="193" t="e">
        <f>"2024"&amp;MATCH(Totals!D1565,OrgType,0)&amp;"_"&amp;MATCH(Totals!E1565,Organisations,0)&amp;"_"&amp;LEFT(Totals!F1565,1)&amp;"_"&amp;LEFT(G1565,1)&amp;"_"&amp;COUNTIF($G$3:G1565,G1565)</f>
        <v>#N/A</v>
      </c>
      <c r="C1565" s="193">
        <v>2025</v>
      </c>
      <c r="D1565" s="193">
        <f>Introduction!$D$7</f>
        <v>0</v>
      </c>
      <c r="E1565" s="193">
        <f>Introduction!$D$8</f>
        <v>0</v>
      </c>
      <c r="F1565" s="193" t="s">
        <v>113</v>
      </c>
      <c r="G1565" s="193" t="s">
        <v>495</v>
      </c>
      <c r="H1565" s="194"/>
      <c r="I1565" s="194"/>
      <c r="J1565" s="193">
        <f>Waste!B61</f>
        <v>0</v>
      </c>
      <c r="K1565" s="194"/>
      <c r="L1565" s="194"/>
      <c r="M1565" s="193">
        <f>Waste!C61</f>
        <v>0</v>
      </c>
      <c r="N1565" s="193">
        <f>Waste!D61</f>
        <v>0</v>
      </c>
      <c r="O1565" s="194"/>
      <c r="P1565" s="193">
        <f>Waste!E61</f>
        <v>0</v>
      </c>
      <c r="Q1565" s="193" t="str">
        <f>Waste!F61</f>
        <v/>
      </c>
      <c r="R1565" s="193">
        <f>Waste!G61</f>
        <v>0</v>
      </c>
      <c r="S1565" s="193">
        <f>Waste!H61</f>
        <v>0</v>
      </c>
      <c r="T1565" s="193" t="str">
        <f>Waste!I61</f>
        <v/>
      </c>
      <c r="U1565" s="193" t="str">
        <f>Waste!J61</f>
        <v/>
      </c>
      <c r="V1565" s="193" t="str">
        <f>Waste!K61</f>
        <v/>
      </c>
      <c r="W1565" s="193">
        <f>Waste!L61</f>
        <v>0</v>
      </c>
      <c r="X1565" s="193">
        <f>Waste!M61</f>
        <v>0</v>
      </c>
      <c r="Y1565" s="193">
        <f>Waste!N61</f>
        <v>0</v>
      </c>
      <c r="Z1565" s="193" t="str">
        <f>Waste!O61</f>
        <v/>
      </c>
      <c r="AA1565" s="193" t="str">
        <f>Waste!P61</f>
        <v/>
      </c>
      <c r="AB1565" s="193" t="str">
        <f>Waste!Q61</f>
        <v/>
      </c>
      <c r="AC1565" s="193" t="str">
        <f>Waste!R61</f>
        <v/>
      </c>
      <c r="AD1565" s="193" t="str">
        <f>Waste!S61</f>
        <v/>
      </c>
      <c r="AE1565" s="193" t="str">
        <f>Waste!T61</f>
        <v/>
      </c>
      <c r="AF1565" s="193" t="str">
        <f>Waste!U61</f>
        <v/>
      </c>
      <c r="AG1565" s="193" t="str">
        <f>Waste!V61</f>
        <v/>
      </c>
      <c r="AI1565" s="193">
        <f t="shared" si="36"/>
        <v>0</v>
      </c>
      <c r="AJ1565" s="193">
        <f t="shared" si="37"/>
        <v>0</v>
      </c>
    </row>
    <row r="1566" spans="2:36" x14ac:dyDescent="0.35">
      <c r="B1566" s="193" t="e">
        <f>"2024"&amp;MATCH(Totals!D1566,OrgType,0)&amp;"_"&amp;MATCH(Totals!E1566,Organisations,0)&amp;"_"&amp;LEFT(Totals!F1566,1)&amp;"_"&amp;LEFT(G1566,1)&amp;"_"&amp;COUNTIF($G$3:G1566,G1566)</f>
        <v>#N/A</v>
      </c>
      <c r="C1566" s="193">
        <v>2025</v>
      </c>
      <c r="D1566" s="193">
        <f>Introduction!$D$7</f>
        <v>0</v>
      </c>
      <c r="E1566" s="193">
        <f>Introduction!$D$8</f>
        <v>0</v>
      </c>
      <c r="F1566" s="193" t="s">
        <v>113</v>
      </c>
      <c r="G1566" s="193" t="s">
        <v>495</v>
      </c>
      <c r="H1566" s="194"/>
      <c r="I1566" s="194"/>
      <c r="J1566" s="193">
        <f>Waste!B62</f>
        <v>0</v>
      </c>
      <c r="K1566" s="194"/>
      <c r="L1566" s="194"/>
      <c r="M1566" s="193">
        <f>Waste!C62</f>
        <v>0</v>
      </c>
      <c r="N1566" s="193">
        <f>Waste!D62</f>
        <v>0</v>
      </c>
      <c r="O1566" s="194"/>
      <c r="P1566" s="193">
        <f>Waste!E62</f>
        <v>0</v>
      </c>
      <c r="Q1566" s="193" t="str">
        <f>Waste!F62</f>
        <v/>
      </c>
      <c r="R1566" s="193">
        <f>Waste!G62</f>
        <v>0</v>
      </c>
      <c r="S1566" s="193">
        <f>Waste!H62</f>
        <v>0</v>
      </c>
      <c r="T1566" s="193" t="str">
        <f>Waste!I62</f>
        <v/>
      </c>
      <c r="U1566" s="193" t="str">
        <f>Waste!J62</f>
        <v/>
      </c>
      <c r="V1566" s="193" t="str">
        <f>Waste!K62</f>
        <v/>
      </c>
      <c r="W1566" s="193">
        <f>Waste!L62</f>
        <v>0</v>
      </c>
      <c r="X1566" s="193">
        <f>Waste!M62</f>
        <v>0</v>
      </c>
      <c r="Y1566" s="193">
        <f>Waste!N62</f>
        <v>0</v>
      </c>
      <c r="Z1566" s="193" t="str">
        <f>Waste!O62</f>
        <v/>
      </c>
      <c r="AA1566" s="193" t="str">
        <f>Waste!P62</f>
        <v/>
      </c>
      <c r="AB1566" s="193" t="str">
        <f>Waste!Q62</f>
        <v/>
      </c>
      <c r="AC1566" s="193" t="str">
        <f>Waste!R62</f>
        <v/>
      </c>
      <c r="AD1566" s="193" t="str">
        <f>Waste!S62</f>
        <v/>
      </c>
      <c r="AE1566" s="193" t="str">
        <f>Waste!T62</f>
        <v/>
      </c>
      <c r="AF1566" s="193" t="str">
        <f>Waste!U62</f>
        <v/>
      </c>
      <c r="AG1566" s="193" t="str">
        <f>Waste!V62</f>
        <v/>
      </c>
      <c r="AI1566" s="193">
        <f t="shared" si="36"/>
        <v>0</v>
      </c>
      <c r="AJ1566" s="193">
        <f t="shared" si="37"/>
        <v>0</v>
      </c>
    </row>
    <row r="1567" spans="2:36" x14ac:dyDescent="0.35">
      <c r="B1567" s="193" t="e">
        <f>"2024"&amp;MATCH(Totals!D1567,OrgType,0)&amp;"_"&amp;MATCH(Totals!E1567,Organisations,0)&amp;"_"&amp;LEFT(Totals!F1567,1)&amp;"_"&amp;LEFT(G1567,1)&amp;"_"&amp;COUNTIF($G$3:G1567,G1567)</f>
        <v>#N/A</v>
      </c>
      <c r="C1567" s="193">
        <v>2025</v>
      </c>
      <c r="D1567" s="193">
        <f>Introduction!$D$7</f>
        <v>0</v>
      </c>
      <c r="E1567" s="193">
        <f>Introduction!$D$8</f>
        <v>0</v>
      </c>
      <c r="F1567" s="193" t="s">
        <v>113</v>
      </c>
      <c r="G1567" s="193" t="s">
        <v>495</v>
      </c>
      <c r="H1567" s="194"/>
      <c r="I1567" s="194"/>
      <c r="J1567" s="193">
        <f>Waste!B63</f>
        <v>0</v>
      </c>
      <c r="K1567" s="194"/>
      <c r="L1567" s="194"/>
      <c r="M1567" s="193">
        <f>Waste!C63</f>
        <v>0</v>
      </c>
      <c r="N1567" s="193">
        <f>Waste!D63</f>
        <v>0</v>
      </c>
      <c r="O1567" s="194"/>
      <c r="P1567" s="193">
        <f>Waste!E63</f>
        <v>0</v>
      </c>
      <c r="Q1567" s="193" t="str">
        <f>Waste!F63</f>
        <v/>
      </c>
      <c r="R1567" s="193">
        <f>Waste!G63</f>
        <v>0</v>
      </c>
      <c r="S1567" s="193">
        <f>Waste!H63</f>
        <v>0</v>
      </c>
      <c r="T1567" s="193" t="str">
        <f>Waste!I63</f>
        <v/>
      </c>
      <c r="U1567" s="193" t="str">
        <f>Waste!J63</f>
        <v/>
      </c>
      <c r="V1567" s="193" t="str">
        <f>Waste!K63</f>
        <v/>
      </c>
      <c r="W1567" s="193">
        <f>Waste!L63</f>
        <v>0</v>
      </c>
      <c r="X1567" s="193">
        <f>Waste!M63</f>
        <v>0</v>
      </c>
      <c r="Y1567" s="193">
        <f>Waste!N63</f>
        <v>0</v>
      </c>
      <c r="Z1567" s="193" t="str">
        <f>Waste!O63</f>
        <v/>
      </c>
      <c r="AA1567" s="193" t="str">
        <f>Waste!P63</f>
        <v/>
      </c>
      <c r="AB1567" s="193" t="str">
        <f>Waste!Q63</f>
        <v/>
      </c>
      <c r="AC1567" s="193" t="str">
        <f>Waste!R63</f>
        <v/>
      </c>
      <c r="AD1567" s="193" t="str">
        <f>Waste!S63</f>
        <v/>
      </c>
      <c r="AE1567" s="193" t="str">
        <f>Waste!T63</f>
        <v/>
      </c>
      <c r="AF1567" s="193" t="str">
        <f>Waste!U63</f>
        <v/>
      </c>
      <c r="AG1567" s="193" t="str">
        <f>Waste!V63</f>
        <v/>
      </c>
      <c r="AI1567" s="193">
        <f t="shared" si="36"/>
        <v>0</v>
      </c>
      <c r="AJ1567" s="193">
        <f t="shared" si="37"/>
        <v>0</v>
      </c>
    </row>
    <row r="1568" spans="2:36" x14ac:dyDescent="0.35">
      <c r="B1568" s="193" t="e">
        <f>"2024"&amp;MATCH(Totals!D1568,OrgType,0)&amp;"_"&amp;MATCH(Totals!E1568,Organisations,0)&amp;"_"&amp;LEFT(Totals!F1568,1)&amp;"_"&amp;LEFT(G1568,1)&amp;"_"&amp;COUNTIF($G$3:G1568,G1568)</f>
        <v>#N/A</v>
      </c>
      <c r="C1568" s="193">
        <v>2025</v>
      </c>
      <c r="D1568" s="193">
        <f>Introduction!$D$7</f>
        <v>0</v>
      </c>
      <c r="E1568" s="193">
        <f>Introduction!$D$8</f>
        <v>0</v>
      </c>
      <c r="F1568" s="193" t="s">
        <v>113</v>
      </c>
      <c r="G1568" s="193" t="s">
        <v>495</v>
      </c>
      <c r="H1568" s="194"/>
      <c r="I1568" s="194"/>
      <c r="J1568" s="193">
        <f>Waste!B64</f>
        <v>0</v>
      </c>
      <c r="K1568" s="194"/>
      <c r="L1568" s="194"/>
      <c r="M1568" s="193">
        <f>Waste!C64</f>
        <v>0</v>
      </c>
      <c r="N1568" s="193">
        <f>Waste!D64</f>
        <v>0</v>
      </c>
      <c r="O1568" s="194"/>
      <c r="P1568" s="193">
        <f>Waste!E64</f>
        <v>0</v>
      </c>
      <c r="Q1568" s="193" t="str">
        <f>Waste!F64</f>
        <v/>
      </c>
      <c r="R1568" s="193">
        <f>Waste!G64</f>
        <v>0</v>
      </c>
      <c r="S1568" s="193">
        <f>Waste!H64</f>
        <v>0</v>
      </c>
      <c r="T1568" s="193" t="str">
        <f>Waste!I64</f>
        <v/>
      </c>
      <c r="U1568" s="193" t="str">
        <f>Waste!J64</f>
        <v/>
      </c>
      <c r="V1568" s="193" t="str">
        <f>Waste!K64</f>
        <v/>
      </c>
      <c r="W1568" s="193">
        <f>Waste!L64</f>
        <v>0</v>
      </c>
      <c r="X1568" s="193">
        <f>Waste!M64</f>
        <v>0</v>
      </c>
      <c r="Y1568" s="193">
        <f>Waste!N64</f>
        <v>0</v>
      </c>
      <c r="Z1568" s="193" t="str">
        <f>Waste!O64</f>
        <v/>
      </c>
      <c r="AA1568" s="193" t="str">
        <f>Waste!P64</f>
        <v/>
      </c>
      <c r="AB1568" s="193" t="str">
        <f>Waste!Q64</f>
        <v/>
      </c>
      <c r="AC1568" s="193" t="str">
        <f>Waste!R64</f>
        <v/>
      </c>
      <c r="AD1568" s="193" t="str">
        <f>Waste!S64</f>
        <v/>
      </c>
      <c r="AE1568" s="193" t="str">
        <f>Waste!T64</f>
        <v/>
      </c>
      <c r="AF1568" s="193" t="str">
        <f>Waste!U64</f>
        <v/>
      </c>
      <c r="AG1568" s="193" t="str">
        <f>Waste!V64</f>
        <v/>
      </c>
      <c r="AI1568" s="193">
        <f t="shared" si="36"/>
        <v>0</v>
      </c>
      <c r="AJ1568" s="193">
        <f t="shared" si="37"/>
        <v>0</v>
      </c>
    </row>
    <row r="1569" spans="2:36" x14ac:dyDescent="0.35">
      <c r="B1569" s="193" t="e">
        <f>"2024"&amp;MATCH(Totals!D1569,OrgType,0)&amp;"_"&amp;MATCH(Totals!E1569,Organisations,0)&amp;"_"&amp;LEFT(Totals!F1569,1)&amp;"_"&amp;LEFT(G1569,1)&amp;"_"&amp;COUNTIF($G$3:G1569,G1569)</f>
        <v>#N/A</v>
      </c>
      <c r="C1569" s="193">
        <v>2025</v>
      </c>
      <c r="D1569" s="193">
        <f>Introduction!$D$7</f>
        <v>0</v>
      </c>
      <c r="E1569" s="193">
        <f>Introduction!$D$8</f>
        <v>0</v>
      </c>
      <c r="F1569" s="193" t="s">
        <v>113</v>
      </c>
      <c r="G1569" s="193" t="s">
        <v>495</v>
      </c>
      <c r="H1569" s="194"/>
      <c r="I1569" s="194"/>
      <c r="J1569" s="193">
        <f>Waste!B65</f>
        <v>0</v>
      </c>
      <c r="K1569" s="194"/>
      <c r="L1569" s="194"/>
      <c r="M1569" s="193">
        <f>Waste!C65</f>
        <v>0</v>
      </c>
      <c r="N1569" s="193">
        <f>Waste!D65</f>
        <v>0</v>
      </c>
      <c r="O1569" s="194"/>
      <c r="P1569" s="193">
        <f>Waste!E65</f>
        <v>0</v>
      </c>
      <c r="Q1569" s="193" t="str">
        <f>Waste!F65</f>
        <v/>
      </c>
      <c r="R1569" s="193">
        <f>Waste!G65</f>
        <v>0</v>
      </c>
      <c r="S1569" s="193">
        <f>Waste!H65</f>
        <v>0</v>
      </c>
      <c r="T1569" s="193" t="str">
        <f>Waste!I65</f>
        <v/>
      </c>
      <c r="U1569" s="193" t="str">
        <f>Waste!J65</f>
        <v/>
      </c>
      <c r="V1569" s="193" t="str">
        <f>Waste!K65</f>
        <v/>
      </c>
      <c r="W1569" s="193">
        <f>Waste!L65</f>
        <v>0</v>
      </c>
      <c r="X1569" s="193">
        <f>Waste!M65</f>
        <v>0</v>
      </c>
      <c r="Y1569" s="193">
        <f>Waste!N65</f>
        <v>0</v>
      </c>
      <c r="Z1569" s="193" t="str">
        <f>Waste!O65</f>
        <v/>
      </c>
      <c r="AA1569" s="193" t="str">
        <f>Waste!P65</f>
        <v/>
      </c>
      <c r="AB1569" s="193" t="str">
        <f>Waste!Q65</f>
        <v/>
      </c>
      <c r="AC1569" s="193" t="str">
        <f>Waste!R65</f>
        <v/>
      </c>
      <c r="AD1569" s="193" t="str">
        <f>Waste!S65</f>
        <v/>
      </c>
      <c r="AE1569" s="193" t="str">
        <f>Waste!T65</f>
        <v/>
      </c>
      <c r="AF1569" s="193" t="str">
        <f>Waste!U65</f>
        <v/>
      </c>
      <c r="AG1569" s="193" t="str">
        <f>Waste!V65</f>
        <v/>
      </c>
      <c r="AI1569" s="193">
        <f t="shared" si="36"/>
        <v>0</v>
      </c>
      <c r="AJ1569" s="193">
        <f t="shared" si="37"/>
        <v>0</v>
      </c>
    </row>
    <row r="1570" spans="2:36" x14ac:dyDescent="0.35">
      <c r="B1570" s="193" t="e">
        <f>"2024"&amp;MATCH(Totals!D1570,OrgType,0)&amp;"_"&amp;MATCH(Totals!E1570,Organisations,0)&amp;"_"&amp;LEFT(Totals!F1570,1)&amp;"_"&amp;LEFT(G1570,1)&amp;"_"&amp;COUNTIF($G$3:G1570,G1570)</f>
        <v>#N/A</v>
      </c>
      <c r="C1570" s="193">
        <v>2025</v>
      </c>
      <c r="D1570" s="193">
        <f>Introduction!$D$7</f>
        <v>0</v>
      </c>
      <c r="E1570" s="193">
        <f>Introduction!$D$8</f>
        <v>0</v>
      </c>
      <c r="F1570" s="193" t="s">
        <v>113</v>
      </c>
      <c r="G1570" s="193" t="s">
        <v>495</v>
      </c>
      <c r="H1570" s="194"/>
      <c r="I1570" s="194"/>
      <c r="J1570" s="193">
        <f>Waste!B66</f>
        <v>0</v>
      </c>
      <c r="K1570" s="194"/>
      <c r="L1570" s="194"/>
      <c r="M1570" s="193">
        <f>Waste!C66</f>
        <v>0</v>
      </c>
      <c r="N1570" s="193">
        <f>Waste!D66</f>
        <v>0</v>
      </c>
      <c r="O1570" s="194"/>
      <c r="P1570" s="193">
        <f>Waste!E66</f>
        <v>0</v>
      </c>
      <c r="Q1570" s="193" t="str">
        <f>Waste!F66</f>
        <v/>
      </c>
      <c r="R1570" s="193">
        <f>Waste!G66</f>
        <v>0</v>
      </c>
      <c r="S1570" s="193">
        <f>Waste!H66</f>
        <v>0</v>
      </c>
      <c r="T1570" s="193" t="str">
        <f>Waste!I66</f>
        <v/>
      </c>
      <c r="U1570" s="193" t="str">
        <f>Waste!J66</f>
        <v/>
      </c>
      <c r="V1570" s="193" t="str">
        <f>Waste!K66</f>
        <v/>
      </c>
      <c r="W1570" s="193">
        <f>Waste!L66</f>
        <v>0</v>
      </c>
      <c r="X1570" s="193">
        <f>Waste!M66</f>
        <v>0</v>
      </c>
      <c r="Y1570" s="193">
        <f>Waste!N66</f>
        <v>0</v>
      </c>
      <c r="Z1570" s="193" t="str">
        <f>Waste!O66</f>
        <v/>
      </c>
      <c r="AA1570" s="193" t="str">
        <f>Waste!P66</f>
        <v/>
      </c>
      <c r="AB1570" s="193" t="str">
        <f>Waste!Q66</f>
        <v/>
      </c>
      <c r="AC1570" s="193" t="str">
        <f>Waste!R66</f>
        <v/>
      </c>
      <c r="AD1570" s="193" t="str">
        <f>Waste!S66</f>
        <v/>
      </c>
      <c r="AE1570" s="193" t="str">
        <f>Waste!T66</f>
        <v/>
      </c>
      <c r="AF1570" s="193" t="str">
        <f>Waste!U66</f>
        <v/>
      </c>
      <c r="AG1570" s="193" t="str">
        <f>Waste!V66</f>
        <v/>
      </c>
      <c r="AI1570" s="193">
        <f t="shared" si="36"/>
        <v>0</v>
      </c>
      <c r="AJ1570" s="193">
        <f t="shared" si="37"/>
        <v>0</v>
      </c>
    </row>
    <row r="1571" spans="2:36" x14ac:dyDescent="0.35">
      <c r="B1571" s="193" t="e">
        <f>"2024"&amp;MATCH(Totals!D1571,OrgType,0)&amp;"_"&amp;MATCH(Totals!E1571,Organisations,0)&amp;"_"&amp;LEFT(Totals!F1571,1)&amp;"_"&amp;LEFT(G1571,1)&amp;"_"&amp;COUNTIF($G$3:G1571,G1571)</f>
        <v>#N/A</v>
      </c>
      <c r="C1571" s="193">
        <v>2025</v>
      </c>
      <c r="D1571" s="193">
        <f>Introduction!$D$7</f>
        <v>0</v>
      </c>
      <c r="E1571" s="193">
        <f>Introduction!$D$8</f>
        <v>0</v>
      </c>
      <c r="F1571" s="193" t="s">
        <v>113</v>
      </c>
      <c r="G1571" s="193" t="s">
        <v>495</v>
      </c>
      <c r="H1571" s="194"/>
      <c r="I1571" s="194"/>
      <c r="J1571" s="193">
        <f>Waste!B67</f>
        <v>0</v>
      </c>
      <c r="K1571" s="194"/>
      <c r="L1571" s="194"/>
      <c r="M1571" s="193">
        <f>Waste!C67</f>
        <v>0</v>
      </c>
      <c r="N1571" s="193">
        <f>Waste!D67</f>
        <v>0</v>
      </c>
      <c r="O1571" s="194"/>
      <c r="P1571" s="193">
        <f>Waste!E67</f>
        <v>0</v>
      </c>
      <c r="Q1571" s="193" t="str">
        <f>Waste!F67</f>
        <v/>
      </c>
      <c r="R1571" s="193">
        <f>Waste!G67</f>
        <v>0</v>
      </c>
      <c r="S1571" s="193">
        <f>Waste!H67</f>
        <v>0</v>
      </c>
      <c r="T1571" s="193" t="str">
        <f>Waste!I67</f>
        <v/>
      </c>
      <c r="U1571" s="193" t="str">
        <f>Waste!J67</f>
        <v/>
      </c>
      <c r="V1571" s="193" t="str">
        <f>Waste!K67</f>
        <v/>
      </c>
      <c r="W1571" s="193">
        <f>Waste!L67</f>
        <v>0</v>
      </c>
      <c r="X1571" s="193">
        <f>Waste!M67</f>
        <v>0</v>
      </c>
      <c r="Y1571" s="193">
        <f>Waste!N67</f>
        <v>0</v>
      </c>
      <c r="Z1571" s="193" t="str">
        <f>Waste!O67</f>
        <v/>
      </c>
      <c r="AA1571" s="193" t="str">
        <f>Waste!P67</f>
        <v/>
      </c>
      <c r="AB1571" s="193" t="str">
        <f>Waste!Q67</f>
        <v/>
      </c>
      <c r="AC1571" s="193" t="str">
        <f>Waste!R67</f>
        <v/>
      </c>
      <c r="AD1571" s="193" t="str">
        <f>Waste!S67</f>
        <v/>
      </c>
      <c r="AE1571" s="193" t="str">
        <f>Waste!T67</f>
        <v/>
      </c>
      <c r="AF1571" s="193" t="str">
        <f>Waste!U67</f>
        <v/>
      </c>
      <c r="AG1571" s="193" t="str">
        <f>Waste!V67</f>
        <v/>
      </c>
      <c r="AI1571" s="193">
        <f t="shared" si="36"/>
        <v>0</v>
      </c>
      <c r="AJ1571" s="193">
        <f t="shared" si="37"/>
        <v>0</v>
      </c>
    </row>
    <row r="1572" spans="2:36" x14ac:dyDescent="0.35">
      <c r="B1572" s="193" t="e">
        <f>"2024"&amp;MATCH(Totals!D1572,OrgType,0)&amp;"_"&amp;MATCH(Totals!E1572,Organisations,0)&amp;"_"&amp;LEFT(Totals!F1572,1)&amp;"_"&amp;LEFT(G1572,1)&amp;"_"&amp;COUNTIF($G$3:G1572,G1572)</f>
        <v>#N/A</v>
      </c>
      <c r="C1572" s="193">
        <v>2025</v>
      </c>
      <c r="D1572" s="193">
        <f>Introduction!$D$7</f>
        <v>0</v>
      </c>
      <c r="E1572" s="193">
        <f>Introduction!$D$8</f>
        <v>0</v>
      </c>
      <c r="F1572" s="193" t="s">
        <v>113</v>
      </c>
      <c r="G1572" s="193" t="s">
        <v>495</v>
      </c>
      <c r="H1572" s="194"/>
      <c r="I1572" s="194"/>
      <c r="J1572" s="193">
        <f>Waste!B68</f>
        <v>0</v>
      </c>
      <c r="K1572" s="194"/>
      <c r="L1572" s="194"/>
      <c r="M1572" s="193">
        <f>Waste!C68</f>
        <v>0</v>
      </c>
      <c r="N1572" s="193">
        <f>Waste!D68</f>
        <v>0</v>
      </c>
      <c r="O1572" s="194"/>
      <c r="P1572" s="193">
        <f>Waste!E68</f>
        <v>0</v>
      </c>
      <c r="Q1572" s="193" t="str">
        <f>Waste!F68</f>
        <v/>
      </c>
      <c r="R1572" s="193">
        <f>Waste!G68</f>
        <v>0</v>
      </c>
      <c r="S1572" s="193">
        <f>Waste!H68</f>
        <v>0</v>
      </c>
      <c r="T1572" s="193" t="str">
        <f>Waste!I68</f>
        <v/>
      </c>
      <c r="U1572" s="193" t="str">
        <f>Waste!J68</f>
        <v/>
      </c>
      <c r="V1572" s="193" t="str">
        <f>Waste!K68</f>
        <v/>
      </c>
      <c r="W1572" s="193">
        <f>Waste!L68</f>
        <v>0</v>
      </c>
      <c r="X1572" s="193">
        <f>Waste!M68</f>
        <v>0</v>
      </c>
      <c r="Y1572" s="193">
        <f>Waste!N68</f>
        <v>0</v>
      </c>
      <c r="Z1572" s="193" t="str">
        <f>Waste!O68</f>
        <v/>
      </c>
      <c r="AA1572" s="193" t="str">
        <f>Waste!P68</f>
        <v/>
      </c>
      <c r="AB1572" s="193" t="str">
        <f>Waste!Q68</f>
        <v/>
      </c>
      <c r="AC1572" s="193" t="str">
        <f>Waste!R68</f>
        <v/>
      </c>
      <c r="AD1572" s="193" t="str">
        <f>Waste!S68</f>
        <v/>
      </c>
      <c r="AE1572" s="193" t="str">
        <f>Waste!T68</f>
        <v/>
      </c>
      <c r="AF1572" s="193" t="str">
        <f>Waste!U68</f>
        <v/>
      </c>
      <c r="AG1572" s="193" t="str">
        <f>Waste!V68</f>
        <v/>
      </c>
      <c r="AI1572" s="193">
        <f t="shared" si="36"/>
        <v>0</v>
      </c>
      <c r="AJ1572" s="193">
        <f t="shared" si="37"/>
        <v>0</v>
      </c>
    </row>
    <row r="1573" spans="2:36" x14ac:dyDescent="0.35">
      <c r="B1573" s="193" t="e">
        <f>"2024"&amp;MATCH(Totals!D1573,OrgType,0)&amp;"_"&amp;MATCH(Totals!E1573,Organisations,0)&amp;"_"&amp;LEFT(Totals!F1573,1)&amp;"_"&amp;LEFT(G1573,1)&amp;"_"&amp;COUNTIF($G$3:G1573,G1573)</f>
        <v>#N/A</v>
      </c>
      <c r="C1573" s="193">
        <v>2025</v>
      </c>
      <c r="D1573" s="193">
        <f>Introduction!$D$7</f>
        <v>0</v>
      </c>
      <c r="E1573" s="193">
        <f>Introduction!$D$8</f>
        <v>0</v>
      </c>
      <c r="F1573" s="193" t="s">
        <v>113</v>
      </c>
      <c r="G1573" s="193" t="s">
        <v>495</v>
      </c>
      <c r="H1573" s="194"/>
      <c r="I1573" s="194"/>
      <c r="J1573" s="193">
        <f>Waste!B69</f>
        <v>0</v>
      </c>
      <c r="K1573" s="194"/>
      <c r="L1573" s="194"/>
      <c r="M1573" s="193">
        <f>Waste!C69</f>
        <v>0</v>
      </c>
      <c r="N1573" s="193">
        <f>Waste!D69</f>
        <v>0</v>
      </c>
      <c r="O1573" s="194"/>
      <c r="P1573" s="193">
        <f>Waste!E69</f>
        <v>0</v>
      </c>
      <c r="Q1573" s="193" t="str">
        <f>Waste!F69</f>
        <v/>
      </c>
      <c r="R1573" s="193">
        <f>Waste!G69</f>
        <v>0</v>
      </c>
      <c r="S1573" s="193">
        <f>Waste!H69</f>
        <v>0</v>
      </c>
      <c r="T1573" s="193" t="str">
        <f>Waste!I69</f>
        <v/>
      </c>
      <c r="U1573" s="193" t="str">
        <f>Waste!J69</f>
        <v/>
      </c>
      <c r="V1573" s="193" t="str">
        <f>Waste!K69</f>
        <v/>
      </c>
      <c r="W1573" s="193">
        <f>Waste!L69</f>
        <v>0</v>
      </c>
      <c r="X1573" s="193">
        <f>Waste!M69</f>
        <v>0</v>
      </c>
      <c r="Y1573" s="193">
        <f>Waste!N69</f>
        <v>0</v>
      </c>
      <c r="Z1573" s="193" t="str">
        <f>Waste!O69</f>
        <v/>
      </c>
      <c r="AA1573" s="193" t="str">
        <f>Waste!P69</f>
        <v/>
      </c>
      <c r="AB1573" s="193" t="str">
        <f>Waste!Q69</f>
        <v/>
      </c>
      <c r="AC1573" s="193" t="str">
        <f>Waste!R69</f>
        <v/>
      </c>
      <c r="AD1573" s="193" t="str">
        <f>Waste!S69</f>
        <v/>
      </c>
      <c r="AE1573" s="193" t="str">
        <f>Waste!T69</f>
        <v/>
      </c>
      <c r="AF1573" s="193" t="str">
        <f>Waste!U69</f>
        <v/>
      </c>
      <c r="AG1573" s="193" t="str">
        <f>Waste!V69</f>
        <v/>
      </c>
      <c r="AI1573" s="193">
        <f t="shared" si="36"/>
        <v>0</v>
      </c>
      <c r="AJ1573" s="193">
        <f t="shared" si="37"/>
        <v>0</v>
      </c>
    </row>
    <row r="1574" spans="2:36" x14ac:dyDescent="0.35">
      <c r="B1574" s="193" t="e">
        <f>"2024"&amp;MATCH(Totals!D1574,OrgType,0)&amp;"_"&amp;MATCH(Totals!E1574,Organisations,0)&amp;"_"&amp;LEFT(Totals!F1574,1)&amp;"_"&amp;LEFT(G1574,1)&amp;"_"&amp;COUNTIF($G$3:G1574,G1574)</f>
        <v>#N/A</v>
      </c>
      <c r="C1574" s="193">
        <v>2025</v>
      </c>
      <c r="D1574" s="193">
        <f>Introduction!$D$7</f>
        <v>0</v>
      </c>
      <c r="E1574" s="193">
        <f>Introduction!$D$8</f>
        <v>0</v>
      </c>
      <c r="F1574" s="193" t="s">
        <v>113</v>
      </c>
      <c r="G1574" s="193" t="s">
        <v>495</v>
      </c>
      <c r="H1574" s="194"/>
      <c r="I1574" s="194"/>
      <c r="J1574" s="193">
        <f>Waste!B70</f>
        <v>0</v>
      </c>
      <c r="K1574" s="194"/>
      <c r="L1574" s="194"/>
      <c r="M1574" s="193">
        <f>Waste!C70</f>
        <v>0</v>
      </c>
      <c r="N1574" s="193">
        <f>Waste!D70</f>
        <v>0</v>
      </c>
      <c r="O1574" s="194"/>
      <c r="P1574" s="193">
        <f>Waste!E70</f>
        <v>0</v>
      </c>
      <c r="Q1574" s="193" t="str">
        <f>Waste!F70</f>
        <v/>
      </c>
      <c r="R1574" s="193">
        <f>Waste!G70</f>
        <v>0</v>
      </c>
      <c r="S1574" s="193">
        <f>Waste!H70</f>
        <v>0</v>
      </c>
      <c r="T1574" s="193" t="str">
        <f>Waste!I70</f>
        <v/>
      </c>
      <c r="U1574" s="193" t="str">
        <f>Waste!J70</f>
        <v/>
      </c>
      <c r="V1574" s="193" t="str">
        <f>Waste!K70</f>
        <v/>
      </c>
      <c r="W1574" s="193">
        <f>Waste!L70</f>
        <v>0</v>
      </c>
      <c r="X1574" s="193">
        <f>Waste!M70</f>
        <v>0</v>
      </c>
      <c r="Y1574" s="193">
        <f>Waste!N70</f>
        <v>0</v>
      </c>
      <c r="Z1574" s="193" t="str">
        <f>Waste!O70</f>
        <v/>
      </c>
      <c r="AA1574" s="193" t="str">
        <f>Waste!P70</f>
        <v/>
      </c>
      <c r="AB1574" s="193" t="str">
        <f>Waste!Q70</f>
        <v/>
      </c>
      <c r="AC1574" s="193" t="str">
        <f>Waste!R70</f>
        <v/>
      </c>
      <c r="AD1574" s="193" t="str">
        <f>Waste!S70</f>
        <v/>
      </c>
      <c r="AE1574" s="193" t="str">
        <f>Waste!T70</f>
        <v/>
      </c>
      <c r="AF1574" s="193" t="str">
        <f>Waste!U70</f>
        <v/>
      </c>
      <c r="AG1574" s="193" t="str">
        <f>Waste!V70</f>
        <v/>
      </c>
      <c r="AI1574" s="193">
        <f t="shared" si="36"/>
        <v>0</v>
      </c>
      <c r="AJ1574" s="193">
        <f t="shared" si="37"/>
        <v>0</v>
      </c>
    </row>
    <row r="1575" spans="2:36" x14ac:dyDescent="0.35">
      <c r="B1575" s="193" t="e">
        <f>"2024"&amp;MATCH(Totals!D1575,OrgType,0)&amp;"_"&amp;MATCH(Totals!E1575,Organisations,0)&amp;"_"&amp;LEFT(Totals!F1575,1)&amp;"_"&amp;LEFT(G1575,1)&amp;"_"&amp;COUNTIF($G$3:G1575,G1575)</f>
        <v>#N/A</v>
      </c>
      <c r="C1575" s="193">
        <v>2025</v>
      </c>
      <c r="D1575" s="193">
        <f>Introduction!$D$7</f>
        <v>0</v>
      </c>
      <c r="E1575" s="193">
        <f>Introduction!$D$8</f>
        <v>0</v>
      </c>
      <c r="F1575" s="193" t="s">
        <v>113</v>
      </c>
      <c r="G1575" s="193" t="s">
        <v>495</v>
      </c>
      <c r="H1575" s="194"/>
      <c r="I1575" s="194"/>
      <c r="J1575" s="193">
        <f>Waste!B71</f>
        <v>0</v>
      </c>
      <c r="K1575" s="194"/>
      <c r="L1575" s="194"/>
      <c r="M1575" s="193">
        <f>Waste!C71</f>
        <v>0</v>
      </c>
      <c r="N1575" s="193">
        <f>Waste!D71</f>
        <v>0</v>
      </c>
      <c r="O1575" s="194"/>
      <c r="P1575" s="193">
        <f>Waste!E71</f>
        <v>0</v>
      </c>
      <c r="Q1575" s="193" t="str">
        <f>Waste!F71</f>
        <v/>
      </c>
      <c r="R1575" s="193">
        <f>Waste!G71</f>
        <v>0</v>
      </c>
      <c r="S1575" s="193">
        <f>Waste!H71</f>
        <v>0</v>
      </c>
      <c r="T1575" s="193" t="str">
        <f>Waste!I71</f>
        <v/>
      </c>
      <c r="U1575" s="193" t="str">
        <f>Waste!J71</f>
        <v/>
      </c>
      <c r="V1575" s="193" t="str">
        <f>Waste!K71</f>
        <v/>
      </c>
      <c r="W1575" s="193">
        <f>Waste!L71</f>
        <v>0</v>
      </c>
      <c r="X1575" s="193">
        <f>Waste!M71</f>
        <v>0</v>
      </c>
      <c r="Y1575" s="193">
        <f>Waste!N71</f>
        <v>0</v>
      </c>
      <c r="Z1575" s="193" t="str">
        <f>Waste!O71</f>
        <v/>
      </c>
      <c r="AA1575" s="193" t="str">
        <f>Waste!P71</f>
        <v/>
      </c>
      <c r="AB1575" s="193" t="str">
        <f>Waste!Q71</f>
        <v/>
      </c>
      <c r="AC1575" s="193" t="str">
        <f>Waste!R71</f>
        <v/>
      </c>
      <c r="AD1575" s="193" t="str">
        <f>Waste!S71</f>
        <v/>
      </c>
      <c r="AE1575" s="193" t="str">
        <f>Waste!T71</f>
        <v/>
      </c>
      <c r="AF1575" s="193" t="str">
        <f>Waste!U71</f>
        <v/>
      </c>
      <c r="AG1575" s="193" t="str">
        <f>Waste!V71</f>
        <v/>
      </c>
      <c r="AI1575" s="193">
        <f t="shared" si="36"/>
        <v>0</v>
      </c>
      <c r="AJ1575" s="193">
        <f t="shared" si="37"/>
        <v>0</v>
      </c>
    </row>
    <row r="1576" spans="2:36" x14ac:dyDescent="0.35">
      <c r="B1576" s="193" t="e">
        <f>"2024"&amp;MATCH(Totals!D1576,OrgType,0)&amp;"_"&amp;MATCH(Totals!E1576,Organisations,0)&amp;"_"&amp;LEFT(Totals!F1576,1)&amp;"_"&amp;LEFT(G1576,1)&amp;"_"&amp;COUNTIF($G$3:G1576,G1576)</f>
        <v>#N/A</v>
      </c>
      <c r="C1576" s="193">
        <v>2025</v>
      </c>
      <c r="D1576" s="193">
        <f>Introduction!$D$7</f>
        <v>0</v>
      </c>
      <c r="E1576" s="193">
        <f>Introduction!$D$8</f>
        <v>0</v>
      </c>
      <c r="F1576" s="193" t="s">
        <v>113</v>
      </c>
      <c r="G1576" s="193" t="s">
        <v>495</v>
      </c>
      <c r="H1576" s="194"/>
      <c r="I1576" s="194"/>
      <c r="J1576" s="193">
        <f>Waste!B72</f>
        <v>0</v>
      </c>
      <c r="K1576" s="194"/>
      <c r="L1576" s="194"/>
      <c r="M1576" s="193">
        <f>Waste!C72</f>
        <v>0</v>
      </c>
      <c r="N1576" s="193">
        <f>Waste!D72</f>
        <v>0</v>
      </c>
      <c r="O1576" s="194"/>
      <c r="P1576" s="193">
        <f>Waste!E72</f>
        <v>0</v>
      </c>
      <c r="Q1576" s="193" t="str">
        <f>Waste!F72</f>
        <v/>
      </c>
      <c r="R1576" s="193">
        <f>Waste!G72</f>
        <v>0</v>
      </c>
      <c r="S1576" s="193">
        <f>Waste!H72</f>
        <v>0</v>
      </c>
      <c r="T1576" s="193" t="str">
        <f>Waste!I72</f>
        <v/>
      </c>
      <c r="U1576" s="193" t="str">
        <f>Waste!J72</f>
        <v/>
      </c>
      <c r="V1576" s="193" t="str">
        <f>Waste!K72</f>
        <v/>
      </c>
      <c r="W1576" s="193">
        <f>Waste!L72</f>
        <v>0</v>
      </c>
      <c r="X1576" s="193">
        <f>Waste!M72</f>
        <v>0</v>
      </c>
      <c r="Y1576" s="193">
        <f>Waste!N72</f>
        <v>0</v>
      </c>
      <c r="Z1576" s="193" t="str">
        <f>Waste!O72</f>
        <v/>
      </c>
      <c r="AA1576" s="193" t="str">
        <f>Waste!P72</f>
        <v/>
      </c>
      <c r="AB1576" s="193" t="str">
        <f>Waste!Q72</f>
        <v/>
      </c>
      <c r="AC1576" s="193" t="str">
        <f>Waste!R72</f>
        <v/>
      </c>
      <c r="AD1576" s="193" t="str">
        <f>Waste!S72</f>
        <v/>
      </c>
      <c r="AE1576" s="193" t="str">
        <f>Waste!T72</f>
        <v/>
      </c>
      <c r="AF1576" s="193" t="str">
        <f>Waste!U72</f>
        <v/>
      </c>
      <c r="AG1576" s="193" t="str">
        <f>Waste!V72</f>
        <v/>
      </c>
      <c r="AI1576" s="193">
        <f t="shared" si="36"/>
        <v>0</v>
      </c>
      <c r="AJ1576" s="193">
        <f t="shared" si="37"/>
        <v>0</v>
      </c>
    </row>
    <row r="1577" spans="2:36" x14ac:dyDescent="0.35">
      <c r="B1577" s="193" t="e">
        <f>"2024"&amp;MATCH(Totals!D1577,OrgType,0)&amp;"_"&amp;MATCH(Totals!E1577,Organisations,0)&amp;"_"&amp;LEFT(Totals!F1577,1)&amp;"_"&amp;LEFT(G1577,1)&amp;"_"&amp;COUNTIF($G$3:G1577,G1577)</f>
        <v>#N/A</v>
      </c>
      <c r="C1577" s="193">
        <v>2025</v>
      </c>
      <c r="D1577" s="193">
        <f>Introduction!$D$7</f>
        <v>0</v>
      </c>
      <c r="E1577" s="193">
        <f>Introduction!$D$8</f>
        <v>0</v>
      </c>
      <c r="F1577" s="193" t="s">
        <v>113</v>
      </c>
      <c r="G1577" s="193" t="s">
        <v>495</v>
      </c>
      <c r="H1577" s="194"/>
      <c r="I1577" s="194"/>
      <c r="J1577" s="193">
        <f>Waste!B73</f>
        <v>0</v>
      </c>
      <c r="K1577" s="194"/>
      <c r="L1577" s="194"/>
      <c r="M1577" s="193">
        <f>Waste!C73</f>
        <v>0</v>
      </c>
      <c r="N1577" s="193">
        <f>Waste!D73</f>
        <v>0</v>
      </c>
      <c r="O1577" s="194"/>
      <c r="P1577" s="193">
        <f>Waste!E73</f>
        <v>0</v>
      </c>
      <c r="Q1577" s="193" t="str">
        <f>Waste!F73</f>
        <v/>
      </c>
      <c r="R1577" s="193">
        <f>Waste!G73</f>
        <v>0</v>
      </c>
      <c r="S1577" s="193">
        <f>Waste!H73</f>
        <v>0</v>
      </c>
      <c r="T1577" s="193" t="str">
        <f>Waste!I73</f>
        <v/>
      </c>
      <c r="U1577" s="193" t="str">
        <f>Waste!J73</f>
        <v/>
      </c>
      <c r="V1577" s="193" t="str">
        <f>Waste!K73</f>
        <v/>
      </c>
      <c r="W1577" s="193">
        <f>Waste!L73</f>
        <v>0</v>
      </c>
      <c r="X1577" s="193">
        <f>Waste!M73</f>
        <v>0</v>
      </c>
      <c r="Y1577" s="193">
        <f>Waste!N73</f>
        <v>0</v>
      </c>
      <c r="Z1577" s="193" t="str">
        <f>Waste!O73</f>
        <v/>
      </c>
      <c r="AA1577" s="193" t="str">
        <f>Waste!P73</f>
        <v/>
      </c>
      <c r="AB1577" s="193" t="str">
        <f>Waste!Q73</f>
        <v/>
      </c>
      <c r="AC1577" s="193" t="str">
        <f>Waste!R73</f>
        <v/>
      </c>
      <c r="AD1577" s="193" t="str">
        <f>Waste!S73</f>
        <v/>
      </c>
      <c r="AE1577" s="193" t="str">
        <f>Waste!T73</f>
        <v/>
      </c>
      <c r="AF1577" s="193" t="str">
        <f>Waste!U73</f>
        <v/>
      </c>
      <c r="AG1577" s="193" t="str">
        <f>Waste!V73</f>
        <v/>
      </c>
      <c r="AI1577" s="193">
        <f t="shared" si="36"/>
        <v>0</v>
      </c>
      <c r="AJ1577" s="193">
        <f t="shared" si="37"/>
        <v>0</v>
      </c>
    </row>
    <row r="1578" spans="2:36" x14ac:dyDescent="0.35">
      <c r="B1578" s="193" t="e">
        <f>"2024"&amp;MATCH(Totals!D1578,OrgType,0)&amp;"_"&amp;MATCH(Totals!E1578,Organisations,0)&amp;"_"&amp;LEFT(Totals!F1578,1)&amp;"_"&amp;LEFT(G1578,1)&amp;"_"&amp;COUNTIF($G$3:G1578,G1578)</f>
        <v>#N/A</v>
      </c>
      <c r="C1578" s="193">
        <v>2025</v>
      </c>
      <c r="D1578" s="193">
        <f>Introduction!$D$7</f>
        <v>0</v>
      </c>
      <c r="E1578" s="193">
        <f>Introduction!$D$8</f>
        <v>0</v>
      </c>
      <c r="F1578" s="193" t="s">
        <v>113</v>
      </c>
      <c r="G1578" s="193" t="s">
        <v>495</v>
      </c>
      <c r="H1578" s="194"/>
      <c r="I1578" s="194"/>
      <c r="J1578" s="193">
        <f>Waste!B74</f>
        <v>0</v>
      </c>
      <c r="K1578" s="194"/>
      <c r="L1578" s="194"/>
      <c r="M1578" s="193">
        <f>Waste!C74</f>
        <v>0</v>
      </c>
      <c r="N1578" s="193">
        <f>Waste!D74</f>
        <v>0</v>
      </c>
      <c r="O1578" s="194"/>
      <c r="P1578" s="193">
        <f>Waste!E74</f>
        <v>0</v>
      </c>
      <c r="Q1578" s="193" t="str">
        <f>Waste!F74</f>
        <v/>
      </c>
      <c r="R1578" s="193">
        <f>Waste!G74</f>
        <v>0</v>
      </c>
      <c r="S1578" s="193">
        <f>Waste!H74</f>
        <v>0</v>
      </c>
      <c r="T1578" s="193" t="str">
        <f>Waste!I74</f>
        <v/>
      </c>
      <c r="U1578" s="193" t="str">
        <f>Waste!J74</f>
        <v/>
      </c>
      <c r="V1578" s="193" t="str">
        <f>Waste!K74</f>
        <v/>
      </c>
      <c r="W1578" s="193">
        <f>Waste!L74</f>
        <v>0</v>
      </c>
      <c r="X1578" s="193">
        <f>Waste!M74</f>
        <v>0</v>
      </c>
      <c r="Y1578" s="193">
        <f>Waste!N74</f>
        <v>0</v>
      </c>
      <c r="Z1578" s="193" t="str">
        <f>Waste!O74</f>
        <v/>
      </c>
      <c r="AA1578" s="193" t="str">
        <f>Waste!P74</f>
        <v/>
      </c>
      <c r="AB1578" s="193" t="str">
        <f>Waste!Q74</f>
        <v/>
      </c>
      <c r="AC1578" s="193" t="str">
        <f>Waste!R74</f>
        <v/>
      </c>
      <c r="AD1578" s="193" t="str">
        <f>Waste!S74</f>
        <v/>
      </c>
      <c r="AE1578" s="193" t="str">
        <f>Waste!T74</f>
        <v/>
      </c>
      <c r="AF1578" s="193" t="str">
        <f>Waste!U74</f>
        <v/>
      </c>
      <c r="AG1578" s="193" t="str">
        <f>Waste!V74</f>
        <v/>
      </c>
      <c r="AI1578" s="193">
        <f t="shared" si="36"/>
        <v>0</v>
      </c>
      <c r="AJ1578" s="193">
        <f t="shared" si="37"/>
        <v>0</v>
      </c>
    </row>
    <row r="1579" spans="2:36" x14ac:dyDescent="0.35">
      <c r="B1579" s="193" t="e">
        <f>"2024"&amp;MATCH(Totals!D1579,OrgType,0)&amp;"_"&amp;MATCH(Totals!E1579,Organisations,0)&amp;"_"&amp;LEFT(Totals!F1579,1)&amp;"_"&amp;LEFT(G1579,1)&amp;"_"&amp;COUNTIF($G$3:G1579,G1579)</f>
        <v>#N/A</v>
      </c>
      <c r="C1579" s="193">
        <v>2025</v>
      </c>
      <c r="D1579" s="193">
        <f>Introduction!$D$7</f>
        <v>0</v>
      </c>
      <c r="E1579" s="193">
        <f>Introduction!$D$8</f>
        <v>0</v>
      </c>
      <c r="F1579" s="193" t="s">
        <v>113</v>
      </c>
      <c r="G1579" s="193" t="s">
        <v>495</v>
      </c>
      <c r="H1579" s="194"/>
      <c r="I1579" s="194"/>
      <c r="J1579" s="193">
        <f>Waste!B75</f>
        <v>0</v>
      </c>
      <c r="K1579" s="194"/>
      <c r="L1579" s="194"/>
      <c r="M1579" s="193">
        <f>Waste!C75</f>
        <v>0</v>
      </c>
      <c r="N1579" s="193">
        <f>Waste!D75</f>
        <v>0</v>
      </c>
      <c r="O1579" s="194"/>
      <c r="P1579" s="193">
        <f>Waste!E75</f>
        <v>0</v>
      </c>
      <c r="Q1579" s="193" t="str">
        <f>Waste!F75</f>
        <v/>
      </c>
      <c r="R1579" s="193">
        <f>Waste!G75</f>
        <v>0</v>
      </c>
      <c r="S1579" s="193">
        <f>Waste!H75</f>
        <v>0</v>
      </c>
      <c r="T1579" s="193" t="str">
        <f>Waste!I75</f>
        <v/>
      </c>
      <c r="U1579" s="193" t="str">
        <f>Waste!J75</f>
        <v/>
      </c>
      <c r="V1579" s="193" t="str">
        <f>Waste!K75</f>
        <v/>
      </c>
      <c r="W1579" s="193">
        <f>Waste!L75</f>
        <v>0</v>
      </c>
      <c r="X1579" s="193">
        <f>Waste!M75</f>
        <v>0</v>
      </c>
      <c r="Y1579" s="193">
        <f>Waste!N75</f>
        <v>0</v>
      </c>
      <c r="Z1579" s="193" t="str">
        <f>Waste!O75</f>
        <v/>
      </c>
      <c r="AA1579" s="193" t="str">
        <f>Waste!P75</f>
        <v/>
      </c>
      <c r="AB1579" s="193" t="str">
        <f>Waste!Q75</f>
        <v/>
      </c>
      <c r="AC1579" s="193" t="str">
        <f>Waste!R75</f>
        <v/>
      </c>
      <c r="AD1579" s="193" t="str">
        <f>Waste!S75</f>
        <v/>
      </c>
      <c r="AE1579" s="193" t="str">
        <f>Waste!T75</f>
        <v/>
      </c>
      <c r="AF1579" s="193" t="str">
        <f>Waste!U75</f>
        <v/>
      </c>
      <c r="AG1579" s="193" t="str">
        <f>Waste!V75</f>
        <v/>
      </c>
      <c r="AI1579" s="193">
        <f t="shared" si="36"/>
        <v>0</v>
      </c>
      <c r="AJ1579" s="193">
        <f t="shared" si="37"/>
        <v>0</v>
      </c>
    </row>
    <row r="1580" spans="2:36" x14ac:dyDescent="0.35">
      <c r="B1580" s="193" t="e">
        <f>"2024"&amp;MATCH(Totals!D1580,OrgType,0)&amp;"_"&amp;MATCH(Totals!E1580,Organisations,0)&amp;"_"&amp;LEFT(Totals!F1580,1)&amp;"_"&amp;LEFT(G1580,1)&amp;"_"&amp;COUNTIF($G$3:G1580,G1580)</f>
        <v>#N/A</v>
      </c>
      <c r="C1580" s="193">
        <v>2025</v>
      </c>
      <c r="D1580" s="193">
        <f>Introduction!$D$7</f>
        <v>0</v>
      </c>
      <c r="E1580" s="193">
        <f>Introduction!$D$8</f>
        <v>0</v>
      </c>
      <c r="F1580" s="193" t="s">
        <v>113</v>
      </c>
      <c r="G1580" s="193" t="s">
        <v>495</v>
      </c>
      <c r="H1580" s="194"/>
      <c r="I1580" s="194"/>
      <c r="J1580" s="193">
        <f>Waste!B76</f>
        <v>0</v>
      </c>
      <c r="K1580" s="194"/>
      <c r="L1580" s="194"/>
      <c r="M1580" s="193">
        <f>Waste!C76</f>
        <v>0</v>
      </c>
      <c r="N1580" s="193">
        <f>Waste!D76</f>
        <v>0</v>
      </c>
      <c r="O1580" s="194"/>
      <c r="P1580" s="193">
        <f>Waste!E76</f>
        <v>0</v>
      </c>
      <c r="Q1580" s="193" t="str">
        <f>Waste!F76</f>
        <v/>
      </c>
      <c r="R1580" s="193">
        <f>Waste!G76</f>
        <v>0</v>
      </c>
      <c r="S1580" s="193">
        <f>Waste!H76</f>
        <v>0</v>
      </c>
      <c r="T1580" s="193" t="str">
        <f>Waste!I76</f>
        <v/>
      </c>
      <c r="U1580" s="193" t="str">
        <f>Waste!J76</f>
        <v/>
      </c>
      <c r="V1580" s="193" t="str">
        <f>Waste!K76</f>
        <v/>
      </c>
      <c r="W1580" s="193">
        <f>Waste!L76</f>
        <v>0</v>
      </c>
      <c r="X1580" s="193">
        <f>Waste!M76</f>
        <v>0</v>
      </c>
      <c r="Y1580" s="193">
        <f>Waste!N76</f>
        <v>0</v>
      </c>
      <c r="Z1580" s="193" t="str">
        <f>Waste!O76</f>
        <v/>
      </c>
      <c r="AA1580" s="193" t="str">
        <f>Waste!P76</f>
        <v/>
      </c>
      <c r="AB1580" s="193" t="str">
        <f>Waste!Q76</f>
        <v/>
      </c>
      <c r="AC1580" s="193" t="str">
        <f>Waste!R76</f>
        <v/>
      </c>
      <c r="AD1580" s="193" t="str">
        <f>Waste!S76</f>
        <v/>
      </c>
      <c r="AE1580" s="193" t="str">
        <f>Waste!T76</f>
        <v/>
      </c>
      <c r="AF1580" s="193" t="str">
        <f>Waste!U76</f>
        <v/>
      </c>
      <c r="AG1580" s="193" t="str">
        <f>Waste!V76</f>
        <v/>
      </c>
      <c r="AI1580" s="193">
        <f t="shared" si="36"/>
        <v>0</v>
      </c>
      <c r="AJ1580" s="193">
        <f t="shared" si="37"/>
        <v>0</v>
      </c>
    </row>
    <row r="1581" spans="2:36" x14ac:dyDescent="0.35">
      <c r="B1581" s="193" t="e">
        <f>"2024"&amp;MATCH(Totals!D1581,OrgType,0)&amp;"_"&amp;MATCH(Totals!E1581,Organisations,0)&amp;"_"&amp;LEFT(Totals!F1581,1)&amp;"_"&amp;LEFT(G1581,1)&amp;"_"&amp;COUNTIF($G$3:G1581,G1581)</f>
        <v>#N/A</v>
      </c>
      <c r="C1581" s="193">
        <v>2025</v>
      </c>
      <c r="D1581" s="193">
        <f>Introduction!$D$7</f>
        <v>0</v>
      </c>
      <c r="E1581" s="193">
        <f>Introduction!$D$8</f>
        <v>0</v>
      </c>
      <c r="F1581" s="193" t="s">
        <v>113</v>
      </c>
      <c r="G1581" s="193" t="s">
        <v>495</v>
      </c>
      <c r="H1581" s="194"/>
      <c r="I1581" s="194"/>
      <c r="J1581" s="193">
        <f>Waste!B77</f>
        <v>0</v>
      </c>
      <c r="K1581" s="194"/>
      <c r="L1581" s="194"/>
      <c r="M1581" s="193">
        <f>Waste!C77</f>
        <v>0</v>
      </c>
      <c r="N1581" s="193">
        <f>Waste!D77</f>
        <v>0</v>
      </c>
      <c r="O1581" s="194"/>
      <c r="P1581" s="193">
        <f>Waste!E77</f>
        <v>0</v>
      </c>
      <c r="Q1581" s="193" t="str">
        <f>Waste!F77</f>
        <v/>
      </c>
      <c r="R1581" s="193">
        <f>Waste!G77</f>
        <v>0</v>
      </c>
      <c r="S1581" s="193">
        <f>Waste!H77</f>
        <v>0</v>
      </c>
      <c r="T1581" s="193" t="str">
        <f>Waste!I77</f>
        <v/>
      </c>
      <c r="U1581" s="193" t="str">
        <f>Waste!J77</f>
        <v/>
      </c>
      <c r="V1581" s="193" t="str">
        <f>Waste!K77</f>
        <v/>
      </c>
      <c r="W1581" s="193">
        <f>Waste!L77</f>
        <v>0</v>
      </c>
      <c r="X1581" s="193">
        <f>Waste!M77</f>
        <v>0</v>
      </c>
      <c r="Y1581" s="193">
        <f>Waste!N77</f>
        <v>0</v>
      </c>
      <c r="Z1581" s="193" t="str">
        <f>Waste!O77</f>
        <v/>
      </c>
      <c r="AA1581" s="193" t="str">
        <f>Waste!P77</f>
        <v/>
      </c>
      <c r="AB1581" s="193" t="str">
        <f>Waste!Q77</f>
        <v/>
      </c>
      <c r="AC1581" s="193" t="str">
        <f>Waste!R77</f>
        <v/>
      </c>
      <c r="AD1581" s="193" t="str">
        <f>Waste!S77</f>
        <v/>
      </c>
      <c r="AE1581" s="193" t="str">
        <f>Waste!T77</f>
        <v/>
      </c>
      <c r="AF1581" s="193" t="str">
        <f>Waste!U77</f>
        <v/>
      </c>
      <c r="AG1581" s="193" t="str">
        <f>Waste!V77</f>
        <v/>
      </c>
      <c r="AI1581" s="193">
        <f t="shared" si="36"/>
        <v>0</v>
      </c>
      <c r="AJ1581" s="193">
        <f t="shared" si="37"/>
        <v>0</v>
      </c>
    </row>
    <row r="1582" spans="2:36" x14ac:dyDescent="0.35">
      <c r="B1582" s="193" t="e">
        <f>"2024"&amp;MATCH(Totals!D1582,OrgType,0)&amp;"_"&amp;MATCH(Totals!E1582,Organisations,0)&amp;"_"&amp;LEFT(Totals!F1582,1)&amp;"_"&amp;LEFT(G1582,1)&amp;"_"&amp;COUNTIF($G$3:G1582,G1582)</f>
        <v>#N/A</v>
      </c>
      <c r="C1582" s="193">
        <v>2025</v>
      </c>
      <c r="D1582" s="193">
        <f>Introduction!$D$7</f>
        <v>0</v>
      </c>
      <c r="E1582" s="193">
        <f>Introduction!$D$8</f>
        <v>0</v>
      </c>
      <c r="F1582" s="193" t="s">
        <v>113</v>
      </c>
      <c r="G1582" s="193" t="s">
        <v>495</v>
      </c>
      <c r="H1582" s="194"/>
      <c r="I1582" s="194"/>
      <c r="J1582" s="193">
        <f>Waste!B78</f>
        <v>0</v>
      </c>
      <c r="K1582" s="194"/>
      <c r="L1582" s="194"/>
      <c r="M1582" s="193">
        <f>Waste!C78</f>
        <v>0</v>
      </c>
      <c r="N1582" s="193">
        <f>Waste!D78</f>
        <v>0</v>
      </c>
      <c r="O1582" s="194"/>
      <c r="P1582" s="193">
        <f>Waste!E78</f>
        <v>0</v>
      </c>
      <c r="Q1582" s="193" t="str">
        <f>Waste!F78</f>
        <v/>
      </c>
      <c r="R1582" s="193">
        <f>Waste!G78</f>
        <v>0</v>
      </c>
      <c r="S1582" s="193">
        <f>Waste!H78</f>
        <v>0</v>
      </c>
      <c r="T1582" s="193" t="str">
        <f>Waste!I78</f>
        <v/>
      </c>
      <c r="U1582" s="193" t="str">
        <f>Waste!J78</f>
        <v/>
      </c>
      <c r="V1582" s="193" t="str">
        <f>Waste!K78</f>
        <v/>
      </c>
      <c r="W1582" s="193">
        <f>Waste!L78</f>
        <v>0</v>
      </c>
      <c r="X1582" s="193">
        <f>Waste!M78</f>
        <v>0</v>
      </c>
      <c r="Y1582" s="193">
        <f>Waste!N78</f>
        <v>0</v>
      </c>
      <c r="Z1582" s="193" t="str">
        <f>Waste!O78</f>
        <v/>
      </c>
      <c r="AA1582" s="193" t="str">
        <f>Waste!P78</f>
        <v/>
      </c>
      <c r="AB1582" s="193" t="str">
        <f>Waste!Q78</f>
        <v/>
      </c>
      <c r="AC1582" s="193" t="str">
        <f>Waste!R78</f>
        <v/>
      </c>
      <c r="AD1582" s="193" t="str">
        <f>Waste!S78</f>
        <v/>
      </c>
      <c r="AE1582" s="193" t="str">
        <f>Waste!T78</f>
        <v/>
      </c>
      <c r="AF1582" s="193" t="str">
        <f>Waste!U78</f>
        <v/>
      </c>
      <c r="AG1582" s="193" t="str">
        <f>Waste!V78</f>
        <v/>
      </c>
      <c r="AI1582" s="193">
        <f t="shared" si="36"/>
        <v>0</v>
      </c>
      <c r="AJ1582" s="193">
        <f t="shared" si="37"/>
        <v>0</v>
      </c>
    </row>
    <row r="1583" spans="2:36" x14ac:dyDescent="0.35">
      <c r="B1583" s="193" t="e">
        <f>"2024"&amp;MATCH(Totals!D1583,OrgType,0)&amp;"_"&amp;MATCH(Totals!E1583,Organisations,0)&amp;"_"&amp;LEFT(Totals!F1583,1)&amp;"_"&amp;LEFT(G1583,1)&amp;"_"&amp;COUNTIF($G$3:G1583,G1583)</f>
        <v>#N/A</v>
      </c>
      <c r="C1583" s="193">
        <v>2025</v>
      </c>
      <c r="D1583" s="193">
        <f>Introduction!$D$7</f>
        <v>0</v>
      </c>
      <c r="E1583" s="193">
        <f>Introduction!$D$8</f>
        <v>0</v>
      </c>
      <c r="F1583" s="193" t="s">
        <v>113</v>
      </c>
      <c r="G1583" s="193" t="s">
        <v>495</v>
      </c>
      <c r="H1583" s="194"/>
      <c r="I1583" s="194"/>
      <c r="J1583" s="193">
        <f>Waste!B79</f>
        <v>0</v>
      </c>
      <c r="K1583" s="194"/>
      <c r="L1583" s="194"/>
      <c r="M1583" s="193">
        <f>Waste!C79</f>
        <v>0</v>
      </c>
      <c r="N1583" s="193">
        <f>Waste!D79</f>
        <v>0</v>
      </c>
      <c r="O1583" s="194"/>
      <c r="P1583" s="193">
        <f>Waste!E79</f>
        <v>0</v>
      </c>
      <c r="Q1583" s="193" t="str">
        <f>Waste!F79</f>
        <v/>
      </c>
      <c r="R1583" s="193">
        <f>Waste!G79</f>
        <v>0</v>
      </c>
      <c r="S1583" s="193">
        <f>Waste!H79</f>
        <v>0</v>
      </c>
      <c r="T1583" s="193" t="str">
        <f>Waste!I79</f>
        <v/>
      </c>
      <c r="U1583" s="193" t="str">
        <f>Waste!J79</f>
        <v/>
      </c>
      <c r="V1583" s="193" t="str">
        <f>Waste!K79</f>
        <v/>
      </c>
      <c r="W1583" s="193">
        <f>Waste!L79</f>
        <v>0</v>
      </c>
      <c r="X1583" s="193">
        <f>Waste!M79</f>
        <v>0</v>
      </c>
      <c r="Y1583" s="193">
        <f>Waste!N79</f>
        <v>0</v>
      </c>
      <c r="Z1583" s="193" t="str">
        <f>Waste!O79</f>
        <v/>
      </c>
      <c r="AA1583" s="193" t="str">
        <f>Waste!P79</f>
        <v/>
      </c>
      <c r="AB1583" s="193" t="str">
        <f>Waste!Q79</f>
        <v/>
      </c>
      <c r="AC1583" s="193" t="str">
        <f>Waste!R79</f>
        <v/>
      </c>
      <c r="AD1583" s="193" t="str">
        <f>Waste!S79</f>
        <v/>
      </c>
      <c r="AE1583" s="193" t="str">
        <f>Waste!T79</f>
        <v/>
      </c>
      <c r="AF1583" s="193" t="str">
        <f>Waste!U79</f>
        <v/>
      </c>
      <c r="AG1583" s="193" t="str">
        <f>Waste!V79</f>
        <v/>
      </c>
      <c r="AI1583" s="193">
        <f t="shared" si="36"/>
        <v>0</v>
      </c>
      <c r="AJ1583" s="193">
        <f t="shared" si="37"/>
        <v>0</v>
      </c>
    </row>
    <row r="1584" spans="2:36" x14ac:dyDescent="0.35">
      <c r="B1584" s="193" t="e">
        <f>"2024"&amp;MATCH(Totals!D1584,OrgType,0)&amp;"_"&amp;MATCH(Totals!E1584,Organisations,0)&amp;"_"&amp;LEFT(Totals!F1584,1)&amp;"_"&amp;LEFT(G1584,1)&amp;"_"&amp;COUNTIF($G$3:G1584,G1584)</f>
        <v>#N/A</v>
      </c>
      <c r="C1584" s="193">
        <v>2025</v>
      </c>
      <c r="D1584" s="193">
        <f>Introduction!$D$7</f>
        <v>0</v>
      </c>
      <c r="E1584" s="193">
        <f>Introduction!$D$8</f>
        <v>0</v>
      </c>
      <c r="F1584" s="193" t="s">
        <v>113</v>
      </c>
      <c r="G1584" s="193" t="s">
        <v>495</v>
      </c>
      <c r="H1584" s="194"/>
      <c r="I1584" s="194"/>
      <c r="J1584" s="193">
        <f>Waste!B80</f>
        <v>0</v>
      </c>
      <c r="K1584" s="194"/>
      <c r="L1584" s="194"/>
      <c r="M1584" s="193">
        <f>Waste!C80</f>
        <v>0</v>
      </c>
      <c r="N1584" s="193">
        <f>Waste!D80</f>
        <v>0</v>
      </c>
      <c r="O1584" s="194"/>
      <c r="P1584" s="193">
        <f>Waste!E80</f>
        <v>0</v>
      </c>
      <c r="Q1584" s="193" t="str">
        <f>Waste!F80</f>
        <v/>
      </c>
      <c r="R1584" s="193">
        <f>Waste!G80</f>
        <v>0</v>
      </c>
      <c r="S1584" s="193">
        <f>Waste!H80</f>
        <v>0</v>
      </c>
      <c r="T1584" s="193" t="str">
        <f>Waste!I80</f>
        <v/>
      </c>
      <c r="U1584" s="193" t="str">
        <f>Waste!J80</f>
        <v/>
      </c>
      <c r="V1584" s="193" t="str">
        <f>Waste!K80</f>
        <v/>
      </c>
      <c r="W1584" s="193">
        <f>Waste!L80</f>
        <v>0</v>
      </c>
      <c r="X1584" s="193">
        <f>Waste!M80</f>
        <v>0</v>
      </c>
      <c r="Y1584" s="193">
        <f>Waste!N80</f>
        <v>0</v>
      </c>
      <c r="Z1584" s="193" t="str">
        <f>Waste!O80</f>
        <v/>
      </c>
      <c r="AA1584" s="193" t="str">
        <f>Waste!P80</f>
        <v/>
      </c>
      <c r="AB1584" s="193" t="str">
        <f>Waste!Q80</f>
        <v/>
      </c>
      <c r="AC1584" s="193" t="str">
        <f>Waste!R80</f>
        <v/>
      </c>
      <c r="AD1584" s="193" t="str">
        <f>Waste!S80</f>
        <v/>
      </c>
      <c r="AE1584" s="193" t="str">
        <f>Waste!T80</f>
        <v/>
      </c>
      <c r="AF1584" s="193" t="str">
        <f>Waste!U80</f>
        <v/>
      </c>
      <c r="AG1584" s="193" t="str">
        <f>Waste!V80</f>
        <v/>
      </c>
      <c r="AI1584" s="193">
        <f t="shared" si="36"/>
        <v>0</v>
      </c>
      <c r="AJ1584" s="193">
        <f t="shared" si="37"/>
        <v>0</v>
      </c>
    </row>
    <row r="1585" spans="2:36" x14ac:dyDescent="0.35">
      <c r="B1585" s="193" t="e">
        <f>"2024"&amp;MATCH(Totals!D1585,OrgType,0)&amp;"_"&amp;MATCH(Totals!E1585,Organisations,0)&amp;"_"&amp;LEFT(Totals!F1585,1)&amp;"_"&amp;LEFT(G1585,1)&amp;"_"&amp;COUNTIF($G$3:G1585,G1585)</f>
        <v>#N/A</v>
      </c>
      <c r="C1585" s="193">
        <v>2025</v>
      </c>
      <c r="D1585" s="193">
        <f>Introduction!$D$7</f>
        <v>0</v>
      </c>
      <c r="E1585" s="193">
        <f>Introduction!$D$8</f>
        <v>0</v>
      </c>
      <c r="F1585" s="193" t="s">
        <v>113</v>
      </c>
      <c r="G1585" s="193" t="s">
        <v>496</v>
      </c>
      <c r="H1585" s="194"/>
      <c r="I1585" s="194"/>
      <c r="J1585" s="193">
        <f>Waste!B84</f>
        <v>0</v>
      </c>
      <c r="K1585" s="194"/>
      <c r="L1585" s="194"/>
      <c r="M1585" s="193">
        <f>Waste!C84</f>
        <v>0</v>
      </c>
      <c r="N1585" s="193">
        <f>Waste!D84</f>
        <v>0</v>
      </c>
      <c r="O1585" s="194"/>
      <c r="P1585" s="193">
        <f>Waste!E84</f>
        <v>0</v>
      </c>
      <c r="Q1585" s="193" t="str">
        <f>Waste!F84</f>
        <v/>
      </c>
      <c r="R1585" s="193">
        <f>Waste!G84</f>
        <v>0</v>
      </c>
      <c r="S1585" s="193">
        <f>Waste!H84</f>
        <v>0</v>
      </c>
      <c r="T1585" s="193" t="str">
        <f>Waste!I84</f>
        <v/>
      </c>
      <c r="U1585" s="193" t="str">
        <f>Waste!J84</f>
        <v/>
      </c>
      <c r="V1585" s="193" t="str">
        <f>Waste!K84</f>
        <v/>
      </c>
      <c r="W1585" s="193">
        <f>Waste!L84</f>
        <v>0</v>
      </c>
      <c r="X1585" s="193">
        <f>Waste!M84</f>
        <v>0</v>
      </c>
      <c r="Y1585" s="193">
        <f>Waste!N84</f>
        <v>0</v>
      </c>
      <c r="Z1585" s="193" t="str">
        <f>Waste!O84</f>
        <v/>
      </c>
      <c r="AA1585" s="193" t="str">
        <f>Waste!P84</f>
        <v/>
      </c>
      <c r="AB1585" s="193" t="str">
        <f>Waste!Q84</f>
        <v/>
      </c>
      <c r="AC1585" s="193" t="str">
        <f>Waste!R84</f>
        <v/>
      </c>
      <c r="AD1585" s="193" t="str">
        <f>Waste!S84</f>
        <v/>
      </c>
      <c r="AE1585" s="193" t="str">
        <f>Waste!T84</f>
        <v/>
      </c>
      <c r="AF1585" s="193" t="str">
        <f>Waste!U84</f>
        <v/>
      </c>
      <c r="AG1585" s="193" t="str">
        <f>Waste!V84</f>
        <v/>
      </c>
      <c r="AI1585" s="193">
        <f t="shared" si="36"/>
        <v>0</v>
      </c>
      <c r="AJ1585" s="193">
        <f t="shared" si="37"/>
        <v>0</v>
      </c>
    </row>
    <row r="1586" spans="2:36" x14ac:dyDescent="0.35">
      <c r="B1586" s="193" t="e">
        <f>"2024"&amp;MATCH(Totals!D1586,OrgType,0)&amp;"_"&amp;MATCH(Totals!E1586,Organisations,0)&amp;"_"&amp;LEFT(Totals!F1586,1)&amp;"_"&amp;LEFT(G1586,1)&amp;"_"&amp;COUNTIF($G$3:G1586,G1586)</f>
        <v>#N/A</v>
      </c>
      <c r="C1586" s="193">
        <v>2025</v>
      </c>
      <c r="D1586" s="193">
        <f>Introduction!$D$7</f>
        <v>0</v>
      </c>
      <c r="E1586" s="193">
        <f>Introduction!$D$8</f>
        <v>0</v>
      </c>
      <c r="F1586" s="193" t="s">
        <v>113</v>
      </c>
      <c r="G1586" s="193" t="s">
        <v>496</v>
      </c>
      <c r="H1586" s="194"/>
      <c r="I1586" s="194"/>
      <c r="J1586" s="193">
        <f>Waste!B85</f>
        <v>0</v>
      </c>
      <c r="K1586" s="194"/>
      <c r="L1586" s="194"/>
      <c r="M1586" s="193">
        <f>Waste!C85</f>
        <v>0</v>
      </c>
      <c r="N1586" s="193">
        <f>Waste!D85</f>
        <v>0</v>
      </c>
      <c r="O1586" s="194"/>
      <c r="P1586" s="193">
        <f>Waste!E85</f>
        <v>0</v>
      </c>
      <c r="Q1586" s="193" t="str">
        <f>Waste!F85</f>
        <v/>
      </c>
      <c r="R1586" s="193">
        <f>Waste!G85</f>
        <v>0</v>
      </c>
      <c r="S1586" s="193">
        <f>Waste!H85</f>
        <v>0</v>
      </c>
      <c r="T1586" s="193" t="str">
        <f>Waste!I85</f>
        <v/>
      </c>
      <c r="U1586" s="193" t="str">
        <f>Waste!J85</f>
        <v/>
      </c>
      <c r="V1586" s="193" t="str">
        <f>Waste!K85</f>
        <v/>
      </c>
      <c r="W1586" s="193">
        <f>Waste!L85</f>
        <v>0</v>
      </c>
      <c r="X1586" s="193">
        <f>Waste!M85</f>
        <v>0</v>
      </c>
      <c r="Y1586" s="193">
        <f>Waste!N85</f>
        <v>0</v>
      </c>
      <c r="Z1586" s="193" t="str">
        <f>Waste!O85</f>
        <v/>
      </c>
      <c r="AA1586" s="193" t="str">
        <f>Waste!P85</f>
        <v/>
      </c>
      <c r="AB1586" s="193" t="str">
        <f>Waste!Q85</f>
        <v/>
      </c>
      <c r="AC1586" s="193" t="str">
        <f>Waste!R85</f>
        <v/>
      </c>
      <c r="AD1586" s="193" t="str">
        <f>Waste!S85</f>
        <v/>
      </c>
      <c r="AE1586" s="193" t="str">
        <f>Waste!T85</f>
        <v/>
      </c>
      <c r="AF1586" s="193" t="str">
        <f>Waste!U85</f>
        <v/>
      </c>
      <c r="AG1586" s="193" t="str">
        <f>Waste!V85</f>
        <v/>
      </c>
      <c r="AI1586" s="193">
        <f t="shared" si="36"/>
        <v>0</v>
      </c>
      <c r="AJ1586" s="193">
        <f t="shared" si="37"/>
        <v>0</v>
      </c>
    </row>
    <row r="1587" spans="2:36" x14ac:dyDescent="0.35">
      <c r="B1587" s="193" t="e">
        <f>"2024"&amp;MATCH(Totals!D1587,OrgType,0)&amp;"_"&amp;MATCH(Totals!E1587,Organisations,0)&amp;"_"&amp;LEFT(Totals!F1587,1)&amp;"_"&amp;LEFT(G1587,1)&amp;"_"&amp;COUNTIF($G$3:G1587,G1587)</f>
        <v>#N/A</v>
      </c>
      <c r="C1587" s="193">
        <v>2025</v>
      </c>
      <c r="D1587" s="193">
        <f>Introduction!$D$7</f>
        <v>0</v>
      </c>
      <c r="E1587" s="193">
        <f>Introduction!$D$8</f>
        <v>0</v>
      </c>
      <c r="F1587" s="193" t="s">
        <v>113</v>
      </c>
      <c r="G1587" s="193" t="s">
        <v>496</v>
      </c>
      <c r="H1587" s="194"/>
      <c r="I1587" s="194"/>
      <c r="J1587" s="193">
        <f>Waste!B86</f>
        <v>0</v>
      </c>
      <c r="K1587" s="194"/>
      <c r="L1587" s="194"/>
      <c r="M1587" s="193">
        <f>Waste!C86</f>
        <v>0</v>
      </c>
      <c r="N1587" s="193">
        <f>Waste!D86</f>
        <v>0</v>
      </c>
      <c r="O1587" s="194"/>
      <c r="P1587" s="193">
        <f>Waste!E86</f>
        <v>0</v>
      </c>
      <c r="Q1587" s="193" t="str">
        <f>Waste!F86</f>
        <v/>
      </c>
      <c r="R1587" s="193">
        <f>Waste!G86</f>
        <v>0</v>
      </c>
      <c r="S1587" s="193">
        <f>Waste!H86</f>
        <v>0</v>
      </c>
      <c r="T1587" s="193" t="str">
        <f>Waste!I86</f>
        <v/>
      </c>
      <c r="U1587" s="193" t="str">
        <f>Waste!J86</f>
        <v/>
      </c>
      <c r="V1587" s="193" t="str">
        <f>Waste!K86</f>
        <v/>
      </c>
      <c r="W1587" s="193">
        <f>Waste!L86</f>
        <v>0</v>
      </c>
      <c r="X1587" s="193">
        <f>Waste!M86</f>
        <v>0</v>
      </c>
      <c r="Y1587" s="193">
        <f>Waste!N86</f>
        <v>0</v>
      </c>
      <c r="Z1587" s="193" t="str">
        <f>Waste!O86</f>
        <v/>
      </c>
      <c r="AA1587" s="193" t="str">
        <f>Waste!P86</f>
        <v/>
      </c>
      <c r="AB1587" s="193" t="str">
        <f>Waste!Q86</f>
        <v/>
      </c>
      <c r="AC1587" s="193" t="str">
        <f>Waste!R86</f>
        <v/>
      </c>
      <c r="AD1587" s="193" t="str">
        <f>Waste!S86</f>
        <v/>
      </c>
      <c r="AE1587" s="193" t="str">
        <f>Waste!T86</f>
        <v/>
      </c>
      <c r="AF1587" s="193" t="str">
        <f>Waste!U86</f>
        <v/>
      </c>
      <c r="AG1587" s="193" t="str">
        <f>Waste!V86</f>
        <v/>
      </c>
      <c r="AI1587" s="193">
        <f t="shared" si="36"/>
        <v>0</v>
      </c>
      <c r="AJ1587" s="193">
        <f t="shared" si="37"/>
        <v>0</v>
      </c>
    </row>
    <row r="1588" spans="2:36" x14ac:dyDescent="0.35">
      <c r="B1588" s="193" t="e">
        <f>"2024"&amp;MATCH(Totals!D1588,OrgType,0)&amp;"_"&amp;MATCH(Totals!E1588,Organisations,0)&amp;"_"&amp;LEFT(Totals!F1588,1)&amp;"_"&amp;LEFT(G1588,1)&amp;"_"&amp;COUNTIF($G$3:G1588,G1588)</f>
        <v>#N/A</v>
      </c>
      <c r="C1588" s="193">
        <v>2025</v>
      </c>
      <c r="D1588" s="193">
        <f>Introduction!$D$7</f>
        <v>0</v>
      </c>
      <c r="E1588" s="193">
        <f>Introduction!$D$8</f>
        <v>0</v>
      </c>
      <c r="F1588" s="193" t="s">
        <v>113</v>
      </c>
      <c r="G1588" s="193" t="s">
        <v>496</v>
      </c>
      <c r="H1588" s="194"/>
      <c r="I1588" s="194"/>
      <c r="J1588" s="193">
        <f>Waste!B87</f>
        <v>0</v>
      </c>
      <c r="K1588" s="194"/>
      <c r="L1588" s="194"/>
      <c r="M1588" s="193">
        <f>Waste!C87</f>
        <v>0</v>
      </c>
      <c r="N1588" s="193">
        <f>Waste!D87</f>
        <v>0</v>
      </c>
      <c r="O1588" s="194"/>
      <c r="P1588" s="193">
        <f>Waste!E87</f>
        <v>0</v>
      </c>
      <c r="Q1588" s="193" t="str">
        <f>Waste!F87</f>
        <v/>
      </c>
      <c r="R1588" s="193">
        <f>Waste!G87</f>
        <v>0</v>
      </c>
      <c r="S1588" s="193">
        <f>Waste!H87</f>
        <v>0</v>
      </c>
      <c r="T1588" s="193" t="str">
        <f>Waste!I87</f>
        <v/>
      </c>
      <c r="U1588" s="193" t="str">
        <f>Waste!J87</f>
        <v/>
      </c>
      <c r="V1588" s="193" t="str">
        <f>Waste!K87</f>
        <v/>
      </c>
      <c r="W1588" s="193">
        <f>Waste!L87</f>
        <v>0</v>
      </c>
      <c r="X1588" s="193">
        <f>Waste!M87</f>
        <v>0</v>
      </c>
      <c r="Y1588" s="193">
        <f>Waste!N87</f>
        <v>0</v>
      </c>
      <c r="Z1588" s="193" t="str">
        <f>Waste!O87</f>
        <v/>
      </c>
      <c r="AA1588" s="193" t="str">
        <f>Waste!P87</f>
        <v/>
      </c>
      <c r="AB1588" s="193" t="str">
        <f>Waste!Q87</f>
        <v/>
      </c>
      <c r="AC1588" s="193" t="str">
        <f>Waste!R87</f>
        <v/>
      </c>
      <c r="AD1588" s="193" t="str">
        <f>Waste!S87</f>
        <v/>
      </c>
      <c r="AE1588" s="193" t="str">
        <f>Waste!T87</f>
        <v/>
      </c>
      <c r="AF1588" s="193" t="str">
        <f>Waste!U87</f>
        <v/>
      </c>
      <c r="AG1588" s="193" t="str">
        <f>Waste!V87</f>
        <v/>
      </c>
      <c r="AI1588" s="193">
        <f t="shared" si="36"/>
        <v>0</v>
      </c>
      <c r="AJ1588" s="193">
        <f t="shared" si="37"/>
        <v>0</v>
      </c>
    </row>
    <row r="1589" spans="2:36" x14ac:dyDescent="0.35">
      <c r="B1589" s="193" t="e">
        <f>"2024"&amp;MATCH(Totals!D1589,OrgType,0)&amp;"_"&amp;MATCH(Totals!E1589,Organisations,0)&amp;"_"&amp;LEFT(Totals!F1589,1)&amp;"_"&amp;LEFT(G1589,1)&amp;"_"&amp;COUNTIF($G$3:G1589,G1589)</f>
        <v>#N/A</v>
      </c>
      <c r="C1589" s="193">
        <v>2025</v>
      </c>
      <c r="D1589" s="193">
        <f>Introduction!$D$7</f>
        <v>0</v>
      </c>
      <c r="E1589" s="193">
        <f>Introduction!$D$8</f>
        <v>0</v>
      </c>
      <c r="F1589" s="193" t="s">
        <v>113</v>
      </c>
      <c r="G1589" s="193" t="s">
        <v>496</v>
      </c>
      <c r="H1589" s="194"/>
      <c r="I1589" s="194"/>
      <c r="J1589" s="193">
        <f>Waste!B88</f>
        <v>0</v>
      </c>
      <c r="K1589" s="194"/>
      <c r="L1589" s="194"/>
      <c r="M1589" s="193">
        <f>Waste!C88</f>
        <v>0</v>
      </c>
      <c r="N1589" s="193">
        <f>Waste!D88</f>
        <v>0</v>
      </c>
      <c r="O1589" s="194"/>
      <c r="P1589" s="193">
        <f>Waste!E88</f>
        <v>0</v>
      </c>
      <c r="Q1589" s="193" t="str">
        <f>Waste!F88</f>
        <v/>
      </c>
      <c r="R1589" s="193">
        <f>Waste!G88</f>
        <v>0</v>
      </c>
      <c r="S1589" s="193">
        <f>Waste!H88</f>
        <v>0</v>
      </c>
      <c r="T1589" s="193" t="str">
        <f>Waste!I88</f>
        <v/>
      </c>
      <c r="U1589" s="193" t="str">
        <f>Waste!J88</f>
        <v/>
      </c>
      <c r="V1589" s="193" t="str">
        <f>Waste!K88</f>
        <v/>
      </c>
      <c r="W1589" s="193">
        <f>Waste!L88</f>
        <v>0</v>
      </c>
      <c r="X1589" s="193">
        <f>Waste!M88</f>
        <v>0</v>
      </c>
      <c r="Y1589" s="193">
        <f>Waste!N88</f>
        <v>0</v>
      </c>
      <c r="Z1589" s="193" t="str">
        <f>Waste!O88</f>
        <v/>
      </c>
      <c r="AA1589" s="193" t="str">
        <f>Waste!P88</f>
        <v/>
      </c>
      <c r="AB1589" s="193" t="str">
        <f>Waste!Q88</f>
        <v/>
      </c>
      <c r="AC1589" s="193" t="str">
        <f>Waste!R88</f>
        <v/>
      </c>
      <c r="AD1589" s="193" t="str">
        <f>Waste!S88</f>
        <v/>
      </c>
      <c r="AE1589" s="193" t="str">
        <f>Waste!T88</f>
        <v/>
      </c>
      <c r="AF1589" s="193" t="str">
        <f>Waste!U88</f>
        <v/>
      </c>
      <c r="AG1589" s="193" t="str">
        <f>Waste!V88</f>
        <v/>
      </c>
      <c r="AI1589" s="193">
        <f t="shared" ref="AI1589:AI1715" si="38">IF(AND(V1589="",R1589&lt;&gt;0),1,0)</f>
        <v>0</v>
      </c>
      <c r="AJ1589" s="193">
        <f t="shared" ref="AJ1589:AJ1715" si="39">IF(AND(W1589="",R1589&lt;&gt;0),1,0)</f>
        <v>0</v>
      </c>
    </row>
    <row r="1590" spans="2:36" x14ac:dyDescent="0.35">
      <c r="B1590" s="193" t="e">
        <f>"2024"&amp;MATCH(Totals!D1590,OrgType,0)&amp;"_"&amp;MATCH(Totals!E1590,Organisations,0)&amp;"_"&amp;LEFT(Totals!F1590,1)&amp;"_"&amp;LEFT(G1590,1)&amp;"_"&amp;COUNTIF($G$3:G1590,G1590)</f>
        <v>#N/A</v>
      </c>
      <c r="C1590" s="193">
        <v>2025</v>
      </c>
      <c r="D1590" s="193">
        <f>Introduction!$D$7</f>
        <v>0</v>
      </c>
      <c r="E1590" s="193">
        <f>Introduction!$D$8</f>
        <v>0</v>
      </c>
      <c r="F1590" s="193" t="s">
        <v>113</v>
      </c>
      <c r="G1590" s="193" t="s">
        <v>496</v>
      </c>
      <c r="H1590" s="194"/>
      <c r="I1590" s="194"/>
      <c r="J1590" s="193">
        <f>Waste!B89</f>
        <v>0</v>
      </c>
      <c r="K1590" s="194"/>
      <c r="L1590" s="194"/>
      <c r="M1590" s="193">
        <f>Waste!C89</f>
        <v>0</v>
      </c>
      <c r="N1590" s="193">
        <f>Waste!D89</f>
        <v>0</v>
      </c>
      <c r="O1590" s="194"/>
      <c r="P1590" s="193">
        <f>Waste!E89</f>
        <v>0</v>
      </c>
      <c r="Q1590" s="193" t="str">
        <f>Waste!F89</f>
        <v/>
      </c>
      <c r="R1590" s="193">
        <f>Waste!G89</f>
        <v>0</v>
      </c>
      <c r="S1590" s="193">
        <f>Waste!H89</f>
        <v>0</v>
      </c>
      <c r="T1590" s="193" t="str">
        <f>Waste!I89</f>
        <v/>
      </c>
      <c r="U1590" s="193" t="str">
        <f>Waste!J89</f>
        <v/>
      </c>
      <c r="V1590" s="193" t="str">
        <f>Waste!K89</f>
        <v/>
      </c>
      <c r="W1590" s="193">
        <f>Waste!L89</f>
        <v>0</v>
      </c>
      <c r="X1590" s="193">
        <f>Waste!M89</f>
        <v>0</v>
      </c>
      <c r="Y1590" s="193">
        <f>Waste!N89</f>
        <v>0</v>
      </c>
      <c r="Z1590" s="193" t="str">
        <f>Waste!O89</f>
        <v/>
      </c>
      <c r="AA1590" s="193" t="str">
        <f>Waste!P89</f>
        <v/>
      </c>
      <c r="AB1590" s="193" t="str">
        <f>Waste!Q89</f>
        <v/>
      </c>
      <c r="AC1590" s="193" t="str">
        <f>Waste!R89</f>
        <v/>
      </c>
      <c r="AD1590" s="193" t="str">
        <f>Waste!S89</f>
        <v/>
      </c>
      <c r="AE1590" s="193" t="str">
        <f>Waste!T89</f>
        <v/>
      </c>
      <c r="AF1590" s="193" t="str">
        <f>Waste!U89</f>
        <v/>
      </c>
      <c r="AG1590" s="193" t="str">
        <f>Waste!V89</f>
        <v/>
      </c>
      <c r="AI1590" s="193">
        <f t="shared" si="38"/>
        <v>0</v>
      </c>
      <c r="AJ1590" s="193">
        <f t="shared" si="39"/>
        <v>0</v>
      </c>
    </row>
    <row r="1591" spans="2:36" x14ac:dyDescent="0.35">
      <c r="B1591" s="193" t="e">
        <f>"2024"&amp;MATCH(Totals!D1591,OrgType,0)&amp;"_"&amp;MATCH(Totals!E1591,Organisations,0)&amp;"_"&amp;LEFT(Totals!F1591,1)&amp;"_"&amp;LEFT(G1591,1)&amp;"_"&amp;COUNTIF($G$3:G1591,G1591)</f>
        <v>#N/A</v>
      </c>
      <c r="C1591" s="193">
        <v>2025</v>
      </c>
      <c r="D1591" s="193">
        <f>Introduction!$D$7</f>
        <v>0</v>
      </c>
      <c r="E1591" s="193">
        <f>Introduction!$D$8</f>
        <v>0</v>
      </c>
      <c r="F1591" s="193" t="s">
        <v>113</v>
      </c>
      <c r="G1591" s="193" t="s">
        <v>496</v>
      </c>
      <c r="H1591" s="194"/>
      <c r="I1591" s="194"/>
      <c r="J1591" s="193">
        <f>Waste!B90</f>
        <v>0</v>
      </c>
      <c r="K1591" s="194"/>
      <c r="L1591" s="194"/>
      <c r="M1591" s="193">
        <f>Waste!C90</f>
        <v>0</v>
      </c>
      <c r="N1591" s="193">
        <f>Waste!D90</f>
        <v>0</v>
      </c>
      <c r="O1591" s="194"/>
      <c r="P1591" s="193">
        <f>Waste!E90</f>
        <v>0</v>
      </c>
      <c r="Q1591" s="193" t="str">
        <f>Waste!F90</f>
        <v/>
      </c>
      <c r="R1591" s="193">
        <f>Waste!G90</f>
        <v>0</v>
      </c>
      <c r="S1591" s="193">
        <f>Waste!H90</f>
        <v>0</v>
      </c>
      <c r="T1591" s="193" t="str">
        <f>Waste!I90</f>
        <v/>
      </c>
      <c r="U1591" s="193" t="str">
        <f>Waste!J90</f>
        <v/>
      </c>
      <c r="V1591" s="193" t="str">
        <f>Waste!K90</f>
        <v/>
      </c>
      <c r="W1591" s="193">
        <f>Waste!L90</f>
        <v>0</v>
      </c>
      <c r="X1591" s="193">
        <f>Waste!M90</f>
        <v>0</v>
      </c>
      <c r="Y1591" s="193">
        <f>Waste!N90</f>
        <v>0</v>
      </c>
      <c r="Z1591" s="193" t="str">
        <f>Waste!O90</f>
        <v/>
      </c>
      <c r="AA1591" s="193" t="str">
        <f>Waste!P90</f>
        <v/>
      </c>
      <c r="AB1591" s="193" t="str">
        <f>Waste!Q90</f>
        <v/>
      </c>
      <c r="AC1591" s="193" t="str">
        <f>Waste!R90</f>
        <v/>
      </c>
      <c r="AD1591" s="193" t="str">
        <f>Waste!S90</f>
        <v/>
      </c>
      <c r="AE1591" s="193" t="str">
        <f>Waste!T90</f>
        <v/>
      </c>
      <c r="AF1591" s="193" t="str">
        <f>Waste!U90</f>
        <v/>
      </c>
      <c r="AG1591" s="193" t="str">
        <f>Waste!V90</f>
        <v/>
      </c>
      <c r="AI1591" s="193">
        <f t="shared" si="38"/>
        <v>0</v>
      </c>
      <c r="AJ1591" s="193">
        <f t="shared" si="39"/>
        <v>0</v>
      </c>
    </row>
    <row r="1592" spans="2:36" x14ac:dyDescent="0.35">
      <c r="B1592" s="193" t="e">
        <f>"2024"&amp;MATCH(Totals!D1592,OrgType,0)&amp;"_"&amp;MATCH(Totals!E1592,Organisations,0)&amp;"_"&amp;LEFT(Totals!F1592,1)&amp;"_"&amp;LEFT(G1592,1)&amp;"_"&amp;COUNTIF($G$3:G1592,G1592)</f>
        <v>#N/A</v>
      </c>
      <c r="C1592" s="193">
        <v>2025</v>
      </c>
      <c r="D1592" s="193">
        <f>Introduction!$D$7</f>
        <v>0</v>
      </c>
      <c r="E1592" s="193">
        <f>Introduction!$D$8</f>
        <v>0</v>
      </c>
      <c r="F1592" s="193" t="s">
        <v>113</v>
      </c>
      <c r="G1592" s="193" t="s">
        <v>496</v>
      </c>
      <c r="H1592" s="194"/>
      <c r="I1592" s="194"/>
      <c r="J1592" s="193">
        <f>Waste!B91</f>
        <v>0</v>
      </c>
      <c r="K1592" s="194"/>
      <c r="L1592" s="194"/>
      <c r="M1592" s="193">
        <f>Waste!C91</f>
        <v>0</v>
      </c>
      <c r="N1592" s="193">
        <f>Waste!D91</f>
        <v>0</v>
      </c>
      <c r="O1592" s="194"/>
      <c r="P1592" s="193">
        <f>Waste!E91</f>
        <v>0</v>
      </c>
      <c r="Q1592" s="193" t="str">
        <f>Waste!F91</f>
        <v/>
      </c>
      <c r="R1592" s="193">
        <f>Waste!G91</f>
        <v>0</v>
      </c>
      <c r="S1592" s="193">
        <f>Waste!H91</f>
        <v>0</v>
      </c>
      <c r="T1592" s="193" t="str">
        <f>Waste!I91</f>
        <v/>
      </c>
      <c r="U1592" s="193" t="str">
        <f>Waste!J91</f>
        <v/>
      </c>
      <c r="V1592" s="193" t="str">
        <f>Waste!K91</f>
        <v/>
      </c>
      <c r="W1592" s="193">
        <f>Waste!L91</f>
        <v>0</v>
      </c>
      <c r="X1592" s="193">
        <f>Waste!M91</f>
        <v>0</v>
      </c>
      <c r="Y1592" s="193">
        <f>Waste!N91</f>
        <v>0</v>
      </c>
      <c r="Z1592" s="193" t="str">
        <f>Waste!O91</f>
        <v/>
      </c>
      <c r="AA1592" s="193" t="str">
        <f>Waste!P91</f>
        <v/>
      </c>
      <c r="AB1592" s="193" t="str">
        <f>Waste!Q91</f>
        <v/>
      </c>
      <c r="AC1592" s="193" t="str">
        <f>Waste!R91</f>
        <v/>
      </c>
      <c r="AD1592" s="193" t="str">
        <f>Waste!S91</f>
        <v/>
      </c>
      <c r="AE1592" s="193" t="str">
        <f>Waste!T91</f>
        <v/>
      </c>
      <c r="AF1592" s="193" t="str">
        <f>Waste!U91</f>
        <v/>
      </c>
      <c r="AG1592" s="193" t="str">
        <f>Waste!V91</f>
        <v/>
      </c>
      <c r="AI1592" s="193">
        <f t="shared" si="38"/>
        <v>0</v>
      </c>
      <c r="AJ1592" s="193">
        <f t="shared" si="39"/>
        <v>0</v>
      </c>
    </row>
    <row r="1593" spans="2:36" x14ac:dyDescent="0.35">
      <c r="B1593" s="193" t="e">
        <f>"2024"&amp;MATCH(Totals!D1593,OrgType,0)&amp;"_"&amp;MATCH(Totals!E1593,Organisations,0)&amp;"_"&amp;LEFT(Totals!F1593,1)&amp;"_"&amp;LEFT(G1593,1)&amp;"_"&amp;COUNTIF($G$3:G1593,G1593)</f>
        <v>#N/A</v>
      </c>
      <c r="C1593" s="193">
        <v>2025</v>
      </c>
      <c r="D1593" s="193">
        <f>Introduction!$D$7</f>
        <v>0</v>
      </c>
      <c r="E1593" s="193">
        <f>Introduction!$D$8</f>
        <v>0</v>
      </c>
      <c r="F1593" s="193" t="s">
        <v>113</v>
      </c>
      <c r="G1593" s="193" t="s">
        <v>496</v>
      </c>
      <c r="H1593" s="194"/>
      <c r="I1593" s="194"/>
      <c r="J1593" s="193">
        <f>Waste!B92</f>
        <v>0</v>
      </c>
      <c r="K1593" s="194"/>
      <c r="L1593" s="194"/>
      <c r="M1593" s="193">
        <f>Waste!C92</f>
        <v>0</v>
      </c>
      <c r="N1593" s="193">
        <f>Waste!D92</f>
        <v>0</v>
      </c>
      <c r="O1593" s="194"/>
      <c r="P1593" s="193">
        <f>Waste!E92</f>
        <v>0</v>
      </c>
      <c r="Q1593" s="193" t="str">
        <f>Waste!F92</f>
        <v/>
      </c>
      <c r="R1593" s="193">
        <f>Waste!G92</f>
        <v>0</v>
      </c>
      <c r="S1593" s="193">
        <f>Waste!H92</f>
        <v>0</v>
      </c>
      <c r="T1593" s="193" t="str">
        <f>Waste!I92</f>
        <v/>
      </c>
      <c r="U1593" s="193" t="str">
        <f>Waste!J92</f>
        <v/>
      </c>
      <c r="V1593" s="193" t="str">
        <f>Waste!K92</f>
        <v/>
      </c>
      <c r="W1593" s="193">
        <f>Waste!L92</f>
        <v>0</v>
      </c>
      <c r="X1593" s="193">
        <f>Waste!M92</f>
        <v>0</v>
      </c>
      <c r="Y1593" s="193">
        <f>Waste!N92</f>
        <v>0</v>
      </c>
      <c r="Z1593" s="193" t="str">
        <f>Waste!O92</f>
        <v/>
      </c>
      <c r="AA1593" s="193" t="str">
        <f>Waste!P92</f>
        <v/>
      </c>
      <c r="AB1593" s="193" t="str">
        <f>Waste!Q92</f>
        <v/>
      </c>
      <c r="AC1593" s="193" t="str">
        <f>Waste!R92</f>
        <v/>
      </c>
      <c r="AD1593" s="193" t="str">
        <f>Waste!S92</f>
        <v/>
      </c>
      <c r="AE1593" s="193" t="str">
        <f>Waste!T92</f>
        <v/>
      </c>
      <c r="AF1593" s="193" t="str">
        <f>Waste!U92</f>
        <v/>
      </c>
      <c r="AG1593" s="193" t="str">
        <f>Waste!V92</f>
        <v/>
      </c>
      <c r="AI1593" s="193">
        <f t="shared" si="38"/>
        <v>0</v>
      </c>
      <c r="AJ1593" s="193">
        <f t="shared" si="39"/>
        <v>0</v>
      </c>
    </row>
    <row r="1594" spans="2:36" x14ac:dyDescent="0.35">
      <c r="B1594" s="193" t="e">
        <f>"2024"&amp;MATCH(Totals!D1594,OrgType,0)&amp;"_"&amp;MATCH(Totals!E1594,Organisations,0)&amp;"_"&amp;LEFT(Totals!F1594,1)&amp;"_"&amp;LEFT(G1594,1)&amp;"_"&amp;COUNTIF($G$3:G1594,G1594)</f>
        <v>#N/A</v>
      </c>
      <c r="C1594" s="193">
        <v>2025</v>
      </c>
      <c r="D1594" s="193">
        <f>Introduction!$D$7</f>
        <v>0</v>
      </c>
      <c r="E1594" s="193">
        <f>Introduction!$D$8</f>
        <v>0</v>
      </c>
      <c r="F1594" s="193" t="s">
        <v>113</v>
      </c>
      <c r="G1594" s="193" t="s">
        <v>496</v>
      </c>
      <c r="H1594" s="194"/>
      <c r="I1594" s="194"/>
      <c r="J1594" s="193">
        <f>Waste!B93</f>
        <v>0</v>
      </c>
      <c r="K1594" s="194"/>
      <c r="L1594" s="194"/>
      <c r="M1594" s="193">
        <f>Waste!C93</f>
        <v>0</v>
      </c>
      <c r="N1594" s="193">
        <f>Waste!D93</f>
        <v>0</v>
      </c>
      <c r="O1594" s="194"/>
      <c r="P1594" s="193">
        <f>Waste!E93</f>
        <v>0</v>
      </c>
      <c r="Q1594" s="193" t="str">
        <f>Waste!F93</f>
        <v/>
      </c>
      <c r="R1594" s="193">
        <f>Waste!G93</f>
        <v>0</v>
      </c>
      <c r="S1594" s="193">
        <f>Waste!H93</f>
        <v>0</v>
      </c>
      <c r="T1594" s="193" t="str">
        <f>Waste!I93</f>
        <v/>
      </c>
      <c r="U1594" s="193" t="str">
        <f>Waste!J93</f>
        <v/>
      </c>
      <c r="V1594" s="193" t="str">
        <f>Waste!K93</f>
        <v/>
      </c>
      <c r="W1594" s="193">
        <f>Waste!L93</f>
        <v>0</v>
      </c>
      <c r="X1594" s="193">
        <f>Waste!M93</f>
        <v>0</v>
      </c>
      <c r="Y1594" s="193">
        <f>Waste!N93</f>
        <v>0</v>
      </c>
      <c r="Z1594" s="193" t="str">
        <f>Waste!O93</f>
        <v/>
      </c>
      <c r="AA1594" s="193" t="str">
        <f>Waste!P93</f>
        <v/>
      </c>
      <c r="AB1594" s="193" t="str">
        <f>Waste!Q93</f>
        <v/>
      </c>
      <c r="AC1594" s="193" t="str">
        <f>Waste!R93</f>
        <v/>
      </c>
      <c r="AD1594" s="193" t="str">
        <f>Waste!S93</f>
        <v/>
      </c>
      <c r="AE1594" s="193" t="str">
        <f>Waste!T93</f>
        <v/>
      </c>
      <c r="AF1594" s="193" t="str">
        <f>Waste!U93</f>
        <v/>
      </c>
      <c r="AG1594" s="193" t="str">
        <f>Waste!V93</f>
        <v/>
      </c>
      <c r="AI1594" s="193">
        <f t="shared" si="38"/>
        <v>0</v>
      </c>
      <c r="AJ1594" s="193">
        <f t="shared" si="39"/>
        <v>0</v>
      </c>
    </row>
    <row r="1595" spans="2:36" x14ac:dyDescent="0.35">
      <c r="B1595" s="193" t="e">
        <f>"2024"&amp;MATCH(Totals!D1595,OrgType,0)&amp;"_"&amp;MATCH(Totals!E1595,Organisations,0)&amp;"_"&amp;LEFT(Totals!F1595,1)&amp;"_"&amp;LEFT(G1595,1)&amp;"_"&amp;COUNTIF($G$3:G1595,G1595)</f>
        <v>#N/A</v>
      </c>
      <c r="C1595" s="193">
        <v>2025</v>
      </c>
      <c r="D1595" s="193">
        <f>Introduction!$D$7</f>
        <v>0</v>
      </c>
      <c r="E1595" s="193">
        <f>Introduction!$D$8</f>
        <v>0</v>
      </c>
      <c r="F1595" s="193" t="s">
        <v>113</v>
      </c>
      <c r="G1595" s="193" t="s">
        <v>496</v>
      </c>
      <c r="H1595" s="194"/>
      <c r="I1595" s="194"/>
      <c r="J1595" s="193">
        <f>Waste!B94</f>
        <v>0</v>
      </c>
      <c r="K1595" s="194"/>
      <c r="L1595" s="194"/>
      <c r="M1595" s="193">
        <f>Waste!C94</f>
        <v>0</v>
      </c>
      <c r="N1595" s="193">
        <f>Waste!D94</f>
        <v>0</v>
      </c>
      <c r="O1595" s="194"/>
      <c r="P1595" s="193">
        <f>Waste!E94</f>
        <v>0</v>
      </c>
      <c r="Q1595" s="193" t="str">
        <f>Waste!F94</f>
        <v/>
      </c>
      <c r="R1595" s="193">
        <f>Waste!G94</f>
        <v>0</v>
      </c>
      <c r="S1595" s="193">
        <f>Waste!H94</f>
        <v>0</v>
      </c>
      <c r="T1595" s="193" t="str">
        <f>Waste!I94</f>
        <v/>
      </c>
      <c r="U1595" s="193" t="str">
        <f>Waste!J94</f>
        <v/>
      </c>
      <c r="V1595" s="193" t="str">
        <f>Waste!K94</f>
        <v/>
      </c>
      <c r="W1595" s="193">
        <f>Waste!L94</f>
        <v>0</v>
      </c>
      <c r="X1595" s="193">
        <f>Waste!M94</f>
        <v>0</v>
      </c>
      <c r="Y1595" s="193">
        <f>Waste!N94</f>
        <v>0</v>
      </c>
      <c r="Z1595" s="193" t="str">
        <f>Waste!O94</f>
        <v/>
      </c>
      <c r="AA1595" s="193" t="str">
        <f>Waste!P94</f>
        <v/>
      </c>
      <c r="AB1595" s="193" t="str">
        <f>Waste!Q94</f>
        <v/>
      </c>
      <c r="AC1595" s="193" t="str">
        <f>Waste!R94</f>
        <v/>
      </c>
      <c r="AD1595" s="193" t="str">
        <f>Waste!S94</f>
        <v/>
      </c>
      <c r="AE1595" s="193" t="str">
        <f>Waste!T94</f>
        <v/>
      </c>
      <c r="AF1595" s="193" t="str">
        <f>Waste!U94</f>
        <v/>
      </c>
      <c r="AG1595" s="193" t="str">
        <f>Waste!V94</f>
        <v/>
      </c>
      <c r="AI1595" s="193">
        <f t="shared" si="38"/>
        <v>0</v>
      </c>
      <c r="AJ1595" s="193">
        <f t="shared" si="39"/>
        <v>0</v>
      </c>
    </row>
    <row r="1596" spans="2:36" x14ac:dyDescent="0.35">
      <c r="B1596" s="193" t="e">
        <f>"2024"&amp;MATCH(Totals!D1596,OrgType,0)&amp;"_"&amp;MATCH(Totals!E1596,Organisations,0)&amp;"_"&amp;LEFT(Totals!F1596,1)&amp;"_"&amp;LEFT(G1596,1)&amp;"_"&amp;COUNTIF($G$3:G1596,G1596)</f>
        <v>#N/A</v>
      </c>
      <c r="C1596" s="193">
        <v>2025</v>
      </c>
      <c r="D1596" s="193">
        <f>Introduction!$D$7</f>
        <v>0</v>
      </c>
      <c r="E1596" s="193">
        <f>Introduction!$D$8</f>
        <v>0</v>
      </c>
      <c r="F1596" s="193" t="s">
        <v>113</v>
      </c>
      <c r="G1596" s="193" t="s">
        <v>496</v>
      </c>
      <c r="H1596" s="194"/>
      <c r="I1596" s="194"/>
      <c r="J1596" s="193">
        <f>Waste!B95</f>
        <v>0</v>
      </c>
      <c r="K1596" s="194"/>
      <c r="L1596" s="194"/>
      <c r="M1596" s="193">
        <f>Waste!C95</f>
        <v>0</v>
      </c>
      <c r="N1596" s="193">
        <f>Waste!D95</f>
        <v>0</v>
      </c>
      <c r="O1596" s="194"/>
      <c r="P1596" s="193">
        <f>Waste!E95</f>
        <v>0</v>
      </c>
      <c r="Q1596" s="193" t="str">
        <f>Waste!F95</f>
        <v/>
      </c>
      <c r="R1596" s="193">
        <f>Waste!G95</f>
        <v>0</v>
      </c>
      <c r="S1596" s="193">
        <f>Waste!H95</f>
        <v>0</v>
      </c>
      <c r="T1596" s="193" t="str">
        <f>Waste!I95</f>
        <v/>
      </c>
      <c r="U1596" s="193" t="str">
        <f>Waste!J95</f>
        <v/>
      </c>
      <c r="V1596" s="193" t="str">
        <f>Waste!K95</f>
        <v/>
      </c>
      <c r="W1596" s="193">
        <f>Waste!L95</f>
        <v>0</v>
      </c>
      <c r="X1596" s="193">
        <f>Waste!M95</f>
        <v>0</v>
      </c>
      <c r="Y1596" s="193">
        <f>Waste!N95</f>
        <v>0</v>
      </c>
      <c r="Z1596" s="193" t="str">
        <f>Waste!O95</f>
        <v/>
      </c>
      <c r="AA1596" s="193" t="str">
        <f>Waste!P95</f>
        <v/>
      </c>
      <c r="AB1596" s="193" t="str">
        <f>Waste!Q95</f>
        <v/>
      </c>
      <c r="AC1596" s="193" t="str">
        <f>Waste!R95</f>
        <v/>
      </c>
      <c r="AD1596" s="193" t="str">
        <f>Waste!S95</f>
        <v/>
      </c>
      <c r="AE1596" s="193" t="str">
        <f>Waste!T95</f>
        <v/>
      </c>
      <c r="AF1596" s="193" t="str">
        <f>Waste!U95</f>
        <v/>
      </c>
      <c r="AG1596" s="193" t="str">
        <f>Waste!V95</f>
        <v/>
      </c>
      <c r="AI1596" s="193">
        <f t="shared" si="38"/>
        <v>0</v>
      </c>
      <c r="AJ1596" s="193">
        <f t="shared" si="39"/>
        <v>0</v>
      </c>
    </row>
    <row r="1597" spans="2:36" x14ac:dyDescent="0.35">
      <c r="B1597" s="193" t="e">
        <f>"2024"&amp;MATCH(Totals!D1597,OrgType,0)&amp;"_"&amp;MATCH(Totals!E1597,Organisations,0)&amp;"_"&amp;LEFT(Totals!F1597,1)&amp;"_"&amp;LEFT(G1597,1)&amp;"_"&amp;COUNTIF($G$3:G1597,G1597)</f>
        <v>#N/A</v>
      </c>
      <c r="C1597" s="193">
        <v>2025</v>
      </c>
      <c r="D1597" s="193">
        <f>Introduction!$D$7</f>
        <v>0</v>
      </c>
      <c r="E1597" s="193">
        <f>Introduction!$D$8</f>
        <v>0</v>
      </c>
      <c r="F1597" s="193" t="s">
        <v>113</v>
      </c>
      <c r="G1597" s="193" t="s">
        <v>496</v>
      </c>
      <c r="H1597" s="194"/>
      <c r="I1597" s="194"/>
      <c r="J1597" s="193">
        <f>Waste!B96</f>
        <v>0</v>
      </c>
      <c r="K1597" s="194"/>
      <c r="L1597" s="194"/>
      <c r="M1597" s="193">
        <f>Waste!C96</f>
        <v>0</v>
      </c>
      <c r="N1597" s="193">
        <f>Waste!D96</f>
        <v>0</v>
      </c>
      <c r="O1597" s="194"/>
      <c r="P1597" s="193">
        <f>Waste!E96</f>
        <v>0</v>
      </c>
      <c r="Q1597" s="193" t="str">
        <f>Waste!F96</f>
        <v/>
      </c>
      <c r="R1597" s="193">
        <f>Waste!G96</f>
        <v>0</v>
      </c>
      <c r="S1597" s="193">
        <f>Waste!H96</f>
        <v>0</v>
      </c>
      <c r="T1597" s="193" t="str">
        <f>Waste!I96</f>
        <v/>
      </c>
      <c r="U1597" s="193" t="str">
        <f>Waste!J96</f>
        <v/>
      </c>
      <c r="V1597" s="193" t="str">
        <f>Waste!K96</f>
        <v/>
      </c>
      <c r="W1597" s="193">
        <f>Waste!L96</f>
        <v>0</v>
      </c>
      <c r="X1597" s="193">
        <f>Waste!M96</f>
        <v>0</v>
      </c>
      <c r="Y1597" s="193">
        <f>Waste!N96</f>
        <v>0</v>
      </c>
      <c r="Z1597" s="193" t="str">
        <f>Waste!O96</f>
        <v/>
      </c>
      <c r="AA1597" s="193" t="str">
        <f>Waste!P96</f>
        <v/>
      </c>
      <c r="AB1597" s="193" t="str">
        <f>Waste!Q96</f>
        <v/>
      </c>
      <c r="AC1597" s="193" t="str">
        <f>Waste!R96</f>
        <v/>
      </c>
      <c r="AD1597" s="193" t="str">
        <f>Waste!S96</f>
        <v/>
      </c>
      <c r="AE1597" s="193" t="str">
        <f>Waste!T96</f>
        <v/>
      </c>
      <c r="AF1597" s="193" t="str">
        <f>Waste!U96</f>
        <v/>
      </c>
      <c r="AG1597" s="193" t="str">
        <f>Waste!V96</f>
        <v/>
      </c>
      <c r="AI1597" s="193">
        <f t="shared" si="38"/>
        <v>0</v>
      </c>
      <c r="AJ1597" s="193">
        <f t="shared" si="39"/>
        <v>0</v>
      </c>
    </row>
    <row r="1598" spans="2:36" x14ac:dyDescent="0.35">
      <c r="B1598" s="193" t="e">
        <f>"2024"&amp;MATCH(Totals!D1598,OrgType,0)&amp;"_"&amp;MATCH(Totals!E1598,Organisations,0)&amp;"_"&amp;LEFT(Totals!F1598,1)&amp;"_"&amp;LEFT(G1598,1)&amp;"_"&amp;COUNTIF($G$3:G1598,G1598)</f>
        <v>#N/A</v>
      </c>
      <c r="C1598" s="193">
        <v>2025</v>
      </c>
      <c r="D1598" s="193">
        <f>Introduction!$D$7</f>
        <v>0</v>
      </c>
      <c r="E1598" s="193">
        <f>Introduction!$D$8</f>
        <v>0</v>
      </c>
      <c r="F1598" s="193" t="s">
        <v>113</v>
      </c>
      <c r="G1598" s="193" t="s">
        <v>496</v>
      </c>
      <c r="H1598" s="194"/>
      <c r="I1598" s="194"/>
      <c r="J1598" s="193">
        <f>Waste!B97</f>
        <v>0</v>
      </c>
      <c r="K1598" s="194"/>
      <c r="L1598" s="194"/>
      <c r="M1598" s="193">
        <f>Waste!C97</f>
        <v>0</v>
      </c>
      <c r="N1598" s="193">
        <f>Waste!D97</f>
        <v>0</v>
      </c>
      <c r="O1598" s="194"/>
      <c r="P1598" s="193">
        <f>Waste!E97</f>
        <v>0</v>
      </c>
      <c r="Q1598" s="193" t="str">
        <f>Waste!F97</f>
        <v/>
      </c>
      <c r="R1598" s="193">
        <f>Waste!G97</f>
        <v>0</v>
      </c>
      <c r="S1598" s="193">
        <f>Waste!H97</f>
        <v>0</v>
      </c>
      <c r="T1598" s="193" t="str">
        <f>Waste!I97</f>
        <v/>
      </c>
      <c r="U1598" s="193" t="str">
        <f>Waste!J97</f>
        <v/>
      </c>
      <c r="V1598" s="193" t="str">
        <f>Waste!K97</f>
        <v/>
      </c>
      <c r="W1598" s="193">
        <f>Waste!L97</f>
        <v>0</v>
      </c>
      <c r="X1598" s="193">
        <f>Waste!M97</f>
        <v>0</v>
      </c>
      <c r="Y1598" s="193">
        <f>Waste!N97</f>
        <v>0</v>
      </c>
      <c r="Z1598" s="193" t="str">
        <f>Waste!O97</f>
        <v/>
      </c>
      <c r="AA1598" s="193" t="str">
        <f>Waste!P97</f>
        <v/>
      </c>
      <c r="AB1598" s="193" t="str">
        <f>Waste!Q97</f>
        <v/>
      </c>
      <c r="AC1598" s="193" t="str">
        <f>Waste!R97</f>
        <v/>
      </c>
      <c r="AD1598" s="193" t="str">
        <f>Waste!S97</f>
        <v/>
      </c>
      <c r="AE1598" s="193" t="str">
        <f>Waste!T97</f>
        <v/>
      </c>
      <c r="AF1598" s="193" t="str">
        <f>Waste!U97</f>
        <v/>
      </c>
      <c r="AG1598" s="193" t="str">
        <f>Waste!V97</f>
        <v/>
      </c>
      <c r="AI1598" s="193">
        <f t="shared" si="38"/>
        <v>0</v>
      </c>
      <c r="AJ1598" s="193">
        <f t="shared" si="39"/>
        <v>0</v>
      </c>
    </row>
    <row r="1599" spans="2:36" x14ac:dyDescent="0.35">
      <c r="B1599" s="193" t="e">
        <f>"2024"&amp;MATCH(Totals!D1599,OrgType,0)&amp;"_"&amp;MATCH(Totals!E1599,Organisations,0)&amp;"_"&amp;LEFT(Totals!F1599,1)&amp;"_"&amp;LEFT(G1599,1)&amp;"_"&amp;COUNTIF($G$3:G1599,G1599)</f>
        <v>#N/A</v>
      </c>
      <c r="C1599" s="193">
        <v>2025</v>
      </c>
      <c r="D1599" s="193">
        <f>Introduction!$D$7</f>
        <v>0</v>
      </c>
      <c r="E1599" s="193">
        <f>Introduction!$D$8</f>
        <v>0</v>
      </c>
      <c r="F1599" s="193" t="s">
        <v>113</v>
      </c>
      <c r="G1599" s="193" t="s">
        <v>496</v>
      </c>
      <c r="H1599" s="194"/>
      <c r="I1599" s="194"/>
      <c r="J1599" s="193">
        <f>Waste!B98</f>
        <v>0</v>
      </c>
      <c r="K1599" s="194"/>
      <c r="L1599" s="194"/>
      <c r="M1599" s="193">
        <f>Waste!C98</f>
        <v>0</v>
      </c>
      <c r="N1599" s="193">
        <f>Waste!D98</f>
        <v>0</v>
      </c>
      <c r="O1599" s="194"/>
      <c r="P1599" s="193">
        <f>Waste!E98</f>
        <v>0</v>
      </c>
      <c r="Q1599" s="193" t="str">
        <f>Waste!F98</f>
        <v/>
      </c>
      <c r="R1599" s="193">
        <f>Waste!G98</f>
        <v>0</v>
      </c>
      <c r="S1599" s="193">
        <f>Waste!H98</f>
        <v>0</v>
      </c>
      <c r="T1599" s="193" t="str">
        <f>Waste!I98</f>
        <v/>
      </c>
      <c r="U1599" s="193" t="str">
        <f>Waste!J98</f>
        <v/>
      </c>
      <c r="V1599" s="193" t="str">
        <f>Waste!K98</f>
        <v/>
      </c>
      <c r="W1599" s="193">
        <f>Waste!L98</f>
        <v>0</v>
      </c>
      <c r="X1599" s="193">
        <f>Waste!M98</f>
        <v>0</v>
      </c>
      <c r="Y1599" s="193">
        <f>Waste!N98</f>
        <v>0</v>
      </c>
      <c r="Z1599" s="193" t="str">
        <f>Waste!O98</f>
        <v/>
      </c>
      <c r="AA1599" s="193" t="str">
        <f>Waste!P98</f>
        <v/>
      </c>
      <c r="AB1599" s="193" t="str">
        <f>Waste!Q98</f>
        <v/>
      </c>
      <c r="AC1599" s="193" t="str">
        <f>Waste!R98</f>
        <v/>
      </c>
      <c r="AD1599" s="193" t="str">
        <f>Waste!S98</f>
        <v/>
      </c>
      <c r="AE1599" s="193" t="str">
        <f>Waste!T98</f>
        <v/>
      </c>
      <c r="AF1599" s="193" t="str">
        <f>Waste!U98</f>
        <v/>
      </c>
      <c r="AG1599" s="193" t="str">
        <f>Waste!V98</f>
        <v/>
      </c>
      <c r="AI1599" s="193">
        <f t="shared" si="38"/>
        <v>0</v>
      </c>
      <c r="AJ1599" s="193">
        <f t="shared" si="39"/>
        <v>0</v>
      </c>
    </row>
    <row r="1600" spans="2:36" x14ac:dyDescent="0.35">
      <c r="B1600" s="193" t="e">
        <f>"2024"&amp;MATCH(Totals!D1600,OrgType,0)&amp;"_"&amp;MATCH(Totals!E1600,Organisations,0)&amp;"_"&amp;LEFT(Totals!F1600,1)&amp;"_"&amp;LEFT(G1600,1)&amp;"_"&amp;COUNTIF($G$3:G1600,G1600)</f>
        <v>#N/A</v>
      </c>
      <c r="C1600" s="193">
        <v>2025</v>
      </c>
      <c r="D1600" s="193">
        <f>Introduction!$D$7</f>
        <v>0</v>
      </c>
      <c r="E1600" s="193">
        <f>Introduction!$D$8</f>
        <v>0</v>
      </c>
      <c r="F1600" s="193" t="s">
        <v>113</v>
      </c>
      <c r="G1600" s="193" t="s">
        <v>496</v>
      </c>
      <c r="H1600" s="194"/>
      <c r="I1600" s="194"/>
      <c r="J1600" s="193">
        <f>Waste!B99</f>
        <v>0</v>
      </c>
      <c r="K1600" s="194"/>
      <c r="L1600" s="194"/>
      <c r="M1600" s="193">
        <f>Waste!C99</f>
        <v>0</v>
      </c>
      <c r="N1600" s="193">
        <f>Waste!D99</f>
        <v>0</v>
      </c>
      <c r="O1600" s="194"/>
      <c r="P1600" s="193">
        <f>Waste!E99</f>
        <v>0</v>
      </c>
      <c r="Q1600" s="193" t="str">
        <f>Waste!F99</f>
        <v/>
      </c>
      <c r="R1600" s="193">
        <f>Waste!G99</f>
        <v>0</v>
      </c>
      <c r="S1600" s="193">
        <f>Waste!H99</f>
        <v>0</v>
      </c>
      <c r="T1600" s="193" t="str">
        <f>Waste!I99</f>
        <v/>
      </c>
      <c r="U1600" s="193" t="str">
        <f>Waste!J99</f>
        <v/>
      </c>
      <c r="V1600" s="193" t="str">
        <f>Waste!K99</f>
        <v/>
      </c>
      <c r="W1600" s="193">
        <f>Waste!L99</f>
        <v>0</v>
      </c>
      <c r="X1600" s="193">
        <f>Waste!M99</f>
        <v>0</v>
      </c>
      <c r="Y1600" s="193">
        <f>Waste!N99</f>
        <v>0</v>
      </c>
      <c r="Z1600" s="193" t="str">
        <f>Waste!O99</f>
        <v/>
      </c>
      <c r="AA1600" s="193" t="str">
        <f>Waste!P99</f>
        <v/>
      </c>
      <c r="AB1600" s="193" t="str">
        <f>Waste!Q99</f>
        <v/>
      </c>
      <c r="AC1600" s="193" t="str">
        <f>Waste!R99</f>
        <v/>
      </c>
      <c r="AD1600" s="193" t="str">
        <f>Waste!S99</f>
        <v/>
      </c>
      <c r="AE1600" s="193" t="str">
        <f>Waste!T99</f>
        <v/>
      </c>
      <c r="AF1600" s="193" t="str">
        <f>Waste!U99</f>
        <v/>
      </c>
      <c r="AG1600" s="193" t="str">
        <f>Waste!V99</f>
        <v/>
      </c>
      <c r="AI1600" s="193">
        <f t="shared" si="38"/>
        <v>0</v>
      </c>
      <c r="AJ1600" s="193">
        <f t="shared" si="39"/>
        <v>0</v>
      </c>
    </row>
    <row r="1601" spans="2:36" x14ac:dyDescent="0.35">
      <c r="B1601" s="193" t="e">
        <f>"2024"&amp;MATCH(Totals!D1601,OrgType,0)&amp;"_"&amp;MATCH(Totals!E1601,Organisations,0)&amp;"_"&amp;LEFT(Totals!F1601,1)&amp;"_"&amp;LEFT(G1601,1)&amp;"_"&amp;COUNTIF($G$3:G1601,G1601)</f>
        <v>#N/A</v>
      </c>
      <c r="C1601" s="193">
        <v>2025</v>
      </c>
      <c r="D1601" s="193">
        <f>Introduction!$D$7</f>
        <v>0</v>
      </c>
      <c r="E1601" s="193">
        <f>Introduction!$D$8</f>
        <v>0</v>
      </c>
      <c r="F1601" s="193" t="s">
        <v>113</v>
      </c>
      <c r="G1601" s="193" t="s">
        <v>496</v>
      </c>
      <c r="H1601" s="194"/>
      <c r="I1601" s="194"/>
      <c r="J1601" s="193">
        <f>Waste!B100</f>
        <v>0</v>
      </c>
      <c r="K1601" s="194"/>
      <c r="L1601" s="194"/>
      <c r="M1601" s="193">
        <f>Waste!C100</f>
        <v>0</v>
      </c>
      <c r="N1601" s="193">
        <f>Waste!D100</f>
        <v>0</v>
      </c>
      <c r="O1601" s="194"/>
      <c r="P1601" s="193">
        <f>Waste!E100</f>
        <v>0</v>
      </c>
      <c r="Q1601" s="193" t="str">
        <f>Waste!F100</f>
        <v/>
      </c>
      <c r="R1601" s="193">
        <f>Waste!G100</f>
        <v>0</v>
      </c>
      <c r="S1601" s="193">
        <f>Waste!H100</f>
        <v>0</v>
      </c>
      <c r="T1601" s="193" t="str">
        <f>Waste!I100</f>
        <v/>
      </c>
      <c r="U1601" s="193" t="str">
        <f>Waste!J100</f>
        <v/>
      </c>
      <c r="V1601" s="193" t="str">
        <f>Waste!K100</f>
        <v/>
      </c>
      <c r="W1601" s="193">
        <f>Waste!L100</f>
        <v>0</v>
      </c>
      <c r="X1601" s="193">
        <f>Waste!M100</f>
        <v>0</v>
      </c>
      <c r="Y1601" s="193">
        <f>Waste!N100</f>
        <v>0</v>
      </c>
      <c r="Z1601" s="193" t="str">
        <f>Waste!O100</f>
        <v/>
      </c>
      <c r="AA1601" s="193" t="str">
        <f>Waste!P100</f>
        <v/>
      </c>
      <c r="AB1601" s="193" t="str">
        <f>Waste!Q100</f>
        <v/>
      </c>
      <c r="AC1601" s="193" t="str">
        <f>Waste!R100</f>
        <v/>
      </c>
      <c r="AD1601" s="193" t="str">
        <f>Waste!S100</f>
        <v/>
      </c>
      <c r="AE1601" s="193" t="str">
        <f>Waste!T100</f>
        <v/>
      </c>
      <c r="AF1601" s="193" t="str">
        <f>Waste!U100</f>
        <v/>
      </c>
      <c r="AG1601" s="193" t="str">
        <f>Waste!V100</f>
        <v/>
      </c>
      <c r="AI1601" s="193">
        <f t="shared" si="38"/>
        <v>0</v>
      </c>
      <c r="AJ1601" s="193">
        <f t="shared" si="39"/>
        <v>0</v>
      </c>
    </row>
    <row r="1602" spans="2:36" x14ac:dyDescent="0.35">
      <c r="B1602" s="193" t="e">
        <f>"2024"&amp;MATCH(Totals!D1602,OrgType,0)&amp;"_"&amp;MATCH(Totals!E1602,Organisations,0)&amp;"_"&amp;LEFT(Totals!F1602,1)&amp;"_"&amp;LEFT(G1602,1)&amp;"_"&amp;COUNTIF($G$3:G1602,G1602)</f>
        <v>#N/A</v>
      </c>
      <c r="C1602" s="193">
        <v>2025</v>
      </c>
      <c r="D1602" s="193">
        <f>Introduction!$D$7</f>
        <v>0</v>
      </c>
      <c r="E1602" s="193">
        <f>Introduction!$D$8</f>
        <v>0</v>
      </c>
      <c r="F1602" s="193" t="s">
        <v>113</v>
      </c>
      <c r="G1602" s="193" t="s">
        <v>496</v>
      </c>
      <c r="H1602" s="194"/>
      <c r="I1602" s="194"/>
      <c r="J1602" s="193">
        <f>Waste!B101</f>
        <v>0</v>
      </c>
      <c r="K1602" s="194"/>
      <c r="L1602" s="194"/>
      <c r="M1602" s="193">
        <f>Waste!C101</f>
        <v>0</v>
      </c>
      <c r="N1602" s="193">
        <f>Waste!D101</f>
        <v>0</v>
      </c>
      <c r="O1602" s="194"/>
      <c r="P1602" s="193">
        <f>Waste!E101</f>
        <v>0</v>
      </c>
      <c r="Q1602" s="193" t="str">
        <f>Waste!F101</f>
        <v/>
      </c>
      <c r="R1602" s="193">
        <f>Waste!G101</f>
        <v>0</v>
      </c>
      <c r="S1602" s="193">
        <f>Waste!H101</f>
        <v>0</v>
      </c>
      <c r="T1602" s="193" t="str">
        <f>Waste!I101</f>
        <v/>
      </c>
      <c r="U1602" s="193" t="str">
        <f>Waste!J101</f>
        <v/>
      </c>
      <c r="V1602" s="193" t="str">
        <f>Waste!K101</f>
        <v/>
      </c>
      <c r="W1602" s="193">
        <f>Waste!L101</f>
        <v>0</v>
      </c>
      <c r="X1602" s="193">
        <f>Waste!M101</f>
        <v>0</v>
      </c>
      <c r="Y1602" s="193">
        <f>Waste!N101</f>
        <v>0</v>
      </c>
      <c r="Z1602" s="193" t="str">
        <f>Waste!O101</f>
        <v/>
      </c>
      <c r="AA1602" s="193" t="str">
        <f>Waste!P101</f>
        <v/>
      </c>
      <c r="AB1602" s="193" t="str">
        <f>Waste!Q101</f>
        <v/>
      </c>
      <c r="AC1602" s="193" t="str">
        <f>Waste!R101</f>
        <v/>
      </c>
      <c r="AD1602" s="193" t="str">
        <f>Waste!S101</f>
        <v/>
      </c>
      <c r="AE1602" s="193" t="str">
        <f>Waste!T101</f>
        <v/>
      </c>
      <c r="AF1602" s="193" t="str">
        <f>Waste!U101</f>
        <v/>
      </c>
      <c r="AG1602" s="193" t="str">
        <f>Waste!V101</f>
        <v/>
      </c>
      <c r="AI1602" s="193">
        <f t="shared" si="38"/>
        <v>0</v>
      </c>
      <c r="AJ1602" s="193">
        <f t="shared" si="39"/>
        <v>0</v>
      </c>
    </row>
    <row r="1603" spans="2:36" x14ac:dyDescent="0.35">
      <c r="B1603" s="193" t="e">
        <f>"2024"&amp;MATCH(Totals!D1603,OrgType,0)&amp;"_"&amp;MATCH(Totals!E1603,Organisations,0)&amp;"_"&amp;LEFT(Totals!F1603,1)&amp;"_"&amp;LEFT(G1603,1)&amp;"_"&amp;COUNTIF($G$3:G1603,G1603)</f>
        <v>#N/A</v>
      </c>
      <c r="C1603" s="193">
        <v>2025</v>
      </c>
      <c r="D1603" s="193">
        <f>Introduction!$D$7</f>
        <v>0</v>
      </c>
      <c r="E1603" s="193">
        <f>Introduction!$D$8</f>
        <v>0</v>
      </c>
      <c r="F1603" s="193" t="s">
        <v>113</v>
      </c>
      <c r="G1603" s="193" t="s">
        <v>496</v>
      </c>
      <c r="H1603" s="194"/>
      <c r="I1603" s="194"/>
      <c r="J1603" s="193">
        <f>Waste!B102</f>
        <v>0</v>
      </c>
      <c r="K1603" s="194"/>
      <c r="L1603" s="194"/>
      <c r="M1603" s="193">
        <f>Waste!C102</f>
        <v>0</v>
      </c>
      <c r="N1603" s="193">
        <f>Waste!D102</f>
        <v>0</v>
      </c>
      <c r="O1603" s="194"/>
      <c r="P1603" s="193">
        <f>Waste!E102</f>
        <v>0</v>
      </c>
      <c r="Q1603" s="193" t="str">
        <f>Waste!F102</f>
        <v/>
      </c>
      <c r="R1603" s="193">
        <f>Waste!G102</f>
        <v>0</v>
      </c>
      <c r="S1603" s="193">
        <f>Waste!H102</f>
        <v>0</v>
      </c>
      <c r="T1603" s="193" t="str">
        <f>Waste!I102</f>
        <v/>
      </c>
      <c r="U1603" s="193" t="str">
        <f>Waste!J102</f>
        <v/>
      </c>
      <c r="V1603" s="193" t="str">
        <f>Waste!K102</f>
        <v/>
      </c>
      <c r="W1603" s="193">
        <f>Waste!L102</f>
        <v>0</v>
      </c>
      <c r="X1603" s="193">
        <f>Waste!M102</f>
        <v>0</v>
      </c>
      <c r="Y1603" s="193">
        <f>Waste!N102</f>
        <v>0</v>
      </c>
      <c r="Z1603" s="193" t="str">
        <f>Waste!O102</f>
        <v/>
      </c>
      <c r="AA1603" s="193" t="str">
        <f>Waste!P102</f>
        <v/>
      </c>
      <c r="AB1603" s="193" t="str">
        <f>Waste!Q102</f>
        <v/>
      </c>
      <c r="AC1603" s="193" t="str">
        <f>Waste!R102</f>
        <v/>
      </c>
      <c r="AD1603" s="193" t="str">
        <f>Waste!S102</f>
        <v/>
      </c>
      <c r="AE1603" s="193" t="str">
        <f>Waste!T102</f>
        <v/>
      </c>
      <c r="AF1603" s="193" t="str">
        <f>Waste!U102</f>
        <v/>
      </c>
      <c r="AG1603" s="193" t="str">
        <f>Waste!V102</f>
        <v/>
      </c>
      <c r="AI1603" s="193">
        <f t="shared" si="38"/>
        <v>0</v>
      </c>
      <c r="AJ1603" s="193">
        <f t="shared" si="39"/>
        <v>0</v>
      </c>
    </row>
    <row r="1604" spans="2:36" x14ac:dyDescent="0.35">
      <c r="B1604" s="193" t="e">
        <f>"2024"&amp;MATCH(Totals!D1604,OrgType,0)&amp;"_"&amp;MATCH(Totals!E1604,Organisations,0)&amp;"_"&amp;LEFT(Totals!F1604,1)&amp;"_"&amp;LEFT(G1604,1)&amp;"_"&amp;COUNTIF($G$3:G1604,G1604)</f>
        <v>#N/A</v>
      </c>
      <c r="C1604" s="193">
        <v>2025</v>
      </c>
      <c r="D1604" s="193">
        <f>Introduction!$D$7</f>
        <v>0</v>
      </c>
      <c r="E1604" s="193">
        <f>Introduction!$D$8</f>
        <v>0</v>
      </c>
      <c r="F1604" s="193" t="s">
        <v>113</v>
      </c>
      <c r="G1604" s="193" t="s">
        <v>496</v>
      </c>
      <c r="H1604" s="194"/>
      <c r="I1604" s="194"/>
      <c r="J1604" s="193">
        <f>Waste!B103</f>
        <v>0</v>
      </c>
      <c r="K1604" s="194"/>
      <c r="L1604" s="194"/>
      <c r="M1604" s="193">
        <f>Waste!C103</f>
        <v>0</v>
      </c>
      <c r="N1604" s="193">
        <f>Waste!D103</f>
        <v>0</v>
      </c>
      <c r="O1604" s="194"/>
      <c r="P1604" s="193">
        <f>Waste!E103</f>
        <v>0</v>
      </c>
      <c r="Q1604" s="193" t="str">
        <f>Waste!F103</f>
        <v/>
      </c>
      <c r="R1604" s="193">
        <f>Waste!G103</f>
        <v>0</v>
      </c>
      <c r="S1604" s="193">
        <f>Waste!H103</f>
        <v>0</v>
      </c>
      <c r="T1604" s="193" t="str">
        <f>Waste!I103</f>
        <v/>
      </c>
      <c r="U1604" s="193" t="str">
        <f>Waste!J103</f>
        <v/>
      </c>
      <c r="V1604" s="193" t="str">
        <f>Waste!K103</f>
        <v/>
      </c>
      <c r="W1604" s="193">
        <f>Waste!L103</f>
        <v>0</v>
      </c>
      <c r="X1604" s="193">
        <f>Waste!M103</f>
        <v>0</v>
      </c>
      <c r="Y1604" s="193">
        <f>Waste!N103</f>
        <v>0</v>
      </c>
      <c r="Z1604" s="193" t="str">
        <f>Waste!O103</f>
        <v/>
      </c>
      <c r="AA1604" s="193" t="str">
        <f>Waste!P103</f>
        <v/>
      </c>
      <c r="AB1604" s="193" t="str">
        <f>Waste!Q103</f>
        <v/>
      </c>
      <c r="AC1604" s="193" t="str">
        <f>Waste!R103</f>
        <v/>
      </c>
      <c r="AD1604" s="193" t="str">
        <f>Waste!S103</f>
        <v/>
      </c>
      <c r="AE1604" s="193" t="str">
        <f>Waste!T103</f>
        <v/>
      </c>
      <c r="AF1604" s="193" t="str">
        <f>Waste!U103</f>
        <v/>
      </c>
      <c r="AG1604" s="193" t="str">
        <f>Waste!V103</f>
        <v/>
      </c>
      <c r="AI1604" s="193">
        <f t="shared" si="38"/>
        <v>0</v>
      </c>
      <c r="AJ1604" s="193">
        <f t="shared" si="39"/>
        <v>0</v>
      </c>
    </row>
    <row r="1605" spans="2:36" x14ac:dyDescent="0.35">
      <c r="B1605" s="193" t="e">
        <f>"2024"&amp;MATCH(Totals!D1605,OrgType,0)&amp;"_"&amp;MATCH(Totals!E1605,Organisations,0)&amp;"_"&amp;LEFT(Totals!F1605,1)&amp;"_"&amp;LEFT(G1605,1)&amp;"_"&amp;COUNTIF($G$3:G1605,G1605)</f>
        <v>#N/A</v>
      </c>
      <c r="C1605" s="193">
        <v>2025</v>
      </c>
      <c r="D1605" s="193">
        <f>Introduction!$D$7</f>
        <v>0</v>
      </c>
      <c r="E1605" s="193">
        <f>Introduction!$D$8</f>
        <v>0</v>
      </c>
      <c r="F1605" s="193" t="s">
        <v>113</v>
      </c>
      <c r="G1605" s="193" t="s">
        <v>496</v>
      </c>
      <c r="H1605" s="194"/>
      <c r="I1605" s="194"/>
      <c r="J1605" s="193">
        <f>Waste!B104</f>
        <v>0</v>
      </c>
      <c r="K1605" s="194"/>
      <c r="L1605" s="194"/>
      <c r="M1605" s="193">
        <f>Waste!C104</f>
        <v>0</v>
      </c>
      <c r="N1605" s="193">
        <f>Waste!D104</f>
        <v>0</v>
      </c>
      <c r="O1605" s="194"/>
      <c r="P1605" s="193">
        <f>Waste!E104</f>
        <v>0</v>
      </c>
      <c r="Q1605" s="193" t="str">
        <f>Waste!F104</f>
        <v/>
      </c>
      <c r="R1605" s="193">
        <f>Waste!G104</f>
        <v>0</v>
      </c>
      <c r="S1605" s="193">
        <f>Waste!H104</f>
        <v>0</v>
      </c>
      <c r="T1605" s="193" t="str">
        <f>Waste!I104</f>
        <v/>
      </c>
      <c r="U1605" s="193" t="str">
        <f>Waste!J104</f>
        <v/>
      </c>
      <c r="V1605" s="193" t="str">
        <f>Waste!K104</f>
        <v/>
      </c>
      <c r="W1605" s="193">
        <f>Waste!L104</f>
        <v>0</v>
      </c>
      <c r="X1605" s="193">
        <f>Waste!M104</f>
        <v>0</v>
      </c>
      <c r="Y1605" s="193">
        <f>Waste!N104</f>
        <v>0</v>
      </c>
      <c r="Z1605" s="193" t="str">
        <f>Waste!O104</f>
        <v/>
      </c>
      <c r="AA1605" s="193" t="str">
        <f>Waste!P104</f>
        <v/>
      </c>
      <c r="AB1605" s="193" t="str">
        <f>Waste!Q104</f>
        <v/>
      </c>
      <c r="AC1605" s="193" t="str">
        <f>Waste!R104</f>
        <v/>
      </c>
      <c r="AD1605" s="193" t="str">
        <f>Waste!S104</f>
        <v/>
      </c>
      <c r="AE1605" s="193" t="str">
        <f>Waste!T104</f>
        <v/>
      </c>
      <c r="AF1605" s="193" t="str">
        <f>Waste!U104</f>
        <v/>
      </c>
      <c r="AG1605" s="193" t="str">
        <f>Waste!V104</f>
        <v/>
      </c>
      <c r="AI1605" s="193">
        <f t="shared" si="38"/>
        <v>0</v>
      </c>
      <c r="AJ1605" s="193">
        <f t="shared" si="39"/>
        <v>0</v>
      </c>
    </row>
    <row r="1606" spans="2:36" x14ac:dyDescent="0.35">
      <c r="B1606" s="193" t="e">
        <f>"2024"&amp;MATCH(Totals!D1606,OrgType,0)&amp;"_"&amp;MATCH(Totals!E1606,Organisations,0)&amp;"_"&amp;LEFT(Totals!F1606,1)&amp;"_"&amp;LEFT(G1606,1)&amp;"_"&amp;COUNTIF($G$3:G1606,G1606)</f>
        <v>#N/A</v>
      </c>
      <c r="C1606" s="193">
        <v>2025</v>
      </c>
      <c r="D1606" s="193">
        <f>Introduction!$D$7</f>
        <v>0</v>
      </c>
      <c r="E1606" s="193">
        <f>Introduction!$D$8</f>
        <v>0</v>
      </c>
      <c r="F1606" s="193" t="s">
        <v>113</v>
      </c>
      <c r="G1606" s="193" t="s">
        <v>496</v>
      </c>
      <c r="H1606" s="194"/>
      <c r="I1606" s="194"/>
      <c r="J1606" s="193">
        <f>Waste!B105</f>
        <v>0</v>
      </c>
      <c r="K1606" s="194"/>
      <c r="L1606" s="194"/>
      <c r="M1606" s="193">
        <f>Waste!C105</f>
        <v>0</v>
      </c>
      <c r="N1606" s="193">
        <f>Waste!D105</f>
        <v>0</v>
      </c>
      <c r="O1606" s="194"/>
      <c r="P1606" s="193">
        <f>Waste!E105</f>
        <v>0</v>
      </c>
      <c r="Q1606" s="193" t="str">
        <f>Waste!F105</f>
        <v/>
      </c>
      <c r="R1606" s="193">
        <f>Waste!G105</f>
        <v>0</v>
      </c>
      <c r="S1606" s="193">
        <f>Waste!H105</f>
        <v>0</v>
      </c>
      <c r="T1606" s="193" t="str">
        <f>Waste!I105</f>
        <v/>
      </c>
      <c r="U1606" s="193" t="str">
        <f>Waste!J105</f>
        <v/>
      </c>
      <c r="V1606" s="193" t="str">
        <f>Waste!K105</f>
        <v/>
      </c>
      <c r="W1606" s="193">
        <f>Waste!L105</f>
        <v>0</v>
      </c>
      <c r="X1606" s="193">
        <f>Waste!M105</f>
        <v>0</v>
      </c>
      <c r="Y1606" s="193">
        <f>Waste!N105</f>
        <v>0</v>
      </c>
      <c r="Z1606" s="193" t="str">
        <f>Waste!O105</f>
        <v/>
      </c>
      <c r="AA1606" s="193" t="str">
        <f>Waste!P105</f>
        <v/>
      </c>
      <c r="AB1606" s="193" t="str">
        <f>Waste!Q105</f>
        <v/>
      </c>
      <c r="AC1606" s="193" t="str">
        <f>Waste!R105</f>
        <v/>
      </c>
      <c r="AD1606" s="193" t="str">
        <f>Waste!S105</f>
        <v/>
      </c>
      <c r="AE1606" s="193" t="str">
        <f>Waste!T105</f>
        <v/>
      </c>
      <c r="AF1606" s="193" t="str">
        <f>Waste!U105</f>
        <v/>
      </c>
      <c r="AG1606" s="193" t="str">
        <f>Waste!V105</f>
        <v/>
      </c>
      <c r="AI1606" s="193">
        <f t="shared" si="38"/>
        <v>0</v>
      </c>
      <c r="AJ1606" s="193">
        <f t="shared" si="39"/>
        <v>0</v>
      </c>
    </row>
    <row r="1607" spans="2:36" x14ac:dyDescent="0.35">
      <c r="B1607" s="193" t="e">
        <f>"2024"&amp;MATCH(Totals!D1607,OrgType,0)&amp;"_"&amp;MATCH(Totals!E1607,Organisations,0)&amp;"_"&amp;LEFT(Totals!F1607,1)&amp;"_"&amp;LEFT(G1607,1)&amp;"_"&amp;COUNTIF($G$3:G1607,G1607)</f>
        <v>#N/A</v>
      </c>
      <c r="C1607" s="193">
        <v>2025</v>
      </c>
      <c r="D1607" s="193">
        <f>Introduction!$D$7</f>
        <v>0</v>
      </c>
      <c r="E1607" s="193">
        <f>Introduction!$D$8</f>
        <v>0</v>
      </c>
      <c r="F1607" s="193" t="s">
        <v>497</v>
      </c>
      <c r="G1607" s="193" t="s">
        <v>497</v>
      </c>
      <c r="H1607" s="194"/>
      <c r="I1607" s="194"/>
      <c r="J1607" s="193">
        <f>'Land use &amp; agriculture'!B16</f>
        <v>0</v>
      </c>
      <c r="K1607" s="194"/>
      <c r="L1607" s="194"/>
      <c r="M1607" s="193">
        <f>'Land use &amp; agriculture'!C16</f>
        <v>0</v>
      </c>
      <c r="N1607" s="193">
        <f>'Land use &amp; agriculture'!D16</f>
        <v>0</v>
      </c>
      <c r="O1607" s="194"/>
      <c r="P1607" s="193" t="str">
        <f>'Land use &amp; agriculture'!E16</f>
        <v>Tier 1</v>
      </c>
      <c r="Q1607" s="193" t="str">
        <f>'Land use &amp; agriculture'!F16</f>
        <v xml:space="preserve"> </v>
      </c>
      <c r="R1607" s="193">
        <f>'Land use &amp; agriculture'!G16</f>
        <v>0</v>
      </c>
      <c r="S1607" s="193" t="str">
        <f>'Land use &amp; agriculture'!H16</f>
        <v>ha</v>
      </c>
      <c r="T1607" s="193">
        <f>'Land use &amp; agriculture'!I16</f>
        <v>0</v>
      </c>
      <c r="U1607" s="193" t="str">
        <f>'Land use &amp; agriculture'!J16</f>
        <v>ha</v>
      </c>
      <c r="V1607" s="193" t="str">
        <f>'Land use &amp; agriculture'!K16</f>
        <v/>
      </c>
      <c r="W1607" s="193" t="str">
        <f>'Land use &amp; agriculture'!L16</f>
        <v/>
      </c>
      <c r="X1607" s="193">
        <f>'Land use &amp; agriculture'!M16</f>
        <v>0</v>
      </c>
      <c r="Y1607" s="193">
        <f>'Land use &amp; agriculture'!N16</f>
        <v>0</v>
      </c>
      <c r="Z1607" s="193">
        <f>'Land use &amp; agriculture'!O16</f>
        <v>0</v>
      </c>
      <c r="AA1607" s="193">
        <f>'Land use &amp; agriculture'!P16</f>
        <v>0</v>
      </c>
      <c r="AB1607" s="193">
        <f>'Land use &amp; agriculture'!Q16</f>
        <v>0</v>
      </c>
      <c r="AC1607" s="193">
        <f>'Land use &amp; agriculture'!R16</f>
        <v>0</v>
      </c>
      <c r="AD1607" s="193">
        <f>'Land use &amp; agriculture'!S16</f>
        <v>0</v>
      </c>
      <c r="AE1607" s="193" t="str">
        <f>'Land use &amp; agriculture'!T16</f>
        <v/>
      </c>
      <c r="AF1607" s="193" t="str">
        <f>'Land use &amp; agriculture'!U16</f>
        <v/>
      </c>
      <c r="AG1607" s="193" t="str">
        <f>'Land use &amp; agriculture'!V16</f>
        <v/>
      </c>
      <c r="AI1607" s="193">
        <f t="shared" si="38"/>
        <v>0</v>
      </c>
      <c r="AJ1607" s="193">
        <f t="shared" si="39"/>
        <v>0</v>
      </c>
    </row>
    <row r="1608" spans="2:36" x14ac:dyDescent="0.35">
      <c r="B1608" s="193" t="e">
        <f>"2024"&amp;MATCH(Totals!D1608,OrgType,0)&amp;"_"&amp;MATCH(Totals!E1608,Organisations,0)&amp;"_"&amp;LEFT(Totals!F1608,1)&amp;"_"&amp;LEFT(G1608,1)&amp;"_"&amp;COUNTIF($G$3:G1608,G1608)</f>
        <v>#N/A</v>
      </c>
      <c r="C1608" s="193">
        <v>2025</v>
      </c>
      <c r="D1608" s="193">
        <f>Introduction!$D$7</f>
        <v>0</v>
      </c>
      <c r="E1608" s="193">
        <f>Introduction!$D$8</f>
        <v>0</v>
      </c>
      <c r="F1608" s="193" t="s">
        <v>497</v>
      </c>
      <c r="G1608" s="193" t="s">
        <v>497</v>
      </c>
      <c r="H1608" s="194"/>
      <c r="I1608" s="194"/>
      <c r="J1608" s="193">
        <f>'Land use &amp; agriculture'!B17</f>
        <v>0</v>
      </c>
      <c r="K1608" s="194"/>
      <c r="L1608" s="194"/>
      <c r="M1608" s="193">
        <f>'Land use &amp; agriculture'!C17</f>
        <v>0</v>
      </c>
      <c r="N1608" s="193">
        <f>'Land use &amp; agriculture'!D17</f>
        <v>0</v>
      </c>
      <c r="O1608" s="194"/>
      <c r="P1608" s="193" t="str">
        <f>'Land use &amp; agriculture'!E17</f>
        <v>Tier 1</v>
      </c>
      <c r="Q1608" s="193" t="str">
        <f>'Land use &amp; agriculture'!F17</f>
        <v xml:space="preserve"> </v>
      </c>
      <c r="R1608" s="193">
        <f>'Land use &amp; agriculture'!G17</f>
        <v>0</v>
      </c>
      <c r="S1608" s="193" t="str">
        <f>'Land use &amp; agriculture'!H17</f>
        <v>ha</v>
      </c>
      <c r="T1608" s="193">
        <f>'Land use &amp; agriculture'!I17</f>
        <v>0</v>
      </c>
      <c r="U1608" s="193" t="str">
        <f>'Land use &amp; agriculture'!J17</f>
        <v>ha</v>
      </c>
      <c r="V1608" s="193" t="str">
        <f>'Land use &amp; agriculture'!K17</f>
        <v/>
      </c>
      <c r="W1608" s="193" t="str">
        <f>'Land use &amp; agriculture'!L17</f>
        <v/>
      </c>
      <c r="X1608" s="193">
        <f>'Land use &amp; agriculture'!M17</f>
        <v>0</v>
      </c>
      <c r="Y1608" s="193">
        <f>'Land use &amp; agriculture'!N17</f>
        <v>0</v>
      </c>
      <c r="Z1608" s="193">
        <f>'Land use &amp; agriculture'!O17</f>
        <v>0</v>
      </c>
      <c r="AA1608" s="193">
        <f>'Land use &amp; agriculture'!P17</f>
        <v>0</v>
      </c>
      <c r="AB1608" s="193">
        <f>'Land use &amp; agriculture'!Q17</f>
        <v>0</v>
      </c>
      <c r="AC1608" s="193">
        <f>'Land use &amp; agriculture'!R17</f>
        <v>0</v>
      </c>
      <c r="AD1608" s="193">
        <f>'Land use &amp; agriculture'!S17</f>
        <v>0</v>
      </c>
      <c r="AE1608" s="193" t="str">
        <f>'Land use &amp; agriculture'!T17</f>
        <v/>
      </c>
      <c r="AF1608" s="193" t="str">
        <f>'Land use &amp; agriculture'!U17</f>
        <v/>
      </c>
      <c r="AG1608" s="193" t="str">
        <f>'Land use &amp; agriculture'!V17</f>
        <v/>
      </c>
      <c r="AI1608" s="193">
        <f t="shared" si="38"/>
        <v>0</v>
      </c>
      <c r="AJ1608" s="193">
        <f t="shared" si="39"/>
        <v>0</v>
      </c>
    </row>
    <row r="1609" spans="2:36" x14ac:dyDescent="0.35">
      <c r="B1609" s="193" t="e">
        <f>"2024"&amp;MATCH(Totals!D1609,OrgType,0)&amp;"_"&amp;MATCH(Totals!E1609,Organisations,0)&amp;"_"&amp;LEFT(Totals!F1609,1)&amp;"_"&amp;LEFT(G1609,1)&amp;"_"&amp;COUNTIF($G$3:G1609,G1609)</f>
        <v>#N/A</v>
      </c>
      <c r="C1609" s="193">
        <v>2025</v>
      </c>
      <c r="D1609" s="193">
        <f>Introduction!$D$7</f>
        <v>0</v>
      </c>
      <c r="E1609" s="193">
        <f>Introduction!$D$8</f>
        <v>0</v>
      </c>
      <c r="F1609" s="193" t="s">
        <v>497</v>
      </c>
      <c r="G1609" s="193" t="s">
        <v>497</v>
      </c>
      <c r="H1609" s="194"/>
      <c r="I1609" s="194"/>
      <c r="J1609" s="193">
        <f>'Land use &amp; agriculture'!B18</f>
        <v>0</v>
      </c>
      <c r="K1609" s="194"/>
      <c r="L1609" s="194"/>
      <c r="M1609" s="193">
        <f>'Land use &amp; agriculture'!C18</f>
        <v>0</v>
      </c>
      <c r="N1609" s="193">
        <f>'Land use &amp; agriculture'!D18</f>
        <v>0</v>
      </c>
      <c r="O1609" s="194"/>
      <c r="P1609" s="193" t="str">
        <f>'Land use &amp; agriculture'!E18</f>
        <v>Tier 1</v>
      </c>
      <c r="Q1609" s="193" t="str">
        <f>'Land use &amp; agriculture'!F18</f>
        <v xml:space="preserve"> </v>
      </c>
      <c r="R1609" s="193">
        <f>'Land use &amp; agriculture'!G18</f>
        <v>0</v>
      </c>
      <c r="S1609" s="193" t="str">
        <f>'Land use &amp; agriculture'!H18</f>
        <v>ha</v>
      </c>
      <c r="T1609" s="193">
        <f>'Land use &amp; agriculture'!I18</f>
        <v>0</v>
      </c>
      <c r="U1609" s="193" t="str">
        <f>'Land use &amp; agriculture'!J18</f>
        <v>ha</v>
      </c>
      <c r="V1609" s="193" t="str">
        <f>'Land use &amp; agriculture'!K18</f>
        <v/>
      </c>
      <c r="W1609" s="193" t="str">
        <f>'Land use &amp; agriculture'!L18</f>
        <v/>
      </c>
      <c r="X1609" s="193">
        <f>'Land use &amp; agriculture'!M18</f>
        <v>0</v>
      </c>
      <c r="Y1609" s="193">
        <f>'Land use &amp; agriculture'!N18</f>
        <v>0</v>
      </c>
      <c r="Z1609" s="193">
        <f>'Land use &amp; agriculture'!O18</f>
        <v>0</v>
      </c>
      <c r="AA1609" s="193">
        <f>'Land use &amp; agriculture'!P18</f>
        <v>0</v>
      </c>
      <c r="AB1609" s="193">
        <f>'Land use &amp; agriculture'!Q18</f>
        <v>0</v>
      </c>
      <c r="AC1609" s="193">
        <f>'Land use &amp; agriculture'!R18</f>
        <v>0</v>
      </c>
      <c r="AD1609" s="193">
        <f>'Land use &amp; agriculture'!S18</f>
        <v>0</v>
      </c>
      <c r="AE1609" s="193" t="str">
        <f>'Land use &amp; agriculture'!T18</f>
        <v/>
      </c>
      <c r="AF1609" s="193" t="str">
        <f>'Land use &amp; agriculture'!U18</f>
        <v/>
      </c>
      <c r="AG1609" s="193" t="str">
        <f>'Land use &amp; agriculture'!V18</f>
        <v/>
      </c>
      <c r="AI1609" s="193">
        <f t="shared" si="38"/>
        <v>0</v>
      </c>
      <c r="AJ1609" s="193">
        <f t="shared" si="39"/>
        <v>0</v>
      </c>
    </row>
    <row r="1610" spans="2:36" x14ac:dyDescent="0.35">
      <c r="B1610" s="193" t="e">
        <f>"2024"&amp;MATCH(Totals!D1610,OrgType,0)&amp;"_"&amp;MATCH(Totals!E1610,Organisations,0)&amp;"_"&amp;LEFT(Totals!F1610,1)&amp;"_"&amp;LEFT(G1610,1)&amp;"_"&amp;COUNTIF($G$3:G1610,G1610)</f>
        <v>#N/A</v>
      </c>
      <c r="C1610" s="193">
        <v>2025</v>
      </c>
      <c r="D1610" s="193">
        <f>Introduction!$D$7</f>
        <v>0</v>
      </c>
      <c r="E1610" s="193">
        <f>Introduction!$D$8</f>
        <v>0</v>
      </c>
      <c r="F1610" s="193" t="s">
        <v>497</v>
      </c>
      <c r="G1610" s="193" t="s">
        <v>497</v>
      </c>
      <c r="H1610" s="194"/>
      <c r="I1610" s="194"/>
      <c r="J1610" s="193">
        <f>'Land use &amp; agriculture'!B19</f>
        <v>0</v>
      </c>
      <c r="K1610" s="194"/>
      <c r="L1610" s="194"/>
      <c r="M1610" s="193">
        <f>'Land use &amp; agriculture'!C19</f>
        <v>0</v>
      </c>
      <c r="N1610" s="193">
        <f>'Land use &amp; agriculture'!D19</f>
        <v>0</v>
      </c>
      <c r="O1610" s="194"/>
      <c r="P1610" s="193" t="str">
        <f>'Land use &amp; agriculture'!E19</f>
        <v>Tier 1</v>
      </c>
      <c r="Q1610" s="193" t="str">
        <f>'Land use &amp; agriculture'!F19</f>
        <v xml:space="preserve"> </v>
      </c>
      <c r="R1610" s="193">
        <f>'Land use &amp; agriculture'!G19</f>
        <v>0</v>
      </c>
      <c r="S1610" s="193" t="str">
        <f>'Land use &amp; agriculture'!H19</f>
        <v>ha</v>
      </c>
      <c r="T1610" s="193">
        <f>'Land use &amp; agriculture'!I19</f>
        <v>0</v>
      </c>
      <c r="U1610" s="193" t="str">
        <f>'Land use &amp; agriculture'!J19</f>
        <v>ha</v>
      </c>
      <c r="V1610" s="193" t="str">
        <f>'Land use &amp; agriculture'!K19</f>
        <v/>
      </c>
      <c r="W1610" s="193" t="str">
        <f>'Land use &amp; agriculture'!L19</f>
        <v/>
      </c>
      <c r="X1610" s="193">
        <f>'Land use &amp; agriculture'!M19</f>
        <v>0</v>
      </c>
      <c r="Y1610" s="193">
        <f>'Land use &amp; agriculture'!N19</f>
        <v>0</v>
      </c>
      <c r="Z1610" s="193">
        <f>'Land use &amp; agriculture'!O19</f>
        <v>0</v>
      </c>
      <c r="AA1610" s="193">
        <f>'Land use &amp; agriculture'!P19</f>
        <v>0</v>
      </c>
      <c r="AB1610" s="193">
        <f>'Land use &amp; agriculture'!Q19</f>
        <v>0</v>
      </c>
      <c r="AC1610" s="193">
        <f>'Land use &amp; agriculture'!R19</f>
        <v>0</v>
      </c>
      <c r="AD1610" s="193">
        <f>'Land use &amp; agriculture'!S19</f>
        <v>0</v>
      </c>
      <c r="AE1610" s="193" t="str">
        <f>'Land use &amp; agriculture'!T19</f>
        <v/>
      </c>
      <c r="AF1610" s="193" t="str">
        <f>'Land use &amp; agriculture'!U19</f>
        <v/>
      </c>
      <c r="AG1610" s="193" t="str">
        <f>'Land use &amp; agriculture'!V19</f>
        <v/>
      </c>
      <c r="AI1610" s="193">
        <f t="shared" si="38"/>
        <v>0</v>
      </c>
      <c r="AJ1610" s="193">
        <f t="shared" si="39"/>
        <v>0</v>
      </c>
    </row>
    <row r="1611" spans="2:36" x14ac:dyDescent="0.35">
      <c r="B1611" s="193" t="e">
        <f>"2024"&amp;MATCH(Totals!D1611,OrgType,0)&amp;"_"&amp;MATCH(Totals!E1611,Organisations,0)&amp;"_"&amp;LEFT(Totals!F1611,1)&amp;"_"&amp;LEFT(G1611,1)&amp;"_"&amp;COUNTIF($G$3:G1611,G1611)</f>
        <v>#N/A</v>
      </c>
      <c r="C1611" s="193">
        <v>2025</v>
      </c>
      <c r="D1611" s="193">
        <f>Introduction!$D$7</f>
        <v>0</v>
      </c>
      <c r="E1611" s="193">
        <f>Introduction!$D$8</f>
        <v>0</v>
      </c>
      <c r="F1611" s="193" t="s">
        <v>497</v>
      </c>
      <c r="G1611" s="193" t="s">
        <v>497</v>
      </c>
      <c r="H1611" s="194"/>
      <c r="I1611" s="194"/>
      <c r="J1611" s="193">
        <f>'Land use &amp; agriculture'!B20</f>
        <v>0</v>
      </c>
      <c r="K1611" s="194"/>
      <c r="L1611" s="194"/>
      <c r="M1611" s="193">
        <f>'Land use &amp; agriculture'!C20</f>
        <v>0</v>
      </c>
      <c r="N1611" s="193">
        <f>'Land use &amp; agriculture'!D20</f>
        <v>0</v>
      </c>
      <c r="O1611" s="194"/>
      <c r="P1611" s="193" t="str">
        <f>'Land use &amp; agriculture'!E20</f>
        <v>Tier 1</v>
      </c>
      <c r="Q1611" s="193" t="str">
        <f>'Land use &amp; agriculture'!F20</f>
        <v xml:space="preserve"> </v>
      </c>
      <c r="R1611" s="193">
        <f>'Land use &amp; agriculture'!G20</f>
        <v>0</v>
      </c>
      <c r="S1611" s="193" t="str">
        <f>'Land use &amp; agriculture'!H20</f>
        <v>ha</v>
      </c>
      <c r="T1611" s="193">
        <f>'Land use &amp; agriculture'!I20</f>
        <v>0</v>
      </c>
      <c r="U1611" s="193" t="str">
        <f>'Land use &amp; agriculture'!J20</f>
        <v>ha</v>
      </c>
      <c r="V1611" s="193" t="str">
        <f>'Land use &amp; agriculture'!K20</f>
        <v/>
      </c>
      <c r="W1611" s="193" t="str">
        <f>'Land use &amp; agriculture'!L20</f>
        <v/>
      </c>
      <c r="X1611" s="193">
        <f>'Land use &amp; agriculture'!M20</f>
        <v>0</v>
      </c>
      <c r="Y1611" s="193">
        <f>'Land use &amp; agriculture'!N20</f>
        <v>0</v>
      </c>
      <c r="Z1611" s="193">
        <f>'Land use &amp; agriculture'!O20</f>
        <v>0</v>
      </c>
      <c r="AA1611" s="193">
        <f>'Land use &amp; agriculture'!P20</f>
        <v>0</v>
      </c>
      <c r="AB1611" s="193">
        <f>'Land use &amp; agriculture'!Q20</f>
        <v>0</v>
      </c>
      <c r="AC1611" s="193">
        <f>'Land use &amp; agriculture'!R20</f>
        <v>0</v>
      </c>
      <c r="AD1611" s="193">
        <f>'Land use &amp; agriculture'!S20</f>
        <v>0</v>
      </c>
      <c r="AE1611" s="193" t="str">
        <f>'Land use &amp; agriculture'!T20</f>
        <v/>
      </c>
      <c r="AF1611" s="193" t="str">
        <f>'Land use &amp; agriculture'!U20</f>
        <v/>
      </c>
      <c r="AG1611" s="193" t="str">
        <f>'Land use &amp; agriculture'!V20</f>
        <v/>
      </c>
      <c r="AI1611" s="193">
        <f t="shared" si="38"/>
        <v>0</v>
      </c>
      <c r="AJ1611" s="193">
        <f t="shared" si="39"/>
        <v>0</v>
      </c>
    </row>
    <row r="1612" spans="2:36" x14ac:dyDescent="0.35">
      <c r="B1612" s="193" t="e">
        <f>"2024"&amp;MATCH(Totals!D1612,OrgType,0)&amp;"_"&amp;MATCH(Totals!E1612,Organisations,0)&amp;"_"&amp;LEFT(Totals!F1612,1)&amp;"_"&amp;LEFT(G1612,1)&amp;"_"&amp;COUNTIF($G$3:G1612,G1612)</f>
        <v>#N/A</v>
      </c>
      <c r="C1612" s="193">
        <v>2025</v>
      </c>
      <c r="D1612" s="193">
        <f>Introduction!$D$7</f>
        <v>0</v>
      </c>
      <c r="E1612" s="193">
        <f>Introduction!$D$8</f>
        <v>0</v>
      </c>
      <c r="F1612" s="193" t="s">
        <v>497</v>
      </c>
      <c r="G1612" s="193" t="s">
        <v>497</v>
      </c>
      <c r="H1612" s="194"/>
      <c r="I1612" s="194"/>
      <c r="J1612" s="193">
        <f>'Land use &amp; agriculture'!B21</f>
        <v>0</v>
      </c>
      <c r="K1612" s="194"/>
      <c r="L1612" s="194"/>
      <c r="M1612" s="193">
        <f>'Land use &amp; agriculture'!C21</f>
        <v>0</v>
      </c>
      <c r="N1612" s="193">
        <f>'Land use &amp; agriculture'!D21</f>
        <v>0</v>
      </c>
      <c r="O1612" s="194"/>
      <c r="P1612" s="193" t="str">
        <f>'Land use &amp; agriculture'!E21</f>
        <v>Tier 1</v>
      </c>
      <c r="Q1612" s="193" t="str">
        <f>'Land use &amp; agriculture'!F21</f>
        <v xml:space="preserve"> </v>
      </c>
      <c r="R1612" s="193">
        <f>'Land use &amp; agriculture'!G21</f>
        <v>0</v>
      </c>
      <c r="S1612" s="193" t="str">
        <f>'Land use &amp; agriculture'!H21</f>
        <v>ha</v>
      </c>
      <c r="T1612" s="193">
        <f>'Land use &amp; agriculture'!I21</f>
        <v>0</v>
      </c>
      <c r="U1612" s="193" t="str">
        <f>'Land use &amp; agriculture'!J21</f>
        <v>ha</v>
      </c>
      <c r="V1612" s="193" t="str">
        <f>'Land use &amp; agriculture'!K21</f>
        <v/>
      </c>
      <c r="W1612" s="193" t="str">
        <f>'Land use &amp; agriculture'!L21</f>
        <v/>
      </c>
      <c r="X1612" s="193">
        <f>'Land use &amp; agriculture'!M21</f>
        <v>0</v>
      </c>
      <c r="Y1612" s="193">
        <f>'Land use &amp; agriculture'!N21</f>
        <v>0</v>
      </c>
      <c r="Z1612" s="193">
        <f>'Land use &amp; agriculture'!O21</f>
        <v>0</v>
      </c>
      <c r="AA1612" s="193">
        <f>'Land use &amp; agriculture'!P21</f>
        <v>0</v>
      </c>
      <c r="AB1612" s="193">
        <f>'Land use &amp; agriculture'!Q21</f>
        <v>0</v>
      </c>
      <c r="AC1612" s="193">
        <f>'Land use &amp; agriculture'!R21</f>
        <v>0</v>
      </c>
      <c r="AD1612" s="193">
        <f>'Land use &amp; agriculture'!S21</f>
        <v>0</v>
      </c>
      <c r="AE1612" s="193" t="str">
        <f>'Land use &amp; agriculture'!T21</f>
        <v/>
      </c>
      <c r="AF1612" s="193" t="str">
        <f>'Land use &amp; agriculture'!U21</f>
        <v/>
      </c>
      <c r="AG1612" s="193" t="str">
        <f>'Land use &amp; agriculture'!V21</f>
        <v/>
      </c>
      <c r="AI1612" s="193">
        <f t="shared" si="38"/>
        <v>0</v>
      </c>
      <c r="AJ1612" s="193">
        <f t="shared" si="39"/>
        <v>0</v>
      </c>
    </row>
    <row r="1613" spans="2:36" x14ac:dyDescent="0.35">
      <c r="B1613" s="193" t="e">
        <f>"2024"&amp;MATCH(Totals!D1613,OrgType,0)&amp;"_"&amp;MATCH(Totals!E1613,Organisations,0)&amp;"_"&amp;LEFT(Totals!F1613,1)&amp;"_"&amp;LEFT(G1613,1)&amp;"_"&amp;COUNTIF($G$3:G1613,G1613)</f>
        <v>#N/A</v>
      </c>
      <c r="C1613" s="193">
        <v>2025</v>
      </c>
      <c r="D1613" s="193">
        <f>Introduction!$D$7</f>
        <v>0</v>
      </c>
      <c r="E1613" s="193">
        <f>Introduction!$D$8</f>
        <v>0</v>
      </c>
      <c r="F1613" s="193" t="s">
        <v>497</v>
      </c>
      <c r="G1613" s="193" t="s">
        <v>497</v>
      </c>
      <c r="H1613" s="194"/>
      <c r="I1613" s="194"/>
      <c r="J1613" s="193">
        <f>'Land use &amp; agriculture'!B22</f>
        <v>0</v>
      </c>
      <c r="K1613" s="194"/>
      <c r="L1613" s="194"/>
      <c r="M1613" s="193">
        <f>'Land use &amp; agriculture'!C22</f>
        <v>0</v>
      </c>
      <c r="N1613" s="193">
        <f>'Land use &amp; agriculture'!D22</f>
        <v>0</v>
      </c>
      <c r="O1613" s="194"/>
      <c r="P1613" s="193" t="str">
        <f>'Land use &amp; agriculture'!E22</f>
        <v>Tier 1</v>
      </c>
      <c r="Q1613" s="193" t="str">
        <f>'Land use &amp; agriculture'!F22</f>
        <v xml:space="preserve"> </v>
      </c>
      <c r="R1613" s="193">
        <f>'Land use &amp; agriculture'!G22</f>
        <v>0</v>
      </c>
      <c r="S1613" s="193" t="str">
        <f>'Land use &amp; agriculture'!H22</f>
        <v>ha</v>
      </c>
      <c r="T1613" s="193">
        <f>'Land use &amp; agriculture'!I22</f>
        <v>0</v>
      </c>
      <c r="U1613" s="193" t="str">
        <f>'Land use &amp; agriculture'!J22</f>
        <v>ha</v>
      </c>
      <c r="V1613" s="193" t="str">
        <f>'Land use &amp; agriculture'!K22</f>
        <v/>
      </c>
      <c r="W1613" s="193" t="str">
        <f>'Land use &amp; agriculture'!L22</f>
        <v/>
      </c>
      <c r="X1613" s="193">
        <f>'Land use &amp; agriculture'!M22</f>
        <v>0</v>
      </c>
      <c r="Y1613" s="193">
        <f>'Land use &amp; agriculture'!N22</f>
        <v>0</v>
      </c>
      <c r="Z1613" s="193">
        <f>'Land use &amp; agriculture'!O22</f>
        <v>0</v>
      </c>
      <c r="AA1613" s="193">
        <f>'Land use &amp; agriculture'!P22</f>
        <v>0</v>
      </c>
      <c r="AB1613" s="193">
        <f>'Land use &amp; agriculture'!Q22</f>
        <v>0</v>
      </c>
      <c r="AC1613" s="193">
        <f>'Land use &amp; agriculture'!R22</f>
        <v>0</v>
      </c>
      <c r="AD1613" s="193">
        <f>'Land use &amp; agriculture'!S22</f>
        <v>0</v>
      </c>
      <c r="AE1613" s="193" t="str">
        <f>'Land use &amp; agriculture'!T22</f>
        <v/>
      </c>
      <c r="AF1613" s="193" t="str">
        <f>'Land use &amp; agriculture'!U22</f>
        <v/>
      </c>
      <c r="AG1613" s="193" t="str">
        <f>'Land use &amp; agriculture'!V22</f>
        <v/>
      </c>
      <c r="AI1613" s="193">
        <f t="shared" si="38"/>
        <v>0</v>
      </c>
      <c r="AJ1613" s="193">
        <f t="shared" si="39"/>
        <v>0</v>
      </c>
    </row>
    <row r="1614" spans="2:36" x14ac:dyDescent="0.35">
      <c r="B1614" s="193" t="e">
        <f>"2024"&amp;MATCH(Totals!D1614,OrgType,0)&amp;"_"&amp;MATCH(Totals!E1614,Organisations,0)&amp;"_"&amp;LEFT(Totals!F1614,1)&amp;"_"&amp;LEFT(G1614,1)&amp;"_"&amp;COUNTIF($G$3:G1614,G1614)</f>
        <v>#N/A</v>
      </c>
      <c r="C1614" s="193">
        <v>2025</v>
      </c>
      <c r="D1614" s="193">
        <f>Introduction!$D$7</f>
        <v>0</v>
      </c>
      <c r="E1614" s="193">
        <f>Introduction!$D$8</f>
        <v>0</v>
      </c>
      <c r="F1614" s="193" t="s">
        <v>497</v>
      </c>
      <c r="G1614" s="193" t="s">
        <v>497</v>
      </c>
      <c r="H1614" s="194"/>
      <c r="I1614" s="194"/>
      <c r="J1614" s="193">
        <f>'Land use &amp; agriculture'!B23</f>
        <v>0</v>
      </c>
      <c r="K1614" s="194"/>
      <c r="L1614" s="194"/>
      <c r="M1614" s="193">
        <f>'Land use &amp; agriculture'!C23</f>
        <v>0</v>
      </c>
      <c r="N1614" s="193">
        <f>'Land use &amp; agriculture'!D23</f>
        <v>0</v>
      </c>
      <c r="O1614" s="194"/>
      <c r="P1614" s="193" t="str">
        <f>'Land use &amp; agriculture'!E23</f>
        <v>Tier 1</v>
      </c>
      <c r="Q1614" s="193" t="str">
        <f>'Land use &amp; agriculture'!F23</f>
        <v xml:space="preserve"> </v>
      </c>
      <c r="R1614" s="193">
        <f>'Land use &amp; agriculture'!G23</f>
        <v>0</v>
      </c>
      <c r="S1614" s="193" t="str">
        <f>'Land use &amp; agriculture'!H23</f>
        <v>ha</v>
      </c>
      <c r="T1614" s="193">
        <f>'Land use &amp; agriculture'!I23</f>
        <v>0</v>
      </c>
      <c r="U1614" s="193" t="str">
        <f>'Land use &amp; agriculture'!J23</f>
        <v>ha</v>
      </c>
      <c r="V1614" s="193" t="str">
        <f>'Land use &amp; agriculture'!K23</f>
        <v/>
      </c>
      <c r="W1614" s="193" t="str">
        <f>'Land use &amp; agriculture'!L23</f>
        <v/>
      </c>
      <c r="X1614" s="193">
        <f>'Land use &amp; agriculture'!M23</f>
        <v>0</v>
      </c>
      <c r="Y1614" s="193">
        <f>'Land use &amp; agriculture'!N23</f>
        <v>0</v>
      </c>
      <c r="Z1614" s="193">
        <f>'Land use &amp; agriculture'!O23</f>
        <v>0</v>
      </c>
      <c r="AA1614" s="193">
        <f>'Land use &amp; agriculture'!P23</f>
        <v>0</v>
      </c>
      <c r="AB1614" s="193">
        <f>'Land use &amp; agriculture'!Q23</f>
        <v>0</v>
      </c>
      <c r="AC1614" s="193">
        <f>'Land use &amp; agriculture'!R23</f>
        <v>0</v>
      </c>
      <c r="AD1614" s="193">
        <f>'Land use &amp; agriculture'!S23</f>
        <v>0</v>
      </c>
      <c r="AE1614" s="193" t="str">
        <f>'Land use &amp; agriculture'!T23</f>
        <v/>
      </c>
      <c r="AF1614" s="193" t="str">
        <f>'Land use &amp; agriculture'!U23</f>
        <v/>
      </c>
      <c r="AG1614" s="193" t="str">
        <f>'Land use &amp; agriculture'!V23</f>
        <v/>
      </c>
      <c r="AI1614" s="193">
        <f t="shared" si="38"/>
        <v>0</v>
      </c>
      <c r="AJ1614" s="193">
        <f t="shared" si="39"/>
        <v>0</v>
      </c>
    </row>
    <row r="1615" spans="2:36" x14ac:dyDescent="0.35">
      <c r="B1615" s="193" t="e">
        <f>"2024"&amp;MATCH(Totals!D1615,OrgType,0)&amp;"_"&amp;MATCH(Totals!E1615,Organisations,0)&amp;"_"&amp;LEFT(Totals!F1615,1)&amp;"_"&amp;LEFT(G1615,1)&amp;"_"&amp;COUNTIF($G$3:G1615,G1615)</f>
        <v>#N/A</v>
      </c>
      <c r="C1615" s="193">
        <v>2025</v>
      </c>
      <c r="D1615" s="193">
        <f>Introduction!$D$7</f>
        <v>0</v>
      </c>
      <c r="E1615" s="193">
        <f>Introduction!$D$8</f>
        <v>0</v>
      </c>
      <c r="F1615" s="193" t="s">
        <v>497</v>
      </c>
      <c r="G1615" s="193" t="s">
        <v>497</v>
      </c>
      <c r="H1615" s="194"/>
      <c r="I1615" s="194"/>
      <c r="J1615" s="193">
        <f>'Land use &amp; agriculture'!B24</f>
        <v>0</v>
      </c>
      <c r="K1615" s="194"/>
      <c r="L1615" s="194"/>
      <c r="M1615" s="193">
        <f>'Land use &amp; agriculture'!C24</f>
        <v>0</v>
      </c>
      <c r="N1615" s="193">
        <f>'Land use &amp; agriculture'!D24</f>
        <v>0</v>
      </c>
      <c r="O1615" s="194"/>
      <c r="P1615" s="193" t="str">
        <f>'Land use &amp; agriculture'!E24</f>
        <v>Tier 1</v>
      </c>
      <c r="Q1615" s="193" t="str">
        <f>'Land use &amp; agriculture'!F24</f>
        <v xml:space="preserve"> </v>
      </c>
      <c r="R1615" s="193">
        <f>'Land use &amp; agriculture'!G24</f>
        <v>0</v>
      </c>
      <c r="S1615" s="193" t="str">
        <f>'Land use &amp; agriculture'!H24</f>
        <v>ha</v>
      </c>
      <c r="T1615" s="193">
        <f>'Land use &amp; agriculture'!I24</f>
        <v>0</v>
      </c>
      <c r="U1615" s="193" t="str">
        <f>'Land use &amp; agriculture'!J24</f>
        <v>ha</v>
      </c>
      <c r="V1615" s="193" t="str">
        <f>'Land use &amp; agriculture'!K24</f>
        <v/>
      </c>
      <c r="W1615" s="193" t="str">
        <f>'Land use &amp; agriculture'!L24</f>
        <v/>
      </c>
      <c r="X1615" s="193">
        <f>'Land use &amp; agriculture'!M24</f>
        <v>0</v>
      </c>
      <c r="Y1615" s="193">
        <f>'Land use &amp; agriculture'!N24</f>
        <v>0</v>
      </c>
      <c r="Z1615" s="193">
        <f>'Land use &amp; agriculture'!O24</f>
        <v>0</v>
      </c>
      <c r="AA1615" s="193">
        <f>'Land use &amp; agriculture'!P24</f>
        <v>0</v>
      </c>
      <c r="AB1615" s="193">
        <f>'Land use &amp; agriculture'!Q24</f>
        <v>0</v>
      </c>
      <c r="AC1615" s="193">
        <f>'Land use &amp; agriculture'!R24</f>
        <v>0</v>
      </c>
      <c r="AD1615" s="193">
        <f>'Land use &amp; agriculture'!S24</f>
        <v>0</v>
      </c>
      <c r="AE1615" s="193" t="str">
        <f>'Land use &amp; agriculture'!T24</f>
        <v/>
      </c>
      <c r="AF1615" s="193" t="str">
        <f>'Land use &amp; agriculture'!U24</f>
        <v/>
      </c>
      <c r="AG1615" s="193" t="str">
        <f>'Land use &amp; agriculture'!V24</f>
        <v/>
      </c>
      <c r="AI1615" s="193">
        <f t="shared" si="38"/>
        <v>0</v>
      </c>
      <c r="AJ1615" s="193">
        <f t="shared" si="39"/>
        <v>0</v>
      </c>
    </row>
    <row r="1616" spans="2:36" x14ac:dyDescent="0.35">
      <c r="B1616" s="193" t="e">
        <f>"2024"&amp;MATCH(Totals!D1616,OrgType,0)&amp;"_"&amp;MATCH(Totals!E1616,Organisations,0)&amp;"_"&amp;LEFT(Totals!F1616,1)&amp;"_"&amp;LEFT(G1616,1)&amp;"_"&amp;COUNTIF($G$3:G1616,G1616)</f>
        <v>#N/A</v>
      </c>
      <c r="C1616" s="193">
        <v>2025</v>
      </c>
      <c r="D1616" s="193">
        <f>Introduction!$D$7</f>
        <v>0</v>
      </c>
      <c r="E1616" s="193">
        <f>Introduction!$D$8</f>
        <v>0</v>
      </c>
      <c r="F1616" s="193" t="s">
        <v>497</v>
      </c>
      <c r="G1616" s="193" t="s">
        <v>497</v>
      </c>
      <c r="H1616" s="194"/>
      <c r="I1616" s="194"/>
      <c r="J1616" s="193">
        <f>'Land use &amp; agriculture'!B25</f>
        <v>0</v>
      </c>
      <c r="K1616" s="194"/>
      <c r="L1616" s="194"/>
      <c r="M1616" s="193">
        <f>'Land use &amp; agriculture'!C25</f>
        <v>0</v>
      </c>
      <c r="N1616" s="193">
        <f>'Land use &amp; agriculture'!D25</f>
        <v>0</v>
      </c>
      <c r="O1616" s="194"/>
      <c r="P1616" s="193" t="str">
        <f>'Land use &amp; agriculture'!E25</f>
        <v>Tier 1</v>
      </c>
      <c r="Q1616" s="193" t="str">
        <f>'Land use &amp; agriculture'!F25</f>
        <v xml:space="preserve"> </v>
      </c>
      <c r="R1616" s="193">
        <f>'Land use &amp; agriculture'!G25</f>
        <v>0</v>
      </c>
      <c r="S1616" s="193" t="str">
        <f>'Land use &amp; agriculture'!H25</f>
        <v>ha</v>
      </c>
      <c r="T1616" s="193">
        <f>'Land use &amp; agriculture'!I25</f>
        <v>0</v>
      </c>
      <c r="U1616" s="193" t="str">
        <f>'Land use &amp; agriculture'!J25</f>
        <v>ha</v>
      </c>
      <c r="V1616" s="193" t="str">
        <f>'Land use &amp; agriculture'!K25</f>
        <v/>
      </c>
      <c r="W1616" s="193" t="str">
        <f>'Land use &amp; agriculture'!L25</f>
        <v/>
      </c>
      <c r="X1616" s="193">
        <f>'Land use &amp; agriculture'!M25</f>
        <v>0</v>
      </c>
      <c r="Y1616" s="193">
        <f>'Land use &amp; agriculture'!N25</f>
        <v>0</v>
      </c>
      <c r="Z1616" s="193">
        <f>'Land use &amp; agriculture'!O25</f>
        <v>0</v>
      </c>
      <c r="AA1616" s="193">
        <f>'Land use &amp; agriculture'!P25</f>
        <v>0</v>
      </c>
      <c r="AB1616" s="193">
        <f>'Land use &amp; agriculture'!Q25</f>
        <v>0</v>
      </c>
      <c r="AC1616" s="193">
        <f>'Land use &amp; agriculture'!R25</f>
        <v>0</v>
      </c>
      <c r="AD1616" s="193">
        <f>'Land use &amp; agriculture'!S25</f>
        <v>0</v>
      </c>
      <c r="AE1616" s="193" t="str">
        <f>'Land use &amp; agriculture'!T25</f>
        <v/>
      </c>
      <c r="AF1616" s="193" t="str">
        <f>'Land use &amp; agriculture'!U25</f>
        <v/>
      </c>
      <c r="AG1616" s="193" t="str">
        <f>'Land use &amp; agriculture'!V25</f>
        <v/>
      </c>
      <c r="AI1616" s="193">
        <f t="shared" si="38"/>
        <v>0</v>
      </c>
      <c r="AJ1616" s="193">
        <f t="shared" si="39"/>
        <v>0</v>
      </c>
    </row>
    <row r="1617" spans="2:36" x14ac:dyDescent="0.35">
      <c r="B1617" s="193" t="e">
        <f>"2024"&amp;MATCH(Totals!D1617,OrgType,0)&amp;"_"&amp;MATCH(Totals!E1617,Organisations,0)&amp;"_"&amp;LEFT(Totals!F1617,1)&amp;"_"&amp;LEFT(G1617,1)&amp;"_"&amp;COUNTIF($G$3:G1617,G1617)</f>
        <v>#N/A</v>
      </c>
      <c r="C1617" s="193">
        <v>2025</v>
      </c>
      <c r="D1617" s="193">
        <f>Introduction!$D$7</f>
        <v>0</v>
      </c>
      <c r="E1617" s="193">
        <f>Introduction!$D$8</f>
        <v>0</v>
      </c>
      <c r="F1617" s="193" t="s">
        <v>497</v>
      </c>
      <c r="G1617" s="193" t="s">
        <v>497</v>
      </c>
      <c r="H1617" s="194"/>
      <c r="I1617" s="194"/>
      <c r="J1617" s="193">
        <f>'Land use &amp; agriculture'!B26</f>
        <v>0</v>
      </c>
      <c r="K1617" s="194"/>
      <c r="L1617" s="194"/>
      <c r="M1617" s="193">
        <f>'Land use &amp; agriculture'!C26</f>
        <v>0</v>
      </c>
      <c r="N1617" s="193">
        <f>'Land use &amp; agriculture'!D26</f>
        <v>0</v>
      </c>
      <c r="O1617" s="194"/>
      <c r="P1617" s="193" t="str">
        <f>'Land use &amp; agriculture'!E26</f>
        <v>Tier 1</v>
      </c>
      <c r="Q1617" s="193" t="str">
        <f>'Land use &amp; agriculture'!F26</f>
        <v xml:space="preserve"> </v>
      </c>
      <c r="R1617" s="193">
        <f>'Land use &amp; agriculture'!G26</f>
        <v>0</v>
      </c>
      <c r="S1617" s="193" t="str">
        <f>'Land use &amp; agriculture'!H26</f>
        <v>ha</v>
      </c>
      <c r="T1617" s="193">
        <f>'Land use &amp; agriculture'!I26</f>
        <v>0</v>
      </c>
      <c r="U1617" s="193" t="str">
        <f>'Land use &amp; agriculture'!J26</f>
        <v>ha</v>
      </c>
      <c r="V1617" s="193" t="str">
        <f>'Land use &amp; agriculture'!K26</f>
        <v/>
      </c>
      <c r="W1617" s="193" t="str">
        <f>'Land use &amp; agriculture'!L26</f>
        <v/>
      </c>
      <c r="X1617" s="193">
        <f>'Land use &amp; agriculture'!M26</f>
        <v>0</v>
      </c>
      <c r="Y1617" s="193">
        <f>'Land use &amp; agriculture'!N26</f>
        <v>0</v>
      </c>
      <c r="Z1617" s="193">
        <f>'Land use &amp; agriculture'!O26</f>
        <v>0</v>
      </c>
      <c r="AA1617" s="193">
        <f>'Land use &amp; agriculture'!P26</f>
        <v>0</v>
      </c>
      <c r="AB1617" s="193">
        <f>'Land use &amp; agriculture'!Q26</f>
        <v>0</v>
      </c>
      <c r="AC1617" s="193">
        <f>'Land use &amp; agriculture'!R26</f>
        <v>0</v>
      </c>
      <c r="AD1617" s="193">
        <f>'Land use &amp; agriculture'!S26</f>
        <v>0</v>
      </c>
      <c r="AE1617" s="193" t="str">
        <f>'Land use &amp; agriculture'!T26</f>
        <v/>
      </c>
      <c r="AF1617" s="193" t="str">
        <f>'Land use &amp; agriculture'!U26</f>
        <v/>
      </c>
      <c r="AG1617" s="193" t="str">
        <f>'Land use &amp; agriculture'!V26</f>
        <v/>
      </c>
      <c r="AI1617" s="193">
        <f t="shared" si="38"/>
        <v>0</v>
      </c>
      <c r="AJ1617" s="193">
        <f t="shared" si="39"/>
        <v>0</v>
      </c>
    </row>
    <row r="1618" spans="2:36" x14ac:dyDescent="0.35">
      <c r="B1618" s="193" t="e">
        <f>"2024"&amp;MATCH(Totals!D1618,OrgType,0)&amp;"_"&amp;MATCH(Totals!E1618,Organisations,0)&amp;"_"&amp;LEFT(Totals!F1618,1)&amp;"_"&amp;LEFT(G1618,1)&amp;"_"&amp;COUNTIF($G$3:G1618,G1618)</f>
        <v>#N/A</v>
      </c>
      <c r="C1618" s="193">
        <v>2025</v>
      </c>
      <c r="D1618" s="193">
        <f>Introduction!$D$7</f>
        <v>0</v>
      </c>
      <c r="E1618" s="193">
        <f>Introduction!$D$8</f>
        <v>0</v>
      </c>
      <c r="F1618" s="193" t="s">
        <v>497</v>
      </c>
      <c r="G1618" s="193" t="s">
        <v>497</v>
      </c>
      <c r="H1618" s="194"/>
      <c r="I1618" s="194"/>
      <c r="J1618" s="193">
        <f>'Land use &amp; agriculture'!B27</f>
        <v>0</v>
      </c>
      <c r="K1618" s="194"/>
      <c r="L1618" s="194"/>
      <c r="M1618" s="193">
        <f>'Land use &amp; agriculture'!C27</f>
        <v>0</v>
      </c>
      <c r="N1618" s="193">
        <f>'Land use &amp; agriculture'!D27</f>
        <v>0</v>
      </c>
      <c r="O1618" s="194"/>
      <c r="P1618" s="193" t="str">
        <f>'Land use &amp; agriculture'!E27</f>
        <v>Tier 1</v>
      </c>
      <c r="Q1618" s="193" t="str">
        <f>'Land use &amp; agriculture'!F27</f>
        <v xml:space="preserve"> </v>
      </c>
      <c r="R1618" s="193">
        <f>'Land use &amp; agriculture'!G27</f>
        <v>0</v>
      </c>
      <c r="S1618" s="193" t="str">
        <f>'Land use &amp; agriculture'!H27</f>
        <v>ha</v>
      </c>
      <c r="T1618" s="193">
        <f>'Land use &amp; agriculture'!I27</f>
        <v>0</v>
      </c>
      <c r="U1618" s="193" t="str">
        <f>'Land use &amp; agriculture'!J27</f>
        <v>ha</v>
      </c>
      <c r="V1618" s="193" t="str">
        <f>'Land use &amp; agriculture'!K27</f>
        <v/>
      </c>
      <c r="W1618" s="193" t="str">
        <f>'Land use &amp; agriculture'!L27</f>
        <v/>
      </c>
      <c r="X1618" s="193">
        <f>'Land use &amp; agriculture'!M27</f>
        <v>0</v>
      </c>
      <c r="Y1618" s="193">
        <f>'Land use &amp; agriculture'!N27</f>
        <v>0</v>
      </c>
      <c r="Z1618" s="193">
        <f>'Land use &amp; agriculture'!O27</f>
        <v>0</v>
      </c>
      <c r="AA1618" s="193">
        <f>'Land use &amp; agriculture'!P27</f>
        <v>0</v>
      </c>
      <c r="AB1618" s="193">
        <f>'Land use &amp; agriculture'!Q27</f>
        <v>0</v>
      </c>
      <c r="AC1618" s="193">
        <f>'Land use &amp; agriculture'!R27</f>
        <v>0</v>
      </c>
      <c r="AD1618" s="193">
        <f>'Land use &amp; agriculture'!S27</f>
        <v>0</v>
      </c>
      <c r="AE1618" s="193" t="str">
        <f>'Land use &amp; agriculture'!T27</f>
        <v/>
      </c>
      <c r="AF1618" s="193" t="str">
        <f>'Land use &amp; agriculture'!U27</f>
        <v/>
      </c>
      <c r="AG1618" s="193" t="str">
        <f>'Land use &amp; agriculture'!V27</f>
        <v/>
      </c>
      <c r="AI1618" s="193">
        <f t="shared" si="38"/>
        <v>0</v>
      </c>
      <c r="AJ1618" s="193">
        <f t="shared" si="39"/>
        <v>0</v>
      </c>
    </row>
    <row r="1619" spans="2:36" x14ac:dyDescent="0.35">
      <c r="B1619" s="193" t="e">
        <f>"2024"&amp;MATCH(Totals!D1619,OrgType,0)&amp;"_"&amp;MATCH(Totals!E1619,Organisations,0)&amp;"_"&amp;LEFT(Totals!F1619,1)&amp;"_"&amp;LEFT(G1619,1)&amp;"_"&amp;COUNTIF($G$3:G1619,G1619)</f>
        <v>#N/A</v>
      </c>
      <c r="C1619" s="193">
        <v>2025</v>
      </c>
      <c r="D1619" s="193">
        <f>Introduction!$D$7</f>
        <v>0</v>
      </c>
      <c r="E1619" s="193">
        <f>Introduction!$D$8</f>
        <v>0</v>
      </c>
      <c r="F1619" s="193" t="s">
        <v>497</v>
      </c>
      <c r="G1619" s="193" t="s">
        <v>497</v>
      </c>
      <c r="H1619" s="194"/>
      <c r="I1619" s="194"/>
      <c r="J1619" s="193">
        <f>'Land use &amp; agriculture'!B28</f>
        <v>0</v>
      </c>
      <c r="K1619" s="194"/>
      <c r="L1619" s="194"/>
      <c r="M1619" s="193">
        <f>'Land use &amp; agriculture'!C28</f>
        <v>0</v>
      </c>
      <c r="N1619" s="193">
        <f>'Land use &amp; agriculture'!D28</f>
        <v>0</v>
      </c>
      <c r="O1619" s="194"/>
      <c r="P1619" s="193" t="str">
        <f>'Land use &amp; agriculture'!E28</f>
        <v>Tier 1</v>
      </c>
      <c r="Q1619" s="193" t="str">
        <f>'Land use &amp; agriculture'!F28</f>
        <v xml:space="preserve"> </v>
      </c>
      <c r="R1619" s="193">
        <f>'Land use &amp; agriculture'!G28</f>
        <v>0</v>
      </c>
      <c r="S1619" s="193" t="str">
        <f>'Land use &amp; agriculture'!H28</f>
        <v>ha</v>
      </c>
      <c r="T1619" s="193">
        <f>'Land use &amp; agriculture'!I28</f>
        <v>0</v>
      </c>
      <c r="U1619" s="193" t="str">
        <f>'Land use &amp; agriculture'!J28</f>
        <v>ha</v>
      </c>
      <c r="V1619" s="193" t="str">
        <f>'Land use &amp; agriculture'!K28</f>
        <v/>
      </c>
      <c r="W1619" s="193" t="str">
        <f>'Land use &amp; agriculture'!L28</f>
        <v/>
      </c>
      <c r="X1619" s="193">
        <f>'Land use &amp; agriculture'!M28</f>
        <v>0</v>
      </c>
      <c r="Y1619" s="193">
        <f>'Land use &amp; agriculture'!N28</f>
        <v>0</v>
      </c>
      <c r="Z1619" s="193">
        <f>'Land use &amp; agriculture'!O28</f>
        <v>0</v>
      </c>
      <c r="AA1619" s="193">
        <f>'Land use &amp; agriculture'!P28</f>
        <v>0</v>
      </c>
      <c r="AB1619" s="193">
        <f>'Land use &amp; agriculture'!Q28</f>
        <v>0</v>
      </c>
      <c r="AC1619" s="193">
        <f>'Land use &amp; agriculture'!R28</f>
        <v>0</v>
      </c>
      <c r="AD1619" s="193">
        <f>'Land use &amp; agriculture'!S28</f>
        <v>0</v>
      </c>
      <c r="AE1619" s="193" t="str">
        <f>'Land use &amp; agriculture'!T28</f>
        <v/>
      </c>
      <c r="AF1619" s="193" t="str">
        <f>'Land use &amp; agriculture'!U28</f>
        <v/>
      </c>
      <c r="AG1619" s="193" t="str">
        <f>'Land use &amp; agriculture'!V28</f>
        <v/>
      </c>
      <c r="AI1619" s="193">
        <f t="shared" si="38"/>
        <v>0</v>
      </c>
      <c r="AJ1619" s="193">
        <f t="shared" si="39"/>
        <v>0</v>
      </c>
    </row>
    <row r="1620" spans="2:36" x14ac:dyDescent="0.35">
      <c r="B1620" s="193" t="e">
        <f>"2024"&amp;MATCH(Totals!D1620,OrgType,0)&amp;"_"&amp;MATCH(Totals!E1620,Organisations,0)&amp;"_"&amp;LEFT(Totals!F1620,1)&amp;"_"&amp;LEFT(G1620,1)&amp;"_"&amp;COUNTIF($G$3:G1620,G1620)</f>
        <v>#N/A</v>
      </c>
      <c r="C1620" s="193">
        <v>2025</v>
      </c>
      <c r="D1620" s="193">
        <f>Introduction!$D$7</f>
        <v>0</v>
      </c>
      <c r="E1620" s="193">
        <f>Introduction!$D$8</f>
        <v>0</v>
      </c>
      <c r="F1620" s="193" t="s">
        <v>497</v>
      </c>
      <c r="G1620" s="193" t="s">
        <v>497</v>
      </c>
      <c r="H1620" s="194"/>
      <c r="I1620" s="194"/>
      <c r="J1620" s="193">
        <f>'Land use &amp; agriculture'!B29</f>
        <v>0</v>
      </c>
      <c r="K1620" s="194"/>
      <c r="L1620" s="194"/>
      <c r="M1620" s="193">
        <f>'Land use &amp; agriculture'!C29</f>
        <v>0</v>
      </c>
      <c r="N1620" s="193">
        <f>'Land use &amp; agriculture'!D29</f>
        <v>0</v>
      </c>
      <c r="O1620" s="194"/>
      <c r="P1620" s="193" t="str">
        <f>'Land use &amp; agriculture'!E29</f>
        <v>Tier 1</v>
      </c>
      <c r="Q1620" s="193" t="str">
        <f>'Land use &amp; agriculture'!F29</f>
        <v xml:space="preserve"> </v>
      </c>
      <c r="R1620" s="193">
        <f>'Land use &amp; agriculture'!G29</f>
        <v>0</v>
      </c>
      <c r="S1620" s="193" t="str">
        <f>'Land use &amp; agriculture'!H29</f>
        <v>ha</v>
      </c>
      <c r="T1620" s="193">
        <f>'Land use &amp; agriculture'!I29</f>
        <v>0</v>
      </c>
      <c r="U1620" s="193" t="str">
        <f>'Land use &amp; agriculture'!J29</f>
        <v>ha</v>
      </c>
      <c r="V1620" s="193" t="str">
        <f>'Land use &amp; agriculture'!K29</f>
        <v/>
      </c>
      <c r="W1620" s="193" t="str">
        <f>'Land use &amp; agriculture'!L29</f>
        <v/>
      </c>
      <c r="X1620" s="193">
        <f>'Land use &amp; agriculture'!M29</f>
        <v>0</v>
      </c>
      <c r="Y1620" s="193">
        <f>'Land use &amp; agriculture'!N29</f>
        <v>0</v>
      </c>
      <c r="Z1620" s="193">
        <f>'Land use &amp; agriculture'!O29</f>
        <v>0</v>
      </c>
      <c r="AA1620" s="193">
        <f>'Land use &amp; agriculture'!P29</f>
        <v>0</v>
      </c>
      <c r="AB1620" s="193">
        <f>'Land use &amp; agriculture'!Q29</f>
        <v>0</v>
      </c>
      <c r="AC1620" s="193">
        <f>'Land use &amp; agriculture'!R29</f>
        <v>0</v>
      </c>
      <c r="AD1620" s="193">
        <f>'Land use &amp; agriculture'!S29</f>
        <v>0</v>
      </c>
      <c r="AE1620" s="193" t="str">
        <f>'Land use &amp; agriculture'!T29</f>
        <v/>
      </c>
      <c r="AF1620" s="193" t="str">
        <f>'Land use &amp; agriculture'!U29</f>
        <v/>
      </c>
      <c r="AG1620" s="193" t="str">
        <f>'Land use &amp; agriculture'!V29</f>
        <v/>
      </c>
      <c r="AI1620" s="193">
        <f t="shared" si="38"/>
        <v>0</v>
      </c>
      <c r="AJ1620" s="193">
        <f t="shared" si="39"/>
        <v>0</v>
      </c>
    </row>
    <row r="1621" spans="2:36" x14ac:dyDescent="0.35">
      <c r="B1621" s="193" t="e">
        <f>"2024"&amp;MATCH(Totals!D1621,OrgType,0)&amp;"_"&amp;MATCH(Totals!E1621,Organisations,0)&amp;"_"&amp;LEFT(Totals!F1621,1)&amp;"_"&amp;LEFT(G1621,1)&amp;"_"&amp;COUNTIF($G$3:G1621,G1621)</f>
        <v>#N/A</v>
      </c>
      <c r="C1621" s="193">
        <v>2025</v>
      </c>
      <c r="D1621" s="193">
        <f>Introduction!$D$7</f>
        <v>0</v>
      </c>
      <c r="E1621" s="193">
        <f>Introduction!$D$8</f>
        <v>0</v>
      </c>
      <c r="F1621" s="193" t="s">
        <v>497</v>
      </c>
      <c r="G1621" s="193" t="s">
        <v>497</v>
      </c>
      <c r="H1621" s="194"/>
      <c r="I1621" s="194"/>
      <c r="J1621" s="193">
        <f>'Land use &amp; agriculture'!B30</f>
        <v>0</v>
      </c>
      <c r="K1621" s="194"/>
      <c r="L1621" s="194"/>
      <c r="M1621" s="193">
        <f>'Land use &amp; agriculture'!C30</f>
        <v>0</v>
      </c>
      <c r="N1621" s="193">
        <f>'Land use &amp; agriculture'!D30</f>
        <v>0</v>
      </c>
      <c r="O1621" s="194"/>
      <c r="P1621" s="193" t="str">
        <f>'Land use &amp; agriculture'!E30</f>
        <v>Tier 1</v>
      </c>
      <c r="Q1621" s="193" t="str">
        <f>'Land use &amp; agriculture'!F30</f>
        <v xml:space="preserve"> </v>
      </c>
      <c r="R1621" s="193">
        <f>'Land use &amp; agriculture'!G30</f>
        <v>0</v>
      </c>
      <c r="S1621" s="193" t="str">
        <f>'Land use &amp; agriculture'!H30</f>
        <v>ha</v>
      </c>
      <c r="T1621" s="193">
        <f>'Land use &amp; agriculture'!I30</f>
        <v>0</v>
      </c>
      <c r="U1621" s="193" t="str">
        <f>'Land use &amp; agriculture'!J30</f>
        <v>ha</v>
      </c>
      <c r="V1621" s="193" t="str">
        <f>'Land use &amp; agriculture'!K30</f>
        <v/>
      </c>
      <c r="W1621" s="193" t="str">
        <f>'Land use &amp; agriculture'!L30</f>
        <v/>
      </c>
      <c r="X1621" s="193">
        <f>'Land use &amp; agriculture'!M30</f>
        <v>0</v>
      </c>
      <c r="Y1621" s="193">
        <f>'Land use &amp; agriculture'!N30</f>
        <v>0</v>
      </c>
      <c r="Z1621" s="193">
        <f>'Land use &amp; agriculture'!O30</f>
        <v>0</v>
      </c>
      <c r="AA1621" s="193">
        <f>'Land use &amp; agriculture'!P30</f>
        <v>0</v>
      </c>
      <c r="AB1621" s="193">
        <f>'Land use &amp; agriculture'!Q30</f>
        <v>0</v>
      </c>
      <c r="AC1621" s="193">
        <f>'Land use &amp; agriculture'!R30</f>
        <v>0</v>
      </c>
      <c r="AD1621" s="193">
        <f>'Land use &amp; agriculture'!S30</f>
        <v>0</v>
      </c>
      <c r="AE1621" s="193" t="str">
        <f>'Land use &amp; agriculture'!T30</f>
        <v/>
      </c>
      <c r="AF1621" s="193" t="str">
        <f>'Land use &amp; agriculture'!U30</f>
        <v/>
      </c>
      <c r="AG1621" s="193" t="str">
        <f>'Land use &amp; agriculture'!V30</f>
        <v/>
      </c>
      <c r="AI1621" s="193">
        <f t="shared" si="38"/>
        <v>0</v>
      </c>
      <c r="AJ1621" s="193">
        <f t="shared" si="39"/>
        <v>0</v>
      </c>
    </row>
    <row r="1622" spans="2:36" x14ac:dyDescent="0.35">
      <c r="B1622" s="193" t="e">
        <f>"2024"&amp;MATCH(Totals!D1622,OrgType,0)&amp;"_"&amp;MATCH(Totals!E1622,Organisations,0)&amp;"_"&amp;LEFT(Totals!F1622,1)&amp;"_"&amp;LEFT(G1622,1)&amp;"_"&amp;COUNTIF($G$3:G1622,G1622)</f>
        <v>#N/A</v>
      </c>
      <c r="C1622" s="193">
        <v>2025</v>
      </c>
      <c r="D1622" s="193">
        <f>Introduction!$D$7</f>
        <v>0</v>
      </c>
      <c r="E1622" s="193">
        <f>Introduction!$D$8</f>
        <v>0</v>
      </c>
      <c r="F1622" s="193" t="s">
        <v>497</v>
      </c>
      <c r="G1622" s="193" t="s">
        <v>497</v>
      </c>
      <c r="H1622" s="194"/>
      <c r="I1622" s="194"/>
      <c r="J1622" s="193">
        <f>'Land use &amp; agriculture'!B31</f>
        <v>0</v>
      </c>
      <c r="K1622" s="194"/>
      <c r="L1622" s="194"/>
      <c r="M1622" s="193">
        <f>'Land use &amp; agriculture'!C31</f>
        <v>0</v>
      </c>
      <c r="N1622" s="193">
        <f>'Land use &amp; agriculture'!D31</f>
        <v>0</v>
      </c>
      <c r="O1622" s="194"/>
      <c r="P1622" s="193" t="str">
        <f>'Land use &amp; agriculture'!E31</f>
        <v>Tier 1</v>
      </c>
      <c r="Q1622" s="193" t="str">
        <f>'Land use &amp; agriculture'!F31</f>
        <v xml:space="preserve"> </v>
      </c>
      <c r="R1622" s="193">
        <f>'Land use &amp; agriculture'!G31</f>
        <v>0</v>
      </c>
      <c r="S1622" s="193" t="str">
        <f>'Land use &amp; agriculture'!H31</f>
        <v>ha</v>
      </c>
      <c r="T1622" s="193">
        <f>'Land use &amp; agriculture'!I31</f>
        <v>0</v>
      </c>
      <c r="U1622" s="193" t="str">
        <f>'Land use &amp; agriculture'!J31</f>
        <v>ha</v>
      </c>
      <c r="V1622" s="193" t="str">
        <f>'Land use &amp; agriculture'!K31</f>
        <v/>
      </c>
      <c r="W1622" s="193" t="str">
        <f>'Land use &amp; agriculture'!L31</f>
        <v/>
      </c>
      <c r="X1622" s="193">
        <f>'Land use &amp; agriculture'!M31</f>
        <v>0</v>
      </c>
      <c r="Y1622" s="193">
        <f>'Land use &amp; agriculture'!N31</f>
        <v>0</v>
      </c>
      <c r="Z1622" s="193">
        <f>'Land use &amp; agriculture'!O31</f>
        <v>0</v>
      </c>
      <c r="AA1622" s="193">
        <f>'Land use &amp; agriculture'!P31</f>
        <v>0</v>
      </c>
      <c r="AB1622" s="193">
        <f>'Land use &amp; agriculture'!Q31</f>
        <v>0</v>
      </c>
      <c r="AC1622" s="193">
        <f>'Land use &amp; agriculture'!R31</f>
        <v>0</v>
      </c>
      <c r="AD1622" s="193">
        <f>'Land use &amp; agriculture'!S31</f>
        <v>0</v>
      </c>
      <c r="AE1622" s="193" t="str">
        <f>'Land use &amp; agriculture'!T31</f>
        <v/>
      </c>
      <c r="AF1622" s="193" t="str">
        <f>'Land use &amp; agriculture'!U31</f>
        <v/>
      </c>
      <c r="AG1622" s="193" t="str">
        <f>'Land use &amp; agriculture'!V31</f>
        <v/>
      </c>
      <c r="AI1622" s="193">
        <f t="shared" si="38"/>
        <v>0</v>
      </c>
      <c r="AJ1622" s="193">
        <f t="shared" si="39"/>
        <v>0</v>
      </c>
    </row>
    <row r="1623" spans="2:36" x14ac:dyDescent="0.35">
      <c r="B1623" s="193" t="e">
        <f>"2024"&amp;MATCH(Totals!D1623,OrgType,0)&amp;"_"&amp;MATCH(Totals!E1623,Organisations,0)&amp;"_"&amp;LEFT(Totals!F1623,1)&amp;"_"&amp;LEFT(G1623,1)&amp;"_"&amp;COUNTIF($G$3:G1623,G1623)</f>
        <v>#N/A</v>
      </c>
      <c r="C1623" s="193">
        <v>2025</v>
      </c>
      <c r="D1623" s="193">
        <f>Introduction!$D$7</f>
        <v>0</v>
      </c>
      <c r="E1623" s="193">
        <f>Introduction!$D$8</f>
        <v>0</v>
      </c>
      <c r="F1623" s="193" t="s">
        <v>497</v>
      </c>
      <c r="G1623" s="193" t="s">
        <v>497</v>
      </c>
      <c r="H1623" s="194"/>
      <c r="I1623" s="194"/>
      <c r="J1623" s="193">
        <f>'Land use &amp; agriculture'!B32</f>
        <v>0</v>
      </c>
      <c r="K1623" s="194"/>
      <c r="L1623" s="194"/>
      <c r="M1623" s="193">
        <f>'Land use &amp; agriculture'!C32</f>
        <v>0</v>
      </c>
      <c r="N1623" s="193">
        <f>'Land use &amp; agriculture'!D32</f>
        <v>0</v>
      </c>
      <c r="O1623" s="194"/>
      <c r="P1623" s="193" t="str">
        <f>'Land use &amp; agriculture'!E32</f>
        <v>Tier 1</v>
      </c>
      <c r="Q1623" s="193" t="str">
        <f>'Land use &amp; agriculture'!F32</f>
        <v xml:space="preserve"> </v>
      </c>
      <c r="R1623" s="193">
        <f>'Land use &amp; agriculture'!G32</f>
        <v>0</v>
      </c>
      <c r="S1623" s="193" t="str">
        <f>'Land use &amp; agriculture'!H32</f>
        <v>ha</v>
      </c>
      <c r="T1623" s="193">
        <f>'Land use &amp; agriculture'!I32</f>
        <v>0</v>
      </c>
      <c r="U1623" s="193" t="str">
        <f>'Land use &amp; agriculture'!J32</f>
        <v>ha</v>
      </c>
      <c r="V1623" s="193" t="str">
        <f>'Land use &amp; agriculture'!K32</f>
        <v/>
      </c>
      <c r="W1623" s="193" t="str">
        <f>'Land use &amp; agriculture'!L32</f>
        <v/>
      </c>
      <c r="X1623" s="193">
        <f>'Land use &amp; agriculture'!M32</f>
        <v>0</v>
      </c>
      <c r="Y1623" s="193">
        <f>'Land use &amp; agriculture'!N32</f>
        <v>0</v>
      </c>
      <c r="Z1623" s="193">
        <f>'Land use &amp; agriculture'!O32</f>
        <v>0</v>
      </c>
      <c r="AA1623" s="193">
        <f>'Land use &amp; agriculture'!P32</f>
        <v>0</v>
      </c>
      <c r="AB1623" s="193">
        <f>'Land use &amp; agriculture'!Q32</f>
        <v>0</v>
      </c>
      <c r="AC1623" s="193">
        <f>'Land use &amp; agriculture'!R32</f>
        <v>0</v>
      </c>
      <c r="AD1623" s="193">
        <f>'Land use &amp; agriculture'!S32</f>
        <v>0</v>
      </c>
      <c r="AE1623" s="193" t="str">
        <f>'Land use &amp; agriculture'!T32</f>
        <v/>
      </c>
      <c r="AF1623" s="193" t="str">
        <f>'Land use &amp; agriculture'!U32</f>
        <v/>
      </c>
      <c r="AG1623" s="193" t="str">
        <f>'Land use &amp; agriculture'!V32</f>
        <v/>
      </c>
      <c r="AI1623" s="193">
        <f t="shared" si="38"/>
        <v>0</v>
      </c>
      <c r="AJ1623" s="193">
        <f t="shared" si="39"/>
        <v>0</v>
      </c>
    </row>
    <row r="1624" spans="2:36" x14ac:dyDescent="0.35">
      <c r="B1624" s="193" t="e">
        <f>"2024"&amp;MATCH(Totals!D1624,OrgType,0)&amp;"_"&amp;MATCH(Totals!E1624,Organisations,0)&amp;"_"&amp;LEFT(Totals!F1624,1)&amp;"_"&amp;LEFT(G1624,1)&amp;"_"&amp;COUNTIF($G$3:G1624,G1624)</f>
        <v>#N/A</v>
      </c>
      <c r="C1624" s="193">
        <v>2025</v>
      </c>
      <c r="D1624" s="193">
        <f>Introduction!$D$7</f>
        <v>0</v>
      </c>
      <c r="E1624" s="193">
        <f>Introduction!$D$8</f>
        <v>0</v>
      </c>
      <c r="F1624" s="193" t="s">
        <v>497</v>
      </c>
      <c r="G1624" s="193" t="s">
        <v>497</v>
      </c>
      <c r="H1624" s="194"/>
      <c r="I1624" s="194"/>
      <c r="J1624" s="193">
        <f>'Land use &amp; agriculture'!B33</f>
        <v>0</v>
      </c>
      <c r="K1624" s="194"/>
      <c r="L1624" s="194"/>
      <c r="M1624" s="193">
        <f>'Land use &amp; agriculture'!C33</f>
        <v>0</v>
      </c>
      <c r="N1624" s="193">
        <f>'Land use &amp; agriculture'!D33</f>
        <v>0</v>
      </c>
      <c r="O1624" s="194"/>
      <c r="P1624" s="193" t="str">
        <f>'Land use &amp; agriculture'!E33</f>
        <v>Tier 1</v>
      </c>
      <c r="Q1624" s="193" t="str">
        <f>'Land use &amp; agriculture'!F33</f>
        <v xml:space="preserve"> </v>
      </c>
      <c r="R1624" s="193">
        <f>'Land use &amp; agriculture'!G33</f>
        <v>0</v>
      </c>
      <c r="S1624" s="193" t="str">
        <f>'Land use &amp; agriculture'!H33</f>
        <v>ha</v>
      </c>
      <c r="T1624" s="193">
        <f>'Land use &amp; agriculture'!I33</f>
        <v>0</v>
      </c>
      <c r="U1624" s="193" t="str">
        <f>'Land use &amp; agriculture'!J33</f>
        <v>ha</v>
      </c>
      <c r="V1624" s="193" t="str">
        <f>'Land use &amp; agriculture'!K33</f>
        <v/>
      </c>
      <c r="W1624" s="193" t="str">
        <f>'Land use &amp; agriculture'!L33</f>
        <v/>
      </c>
      <c r="X1624" s="193">
        <f>'Land use &amp; agriculture'!M33</f>
        <v>0</v>
      </c>
      <c r="Y1624" s="193">
        <f>'Land use &amp; agriculture'!N33</f>
        <v>0</v>
      </c>
      <c r="Z1624" s="193">
        <f>'Land use &amp; agriculture'!O33</f>
        <v>0</v>
      </c>
      <c r="AA1624" s="193">
        <f>'Land use &amp; agriculture'!P33</f>
        <v>0</v>
      </c>
      <c r="AB1624" s="193">
        <f>'Land use &amp; agriculture'!Q33</f>
        <v>0</v>
      </c>
      <c r="AC1624" s="193">
        <f>'Land use &amp; agriculture'!R33</f>
        <v>0</v>
      </c>
      <c r="AD1624" s="193">
        <f>'Land use &amp; agriculture'!S33</f>
        <v>0</v>
      </c>
      <c r="AE1624" s="193" t="str">
        <f>'Land use &amp; agriculture'!T33</f>
        <v/>
      </c>
      <c r="AF1624" s="193" t="str">
        <f>'Land use &amp; agriculture'!U33</f>
        <v/>
      </c>
      <c r="AG1624" s="193" t="str">
        <f>'Land use &amp; agriculture'!V33</f>
        <v/>
      </c>
      <c r="AI1624" s="193">
        <f t="shared" si="38"/>
        <v>0</v>
      </c>
      <c r="AJ1624" s="193">
        <f t="shared" si="39"/>
        <v>0</v>
      </c>
    </row>
    <row r="1625" spans="2:36" x14ac:dyDescent="0.35">
      <c r="B1625" s="193" t="e">
        <f>"2024"&amp;MATCH(Totals!D1625,OrgType,0)&amp;"_"&amp;MATCH(Totals!E1625,Organisations,0)&amp;"_"&amp;LEFT(Totals!F1625,1)&amp;"_"&amp;LEFT(G1625,1)&amp;"_"&amp;COUNTIF($G$3:G1625,G1625)</f>
        <v>#N/A</v>
      </c>
      <c r="C1625" s="193">
        <v>2025</v>
      </c>
      <c r="D1625" s="193">
        <f>Introduction!$D$7</f>
        <v>0</v>
      </c>
      <c r="E1625" s="193">
        <f>Introduction!$D$8</f>
        <v>0</v>
      </c>
      <c r="F1625" s="193" t="s">
        <v>497</v>
      </c>
      <c r="G1625" s="193" t="s">
        <v>497</v>
      </c>
      <c r="H1625" s="194"/>
      <c r="I1625" s="194"/>
      <c r="J1625" s="193">
        <f>'Land use &amp; agriculture'!B34</f>
        <v>0</v>
      </c>
      <c r="K1625" s="194"/>
      <c r="L1625" s="194"/>
      <c r="M1625" s="193">
        <f>'Land use &amp; agriculture'!C34</f>
        <v>0</v>
      </c>
      <c r="N1625" s="193">
        <f>'Land use &amp; agriculture'!D34</f>
        <v>0</v>
      </c>
      <c r="O1625" s="194"/>
      <c r="P1625" s="193" t="str">
        <f>'Land use &amp; agriculture'!E34</f>
        <v>Tier 1</v>
      </c>
      <c r="Q1625" s="193" t="str">
        <f>'Land use &amp; agriculture'!F34</f>
        <v xml:space="preserve"> </v>
      </c>
      <c r="R1625" s="193">
        <f>'Land use &amp; agriculture'!G34</f>
        <v>0</v>
      </c>
      <c r="S1625" s="193" t="str">
        <f>'Land use &amp; agriculture'!H34</f>
        <v>ha</v>
      </c>
      <c r="T1625" s="193">
        <f>'Land use &amp; agriculture'!I34</f>
        <v>0</v>
      </c>
      <c r="U1625" s="193" t="str">
        <f>'Land use &amp; agriculture'!J34</f>
        <v>ha</v>
      </c>
      <c r="V1625" s="193" t="str">
        <f>'Land use &amp; agriculture'!K34</f>
        <v/>
      </c>
      <c r="W1625" s="193" t="str">
        <f>'Land use &amp; agriculture'!L34</f>
        <v/>
      </c>
      <c r="X1625" s="193">
        <f>'Land use &amp; agriculture'!M34</f>
        <v>0</v>
      </c>
      <c r="Y1625" s="193">
        <f>'Land use &amp; agriculture'!N34</f>
        <v>0</v>
      </c>
      <c r="Z1625" s="193">
        <f>'Land use &amp; agriculture'!O34</f>
        <v>0</v>
      </c>
      <c r="AA1625" s="193">
        <f>'Land use &amp; agriculture'!P34</f>
        <v>0</v>
      </c>
      <c r="AB1625" s="193">
        <f>'Land use &amp; agriculture'!Q34</f>
        <v>0</v>
      </c>
      <c r="AC1625" s="193">
        <f>'Land use &amp; agriculture'!R34</f>
        <v>0</v>
      </c>
      <c r="AD1625" s="193">
        <f>'Land use &amp; agriculture'!S34</f>
        <v>0</v>
      </c>
      <c r="AE1625" s="193" t="str">
        <f>'Land use &amp; agriculture'!T34</f>
        <v/>
      </c>
      <c r="AF1625" s="193" t="str">
        <f>'Land use &amp; agriculture'!U34</f>
        <v/>
      </c>
      <c r="AG1625" s="193" t="str">
        <f>'Land use &amp; agriculture'!V34</f>
        <v/>
      </c>
      <c r="AI1625" s="193">
        <f t="shared" si="38"/>
        <v>0</v>
      </c>
      <c r="AJ1625" s="193">
        <f t="shared" si="39"/>
        <v>0</v>
      </c>
    </row>
    <row r="1626" spans="2:36" x14ac:dyDescent="0.35">
      <c r="B1626" s="193" t="e">
        <f>"2024"&amp;MATCH(Totals!D1626,OrgType,0)&amp;"_"&amp;MATCH(Totals!E1626,Organisations,0)&amp;"_"&amp;LEFT(Totals!F1626,1)&amp;"_"&amp;LEFT(G1626,1)&amp;"_"&amp;COUNTIF($G$3:G1626,G1626)</f>
        <v>#N/A</v>
      </c>
      <c r="C1626" s="193">
        <v>2025</v>
      </c>
      <c r="D1626" s="193">
        <f>Introduction!$D$7</f>
        <v>0</v>
      </c>
      <c r="E1626" s="193">
        <f>Introduction!$D$8</f>
        <v>0</v>
      </c>
      <c r="F1626" s="193" t="s">
        <v>497</v>
      </c>
      <c r="G1626" s="193" t="s">
        <v>497</v>
      </c>
      <c r="H1626" s="194"/>
      <c r="I1626" s="194"/>
      <c r="J1626" s="193">
        <f>'Land use &amp; agriculture'!B35</f>
        <v>0</v>
      </c>
      <c r="K1626" s="194"/>
      <c r="L1626" s="194"/>
      <c r="M1626" s="193">
        <f>'Land use &amp; agriculture'!C35</f>
        <v>0</v>
      </c>
      <c r="N1626" s="193">
        <f>'Land use &amp; agriculture'!D35</f>
        <v>0</v>
      </c>
      <c r="O1626" s="194"/>
      <c r="P1626" s="193" t="str">
        <f>'Land use &amp; agriculture'!E35</f>
        <v>Tier 1</v>
      </c>
      <c r="Q1626" s="193" t="str">
        <f>'Land use &amp; agriculture'!F35</f>
        <v xml:space="preserve"> </v>
      </c>
      <c r="R1626" s="193">
        <f>'Land use &amp; agriculture'!G35</f>
        <v>0</v>
      </c>
      <c r="S1626" s="193" t="str">
        <f>'Land use &amp; agriculture'!H35</f>
        <v>ha</v>
      </c>
      <c r="T1626" s="193">
        <f>'Land use &amp; agriculture'!I35</f>
        <v>0</v>
      </c>
      <c r="U1626" s="193" t="str">
        <f>'Land use &amp; agriculture'!J35</f>
        <v>ha</v>
      </c>
      <c r="V1626" s="193" t="str">
        <f>'Land use &amp; agriculture'!K35</f>
        <v/>
      </c>
      <c r="W1626" s="193" t="str">
        <f>'Land use &amp; agriculture'!L35</f>
        <v/>
      </c>
      <c r="X1626" s="193">
        <f>'Land use &amp; agriculture'!M35</f>
        <v>0</v>
      </c>
      <c r="Y1626" s="193">
        <f>'Land use &amp; agriculture'!N35</f>
        <v>0</v>
      </c>
      <c r="Z1626" s="193">
        <f>'Land use &amp; agriculture'!O35</f>
        <v>0</v>
      </c>
      <c r="AA1626" s="193">
        <f>'Land use &amp; agriculture'!P35</f>
        <v>0</v>
      </c>
      <c r="AB1626" s="193">
        <f>'Land use &amp; agriculture'!Q35</f>
        <v>0</v>
      </c>
      <c r="AC1626" s="193">
        <f>'Land use &amp; agriculture'!R35</f>
        <v>0</v>
      </c>
      <c r="AD1626" s="193">
        <f>'Land use &amp; agriculture'!S35</f>
        <v>0</v>
      </c>
      <c r="AE1626" s="193" t="str">
        <f>'Land use &amp; agriculture'!T35</f>
        <v/>
      </c>
      <c r="AF1626" s="193" t="str">
        <f>'Land use &amp; agriculture'!U35</f>
        <v/>
      </c>
      <c r="AG1626" s="193" t="str">
        <f>'Land use &amp; agriculture'!V35</f>
        <v/>
      </c>
      <c r="AI1626" s="193">
        <f t="shared" si="38"/>
        <v>0</v>
      </c>
      <c r="AJ1626" s="193">
        <f t="shared" si="39"/>
        <v>0</v>
      </c>
    </row>
    <row r="1627" spans="2:36" x14ac:dyDescent="0.35">
      <c r="B1627" s="193" t="e">
        <f>"2024"&amp;MATCH(Totals!D1627,OrgType,0)&amp;"_"&amp;MATCH(Totals!E1627,Organisations,0)&amp;"_"&amp;LEFT(Totals!F1627,1)&amp;"_"&amp;LEFT(G1627,1)&amp;"_"&amp;COUNTIF($G$3:G1627,G1627)</f>
        <v>#N/A</v>
      </c>
      <c r="C1627" s="193">
        <v>2025</v>
      </c>
      <c r="D1627" s="193">
        <f>Introduction!$D$7</f>
        <v>0</v>
      </c>
      <c r="E1627" s="193">
        <f>Introduction!$D$8</f>
        <v>0</v>
      </c>
      <c r="F1627" s="193" t="s">
        <v>497</v>
      </c>
      <c r="G1627" s="193" t="s">
        <v>497</v>
      </c>
      <c r="H1627" s="194"/>
      <c r="I1627" s="194"/>
      <c r="J1627" s="193">
        <f>'Land use &amp; agriculture'!B36</f>
        <v>0</v>
      </c>
      <c r="K1627" s="194"/>
      <c r="L1627" s="194"/>
      <c r="M1627" s="193">
        <f>'Land use &amp; agriculture'!C36</f>
        <v>0</v>
      </c>
      <c r="N1627" s="193">
        <f>'Land use &amp; agriculture'!D36</f>
        <v>0</v>
      </c>
      <c r="O1627" s="194"/>
      <c r="P1627" s="193" t="str">
        <f>'Land use &amp; agriculture'!E36</f>
        <v>Tier 1</v>
      </c>
      <c r="Q1627" s="193" t="str">
        <f>'Land use &amp; agriculture'!F36</f>
        <v xml:space="preserve"> </v>
      </c>
      <c r="R1627" s="193">
        <f>'Land use &amp; agriculture'!G36</f>
        <v>0</v>
      </c>
      <c r="S1627" s="193" t="str">
        <f>'Land use &amp; agriculture'!H36</f>
        <v>ha</v>
      </c>
      <c r="T1627" s="193">
        <f>'Land use &amp; agriculture'!I36</f>
        <v>0</v>
      </c>
      <c r="U1627" s="193" t="str">
        <f>'Land use &amp; agriculture'!J36</f>
        <v>ha</v>
      </c>
      <c r="V1627" s="193" t="str">
        <f>'Land use &amp; agriculture'!K36</f>
        <v/>
      </c>
      <c r="W1627" s="193" t="str">
        <f>'Land use &amp; agriculture'!L36</f>
        <v/>
      </c>
      <c r="X1627" s="193">
        <f>'Land use &amp; agriculture'!M36</f>
        <v>0</v>
      </c>
      <c r="Y1627" s="193">
        <f>'Land use &amp; agriculture'!N36</f>
        <v>0</v>
      </c>
      <c r="Z1627" s="193">
        <f>'Land use &amp; agriculture'!O36</f>
        <v>0</v>
      </c>
      <c r="AA1627" s="193">
        <f>'Land use &amp; agriculture'!P36</f>
        <v>0</v>
      </c>
      <c r="AB1627" s="193">
        <f>'Land use &amp; agriculture'!Q36</f>
        <v>0</v>
      </c>
      <c r="AC1627" s="193">
        <f>'Land use &amp; agriculture'!R36</f>
        <v>0</v>
      </c>
      <c r="AD1627" s="193">
        <f>'Land use &amp; agriculture'!S36</f>
        <v>0</v>
      </c>
      <c r="AE1627" s="193" t="str">
        <f>'Land use &amp; agriculture'!T36</f>
        <v/>
      </c>
      <c r="AF1627" s="193" t="str">
        <f>'Land use &amp; agriculture'!U36</f>
        <v/>
      </c>
      <c r="AG1627" s="193" t="str">
        <f>'Land use &amp; agriculture'!V36</f>
        <v/>
      </c>
      <c r="AI1627" s="193">
        <f t="shared" ref="AI1627:AI1685" si="40">IF(AND(V1627="",R1627&lt;&gt;0),1,0)</f>
        <v>0</v>
      </c>
      <c r="AJ1627" s="193">
        <f t="shared" ref="AJ1627:AJ1685" si="41">IF(AND(W1627="",R1627&lt;&gt;0),1,0)</f>
        <v>0</v>
      </c>
    </row>
    <row r="1628" spans="2:36" x14ac:dyDescent="0.35">
      <c r="B1628" s="193" t="e">
        <f>"2024"&amp;MATCH(Totals!D1628,OrgType,0)&amp;"_"&amp;MATCH(Totals!E1628,Organisations,0)&amp;"_"&amp;LEFT(Totals!F1628,1)&amp;"_"&amp;LEFT(G1628,1)&amp;"_"&amp;COUNTIF($G$3:G1628,G1628)</f>
        <v>#N/A</v>
      </c>
      <c r="C1628" s="193">
        <v>2025</v>
      </c>
      <c r="D1628" s="193">
        <f>Introduction!$D$7</f>
        <v>0</v>
      </c>
      <c r="E1628" s="193">
        <f>Introduction!$D$8</f>
        <v>0</v>
      </c>
      <c r="F1628" s="193" t="s">
        <v>497</v>
      </c>
      <c r="G1628" s="193" t="s">
        <v>497</v>
      </c>
      <c r="H1628" s="194"/>
      <c r="I1628" s="194"/>
      <c r="J1628" s="193">
        <f>'Land use &amp; agriculture'!B37</f>
        <v>0</v>
      </c>
      <c r="K1628" s="194"/>
      <c r="L1628" s="194"/>
      <c r="M1628" s="193">
        <f>'Land use &amp; agriculture'!C37</f>
        <v>0</v>
      </c>
      <c r="N1628" s="193">
        <f>'Land use &amp; agriculture'!D37</f>
        <v>0</v>
      </c>
      <c r="O1628" s="194"/>
      <c r="P1628" s="193" t="str">
        <f>'Land use &amp; agriculture'!E37</f>
        <v>Tier 1</v>
      </c>
      <c r="Q1628" s="193" t="str">
        <f>'Land use &amp; agriculture'!F37</f>
        <v xml:space="preserve"> </v>
      </c>
      <c r="R1628" s="193">
        <f>'Land use &amp; agriculture'!G37</f>
        <v>0</v>
      </c>
      <c r="S1628" s="193" t="str">
        <f>'Land use &amp; agriculture'!H37</f>
        <v>ha</v>
      </c>
      <c r="T1628" s="193">
        <f>'Land use &amp; agriculture'!I37</f>
        <v>0</v>
      </c>
      <c r="U1628" s="193" t="str">
        <f>'Land use &amp; agriculture'!J37</f>
        <v>ha</v>
      </c>
      <c r="V1628" s="193" t="str">
        <f>'Land use &amp; agriculture'!K37</f>
        <v/>
      </c>
      <c r="W1628" s="193" t="str">
        <f>'Land use &amp; agriculture'!L37</f>
        <v/>
      </c>
      <c r="X1628" s="193">
        <f>'Land use &amp; agriculture'!M37</f>
        <v>0</v>
      </c>
      <c r="Y1628" s="193">
        <f>'Land use &amp; agriculture'!N37</f>
        <v>0</v>
      </c>
      <c r="Z1628" s="193">
        <f>'Land use &amp; agriculture'!O37</f>
        <v>0</v>
      </c>
      <c r="AA1628" s="193">
        <f>'Land use &amp; agriculture'!P37</f>
        <v>0</v>
      </c>
      <c r="AB1628" s="193">
        <f>'Land use &amp; agriculture'!Q37</f>
        <v>0</v>
      </c>
      <c r="AC1628" s="193">
        <f>'Land use &amp; agriculture'!R37</f>
        <v>0</v>
      </c>
      <c r="AD1628" s="193">
        <f>'Land use &amp; agriculture'!S37</f>
        <v>0</v>
      </c>
      <c r="AE1628" s="193" t="str">
        <f>'Land use &amp; agriculture'!T37</f>
        <v/>
      </c>
      <c r="AF1628" s="193" t="str">
        <f>'Land use &amp; agriculture'!U37</f>
        <v/>
      </c>
      <c r="AG1628" s="193" t="str">
        <f>'Land use &amp; agriculture'!V37</f>
        <v/>
      </c>
      <c r="AI1628" s="193">
        <f t="shared" si="40"/>
        <v>0</v>
      </c>
      <c r="AJ1628" s="193">
        <f t="shared" si="41"/>
        <v>0</v>
      </c>
    </row>
    <row r="1629" spans="2:36" x14ac:dyDescent="0.35">
      <c r="B1629" s="193" t="e">
        <f>"2024"&amp;MATCH(Totals!D1629,OrgType,0)&amp;"_"&amp;MATCH(Totals!E1629,Organisations,0)&amp;"_"&amp;LEFT(Totals!F1629,1)&amp;"_"&amp;LEFT(G1629,1)&amp;"_"&amp;COUNTIF($G$3:G1629,G1629)</f>
        <v>#N/A</v>
      </c>
      <c r="C1629" s="193">
        <v>2025</v>
      </c>
      <c r="D1629" s="193">
        <f>Introduction!$D$7</f>
        <v>0</v>
      </c>
      <c r="E1629" s="193">
        <f>Introduction!$D$8</f>
        <v>0</v>
      </c>
      <c r="F1629" s="193" t="s">
        <v>497</v>
      </c>
      <c r="G1629" s="193" t="s">
        <v>497</v>
      </c>
      <c r="H1629" s="194"/>
      <c r="I1629" s="194"/>
      <c r="J1629" s="193">
        <f>'Land use &amp; agriculture'!B38</f>
        <v>0</v>
      </c>
      <c r="K1629" s="194"/>
      <c r="L1629" s="194"/>
      <c r="M1629" s="193">
        <f>'Land use &amp; agriculture'!C38</f>
        <v>0</v>
      </c>
      <c r="N1629" s="193">
        <f>'Land use &amp; agriculture'!D38</f>
        <v>0</v>
      </c>
      <c r="O1629" s="194"/>
      <c r="P1629" s="193" t="str">
        <f>'Land use &amp; agriculture'!E38</f>
        <v>Tier 1</v>
      </c>
      <c r="Q1629" s="193" t="str">
        <f>'Land use &amp; agriculture'!F38</f>
        <v xml:space="preserve"> </v>
      </c>
      <c r="R1629" s="193">
        <f>'Land use &amp; agriculture'!G38</f>
        <v>0</v>
      </c>
      <c r="S1629" s="193" t="str">
        <f>'Land use &amp; agriculture'!H38</f>
        <v>ha</v>
      </c>
      <c r="T1629" s="193">
        <f>'Land use &amp; agriculture'!I38</f>
        <v>0</v>
      </c>
      <c r="U1629" s="193" t="str">
        <f>'Land use &amp; agriculture'!J38</f>
        <v>ha</v>
      </c>
      <c r="V1629" s="193" t="str">
        <f>'Land use &amp; agriculture'!K38</f>
        <v/>
      </c>
      <c r="W1629" s="193" t="str">
        <f>'Land use &amp; agriculture'!L38</f>
        <v/>
      </c>
      <c r="X1629" s="193">
        <f>'Land use &amp; agriculture'!M38</f>
        <v>0</v>
      </c>
      <c r="Y1629" s="193">
        <f>'Land use &amp; agriculture'!N38</f>
        <v>0</v>
      </c>
      <c r="Z1629" s="193">
        <f>'Land use &amp; agriculture'!O38</f>
        <v>0</v>
      </c>
      <c r="AA1629" s="193">
        <f>'Land use &amp; agriculture'!P38</f>
        <v>0</v>
      </c>
      <c r="AB1629" s="193">
        <f>'Land use &amp; agriculture'!Q38</f>
        <v>0</v>
      </c>
      <c r="AC1629" s="193">
        <f>'Land use &amp; agriculture'!R38</f>
        <v>0</v>
      </c>
      <c r="AD1629" s="193">
        <f>'Land use &amp; agriculture'!S38</f>
        <v>0</v>
      </c>
      <c r="AE1629" s="193" t="str">
        <f>'Land use &amp; agriculture'!T38</f>
        <v/>
      </c>
      <c r="AF1629" s="193" t="str">
        <f>'Land use &amp; agriculture'!U38</f>
        <v/>
      </c>
      <c r="AG1629" s="193" t="str">
        <f>'Land use &amp; agriculture'!V38</f>
        <v/>
      </c>
      <c r="AI1629" s="193">
        <f t="shared" si="40"/>
        <v>0</v>
      </c>
      <c r="AJ1629" s="193">
        <f t="shared" si="41"/>
        <v>0</v>
      </c>
    </row>
    <row r="1630" spans="2:36" x14ac:dyDescent="0.35">
      <c r="B1630" s="193" t="e">
        <f>"2024"&amp;MATCH(Totals!D1630,OrgType,0)&amp;"_"&amp;MATCH(Totals!E1630,Organisations,0)&amp;"_"&amp;LEFT(Totals!F1630,1)&amp;"_"&amp;LEFT(G1630,1)&amp;"_"&amp;COUNTIF($G$3:G1630,G1630)</f>
        <v>#N/A</v>
      </c>
      <c r="C1630" s="193">
        <v>2025</v>
      </c>
      <c r="D1630" s="193">
        <f>Introduction!$D$7</f>
        <v>0</v>
      </c>
      <c r="E1630" s="193">
        <f>Introduction!$D$8</f>
        <v>0</v>
      </c>
      <c r="F1630" s="193" t="s">
        <v>497</v>
      </c>
      <c r="G1630" s="193" t="s">
        <v>497</v>
      </c>
      <c r="H1630" s="194"/>
      <c r="I1630" s="194"/>
      <c r="J1630" s="193">
        <f>'Land use &amp; agriculture'!B39</f>
        <v>0</v>
      </c>
      <c r="K1630" s="194"/>
      <c r="L1630" s="194"/>
      <c r="M1630" s="193">
        <f>'Land use &amp; agriculture'!C39</f>
        <v>0</v>
      </c>
      <c r="N1630" s="193">
        <f>'Land use &amp; agriculture'!D39</f>
        <v>0</v>
      </c>
      <c r="O1630" s="194"/>
      <c r="P1630" s="193" t="str">
        <f>'Land use &amp; agriculture'!E39</f>
        <v>Tier 1</v>
      </c>
      <c r="Q1630" s="193" t="str">
        <f>'Land use &amp; agriculture'!F39</f>
        <v xml:space="preserve"> </v>
      </c>
      <c r="R1630" s="193">
        <f>'Land use &amp; agriculture'!G39</f>
        <v>0</v>
      </c>
      <c r="S1630" s="193" t="str">
        <f>'Land use &amp; agriculture'!H39</f>
        <v>ha</v>
      </c>
      <c r="T1630" s="193">
        <f>'Land use &amp; agriculture'!I39</f>
        <v>0</v>
      </c>
      <c r="U1630" s="193" t="str">
        <f>'Land use &amp; agriculture'!J39</f>
        <v>ha</v>
      </c>
      <c r="V1630" s="193" t="str">
        <f>'Land use &amp; agriculture'!K39</f>
        <v/>
      </c>
      <c r="W1630" s="193" t="str">
        <f>'Land use &amp; agriculture'!L39</f>
        <v/>
      </c>
      <c r="X1630" s="193">
        <f>'Land use &amp; agriculture'!M39</f>
        <v>0</v>
      </c>
      <c r="Y1630" s="193">
        <f>'Land use &amp; agriculture'!N39</f>
        <v>0</v>
      </c>
      <c r="Z1630" s="193">
        <f>'Land use &amp; agriculture'!O39</f>
        <v>0</v>
      </c>
      <c r="AA1630" s="193">
        <f>'Land use &amp; agriculture'!P39</f>
        <v>0</v>
      </c>
      <c r="AB1630" s="193">
        <f>'Land use &amp; agriculture'!Q39</f>
        <v>0</v>
      </c>
      <c r="AC1630" s="193">
        <f>'Land use &amp; agriculture'!R39</f>
        <v>0</v>
      </c>
      <c r="AD1630" s="193">
        <f>'Land use &amp; agriculture'!S39</f>
        <v>0</v>
      </c>
      <c r="AE1630" s="193" t="str">
        <f>'Land use &amp; agriculture'!T39</f>
        <v/>
      </c>
      <c r="AF1630" s="193" t="str">
        <f>'Land use &amp; agriculture'!U39</f>
        <v/>
      </c>
      <c r="AG1630" s="193" t="str">
        <f>'Land use &amp; agriculture'!V39</f>
        <v/>
      </c>
      <c r="AI1630" s="193">
        <f t="shared" si="40"/>
        <v>0</v>
      </c>
      <c r="AJ1630" s="193">
        <f t="shared" si="41"/>
        <v>0</v>
      </c>
    </row>
    <row r="1631" spans="2:36" x14ac:dyDescent="0.35">
      <c r="B1631" s="193" t="e">
        <f>"2024"&amp;MATCH(Totals!D1631,OrgType,0)&amp;"_"&amp;MATCH(Totals!E1631,Organisations,0)&amp;"_"&amp;LEFT(Totals!F1631,1)&amp;"_"&amp;LEFT(G1631,1)&amp;"_"&amp;COUNTIF($G$3:G1631,G1631)</f>
        <v>#N/A</v>
      </c>
      <c r="C1631" s="193">
        <v>2025</v>
      </c>
      <c r="D1631" s="193">
        <f>Introduction!$D$7</f>
        <v>0</v>
      </c>
      <c r="E1631" s="193">
        <f>Introduction!$D$8</f>
        <v>0</v>
      </c>
      <c r="F1631" s="193" t="s">
        <v>497</v>
      </c>
      <c r="G1631" s="193" t="s">
        <v>497</v>
      </c>
      <c r="H1631" s="194"/>
      <c r="I1631" s="194"/>
      <c r="J1631" s="193">
        <f>'Land use &amp; agriculture'!B40</f>
        <v>0</v>
      </c>
      <c r="K1631" s="194"/>
      <c r="L1631" s="194"/>
      <c r="M1631" s="193">
        <f>'Land use &amp; agriculture'!C40</f>
        <v>0</v>
      </c>
      <c r="N1631" s="193">
        <f>'Land use &amp; agriculture'!D40</f>
        <v>0</v>
      </c>
      <c r="O1631" s="194"/>
      <c r="P1631" s="193" t="str">
        <f>'Land use &amp; agriculture'!E40</f>
        <v>Tier 1</v>
      </c>
      <c r="Q1631" s="193" t="str">
        <f>'Land use &amp; agriculture'!F40</f>
        <v xml:space="preserve"> </v>
      </c>
      <c r="R1631" s="193">
        <f>'Land use &amp; agriculture'!G40</f>
        <v>0</v>
      </c>
      <c r="S1631" s="193" t="str">
        <f>'Land use &amp; agriculture'!H40</f>
        <v>ha</v>
      </c>
      <c r="T1631" s="193">
        <f>'Land use &amp; agriculture'!I40</f>
        <v>0</v>
      </c>
      <c r="U1631" s="193" t="str">
        <f>'Land use &amp; agriculture'!J40</f>
        <v>ha</v>
      </c>
      <c r="V1631" s="193" t="str">
        <f>'Land use &amp; agriculture'!K40</f>
        <v/>
      </c>
      <c r="W1631" s="193" t="str">
        <f>'Land use &amp; agriculture'!L40</f>
        <v/>
      </c>
      <c r="X1631" s="193">
        <f>'Land use &amp; agriculture'!M40</f>
        <v>0</v>
      </c>
      <c r="Y1631" s="193">
        <f>'Land use &amp; agriculture'!N40</f>
        <v>0</v>
      </c>
      <c r="Z1631" s="193">
        <f>'Land use &amp; agriculture'!O40</f>
        <v>0</v>
      </c>
      <c r="AA1631" s="193">
        <f>'Land use &amp; agriculture'!P40</f>
        <v>0</v>
      </c>
      <c r="AB1631" s="193">
        <f>'Land use &amp; agriculture'!Q40</f>
        <v>0</v>
      </c>
      <c r="AC1631" s="193">
        <f>'Land use &amp; agriculture'!R40</f>
        <v>0</v>
      </c>
      <c r="AD1631" s="193">
        <f>'Land use &amp; agriculture'!S40</f>
        <v>0</v>
      </c>
      <c r="AE1631" s="193" t="str">
        <f>'Land use &amp; agriculture'!T40</f>
        <v/>
      </c>
      <c r="AF1631" s="193" t="str">
        <f>'Land use &amp; agriculture'!U40</f>
        <v/>
      </c>
      <c r="AG1631" s="193" t="str">
        <f>'Land use &amp; agriculture'!V40</f>
        <v/>
      </c>
      <c r="AI1631" s="193">
        <f t="shared" si="40"/>
        <v>0</v>
      </c>
      <c r="AJ1631" s="193">
        <f t="shared" si="41"/>
        <v>0</v>
      </c>
    </row>
    <row r="1632" spans="2:36" x14ac:dyDescent="0.35">
      <c r="B1632" s="193" t="e">
        <f>"2024"&amp;MATCH(Totals!D1632,OrgType,0)&amp;"_"&amp;MATCH(Totals!E1632,Organisations,0)&amp;"_"&amp;LEFT(Totals!F1632,1)&amp;"_"&amp;LEFT(G1632,1)&amp;"_"&amp;COUNTIF($G$3:G1632,G1632)</f>
        <v>#N/A</v>
      </c>
      <c r="C1632" s="193">
        <v>2025</v>
      </c>
      <c r="D1632" s="193">
        <f>Introduction!$D$7</f>
        <v>0</v>
      </c>
      <c r="E1632" s="193">
        <f>Introduction!$D$8</f>
        <v>0</v>
      </c>
      <c r="F1632" s="193" t="s">
        <v>497</v>
      </c>
      <c r="G1632" s="193" t="s">
        <v>497</v>
      </c>
      <c r="H1632" s="194"/>
      <c r="I1632" s="194"/>
      <c r="J1632" s="193">
        <f>'Land use &amp; agriculture'!B41</f>
        <v>0</v>
      </c>
      <c r="K1632" s="194"/>
      <c r="L1632" s="194"/>
      <c r="M1632" s="193">
        <f>'Land use &amp; agriculture'!C41</f>
        <v>0</v>
      </c>
      <c r="N1632" s="193">
        <f>'Land use &amp; agriculture'!D41</f>
        <v>0</v>
      </c>
      <c r="O1632" s="194"/>
      <c r="P1632" s="193" t="str">
        <f>'Land use &amp; agriculture'!E41</f>
        <v>Tier 1</v>
      </c>
      <c r="Q1632" s="193" t="str">
        <f>'Land use &amp; agriculture'!F41</f>
        <v xml:space="preserve"> </v>
      </c>
      <c r="R1632" s="193">
        <f>'Land use &amp; agriculture'!G41</f>
        <v>0</v>
      </c>
      <c r="S1632" s="193" t="str">
        <f>'Land use &amp; agriculture'!H41</f>
        <v>ha</v>
      </c>
      <c r="T1632" s="193">
        <f>'Land use &amp; agriculture'!I41</f>
        <v>0</v>
      </c>
      <c r="U1632" s="193" t="str">
        <f>'Land use &amp; agriculture'!J41</f>
        <v>ha</v>
      </c>
      <c r="V1632" s="193" t="str">
        <f>'Land use &amp; agriculture'!K41</f>
        <v/>
      </c>
      <c r="W1632" s="193" t="str">
        <f>'Land use &amp; agriculture'!L41</f>
        <v/>
      </c>
      <c r="X1632" s="193">
        <f>'Land use &amp; agriculture'!M41</f>
        <v>0</v>
      </c>
      <c r="Y1632" s="193">
        <f>'Land use &amp; agriculture'!N41</f>
        <v>0</v>
      </c>
      <c r="Z1632" s="193">
        <f>'Land use &amp; agriculture'!O41</f>
        <v>0</v>
      </c>
      <c r="AA1632" s="193">
        <f>'Land use &amp; agriculture'!P41</f>
        <v>0</v>
      </c>
      <c r="AB1632" s="193">
        <f>'Land use &amp; agriculture'!Q41</f>
        <v>0</v>
      </c>
      <c r="AC1632" s="193">
        <f>'Land use &amp; agriculture'!R41</f>
        <v>0</v>
      </c>
      <c r="AD1632" s="193">
        <f>'Land use &amp; agriculture'!S41</f>
        <v>0</v>
      </c>
      <c r="AE1632" s="193" t="str">
        <f>'Land use &amp; agriculture'!T41</f>
        <v/>
      </c>
      <c r="AF1632" s="193" t="str">
        <f>'Land use &amp; agriculture'!U41</f>
        <v/>
      </c>
      <c r="AG1632" s="193" t="str">
        <f>'Land use &amp; agriculture'!V41</f>
        <v/>
      </c>
      <c r="AI1632" s="193">
        <f t="shared" si="40"/>
        <v>0</v>
      </c>
      <c r="AJ1632" s="193">
        <f t="shared" si="41"/>
        <v>0</v>
      </c>
    </row>
    <row r="1633" spans="2:36" x14ac:dyDescent="0.35">
      <c r="B1633" s="193" t="e">
        <f>"2024"&amp;MATCH(Totals!D1633,OrgType,0)&amp;"_"&amp;MATCH(Totals!E1633,Organisations,0)&amp;"_"&amp;LEFT(Totals!F1633,1)&amp;"_"&amp;LEFT(G1633,1)&amp;"_"&amp;COUNTIF($G$3:G1633,G1633)</f>
        <v>#N/A</v>
      </c>
      <c r="C1633" s="193">
        <v>2025</v>
      </c>
      <c r="D1633" s="193">
        <f>Introduction!$D$7</f>
        <v>0</v>
      </c>
      <c r="E1633" s="193">
        <f>Introduction!$D$8</f>
        <v>0</v>
      </c>
      <c r="F1633" s="193" t="s">
        <v>497</v>
      </c>
      <c r="G1633" s="193" t="s">
        <v>497</v>
      </c>
      <c r="H1633" s="194"/>
      <c r="I1633" s="194"/>
      <c r="J1633" s="193">
        <f>'Land use &amp; agriculture'!B42</f>
        <v>0</v>
      </c>
      <c r="K1633" s="194"/>
      <c r="L1633" s="194"/>
      <c r="M1633" s="193">
        <f>'Land use &amp; agriculture'!C42</f>
        <v>0</v>
      </c>
      <c r="N1633" s="193">
        <f>'Land use &amp; agriculture'!D42</f>
        <v>0</v>
      </c>
      <c r="O1633" s="194"/>
      <c r="P1633" s="193" t="str">
        <f>'Land use &amp; agriculture'!E42</f>
        <v>Tier 1</v>
      </c>
      <c r="Q1633" s="193" t="str">
        <f>'Land use &amp; agriculture'!F42</f>
        <v xml:space="preserve"> </v>
      </c>
      <c r="R1633" s="193">
        <f>'Land use &amp; agriculture'!G42</f>
        <v>0</v>
      </c>
      <c r="S1633" s="193" t="str">
        <f>'Land use &amp; agriculture'!H42</f>
        <v>ha</v>
      </c>
      <c r="T1633" s="193">
        <f>'Land use &amp; agriculture'!I42</f>
        <v>0</v>
      </c>
      <c r="U1633" s="193" t="str">
        <f>'Land use &amp; agriculture'!J42</f>
        <v>ha</v>
      </c>
      <c r="V1633" s="193" t="str">
        <f>'Land use &amp; agriculture'!K42</f>
        <v/>
      </c>
      <c r="W1633" s="193" t="str">
        <f>'Land use &amp; agriculture'!L42</f>
        <v/>
      </c>
      <c r="X1633" s="193">
        <f>'Land use &amp; agriculture'!M42</f>
        <v>0</v>
      </c>
      <c r="Y1633" s="193">
        <f>'Land use &amp; agriculture'!N42</f>
        <v>0</v>
      </c>
      <c r="Z1633" s="193">
        <f>'Land use &amp; agriculture'!O42</f>
        <v>0</v>
      </c>
      <c r="AA1633" s="193">
        <f>'Land use &amp; agriculture'!P42</f>
        <v>0</v>
      </c>
      <c r="AB1633" s="193">
        <f>'Land use &amp; agriculture'!Q42</f>
        <v>0</v>
      </c>
      <c r="AC1633" s="193">
        <f>'Land use &amp; agriculture'!R42</f>
        <v>0</v>
      </c>
      <c r="AD1633" s="193">
        <f>'Land use &amp; agriculture'!S42</f>
        <v>0</v>
      </c>
      <c r="AE1633" s="193" t="str">
        <f>'Land use &amp; agriculture'!T42</f>
        <v/>
      </c>
      <c r="AF1633" s="193" t="str">
        <f>'Land use &amp; agriculture'!U42</f>
        <v/>
      </c>
      <c r="AG1633" s="193" t="str">
        <f>'Land use &amp; agriculture'!V42</f>
        <v/>
      </c>
      <c r="AI1633" s="193">
        <f t="shared" si="40"/>
        <v>0</v>
      </c>
      <c r="AJ1633" s="193">
        <f t="shared" si="41"/>
        <v>0</v>
      </c>
    </row>
    <row r="1634" spans="2:36" x14ac:dyDescent="0.35">
      <c r="B1634" s="193" t="e">
        <f>"2024"&amp;MATCH(Totals!D1634,OrgType,0)&amp;"_"&amp;MATCH(Totals!E1634,Organisations,0)&amp;"_"&amp;LEFT(Totals!F1634,1)&amp;"_"&amp;LEFT(G1634,1)&amp;"_"&amp;COUNTIF($G$3:G1634,G1634)</f>
        <v>#N/A</v>
      </c>
      <c r="C1634" s="193">
        <v>2025</v>
      </c>
      <c r="D1634" s="193">
        <f>Introduction!$D$7</f>
        <v>0</v>
      </c>
      <c r="E1634" s="193">
        <f>Introduction!$D$8</f>
        <v>0</v>
      </c>
      <c r="F1634" s="193" t="s">
        <v>497</v>
      </c>
      <c r="G1634" s="193" t="s">
        <v>497</v>
      </c>
      <c r="H1634" s="194"/>
      <c r="I1634" s="194"/>
      <c r="J1634" s="193">
        <f>'Land use &amp; agriculture'!B43</f>
        <v>0</v>
      </c>
      <c r="K1634" s="194"/>
      <c r="L1634" s="194"/>
      <c r="M1634" s="193">
        <f>'Land use &amp; agriculture'!C43</f>
        <v>0</v>
      </c>
      <c r="N1634" s="193">
        <f>'Land use &amp; agriculture'!D43</f>
        <v>0</v>
      </c>
      <c r="O1634" s="194"/>
      <c r="P1634" s="193" t="str">
        <f>'Land use &amp; agriculture'!E43</f>
        <v>Tier 1</v>
      </c>
      <c r="Q1634" s="193" t="str">
        <f>'Land use &amp; agriculture'!F43</f>
        <v xml:space="preserve"> </v>
      </c>
      <c r="R1634" s="193">
        <f>'Land use &amp; agriculture'!G43</f>
        <v>0</v>
      </c>
      <c r="S1634" s="193" t="str">
        <f>'Land use &amp; agriculture'!H43</f>
        <v>ha</v>
      </c>
      <c r="T1634" s="193">
        <f>'Land use &amp; agriculture'!I43</f>
        <v>0</v>
      </c>
      <c r="U1634" s="193" t="str">
        <f>'Land use &amp; agriculture'!J43</f>
        <v>ha</v>
      </c>
      <c r="V1634" s="193" t="str">
        <f>'Land use &amp; agriculture'!K43</f>
        <v/>
      </c>
      <c r="W1634" s="193" t="str">
        <f>'Land use &amp; agriculture'!L43</f>
        <v/>
      </c>
      <c r="X1634" s="193">
        <f>'Land use &amp; agriculture'!M43</f>
        <v>0</v>
      </c>
      <c r="Y1634" s="193">
        <f>'Land use &amp; agriculture'!N43</f>
        <v>0</v>
      </c>
      <c r="Z1634" s="193">
        <f>'Land use &amp; agriculture'!O43</f>
        <v>0</v>
      </c>
      <c r="AA1634" s="193">
        <f>'Land use &amp; agriculture'!P43</f>
        <v>0</v>
      </c>
      <c r="AB1634" s="193">
        <f>'Land use &amp; agriculture'!Q43</f>
        <v>0</v>
      </c>
      <c r="AC1634" s="193">
        <f>'Land use &amp; agriculture'!R43</f>
        <v>0</v>
      </c>
      <c r="AD1634" s="193">
        <f>'Land use &amp; agriculture'!S43</f>
        <v>0</v>
      </c>
      <c r="AE1634" s="193" t="str">
        <f>'Land use &amp; agriculture'!T43</f>
        <v/>
      </c>
      <c r="AF1634" s="193" t="str">
        <f>'Land use &amp; agriculture'!U43</f>
        <v/>
      </c>
      <c r="AG1634" s="193" t="str">
        <f>'Land use &amp; agriculture'!V43</f>
        <v/>
      </c>
      <c r="AI1634" s="193">
        <f t="shared" si="40"/>
        <v>0</v>
      </c>
      <c r="AJ1634" s="193">
        <f t="shared" si="41"/>
        <v>0</v>
      </c>
    </row>
    <row r="1635" spans="2:36" x14ac:dyDescent="0.35">
      <c r="B1635" s="193" t="e">
        <f>"2024"&amp;MATCH(Totals!D1635,OrgType,0)&amp;"_"&amp;MATCH(Totals!E1635,Organisations,0)&amp;"_"&amp;LEFT(Totals!F1635,1)&amp;"_"&amp;LEFT(G1635,1)&amp;"_"&amp;COUNTIF($G$3:G1635,G1635)</f>
        <v>#N/A</v>
      </c>
      <c r="C1635" s="193">
        <v>2025</v>
      </c>
      <c r="D1635" s="193">
        <f>Introduction!$D$7</f>
        <v>0</v>
      </c>
      <c r="E1635" s="193">
        <f>Introduction!$D$8</f>
        <v>0</v>
      </c>
      <c r="F1635" s="193" t="s">
        <v>497</v>
      </c>
      <c r="G1635" s="193" t="s">
        <v>497</v>
      </c>
      <c r="H1635" s="194"/>
      <c r="I1635" s="194"/>
      <c r="J1635" s="193">
        <f>'Land use &amp; agriculture'!B44</f>
        <v>0</v>
      </c>
      <c r="K1635" s="194"/>
      <c r="L1635" s="194"/>
      <c r="M1635" s="193">
        <f>'Land use &amp; agriculture'!C44</f>
        <v>0</v>
      </c>
      <c r="N1635" s="193">
        <f>'Land use &amp; agriculture'!D44</f>
        <v>0</v>
      </c>
      <c r="O1635" s="194"/>
      <c r="P1635" s="193" t="str">
        <f>'Land use &amp; agriculture'!E44</f>
        <v>Tier 1</v>
      </c>
      <c r="Q1635" s="193" t="str">
        <f>'Land use &amp; agriculture'!F44</f>
        <v xml:space="preserve"> </v>
      </c>
      <c r="R1635" s="193">
        <f>'Land use &amp; agriculture'!G44</f>
        <v>0</v>
      </c>
      <c r="S1635" s="193" t="str">
        <f>'Land use &amp; agriculture'!H44</f>
        <v>ha</v>
      </c>
      <c r="T1635" s="193">
        <f>'Land use &amp; agriculture'!I44</f>
        <v>0</v>
      </c>
      <c r="U1635" s="193" t="str">
        <f>'Land use &amp; agriculture'!J44</f>
        <v>ha</v>
      </c>
      <c r="V1635" s="193" t="str">
        <f>'Land use &amp; agriculture'!K44</f>
        <v/>
      </c>
      <c r="W1635" s="193" t="str">
        <f>'Land use &amp; agriculture'!L44</f>
        <v/>
      </c>
      <c r="X1635" s="193">
        <f>'Land use &amp; agriculture'!M44</f>
        <v>0</v>
      </c>
      <c r="Y1635" s="193">
        <f>'Land use &amp; agriculture'!N44</f>
        <v>0</v>
      </c>
      <c r="Z1635" s="193">
        <f>'Land use &amp; agriculture'!O44</f>
        <v>0</v>
      </c>
      <c r="AA1635" s="193">
        <f>'Land use &amp; agriculture'!P44</f>
        <v>0</v>
      </c>
      <c r="AB1635" s="193">
        <f>'Land use &amp; agriculture'!Q44</f>
        <v>0</v>
      </c>
      <c r="AC1635" s="193">
        <f>'Land use &amp; agriculture'!R44</f>
        <v>0</v>
      </c>
      <c r="AD1635" s="193">
        <f>'Land use &amp; agriculture'!S44</f>
        <v>0</v>
      </c>
      <c r="AE1635" s="193" t="str">
        <f>'Land use &amp; agriculture'!T44</f>
        <v/>
      </c>
      <c r="AF1635" s="193" t="str">
        <f>'Land use &amp; agriculture'!U44</f>
        <v/>
      </c>
      <c r="AG1635" s="193" t="str">
        <f>'Land use &amp; agriculture'!V44</f>
        <v/>
      </c>
      <c r="AI1635" s="193">
        <f t="shared" si="40"/>
        <v>0</v>
      </c>
      <c r="AJ1635" s="193">
        <f t="shared" si="41"/>
        <v>0</v>
      </c>
    </row>
    <row r="1636" spans="2:36" x14ac:dyDescent="0.35">
      <c r="B1636" s="193" t="e">
        <f>"2024"&amp;MATCH(Totals!D1636,OrgType,0)&amp;"_"&amp;MATCH(Totals!E1636,Organisations,0)&amp;"_"&amp;LEFT(Totals!F1636,1)&amp;"_"&amp;LEFT(G1636,1)&amp;"_"&amp;COUNTIF($G$3:G1636,G1636)</f>
        <v>#N/A</v>
      </c>
      <c r="C1636" s="193">
        <v>2025</v>
      </c>
      <c r="D1636" s="193">
        <f>Introduction!$D$7</f>
        <v>0</v>
      </c>
      <c r="E1636" s="193">
        <f>Introduction!$D$8</f>
        <v>0</v>
      </c>
      <c r="F1636" s="193" t="s">
        <v>497</v>
      </c>
      <c r="G1636" s="193" t="s">
        <v>497</v>
      </c>
      <c r="H1636" s="194"/>
      <c r="I1636" s="194"/>
      <c r="J1636" s="193">
        <f>'Land use &amp; agriculture'!B45</f>
        <v>0</v>
      </c>
      <c r="K1636" s="194"/>
      <c r="L1636" s="194"/>
      <c r="M1636" s="193">
        <f>'Land use &amp; agriculture'!C45</f>
        <v>0</v>
      </c>
      <c r="N1636" s="193">
        <f>'Land use &amp; agriculture'!D45</f>
        <v>0</v>
      </c>
      <c r="O1636" s="194"/>
      <c r="P1636" s="193" t="str">
        <f>'Land use &amp; agriculture'!E45</f>
        <v>Tier 1</v>
      </c>
      <c r="Q1636" s="193" t="str">
        <f>'Land use &amp; agriculture'!F45</f>
        <v xml:space="preserve"> </v>
      </c>
      <c r="R1636" s="193">
        <f>'Land use &amp; agriculture'!G45</f>
        <v>0</v>
      </c>
      <c r="S1636" s="193" t="str">
        <f>'Land use &amp; agriculture'!H45</f>
        <v>ha</v>
      </c>
      <c r="T1636" s="193">
        <f>'Land use &amp; agriculture'!I45</f>
        <v>0</v>
      </c>
      <c r="U1636" s="193" t="str">
        <f>'Land use &amp; agriculture'!J45</f>
        <v>ha</v>
      </c>
      <c r="V1636" s="193" t="str">
        <f>'Land use &amp; agriculture'!K45</f>
        <v/>
      </c>
      <c r="W1636" s="193" t="str">
        <f>'Land use &amp; agriculture'!L45</f>
        <v/>
      </c>
      <c r="X1636" s="193">
        <f>'Land use &amp; agriculture'!M45</f>
        <v>0</v>
      </c>
      <c r="Y1636" s="193">
        <f>'Land use &amp; agriculture'!N45</f>
        <v>0</v>
      </c>
      <c r="Z1636" s="193">
        <f>'Land use &amp; agriculture'!O45</f>
        <v>0</v>
      </c>
      <c r="AA1636" s="193">
        <f>'Land use &amp; agriculture'!P45</f>
        <v>0</v>
      </c>
      <c r="AB1636" s="193">
        <f>'Land use &amp; agriculture'!Q45</f>
        <v>0</v>
      </c>
      <c r="AC1636" s="193">
        <f>'Land use &amp; agriculture'!R45</f>
        <v>0</v>
      </c>
      <c r="AD1636" s="193">
        <f>'Land use &amp; agriculture'!S45</f>
        <v>0</v>
      </c>
      <c r="AE1636" s="193" t="str">
        <f>'Land use &amp; agriculture'!T45</f>
        <v/>
      </c>
      <c r="AF1636" s="193" t="str">
        <f>'Land use &amp; agriculture'!U45</f>
        <v/>
      </c>
      <c r="AG1636" s="193" t="str">
        <f>'Land use &amp; agriculture'!V45</f>
        <v/>
      </c>
      <c r="AI1636" s="193">
        <f t="shared" si="40"/>
        <v>0</v>
      </c>
      <c r="AJ1636" s="193">
        <f t="shared" si="41"/>
        <v>0</v>
      </c>
    </row>
    <row r="1637" spans="2:36" x14ac:dyDescent="0.35">
      <c r="B1637" s="193" t="e">
        <f>"2024"&amp;MATCH(Totals!D1637,OrgType,0)&amp;"_"&amp;MATCH(Totals!E1637,Organisations,0)&amp;"_"&amp;LEFT(Totals!F1637,1)&amp;"_"&amp;LEFT(G1637,1)&amp;"_"&amp;COUNTIF($G$3:G1637,G1637)</f>
        <v>#N/A</v>
      </c>
      <c r="C1637" s="193">
        <v>2025</v>
      </c>
      <c r="D1637" s="193">
        <f>Introduction!$D$7</f>
        <v>0</v>
      </c>
      <c r="E1637" s="193">
        <f>Introduction!$D$8</f>
        <v>0</v>
      </c>
      <c r="F1637" s="193" t="s">
        <v>497</v>
      </c>
      <c r="G1637" s="193" t="s">
        <v>497</v>
      </c>
      <c r="H1637" s="194"/>
      <c r="I1637" s="194"/>
      <c r="J1637" s="193">
        <f>'Land use &amp; agriculture'!B46</f>
        <v>0</v>
      </c>
      <c r="K1637" s="194"/>
      <c r="L1637" s="194"/>
      <c r="M1637" s="193">
        <f>'Land use &amp; agriculture'!C46</f>
        <v>0</v>
      </c>
      <c r="N1637" s="193">
        <f>'Land use &amp; agriculture'!D46</f>
        <v>0</v>
      </c>
      <c r="O1637" s="194"/>
      <c r="P1637" s="193" t="str">
        <f>'Land use &amp; agriculture'!E46</f>
        <v>Tier 1</v>
      </c>
      <c r="Q1637" s="193" t="str">
        <f>'Land use &amp; agriculture'!F46</f>
        <v xml:space="preserve"> </v>
      </c>
      <c r="R1637" s="193">
        <f>'Land use &amp; agriculture'!G46</f>
        <v>0</v>
      </c>
      <c r="S1637" s="193" t="str">
        <f>'Land use &amp; agriculture'!H46</f>
        <v>ha</v>
      </c>
      <c r="T1637" s="193">
        <f>'Land use &amp; agriculture'!I46</f>
        <v>0</v>
      </c>
      <c r="U1637" s="193" t="str">
        <f>'Land use &amp; agriculture'!J46</f>
        <v>ha</v>
      </c>
      <c r="V1637" s="193" t="str">
        <f>'Land use &amp; agriculture'!K46</f>
        <v/>
      </c>
      <c r="W1637" s="193" t="str">
        <f>'Land use &amp; agriculture'!L46</f>
        <v/>
      </c>
      <c r="X1637" s="193">
        <f>'Land use &amp; agriculture'!M46</f>
        <v>0</v>
      </c>
      <c r="Y1637" s="193">
        <f>'Land use &amp; agriculture'!N46</f>
        <v>0</v>
      </c>
      <c r="Z1637" s="193">
        <f>'Land use &amp; agriculture'!O46</f>
        <v>0</v>
      </c>
      <c r="AA1637" s="193">
        <f>'Land use &amp; agriculture'!P46</f>
        <v>0</v>
      </c>
      <c r="AB1637" s="193">
        <f>'Land use &amp; agriculture'!Q46</f>
        <v>0</v>
      </c>
      <c r="AC1637" s="193">
        <f>'Land use &amp; agriculture'!R46</f>
        <v>0</v>
      </c>
      <c r="AD1637" s="193">
        <f>'Land use &amp; agriculture'!S46</f>
        <v>0</v>
      </c>
      <c r="AE1637" s="193" t="str">
        <f>'Land use &amp; agriculture'!T46</f>
        <v/>
      </c>
      <c r="AF1637" s="193" t="str">
        <f>'Land use &amp; agriculture'!U46</f>
        <v/>
      </c>
      <c r="AG1637" s="193" t="str">
        <f>'Land use &amp; agriculture'!V46</f>
        <v/>
      </c>
      <c r="AI1637" s="193">
        <f t="shared" si="40"/>
        <v>0</v>
      </c>
      <c r="AJ1637" s="193">
        <f t="shared" si="41"/>
        <v>0</v>
      </c>
    </row>
    <row r="1638" spans="2:36" x14ac:dyDescent="0.35">
      <c r="B1638" s="193" t="e">
        <f>"2024"&amp;MATCH(Totals!D1638,OrgType,0)&amp;"_"&amp;MATCH(Totals!E1638,Organisations,0)&amp;"_"&amp;LEFT(Totals!F1638,1)&amp;"_"&amp;LEFT(G1638,1)&amp;"_"&amp;COUNTIF($G$3:G1638,G1638)</f>
        <v>#N/A</v>
      </c>
      <c r="C1638" s="193">
        <v>2025</v>
      </c>
      <c r="D1638" s="193">
        <f>Introduction!$D$7</f>
        <v>0</v>
      </c>
      <c r="E1638" s="193">
        <f>Introduction!$D$8</f>
        <v>0</v>
      </c>
      <c r="F1638" s="193" t="s">
        <v>497</v>
      </c>
      <c r="G1638" s="193" t="s">
        <v>497</v>
      </c>
      <c r="H1638" s="194"/>
      <c r="I1638" s="194"/>
      <c r="J1638" s="193">
        <f>'Land use &amp; agriculture'!B47</f>
        <v>0</v>
      </c>
      <c r="K1638" s="194"/>
      <c r="L1638" s="194"/>
      <c r="M1638" s="193">
        <f>'Land use &amp; agriculture'!C47</f>
        <v>0</v>
      </c>
      <c r="N1638" s="193">
        <f>'Land use &amp; agriculture'!D47</f>
        <v>0</v>
      </c>
      <c r="O1638" s="194"/>
      <c r="P1638" s="193" t="str">
        <f>'Land use &amp; agriculture'!E47</f>
        <v>Tier 1</v>
      </c>
      <c r="Q1638" s="193" t="str">
        <f>'Land use &amp; agriculture'!F47</f>
        <v xml:space="preserve"> </v>
      </c>
      <c r="R1638" s="193">
        <f>'Land use &amp; agriculture'!G47</f>
        <v>0</v>
      </c>
      <c r="S1638" s="193" t="str">
        <f>'Land use &amp; agriculture'!H47</f>
        <v>ha</v>
      </c>
      <c r="T1638" s="193">
        <f>'Land use &amp; agriculture'!I47</f>
        <v>0</v>
      </c>
      <c r="U1638" s="193" t="str">
        <f>'Land use &amp; agriculture'!J47</f>
        <v>ha</v>
      </c>
      <c r="V1638" s="193" t="str">
        <f>'Land use &amp; agriculture'!K47</f>
        <v/>
      </c>
      <c r="W1638" s="193" t="str">
        <f>'Land use &amp; agriculture'!L47</f>
        <v/>
      </c>
      <c r="X1638" s="193">
        <f>'Land use &amp; agriculture'!M47</f>
        <v>0</v>
      </c>
      <c r="Y1638" s="193">
        <f>'Land use &amp; agriculture'!N47</f>
        <v>0</v>
      </c>
      <c r="Z1638" s="193">
        <f>'Land use &amp; agriculture'!O47</f>
        <v>0</v>
      </c>
      <c r="AA1638" s="193">
        <f>'Land use &amp; agriculture'!P47</f>
        <v>0</v>
      </c>
      <c r="AB1638" s="193">
        <f>'Land use &amp; agriculture'!Q47</f>
        <v>0</v>
      </c>
      <c r="AC1638" s="193">
        <f>'Land use &amp; agriculture'!R47</f>
        <v>0</v>
      </c>
      <c r="AD1638" s="193">
        <f>'Land use &amp; agriculture'!S47</f>
        <v>0</v>
      </c>
      <c r="AE1638" s="193" t="str">
        <f>'Land use &amp; agriculture'!T47</f>
        <v/>
      </c>
      <c r="AF1638" s="193" t="str">
        <f>'Land use &amp; agriculture'!U47</f>
        <v/>
      </c>
      <c r="AG1638" s="193" t="str">
        <f>'Land use &amp; agriculture'!V47</f>
        <v/>
      </c>
      <c r="AI1638" s="193">
        <f t="shared" si="40"/>
        <v>0</v>
      </c>
      <c r="AJ1638" s="193">
        <f t="shared" si="41"/>
        <v>0</v>
      </c>
    </row>
    <row r="1639" spans="2:36" x14ac:dyDescent="0.35">
      <c r="B1639" s="193" t="e">
        <f>"2024"&amp;MATCH(Totals!D1639,OrgType,0)&amp;"_"&amp;MATCH(Totals!E1639,Organisations,0)&amp;"_"&amp;LEFT(Totals!F1639,1)&amp;"_"&amp;LEFT(G1639,1)&amp;"_"&amp;COUNTIF($G$3:G1639,G1639)</f>
        <v>#N/A</v>
      </c>
      <c r="C1639" s="193">
        <v>2025</v>
      </c>
      <c r="D1639" s="193">
        <f>Introduction!$D$7</f>
        <v>0</v>
      </c>
      <c r="E1639" s="193">
        <f>Introduction!$D$8</f>
        <v>0</v>
      </c>
      <c r="F1639" s="193" t="s">
        <v>497</v>
      </c>
      <c r="G1639" s="193" t="s">
        <v>497</v>
      </c>
      <c r="H1639" s="194"/>
      <c r="I1639" s="194"/>
      <c r="J1639" s="193">
        <f>'Land use &amp; agriculture'!B48</f>
        <v>0</v>
      </c>
      <c r="K1639" s="194"/>
      <c r="L1639" s="194"/>
      <c r="M1639" s="193">
        <f>'Land use &amp; agriculture'!C48</f>
        <v>0</v>
      </c>
      <c r="N1639" s="193">
        <f>'Land use &amp; agriculture'!D48</f>
        <v>0</v>
      </c>
      <c r="O1639" s="194"/>
      <c r="P1639" s="193" t="str">
        <f>'Land use &amp; agriculture'!E48</f>
        <v>Tier 1</v>
      </c>
      <c r="Q1639" s="193" t="str">
        <f>'Land use &amp; agriculture'!F48</f>
        <v xml:space="preserve"> </v>
      </c>
      <c r="R1639" s="193">
        <f>'Land use &amp; agriculture'!G48</f>
        <v>0</v>
      </c>
      <c r="S1639" s="193" t="str">
        <f>'Land use &amp; agriculture'!H48</f>
        <v>ha</v>
      </c>
      <c r="T1639" s="193">
        <f>'Land use &amp; agriculture'!I48</f>
        <v>0</v>
      </c>
      <c r="U1639" s="193" t="str">
        <f>'Land use &amp; agriculture'!J48</f>
        <v>ha</v>
      </c>
      <c r="V1639" s="193" t="str">
        <f>'Land use &amp; agriculture'!K48</f>
        <v/>
      </c>
      <c r="W1639" s="193" t="str">
        <f>'Land use &amp; agriculture'!L48</f>
        <v/>
      </c>
      <c r="X1639" s="193">
        <f>'Land use &amp; agriculture'!M48</f>
        <v>0</v>
      </c>
      <c r="Y1639" s="193">
        <f>'Land use &amp; agriculture'!N48</f>
        <v>0</v>
      </c>
      <c r="Z1639" s="193">
        <f>'Land use &amp; agriculture'!O48</f>
        <v>0</v>
      </c>
      <c r="AA1639" s="193">
        <f>'Land use &amp; agriculture'!P48</f>
        <v>0</v>
      </c>
      <c r="AB1639" s="193">
        <f>'Land use &amp; agriculture'!Q48</f>
        <v>0</v>
      </c>
      <c r="AC1639" s="193">
        <f>'Land use &amp; agriculture'!R48</f>
        <v>0</v>
      </c>
      <c r="AD1639" s="193">
        <f>'Land use &amp; agriculture'!S48</f>
        <v>0</v>
      </c>
      <c r="AE1639" s="193" t="str">
        <f>'Land use &amp; agriculture'!T48</f>
        <v/>
      </c>
      <c r="AF1639" s="193" t="str">
        <f>'Land use &amp; agriculture'!U48</f>
        <v/>
      </c>
      <c r="AG1639" s="193" t="str">
        <f>'Land use &amp; agriculture'!V48</f>
        <v/>
      </c>
      <c r="AI1639" s="193">
        <f t="shared" si="40"/>
        <v>0</v>
      </c>
      <c r="AJ1639" s="193">
        <f t="shared" si="41"/>
        <v>0</v>
      </c>
    </row>
    <row r="1640" spans="2:36" x14ac:dyDescent="0.35">
      <c r="B1640" s="193" t="e">
        <f>"2024"&amp;MATCH(Totals!D1640,OrgType,0)&amp;"_"&amp;MATCH(Totals!E1640,Organisations,0)&amp;"_"&amp;LEFT(Totals!F1640,1)&amp;"_"&amp;LEFT(G1640,1)&amp;"_"&amp;COUNTIF($G$3:G1640,G1640)</f>
        <v>#N/A</v>
      </c>
      <c r="C1640" s="193">
        <v>2025</v>
      </c>
      <c r="D1640" s="193">
        <f>Introduction!$D$7</f>
        <v>0</v>
      </c>
      <c r="E1640" s="193">
        <f>Introduction!$D$8</f>
        <v>0</v>
      </c>
      <c r="F1640" s="193" t="s">
        <v>497</v>
      </c>
      <c r="G1640" s="193" t="s">
        <v>497</v>
      </c>
      <c r="H1640" s="194"/>
      <c r="I1640" s="194"/>
      <c r="J1640" s="193">
        <f>'Land use &amp; agriculture'!B49</f>
        <v>0</v>
      </c>
      <c r="K1640" s="194"/>
      <c r="L1640" s="194"/>
      <c r="M1640" s="193">
        <f>'Land use &amp; agriculture'!C49</f>
        <v>0</v>
      </c>
      <c r="N1640" s="193">
        <f>'Land use &amp; agriculture'!D49</f>
        <v>0</v>
      </c>
      <c r="O1640" s="194"/>
      <c r="P1640" s="193" t="str">
        <f>'Land use &amp; agriculture'!E49</f>
        <v>Tier 1</v>
      </c>
      <c r="Q1640" s="193" t="str">
        <f>'Land use &amp; agriculture'!F49</f>
        <v xml:space="preserve"> </v>
      </c>
      <c r="R1640" s="193">
        <f>'Land use &amp; agriculture'!G49</f>
        <v>0</v>
      </c>
      <c r="S1640" s="193" t="str">
        <f>'Land use &amp; agriculture'!H49</f>
        <v>ha</v>
      </c>
      <c r="T1640" s="193">
        <f>'Land use &amp; agriculture'!I49</f>
        <v>0</v>
      </c>
      <c r="U1640" s="193" t="str">
        <f>'Land use &amp; agriculture'!J49</f>
        <v>ha</v>
      </c>
      <c r="V1640" s="193" t="str">
        <f>'Land use &amp; agriculture'!K49</f>
        <v/>
      </c>
      <c r="W1640" s="193" t="str">
        <f>'Land use &amp; agriculture'!L49</f>
        <v/>
      </c>
      <c r="X1640" s="193">
        <f>'Land use &amp; agriculture'!M49</f>
        <v>0</v>
      </c>
      <c r="Y1640" s="193">
        <f>'Land use &amp; agriculture'!N49</f>
        <v>0</v>
      </c>
      <c r="Z1640" s="193">
        <f>'Land use &amp; agriculture'!O49</f>
        <v>0</v>
      </c>
      <c r="AA1640" s="193">
        <f>'Land use &amp; agriculture'!P49</f>
        <v>0</v>
      </c>
      <c r="AB1640" s="193">
        <f>'Land use &amp; agriculture'!Q49</f>
        <v>0</v>
      </c>
      <c r="AC1640" s="193">
        <f>'Land use &amp; agriculture'!R49</f>
        <v>0</v>
      </c>
      <c r="AD1640" s="193">
        <f>'Land use &amp; agriculture'!S49</f>
        <v>0</v>
      </c>
      <c r="AE1640" s="193" t="str">
        <f>'Land use &amp; agriculture'!T49</f>
        <v/>
      </c>
      <c r="AF1640" s="193" t="str">
        <f>'Land use &amp; agriculture'!U49</f>
        <v/>
      </c>
      <c r="AG1640" s="193" t="str">
        <f>'Land use &amp; agriculture'!V49</f>
        <v/>
      </c>
      <c r="AI1640" s="193">
        <f t="shared" si="40"/>
        <v>0</v>
      </c>
      <c r="AJ1640" s="193">
        <f t="shared" si="41"/>
        <v>0</v>
      </c>
    </row>
    <row r="1641" spans="2:36" x14ac:dyDescent="0.35">
      <c r="B1641" s="193" t="e">
        <f>"2024"&amp;MATCH(Totals!D1641,OrgType,0)&amp;"_"&amp;MATCH(Totals!E1641,Organisations,0)&amp;"_"&amp;LEFT(Totals!F1641,1)&amp;"_"&amp;LEFT(G1641,1)&amp;"_"&amp;COUNTIF($G$3:G1641,G1641)</f>
        <v>#N/A</v>
      </c>
      <c r="C1641" s="193">
        <v>2025</v>
      </c>
      <c r="D1641" s="193">
        <f>Introduction!$D$7</f>
        <v>0</v>
      </c>
      <c r="E1641" s="193">
        <f>Introduction!$D$8</f>
        <v>0</v>
      </c>
      <c r="F1641" s="193" t="s">
        <v>497</v>
      </c>
      <c r="G1641" s="193" t="s">
        <v>497</v>
      </c>
      <c r="H1641" s="194"/>
      <c r="I1641" s="194"/>
      <c r="J1641" s="193">
        <f>'Land use &amp; agriculture'!B50</f>
        <v>0</v>
      </c>
      <c r="K1641" s="194"/>
      <c r="L1641" s="194"/>
      <c r="M1641" s="193">
        <f>'Land use &amp; agriculture'!C50</f>
        <v>0</v>
      </c>
      <c r="N1641" s="193">
        <f>'Land use &amp; agriculture'!D50</f>
        <v>0</v>
      </c>
      <c r="O1641" s="194"/>
      <c r="P1641" s="193" t="str">
        <f>'Land use &amp; agriculture'!E50</f>
        <v>Tier 1</v>
      </c>
      <c r="Q1641" s="193" t="str">
        <f>'Land use &amp; agriculture'!F50</f>
        <v xml:space="preserve"> </v>
      </c>
      <c r="R1641" s="193">
        <f>'Land use &amp; agriculture'!G50</f>
        <v>0</v>
      </c>
      <c r="S1641" s="193" t="str">
        <f>'Land use &amp; agriculture'!H50</f>
        <v>ha</v>
      </c>
      <c r="T1641" s="193">
        <f>'Land use &amp; agriculture'!I50</f>
        <v>0</v>
      </c>
      <c r="U1641" s="193" t="str">
        <f>'Land use &amp; agriculture'!J50</f>
        <v>ha</v>
      </c>
      <c r="V1641" s="193" t="str">
        <f>'Land use &amp; agriculture'!K50</f>
        <v/>
      </c>
      <c r="W1641" s="193" t="str">
        <f>'Land use &amp; agriculture'!L50</f>
        <v/>
      </c>
      <c r="X1641" s="193">
        <f>'Land use &amp; agriculture'!M50</f>
        <v>0</v>
      </c>
      <c r="Y1641" s="193">
        <f>'Land use &amp; agriculture'!N50</f>
        <v>0</v>
      </c>
      <c r="Z1641" s="193">
        <f>'Land use &amp; agriculture'!O50</f>
        <v>0</v>
      </c>
      <c r="AA1641" s="193">
        <f>'Land use &amp; agriculture'!P50</f>
        <v>0</v>
      </c>
      <c r="AB1641" s="193">
        <f>'Land use &amp; agriculture'!Q50</f>
        <v>0</v>
      </c>
      <c r="AC1641" s="193">
        <f>'Land use &amp; agriculture'!R50</f>
        <v>0</v>
      </c>
      <c r="AD1641" s="193">
        <f>'Land use &amp; agriculture'!S50</f>
        <v>0</v>
      </c>
      <c r="AE1641" s="193" t="str">
        <f>'Land use &amp; agriculture'!T50</f>
        <v/>
      </c>
      <c r="AF1641" s="193" t="str">
        <f>'Land use &amp; agriculture'!U50</f>
        <v/>
      </c>
      <c r="AG1641" s="193" t="str">
        <f>'Land use &amp; agriculture'!V50</f>
        <v/>
      </c>
      <c r="AI1641" s="193">
        <f t="shared" si="40"/>
        <v>0</v>
      </c>
      <c r="AJ1641" s="193">
        <f t="shared" si="41"/>
        <v>0</v>
      </c>
    </row>
    <row r="1642" spans="2:36" x14ac:dyDescent="0.35">
      <c r="B1642" s="193" t="e">
        <f>"2024"&amp;MATCH(Totals!D1642,OrgType,0)&amp;"_"&amp;MATCH(Totals!E1642,Organisations,0)&amp;"_"&amp;LEFT(Totals!F1642,1)&amp;"_"&amp;LEFT(G1642,1)&amp;"_"&amp;COUNTIF($G$3:G1642,G1642)</f>
        <v>#N/A</v>
      </c>
      <c r="C1642" s="193">
        <v>2025</v>
      </c>
      <c r="D1642" s="193">
        <f>Introduction!$D$7</f>
        <v>0</v>
      </c>
      <c r="E1642" s="193">
        <f>Introduction!$D$8</f>
        <v>0</v>
      </c>
      <c r="F1642" s="193" t="s">
        <v>497</v>
      </c>
      <c r="G1642" s="193" t="s">
        <v>497</v>
      </c>
      <c r="H1642" s="194"/>
      <c r="I1642" s="194"/>
      <c r="J1642" s="193">
        <f>'Land use &amp; agriculture'!B51</f>
        <v>0</v>
      </c>
      <c r="K1642" s="194"/>
      <c r="L1642" s="194"/>
      <c r="M1642" s="193">
        <f>'Land use &amp; agriculture'!C51</f>
        <v>0</v>
      </c>
      <c r="N1642" s="193">
        <f>'Land use &amp; agriculture'!D51</f>
        <v>0</v>
      </c>
      <c r="O1642" s="194"/>
      <c r="P1642" s="193" t="str">
        <f>'Land use &amp; agriculture'!E51</f>
        <v>Tier 1</v>
      </c>
      <c r="Q1642" s="193" t="str">
        <f>'Land use &amp; agriculture'!F51</f>
        <v xml:space="preserve"> </v>
      </c>
      <c r="R1642" s="193">
        <f>'Land use &amp; agriculture'!G51</f>
        <v>0</v>
      </c>
      <c r="S1642" s="193" t="str">
        <f>'Land use &amp; agriculture'!H51</f>
        <v>ha</v>
      </c>
      <c r="T1642" s="193">
        <f>'Land use &amp; agriculture'!I51</f>
        <v>0</v>
      </c>
      <c r="U1642" s="193" t="str">
        <f>'Land use &amp; agriculture'!J51</f>
        <v>ha</v>
      </c>
      <c r="V1642" s="193" t="str">
        <f>'Land use &amp; agriculture'!K51</f>
        <v/>
      </c>
      <c r="W1642" s="193" t="str">
        <f>'Land use &amp; agriculture'!L51</f>
        <v/>
      </c>
      <c r="X1642" s="193">
        <f>'Land use &amp; agriculture'!M51</f>
        <v>0</v>
      </c>
      <c r="Y1642" s="193">
        <f>'Land use &amp; agriculture'!N51</f>
        <v>0</v>
      </c>
      <c r="Z1642" s="193">
        <f>'Land use &amp; agriculture'!O51</f>
        <v>0</v>
      </c>
      <c r="AA1642" s="193">
        <f>'Land use &amp; agriculture'!P51</f>
        <v>0</v>
      </c>
      <c r="AB1642" s="193">
        <f>'Land use &amp; agriculture'!Q51</f>
        <v>0</v>
      </c>
      <c r="AC1642" s="193">
        <f>'Land use &amp; agriculture'!R51</f>
        <v>0</v>
      </c>
      <c r="AD1642" s="193">
        <f>'Land use &amp; agriculture'!S51</f>
        <v>0</v>
      </c>
      <c r="AE1642" s="193" t="str">
        <f>'Land use &amp; agriculture'!T51</f>
        <v/>
      </c>
      <c r="AF1642" s="193" t="str">
        <f>'Land use &amp; agriculture'!U51</f>
        <v/>
      </c>
      <c r="AG1642" s="193" t="str">
        <f>'Land use &amp; agriculture'!V51</f>
        <v/>
      </c>
      <c r="AI1642" s="193">
        <f t="shared" si="40"/>
        <v>0</v>
      </c>
      <c r="AJ1642" s="193">
        <f t="shared" si="41"/>
        <v>0</v>
      </c>
    </row>
    <row r="1643" spans="2:36" x14ac:dyDescent="0.35">
      <c r="B1643" s="193" t="e">
        <f>"2024"&amp;MATCH(Totals!D1643,OrgType,0)&amp;"_"&amp;MATCH(Totals!E1643,Organisations,0)&amp;"_"&amp;LEFT(Totals!F1643,1)&amp;"_"&amp;LEFT(G1643,1)&amp;"_"&amp;COUNTIF($G$3:G1643,G1643)</f>
        <v>#N/A</v>
      </c>
      <c r="C1643" s="193">
        <v>2025</v>
      </c>
      <c r="D1643" s="193">
        <f>Introduction!$D$7</f>
        <v>0</v>
      </c>
      <c r="E1643" s="193">
        <f>Introduction!$D$8</f>
        <v>0</v>
      </c>
      <c r="F1643" s="193" t="s">
        <v>497</v>
      </c>
      <c r="G1643" s="193" t="s">
        <v>497</v>
      </c>
      <c r="H1643" s="194"/>
      <c r="I1643" s="194"/>
      <c r="J1643" s="193">
        <f>'Land use &amp; agriculture'!B52</f>
        <v>0</v>
      </c>
      <c r="K1643" s="194"/>
      <c r="L1643" s="194"/>
      <c r="M1643" s="193">
        <f>'Land use &amp; agriculture'!C52</f>
        <v>0</v>
      </c>
      <c r="N1643" s="193">
        <f>'Land use &amp; agriculture'!D52</f>
        <v>0</v>
      </c>
      <c r="O1643" s="194"/>
      <c r="P1643" s="193" t="str">
        <f>'Land use &amp; agriculture'!E52</f>
        <v>Tier 1</v>
      </c>
      <c r="Q1643" s="193" t="str">
        <f>'Land use &amp; agriculture'!F52</f>
        <v xml:space="preserve"> </v>
      </c>
      <c r="R1643" s="193">
        <f>'Land use &amp; agriculture'!G52</f>
        <v>0</v>
      </c>
      <c r="S1643" s="193" t="str">
        <f>'Land use &amp; agriculture'!H52</f>
        <v>ha</v>
      </c>
      <c r="T1643" s="193">
        <f>'Land use &amp; agriculture'!I52</f>
        <v>0</v>
      </c>
      <c r="U1643" s="193" t="str">
        <f>'Land use &amp; agriculture'!J52</f>
        <v>ha</v>
      </c>
      <c r="V1643" s="193" t="str">
        <f>'Land use &amp; agriculture'!K52</f>
        <v/>
      </c>
      <c r="W1643" s="193" t="str">
        <f>'Land use &amp; agriculture'!L52</f>
        <v/>
      </c>
      <c r="X1643" s="193">
        <f>'Land use &amp; agriculture'!M52</f>
        <v>0</v>
      </c>
      <c r="Y1643" s="193">
        <f>'Land use &amp; agriculture'!N52</f>
        <v>0</v>
      </c>
      <c r="Z1643" s="193">
        <f>'Land use &amp; agriculture'!O52</f>
        <v>0</v>
      </c>
      <c r="AA1643" s="193">
        <f>'Land use &amp; agriculture'!P52</f>
        <v>0</v>
      </c>
      <c r="AB1643" s="193">
        <f>'Land use &amp; agriculture'!Q52</f>
        <v>0</v>
      </c>
      <c r="AC1643" s="193">
        <f>'Land use &amp; agriculture'!R52</f>
        <v>0</v>
      </c>
      <c r="AD1643" s="193">
        <f>'Land use &amp; agriculture'!S52</f>
        <v>0</v>
      </c>
      <c r="AE1643" s="193" t="str">
        <f>'Land use &amp; agriculture'!T52</f>
        <v/>
      </c>
      <c r="AF1643" s="193" t="str">
        <f>'Land use &amp; agriculture'!U52</f>
        <v/>
      </c>
      <c r="AG1643" s="193" t="str">
        <f>'Land use &amp; agriculture'!V52</f>
        <v/>
      </c>
      <c r="AI1643" s="193">
        <f t="shared" si="40"/>
        <v>0</v>
      </c>
      <c r="AJ1643" s="193">
        <f t="shared" si="41"/>
        <v>0</v>
      </c>
    </row>
    <row r="1644" spans="2:36" x14ac:dyDescent="0.35">
      <c r="B1644" s="193" t="e">
        <f>"2024"&amp;MATCH(Totals!D1644,OrgType,0)&amp;"_"&amp;MATCH(Totals!E1644,Organisations,0)&amp;"_"&amp;LEFT(Totals!F1644,1)&amp;"_"&amp;LEFT(G1644,1)&amp;"_"&amp;COUNTIF($G$3:G1644,G1644)</f>
        <v>#N/A</v>
      </c>
      <c r="C1644" s="193">
        <v>2025</v>
      </c>
      <c r="D1644" s="193">
        <f>Introduction!$D$7</f>
        <v>0</v>
      </c>
      <c r="E1644" s="193">
        <f>Introduction!$D$8</f>
        <v>0</v>
      </c>
      <c r="F1644" s="193" t="s">
        <v>497</v>
      </c>
      <c r="G1644" s="193" t="s">
        <v>497</v>
      </c>
      <c r="H1644" s="194"/>
      <c r="I1644" s="194"/>
      <c r="J1644" s="193">
        <f>'Land use &amp; agriculture'!B53</f>
        <v>0</v>
      </c>
      <c r="K1644" s="194"/>
      <c r="L1644" s="194"/>
      <c r="M1644" s="193">
        <f>'Land use &amp; agriculture'!C53</f>
        <v>0</v>
      </c>
      <c r="N1644" s="193">
        <f>'Land use &amp; agriculture'!D53</f>
        <v>0</v>
      </c>
      <c r="O1644" s="194"/>
      <c r="P1644" s="193" t="str">
        <f>'Land use &amp; agriculture'!E53</f>
        <v>Tier 1</v>
      </c>
      <c r="Q1644" s="193" t="str">
        <f>'Land use &amp; agriculture'!F53</f>
        <v xml:space="preserve"> </v>
      </c>
      <c r="R1644" s="193">
        <f>'Land use &amp; agriculture'!G53</f>
        <v>0</v>
      </c>
      <c r="S1644" s="193" t="str">
        <f>'Land use &amp; agriculture'!H53</f>
        <v>ha</v>
      </c>
      <c r="T1644" s="193">
        <f>'Land use &amp; agriculture'!I53</f>
        <v>0</v>
      </c>
      <c r="U1644" s="193" t="str">
        <f>'Land use &amp; agriculture'!J53</f>
        <v>ha</v>
      </c>
      <c r="V1644" s="193" t="str">
        <f>'Land use &amp; agriculture'!K53</f>
        <v/>
      </c>
      <c r="W1644" s="193" t="str">
        <f>'Land use &amp; agriculture'!L53</f>
        <v/>
      </c>
      <c r="X1644" s="193">
        <f>'Land use &amp; agriculture'!M53</f>
        <v>0</v>
      </c>
      <c r="Y1644" s="193">
        <f>'Land use &amp; agriculture'!N53</f>
        <v>0</v>
      </c>
      <c r="Z1644" s="193">
        <f>'Land use &amp; agriculture'!O53</f>
        <v>0</v>
      </c>
      <c r="AA1644" s="193">
        <f>'Land use &amp; agriculture'!P53</f>
        <v>0</v>
      </c>
      <c r="AB1644" s="193">
        <f>'Land use &amp; agriculture'!Q53</f>
        <v>0</v>
      </c>
      <c r="AC1644" s="193">
        <f>'Land use &amp; agriculture'!R53</f>
        <v>0</v>
      </c>
      <c r="AD1644" s="193">
        <f>'Land use &amp; agriculture'!S53</f>
        <v>0</v>
      </c>
      <c r="AE1644" s="193" t="str">
        <f>'Land use &amp; agriculture'!T53</f>
        <v/>
      </c>
      <c r="AF1644" s="193" t="str">
        <f>'Land use &amp; agriculture'!U53</f>
        <v/>
      </c>
      <c r="AG1644" s="193" t="str">
        <f>'Land use &amp; agriculture'!V53</f>
        <v/>
      </c>
      <c r="AI1644" s="193">
        <f t="shared" si="40"/>
        <v>0</v>
      </c>
      <c r="AJ1644" s="193">
        <f t="shared" si="41"/>
        <v>0</v>
      </c>
    </row>
    <row r="1645" spans="2:36" x14ac:dyDescent="0.35">
      <c r="B1645" s="193" t="e">
        <f>"2024"&amp;MATCH(Totals!D1645,OrgType,0)&amp;"_"&amp;MATCH(Totals!E1645,Organisations,0)&amp;"_"&amp;LEFT(Totals!F1645,1)&amp;"_"&amp;LEFT(G1645,1)&amp;"_"&amp;COUNTIF($G$3:G1645,G1645)</f>
        <v>#N/A</v>
      </c>
      <c r="C1645" s="193">
        <v>2025</v>
      </c>
      <c r="D1645" s="193">
        <f>Introduction!$D$7</f>
        <v>0</v>
      </c>
      <c r="E1645" s="193">
        <f>Introduction!$D$8</f>
        <v>0</v>
      </c>
      <c r="F1645" s="193" t="s">
        <v>497</v>
      </c>
      <c r="G1645" s="193" t="s">
        <v>497</v>
      </c>
      <c r="H1645" s="194"/>
      <c r="I1645" s="194"/>
      <c r="J1645" s="193">
        <f>'Land use &amp; agriculture'!B54</f>
        <v>0</v>
      </c>
      <c r="K1645" s="194"/>
      <c r="L1645" s="194"/>
      <c r="M1645" s="193">
        <f>'Land use &amp; agriculture'!C54</f>
        <v>0</v>
      </c>
      <c r="N1645" s="193">
        <f>'Land use &amp; agriculture'!D54</f>
        <v>0</v>
      </c>
      <c r="O1645" s="194"/>
      <c r="P1645" s="193" t="str">
        <f>'Land use &amp; agriculture'!E54</f>
        <v>Tier 1</v>
      </c>
      <c r="Q1645" s="193" t="str">
        <f>'Land use &amp; agriculture'!F54</f>
        <v xml:space="preserve"> </v>
      </c>
      <c r="R1645" s="193">
        <f>'Land use &amp; agriculture'!G54</f>
        <v>0</v>
      </c>
      <c r="S1645" s="193" t="str">
        <f>'Land use &amp; agriculture'!H54</f>
        <v>ha</v>
      </c>
      <c r="T1645" s="193">
        <f>'Land use &amp; agriculture'!I54</f>
        <v>0</v>
      </c>
      <c r="U1645" s="193" t="str">
        <f>'Land use &amp; agriculture'!J54</f>
        <v>ha</v>
      </c>
      <c r="V1645" s="193" t="str">
        <f>'Land use &amp; agriculture'!K54</f>
        <v/>
      </c>
      <c r="W1645" s="193" t="str">
        <f>'Land use &amp; agriculture'!L54</f>
        <v/>
      </c>
      <c r="X1645" s="193">
        <f>'Land use &amp; agriculture'!M54</f>
        <v>0</v>
      </c>
      <c r="Y1645" s="193">
        <f>'Land use &amp; agriculture'!N54</f>
        <v>0</v>
      </c>
      <c r="Z1645" s="193">
        <f>'Land use &amp; agriculture'!O54</f>
        <v>0</v>
      </c>
      <c r="AA1645" s="193">
        <f>'Land use &amp; agriculture'!P54</f>
        <v>0</v>
      </c>
      <c r="AB1645" s="193">
        <f>'Land use &amp; agriculture'!Q54</f>
        <v>0</v>
      </c>
      <c r="AC1645" s="193">
        <f>'Land use &amp; agriculture'!R54</f>
        <v>0</v>
      </c>
      <c r="AD1645" s="193">
        <f>'Land use &amp; agriculture'!S54</f>
        <v>0</v>
      </c>
      <c r="AE1645" s="193" t="str">
        <f>'Land use &amp; agriculture'!T54</f>
        <v/>
      </c>
      <c r="AF1645" s="193" t="str">
        <f>'Land use &amp; agriculture'!U54</f>
        <v/>
      </c>
      <c r="AG1645" s="193" t="str">
        <f>'Land use &amp; agriculture'!V54</f>
        <v/>
      </c>
      <c r="AI1645" s="193">
        <f t="shared" si="40"/>
        <v>0</v>
      </c>
      <c r="AJ1645" s="193">
        <f t="shared" si="41"/>
        <v>0</v>
      </c>
    </row>
    <row r="1646" spans="2:36" x14ac:dyDescent="0.35">
      <c r="B1646" s="193" t="e">
        <f>"2024"&amp;MATCH(Totals!D1646,OrgType,0)&amp;"_"&amp;MATCH(Totals!E1646,Organisations,0)&amp;"_"&amp;LEFT(Totals!F1646,1)&amp;"_"&amp;LEFT(G1646,1)&amp;"_"&amp;COUNTIF($G$3:G1646,G1646)</f>
        <v>#N/A</v>
      </c>
      <c r="C1646" s="193">
        <v>2025</v>
      </c>
      <c r="D1646" s="193">
        <f>Introduction!$D$7</f>
        <v>0</v>
      </c>
      <c r="E1646" s="193">
        <f>Introduction!$D$8</f>
        <v>0</v>
      </c>
      <c r="F1646" s="193" t="s">
        <v>497</v>
      </c>
      <c r="G1646" s="193" t="s">
        <v>497</v>
      </c>
      <c r="H1646" s="194"/>
      <c r="I1646" s="194"/>
      <c r="J1646" s="193">
        <f>'Land use &amp; agriculture'!B55</f>
        <v>0</v>
      </c>
      <c r="K1646" s="194"/>
      <c r="L1646" s="194"/>
      <c r="M1646" s="193">
        <f>'Land use &amp; agriculture'!C55</f>
        <v>0</v>
      </c>
      <c r="N1646" s="193">
        <f>'Land use &amp; agriculture'!D55</f>
        <v>0</v>
      </c>
      <c r="O1646" s="194"/>
      <c r="P1646" s="193" t="str">
        <f>'Land use &amp; agriculture'!E55</f>
        <v>Tier 1</v>
      </c>
      <c r="Q1646" s="193" t="str">
        <f>'Land use &amp; agriculture'!F55</f>
        <v xml:space="preserve"> </v>
      </c>
      <c r="R1646" s="193">
        <f>'Land use &amp; agriculture'!G55</f>
        <v>0</v>
      </c>
      <c r="S1646" s="193" t="str">
        <f>'Land use &amp; agriculture'!H55</f>
        <v>ha</v>
      </c>
      <c r="T1646" s="193">
        <f>'Land use &amp; agriculture'!I55</f>
        <v>0</v>
      </c>
      <c r="U1646" s="193" t="str">
        <f>'Land use &amp; agriculture'!J55</f>
        <v>ha</v>
      </c>
      <c r="V1646" s="193" t="str">
        <f>'Land use &amp; agriculture'!K55</f>
        <v/>
      </c>
      <c r="W1646" s="193" t="str">
        <f>'Land use &amp; agriculture'!L55</f>
        <v/>
      </c>
      <c r="X1646" s="193">
        <f>'Land use &amp; agriculture'!M55</f>
        <v>0</v>
      </c>
      <c r="Y1646" s="193">
        <f>'Land use &amp; agriculture'!N55</f>
        <v>0</v>
      </c>
      <c r="Z1646" s="193">
        <f>'Land use &amp; agriculture'!O55</f>
        <v>0</v>
      </c>
      <c r="AA1646" s="193">
        <f>'Land use &amp; agriculture'!P55</f>
        <v>0</v>
      </c>
      <c r="AB1646" s="193">
        <f>'Land use &amp; agriculture'!Q55</f>
        <v>0</v>
      </c>
      <c r="AC1646" s="193">
        <f>'Land use &amp; agriculture'!R55</f>
        <v>0</v>
      </c>
      <c r="AD1646" s="193">
        <f>'Land use &amp; agriculture'!S55</f>
        <v>0</v>
      </c>
      <c r="AE1646" s="193" t="str">
        <f>'Land use &amp; agriculture'!T55</f>
        <v/>
      </c>
      <c r="AF1646" s="193" t="str">
        <f>'Land use &amp; agriculture'!U55</f>
        <v/>
      </c>
      <c r="AG1646" s="193" t="str">
        <f>'Land use &amp; agriculture'!V55</f>
        <v/>
      </c>
      <c r="AI1646" s="193">
        <f t="shared" si="40"/>
        <v>0</v>
      </c>
      <c r="AJ1646" s="193">
        <f t="shared" si="41"/>
        <v>0</v>
      </c>
    </row>
    <row r="1647" spans="2:36" x14ac:dyDescent="0.35">
      <c r="B1647" s="193" t="e">
        <f>"2024"&amp;MATCH(Totals!D1647,OrgType,0)&amp;"_"&amp;MATCH(Totals!E1647,Organisations,0)&amp;"_"&amp;LEFT(Totals!F1647,1)&amp;"_"&amp;LEFT(G1647,1)&amp;"_"&amp;COUNTIF($G$3:G1647,G1647)</f>
        <v>#N/A</v>
      </c>
      <c r="C1647" s="193">
        <v>2025</v>
      </c>
      <c r="D1647" s="193">
        <f>Introduction!$D$7</f>
        <v>0</v>
      </c>
      <c r="E1647" s="193">
        <f>Introduction!$D$8</f>
        <v>0</v>
      </c>
      <c r="F1647" s="193" t="s">
        <v>497</v>
      </c>
      <c r="G1647" s="193" t="s">
        <v>497</v>
      </c>
      <c r="H1647" s="194"/>
      <c r="I1647" s="194"/>
      <c r="J1647" s="193">
        <f>'Land use &amp; agriculture'!B56</f>
        <v>0</v>
      </c>
      <c r="K1647" s="194"/>
      <c r="L1647" s="194"/>
      <c r="M1647" s="193">
        <f>'Land use &amp; agriculture'!C56</f>
        <v>0</v>
      </c>
      <c r="N1647" s="193">
        <f>'Land use &amp; agriculture'!D56</f>
        <v>0</v>
      </c>
      <c r="O1647" s="194"/>
      <c r="P1647" s="193" t="str">
        <f>'Land use &amp; agriculture'!E56</f>
        <v>Tier 1</v>
      </c>
      <c r="Q1647" s="193" t="str">
        <f>'Land use &amp; agriculture'!F56</f>
        <v xml:space="preserve"> </v>
      </c>
      <c r="R1647" s="193">
        <f>'Land use &amp; agriculture'!G56</f>
        <v>0</v>
      </c>
      <c r="S1647" s="193" t="str">
        <f>'Land use &amp; agriculture'!H56</f>
        <v>ha</v>
      </c>
      <c r="T1647" s="193">
        <f>'Land use &amp; agriculture'!I56</f>
        <v>0</v>
      </c>
      <c r="U1647" s="193" t="str">
        <f>'Land use &amp; agriculture'!J56</f>
        <v>ha</v>
      </c>
      <c r="V1647" s="193" t="str">
        <f>'Land use &amp; agriculture'!K56</f>
        <v/>
      </c>
      <c r="W1647" s="193" t="str">
        <f>'Land use &amp; agriculture'!L56</f>
        <v/>
      </c>
      <c r="X1647" s="193">
        <f>'Land use &amp; agriculture'!M56</f>
        <v>0</v>
      </c>
      <c r="Y1647" s="193">
        <f>'Land use &amp; agriculture'!N56</f>
        <v>0</v>
      </c>
      <c r="Z1647" s="193">
        <f>'Land use &amp; agriculture'!O56</f>
        <v>0</v>
      </c>
      <c r="AA1647" s="193">
        <f>'Land use &amp; agriculture'!P56</f>
        <v>0</v>
      </c>
      <c r="AB1647" s="193">
        <f>'Land use &amp; agriculture'!Q56</f>
        <v>0</v>
      </c>
      <c r="AC1647" s="193">
        <f>'Land use &amp; agriculture'!R56</f>
        <v>0</v>
      </c>
      <c r="AD1647" s="193">
        <f>'Land use &amp; agriculture'!S56</f>
        <v>0</v>
      </c>
      <c r="AE1647" s="193" t="str">
        <f>'Land use &amp; agriculture'!T56</f>
        <v/>
      </c>
      <c r="AF1647" s="193" t="str">
        <f>'Land use &amp; agriculture'!U56</f>
        <v/>
      </c>
      <c r="AG1647" s="193" t="str">
        <f>'Land use &amp; agriculture'!V56</f>
        <v/>
      </c>
      <c r="AI1647" s="193">
        <f t="shared" si="40"/>
        <v>0</v>
      </c>
      <c r="AJ1647" s="193">
        <f t="shared" si="41"/>
        <v>0</v>
      </c>
    </row>
    <row r="1648" spans="2:36" x14ac:dyDescent="0.35">
      <c r="B1648" s="193" t="e">
        <f>"2024"&amp;MATCH(Totals!D1648,OrgType,0)&amp;"_"&amp;MATCH(Totals!E1648,Organisations,0)&amp;"_"&amp;LEFT(Totals!F1648,1)&amp;"_"&amp;LEFT(G1648,1)&amp;"_"&amp;COUNTIF($G$3:G1648,G1648)</f>
        <v>#N/A</v>
      </c>
      <c r="C1648" s="193">
        <v>2025</v>
      </c>
      <c r="D1648" s="193">
        <f>Introduction!$D$7</f>
        <v>0</v>
      </c>
      <c r="E1648" s="193">
        <f>Introduction!$D$8</f>
        <v>0</v>
      </c>
      <c r="F1648" s="193" t="s">
        <v>497</v>
      </c>
      <c r="G1648" s="193" t="s">
        <v>497</v>
      </c>
      <c r="H1648" s="194"/>
      <c r="I1648" s="194"/>
      <c r="J1648" s="193">
        <f>'Land use &amp; agriculture'!B57</f>
        <v>0</v>
      </c>
      <c r="K1648" s="194"/>
      <c r="L1648" s="194"/>
      <c r="M1648" s="193">
        <f>'Land use &amp; agriculture'!C57</f>
        <v>0</v>
      </c>
      <c r="N1648" s="193">
        <f>'Land use &amp; agriculture'!D57</f>
        <v>0</v>
      </c>
      <c r="O1648" s="194"/>
      <c r="P1648" s="193" t="str">
        <f>'Land use &amp; agriculture'!E57</f>
        <v>Tier 1</v>
      </c>
      <c r="Q1648" s="193" t="str">
        <f>'Land use &amp; agriculture'!F57</f>
        <v xml:space="preserve"> </v>
      </c>
      <c r="R1648" s="193">
        <f>'Land use &amp; agriculture'!G57</f>
        <v>0</v>
      </c>
      <c r="S1648" s="193" t="str">
        <f>'Land use &amp; agriculture'!H57</f>
        <v>ha</v>
      </c>
      <c r="T1648" s="193">
        <f>'Land use &amp; agriculture'!I57</f>
        <v>0</v>
      </c>
      <c r="U1648" s="193" t="str">
        <f>'Land use &amp; agriculture'!J57</f>
        <v>ha</v>
      </c>
      <c r="V1648" s="193" t="str">
        <f>'Land use &amp; agriculture'!K57</f>
        <v/>
      </c>
      <c r="W1648" s="193" t="str">
        <f>'Land use &amp; agriculture'!L57</f>
        <v/>
      </c>
      <c r="X1648" s="193">
        <f>'Land use &amp; agriculture'!M57</f>
        <v>0</v>
      </c>
      <c r="Y1648" s="193">
        <f>'Land use &amp; agriculture'!N57</f>
        <v>0</v>
      </c>
      <c r="Z1648" s="193">
        <f>'Land use &amp; agriculture'!O57</f>
        <v>0</v>
      </c>
      <c r="AA1648" s="193">
        <f>'Land use &amp; agriculture'!P57</f>
        <v>0</v>
      </c>
      <c r="AB1648" s="193">
        <f>'Land use &amp; agriculture'!Q57</f>
        <v>0</v>
      </c>
      <c r="AC1648" s="193">
        <f>'Land use &amp; agriculture'!R57</f>
        <v>0</v>
      </c>
      <c r="AD1648" s="193">
        <f>'Land use &amp; agriculture'!S57</f>
        <v>0</v>
      </c>
      <c r="AE1648" s="193" t="str">
        <f>'Land use &amp; agriculture'!T57</f>
        <v/>
      </c>
      <c r="AF1648" s="193" t="str">
        <f>'Land use &amp; agriculture'!U57</f>
        <v/>
      </c>
      <c r="AG1648" s="193" t="str">
        <f>'Land use &amp; agriculture'!V57</f>
        <v/>
      </c>
      <c r="AI1648" s="193">
        <f t="shared" si="40"/>
        <v>0</v>
      </c>
      <c r="AJ1648" s="193">
        <f t="shared" si="41"/>
        <v>0</v>
      </c>
    </row>
    <row r="1649" spans="2:36" x14ac:dyDescent="0.35">
      <c r="B1649" s="193" t="e">
        <f>"2024"&amp;MATCH(Totals!D1649,OrgType,0)&amp;"_"&amp;MATCH(Totals!E1649,Organisations,0)&amp;"_"&amp;LEFT(Totals!F1649,1)&amp;"_"&amp;LEFT(G1649,1)&amp;"_"&amp;COUNTIF($G$3:G1649,G1649)</f>
        <v>#N/A</v>
      </c>
      <c r="C1649" s="193">
        <v>2025</v>
      </c>
      <c r="D1649" s="193">
        <f>Introduction!$D$7</f>
        <v>0</v>
      </c>
      <c r="E1649" s="193">
        <f>Introduction!$D$8</f>
        <v>0</v>
      </c>
      <c r="F1649" s="193" t="s">
        <v>497</v>
      </c>
      <c r="G1649" s="193" t="s">
        <v>497</v>
      </c>
      <c r="H1649" s="194"/>
      <c r="I1649" s="194"/>
      <c r="J1649" s="193">
        <f>'Land use &amp; agriculture'!B58</f>
        <v>0</v>
      </c>
      <c r="K1649" s="194"/>
      <c r="L1649" s="194"/>
      <c r="M1649" s="193">
        <f>'Land use &amp; agriculture'!C58</f>
        <v>0</v>
      </c>
      <c r="N1649" s="193">
        <f>'Land use &amp; agriculture'!D58</f>
        <v>0</v>
      </c>
      <c r="O1649" s="194"/>
      <c r="P1649" s="193" t="str">
        <f>'Land use &amp; agriculture'!E58</f>
        <v>Tier 1</v>
      </c>
      <c r="Q1649" s="193" t="str">
        <f>'Land use &amp; agriculture'!F58</f>
        <v xml:space="preserve"> </v>
      </c>
      <c r="R1649" s="193">
        <f>'Land use &amp; agriculture'!G58</f>
        <v>0</v>
      </c>
      <c r="S1649" s="193" t="str">
        <f>'Land use &amp; agriculture'!H58</f>
        <v>ha</v>
      </c>
      <c r="T1649" s="193">
        <f>'Land use &amp; agriculture'!I58</f>
        <v>0</v>
      </c>
      <c r="U1649" s="193" t="str">
        <f>'Land use &amp; agriculture'!J58</f>
        <v>ha</v>
      </c>
      <c r="V1649" s="193" t="str">
        <f>'Land use &amp; agriculture'!K58</f>
        <v/>
      </c>
      <c r="W1649" s="193" t="str">
        <f>'Land use &amp; agriculture'!L58</f>
        <v/>
      </c>
      <c r="X1649" s="193">
        <f>'Land use &amp; agriculture'!M58</f>
        <v>0</v>
      </c>
      <c r="Y1649" s="193">
        <f>'Land use &amp; agriculture'!N58</f>
        <v>0</v>
      </c>
      <c r="Z1649" s="193">
        <f>'Land use &amp; agriculture'!O58</f>
        <v>0</v>
      </c>
      <c r="AA1649" s="193">
        <f>'Land use &amp; agriculture'!P58</f>
        <v>0</v>
      </c>
      <c r="AB1649" s="193">
        <f>'Land use &amp; agriculture'!Q58</f>
        <v>0</v>
      </c>
      <c r="AC1649" s="193">
        <f>'Land use &amp; agriculture'!R58</f>
        <v>0</v>
      </c>
      <c r="AD1649" s="193">
        <f>'Land use &amp; agriculture'!S58</f>
        <v>0</v>
      </c>
      <c r="AE1649" s="193" t="str">
        <f>'Land use &amp; agriculture'!T58</f>
        <v/>
      </c>
      <c r="AF1649" s="193" t="str">
        <f>'Land use &amp; agriculture'!U58</f>
        <v/>
      </c>
      <c r="AG1649" s="193" t="str">
        <f>'Land use &amp; agriculture'!V58</f>
        <v/>
      </c>
      <c r="AI1649" s="193">
        <f t="shared" si="40"/>
        <v>0</v>
      </c>
      <c r="AJ1649" s="193">
        <f t="shared" si="41"/>
        <v>0</v>
      </c>
    </row>
    <row r="1650" spans="2:36" x14ac:dyDescent="0.35">
      <c r="B1650" s="193" t="e">
        <f>"2024"&amp;MATCH(Totals!D1650,OrgType,0)&amp;"_"&amp;MATCH(Totals!E1650,Organisations,0)&amp;"_"&amp;LEFT(Totals!F1650,1)&amp;"_"&amp;LEFT(G1650,1)&amp;"_"&amp;COUNTIF($G$3:G1650,G1650)</f>
        <v>#N/A</v>
      </c>
      <c r="C1650" s="193">
        <v>2025</v>
      </c>
      <c r="D1650" s="193">
        <f>Introduction!$D$7</f>
        <v>0</v>
      </c>
      <c r="E1650" s="193">
        <f>Introduction!$D$8</f>
        <v>0</v>
      </c>
      <c r="F1650" s="193" t="s">
        <v>497</v>
      </c>
      <c r="G1650" s="193" t="s">
        <v>497</v>
      </c>
      <c r="H1650" s="194"/>
      <c r="I1650" s="194"/>
      <c r="J1650" s="193">
        <f>'Land use &amp; agriculture'!B59</f>
        <v>0</v>
      </c>
      <c r="K1650" s="194"/>
      <c r="L1650" s="194"/>
      <c r="M1650" s="193">
        <f>'Land use &amp; agriculture'!C59</f>
        <v>0</v>
      </c>
      <c r="N1650" s="193">
        <f>'Land use &amp; agriculture'!D59</f>
        <v>0</v>
      </c>
      <c r="O1650" s="194"/>
      <c r="P1650" s="193" t="str">
        <f>'Land use &amp; agriculture'!E59</f>
        <v>Tier 1</v>
      </c>
      <c r="Q1650" s="193" t="str">
        <f>'Land use &amp; agriculture'!F59</f>
        <v xml:space="preserve"> </v>
      </c>
      <c r="R1650" s="193">
        <f>'Land use &amp; agriculture'!G59</f>
        <v>0</v>
      </c>
      <c r="S1650" s="193" t="str">
        <f>'Land use &amp; agriculture'!H59</f>
        <v>ha</v>
      </c>
      <c r="T1650" s="193">
        <f>'Land use &amp; agriculture'!I59</f>
        <v>0</v>
      </c>
      <c r="U1650" s="193" t="str">
        <f>'Land use &amp; agriculture'!J59</f>
        <v>ha</v>
      </c>
      <c r="V1650" s="193" t="str">
        <f>'Land use &amp; agriculture'!K59</f>
        <v/>
      </c>
      <c r="W1650" s="193" t="str">
        <f>'Land use &amp; agriculture'!L59</f>
        <v/>
      </c>
      <c r="X1650" s="193">
        <f>'Land use &amp; agriculture'!M59</f>
        <v>0</v>
      </c>
      <c r="Y1650" s="193">
        <f>'Land use &amp; agriculture'!N59</f>
        <v>0</v>
      </c>
      <c r="Z1650" s="193">
        <f>'Land use &amp; agriculture'!O59</f>
        <v>0</v>
      </c>
      <c r="AA1650" s="193">
        <f>'Land use &amp; agriculture'!P59</f>
        <v>0</v>
      </c>
      <c r="AB1650" s="193">
        <f>'Land use &amp; agriculture'!Q59</f>
        <v>0</v>
      </c>
      <c r="AC1650" s="193">
        <f>'Land use &amp; agriculture'!R59</f>
        <v>0</v>
      </c>
      <c r="AD1650" s="193">
        <f>'Land use &amp; agriculture'!S59</f>
        <v>0</v>
      </c>
      <c r="AE1650" s="193" t="str">
        <f>'Land use &amp; agriculture'!T59</f>
        <v/>
      </c>
      <c r="AF1650" s="193" t="str">
        <f>'Land use &amp; agriculture'!U59</f>
        <v/>
      </c>
      <c r="AG1650" s="193" t="str">
        <f>'Land use &amp; agriculture'!V59</f>
        <v/>
      </c>
      <c r="AI1650" s="193">
        <f t="shared" si="40"/>
        <v>0</v>
      </c>
      <c r="AJ1650" s="193">
        <f t="shared" si="41"/>
        <v>0</v>
      </c>
    </row>
    <row r="1651" spans="2:36" x14ac:dyDescent="0.35">
      <c r="B1651" s="193" t="e">
        <f>"2024"&amp;MATCH(Totals!D1651,OrgType,0)&amp;"_"&amp;MATCH(Totals!E1651,Organisations,0)&amp;"_"&amp;LEFT(Totals!F1651,1)&amp;"_"&amp;LEFT(G1651,1)&amp;"_"&amp;COUNTIF($G$3:G1651,G1651)</f>
        <v>#N/A</v>
      </c>
      <c r="C1651" s="193">
        <v>2025</v>
      </c>
      <c r="D1651" s="193">
        <f>Introduction!$D$7</f>
        <v>0</v>
      </c>
      <c r="E1651" s="193">
        <f>Introduction!$D$8</f>
        <v>0</v>
      </c>
      <c r="F1651" s="193" t="s">
        <v>497</v>
      </c>
      <c r="G1651" s="193" t="s">
        <v>497</v>
      </c>
      <c r="H1651" s="194"/>
      <c r="I1651" s="194"/>
      <c r="J1651" s="193">
        <f>'Land use &amp; agriculture'!B60</f>
        <v>0</v>
      </c>
      <c r="K1651" s="194"/>
      <c r="L1651" s="194"/>
      <c r="M1651" s="193">
        <f>'Land use &amp; agriculture'!C60</f>
        <v>0</v>
      </c>
      <c r="N1651" s="193">
        <f>'Land use &amp; agriculture'!D60</f>
        <v>0</v>
      </c>
      <c r="O1651" s="194"/>
      <c r="P1651" s="193" t="str">
        <f>'Land use &amp; agriculture'!E60</f>
        <v>Tier 1</v>
      </c>
      <c r="Q1651" s="193" t="str">
        <f>'Land use &amp; agriculture'!F60</f>
        <v xml:space="preserve"> </v>
      </c>
      <c r="R1651" s="193">
        <f>'Land use &amp; agriculture'!G60</f>
        <v>0</v>
      </c>
      <c r="S1651" s="193" t="str">
        <f>'Land use &amp; agriculture'!H60</f>
        <v>ha</v>
      </c>
      <c r="T1651" s="193">
        <f>'Land use &amp; agriculture'!I60</f>
        <v>0</v>
      </c>
      <c r="U1651" s="193" t="str">
        <f>'Land use &amp; agriculture'!J60</f>
        <v>ha</v>
      </c>
      <c r="V1651" s="193" t="str">
        <f>'Land use &amp; agriculture'!K60</f>
        <v/>
      </c>
      <c r="W1651" s="193" t="str">
        <f>'Land use &amp; agriculture'!L60</f>
        <v/>
      </c>
      <c r="X1651" s="193">
        <f>'Land use &amp; agriculture'!M60</f>
        <v>0</v>
      </c>
      <c r="Y1651" s="193">
        <f>'Land use &amp; agriculture'!N60</f>
        <v>0</v>
      </c>
      <c r="Z1651" s="193">
        <f>'Land use &amp; agriculture'!O60</f>
        <v>0</v>
      </c>
      <c r="AA1651" s="193">
        <f>'Land use &amp; agriculture'!P60</f>
        <v>0</v>
      </c>
      <c r="AB1651" s="193">
        <f>'Land use &amp; agriculture'!Q60</f>
        <v>0</v>
      </c>
      <c r="AC1651" s="193">
        <f>'Land use &amp; agriculture'!R60</f>
        <v>0</v>
      </c>
      <c r="AD1651" s="193">
        <f>'Land use &amp; agriculture'!S60</f>
        <v>0</v>
      </c>
      <c r="AE1651" s="193" t="str">
        <f>'Land use &amp; agriculture'!T60</f>
        <v/>
      </c>
      <c r="AF1651" s="193" t="str">
        <f>'Land use &amp; agriculture'!U60</f>
        <v/>
      </c>
      <c r="AG1651" s="193" t="str">
        <f>'Land use &amp; agriculture'!V60</f>
        <v/>
      </c>
      <c r="AI1651" s="193">
        <f t="shared" si="40"/>
        <v>0</v>
      </c>
      <c r="AJ1651" s="193">
        <f t="shared" si="41"/>
        <v>0</v>
      </c>
    </row>
    <row r="1652" spans="2:36" x14ac:dyDescent="0.35">
      <c r="B1652" s="193" t="e">
        <f>"2024"&amp;MATCH(Totals!D1652,OrgType,0)&amp;"_"&amp;MATCH(Totals!E1652,Organisations,0)&amp;"_"&amp;LEFT(Totals!F1652,1)&amp;"_"&amp;LEFT(G1652,1)&amp;"_"&amp;COUNTIF($G$3:G1652,G1652)</f>
        <v>#N/A</v>
      </c>
      <c r="C1652" s="193">
        <v>2025</v>
      </c>
      <c r="D1652" s="193">
        <f>Introduction!$D$7</f>
        <v>0</v>
      </c>
      <c r="E1652" s="193">
        <f>Introduction!$D$8</f>
        <v>0</v>
      </c>
      <c r="F1652" s="193" t="s">
        <v>497</v>
      </c>
      <c r="G1652" s="193" t="s">
        <v>497</v>
      </c>
      <c r="H1652" s="194"/>
      <c r="I1652" s="194"/>
      <c r="J1652" s="193">
        <f>'Land use &amp; agriculture'!B61</f>
        <v>0</v>
      </c>
      <c r="K1652" s="194"/>
      <c r="L1652" s="194"/>
      <c r="M1652" s="193">
        <f>'Land use &amp; agriculture'!C61</f>
        <v>0</v>
      </c>
      <c r="N1652" s="193">
        <f>'Land use &amp; agriculture'!D61</f>
        <v>0</v>
      </c>
      <c r="O1652" s="194"/>
      <c r="P1652" s="193" t="str">
        <f>'Land use &amp; agriculture'!E61</f>
        <v>Tier 1</v>
      </c>
      <c r="Q1652" s="193" t="str">
        <f>'Land use &amp; agriculture'!F61</f>
        <v xml:space="preserve"> </v>
      </c>
      <c r="R1652" s="193">
        <f>'Land use &amp; agriculture'!G61</f>
        <v>0</v>
      </c>
      <c r="S1652" s="193" t="str">
        <f>'Land use &amp; agriculture'!H61</f>
        <v>ha</v>
      </c>
      <c r="T1652" s="193">
        <f>'Land use &amp; agriculture'!I61</f>
        <v>0</v>
      </c>
      <c r="U1652" s="193" t="str">
        <f>'Land use &amp; agriculture'!J61</f>
        <v>ha</v>
      </c>
      <c r="V1652" s="193" t="str">
        <f>'Land use &amp; agriculture'!K61</f>
        <v/>
      </c>
      <c r="W1652" s="193" t="str">
        <f>'Land use &amp; agriculture'!L61</f>
        <v/>
      </c>
      <c r="X1652" s="193">
        <f>'Land use &amp; agriculture'!M61</f>
        <v>0</v>
      </c>
      <c r="Y1652" s="193">
        <f>'Land use &amp; agriculture'!N61</f>
        <v>0</v>
      </c>
      <c r="Z1652" s="193">
        <f>'Land use &amp; agriculture'!O61</f>
        <v>0</v>
      </c>
      <c r="AA1652" s="193">
        <f>'Land use &amp; agriculture'!P61</f>
        <v>0</v>
      </c>
      <c r="AB1652" s="193">
        <f>'Land use &amp; agriculture'!Q61</f>
        <v>0</v>
      </c>
      <c r="AC1652" s="193">
        <f>'Land use &amp; agriculture'!R61</f>
        <v>0</v>
      </c>
      <c r="AD1652" s="193">
        <f>'Land use &amp; agriculture'!S61</f>
        <v>0</v>
      </c>
      <c r="AE1652" s="193" t="str">
        <f>'Land use &amp; agriculture'!T61</f>
        <v/>
      </c>
      <c r="AF1652" s="193" t="str">
        <f>'Land use &amp; agriculture'!U61</f>
        <v/>
      </c>
      <c r="AG1652" s="193" t="str">
        <f>'Land use &amp; agriculture'!V61</f>
        <v/>
      </c>
      <c r="AI1652" s="193">
        <f t="shared" si="40"/>
        <v>0</v>
      </c>
      <c r="AJ1652" s="193">
        <f t="shared" si="41"/>
        <v>0</v>
      </c>
    </row>
    <row r="1653" spans="2:36" x14ac:dyDescent="0.35">
      <c r="B1653" s="193" t="e">
        <f>"2024"&amp;MATCH(Totals!D1653,OrgType,0)&amp;"_"&amp;MATCH(Totals!E1653,Organisations,0)&amp;"_"&amp;LEFT(Totals!F1653,1)&amp;"_"&amp;LEFT(G1653,1)&amp;"_"&amp;COUNTIF($G$3:G1653,G1653)</f>
        <v>#N/A</v>
      </c>
      <c r="C1653" s="193">
        <v>2025</v>
      </c>
      <c r="D1653" s="193">
        <f>Introduction!$D$7</f>
        <v>0</v>
      </c>
      <c r="E1653" s="193">
        <f>Introduction!$D$8</f>
        <v>0</v>
      </c>
      <c r="F1653" s="193" t="s">
        <v>497</v>
      </c>
      <c r="G1653" s="193" t="s">
        <v>497</v>
      </c>
      <c r="H1653" s="194"/>
      <c r="I1653" s="194"/>
      <c r="J1653" s="193">
        <f>'Land use &amp; agriculture'!B62</f>
        <v>0</v>
      </c>
      <c r="K1653" s="194"/>
      <c r="L1653" s="194"/>
      <c r="M1653" s="193">
        <f>'Land use &amp; agriculture'!C62</f>
        <v>0</v>
      </c>
      <c r="N1653" s="193">
        <f>'Land use &amp; agriculture'!D62</f>
        <v>0</v>
      </c>
      <c r="O1653" s="194"/>
      <c r="P1653" s="193" t="str">
        <f>'Land use &amp; agriculture'!E62</f>
        <v>Tier 1</v>
      </c>
      <c r="Q1653" s="193" t="str">
        <f>'Land use &amp; agriculture'!F62</f>
        <v xml:space="preserve"> </v>
      </c>
      <c r="R1653" s="193">
        <f>'Land use &amp; agriculture'!G62</f>
        <v>0</v>
      </c>
      <c r="S1653" s="193" t="str">
        <f>'Land use &amp; agriculture'!H62</f>
        <v>ha</v>
      </c>
      <c r="T1653" s="193">
        <f>'Land use &amp; agriculture'!I62</f>
        <v>0</v>
      </c>
      <c r="U1653" s="193" t="str">
        <f>'Land use &amp; agriculture'!J62</f>
        <v>ha</v>
      </c>
      <c r="V1653" s="193" t="str">
        <f>'Land use &amp; agriculture'!K62</f>
        <v/>
      </c>
      <c r="W1653" s="193" t="str">
        <f>'Land use &amp; agriculture'!L62</f>
        <v/>
      </c>
      <c r="X1653" s="193">
        <f>'Land use &amp; agriculture'!M62</f>
        <v>0</v>
      </c>
      <c r="Y1653" s="193">
        <f>'Land use &amp; agriculture'!N62</f>
        <v>0</v>
      </c>
      <c r="Z1653" s="193">
        <f>'Land use &amp; agriculture'!O62</f>
        <v>0</v>
      </c>
      <c r="AA1653" s="193">
        <f>'Land use &amp; agriculture'!P62</f>
        <v>0</v>
      </c>
      <c r="AB1653" s="193">
        <f>'Land use &amp; agriculture'!Q62</f>
        <v>0</v>
      </c>
      <c r="AC1653" s="193">
        <f>'Land use &amp; agriculture'!R62</f>
        <v>0</v>
      </c>
      <c r="AD1653" s="193">
        <f>'Land use &amp; agriculture'!S62</f>
        <v>0</v>
      </c>
      <c r="AE1653" s="193" t="str">
        <f>'Land use &amp; agriculture'!T62</f>
        <v/>
      </c>
      <c r="AF1653" s="193" t="str">
        <f>'Land use &amp; agriculture'!U62</f>
        <v/>
      </c>
      <c r="AG1653" s="193" t="str">
        <f>'Land use &amp; agriculture'!V62</f>
        <v/>
      </c>
      <c r="AI1653" s="193">
        <f t="shared" si="40"/>
        <v>0</v>
      </c>
      <c r="AJ1653" s="193">
        <f t="shared" si="41"/>
        <v>0</v>
      </c>
    </row>
    <row r="1654" spans="2:36" x14ac:dyDescent="0.35">
      <c r="B1654" s="193" t="e">
        <f>"2024"&amp;MATCH(Totals!D1654,OrgType,0)&amp;"_"&amp;MATCH(Totals!E1654,Organisations,0)&amp;"_"&amp;LEFT(Totals!F1654,1)&amp;"_"&amp;LEFT(G1654,1)&amp;"_"&amp;COUNTIF($G$3:G1654,G1654)</f>
        <v>#N/A</v>
      </c>
      <c r="C1654" s="193">
        <v>2025</v>
      </c>
      <c r="D1654" s="193">
        <f>Introduction!$D$7</f>
        <v>0</v>
      </c>
      <c r="E1654" s="193">
        <f>Introduction!$D$8</f>
        <v>0</v>
      </c>
      <c r="F1654" s="193" t="s">
        <v>497</v>
      </c>
      <c r="G1654" s="193" t="s">
        <v>497</v>
      </c>
      <c r="H1654" s="194"/>
      <c r="I1654" s="194"/>
      <c r="J1654" s="193">
        <f>'Land use &amp; agriculture'!B63</f>
        <v>0</v>
      </c>
      <c r="K1654" s="194"/>
      <c r="L1654" s="194"/>
      <c r="M1654" s="193">
        <f>'Land use &amp; agriculture'!C63</f>
        <v>0</v>
      </c>
      <c r="N1654" s="193">
        <f>'Land use &amp; agriculture'!D63</f>
        <v>0</v>
      </c>
      <c r="O1654" s="194"/>
      <c r="P1654" s="193" t="str">
        <f>'Land use &amp; agriculture'!E63</f>
        <v>Tier 1</v>
      </c>
      <c r="Q1654" s="193" t="str">
        <f>'Land use &amp; agriculture'!F63</f>
        <v xml:space="preserve"> </v>
      </c>
      <c r="R1654" s="193">
        <f>'Land use &amp; agriculture'!G63</f>
        <v>0</v>
      </c>
      <c r="S1654" s="193" t="str">
        <f>'Land use &amp; agriculture'!H63</f>
        <v>ha</v>
      </c>
      <c r="T1654" s="193">
        <f>'Land use &amp; agriculture'!I63</f>
        <v>0</v>
      </c>
      <c r="U1654" s="193" t="str">
        <f>'Land use &amp; agriculture'!J63</f>
        <v>ha</v>
      </c>
      <c r="V1654" s="193" t="str">
        <f>'Land use &amp; agriculture'!K63</f>
        <v/>
      </c>
      <c r="W1654" s="193" t="str">
        <f>'Land use &amp; agriculture'!L63</f>
        <v/>
      </c>
      <c r="X1654" s="193">
        <f>'Land use &amp; agriculture'!M63</f>
        <v>0</v>
      </c>
      <c r="Y1654" s="193">
        <f>'Land use &amp; agriculture'!N63</f>
        <v>0</v>
      </c>
      <c r="Z1654" s="193">
        <f>'Land use &amp; agriculture'!O63</f>
        <v>0</v>
      </c>
      <c r="AA1654" s="193">
        <f>'Land use &amp; agriculture'!P63</f>
        <v>0</v>
      </c>
      <c r="AB1654" s="193">
        <f>'Land use &amp; agriculture'!Q63</f>
        <v>0</v>
      </c>
      <c r="AC1654" s="193">
        <f>'Land use &amp; agriculture'!R63</f>
        <v>0</v>
      </c>
      <c r="AD1654" s="193">
        <f>'Land use &amp; agriculture'!S63</f>
        <v>0</v>
      </c>
      <c r="AE1654" s="193" t="str">
        <f>'Land use &amp; agriculture'!T63</f>
        <v/>
      </c>
      <c r="AF1654" s="193" t="str">
        <f>'Land use &amp; agriculture'!U63</f>
        <v/>
      </c>
      <c r="AG1654" s="193" t="str">
        <f>'Land use &amp; agriculture'!V63</f>
        <v/>
      </c>
      <c r="AI1654" s="193">
        <f t="shared" si="40"/>
        <v>0</v>
      </c>
      <c r="AJ1654" s="193">
        <f t="shared" si="41"/>
        <v>0</v>
      </c>
    </row>
    <row r="1655" spans="2:36" x14ac:dyDescent="0.35">
      <c r="B1655" s="193" t="e">
        <f>"2024"&amp;MATCH(Totals!D1655,OrgType,0)&amp;"_"&amp;MATCH(Totals!E1655,Organisations,0)&amp;"_"&amp;LEFT(Totals!F1655,1)&amp;"_"&amp;LEFT(G1655,1)&amp;"_"&amp;COUNTIF($G$3:G1655,G1655)</f>
        <v>#N/A</v>
      </c>
      <c r="C1655" s="193">
        <v>2025</v>
      </c>
      <c r="D1655" s="193">
        <f>Introduction!$D$7</f>
        <v>0</v>
      </c>
      <c r="E1655" s="193">
        <f>Introduction!$D$8</f>
        <v>0</v>
      </c>
      <c r="F1655" s="193" t="s">
        <v>497</v>
      </c>
      <c r="G1655" s="193" t="s">
        <v>497</v>
      </c>
      <c r="H1655" s="194"/>
      <c r="I1655" s="194"/>
      <c r="J1655" s="193">
        <f>'Land use &amp; agriculture'!B64</f>
        <v>0</v>
      </c>
      <c r="K1655" s="194"/>
      <c r="L1655" s="194"/>
      <c r="M1655" s="193">
        <f>'Land use &amp; agriculture'!C64</f>
        <v>0</v>
      </c>
      <c r="N1655" s="193">
        <f>'Land use &amp; agriculture'!D64</f>
        <v>0</v>
      </c>
      <c r="O1655" s="194"/>
      <c r="P1655" s="193" t="str">
        <f>'Land use &amp; agriculture'!E64</f>
        <v>Tier 1</v>
      </c>
      <c r="Q1655" s="193" t="str">
        <f>'Land use &amp; agriculture'!F64</f>
        <v xml:space="preserve"> </v>
      </c>
      <c r="R1655" s="193">
        <f>'Land use &amp; agriculture'!G64</f>
        <v>0</v>
      </c>
      <c r="S1655" s="193" t="str">
        <f>'Land use &amp; agriculture'!H64</f>
        <v>ha</v>
      </c>
      <c r="T1655" s="193">
        <f>'Land use &amp; agriculture'!I64</f>
        <v>0</v>
      </c>
      <c r="U1655" s="193" t="str">
        <f>'Land use &amp; agriculture'!J64</f>
        <v>ha</v>
      </c>
      <c r="V1655" s="193" t="str">
        <f>'Land use &amp; agriculture'!K64</f>
        <v/>
      </c>
      <c r="W1655" s="193" t="str">
        <f>'Land use &amp; agriculture'!L64</f>
        <v/>
      </c>
      <c r="X1655" s="193">
        <f>'Land use &amp; agriculture'!M64</f>
        <v>0</v>
      </c>
      <c r="Y1655" s="193">
        <f>'Land use &amp; agriculture'!N64</f>
        <v>0</v>
      </c>
      <c r="Z1655" s="193">
        <f>'Land use &amp; agriculture'!O64</f>
        <v>0</v>
      </c>
      <c r="AA1655" s="193">
        <f>'Land use &amp; agriculture'!P64</f>
        <v>0</v>
      </c>
      <c r="AB1655" s="193">
        <f>'Land use &amp; agriculture'!Q64</f>
        <v>0</v>
      </c>
      <c r="AC1655" s="193">
        <f>'Land use &amp; agriculture'!R64</f>
        <v>0</v>
      </c>
      <c r="AD1655" s="193">
        <f>'Land use &amp; agriculture'!S64</f>
        <v>0</v>
      </c>
      <c r="AE1655" s="193" t="str">
        <f>'Land use &amp; agriculture'!T64</f>
        <v/>
      </c>
      <c r="AF1655" s="193" t="str">
        <f>'Land use &amp; agriculture'!U64</f>
        <v/>
      </c>
      <c r="AG1655" s="193" t="str">
        <f>'Land use &amp; agriculture'!V64</f>
        <v/>
      </c>
      <c r="AI1655" s="193">
        <f t="shared" si="40"/>
        <v>0</v>
      </c>
      <c r="AJ1655" s="193">
        <f t="shared" si="41"/>
        <v>0</v>
      </c>
    </row>
    <row r="1656" spans="2:36" x14ac:dyDescent="0.35">
      <c r="B1656" s="193" t="e">
        <f>"2024"&amp;MATCH(Totals!D1656,OrgType,0)&amp;"_"&amp;MATCH(Totals!E1656,Organisations,0)&amp;"_"&amp;LEFT(Totals!F1656,1)&amp;"_"&amp;LEFT(G1656,1)&amp;"_"&amp;COUNTIF($G$3:G1656,G1656)</f>
        <v>#N/A</v>
      </c>
      <c r="C1656" s="193">
        <v>2025</v>
      </c>
      <c r="D1656" s="193">
        <f>Introduction!$D$7</f>
        <v>0</v>
      </c>
      <c r="E1656" s="193">
        <f>Introduction!$D$8</f>
        <v>0</v>
      </c>
      <c r="F1656" s="193" t="s">
        <v>497</v>
      </c>
      <c r="G1656" s="193" t="s">
        <v>497</v>
      </c>
      <c r="H1656" s="194"/>
      <c r="I1656" s="194"/>
      <c r="J1656" s="193">
        <f>'Land use &amp; agriculture'!B65</f>
        <v>0</v>
      </c>
      <c r="K1656" s="194"/>
      <c r="L1656" s="194"/>
      <c r="M1656" s="193">
        <f>'Land use &amp; agriculture'!C65</f>
        <v>0</v>
      </c>
      <c r="N1656" s="193">
        <f>'Land use &amp; agriculture'!D65</f>
        <v>0</v>
      </c>
      <c r="O1656" s="194"/>
      <c r="P1656" s="193" t="str">
        <f>'Land use &amp; agriculture'!E65</f>
        <v>Tier 1</v>
      </c>
      <c r="Q1656" s="193" t="str">
        <f>'Land use &amp; agriculture'!F65</f>
        <v xml:space="preserve"> </v>
      </c>
      <c r="R1656" s="193">
        <f>'Land use &amp; agriculture'!G65</f>
        <v>0</v>
      </c>
      <c r="S1656" s="193" t="str">
        <f>'Land use &amp; agriculture'!H65</f>
        <v>ha</v>
      </c>
      <c r="T1656" s="193">
        <f>'Land use &amp; agriculture'!I65</f>
        <v>0</v>
      </c>
      <c r="U1656" s="193" t="str">
        <f>'Land use &amp; agriculture'!J65</f>
        <v>ha</v>
      </c>
      <c r="V1656" s="193" t="str">
        <f>'Land use &amp; agriculture'!K65</f>
        <v/>
      </c>
      <c r="W1656" s="193" t="str">
        <f>'Land use &amp; agriculture'!L65</f>
        <v/>
      </c>
      <c r="X1656" s="193">
        <f>'Land use &amp; agriculture'!M65</f>
        <v>0</v>
      </c>
      <c r="Y1656" s="193">
        <f>'Land use &amp; agriculture'!N65</f>
        <v>0</v>
      </c>
      <c r="Z1656" s="193">
        <f>'Land use &amp; agriculture'!O65</f>
        <v>0</v>
      </c>
      <c r="AA1656" s="193">
        <f>'Land use &amp; agriculture'!P65</f>
        <v>0</v>
      </c>
      <c r="AB1656" s="193">
        <f>'Land use &amp; agriculture'!Q65</f>
        <v>0</v>
      </c>
      <c r="AC1656" s="193">
        <f>'Land use &amp; agriculture'!R65</f>
        <v>0</v>
      </c>
      <c r="AD1656" s="193">
        <f>'Land use &amp; agriculture'!S65</f>
        <v>0</v>
      </c>
      <c r="AE1656" s="193" t="str">
        <f>'Land use &amp; agriculture'!T65</f>
        <v/>
      </c>
      <c r="AF1656" s="193" t="str">
        <f>'Land use &amp; agriculture'!U65</f>
        <v/>
      </c>
      <c r="AG1656" s="193" t="str">
        <f>'Land use &amp; agriculture'!V65</f>
        <v/>
      </c>
      <c r="AI1656" s="193">
        <f t="shared" si="40"/>
        <v>0</v>
      </c>
      <c r="AJ1656" s="193">
        <f t="shared" si="41"/>
        <v>0</v>
      </c>
    </row>
    <row r="1657" spans="2:36" x14ac:dyDescent="0.35">
      <c r="B1657" s="193" t="e">
        <f>"2024"&amp;MATCH(Totals!D1657,OrgType,0)&amp;"_"&amp;MATCH(Totals!E1657,Organisations,0)&amp;"_"&amp;LEFT(Totals!F1657,1)&amp;"_"&amp;LEFT(G1657,1)&amp;"_"&amp;COUNTIF($G$3:G1657,G1657)</f>
        <v>#N/A</v>
      </c>
      <c r="C1657" s="193">
        <v>2025</v>
      </c>
      <c r="D1657" s="193">
        <f>Introduction!$D$7</f>
        <v>0</v>
      </c>
      <c r="E1657" s="193">
        <f>Introduction!$D$8</f>
        <v>0</v>
      </c>
      <c r="F1657" s="193" t="s">
        <v>497</v>
      </c>
      <c r="G1657" s="193" t="s">
        <v>497</v>
      </c>
      <c r="H1657" s="194"/>
      <c r="I1657" s="194"/>
      <c r="J1657" s="193">
        <f>'Land use &amp; agriculture'!B66</f>
        <v>0</v>
      </c>
      <c r="K1657" s="194"/>
      <c r="L1657" s="194"/>
      <c r="M1657" s="193">
        <f>'Land use &amp; agriculture'!C66</f>
        <v>0</v>
      </c>
      <c r="N1657" s="193">
        <f>'Land use &amp; agriculture'!D66</f>
        <v>0</v>
      </c>
      <c r="O1657" s="194"/>
      <c r="P1657" s="193" t="str">
        <f>'Land use &amp; agriculture'!E66</f>
        <v>Tier 1</v>
      </c>
      <c r="Q1657" s="193" t="str">
        <f>'Land use &amp; agriculture'!F66</f>
        <v xml:space="preserve"> </v>
      </c>
      <c r="R1657" s="193">
        <f>'Land use &amp; agriculture'!G66</f>
        <v>0</v>
      </c>
      <c r="S1657" s="193" t="str">
        <f>'Land use &amp; agriculture'!H66</f>
        <v>ha</v>
      </c>
      <c r="T1657" s="193">
        <f>'Land use &amp; agriculture'!I66</f>
        <v>0</v>
      </c>
      <c r="U1657" s="193" t="str">
        <f>'Land use &amp; agriculture'!J66</f>
        <v>ha</v>
      </c>
      <c r="V1657" s="193" t="str">
        <f>'Land use &amp; agriculture'!K66</f>
        <v/>
      </c>
      <c r="W1657" s="193" t="str">
        <f>'Land use &amp; agriculture'!L66</f>
        <v/>
      </c>
      <c r="X1657" s="193">
        <f>'Land use &amp; agriculture'!M66</f>
        <v>0</v>
      </c>
      <c r="Y1657" s="193">
        <f>'Land use &amp; agriculture'!N66</f>
        <v>0</v>
      </c>
      <c r="Z1657" s="193">
        <f>'Land use &amp; agriculture'!O66</f>
        <v>0</v>
      </c>
      <c r="AA1657" s="193">
        <f>'Land use &amp; agriculture'!P66</f>
        <v>0</v>
      </c>
      <c r="AB1657" s="193">
        <f>'Land use &amp; agriculture'!Q66</f>
        <v>0</v>
      </c>
      <c r="AC1657" s="193">
        <f>'Land use &amp; agriculture'!R66</f>
        <v>0</v>
      </c>
      <c r="AD1657" s="193">
        <f>'Land use &amp; agriculture'!S66</f>
        <v>0</v>
      </c>
      <c r="AE1657" s="193" t="str">
        <f>'Land use &amp; agriculture'!T66</f>
        <v/>
      </c>
      <c r="AF1657" s="193" t="str">
        <f>'Land use &amp; agriculture'!U66</f>
        <v/>
      </c>
      <c r="AG1657" s="193" t="str">
        <f>'Land use &amp; agriculture'!V66</f>
        <v/>
      </c>
      <c r="AI1657" s="193">
        <f t="shared" si="40"/>
        <v>0</v>
      </c>
      <c r="AJ1657" s="193">
        <f t="shared" si="41"/>
        <v>0</v>
      </c>
    </row>
    <row r="1658" spans="2:36" x14ac:dyDescent="0.35">
      <c r="B1658" s="193" t="e">
        <f>"2024"&amp;MATCH(Totals!D1658,OrgType,0)&amp;"_"&amp;MATCH(Totals!E1658,Organisations,0)&amp;"_"&amp;LEFT(Totals!F1658,1)&amp;"_"&amp;LEFT(G1658,1)&amp;"_"&amp;COUNTIF($G$3:G1658,G1658)</f>
        <v>#N/A</v>
      </c>
      <c r="C1658" s="193">
        <v>2025</v>
      </c>
      <c r="D1658" s="193">
        <f>Introduction!$D$7</f>
        <v>0</v>
      </c>
      <c r="E1658" s="193">
        <f>Introduction!$D$8</f>
        <v>0</v>
      </c>
      <c r="F1658" s="193" t="s">
        <v>497</v>
      </c>
      <c r="G1658" s="193" t="s">
        <v>497</v>
      </c>
      <c r="H1658" s="194"/>
      <c r="I1658" s="194"/>
      <c r="J1658" s="193">
        <f>'Land use &amp; agriculture'!B67</f>
        <v>0</v>
      </c>
      <c r="K1658" s="194"/>
      <c r="L1658" s="194"/>
      <c r="M1658" s="193">
        <f>'Land use &amp; agriculture'!C67</f>
        <v>0</v>
      </c>
      <c r="N1658" s="193">
        <f>'Land use &amp; agriculture'!D67</f>
        <v>0</v>
      </c>
      <c r="O1658" s="194"/>
      <c r="P1658" s="193" t="str">
        <f>'Land use &amp; agriculture'!E67</f>
        <v>Tier 1</v>
      </c>
      <c r="Q1658" s="193" t="str">
        <f>'Land use &amp; agriculture'!F67</f>
        <v xml:space="preserve"> </v>
      </c>
      <c r="R1658" s="193">
        <f>'Land use &amp; agriculture'!G67</f>
        <v>0</v>
      </c>
      <c r="S1658" s="193" t="str">
        <f>'Land use &amp; agriculture'!H67</f>
        <v>ha</v>
      </c>
      <c r="T1658" s="193">
        <f>'Land use &amp; agriculture'!I67</f>
        <v>0</v>
      </c>
      <c r="U1658" s="193" t="str">
        <f>'Land use &amp; agriculture'!J67</f>
        <v>ha</v>
      </c>
      <c r="V1658" s="193" t="str">
        <f>'Land use &amp; agriculture'!K67</f>
        <v/>
      </c>
      <c r="W1658" s="193" t="str">
        <f>'Land use &amp; agriculture'!L67</f>
        <v/>
      </c>
      <c r="X1658" s="193">
        <f>'Land use &amp; agriculture'!M67</f>
        <v>0</v>
      </c>
      <c r="Y1658" s="193">
        <f>'Land use &amp; agriculture'!N67</f>
        <v>0</v>
      </c>
      <c r="Z1658" s="193">
        <f>'Land use &amp; agriculture'!O67</f>
        <v>0</v>
      </c>
      <c r="AA1658" s="193">
        <f>'Land use &amp; agriculture'!P67</f>
        <v>0</v>
      </c>
      <c r="AB1658" s="193">
        <f>'Land use &amp; agriculture'!Q67</f>
        <v>0</v>
      </c>
      <c r="AC1658" s="193">
        <f>'Land use &amp; agriculture'!R67</f>
        <v>0</v>
      </c>
      <c r="AD1658" s="193">
        <f>'Land use &amp; agriculture'!S67</f>
        <v>0</v>
      </c>
      <c r="AE1658" s="193" t="str">
        <f>'Land use &amp; agriculture'!T67</f>
        <v/>
      </c>
      <c r="AF1658" s="193" t="str">
        <f>'Land use &amp; agriculture'!U67</f>
        <v/>
      </c>
      <c r="AG1658" s="193" t="str">
        <f>'Land use &amp; agriculture'!V67</f>
        <v/>
      </c>
      <c r="AI1658" s="193">
        <f t="shared" si="40"/>
        <v>0</v>
      </c>
      <c r="AJ1658" s="193">
        <f t="shared" si="41"/>
        <v>0</v>
      </c>
    </row>
    <row r="1659" spans="2:36" x14ac:dyDescent="0.35">
      <c r="B1659" s="193" t="e">
        <f>"2024"&amp;MATCH(Totals!D1659,OrgType,0)&amp;"_"&amp;MATCH(Totals!E1659,Organisations,0)&amp;"_"&amp;LEFT(Totals!F1659,1)&amp;"_"&amp;LEFT(G1659,1)&amp;"_"&amp;COUNTIF($G$3:G1659,G1659)</f>
        <v>#N/A</v>
      </c>
      <c r="C1659" s="193">
        <v>2025</v>
      </c>
      <c r="D1659" s="193">
        <f>Introduction!$D$7</f>
        <v>0</v>
      </c>
      <c r="E1659" s="193">
        <f>Introduction!$D$8</f>
        <v>0</v>
      </c>
      <c r="F1659" s="193" t="s">
        <v>497</v>
      </c>
      <c r="G1659" s="193" t="s">
        <v>497</v>
      </c>
      <c r="H1659" s="194"/>
      <c r="I1659" s="194"/>
      <c r="J1659" s="193">
        <f>'Land use &amp; agriculture'!B68</f>
        <v>0</v>
      </c>
      <c r="K1659" s="194"/>
      <c r="L1659" s="194"/>
      <c r="M1659" s="193">
        <f>'Land use &amp; agriculture'!C68</f>
        <v>0</v>
      </c>
      <c r="N1659" s="193">
        <f>'Land use &amp; agriculture'!D68</f>
        <v>0</v>
      </c>
      <c r="O1659" s="194"/>
      <c r="P1659" s="193" t="str">
        <f>'Land use &amp; agriculture'!E68</f>
        <v>Tier 1</v>
      </c>
      <c r="Q1659" s="193" t="str">
        <f>'Land use &amp; agriculture'!F68</f>
        <v xml:space="preserve"> </v>
      </c>
      <c r="R1659" s="193">
        <f>'Land use &amp; agriculture'!G68</f>
        <v>0</v>
      </c>
      <c r="S1659" s="193" t="str">
        <f>'Land use &amp; agriculture'!H68</f>
        <v>ha</v>
      </c>
      <c r="T1659" s="193">
        <f>'Land use &amp; agriculture'!I68</f>
        <v>0</v>
      </c>
      <c r="U1659" s="193" t="str">
        <f>'Land use &amp; agriculture'!J68</f>
        <v>ha</v>
      </c>
      <c r="V1659" s="193" t="str">
        <f>'Land use &amp; agriculture'!K68</f>
        <v/>
      </c>
      <c r="W1659" s="193" t="str">
        <f>'Land use &amp; agriculture'!L68</f>
        <v/>
      </c>
      <c r="X1659" s="193">
        <f>'Land use &amp; agriculture'!M68</f>
        <v>0</v>
      </c>
      <c r="Y1659" s="193">
        <f>'Land use &amp; agriculture'!N68</f>
        <v>0</v>
      </c>
      <c r="Z1659" s="193">
        <f>'Land use &amp; agriculture'!O68</f>
        <v>0</v>
      </c>
      <c r="AA1659" s="193">
        <f>'Land use &amp; agriculture'!P68</f>
        <v>0</v>
      </c>
      <c r="AB1659" s="193">
        <f>'Land use &amp; agriculture'!Q68</f>
        <v>0</v>
      </c>
      <c r="AC1659" s="193">
        <f>'Land use &amp; agriculture'!R68</f>
        <v>0</v>
      </c>
      <c r="AD1659" s="193">
        <f>'Land use &amp; agriculture'!S68</f>
        <v>0</v>
      </c>
      <c r="AE1659" s="193" t="str">
        <f>'Land use &amp; agriculture'!T68</f>
        <v/>
      </c>
      <c r="AF1659" s="193" t="str">
        <f>'Land use &amp; agriculture'!U68</f>
        <v/>
      </c>
      <c r="AG1659" s="193" t="str">
        <f>'Land use &amp; agriculture'!V68</f>
        <v/>
      </c>
      <c r="AI1659" s="193">
        <f t="shared" si="40"/>
        <v>0</v>
      </c>
      <c r="AJ1659" s="193">
        <f t="shared" si="41"/>
        <v>0</v>
      </c>
    </row>
    <row r="1660" spans="2:36" x14ac:dyDescent="0.35">
      <c r="B1660" s="193" t="e">
        <f>"2024"&amp;MATCH(Totals!D1660,OrgType,0)&amp;"_"&amp;MATCH(Totals!E1660,Organisations,0)&amp;"_"&amp;LEFT(Totals!F1660,1)&amp;"_"&amp;LEFT(G1660,1)&amp;"_"&amp;COUNTIF($G$3:G1660,G1660)</f>
        <v>#N/A</v>
      </c>
      <c r="C1660" s="193">
        <v>2025</v>
      </c>
      <c r="D1660" s="193">
        <f>Introduction!$D$7</f>
        <v>0</v>
      </c>
      <c r="E1660" s="193">
        <f>Introduction!$D$8</f>
        <v>0</v>
      </c>
      <c r="F1660" s="193" t="s">
        <v>497</v>
      </c>
      <c r="G1660" s="193" t="s">
        <v>497</v>
      </c>
      <c r="H1660" s="194"/>
      <c r="I1660" s="194"/>
      <c r="J1660" s="193">
        <f>'Land use &amp; agriculture'!B69</f>
        <v>0</v>
      </c>
      <c r="K1660" s="194"/>
      <c r="L1660" s="194"/>
      <c r="M1660" s="193">
        <f>'Land use &amp; agriculture'!C69</f>
        <v>0</v>
      </c>
      <c r="N1660" s="193">
        <f>'Land use &amp; agriculture'!D69</f>
        <v>0</v>
      </c>
      <c r="O1660" s="194"/>
      <c r="P1660" s="193" t="str">
        <f>'Land use &amp; agriculture'!E69</f>
        <v>Tier 1</v>
      </c>
      <c r="Q1660" s="193" t="str">
        <f>'Land use &amp; agriculture'!F69</f>
        <v xml:space="preserve"> </v>
      </c>
      <c r="R1660" s="193">
        <f>'Land use &amp; agriculture'!G69</f>
        <v>0</v>
      </c>
      <c r="S1660" s="193" t="str">
        <f>'Land use &amp; agriculture'!H69</f>
        <v>ha</v>
      </c>
      <c r="T1660" s="193">
        <f>'Land use &amp; agriculture'!I69</f>
        <v>0</v>
      </c>
      <c r="U1660" s="193" t="str">
        <f>'Land use &amp; agriculture'!J69</f>
        <v>ha</v>
      </c>
      <c r="V1660" s="193" t="str">
        <f>'Land use &amp; agriculture'!K69</f>
        <v/>
      </c>
      <c r="W1660" s="193" t="str">
        <f>'Land use &amp; agriculture'!L69</f>
        <v/>
      </c>
      <c r="X1660" s="193">
        <f>'Land use &amp; agriculture'!M69</f>
        <v>0</v>
      </c>
      <c r="Y1660" s="193">
        <f>'Land use &amp; agriculture'!N69</f>
        <v>0</v>
      </c>
      <c r="Z1660" s="193">
        <f>'Land use &amp; agriculture'!O69</f>
        <v>0</v>
      </c>
      <c r="AA1660" s="193">
        <f>'Land use &amp; agriculture'!P69</f>
        <v>0</v>
      </c>
      <c r="AB1660" s="193">
        <f>'Land use &amp; agriculture'!Q69</f>
        <v>0</v>
      </c>
      <c r="AC1660" s="193">
        <f>'Land use &amp; agriculture'!R69</f>
        <v>0</v>
      </c>
      <c r="AD1660" s="193">
        <f>'Land use &amp; agriculture'!S69</f>
        <v>0</v>
      </c>
      <c r="AE1660" s="193" t="str">
        <f>'Land use &amp; agriculture'!T69</f>
        <v/>
      </c>
      <c r="AF1660" s="193" t="str">
        <f>'Land use &amp; agriculture'!U69</f>
        <v/>
      </c>
      <c r="AG1660" s="193" t="str">
        <f>'Land use &amp; agriculture'!V69</f>
        <v/>
      </c>
      <c r="AI1660" s="193">
        <f t="shared" si="40"/>
        <v>0</v>
      </c>
      <c r="AJ1660" s="193">
        <f t="shared" si="41"/>
        <v>0</v>
      </c>
    </row>
    <row r="1661" spans="2:36" x14ac:dyDescent="0.35">
      <c r="B1661" s="193" t="e">
        <f>"2024"&amp;MATCH(Totals!D1661,OrgType,0)&amp;"_"&amp;MATCH(Totals!E1661,Organisations,0)&amp;"_"&amp;LEFT(Totals!F1661,1)&amp;"_"&amp;LEFT(G1661,1)&amp;"_"&amp;COUNTIF($G$3:G1661,G1661)</f>
        <v>#N/A</v>
      </c>
      <c r="C1661" s="193">
        <v>2025</v>
      </c>
      <c r="D1661" s="193">
        <f>Introduction!$D$7</f>
        <v>0</v>
      </c>
      <c r="E1661" s="193">
        <f>Introduction!$D$8</f>
        <v>0</v>
      </c>
      <c r="F1661" s="193" t="s">
        <v>497</v>
      </c>
      <c r="G1661" s="193" t="s">
        <v>497</v>
      </c>
      <c r="H1661" s="194"/>
      <c r="I1661" s="194"/>
      <c r="J1661" s="193">
        <f>'Land use &amp; agriculture'!B70</f>
        <v>0</v>
      </c>
      <c r="K1661" s="194"/>
      <c r="L1661" s="194"/>
      <c r="M1661" s="193">
        <f>'Land use &amp; agriculture'!C70</f>
        <v>0</v>
      </c>
      <c r="N1661" s="193">
        <f>'Land use &amp; agriculture'!D70</f>
        <v>0</v>
      </c>
      <c r="O1661" s="194"/>
      <c r="P1661" s="193" t="str">
        <f>'Land use &amp; agriculture'!E70</f>
        <v>Tier 1</v>
      </c>
      <c r="Q1661" s="193" t="str">
        <f>'Land use &amp; agriculture'!F70</f>
        <v xml:space="preserve"> </v>
      </c>
      <c r="R1661" s="193">
        <f>'Land use &amp; agriculture'!G70</f>
        <v>0</v>
      </c>
      <c r="S1661" s="193" t="str">
        <f>'Land use &amp; agriculture'!H70</f>
        <v>ha</v>
      </c>
      <c r="T1661" s="193">
        <f>'Land use &amp; agriculture'!I70</f>
        <v>0</v>
      </c>
      <c r="U1661" s="193" t="str">
        <f>'Land use &amp; agriculture'!J70</f>
        <v>ha</v>
      </c>
      <c r="V1661" s="193" t="str">
        <f>'Land use &amp; agriculture'!K70</f>
        <v/>
      </c>
      <c r="W1661" s="193" t="str">
        <f>'Land use &amp; agriculture'!L70</f>
        <v/>
      </c>
      <c r="X1661" s="193">
        <f>'Land use &amp; agriculture'!M70</f>
        <v>0</v>
      </c>
      <c r="Y1661" s="193">
        <f>'Land use &amp; agriculture'!N70</f>
        <v>0</v>
      </c>
      <c r="Z1661" s="193">
        <f>'Land use &amp; agriculture'!O70</f>
        <v>0</v>
      </c>
      <c r="AA1661" s="193">
        <f>'Land use &amp; agriculture'!P70</f>
        <v>0</v>
      </c>
      <c r="AB1661" s="193">
        <f>'Land use &amp; agriculture'!Q70</f>
        <v>0</v>
      </c>
      <c r="AC1661" s="193">
        <f>'Land use &amp; agriculture'!R70</f>
        <v>0</v>
      </c>
      <c r="AD1661" s="193">
        <f>'Land use &amp; agriculture'!S70</f>
        <v>0</v>
      </c>
      <c r="AE1661" s="193" t="str">
        <f>'Land use &amp; agriculture'!T70</f>
        <v/>
      </c>
      <c r="AF1661" s="193" t="str">
        <f>'Land use &amp; agriculture'!U70</f>
        <v/>
      </c>
      <c r="AG1661" s="193" t="str">
        <f>'Land use &amp; agriculture'!V70</f>
        <v/>
      </c>
      <c r="AI1661" s="193">
        <f t="shared" si="40"/>
        <v>0</v>
      </c>
      <c r="AJ1661" s="193">
        <f t="shared" si="41"/>
        <v>0</v>
      </c>
    </row>
    <row r="1662" spans="2:36" x14ac:dyDescent="0.35">
      <c r="B1662" s="193" t="e">
        <f>"2024"&amp;MATCH(Totals!D1662,OrgType,0)&amp;"_"&amp;MATCH(Totals!E1662,Organisations,0)&amp;"_"&amp;LEFT(Totals!F1662,1)&amp;"_"&amp;LEFT(G1662,1)&amp;"_"&amp;COUNTIF($G$3:G1662,G1662)</f>
        <v>#N/A</v>
      </c>
      <c r="C1662" s="193">
        <v>2025</v>
      </c>
      <c r="D1662" s="193">
        <f>Introduction!$D$7</f>
        <v>0</v>
      </c>
      <c r="E1662" s="193">
        <f>Introduction!$D$8</f>
        <v>0</v>
      </c>
      <c r="F1662" s="193" t="s">
        <v>497</v>
      </c>
      <c r="G1662" s="193" t="s">
        <v>497</v>
      </c>
      <c r="H1662" s="194"/>
      <c r="I1662" s="194"/>
      <c r="J1662" s="193">
        <f>'Land use &amp; agriculture'!B71</f>
        <v>0</v>
      </c>
      <c r="K1662" s="194"/>
      <c r="L1662" s="194"/>
      <c r="M1662" s="193">
        <f>'Land use &amp; agriculture'!C71</f>
        <v>0</v>
      </c>
      <c r="N1662" s="193">
        <f>'Land use &amp; agriculture'!D71</f>
        <v>0</v>
      </c>
      <c r="O1662" s="194"/>
      <c r="P1662" s="193" t="str">
        <f>'Land use &amp; agriculture'!E71</f>
        <v>Tier 1</v>
      </c>
      <c r="Q1662" s="193" t="str">
        <f>'Land use &amp; agriculture'!F71</f>
        <v xml:space="preserve"> </v>
      </c>
      <c r="R1662" s="193">
        <f>'Land use &amp; agriculture'!G71</f>
        <v>0</v>
      </c>
      <c r="S1662" s="193" t="str">
        <f>'Land use &amp; agriculture'!H71</f>
        <v>ha</v>
      </c>
      <c r="T1662" s="193">
        <f>'Land use &amp; agriculture'!I71</f>
        <v>0</v>
      </c>
      <c r="U1662" s="193" t="str">
        <f>'Land use &amp; agriculture'!J71</f>
        <v>ha</v>
      </c>
      <c r="V1662" s="193" t="str">
        <f>'Land use &amp; agriculture'!K71</f>
        <v/>
      </c>
      <c r="W1662" s="193" t="str">
        <f>'Land use &amp; agriculture'!L71</f>
        <v/>
      </c>
      <c r="X1662" s="193">
        <f>'Land use &amp; agriculture'!M71</f>
        <v>0</v>
      </c>
      <c r="Y1662" s="193">
        <f>'Land use &amp; agriculture'!N71</f>
        <v>0</v>
      </c>
      <c r="Z1662" s="193">
        <f>'Land use &amp; agriculture'!O71</f>
        <v>0</v>
      </c>
      <c r="AA1662" s="193">
        <f>'Land use &amp; agriculture'!P71</f>
        <v>0</v>
      </c>
      <c r="AB1662" s="193">
        <f>'Land use &amp; agriculture'!Q71</f>
        <v>0</v>
      </c>
      <c r="AC1662" s="193">
        <f>'Land use &amp; agriculture'!R71</f>
        <v>0</v>
      </c>
      <c r="AD1662" s="193">
        <f>'Land use &amp; agriculture'!S71</f>
        <v>0</v>
      </c>
      <c r="AE1662" s="193" t="str">
        <f>'Land use &amp; agriculture'!T71</f>
        <v/>
      </c>
      <c r="AF1662" s="193" t="str">
        <f>'Land use &amp; agriculture'!U71</f>
        <v/>
      </c>
      <c r="AG1662" s="193" t="str">
        <f>'Land use &amp; agriculture'!V71</f>
        <v/>
      </c>
      <c r="AI1662" s="193">
        <f t="shared" si="40"/>
        <v>0</v>
      </c>
      <c r="AJ1662" s="193">
        <f t="shared" si="41"/>
        <v>0</v>
      </c>
    </row>
    <row r="1663" spans="2:36" x14ac:dyDescent="0.35">
      <c r="B1663" s="193" t="e">
        <f>"2024"&amp;MATCH(Totals!D1663,OrgType,0)&amp;"_"&amp;MATCH(Totals!E1663,Organisations,0)&amp;"_"&amp;LEFT(Totals!F1663,1)&amp;"_"&amp;LEFT(G1663,1)&amp;"_"&amp;COUNTIF($G$3:G1663,G1663)</f>
        <v>#N/A</v>
      </c>
      <c r="C1663" s="193">
        <v>2025</v>
      </c>
      <c r="D1663" s="193">
        <f>Introduction!$D$7</f>
        <v>0</v>
      </c>
      <c r="E1663" s="193">
        <f>Introduction!$D$8</f>
        <v>0</v>
      </c>
      <c r="F1663" s="193" t="s">
        <v>497</v>
      </c>
      <c r="G1663" s="193" t="s">
        <v>497</v>
      </c>
      <c r="H1663" s="194"/>
      <c r="I1663" s="194"/>
      <c r="J1663" s="193">
        <f>'Land use &amp; agriculture'!B72</f>
        <v>0</v>
      </c>
      <c r="K1663" s="194"/>
      <c r="L1663" s="194"/>
      <c r="M1663" s="193">
        <f>'Land use &amp; agriculture'!C72</f>
        <v>0</v>
      </c>
      <c r="N1663" s="193">
        <f>'Land use &amp; agriculture'!D72</f>
        <v>0</v>
      </c>
      <c r="O1663" s="194"/>
      <c r="P1663" s="193" t="str">
        <f>'Land use &amp; agriculture'!E72</f>
        <v>Tier 1</v>
      </c>
      <c r="Q1663" s="193" t="str">
        <f>'Land use &amp; agriculture'!F72</f>
        <v xml:space="preserve"> </v>
      </c>
      <c r="R1663" s="193">
        <f>'Land use &amp; agriculture'!G72</f>
        <v>0</v>
      </c>
      <c r="S1663" s="193" t="str">
        <f>'Land use &amp; agriculture'!H72</f>
        <v>ha</v>
      </c>
      <c r="T1663" s="193">
        <f>'Land use &amp; agriculture'!I72</f>
        <v>0</v>
      </c>
      <c r="U1663" s="193" t="str">
        <f>'Land use &amp; agriculture'!J72</f>
        <v>ha</v>
      </c>
      <c r="V1663" s="193" t="str">
        <f>'Land use &amp; agriculture'!K72</f>
        <v/>
      </c>
      <c r="W1663" s="193" t="str">
        <f>'Land use &amp; agriculture'!L72</f>
        <v/>
      </c>
      <c r="X1663" s="193">
        <f>'Land use &amp; agriculture'!M72</f>
        <v>0</v>
      </c>
      <c r="Y1663" s="193">
        <f>'Land use &amp; agriculture'!N72</f>
        <v>0</v>
      </c>
      <c r="Z1663" s="193">
        <f>'Land use &amp; agriculture'!O72</f>
        <v>0</v>
      </c>
      <c r="AA1663" s="193">
        <f>'Land use &amp; agriculture'!P72</f>
        <v>0</v>
      </c>
      <c r="AB1663" s="193">
        <f>'Land use &amp; agriculture'!Q72</f>
        <v>0</v>
      </c>
      <c r="AC1663" s="193">
        <f>'Land use &amp; agriculture'!R72</f>
        <v>0</v>
      </c>
      <c r="AD1663" s="193">
        <f>'Land use &amp; agriculture'!S72</f>
        <v>0</v>
      </c>
      <c r="AE1663" s="193" t="str">
        <f>'Land use &amp; agriculture'!T72</f>
        <v/>
      </c>
      <c r="AF1663" s="193" t="str">
        <f>'Land use &amp; agriculture'!U72</f>
        <v/>
      </c>
      <c r="AG1663" s="193" t="str">
        <f>'Land use &amp; agriculture'!V72</f>
        <v/>
      </c>
      <c r="AI1663" s="193">
        <f t="shared" si="40"/>
        <v>0</v>
      </c>
      <c r="AJ1663" s="193">
        <f t="shared" si="41"/>
        <v>0</v>
      </c>
    </row>
    <row r="1664" spans="2:36" x14ac:dyDescent="0.35">
      <c r="B1664" s="193" t="e">
        <f>"2024"&amp;MATCH(Totals!D1664,OrgType,0)&amp;"_"&amp;MATCH(Totals!E1664,Organisations,0)&amp;"_"&amp;LEFT(Totals!F1664,1)&amp;"_"&amp;LEFT(G1664,1)&amp;"_"&amp;COUNTIF($G$3:G1664,G1664)</f>
        <v>#N/A</v>
      </c>
      <c r="C1664" s="193">
        <v>2025</v>
      </c>
      <c r="D1664" s="193">
        <f>Introduction!$D$7</f>
        <v>0</v>
      </c>
      <c r="E1664" s="193">
        <f>Introduction!$D$8</f>
        <v>0</v>
      </c>
      <c r="F1664" s="193" t="s">
        <v>497</v>
      </c>
      <c r="G1664" s="193" t="s">
        <v>497</v>
      </c>
      <c r="H1664" s="194"/>
      <c r="I1664" s="194"/>
      <c r="J1664" s="193">
        <f>'Land use &amp; agriculture'!B73</f>
        <v>0</v>
      </c>
      <c r="K1664" s="194"/>
      <c r="L1664" s="194"/>
      <c r="M1664" s="193">
        <f>'Land use &amp; agriculture'!C73</f>
        <v>0</v>
      </c>
      <c r="N1664" s="193">
        <f>'Land use &amp; agriculture'!D73</f>
        <v>0</v>
      </c>
      <c r="O1664" s="194"/>
      <c r="P1664" s="193" t="str">
        <f>'Land use &amp; agriculture'!E73</f>
        <v>Tier 1</v>
      </c>
      <c r="Q1664" s="193" t="str">
        <f>'Land use &amp; agriculture'!F73</f>
        <v xml:space="preserve"> </v>
      </c>
      <c r="R1664" s="193">
        <f>'Land use &amp; agriculture'!G73</f>
        <v>0</v>
      </c>
      <c r="S1664" s="193" t="str">
        <f>'Land use &amp; agriculture'!H73</f>
        <v>ha</v>
      </c>
      <c r="T1664" s="193">
        <f>'Land use &amp; agriculture'!I73</f>
        <v>0</v>
      </c>
      <c r="U1664" s="193" t="str">
        <f>'Land use &amp; agriculture'!J73</f>
        <v>ha</v>
      </c>
      <c r="V1664" s="193" t="str">
        <f>'Land use &amp; agriculture'!K73</f>
        <v/>
      </c>
      <c r="W1664" s="193" t="str">
        <f>'Land use &amp; agriculture'!L73</f>
        <v/>
      </c>
      <c r="X1664" s="193">
        <f>'Land use &amp; agriculture'!M73</f>
        <v>0</v>
      </c>
      <c r="Y1664" s="193">
        <f>'Land use &amp; agriculture'!N73</f>
        <v>0</v>
      </c>
      <c r="Z1664" s="193">
        <f>'Land use &amp; agriculture'!O73</f>
        <v>0</v>
      </c>
      <c r="AA1664" s="193">
        <f>'Land use &amp; agriculture'!P73</f>
        <v>0</v>
      </c>
      <c r="AB1664" s="193">
        <f>'Land use &amp; agriculture'!Q73</f>
        <v>0</v>
      </c>
      <c r="AC1664" s="193">
        <f>'Land use &amp; agriculture'!R73</f>
        <v>0</v>
      </c>
      <c r="AD1664" s="193">
        <f>'Land use &amp; agriculture'!S73</f>
        <v>0</v>
      </c>
      <c r="AE1664" s="193" t="str">
        <f>'Land use &amp; agriculture'!T73</f>
        <v/>
      </c>
      <c r="AF1664" s="193" t="str">
        <f>'Land use &amp; agriculture'!U73</f>
        <v/>
      </c>
      <c r="AG1664" s="193" t="str">
        <f>'Land use &amp; agriculture'!V73</f>
        <v/>
      </c>
      <c r="AI1664" s="193">
        <f t="shared" si="40"/>
        <v>0</v>
      </c>
      <c r="AJ1664" s="193">
        <f t="shared" si="41"/>
        <v>0</v>
      </c>
    </row>
    <row r="1665" spans="2:36" x14ac:dyDescent="0.35">
      <c r="B1665" s="193" t="e">
        <f>"2024"&amp;MATCH(Totals!D1665,OrgType,0)&amp;"_"&amp;MATCH(Totals!E1665,Organisations,0)&amp;"_"&amp;LEFT(Totals!F1665,1)&amp;"_"&amp;LEFT(G1665,1)&amp;"_"&amp;COUNTIF($G$3:G1665,G1665)</f>
        <v>#N/A</v>
      </c>
      <c r="C1665" s="193">
        <v>2025</v>
      </c>
      <c r="D1665" s="193">
        <f>Introduction!$D$7</f>
        <v>0</v>
      </c>
      <c r="E1665" s="193">
        <f>Introduction!$D$8</f>
        <v>0</v>
      </c>
      <c r="F1665" s="193" t="s">
        <v>497</v>
      </c>
      <c r="G1665" s="193" t="s">
        <v>497</v>
      </c>
      <c r="H1665" s="194"/>
      <c r="I1665" s="194"/>
      <c r="J1665" s="193">
        <f>'Land use &amp; agriculture'!B74</f>
        <v>0</v>
      </c>
      <c r="K1665" s="194"/>
      <c r="L1665" s="194"/>
      <c r="M1665" s="193">
        <f>'Land use &amp; agriculture'!C74</f>
        <v>0</v>
      </c>
      <c r="N1665" s="193">
        <f>'Land use &amp; agriculture'!D74</f>
        <v>0</v>
      </c>
      <c r="O1665" s="194"/>
      <c r="P1665" s="193" t="str">
        <f>'Land use &amp; agriculture'!E74</f>
        <v>Tier 1</v>
      </c>
      <c r="Q1665" s="193" t="str">
        <f>'Land use &amp; agriculture'!F74</f>
        <v xml:space="preserve"> </v>
      </c>
      <c r="R1665" s="193">
        <f>'Land use &amp; agriculture'!G74</f>
        <v>0</v>
      </c>
      <c r="S1665" s="193" t="str">
        <f>'Land use &amp; agriculture'!H74</f>
        <v>ha</v>
      </c>
      <c r="T1665" s="193">
        <f>'Land use &amp; agriculture'!I74</f>
        <v>0</v>
      </c>
      <c r="U1665" s="193" t="str">
        <f>'Land use &amp; agriculture'!J74</f>
        <v>ha</v>
      </c>
      <c r="V1665" s="193" t="str">
        <f>'Land use &amp; agriculture'!K74</f>
        <v/>
      </c>
      <c r="W1665" s="193" t="str">
        <f>'Land use &amp; agriculture'!L74</f>
        <v/>
      </c>
      <c r="X1665" s="193">
        <f>'Land use &amp; agriculture'!M74</f>
        <v>0</v>
      </c>
      <c r="Y1665" s="193">
        <f>'Land use &amp; agriculture'!N74</f>
        <v>0</v>
      </c>
      <c r="Z1665" s="193">
        <f>'Land use &amp; agriculture'!O74</f>
        <v>0</v>
      </c>
      <c r="AA1665" s="193">
        <f>'Land use &amp; agriculture'!P74</f>
        <v>0</v>
      </c>
      <c r="AB1665" s="193">
        <f>'Land use &amp; agriculture'!Q74</f>
        <v>0</v>
      </c>
      <c r="AC1665" s="193">
        <f>'Land use &amp; agriculture'!R74</f>
        <v>0</v>
      </c>
      <c r="AD1665" s="193">
        <f>'Land use &amp; agriculture'!S74</f>
        <v>0</v>
      </c>
      <c r="AE1665" s="193" t="str">
        <f>'Land use &amp; agriculture'!T74</f>
        <v/>
      </c>
      <c r="AF1665" s="193" t="str">
        <f>'Land use &amp; agriculture'!U74</f>
        <v/>
      </c>
      <c r="AG1665" s="193" t="str">
        <f>'Land use &amp; agriculture'!V74</f>
        <v/>
      </c>
      <c r="AI1665" s="193">
        <f t="shared" si="40"/>
        <v>0</v>
      </c>
      <c r="AJ1665" s="193">
        <f t="shared" si="41"/>
        <v>0</v>
      </c>
    </row>
    <row r="1666" spans="2:36" x14ac:dyDescent="0.35">
      <c r="B1666" s="193" t="e">
        <f>"2024"&amp;MATCH(Totals!D1666,OrgType,0)&amp;"_"&amp;MATCH(Totals!E1666,Organisations,0)&amp;"_"&amp;LEFT(Totals!F1666,1)&amp;"_"&amp;LEFT(G1666,1)&amp;"_"&amp;COUNTIF($G$3:G1666,G1666)</f>
        <v>#N/A</v>
      </c>
      <c r="C1666" s="193">
        <v>2025</v>
      </c>
      <c r="D1666" s="193">
        <f>Introduction!$D$7</f>
        <v>0</v>
      </c>
      <c r="E1666" s="193">
        <f>Introduction!$D$8</f>
        <v>0</v>
      </c>
      <c r="F1666" s="193" t="s">
        <v>497</v>
      </c>
      <c r="G1666" s="193" t="s">
        <v>497</v>
      </c>
      <c r="H1666" s="194"/>
      <c r="I1666" s="194"/>
      <c r="J1666" s="193">
        <f>'Land use &amp; agriculture'!B75</f>
        <v>0</v>
      </c>
      <c r="K1666" s="194"/>
      <c r="L1666" s="194"/>
      <c r="M1666" s="193">
        <f>'Land use &amp; agriculture'!C75</f>
        <v>0</v>
      </c>
      <c r="N1666" s="193">
        <f>'Land use &amp; agriculture'!D75</f>
        <v>0</v>
      </c>
      <c r="O1666" s="194"/>
      <c r="P1666" s="193" t="str">
        <f>'Land use &amp; agriculture'!E75</f>
        <v>Tier 1</v>
      </c>
      <c r="Q1666" s="193" t="str">
        <f>'Land use &amp; agriculture'!F75</f>
        <v xml:space="preserve"> </v>
      </c>
      <c r="R1666" s="193">
        <f>'Land use &amp; agriculture'!G75</f>
        <v>0</v>
      </c>
      <c r="S1666" s="193" t="str">
        <f>'Land use &amp; agriculture'!H75</f>
        <v>ha</v>
      </c>
      <c r="T1666" s="193">
        <f>'Land use &amp; agriculture'!I75</f>
        <v>0</v>
      </c>
      <c r="U1666" s="193" t="str">
        <f>'Land use &amp; agriculture'!J75</f>
        <v>ha</v>
      </c>
      <c r="V1666" s="193" t="str">
        <f>'Land use &amp; agriculture'!K75</f>
        <v/>
      </c>
      <c r="W1666" s="193" t="str">
        <f>'Land use &amp; agriculture'!L75</f>
        <v/>
      </c>
      <c r="X1666" s="193">
        <f>'Land use &amp; agriculture'!M75</f>
        <v>0</v>
      </c>
      <c r="Y1666" s="193">
        <f>'Land use &amp; agriculture'!N75</f>
        <v>0</v>
      </c>
      <c r="Z1666" s="193">
        <f>'Land use &amp; agriculture'!O75</f>
        <v>0</v>
      </c>
      <c r="AA1666" s="193">
        <f>'Land use &amp; agriculture'!P75</f>
        <v>0</v>
      </c>
      <c r="AB1666" s="193">
        <f>'Land use &amp; agriculture'!Q75</f>
        <v>0</v>
      </c>
      <c r="AC1666" s="193">
        <f>'Land use &amp; agriculture'!R75</f>
        <v>0</v>
      </c>
      <c r="AD1666" s="193">
        <f>'Land use &amp; agriculture'!S75</f>
        <v>0</v>
      </c>
      <c r="AE1666" s="193" t="str">
        <f>'Land use &amp; agriculture'!T75</f>
        <v/>
      </c>
      <c r="AF1666" s="193" t="str">
        <f>'Land use &amp; agriculture'!U75</f>
        <v/>
      </c>
      <c r="AG1666" s="193" t="str">
        <f>'Land use &amp; agriculture'!V75</f>
        <v/>
      </c>
      <c r="AI1666" s="193">
        <f t="shared" si="40"/>
        <v>0</v>
      </c>
      <c r="AJ1666" s="193">
        <f t="shared" si="41"/>
        <v>0</v>
      </c>
    </row>
    <row r="1667" spans="2:36" x14ac:dyDescent="0.35">
      <c r="B1667" s="193" t="e">
        <f>"2024"&amp;MATCH(Totals!D1667,OrgType,0)&amp;"_"&amp;MATCH(Totals!E1667,Organisations,0)&amp;"_"&amp;LEFT(Totals!F1667,1)&amp;"_"&amp;LEFT(G1667,1)&amp;"_"&amp;COUNTIF($G$3:G1667,G1667)</f>
        <v>#N/A</v>
      </c>
      <c r="C1667" s="193">
        <v>2025</v>
      </c>
      <c r="D1667" s="193">
        <f>Introduction!$D$7</f>
        <v>0</v>
      </c>
      <c r="E1667" s="193">
        <f>Introduction!$D$8</f>
        <v>0</v>
      </c>
      <c r="F1667" s="193" t="s">
        <v>497</v>
      </c>
      <c r="G1667" s="193" t="s">
        <v>497</v>
      </c>
      <c r="H1667" s="194"/>
      <c r="I1667" s="194"/>
      <c r="J1667" s="193">
        <f>'Land use &amp; agriculture'!B76</f>
        <v>0</v>
      </c>
      <c r="K1667" s="194"/>
      <c r="L1667" s="194"/>
      <c r="M1667" s="193">
        <f>'Land use &amp; agriculture'!C76</f>
        <v>0</v>
      </c>
      <c r="N1667" s="193">
        <f>'Land use &amp; agriculture'!D76</f>
        <v>0</v>
      </c>
      <c r="O1667" s="194"/>
      <c r="P1667" s="193" t="str">
        <f>'Land use &amp; agriculture'!E76</f>
        <v>Tier 1</v>
      </c>
      <c r="Q1667" s="193" t="str">
        <f>'Land use &amp; agriculture'!F76</f>
        <v xml:space="preserve"> </v>
      </c>
      <c r="R1667" s="193">
        <f>'Land use &amp; agriculture'!G76</f>
        <v>0</v>
      </c>
      <c r="S1667" s="193" t="str">
        <f>'Land use &amp; agriculture'!H76</f>
        <v>ha</v>
      </c>
      <c r="T1667" s="193">
        <f>'Land use &amp; agriculture'!I76</f>
        <v>0</v>
      </c>
      <c r="U1667" s="193" t="str">
        <f>'Land use &amp; agriculture'!J76</f>
        <v>ha</v>
      </c>
      <c r="V1667" s="193" t="str">
        <f>'Land use &amp; agriculture'!K76</f>
        <v/>
      </c>
      <c r="W1667" s="193" t="str">
        <f>'Land use &amp; agriculture'!L76</f>
        <v/>
      </c>
      <c r="X1667" s="193">
        <f>'Land use &amp; agriculture'!M76</f>
        <v>0</v>
      </c>
      <c r="Y1667" s="193">
        <f>'Land use &amp; agriculture'!N76</f>
        <v>0</v>
      </c>
      <c r="Z1667" s="193">
        <f>'Land use &amp; agriculture'!O76</f>
        <v>0</v>
      </c>
      <c r="AA1667" s="193">
        <f>'Land use &amp; agriculture'!P76</f>
        <v>0</v>
      </c>
      <c r="AB1667" s="193">
        <f>'Land use &amp; agriculture'!Q76</f>
        <v>0</v>
      </c>
      <c r="AC1667" s="193">
        <f>'Land use &amp; agriculture'!R76</f>
        <v>0</v>
      </c>
      <c r="AD1667" s="193">
        <f>'Land use &amp; agriculture'!S76</f>
        <v>0</v>
      </c>
      <c r="AE1667" s="193" t="str">
        <f>'Land use &amp; agriculture'!T76</f>
        <v/>
      </c>
      <c r="AF1667" s="193" t="str">
        <f>'Land use &amp; agriculture'!U76</f>
        <v/>
      </c>
      <c r="AG1667" s="193" t="str">
        <f>'Land use &amp; agriculture'!V76</f>
        <v/>
      </c>
      <c r="AI1667" s="193">
        <f t="shared" si="40"/>
        <v>0</v>
      </c>
      <c r="AJ1667" s="193">
        <f t="shared" si="41"/>
        <v>0</v>
      </c>
    </row>
    <row r="1668" spans="2:36" x14ac:dyDescent="0.35">
      <c r="B1668" s="193" t="e">
        <f>"2024"&amp;MATCH(Totals!D1668,OrgType,0)&amp;"_"&amp;MATCH(Totals!E1668,Organisations,0)&amp;"_"&amp;LEFT(Totals!F1668,1)&amp;"_"&amp;LEFT(G1668,1)&amp;"_"&amp;COUNTIF($G$3:G1668,G1668)</f>
        <v>#N/A</v>
      </c>
      <c r="C1668" s="193">
        <v>2025</v>
      </c>
      <c r="D1668" s="193">
        <f>Introduction!$D$7</f>
        <v>0</v>
      </c>
      <c r="E1668" s="193">
        <f>Introduction!$D$8</f>
        <v>0</v>
      </c>
      <c r="F1668" s="193" t="s">
        <v>497</v>
      </c>
      <c r="G1668" s="193" t="s">
        <v>497</v>
      </c>
      <c r="H1668" s="194"/>
      <c r="I1668" s="194"/>
      <c r="J1668" s="193">
        <f>'Land use &amp; agriculture'!B77</f>
        <v>0</v>
      </c>
      <c r="K1668" s="194"/>
      <c r="L1668" s="194"/>
      <c r="M1668" s="193">
        <f>'Land use &amp; agriculture'!C77</f>
        <v>0</v>
      </c>
      <c r="N1668" s="193">
        <f>'Land use &amp; agriculture'!D77</f>
        <v>0</v>
      </c>
      <c r="O1668" s="194"/>
      <c r="P1668" s="193" t="str">
        <f>'Land use &amp; agriculture'!E77</f>
        <v>Tier 1</v>
      </c>
      <c r="Q1668" s="193" t="str">
        <f>'Land use &amp; agriculture'!F77</f>
        <v xml:space="preserve"> </v>
      </c>
      <c r="R1668" s="193">
        <f>'Land use &amp; agriculture'!G77</f>
        <v>0</v>
      </c>
      <c r="S1668" s="193" t="str">
        <f>'Land use &amp; agriculture'!H77</f>
        <v>ha</v>
      </c>
      <c r="T1668" s="193">
        <f>'Land use &amp; agriculture'!I77</f>
        <v>0</v>
      </c>
      <c r="U1668" s="193" t="str">
        <f>'Land use &amp; agriculture'!J77</f>
        <v>ha</v>
      </c>
      <c r="V1668" s="193" t="str">
        <f>'Land use &amp; agriculture'!K77</f>
        <v/>
      </c>
      <c r="W1668" s="193" t="str">
        <f>'Land use &amp; agriculture'!L77</f>
        <v/>
      </c>
      <c r="X1668" s="193">
        <f>'Land use &amp; agriculture'!M77</f>
        <v>0</v>
      </c>
      <c r="Y1668" s="193">
        <f>'Land use &amp; agriculture'!N77</f>
        <v>0</v>
      </c>
      <c r="Z1668" s="193">
        <f>'Land use &amp; agriculture'!O77</f>
        <v>0</v>
      </c>
      <c r="AA1668" s="193">
        <f>'Land use &amp; agriculture'!P77</f>
        <v>0</v>
      </c>
      <c r="AB1668" s="193">
        <f>'Land use &amp; agriculture'!Q77</f>
        <v>0</v>
      </c>
      <c r="AC1668" s="193">
        <f>'Land use &amp; agriculture'!R77</f>
        <v>0</v>
      </c>
      <c r="AD1668" s="193">
        <f>'Land use &amp; agriculture'!S77</f>
        <v>0</v>
      </c>
      <c r="AE1668" s="193" t="str">
        <f>'Land use &amp; agriculture'!T77</f>
        <v/>
      </c>
      <c r="AF1668" s="193" t="str">
        <f>'Land use &amp; agriculture'!U77</f>
        <v/>
      </c>
      <c r="AG1668" s="193" t="str">
        <f>'Land use &amp; agriculture'!V77</f>
        <v/>
      </c>
      <c r="AI1668" s="193">
        <f t="shared" si="40"/>
        <v>0</v>
      </c>
      <c r="AJ1668" s="193">
        <f t="shared" si="41"/>
        <v>0</v>
      </c>
    </row>
    <row r="1669" spans="2:36" x14ac:dyDescent="0.35">
      <c r="B1669" s="193" t="e">
        <f>"2024"&amp;MATCH(Totals!D1669,OrgType,0)&amp;"_"&amp;MATCH(Totals!E1669,Organisations,0)&amp;"_"&amp;LEFT(Totals!F1669,1)&amp;"_"&amp;LEFT(G1669,1)&amp;"_"&amp;COUNTIF($G$3:G1669,G1669)</f>
        <v>#N/A</v>
      </c>
      <c r="C1669" s="193">
        <v>2025</v>
      </c>
      <c r="D1669" s="193">
        <f>Introduction!$D$7</f>
        <v>0</v>
      </c>
      <c r="E1669" s="193">
        <f>Introduction!$D$8</f>
        <v>0</v>
      </c>
      <c r="F1669" s="193" t="s">
        <v>497</v>
      </c>
      <c r="G1669" s="193" t="s">
        <v>497</v>
      </c>
      <c r="H1669" s="194"/>
      <c r="I1669" s="194"/>
      <c r="J1669" s="193">
        <f>'Land use &amp; agriculture'!B78</f>
        <v>0</v>
      </c>
      <c r="K1669" s="194"/>
      <c r="L1669" s="194"/>
      <c r="M1669" s="193">
        <f>'Land use &amp; agriculture'!C78</f>
        <v>0</v>
      </c>
      <c r="N1669" s="193">
        <f>'Land use &amp; agriculture'!D78</f>
        <v>0</v>
      </c>
      <c r="O1669" s="194"/>
      <c r="P1669" s="193" t="str">
        <f>'Land use &amp; agriculture'!E78</f>
        <v>Tier 1</v>
      </c>
      <c r="Q1669" s="193" t="str">
        <f>'Land use &amp; agriculture'!F78</f>
        <v xml:space="preserve"> </v>
      </c>
      <c r="R1669" s="193">
        <f>'Land use &amp; agriculture'!G78</f>
        <v>0</v>
      </c>
      <c r="S1669" s="193" t="str">
        <f>'Land use &amp; agriculture'!H78</f>
        <v>ha</v>
      </c>
      <c r="T1669" s="193">
        <f>'Land use &amp; agriculture'!I78</f>
        <v>0</v>
      </c>
      <c r="U1669" s="193" t="str">
        <f>'Land use &amp; agriculture'!J78</f>
        <v>ha</v>
      </c>
      <c r="V1669" s="193" t="str">
        <f>'Land use &amp; agriculture'!K78</f>
        <v/>
      </c>
      <c r="W1669" s="193" t="str">
        <f>'Land use &amp; agriculture'!L78</f>
        <v/>
      </c>
      <c r="X1669" s="193">
        <f>'Land use &amp; agriculture'!M78</f>
        <v>0</v>
      </c>
      <c r="Y1669" s="193">
        <f>'Land use &amp; agriculture'!N78</f>
        <v>0</v>
      </c>
      <c r="Z1669" s="193">
        <f>'Land use &amp; agriculture'!O78</f>
        <v>0</v>
      </c>
      <c r="AA1669" s="193">
        <f>'Land use &amp; agriculture'!P78</f>
        <v>0</v>
      </c>
      <c r="AB1669" s="193">
        <f>'Land use &amp; agriculture'!Q78</f>
        <v>0</v>
      </c>
      <c r="AC1669" s="193">
        <f>'Land use &amp; agriculture'!R78</f>
        <v>0</v>
      </c>
      <c r="AD1669" s="193">
        <f>'Land use &amp; agriculture'!S78</f>
        <v>0</v>
      </c>
      <c r="AE1669" s="193" t="str">
        <f>'Land use &amp; agriculture'!T78</f>
        <v/>
      </c>
      <c r="AF1669" s="193" t="str">
        <f>'Land use &amp; agriculture'!U78</f>
        <v/>
      </c>
      <c r="AG1669" s="193" t="str">
        <f>'Land use &amp; agriculture'!V78</f>
        <v/>
      </c>
      <c r="AI1669" s="193">
        <f t="shared" si="40"/>
        <v>0</v>
      </c>
      <c r="AJ1669" s="193">
        <f t="shared" si="41"/>
        <v>0</v>
      </c>
    </row>
    <row r="1670" spans="2:36" x14ac:dyDescent="0.35">
      <c r="B1670" s="193" t="e">
        <f>"2024"&amp;MATCH(Totals!D1670,OrgType,0)&amp;"_"&amp;MATCH(Totals!E1670,Organisations,0)&amp;"_"&amp;LEFT(Totals!F1670,1)&amp;"_"&amp;LEFT(G1670,1)&amp;"_"&amp;COUNTIF($G$3:G1670,G1670)</f>
        <v>#N/A</v>
      </c>
      <c r="C1670" s="193">
        <v>2025</v>
      </c>
      <c r="D1670" s="193">
        <f>Introduction!$D$7</f>
        <v>0</v>
      </c>
      <c r="E1670" s="193">
        <f>Introduction!$D$8</f>
        <v>0</v>
      </c>
      <c r="F1670" s="193" t="s">
        <v>497</v>
      </c>
      <c r="G1670" s="193" t="s">
        <v>497</v>
      </c>
      <c r="H1670" s="194"/>
      <c r="I1670" s="194"/>
      <c r="J1670" s="193">
        <f>'Land use &amp; agriculture'!B79</f>
        <v>0</v>
      </c>
      <c r="K1670" s="194"/>
      <c r="L1670" s="194"/>
      <c r="M1670" s="193">
        <f>'Land use &amp; agriculture'!C79</f>
        <v>0</v>
      </c>
      <c r="N1670" s="193">
        <f>'Land use &amp; agriculture'!D79</f>
        <v>0</v>
      </c>
      <c r="O1670" s="194"/>
      <c r="P1670" s="193" t="str">
        <f>'Land use &amp; agriculture'!E79</f>
        <v>Tier 1</v>
      </c>
      <c r="Q1670" s="193" t="str">
        <f>'Land use &amp; agriculture'!F79</f>
        <v xml:space="preserve"> </v>
      </c>
      <c r="R1670" s="193">
        <f>'Land use &amp; agriculture'!G79</f>
        <v>0</v>
      </c>
      <c r="S1670" s="193" t="str">
        <f>'Land use &amp; agriculture'!H79</f>
        <v>ha</v>
      </c>
      <c r="T1670" s="193">
        <f>'Land use &amp; agriculture'!I79</f>
        <v>0</v>
      </c>
      <c r="U1670" s="193" t="str">
        <f>'Land use &amp; agriculture'!J79</f>
        <v>ha</v>
      </c>
      <c r="V1670" s="193" t="str">
        <f>'Land use &amp; agriculture'!K79</f>
        <v/>
      </c>
      <c r="W1670" s="193" t="str">
        <f>'Land use &amp; agriculture'!L79</f>
        <v/>
      </c>
      <c r="X1670" s="193">
        <f>'Land use &amp; agriculture'!M79</f>
        <v>0</v>
      </c>
      <c r="Y1670" s="193">
        <f>'Land use &amp; agriculture'!N79</f>
        <v>0</v>
      </c>
      <c r="Z1670" s="193">
        <f>'Land use &amp; agriculture'!O79</f>
        <v>0</v>
      </c>
      <c r="AA1670" s="193">
        <f>'Land use &amp; agriculture'!P79</f>
        <v>0</v>
      </c>
      <c r="AB1670" s="193">
        <f>'Land use &amp; agriculture'!Q79</f>
        <v>0</v>
      </c>
      <c r="AC1670" s="193">
        <f>'Land use &amp; agriculture'!R79</f>
        <v>0</v>
      </c>
      <c r="AD1670" s="193">
        <f>'Land use &amp; agriculture'!S79</f>
        <v>0</v>
      </c>
      <c r="AE1670" s="193" t="str">
        <f>'Land use &amp; agriculture'!T79</f>
        <v/>
      </c>
      <c r="AF1670" s="193" t="str">
        <f>'Land use &amp; agriculture'!U79</f>
        <v/>
      </c>
      <c r="AG1670" s="193" t="str">
        <f>'Land use &amp; agriculture'!V79</f>
        <v/>
      </c>
      <c r="AI1670" s="193">
        <f t="shared" si="40"/>
        <v>0</v>
      </c>
      <c r="AJ1670" s="193">
        <f t="shared" si="41"/>
        <v>0</v>
      </c>
    </row>
    <row r="1671" spans="2:36" x14ac:dyDescent="0.35">
      <c r="B1671" s="193" t="e">
        <f>"2024"&amp;MATCH(Totals!D1671,OrgType,0)&amp;"_"&amp;MATCH(Totals!E1671,Organisations,0)&amp;"_"&amp;LEFT(Totals!F1671,1)&amp;"_"&amp;LEFT(G1671,1)&amp;"_"&amp;COUNTIF($G$3:G1671,G1671)</f>
        <v>#N/A</v>
      </c>
      <c r="C1671" s="193">
        <v>2025</v>
      </c>
      <c r="D1671" s="193">
        <f>Introduction!$D$7</f>
        <v>0</v>
      </c>
      <c r="E1671" s="193">
        <f>Introduction!$D$8</f>
        <v>0</v>
      </c>
      <c r="F1671" s="193" t="s">
        <v>497</v>
      </c>
      <c r="G1671" s="193" t="s">
        <v>497</v>
      </c>
      <c r="H1671" s="194"/>
      <c r="I1671" s="194"/>
      <c r="J1671" s="193">
        <f>'Land use &amp; agriculture'!B80</f>
        <v>0</v>
      </c>
      <c r="K1671" s="194"/>
      <c r="L1671" s="194"/>
      <c r="M1671" s="193">
        <f>'Land use &amp; agriculture'!C80</f>
        <v>0</v>
      </c>
      <c r="N1671" s="193">
        <f>'Land use &amp; agriculture'!D80</f>
        <v>0</v>
      </c>
      <c r="O1671" s="194"/>
      <c r="P1671" s="193" t="str">
        <f>'Land use &amp; agriculture'!E80</f>
        <v>Tier 1</v>
      </c>
      <c r="Q1671" s="193" t="str">
        <f>'Land use &amp; agriculture'!F80</f>
        <v xml:space="preserve"> </v>
      </c>
      <c r="R1671" s="193">
        <f>'Land use &amp; agriculture'!G80</f>
        <v>0</v>
      </c>
      <c r="S1671" s="193" t="str">
        <f>'Land use &amp; agriculture'!H80</f>
        <v>ha</v>
      </c>
      <c r="T1671" s="193">
        <f>'Land use &amp; agriculture'!I80</f>
        <v>0</v>
      </c>
      <c r="U1671" s="193" t="str">
        <f>'Land use &amp; agriculture'!J80</f>
        <v>ha</v>
      </c>
      <c r="V1671" s="193" t="str">
        <f>'Land use &amp; agriculture'!K80</f>
        <v/>
      </c>
      <c r="W1671" s="193" t="str">
        <f>'Land use &amp; agriculture'!L80</f>
        <v/>
      </c>
      <c r="X1671" s="193">
        <f>'Land use &amp; agriculture'!M80</f>
        <v>0</v>
      </c>
      <c r="Y1671" s="193">
        <f>'Land use &amp; agriculture'!N80</f>
        <v>0</v>
      </c>
      <c r="Z1671" s="193">
        <f>'Land use &amp; agriculture'!O80</f>
        <v>0</v>
      </c>
      <c r="AA1671" s="193">
        <f>'Land use &amp; agriculture'!P80</f>
        <v>0</v>
      </c>
      <c r="AB1671" s="193">
        <f>'Land use &amp; agriculture'!Q80</f>
        <v>0</v>
      </c>
      <c r="AC1671" s="193">
        <f>'Land use &amp; agriculture'!R80</f>
        <v>0</v>
      </c>
      <c r="AD1671" s="193">
        <f>'Land use &amp; agriculture'!S80</f>
        <v>0</v>
      </c>
      <c r="AE1671" s="193" t="str">
        <f>'Land use &amp; agriculture'!T80</f>
        <v/>
      </c>
      <c r="AF1671" s="193" t="str">
        <f>'Land use &amp; agriculture'!U80</f>
        <v/>
      </c>
      <c r="AG1671" s="193" t="str">
        <f>'Land use &amp; agriculture'!V80</f>
        <v/>
      </c>
      <c r="AI1671" s="193">
        <f t="shared" si="40"/>
        <v>0</v>
      </c>
      <c r="AJ1671" s="193">
        <f t="shared" si="41"/>
        <v>0</v>
      </c>
    </row>
    <row r="1672" spans="2:36" x14ac:dyDescent="0.35">
      <c r="B1672" s="193" t="e">
        <f>"2024"&amp;MATCH(Totals!D1672,OrgType,0)&amp;"_"&amp;MATCH(Totals!E1672,Organisations,0)&amp;"_"&amp;LEFT(Totals!F1672,1)&amp;"_"&amp;LEFT(G1672,1)&amp;"_"&amp;COUNTIF($G$3:G1672,G1672)</f>
        <v>#N/A</v>
      </c>
      <c r="C1672" s="193">
        <v>2025</v>
      </c>
      <c r="D1672" s="193">
        <f>Introduction!$D$7</f>
        <v>0</v>
      </c>
      <c r="E1672" s="193">
        <f>Introduction!$D$8</f>
        <v>0</v>
      </c>
      <c r="F1672" s="193" t="s">
        <v>497</v>
      </c>
      <c r="G1672" s="193" t="s">
        <v>497</v>
      </c>
      <c r="H1672" s="194"/>
      <c r="I1672" s="194"/>
      <c r="J1672" s="193">
        <f>'Land use &amp; agriculture'!B81</f>
        <v>0</v>
      </c>
      <c r="K1672" s="194"/>
      <c r="L1672" s="194"/>
      <c r="M1672" s="193">
        <f>'Land use &amp; agriculture'!C81</f>
        <v>0</v>
      </c>
      <c r="N1672" s="193">
        <f>'Land use &amp; agriculture'!D81</f>
        <v>0</v>
      </c>
      <c r="O1672" s="194"/>
      <c r="P1672" s="193" t="str">
        <f>'Land use &amp; agriculture'!E81</f>
        <v>Tier 1</v>
      </c>
      <c r="Q1672" s="193" t="str">
        <f>'Land use &amp; agriculture'!F81</f>
        <v xml:space="preserve"> </v>
      </c>
      <c r="R1672" s="193">
        <f>'Land use &amp; agriculture'!G81</f>
        <v>0</v>
      </c>
      <c r="S1672" s="193" t="str">
        <f>'Land use &amp; agriculture'!H81</f>
        <v>ha</v>
      </c>
      <c r="T1672" s="193">
        <f>'Land use &amp; agriculture'!I81</f>
        <v>0</v>
      </c>
      <c r="U1672" s="193" t="str">
        <f>'Land use &amp; agriculture'!J81</f>
        <v>ha</v>
      </c>
      <c r="V1672" s="193" t="str">
        <f>'Land use &amp; agriculture'!K81</f>
        <v/>
      </c>
      <c r="W1672" s="193" t="str">
        <f>'Land use &amp; agriculture'!L81</f>
        <v/>
      </c>
      <c r="X1672" s="193">
        <f>'Land use &amp; agriculture'!M81</f>
        <v>0</v>
      </c>
      <c r="Y1672" s="193">
        <f>'Land use &amp; agriculture'!N81</f>
        <v>0</v>
      </c>
      <c r="Z1672" s="193">
        <f>'Land use &amp; agriculture'!O81</f>
        <v>0</v>
      </c>
      <c r="AA1672" s="193">
        <f>'Land use &amp; agriculture'!P81</f>
        <v>0</v>
      </c>
      <c r="AB1672" s="193">
        <f>'Land use &amp; agriculture'!Q81</f>
        <v>0</v>
      </c>
      <c r="AC1672" s="193">
        <f>'Land use &amp; agriculture'!R81</f>
        <v>0</v>
      </c>
      <c r="AD1672" s="193">
        <f>'Land use &amp; agriculture'!S81</f>
        <v>0</v>
      </c>
      <c r="AE1672" s="193" t="str">
        <f>'Land use &amp; agriculture'!T81</f>
        <v/>
      </c>
      <c r="AF1672" s="193" t="str">
        <f>'Land use &amp; agriculture'!U81</f>
        <v/>
      </c>
      <c r="AG1672" s="193" t="str">
        <f>'Land use &amp; agriculture'!V81</f>
        <v/>
      </c>
      <c r="AI1672" s="193">
        <f t="shared" si="40"/>
        <v>0</v>
      </c>
      <c r="AJ1672" s="193">
        <f t="shared" si="41"/>
        <v>0</v>
      </c>
    </row>
    <row r="1673" spans="2:36" x14ac:dyDescent="0.35">
      <c r="B1673" s="193" t="e">
        <f>"2024"&amp;MATCH(Totals!D1673,OrgType,0)&amp;"_"&amp;MATCH(Totals!E1673,Organisations,0)&amp;"_"&amp;LEFT(Totals!F1673,1)&amp;"_"&amp;LEFT(G1673,1)&amp;"_"&amp;COUNTIF($G$3:G1673,G1673)</f>
        <v>#N/A</v>
      </c>
      <c r="C1673" s="193">
        <v>2025</v>
      </c>
      <c r="D1673" s="193">
        <f>Introduction!$D$7</f>
        <v>0</v>
      </c>
      <c r="E1673" s="193">
        <f>Introduction!$D$8</f>
        <v>0</v>
      </c>
      <c r="F1673" s="193" t="s">
        <v>497</v>
      </c>
      <c r="G1673" s="193" t="s">
        <v>497</v>
      </c>
      <c r="H1673" s="194"/>
      <c r="I1673" s="194"/>
      <c r="J1673" s="193">
        <f>'Land use &amp; agriculture'!B82</f>
        <v>0</v>
      </c>
      <c r="K1673" s="194"/>
      <c r="L1673" s="194"/>
      <c r="M1673" s="193">
        <f>'Land use &amp; agriculture'!C82</f>
        <v>0</v>
      </c>
      <c r="N1673" s="193">
        <f>'Land use &amp; agriculture'!D82</f>
        <v>0</v>
      </c>
      <c r="O1673" s="194"/>
      <c r="P1673" s="193" t="str">
        <f>'Land use &amp; agriculture'!E82</f>
        <v>Tier 1</v>
      </c>
      <c r="Q1673" s="193" t="str">
        <f>'Land use &amp; agriculture'!F82</f>
        <v xml:space="preserve"> </v>
      </c>
      <c r="R1673" s="193">
        <f>'Land use &amp; agriculture'!G82</f>
        <v>0</v>
      </c>
      <c r="S1673" s="193" t="str">
        <f>'Land use &amp; agriculture'!H82</f>
        <v>ha</v>
      </c>
      <c r="T1673" s="193">
        <f>'Land use &amp; agriculture'!I82</f>
        <v>0</v>
      </c>
      <c r="U1673" s="193" t="str">
        <f>'Land use &amp; agriculture'!J82</f>
        <v>ha</v>
      </c>
      <c r="V1673" s="193" t="str">
        <f>'Land use &amp; agriculture'!K82</f>
        <v/>
      </c>
      <c r="W1673" s="193" t="str">
        <f>'Land use &amp; agriculture'!L82</f>
        <v/>
      </c>
      <c r="X1673" s="193">
        <f>'Land use &amp; agriculture'!M82</f>
        <v>0</v>
      </c>
      <c r="Y1673" s="193">
        <f>'Land use &amp; agriculture'!N82</f>
        <v>0</v>
      </c>
      <c r="Z1673" s="193">
        <f>'Land use &amp; agriculture'!O82</f>
        <v>0</v>
      </c>
      <c r="AA1673" s="193">
        <f>'Land use &amp; agriculture'!P82</f>
        <v>0</v>
      </c>
      <c r="AB1673" s="193">
        <f>'Land use &amp; agriculture'!Q82</f>
        <v>0</v>
      </c>
      <c r="AC1673" s="193">
        <f>'Land use &amp; agriculture'!R82</f>
        <v>0</v>
      </c>
      <c r="AD1673" s="193">
        <f>'Land use &amp; agriculture'!S82</f>
        <v>0</v>
      </c>
      <c r="AE1673" s="193" t="str">
        <f>'Land use &amp; agriculture'!T82</f>
        <v/>
      </c>
      <c r="AF1673" s="193" t="str">
        <f>'Land use &amp; agriculture'!U82</f>
        <v/>
      </c>
      <c r="AG1673" s="193" t="str">
        <f>'Land use &amp; agriculture'!V82</f>
        <v/>
      </c>
      <c r="AI1673" s="193">
        <f t="shared" si="40"/>
        <v>0</v>
      </c>
      <c r="AJ1673" s="193">
        <f t="shared" si="41"/>
        <v>0</v>
      </c>
    </row>
    <row r="1674" spans="2:36" x14ac:dyDescent="0.35">
      <c r="B1674" s="193" t="e">
        <f>"2024"&amp;MATCH(Totals!D1674,OrgType,0)&amp;"_"&amp;MATCH(Totals!E1674,Organisations,0)&amp;"_"&amp;LEFT(Totals!F1674,1)&amp;"_"&amp;LEFT(G1674,1)&amp;"_"&amp;COUNTIF($G$3:G1674,G1674)</f>
        <v>#N/A</v>
      </c>
      <c r="C1674" s="193">
        <v>2025</v>
      </c>
      <c r="D1674" s="193">
        <f>Introduction!$D$7</f>
        <v>0</v>
      </c>
      <c r="E1674" s="193">
        <f>Introduction!$D$8</f>
        <v>0</v>
      </c>
      <c r="F1674" s="193" t="s">
        <v>497</v>
      </c>
      <c r="G1674" s="193" t="s">
        <v>497</v>
      </c>
      <c r="H1674" s="194"/>
      <c r="I1674" s="194"/>
      <c r="J1674" s="193">
        <f>'Land use &amp; agriculture'!B83</f>
        <v>0</v>
      </c>
      <c r="K1674" s="194"/>
      <c r="L1674" s="194"/>
      <c r="M1674" s="193">
        <f>'Land use &amp; agriculture'!C83</f>
        <v>0</v>
      </c>
      <c r="N1674" s="193">
        <f>'Land use &amp; agriculture'!D83</f>
        <v>0</v>
      </c>
      <c r="O1674" s="194"/>
      <c r="P1674" s="193" t="str">
        <f>'Land use &amp; agriculture'!E83</f>
        <v>Tier 1</v>
      </c>
      <c r="Q1674" s="193" t="str">
        <f>'Land use &amp; agriculture'!F83</f>
        <v xml:space="preserve"> </v>
      </c>
      <c r="R1674" s="193">
        <f>'Land use &amp; agriculture'!G83</f>
        <v>0</v>
      </c>
      <c r="S1674" s="193" t="str">
        <f>'Land use &amp; agriculture'!H83</f>
        <v>ha</v>
      </c>
      <c r="T1674" s="193">
        <f>'Land use &amp; agriculture'!I83</f>
        <v>0</v>
      </c>
      <c r="U1674" s="193" t="str">
        <f>'Land use &amp; agriculture'!J83</f>
        <v>ha</v>
      </c>
      <c r="V1674" s="193" t="str">
        <f>'Land use &amp; agriculture'!K83</f>
        <v/>
      </c>
      <c r="W1674" s="193" t="str">
        <f>'Land use &amp; agriculture'!L83</f>
        <v/>
      </c>
      <c r="X1674" s="193">
        <f>'Land use &amp; agriculture'!M83</f>
        <v>0</v>
      </c>
      <c r="Y1674" s="193">
        <f>'Land use &amp; agriculture'!N83</f>
        <v>0</v>
      </c>
      <c r="Z1674" s="193">
        <f>'Land use &amp; agriculture'!O83</f>
        <v>0</v>
      </c>
      <c r="AA1674" s="193">
        <f>'Land use &amp; agriculture'!P83</f>
        <v>0</v>
      </c>
      <c r="AB1674" s="193">
        <f>'Land use &amp; agriculture'!Q83</f>
        <v>0</v>
      </c>
      <c r="AC1674" s="193">
        <f>'Land use &amp; agriculture'!R83</f>
        <v>0</v>
      </c>
      <c r="AD1674" s="193">
        <f>'Land use &amp; agriculture'!S83</f>
        <v>0</v>
      </c>
      <c r="AE1674" s="193" t="str">
        <f>'Land use &amp; agriculture'!T83</f>
        <v/>
      </c>
      <c r="AF1674" s="193" t="str">
        <f>'Land use &amp; agriculture'!U83</f>
        <v/>
      </c>
      <c r="AG1674" s="193" t="str">
        <f>'Land use &amp; agriculture'!V83</f>
        <v/>
      </c>
      <c r="AI1674" s="193">
        <f t="shared" si="40"/>
        <v>0</v>
      </c>
      <c r="AJ1674" s="193">
        <f t="shared" si="41"/>
        <v>0</v>
      </c>
    </row>
    <row r="1675" spans="2:36" x14ac:dyDescent="0.35">
      <c r="B1675" s="193" t="e">
        <f>"2024"&amp;MATCH(Totals!D1675,OrgType,0)&amp;"_"&amp;MATCH(Totals!E1675,Organisations,0)&amp;"_"&amp;LEFT(Totals!F1675,1)&amp;"_"&amp;LEFT(G1675,1)&amp;"_"&amp;COUNTIF($G$3:G1675,G1675)</f>
        <v>#N/A</v>
      </c>
      <c r="C1675" s="193">
        <v>2025</v>
      </c>
      <c r="D1675" s="193">
        <f>Introduction!$D$7</f>
        <v>0</v>
      </c>
      <c r="E1675" s="193">
        <f>Introduction!$D$8</f>
        <v>0</v>
      </c>
      <c r="F1675" s="193" t="s">
        <v>497</v>
      </c>
      <c r="G1675" s="193" t="s">
        <v>497</v>
      </c>
      <c r="H1675" s="194"/>
      <c r="I1675" s="194"/>
      <c r="J1675" s="193">
        <f>'Land use &amp; agriculture'!B84</f>
        <v>0</v>
      </c>
      <c r="K1675" s="194"/>
      <c r="L1675" s="194"/>
      <c r="M1675" s="193">
        <f>'Land use &amp; agriculture'!C84</f>
        <v>0</v>
      </c>
      <c r="N1675" s="193">
        <f>'Land use &amp; agriculture'!D84</f>
        <v>0</v>
      </c>
      <c r="O1675" s="194"/>
      <c r="P1675" s="193" t="str">
        <f>'Land use &amp; agriculture'!E84</f>
        <v>Tier 1</v>
      </c>
      <c r="Q1675" s="193" t="str">
        <f>'Land use &amp; agriculture'!F84</f>
        <v xml:space="preserve"> </v>
      </c>
      <c r="R1675" s="193">
        <f>'Land use &amp; agriculture'!G84</f>
        <v>0</v>
      </c>
      <c r="S1675" s="193" t="str">
        <f>'Land use &amp; agriculture'!H84</f>
        <v>ha</v>
      </c>
      <c r="T1675" s="193">
        <f>'Land use &amp; agriculture'!I84</f>
        <v>0</v>
      </c>
      <c r="U1675" s="193" t="str">
        <f>'Land use &amp; agriculture'!J84</f>
        <v>ha</v>
      </c>
      <c r="V1675" s="193" t="str">
        <f>'Land use &amp; agriculture'!K84</f>
        <v/>
      </c>
      <c r="W1675" s="193" t="str">
        <f>'Land use &amp; agriculture'!L84</f>
        <v/>
      </c>
      <c r="X1675" s="193">
        <f>'Land use &amp; agriculture'!M84</f>
        <v>0</v>
      </c>
      <c r="Y1675" s="193">
        <f>'Land use &amp; agriculture'!N84</f>
        <v>0</v>
      </c>
      <c r="Z1675" s="193">
        <f>'Land use &amp; agriculture'!O84</f>
        <v>0</v>
      </c>
      <c r="AA1675" s="193">
        <f>'Land use &amp; agriculture'!P84</f>
        <v>0</v>
      </c>
      <c r="AB1675" s="193">
        <f>'Land use &amp; agriculture'!Q84</f>
        <v>0</v>
      </c>
      <c r="AC1675" s="193">
        <f>'Land use &amp; agriculture'!R84</f>
        <v>0</v>
      </c>
      <c r="AD1675" s="193">
        <f>'Land use &amp; agriculture'!S84</f>
        <v>0</v>
      </c>
      <c r="AE1675" s="193" t="str">
        <f>'Land use &amp; agriculture'!T84</f>
        <v/>
      </c>
      <c r="AF1675" s="193" t="str">
        <f>'Land use &amp; agriculture'!U84</f>
        <v/>
      </c>
      <c r="AG1675" s="193" t="str">
        <f>'Land use &amp; agriculture'!V84</f>
        <v/>
      </c>
      <c r="AI1675" s="193">
        <f t="shared" si="40"/>
        <v>0</v>
      </c>
      <c r="AJ1675" s="193">
        <f t="shared" si="41"/>
        <v>0</v>
      </c>
    </row>
    <row r="1676" spans="2:36" x14ac:dyDescent="0.35">
      <c r="B1676" s="193" t="e">
        <f>"2024"&amp;MATCH(Totals!D1676,OrgType,0)&amp;"_"&amp;MATCH(Totals!E1676,Organisations,0)&amp;"_"&amp;LEFT(Totals!F1676,1)&amp;"_"&amp;LEFT(G1676,1)&amp;"_"&amp;COUNTIF($G$3:G1676,G1676)</f>
        <v>#N/A</v>
      </c>
      <c r="C1676" s="193">
        <v>2025</v>
      </c>
      <c r="D1676" s="193">
        <f>Introduction!$D$7</f>
        <v>0</v>
      </c>
      <c r="E1676" s="193">
        <f>Introduction!$D$8</f>
        <v>0</v>
      </c>
      <c r="F1676" s="193" t="s">
        <v>497</v>
      </c>
      <c r="G1676" s="193" t="s">
        <v>497</v>
      </c>
      <c r="H1676" s="194"/>
      <c r="I1676" s="194"/>
      <c r="J1676" s="193">
        <f>'Land use &amp; agriculture'!B85</f>
        <v>0</v>
      </c>
      <c r="K1676" s="194"/>
      <c r="L1676" s="194"/>
      <c r="M1676" s="193">
        <f>'Land use &amp; agriculture'!C85</f>
        <v>0</v>
      </c>
      <c r="N1676" s="193">
        <f>'Land use &amp; agriculture'!D85</f>
        <v>0</v>
      </c>
      <c r="O1676" s="194"/>
      <c r="P1676" s="193" t="str">
        <f>'Land use &amp; agriculture'!E85</f>
        <v>Tier 1</v>
      </c>
      <c r="Q1676" s="193" t="str">
        <f>'Land use &amp; agriculture'!F85</f>
        <v xml:space="preserve"> </v>
      </c>
      <c r="R1676" s="193">
        <f>'Land use &amp; agriculture'!G85</f>
        <v>0</v>
      </c>
      <c r="S1676" s="193" t="str">
        <f>'Land use &amp; agriculture'!H85</f>
        <v>ha</v>
      </c>
      <c r="T1676" s="193">
        <f>'Land use &amp; agriculture'!I85</f>
        <v>0</v>
      </c>
      <c r="U1676" s="193" t="str">
        <f>'Land use &amp; agriculture'!J85</f>
        <v>ha</v>
      </c>
      <c r="V1676" s="193" t="str">
        <f>'Land use &amp; agriculture'!K85</f>
        <v/>
      </c>
      <c r="W1676" s="193" t="str">
        <f>'Land use &amp; agriculture'!L85</f>
        <v/>
      </c>
      <c r="X1676" s="193">
        <f>'Land use &amp; agriculture'!M85</f>
        <v>0</v>
      </c>
      <c r="Y1676" s="193">
        <f>'Land use &amp; agriculture'!N85</f>
        <v>0</v>
      </c>
      <c r="Z1676" s="193">
        <f>'Land use &amp; agriculture'!O85</f>
        <v>0</v>
      </c>
      <c r="AA1676" s="193">
        <f>'Land use &amp; agriculture'!P85</f>
        <v>0</v>
      </c>
      <c r="AB1676" s="193">
        <f>'Land use &amp; agriculture'!Q85</f>
        <v>0</v>
      </c>
      <c r="AC1676" s="193">
        <f>'Land use &amp; agriculture'!R85</f>
        <v>0</v>
      </c>
      <c r="AD1676" s="193">
        <f>'Land use &amp; agriculture'!S85</f>
        <v>0</v>
      </c>
      <c r="AE1676" s="193" t="str">
        <f>'Land use &amp; agriculture'!T85</f>
        <v/>
      </c>
      <c r="AF1676" s="193" t="str">
        <f>'Land use &amp; agriculture'!U85</f>
        <v/>
      </c>
      <c r="AG1676" s="193" t="str">
        <f>'Land use &amp; agriculture'!V85</f>
        <v/>
      </c>
      <c r="AI1676" s="193">
        <f t="shared" si="40"/>
        <v>0</v>
      </c>
      <c r="AJ1676" s="193">
        <f t="shared" si="41"/>
        <v>0</v>
      </c>
    </row>
    <row r="1677" spans="2:36" x14ac:dyDescent="0.35">
      <c r="B1677" s="193" t="e">
        <f>"2024"&amp;MATCH(Totals!D1677,OrgType,0)&amp;"_"&amp;MATCH(Totals!E1677,Organisations,0)&amp;"_"&amp;LEFT(Totals!F1677,1)&amp;"_"&amp;LEFT(G1677,1)&amp;"_"&amp;COUNTIF($G$3:G1677,G1677)</f>
        <v>#N/A</v>
      </c>
      <c r="C1677" s="193">
        <v>2025</v>
      </c>
      <c r="D1677" s="193">
        <f>Introduction!$D$7</f>
        <v>0</v>
      </c>
      <c r="E1677" s="193">
        <f>Introduction!$D$8</f>
        <v>0</v>
      </c>
      <c r="F1677" s="193" t="s">
        <v>497</v>
      </c>
      <c r="G1677" s="193" t="s">
        <v>497</v>
      </c>
      <c r="H1677" s="194"/>
      <c r="I1677" s="194"/>
      <c r="J1677" s="193">
        <f>'Land use &amp; agriculture'!B86</f>
        <v>0</v>
      </c>
      <c r="K1677" s="194"/>
      <c r="L1677" s="194"/>
      <c r="M1677" s="193">
        <f>'Land use &amp; agriculture'!C86</f>
        <v>0</v>
      </c>
      <c r="N1677" s="193">
        <f>'Land use &amp; agriculture'!D86</f>
        <v>0</v>
      </c>
      <c r="O1677" s="194"/>
      <c r="P1677" s="193" t="str">
        <f>'Land use &amp; agriculture'!E86</f>
        <v>Tier 1</v>
      </c>
      <c r="Q1677" s="193" t="str">
        <f>'Land use &amp; agriculture'!F86</f>
        <v xml:space="preserve"> </v>
      </c>
      <c r="R1677" s="193">
        <f>'Land use &amp; agriculture'!G86</f>
        <v>0</v>
      </c>
      <c r="S1677" s="193" t="str">
        <f>'Land use &amp; agriculture'!H86</f>
        <v>ha</v>
      </c>
      <c r="T1677" s="193">
        <f>'Land use &amp; agriculture'!I86</f>
        <v>0</v>
      </c>
      <c r="U1677" s="193" t="str">
        <f>'Land use &amp; agriculture'!J86</f>
        <v>ha</v>
      </c>
      <c r="V1677" s="193" t="str">
        <f>'Land use &amp; agriculture'!K86</f>
        <v/>
      </c>
      <c r="W1677" s="193" t="str">
        <f>'Land use &amp; agriculture'!L86</f>
        <v/>
      </c>
      <c r="X1677" s="193">
        <f>'Land use &amp; agriculture'!M86</f>
        <v>0</v>
      </c>
      <c r="Y1677" s="193">
        <f>'Land use &amp; agriculture'!N86</f>
        <v>0</v>
      </c>
      <c r="Z1677" s="193">
        <f>'Land use &amp; agriculture'!O86</f>
        <v>0</v>
      </c>
      <c r="AA1677" s="193">
        <f>'Land use &amp; agriculture'!P86</f>
        <v>0</v>
      </c>
      <c r="AB1677" s="193">
        <f>'Land use &amp; agriculture'!Q86</f>
        <v>0</v>
      </c>
      <c r="AC1677" s="193">
        <f>'Land use &amp; agriculture'!R86</f>
        <v>0</v>
      </c>
      <c r="AD1677" s="193">
        <f>'Land use &amp; agriculture'!S86</f>
        <v>0</v>
      </c>
      <c r="AE1677" s="193" t="str">
        <f>'Land use &amp; agriculture'!T86</f>
        <v/>
      </c>
      <c r="AF1677" s="193" t="str">
        <f>'Land use &amp; agriculture'!U86</f>
        <v/>
      </c>
      <c r="AG1677" s="193" t="str">
        <f>'Land use &amp; agriculture'!V86</f>
        <v/>
      </c>
      <c r="AI1677" s="193">
        <f t="shared" si="40"/>
        <v>0</v>
      </c>
      <c r="AJ1677" s="193">
        <f t="shared" si="41"/>
        <v>0</v>
      </c>
    </row>
    <row r="1678" spans="2:36" x14ac:dyDescent="0.35">
      <c r="B1678" s="193" t="e">
        <f>"2024"&amp;MATCH(Totals!D1678,OrgType,0)&amp;"_"&amp;MATCH(Totals!E1678,Organisations,0)&amp;"_"&amp;LEFT(Totals!F1678,1)&amp;"_"&amp;LEFT(G1678,1)&amp;"_"&amp;COUNTIF($G$3:G1678,G1678)</f>
        <v>#N/A</v>
      </c>
      <c r="C1678" s="193">
        <v>2025</v>
      </c>
      <c r="D1678" s="193">
        <f>Introduction!$D$7</f>
        <v>0</v>
      </c>
      <c r="E1678" s="193">
        <f>Introduction!$D$8</f>
        <v>0</v>
      </c>
      <c r="F1678" s="193" t="s">
        <v>497</v>
      </c>
      <c r="G1678" s="193" t="s">
        <v>497</v>
      </c>
      <c r="H1678" s="194"/>
      <c r="I1678" s="194"/>
      <c r="J1678" s="193">
        <f>'Land use &amp; agriculture'!B87</f>
        <v>0</v>
      </c>
      <c r="K1678" s="194"/>
      <c r="L1678" s="194"/>
      <c r="M1678" s="193">
        <f>'Land use &amp; agriculture'!C87</f>
        <v>0</v>
      </c>
      <c r="N1678" s="193">
        <f>'Land use &amp; agriculture'!D87</f>
        <v>0</v>
      </c>
      <c r="O1678" s="194"/>
      <c r="P1678" s="193" t="str">
        <f>'Land use &amp; agriculture'!E87</f>
        <v>Tier 1</v>
      </c>
      <c r="Q1678" s="193" t="str">
        <f>'Land use &amp; agriculture'!F87</f>
        <v xml:space="preserve"> </v>
      </c>
      <c r="R1678" s="193">
        <f>'Land use &amp; agriculture'!G87</f>
        <v>0</v>
      </c>
      <c r="S1678" s="193" t="str">
        <f>'Land use &amp; agriculture'!H87</f>
        <v>ha</v>
      </c>
      <c r="T1678" s="193">
        <f>'Land use &amp; agriculture'!I87</f>
        <v>0</v>
      </c>
      <c r="U1678" s="193" t="str">
        <f>'Land use &amp; agriculture'!J87</f>
        <v>ha</v>
      </c>
      <c r="V1678" s="193" t="str">
        <f>'Land use &amp; agriculture'!K87</f>
        <v/>
      </c>
      <c r="W1678" s="193" t="str">
        <f>'Land use &amp; agriculture'!L87</f>
        <v/>
      </c>
      <c r="X1678" s="193">
        <f>'Land use &amp; agriculture'!M87</f>
        <v>0</v>
      </c>
      <c r="Y1678" s="193">
        <f>'Land use &amp; agriculture'!N87</f>
        <v>0</v>
      </c>
      <c r="Z1678" s="193">
        <f>'Land use &amp; agriculture'!O87</f>
        <v>0</v>
      </c>
      <c r="AA1678" s="193">
        <f>'Land use &amp; agriculture'!P87</f>
        <v>0</v>
      </c>
      <c r="AB1678" s="193">
        <f>'Land use &amp; agriculture'!Q87</f>
        <v>0</v>
      </c>
      <c r="AC1678" s="193">
        <f>'Land use &amp; agriculture'!R87</f>
        <v>0</v>
      </c>
      <c r="AD1678" s="193">
        <f>'Land use &amp; agriculture'!S87</f>
        <v>0</v>
      </c>
      <c r="AE1678" s="193" t="str">
        <f>'Land use &amp; agriculture'!T87</f>
        <v/>
      </c>
      <c r="AF1678" s="193" t="str">
        <f>'Land use &amp; agriculture'!U87</f>
        <v/>
      </c>
      <c r="AG1678" s="193" t="str">
        <f>'Land use &amp; agriculture'!V87</f>
        <v/>
      </c>
      <c r="AI1678" s="193">
        <f t="shared" si="40"/>
        <v>0</v>
      </c>
      <c r="AJ1678" s="193">
        <f t="shared" si="41"/>
        <v>0</v>
      </c>
    </row>
    <row r="1679" spans="2:36" x14ac:dyDescent="0.35">
      <c r="B1679" s="193" t="e">
        <f>"2024"&amp;MATCH(Totals!D1679,OrgType,0)&amp;"_"&amp;MATCH(Totals!E1679,Organisations,0)&amp;"_"&amp;LEFT(Totals!F1679,1)&amp;"_"&amp;LEFT(G1679,1)&amp;"_"&amp;COUNTIF($G$3:G1679,G1679)</f>
        <v>#N/A</v>
      </c>
      <c r="C1679" s="193">
        <v>2025</v>
      </c>
      <c r="D1679" s="193">
        <f>Introduction!$D$7</f>
        <v>0</v>
      </c>
      <c r="E1679" s="193">
        <f>Introduction!$D$8</f>
        <v>0</v>
      </c>
      <c r="F1679" s="193" t="s">
        <v>497</v>
      </c>
      <c r="G1679" s="193" t="s">
        <v>497</v>
      </c>
      <c r="H1679" s="194"/>
      <c r="I1679" s="194"/>
      <c r="J1679" s="193">
        <f>'Land use &amp; agriculture'!B88</f>
        <v>0</v>
      </c>
      <c r="K1679" s="194"/>
      <c r="L1679" s="194"/>
      <c r="M1679" s="193">
        <f>'Land use &amp; agriculture'!C88</f>
        <v>0</v>
      </c>
      <c r="N1679" s="193">
        <f>'Land use &amp; agriculture'!D88</f>
        <v>0</v>
      </c>
      <c r="O1679" s="194"/>
      <c r="P1679" s="193" t="str">
        <f>'Land use &amp; agriculture'!E88</f>
        <v>Tier 1</v>
      </c>
      <c r="Q1679" s="193" t="str">
        <f>'Land use &amp; agriculture'!F88</f>
        <v xml:space="preserve"> </v>
      </c>
      <c r="R1679" s="193">
        <f>'Land use &amp; agriculture'!G88</f>
        <v>0</v>
      </c>
      <c r="S1679" s="193" t="str">
        <f>'Land use &amp; agriculture'!H88</f>
        <v>ha</v>
      </c>
      <c r="T1679" s="193">
        <f>'Land use &amp; agriculture'!I88</f>
        <v>0</v>
      </c>
      <c r="U1679" s="193" t="str">
        <f>'Land use &amp; agriculture'!J88</f>
        <v>ha</v>
      </c>
      <c r="V1679" s="193" t="str">
        <f>'Land use &amp; agriculture'!K88</f>
        <v/>
      </c>
      <c r="W1679" s="193" t="str">
        <f>'Land use &amp; agriculture'!L88</f>
        <v/>
      </c>
      <c r="X1679" s="193">
        <f>'Land use &amp; agriculture'!M88</f>
        <v>0</v>
      </c>
      <c r="Y1679" s="193">
        <f>'Land use &amp; agriculture'!N88</f>
        <v>0</v>
      </c>
      <c r="Z1679" s="193">
        <f>'Land use &amp; agriculture'!O88</f>
        <v>0</v>
      </c>
      <c r="AA1679" s="193">
        <f>'Land use &amp; agriculture'!P88</f>
        <v>0</v>
      </c>
      <c r="AB1679" s="193">
        <f>'Land use &amp; agriculture'!Q88</f>
        <v>0</v>
      </c>
      <c r="AC1679" s="193">
        <f>'Land use &amp; agriculture'!R88</f>
        <v>0</v>
      </c>
      <c r="AD1679" s="193">
        <f>'Land use &amp; agriculture'!S88</f>
        <v>0</v>
      </c>
      <c r="AE1679" s="193" t="str">
        <f>'Land use &amp; agriculture'!T88</f>
        <v/>
      </c>
      <c r="AF1679" s="193" t="str">
        <f>'Land use &amp; agriculture'!U88</f>
        <v/>
      </c>
      <c r="AG1679" s="193" t="str">
        <f>'Land use &amp; agriculture'!V88</f>
        <v/>
      </c>
      <c r="AI1679" s="193">
        <f t="shared" si="40"/>
        <v>0</v>
      </c>
      <c r="AJ1679" s="193">
        <f t="shared" si="41"/>
        <v>0</v>
      </c>
    </row>
    <row r="1680" spans="2:36" x14ac:dyDescent="0.35">
      <c r="B1680" s="193" t="e">
        <f>"2024"&amp;MATCH(Totals!D1680,OrgType,0)&amp;"_"&amp;MATCH(Totals!E1680,Organisations,0)&amp;"_"&amp;LEFT(Totals!F1680,1)&amp;"_"&amp;LEFT(G1680,1)&amp;"_"&amp;COUNTIF($G$3:G1680,G1680)</f>
        <v>#N/A</v>
      </c>
      <c r="C1680" s="193">
        <v>2025</v>
      </c>
      <c r="D1680" s="193">
        <f>Introduction!$D$7</f>
        <v>0</v>
      </c>
      <c r="E1680" s="193">
        <f>Introduction!$D$8</f>
        <v>0</v>
      </c>
      <c r="F1680" s="193" t="s">
        <v>497</v>
      </c>
      <c r="G1680" s="193" t="s">
        <v>497</v>
      </c>
      <c r="H1680" s="194"/>
      <c r="I1680" s="194"/>
      <c r="J1680" s="193">
        <f>'Land use &amp; agriculture'!B89</f>
        <v>0</v>
      </c>
      <c r="K1680" s="194"/>
      <c r="L1680" s="194"/>
      <c r="M1680" s="193">
        <f>'Land use &amp; agriculture'!C89</f>
        <v>0</v>
      </c>
      <c r="N1680" s="193">
        <f>'Land use &amp; agriculture'!D89</f>
        <v>0</v>
      </c>
      <c r="O1680" s="194"/>
      <c r="P1680" s="193" t="str">
        <f>'Land use &amp; agriculture'!E89</f>
        <v>Tier 1</v>
      </c>
      <c r="Q1680" s="193" t="str">
        <f>'Land use &amp; agriculture'!F89</f>
        <v xml:space="preserve"> </v>
      </c>
      <c r="R1680" s="193">
        <f>'Land use &amp; agriculture'!G89</f>
        <v>0</v>
      </c>
      <c r="S1680" s="193" t="str">
        <f>'Land use &amp; agriculture'!H89</f>
        <v>ha</v>
      </c>
      <c r="T1680" s="193">
        <f>'Land use &amp; agriculture'!I89</f>
        <v>0</v>
      </c>
      <c r="U1680" s="193" t="str">
        <f>'Land use &amp; agriculture'!J89</f>
        <v>ha</v>
      </c>
      <c r="V1680" s="193" t="str">
        <f>'Land use &amp; agriculture'!K89</f>
        <v/>
      </c>
      <c r="W1680" s="193" t="str">
        <f>'Land use &amp; agriculture'!L89</f>
        <v/>
      </c>
      <c r="X1680" s="193">
        <f>'Land use &amp; agriculture'!M89</f>
        <v>0</v>
      </c>
      <c r="Y1680" s="193">
        <f>'Land use &amp; agriculture'!N89</f>
        <v>0</v>
      </c>
      <c r="Z1680" s="193">
        <f>'Land use &amp; agriculture'!O89</f>
        <v>0</v>
      </c>
      <c r="AA1680" s="193">
        <f>'Land use &amp; agriculture'!P89</f>
        <v>0</v>
      </c>
      <c r="AB1680" s="193">
        <f>'Land use &amp; agriculture'!Q89</f>
        <v>0</v>
      </c>
      <c r="AC1680" s="193">
        <f>'Land use &amp; agriculture'!R89</f>
        <v>0</v>
      </c>
      <c r="AD1680" s="193">
        <f>'Land use &amp; agriculture'!S89</f>
        <v>0</v>
      </c>
      <c r="AE1680" s="193" t="str">
        <f>'Land use &amp; agriculture'!T89</f>
        <v/>
      </c>
      <c r="AF1680" s="193" t="str">
        <f>'Land use &amp; agriculture'!U89</f>
        <v/>
      </c>
      <c r="AG1680" s="193" t="str">
        <f>'Land use &amp; agriculture'!V89</f>
        <v/>
      </c>
      <c r="AI1680" s="193">
        <f t="shared" si="40"/>
        <v>0</v>
      </c>
      <c r="AJ1680" s="193">
        <f t="shared" si="41"/>
        <v>0</v>
      </c>
    </row>
    <row r="1681" spans="2:36" x14ac:dyDescent="0.35">
      <c r="B1681" s="193" t="e">
        <f>"2024"&amp;MATCH(Totals!D1681,OrgType,0)&amp;"_"&amp;MATCH(Totals!E1681,Organisations,0)&amp;"_"&amp;LEFT(Totals!F1681,1)&amp;"_"&amp;LEFT(G1681,1)&amp;"_"&amp;COUNTIF($G$3:G1681,G1681)</f>
        <v>#N/A</v>
      </c>
      <c r="C1681" s="193">
        <v>2025</v>
      </c>
      <c r="D1681" s="193">
        <f>Introduction!$D$7</f>
        <v>0</v>
      </c>
      <c r="E1681" s="193">
        <f>Introduction!$D$8</f>
        <v>0</v>
      </c>
      <c r="F1681" s="193" t="s">
        <v>497</v>
      </c>
      <c r="G1681" s="193" t="s">
        <v>497</v>
      </c>
      <c r="H1681" s="194"/>
      <c r="I1681" s="194"/>
      <c r="J1681" s="193">
        <f>'Land use &amp; agriculture'!B90</f>
        <v>0</v>
      </c>
      <c r="K1681" s="194"/>
      <c r="L1681" s="194"/>
      <c r="M1681" s="193">
        <f>'Land use &amp; agriculture'!C90</f>
        <v>0</v>
      </c>
      <c r="N1681" s="193">
        <f>'Land use &amp; agriculture'!D90</f>
        <v>0</v>
      </c>
      <c r="O1681" s="194"/>
      <c r="P1681" s="193" t="str">
        <f>'Land use &amp; agriculture'!E90</f>
        <v>Tier 1</v>
      </c>
      <c r="Q1681" s="193" t="str">
        <f>'Land use &amp; agriculture'!F90</f>
        <v xml:space="preserve"> </v>
      </c>
      <c r="R1681" s="193">
        <f>'Land use &amp; agriculture'!G90</f>
        <v>0</v>
      </c>
      <c r="S1681" s="193" t="str">
        <f>'Land use &amp; agriculture'!H90</f>
        <v>ha</v>
      </c>
      <c r="T1681" s="193">
        <f>'Land use &amp; agriculture'!I90</f>
        <v>0</v>
      </c>
      <c r="U1681" s="193" t="str">
        <f>'Land use &amp; agriculture'!J90</f>
        <v>ha</v>
      </c>
      <c r="V1681" s="193" t="str">
        <f>'Land use &amp; agriculture'!K90</f>
        <v/>
      </c>
      <c r="W1681" s="193" t="str">
        <f>'Land use &amp; agriculture'!L90</f>
        <v/>
      </c>
      <c r="X1681" s="193">
        <f>'Land use &amp; agriculture'!M90</f>
        <v>0</v>
      </c>
      <c r="Y1681" s="193">
        <f>'Land use &amp; agriculture'!N90</f>
        <v>0</v>
      </c>
      <c r="Z1681" s="193">
        <f>'Land use &amp; agriculture'!O90</f>
        <v>0</v>
      </c>
      <c r="AA1681" s="193">
        <f>'Land use &amp; agriculture'!P90</f>
        <v>0</v>
      </c>
      <c r="AB1681" s="193">
        <f>'Land use &amp; agriculture'!Q90</f>
        <v>0</v>
      </c>
      <c r="AC1681" s="193">
        <f>'Land use &amp; agriculture'!R90</f>
        <v>0</v>
      </c>
      <c r="AD1681" s="193">
        <f>'Land use &amp; agriculture'!S90</f>
        <v>0</v>
      </c>
      <c r="AE1681" s="193" t="str">
        <f>'Land use &amp; agriculture'!T90</f>
        <v/>
      </c>
      <c r="AF1681" s="193" t="str">
        <f>'Land use &amp; agriculture'!U90</f>
        <v/>
      </c>
      <c r="AG1681" s="193" t="str">
        <f>'Land use &amp; agriculture'!V90</f>
        <v/>
      </c>
      <c r="AI1681" s="193">
        <f t="shared" si="40"/>
        <v>0</v>
      </c>
      <c r="AJ1681" s="193">
        <f t="shared" si="41"/>
        <v>0</v>
      </c>
    </row>
    <row r="1682" spans="2:36" x14ac:dyDescent="0.35">
      <c r="B1682" s="193" t="e">
        <f>"2024"&amp;MATCH(Totals!D1682,OrgType,0)&amp;"_"&amp;MATCH(Totals!E1682,Organisations,0)&amp;"_"&amp;LEFT(Totals!F1682,1)&amp;"_"&amp;LEFT(G1682,1)&amp;"_"&amp;COUNTIF($G$3:G1682,G1682)</f>
        <v>#N/A</v>
      </c>
      <c r="C1682" s="193">
        <v>2025</v>
      </c>
      <c r="D1682" s="193">
        <f>Introduction!$D$7</f>
        <v>0</v>
      </c>
      <c r="E1682" s="193">
        <f>Introduction!$D$8</f>
        <v>0</v>
      </c>
      <c r="F1682" s="193" t="s">
        <v>497</v>
      </c>
      <c r="G1682" s="193" t="s">
        <v>497</v>
      </c>
      <c r="H1682" s="194"/>
      <c r="I1682" s="194"/>
      <c r="J1682" s="193">
        <f>'Land use &amp; agriculture'!B91</f>
        <v>0</v>
      </c>
      <c r="K1682" s="194"/>
      <c r="L1682" s="194"/>
      <c r="M1682" s="193">
        <f>'Land use &amp; agriculture'!C91</f>
        <v>0</v>
      </c>
      <c r="N1682" s="193">
        <f>'Land use &amp; agriculture'!D91</f>
        <v>0</v>
      </c>
      <c r="O1682" s="194"/>
      <c r="P1682" s="193" t="str">
        <f>'Land use &amp; agriculture'!E91</f>
        <v>Tier 1</v>
      </c>
      <c r="Q1682" s="193" t="str">
        <f>'Land use &amp; agriculture'!F91</f>
        <v xml:space="preserve"> </v>
      </c>
      <c r="R1682" s="193">
        <f>'Land use &amp; agriculture'!G91</f>
        <v>0</v>
      </c>
      <c r="S1682" s="193" t="str">
        <f>'Land use &amp; agriculture'!H91</f>
        <v>ha</v>
      </c>
      <c r="T1682" s="193">
        <f>'Land use &amp; agriculture'!I91</f>
        <v>0</v>
      </c>
      <c r="U1682" s="193" t="str">
        <f>'Land use &amp; agriculture'!J91</f>
        <v>ha</v>
      </c>
      <c r="V1682" s="193" t="str">
        <f>'Land use &amp; agriculture'!K91</f>
        <v/>
      </c>
      <c r="W1682" s="193" t="str">
        <f>'Land use &amp; agriculture'!L91</f>
        <v/>
      </c>
      <c r="X1682" s="193">
        <f>'Land use &amp; agriculture'!M91</f>
        <v>0</v>
      </c>
      <c r="Y1682" s="193">
        <f>'Land use &amp; agriculture'!N91</f>
        <v>0</v>
      </c>
      <c r="Z1682" s="193">
        <f>'Land use &amp; agriculture'!O91</f>
        <v>0</v>
      </c>
      <c r="AA1682" s="193">
        <f>'Land use &amp; agriculture'!P91</f>
        <v>0</v>
      </c>
      <c r="AB1682" s="193">
        <f>'Land use &amp; agriculture'!Q91</f>
        <v>0</v>
      </c>
      <c r="AC1682" s="193">
        <f>'Land use &amp; agriculture'!R91</f>
        <v>0</v>
      </c>
      <c r="AD1682" s="193">
        <f>'Land use &amp; agriculture'!S91</f>
        <v>0</v>
      </c>
      <c r="AE1682" s="193" t="str">
        <f>'Land use &amp; agriculture'!T91</f>
        <v/>
      </c>
      <c r="AF1682" s="193" t="str">
        <f>'Land use &amp; agriculture'!U91</f>
        <v/>
      </c>
      <c r="AG1682" s="193" t="str">
        <f>'Land use &amp; agriculture'!V91</f>
        <v/>
      </c>
      <c r="AI1682" s="193">
        <f t="shared" si="40"/>
        <v>0</v>
      </c>
      <c r="AJ1682" s="193">
        <f t="shared" si="41"/>
        <v>0</v>
      </c>
    </row>
    <row r="1683" spans="2:36" x14ac:dyDescent="0.35">
      <c r="B1683" s="193" t="e">
        <f>"2024"&amp;MATCH(Totals!D1683,OrgType,0)&amp;"_"&amp;MATCH(Totals!E1683,Organisations,0)&amp;"_"&amp;LEFT(Totals!F1683,1)&amp;"_"&amp;LEFT(G1683,1)&amp;"_"&amp;COUNTIF($G$3:G1683,G1683)</f>
        <v>#N/A</v>
      </c>
      <c r="C1683" s="193">
        <v>2025</v>
      </c>
      <c r="D1683" s="193">
        <f>Introduction!$D$7</f>
        <v>0</v>
      </c>
      <c r="E1683" s="193">
        <f>Introduction!$D$8</f>
        <v>0</v>
      </c>
      <c r="F1683" s="193" t="s">
        <v>497</v>
      </c>
      <c r="G1683" s="193" t="s">
        <v>497</v>
      </c>
      <c r="H1683" s="194"/>
      <c r="I1683" s="194"/>
      <c r="J1683" s="193">
        <f>'Land use &amp; agriculture'!B92</f>
        <v>0</v>
      </c>
      <c r="K1683" s="194"/>
      <c r="L1683" s="194"/>
      <c r="M1683" s="193">
        <f>'Land use &amp; agriculture'!C92</f>
        <v>0</v>
      </c>
      <c r="N1683" s="193">
        <f>'Land use &amp; agriculture'!D92</f>
        <v>0</v>
      </c>
      <c r="O1683" s="194"/>
      <c r="P1683" s="193" t="str">
        <f>'Land use &amp; agriculture'!E92</f>
        <v>Tier 1</v>
      </c>
      <c r="Q1683" s="193" t="str">
        <f>'Land use &amp; agriculture'!F92</f>
        <v xml:space="preserve"> </v>
      </c>
      <c r="R1683" s="193">
        <f>'Land use &amp; agriculture'!G92</f>
        <v>0</v>
      </c>
      <c r="S1683" s="193" t="str">
        <f>'Land use &amp; agriculture'!H92</f>
        <v>ha</v>
      </c>
      <c r="T1683" s="193">
        <f>'Land use &amp; agriculture'!I92</f>
        <v>0</v>
      </c>
      <c r="U1683" s="193" t="str">
        <f>'Land use &amp; agriculture'!J92</f>
        <v>ha</v>
      </c>
      <c r="V1683" s="193" t="str">
        <f>'Land use &amp; agriculture'!K92</f>
        <v/>
      </c>
      <c r="W1683" s="193" t="str">
        <f>'Land use &amp; agriculture'!L92</f>
        <v/>
      </c>
      <c r="X1683" s="193">
        <f>'Land use &amp; agriculture'!M92</f>
        <v>0</v>
      </c>
      <c r="Y1683" s="193">
        <f>'Land use &amp; agriculture'!N92</f>
        <v>0</v>
      </c>
      <c r="Z1683" s="193">
        <f>'Land use &amp; agriculture'!O92</f>
        <v>0</v>
      </c>
      <c r="AA1683" s="193">
        <f>'Land use &amp; agriculture'!P92</f>
        <v>0</v>
      </c>
      <c r="AB1683" s="193">
        <f>'Land use &amp; agriculture'!Q92</f>
        <v>0</v>
      </c>
      <c r="AC1683" s="193">
        <f>'Land use &amp; agriculture'!R92</f>
        <v>0</v>
      </c>
      <c r="AD1683" s="193">
        <f>'Land use &amp; agriculture'!S92</f>
        <v>0</v>
      </c>
      <c r="AE1683" s="193" t="str">
        <f>'Land use &amp; agriculture'!T92</f>
        <v/>
      </c>
      <c r="AF1683" s="193" t="str">
        <f>'Land use &amp; agriculture'!U92</f>
        <v/>
      </c>
      <c r="AG1683" s="193" t="str">
        <f>'Land use &amp; agriculture'!V92</f>
        <v/>
      </c>
      <c r="AI1683" s="193">
        <f t="shared" si="40"/>
        <v>0</v>
      </c>
      <c r="AJ1683" s="193">
        <f t="shared" si="41"/>
        <v>0</v>
      </c>
    </row>
    <row r="1684" spans="2:36" x14ac:dyDescent="0.35">
      <c r="B1684" s="193" t="e">
        <f>"2024"&amp;MATCH(Totals!D1684,OrgType,0)&amp;"_"&amp;MATCH(Totals!E1684,Organisations,0)&amp;"_"&amp;LEFT(Totals!F1684,1)&amp;"_"&amp;LEFT(G1684,1)&amp;"_"&amp;COUNTIF($G$3:G1684,G1684)</f>
        <v>#N/A</v>
      </c>
      <c r="C1684" s="193">
        <v>2025</v>
      </c>
      <c r="D1684" s="193">
        <f>Introduction!$D$7</f>
        <v>0</v>
      </c>
      <c r="E1684" s="193">
        <f>Introduction!$D$8</f>
        <v>0</v>
      </c>
      <c r="F1684" s="193" t="s">
        <v>497</v>
      </c>
      <c r="G1684" s="193" t="s">
        <v>497</v>
      </c>
      <c r="H1684" s="194"/>
      <c r="I1684" s="194"/>
      <c r="J1684" s="193">
        <f>'Land use &amp; agriculture'!B93</f>
        <v>0</v>
      </c>
      <c r="K1684" s="194"/>
      <c r="L1684" s="194"/>
      <c r="M1684" s="193">
        <f>'Land use &amp; agriculture'!C93</f>
        <v>0</v>
      </c>
      <c r="N1684" s="193">
        <f>'Land use &amp; agriculture'!D93</f>
        <v>0</v>
      </c>
      <c r="O1684" s="194"/>
      <c r="P1684" s="193" t="str">
        <f>'Land use &amp; agriculture'!E93</f>
        <v>Tier 1</v>
      </c>
      <c r="Q1684" s="193" t="str">
        <f>'Land use &amp; agriculture'!F93</f>
        <v xml:space="preserve"> </v>
      </c>
      <c r="R1684" s="193">
        <f>'Land use &amp; agriculture'!G93</f>
        <v>0</v>
      </c>
      <c r="S1684" s="193" t="str">
        <f>'Land use &amp; agriculture'!H93</f>
        <v>ha</v>
      </c>
      <c r="T1684" s="193">
        <f>'Land use &amp; agriculture'!I93</f>
        <v>0</v>
      </c>
      <c r="U1684" s="193" t="str">
        <f>'Land use &amp; agriculture'!J93</f>
        <v>ha</v>
      </c>
      <c r="V1684" s="193" t="str">
        <f>'Land use &amp; agriculture'!K93</f>
        <v/>
      </c>
      <c r="W1684" s="193" t="str">
        <f>'Land use &amp; agriculture'!L93</f>
        <v/>
      </c>
      <c r="X1684" s="193">
        <f>'Land use &amp; agriculture'!M93</f>
        <v>0</v>
      </c>
      <c r="Y1684" s="193">
        <f>'Land use &amp; agriculture'!N93</f>
        <v>0</v>
      </c>
      <c r="Z1684" s="193">
        <f>'Land use &amp; agriculture'!O93</f>
        <v>0</v>
      </c>
      <c r="AA1684" s="193">
        <f>'Land use &amp; agriculture'!P93</f>
        <v>0</v>
      </c>
      <c r="AB1684" s="193">
        <f>'Land use &amp; agriculture'!Q93</f>
        <v>0</v>
      </c>
      <c r="AC1684" s="193">
        <f>'Land use &amp; agriculture'!R93</f>
        <v>0</v>
      </c>
      <c r="AD1684" s="193">
        <f>'Land use &amp; agriculture'!S93</f>
        <v>0</v>
      </c>
      <c r="AE1684" s="193" t="str">
        <f>'Land use &amp; agriculture'!T93</f>
        <v/>
      </c>
      <c r="AF1684" s="193" t="str">
        <f>'Land use &amp; agriculture'!U93</f>
        <v/>
      </c>
      <c r="AG1684" s="193" t="str">
        <f>'Land use &amp; agriculture'!V93</f>
        <v/>
      </c>
      <c r="AI1684" s="193">
        <f t="shared" si="40"/>
        <v>0</v>
      </c>
      <c r="AJ1684" s="193">
        <f t="shared" si="41"/>
        <v>0</v>
      </c>
    </row>
    <row r="1685" spans="2:36" x14ac:dyDescent="0.35">
      <c r="B1685" s="193" t="e">
        <f>"2024"&amp;MATCH(Totals!D1685,OrgType,0)&amp;"_"&amp;MATCH(Totals!E1685,Organisations,0)&amp;"_"&amp;LEFT(Totals!F1685,1)&amp;"_"&amp;LEFT(G1685,1)&amp;"_"&amp;COUNTIF($G$3:G1685,G1685)</f>
        <v>#N/A</v>
      </c>
      <c r="C1685" s="193">
        <v>2025</v>
      </c>
      <c r="D1685" s="193">
        <f>Introduction!$D$7</f>
        <v>0</v>
      </c>
      <c r="E1685" s="193">
        <f>Introduction!$D$8</f>
        <v>0</v>
      </c>
      <c r="F1685" s="193" t="s">
        <v>497</v>
      </c>
      <c r="G1685" s="193" t="s">
        <v>497</v>
      </c>
      <c r="H1685" s="194"/>
      <c r="I1685" s="194"/>
      <c r="J1685" s="193">
        <f>'Land use &amp; agriculture'!B94</f>
        <v>0</v>
      </c>
      <c r="K1685" s="194"/>
      <c r="L1685" s="194"/>
      <c r="M1685" s="193">
        <f>'Land use &amp; agriculture'!C94</f>
        <v>0</v>
      </c>
      <c r="N1685" s="193">
        <f>'Land use &amp; agriculture'!D94</f>
        <v>0</v>
      </c>
      <c r="O1685" s="194"/>
      <c r="P1685" s="193" t="str">
        <f>'Land use &amp; agriculture'!E94</f>
        <v>Tier 1</v>
      </c>
      <c r="Q1685" s="193" t="str">
        <f>'Land use &amp; agriculture'!F94</f>
        <v xml:space="preserve"> </v>
      </c>
      <c r="R1685" s="193">
        <f>'Land use &amp; agriculture'!G94</f>
        <v>0</v>
      </c>
      <c r="S1685" s="193" t="str">
        <f>'Land use &amp; agriculture'!H94</f>
        <v>ha</v>
      </c>
      <c r="T1685" s="193">
        <f>'Land use &amp; agriculture'!I94</f>
        <v>0</v>
      </c>
      <c r="U1685" s="193" t="str">
        <f>'Land use &amp; agriculture'!J94</f>
        <v>ha</v>
      </c>
      <c r="V1685" s="193" t="str">
        <f>'Land use &amp; agriculture'!K94</f>
        <v/>
      </c>
      <c r="W1685" s="193" t="str">
        <f>'Land use &amp; agriculture'!L94</f>
        <v/>
      </c>
      <c r="X1685" s="193">
        <f>'Land use &amp; agriculture'!M94</f>
        <v>0</v>
      </c>
      <c r="Y1685" s="193">
        <f>'Land use &amp; agriculture'!N94</f>
        <v>0</v>
      </c>
      <c r="Z1685" s="193">
        <f>'Land use &amp; agriculture'!O94</f>
        <v>0</v>
      </c>
      <c r="AA1685" s="193">
        <f>'Land use &amp; agriculture'!P94</f>
        <v>0</v>
      </c>
      <c r="AB1685" s="193">
        <f>'Land use &amp; agriculture'!Q94</f>
        <v>0</v>
      </c>
      <c r="AC1685" s="193">
        <f>'Land use &amp; agriculture'!R94</f>
        <v>0</v>
      </c>
      <c r="AD1685" s="193">
        <f>'Land use &amp; agriculture'!S94</f>
        <v>0</v>
      </c>
      <c r="AE1685" s="193" t="str">
        <f>'Land use &amp; agriculture'!T94</f>
        <v/>
      </c>
      <c r="AF1685" s="193" t="str">
        <f>'Land use &amp; agriculture'!U94</f>
        <v/>
      </c>
      <c r="AG1685" s="193" t="str">
        <f>'Land use &amp; agriculture'!V94</f>
        <v/>
      </c>
      <c r="AI1685" s="193">
        <f t="shared" si="40"/>
        <v>0</v>
      </c>
      <c r="AJ1685" s="193">
        <f t="shared" si="41"/>
        <v>0</v>
      </c>
    </row>
    <row r="1686" spans="2:36" x14ac:dyDescent="0.35">
      <c r="B1686" s="193" t="e">
        <f>"2024"&amp;MATCH(Totals!D1686,OrgType,0)&amp;"_"&amp;MATCH(Totals!E1686,Organisations,0)&amp;"_"&amp;LEFT(Totals!F1686,1)&amp;"_"&amp;LEFT(G1686,1)&amp;"_"&amp;COUNTIF($G$3:G1686,G1686)</f>
        <v>#N/A</v>
      </c>
      <c r="C1686" s="193">
        <v>2025</v>
      </c>
      <c r="D1686" s="193">
        <f>Introduction!$D$7</f>
        <v>0</v>
      </c>
      <c r="E1686" s="193">
        <f>Introduction!$D$8</f>
        <v>0</v>
      </c>
      <c r="F1686" s="193" t="s">
        <v>497</v>
      </c>
      <c r="G1686" s="193" t="s">
        <v>497</v>
      </c>
      <c r="H1686" s="194"/>
      <c r="I1686" s="194"/>
      <c r="J1686" s="193">
        <f>'Land use &amp; agriculture'!B95</f>
        <v>0</v>
      </c>
      <c r="K1686" s="194"/>
      <c r="L1686" s="194"/>
      <c r="M1686" s="193">
        <f>'Land use &amp; agriculture'!C95</f>
        <v>0</v>
      </c>
      <c r="N1686" s="193">
        <f>'Land use &amp; agriculture'!D95</f>
        <v>0</v>
      </c>
      <c r="O1686" s="194"/>
      <c r="P1686" s="193" t="str">
        <f>'Land use &amp; agriculture'!E95</f>
        <v>Tier 1</v>
      </c>
      <c r="Q1686" s="193" t="str">
        <f>'Land use &amp; agriculture'!F95</f>
        <v xml:space="preserve"> </v>
      </c>
      <c r="R1686" s="193">
        <f>'Land use &amp; agriculture'!G95</f>
        <v>0</v>
      </c>
      <c r="S1686" s="193" t="str">
        <f>'Land use &amp; agriculture'!H95</f>
        <v>ha</v>
      </c>
      <c r="T1686" s="193">
        <f>'Land use &amp; agriculture'!I95</f>
        <v>0</v>
      </c>
      <c r="U1686" s="193" t="str">
        <f>'Land use &amp; agriculture'!J95</f>
        <v>ha</v>
      </c>
      <c r="V1686" s="193" t="str">
        <f>'Land use &amp; agriculture'!K95</f>
        <v/>
      </c>
      <c r="W1686" s="193" t="str">
        <f>'Land use &amp; agriculture'!L95</f>
        <v/>
      </c>
      <c r="X1686" s="193">
        <f>'Land use &amp; agriculture'!M95</f>
        <v>0</v>
      </c>
      <c r="Y1686" s="193">
        <f>'Land use &amp; agriculture'!N95</f>
        <v>0</v>
      </c>
      <c r="Z1686" s="193">
        <f>'Land use &amp; agriculture'!O95</f>
        <v>0</v>
      </c>
      <c r="AA1686" s="193">
        <f>'Land use &amp; agriculture'!P95</f>
        <v>0</v>
      </c>
      <c r="AB1686" s="193">
        <f>'Land use &amp; agriculture'!Q95</f>
        <v>0</v>
      </c>
      <c r="AC1686" s="193">
        <f>'Land use &amp; agriculture'!R95</f>
        <v>0</v>
      </c>
      <c r="AD1686" s="193">
        <f>'Land use &amp; agriculture'!S95</f>
        <v>0</v>
      </c>
      <c r="AE1686" s="193" t="str">
        <f>'Land use &amp; agriculture'!T95</f>
        <v/>
      </c>
      <c r="AF1686" s="193" t="str">
        <f>'Land use &amp; agriculture'!U95</f>
        <v/>
      </c>
      <c r="AG1686" s="193" t="str">
        <f>'Land use &amp; agriculture'!V95</f>
        <v/>
      </c>
      <c r="AI1686" s="193">
        <f t="shared" ref="AI1686:AI1689" si="42">IF(AND(V1686="",R1686&lt;&gt;0),1,0)</f>
        <v>0</v>
      </c>
      <c r="AJ1686" s="193">
        <f t="shared" ref="AJ1686:AJ1689" si="43">IF(AND(W1686="",R1686&lt;&gt;0),1,0)</f>
        <v>0</v>
      </c>
    </row>
    <row r="1687" spans="2:36" x14ac:dyDescent="0.35">
      <c r="B1687" s="193" t="e">
        <f>"2024"&amp;MATCH(Totals!D1687,OrgType,0)&amp;"_"&amp;MATCH(Totals!E1687,Organisations,0)&amp;"_"&amp;LEFT(Totals!F1687,1)&amp;"_"&amp;LEFT(G1687,1)&amp;"_"&amp;COUNTIF($G$3:G1687,G1687)</f>
        <v>#N/A</v>
      </c>
      <c r="C1687" s="193">
        <v>2025</v>
      </c>
      <c r="D1687" s="193">
        <f>Introduction!$D$7</f>
        <v>0</v>
      </c>
      <c r="E1687" s="193">
        <f>Introduction!$D$8</f>
        <v>0</v>
      </c>
      <c r="F1687" s="193" t="s">
        <v>497</v>
      </c>
      <c r="G1687" s="193" t="s">
        <v>497</v>
      </c>
      <c r="H1687" s="194"/>
      <c r="I1687" s="194"/>
      <c r="J1687" s="193">
        <f>'Land use &amp; agriculture'!B96</f>
        <v>0</v>
      </c>
      <c r="K1687" s="194"/>
      <c r="L1687" s="194"/>
      <c r="M1687" s="193">
        <f>'Land use &amp; agriculture'!C96</f>
        <v>0</v>
      </c>
      <c r="N1687" s="193">
        <f>'Land use &amp; agriculture'!D96</f>
        <v>0</v>
      </c>
      <c r="O1687" s="194"/>
      <c r="P1687" s="193" t="str">
        <f>'Land use &amp; agriculture'!E96</f>
        <v>Tier 1</v>
      </c>
      <c r="Q1687" s="193" t="str">
        <f>'Land use &amp; agriculture'!F96</f>
        <v xml:space="preserve"> </v>
      </c>
      <c r="R1687" s="193">
        <f>'Land use &amp; agriculture'!G96</f>
        <v>0</v>
      </c>
      <c r="S1687" s="193" t="str">
        <f>'Land use &amp; agriculture'!H96</f>
        <v>ha</v>
      </c>
      <c r="T1687" s="193">
        <f>'Land use &amp; agriculture'!I96</f>
        <v>0</v>
      </c>
      <c r="U1687" s="193" t="str">
        <f>'Land use &amp; agriculture'!J96</f>
        <v>ha</v>
      </c>
      <c r="V1687" s="193" t="str">
        <f>'Land use &amp; agriculture'!K96</f>
        <v/>
      </c>
      <c r="W1687" s="193" t="str">
        <f>'Land use &amp; agriculture'!L96</f>
        <v/>
      </c>
      <c r="X1687" s="193">
        <f>'Land use &amp; agriculture'!M96</f>
        <v>0</v>
      </c>
      <c r="Y1687" s="193">
        <f>'Land use &amp; agriculture'!N96</f>
        <v>0</v>
      </c>
      <c r="Z1687" s="193">
        <f>'Land use &amp; agriculture'!O96</f>
        <v>0</v>
      </c>
      <c r="AA1687" s="193">
        <f>'Land use &amp; agriculture'!P96</f>
        <v>0</v>
      </c>
      <c r="AB1687" s="193">
        <f>'Land use &amp; agriculture'!Q96</f>
        <v>0</v>
      </c>
      <c r="AC1687" s="193">
        <f>'Land use &amp; agriculture'!R96</f>
        <v>0</v>
      </c>
      <c r="AD1687" s="193">
        <f>'Land use &amp; agriculture'!S96</f>
        <v>0</v>
      </c>
      <c r="AE1687" s="193" t="str">
        <f>'Land use &amp; agriculture'!T96</f>
        <v/>
      </c>
      <c r="AF1687" s="193" t="str">
        <f>'Land use &amp; agriculture'!U96</f>
        <v/>
      </c>
      <c r="AG1687" s="193" t="str">
        <f>'Land use &amp; agriculture'!V96</f>
        <v/>
      </c>
      <c r="AI1687" s="193">
        <f t="shared" si="42"/>
        <v>0</v>
      </c>
      <c r="AJ1687" s="193">
        <f t="shared" si="43"/>
        <v>0</v>
      </c>
    </row>
    <row r="1688" spans="2:36" x14ac:dyDescent="0.35">
      <c r="B1688" s="193" t="e">
        <f>"2024"&amp;MATCH(Totals!D1688,OrgType,0)&amp;"_"&amp;MATCH(Totals!E1688,Organisations,0)&amp;"_"&amp;LEFT(Totals!F1688,1)&amp;"_"&amp;LEFT(G1688,1)&amp;"_"&amp;COUNTIF($G$3:G1688,G1688)</f>
        <v>#N/A</v>
      </c>
      <c r="C1688" s="193">
        <v>2025</v>
      </c>
      <c r="D1688" s="193">
        <f>Introduction!$D$7</f>
        <v>0</v>
      </c>
      <c r="E1688" s="193">
        <f>Introduction!$D$8</f>
        <v>0</v>
      </c>
      <c r="F1688" s="193" t="s">
        <v>497</v>
      </c>
      <c r="G1688" s="193" t="s">
        <v>497</v>
      </c>
      <c r="H1688" s="194"/>
      <c r="I1688" s="194"/>
      <c r="J1688" s="193">
        <f>'Land use &amp; agriculture'!B97</f>
        <v>0</v>
      </c>
      <c r="K1688" s="194"/>
      <c r="L1688" s="194"/>
      <c r="M1688" s="193">
        <f>'Land use &amp; agriculture'!C97</f>
        <v>0</v>
      </c>
      <c r="N1688" s="193">
        <f>'Land use &amp; agriculture'!D97</f>
        <v>0</v>
      </c>
      <c r="O1688" s="194"/>
      <c r="P1688" s="193" t="str">
        <f>'Land use &amp; agriculture'!E97</f>
        <v>Tier 1</v>
      </c>
      <c r="Q1688" s="193" t="str">
        <f>'Land use &amp; agriculture'!F97</f>
        <v xml:space="preserve"> </v>
      </c>
      <c r="R1688" s="193">
        <f>'Land use &amp; agriculture'!G97</f>
        <v>0</v>
      </c>
      <c r="S1688" s="193" t="str">
        <f>'Land use &amp; agriculture'!H97</f>
        <v>ha</v>
      </c>
      <c r="T1688" s="193">
        <f>'Land use &amp; agriculture'!I97</f>
        <v>0</v>
      </c>
      <c r="U1688" s="193" t="str">
        <f>'Land use &amp; agriculture'!J97</f>
        <v>ha</v>
      </c>
      <c r="V1688" s="193" t="str">
        <f>'Land use &amp; agriculture'!K97</f>
        <v/>
      </c>
      <c r="W1688" s="193" t="str">
        <f>'Land use &amp; agriculture'!L97</f>
        <v/>
      </c>
      <c r="X1688" s="193">
        <f>'Land use &amp; agriculture'!M97</f>
        <v>0</v>
      </c>
      <c r="Y1688" s="193">
        <f>'Land use &amp; agriculture'!N97</f>
        <v>0</v>
      </c>
      <c r="Z1688" s="193">
        <f>'Land use &amp; agriculture'!O97</f>
        <v>0</v>
      </c>
      <c r="AA1688" s="193">
        <f>'Land use &amp; agriculture'!P97</f>
        <v>0</v>
      </c>
      <c r="AB1688" s="193">
        <f>'Land use &amp; agriculture'!Q97</f>
        <v>0</v>
      </c>
      <c r="AC1688" s="193">
        <f>'Land use &amp; agriculture'!R97</f>
        <v>0</v>
      </c>
      <c r="AD1688" s="193">
        <f>'Land use &amp; agriculture'!S97</f>
        <v>0</v>
      </c>
      <c r="AE1688" s="193" t="str">
        <f>'Land use &amp; agriculture'!T97</f>
        <v/>
      </c>
      <c r="AF1688" s="193" t="str">
        <f>'Land use &amp; agriculture'!U97</f>
        <v/>
      </c>
      <c r="AG1688" s="193" t="str">
        <f>'Land use &amp; agriculture'!V97</f>
        <v/>
      </c>
      <c r="AI1688" s="193">
        <f t="shared" si="42"/>
        <v>0</v>
      </c>
      <c r="AJ1688" s="193">
        <f t="shared" si="43"/>
        <v>0</v>
      </c>
    </row>
    <row r="1689" spans="2:36" x14ac:dyDescent="0.35">
      <c r="B1689" s="193" t="e">
        <f>"2024"&amp;MATCH(Totals!D1689,OrgType,0)&amp;"_"&amp;MATCH(Totals!E1689,Organisations,0)&amp;"_"&amp;LEFT(Totals!F1689,1)&amp;"_"&amp;LEFT(G1689,1)&amp;"_"&amp;COUNTIF($G$3:G1689,G1689)</f>
        <v>#N/A</v>
      </c>
      <c r="C1689" s="193">
        <v>2025</v>
      </c>
      <c r="D1689" s="193">
        <f>Introduction!$D$7</f>
        <v>0</v>
      </c>
      <c r="E1689" s="193">
        <f>Introduction!$D$8</f>
        <v>0</v>
      </c>
      <c r="F1689" s="193" t="s">
        <v>497</v>
      </c>
      <c r="G1689" s="193" t="s">
        <v>497</v>
      </c>
      <c r="H1689" s="194"/>
      <c r="I1689" s="194"/>
      <c r="J1689" s="193">
        <f>'Land use &amp; agriculture'!B98</f>
        <v>0</v>
      </c>
      <c r="K1689" s="194"/>
      <c r="L1689" s="194"/>
      <c r="M1689" s="193">
        <f>'Land use &amp; agriculture'!C98</f>
        <v>0</v>
      </c>
      <c r="N1689" s="193">
        <f>'Land use &amp; agriculture'!D98</f>
        <v>0</v>
      </c>
      <c r="O1689" s="194"/>
      <c r="P1689" s="193" t="str">
        <f>'Land use &amp; agriculture'!E98</f>
        <v>Tier 1</v>
      </c>
      <c r="Q1689" s="193" t="str">
        <f>'Land use &amp; agriculture'!F98</f>
        <v xml:space="preserve"> </v>
      </c>
      <c r="R1689" s="193">
        <f>'Land use &amp; agriculture'!G98</f>
        <v>0</v>
      </c>
      <c r="S1689" s="193" t="str">
        <f>'Land use &amp; agriculture'!H98</f>
        <v>ha</v>
      </c>
      <c r="T1689" s="193">
        <f>'Land use &amp; agriculture'!I98</f>
        <v>0</v>
      </c>
      <c r="U1689" s="193" t="str">
        <f>'Land use &amp; agriculture'!J98</f>
        <v>ha</v>
      </c>
      <c r="V1689" s="193" t="str">
        <f>'Land use &amp; agriculture'!K98</f>
        <v/>
      </c>
      <c r="W1689" s="193" t="str">
        <f>'Land use &amp; agriculture'!L98</f>
        <v/>
      </c>
      <c r="X1689" s="193">
        <f>'Land use &amp; agriculture'!M98</f>
        <v>0</v>
      </c>
      <c r="Y1689" s="193">
        <f>'Land use &amp; agriculture'!N98</f>
        <v>0</v>
      </c>
      <c r="Z1689" s="193">
        <f>'Land use &amp; agriculture'!O98</f>
        <v>0</v>
      </c>
      <c r="AA1689" s="193">
        <f>'Land use &amp; agriculture'!P98</f>
        <v>0</v>
      </c>
      <c r="AB1689" s="193">
        <f>'Land use &amp; agriculture'!Q98</f>
        <v>0</v>
      </c>
      <c r="AC1689" s="193">
        <f>'Land use &amp; agriculture'!R98</f>
        <v>0</v>
      </c>
      <c r="AD1689" s="193">
        <f>'Land use &amp; agriculture'!S98</f>
        <v>0</v>
      </c>
      <c r="AE1689" s="193" t="str">
        <f>'Land use &amp; agriculture'!T98</f>
        <v/>
      </c>
      <c r="AF1689" s="193" t="str">
        <f>'Land use &amp; agriculture'!U98</f>
        <v/>
      </c>
      <c r="AG1689" s="193" t="str">
        <f>'Land use &amp; agriculture'!V98</f>
        <v/>
      </c>
      <c r="AI1689" s="193">
        <f t="shared" si="42"/>
        <v>0</v>
      </c>
      <c r="AJ1689" s="193">
        <f t="shared" si="43"/>
        <v>0</v>
      </c>
    </row>
    <row r="1690" spans="2:36" x14ac:dyDescent="0.35">
      <c r="B1690" s="193" t="e">
        <f>"2024"&amp;MATCH(Totals!D1690,OrgType,0)&amp;"_"&amp;MATCH(Totals!E1690,Organisations,0)&amp;"_"&amp;LEFT(Totals!F1690,1)&amp;"_"&amp;LEFT(G1690,1)&amp;"_"&amp;COUNTIF($G$3:G1690,G1690)</f>
        <v>#N/A</v>
      </c>
      <c r="C1690" s="193">
        <v>2025</v>
      </c>
      <c r="D1690" s="193">
        <f>Introduction!$D$7</f>
        <v>0</v>
      </c>
      <c r="E1690" s="193">
        <f>Introduction!$D$8</f>
        <v>0</v>
      </c>
      <c r="F1690" s="193" t="s">
        <v>497</v>
      </c>
      <c r="G1690" s="193" t="s">
        <v>497</v>
      </c>
      <c r="H1690" s="194"/>
      <c r="I1690" s="194"/>
      <c r="J1690" s="193">
        <f>'Land use &amp; agriculture'!B99</f>
        <v>0</v>
      </c>
      <c r="K1690" s="194"/>
      <c r="L1690" s="194"/>
      <c r="M1690" s="193">
        <f>'Land use &amp; agriculture'!C99</f>
        <v>0</v>
      </c>
      <c r="N1690" s="193">
        <f>'Land use &amp; agriculture'!D99</f>
        <v>0</v>
      </c>
      <c r="O1690" s="194"/>
      <c r="P1690" s="193" t="str">
        <f>'Land use &amp; agriculture'!E99</f>
        <v>Tier 1</v>
      </c>
      <c r="Q1690" s="193" t="str">
        <f>'Land use &amp; agriculture'!F99</f>
        <v xml:space="preserve"> </v>
      </c>
      <c r="R1690" s="193">
        <f>'Land use &amp; agriculture'!G99</f>
        <v>0</v>
      </c>
      <c r="S1690" s="193" t="str">
        <f>'Land use &amp; agriculture'!H99</f>
        <v>ha</v>
      </c>
      <c r="T1690" s="193">
        <f>'Land use &amp; agriculture'!I99</f>
        <v>0</v>
      </c>
      <c r="U1690" s="193" t="str">
        <f>'Land use &amp; agriculture'!J99</f>
        <v>ha</v>
      </c>
      <c r="V1690" s="193" t="str">
        <f>'Land use &amp; agriculture'!K99</f>
        <v/>
      </c>
      <c r="W1690" s="193" t="str">
        <f>'Land use &amp; agriculture'!L99</f>
        <v/>
      </c>
      <c r="X1690" s="193">
        <f>'Land use &amp; agriculture'!M99</f>
        <v>0</v>
      </c>
      <c r="Y1690" s="193">
        <f>'Land use &amp; agriculture'!N99</f>
        <v>0</v>
      </c>
      <c r="Z1690" s="193">
        <f>'Land use &amp; agriculture'!O99</f>
        <v>0</v>
      </c>
      <c r="AA1690" s="193">
        <f>'Land use &amp; agriculture'!P99</f>
        <v>0</v>
      </c>
      <c r="AB1690" s="193">
        <f>'Land use &amp; agriculture'!Q99</f>
        <v>0</v>
      </c>
      <c r="AC1690" s="193">
        <f>'Land use &amp; agriculture'!R99</f>
        <v>0</v>
      </c>
      <c r="AD1690" s="193">
        <f>'Land use &amp; agriculture'!S99</f>
        <v>0</v>
      </c>
      <c r="AE1690" s="193" t="str">
        <f>'Land use &amp; agriculture'!T99</f>
        <v/>
      </c>
      <c r="AF1690" s="193" t="str">
        <f>'Land use &amp; agriculture'!U99</f>
        <v/>
      </c>
      <c r="AG1690" s="193" t="str">
        <f>'Land use &amp; agriculture'!V99</f>
        <v/>
      </c>
      <c r="AI1690" s="193">
        <f t="shared" si="38"/>
        <v>0</v>
      </c>
      <c r="AJ1690" s="193">
        <f t="shared" si="39"/>
        <v>0</v>
      </c>
    </row>
    <row r="1691" spans="2:36" x14ac:dyDescent="0.35">
      <c r="B1691" s="193" t="e">
        <f>"2024"&amp;MATCH(Totals!D1691,OrgType,0)&amp;"_"&amp;MATCH(Totals!E1691,Organisations,0)&amp;"_"&amp;LEFT(Totals!F1691,1)&amp;"_"&amp;LEFT(G1691,1)&amp;"_"&amp;COUNTIF($G$3:G1691,G1691)</f>
        <v>#N/A</v>
      </c>
      <c r="C1691" s="193">
        <v>2025</v>
      </c>
      <c r="D1691" s="193">
        <f>Introduction!$D$7</f>
        <v>0</v>
      </c>
      <c r="E1691" s="193">
        <f>Introduction!$D$8</f>
        <v>0</v>
      </c>
      <c r="F1691" s="193" t="s">
        <v>497</v>
      </c>
      <c r="G1691" s="193" t="s">
        <v>497</v>
      </c>
      <c r="H1691" s="194"/>
      <c r="I1691" s="194"/>
      <c r="J1691" s="193">
        <f>'Land use &amp; agriculture'!B104</f>
        <v>0</v>
      </c>
      <c r="K1691" s="194"/>
      <c r="L1691" s="194"/>
      <c r="M1691" s="193">
        <f>'Land use &amp; agriculture'!C104</f>
        <v>0</v>
      </c>
      <c r="N1691" s="193">
        <f>'Land use &amp; agriculture'!D104</f>
        <v>0</v>
      </c>
      <c r="O1691" s="194"/>
      <c r="P1691" s="193" t="str">
        <f>'Land use &amp; agriculture'!E104</f>
        <v>Tier 2</v>
      </c>
      <c r="Q1691" s="193">
        <f>'Land use &amp; agriculture'!F104</f>
        <v>0.15</v>
      </c>
      <c r="R1691" s="193">
        <f>'Land use &amp; agriculture'!G104</f>
        <v>0</v>
      </c>
      <c r="S1691" s="193" t="str">
        <f>'Land use &amp; agriculture'!H104</f>
        <v>ha</v>
      </c>
      <c r="T1691" s="193">
        <f>'Land use &amp; agriculture'!I104</f>
        <v>0</v>
      </c>
      <c r="U1691" s="193" t="str">
        <f>'Land use &amp; agriculture'!J104</f>
        <v>ha</v>
      </c>
      <c r="V1691" s="193" t="str">
        <f>'Land use &amp; agriculture'!K104</f>
        <v/>
      </c>
      <c r="W1691" s="193">
        <f>'Land use &amp; agriculture'!L104</f>
        <v>0</v>
      </c>
      <c r="X1691" s="193">
        <f>'Land use &amp; agriculture'!M104</f>
        <v>0</v>
      </c>
      <c r="Y1691" s="193">
        <f>'Land use &amp; agriculture'!N104</f>
        <v>0</v>
      </c>
      <c r="Z1691" s="193">
        <f>'Land use &amp; agriculture'!O104</f>
        <v>0</v>
      </c>
      <c r="AA1691" s="193">
        <f>'Land use &amp; agriculture'!P104</f>
        <v>0</v>
      </c>
      <c r="AB1691" s="193">
        <f>'Land use &amp; agriculture'!Q104</f>
        <v>0</v>
      </c>
      <c r="AC1691" s="193">
        <f>'Land use &amp; agriculture'!R104</f>
        <v>0</v>
      </c>
      <c r="AD1691" s="193">
        <f>'Land use &amp; agriculture'!S104</f>
        <v>0</v>
      </c>
      <c r="AE1691" s="193" t="str">
        <f>'Land use &amp; agriculture'!T104</f>
        <v/>
      </c>
      <c r="AF1691" s="193" t="str">
        <f>'Land use &amp; agriculture'!U104</f>
        <v/>
      </c>
      <c r="AG1691" s="193">
        <f>'Land use &amp; agriculture'!V104</f>
        <v>0</v>
      </c>
      <c r="AI1691" s="193">
        <f t="shared" si="38"/>
        <v>0</v>
      </c>
      <c r="AJ1691" s="193">
        <f t="shared" si="39"/>
        <v>0</v>
      </c>
    </row>
    <row r="1692" spans="2:36" x14ac:dyDescent="0.35">
      <c r="B1692" s="193" t="e">
        <f>"2024"&amp;MATCH(Totals!D1692,OrgType,0)&amp;"_"&amp;MATCH(Totals!E1692,Organisations,0)&amp;"_"&amp;LEFT(Totals!F1692,1)&amp;"_"&amp;LEFT(G1692,1)&amp;"_"&amp;COUNTIF($G$3:G1692,G1692)</f>
        <v>#N/A</v>
      </c>
      <c r="C1692" s="193">
        <v>2025</v>
      </c>
      <c r="D1692" s="193">
        <f>Introduction!$D$7</f>
        <v>0</v>
      </c>
      <c r="E1692" s="193">
        <f>Introduction!$D$8</f>
        <v>0</v>
      </c>
      <c r="F1692" s="193" t="s">
        <v>497</v>
      </c>
      <c r="G1692" s="193" t="s">
        <v>497</v>
      </c>
      <c r="H1692" s="194"/>
      <c r="I1692" s="194"/>
      <c r="J1692" s="193">
        <f>'Land use &amp; agriculture'!B105</f>
        <v>0</v>
      </c>
      <c r="K1692" s="194"/>
      <c r="L1692" s="194"/>
      <c r="M1692" s="193">
        <f>'Land use &amp; agriculture'!C105</f>
        <v>0</v>
      </c>
      <c r="N1692" s="193">
        <f>'Land use &amp; agriculture'!D105</f>
        <v>0</v>
      </c>
      <c r="O1692" s="194"/>
      <c r="P1692" s="193">
        <f>'Land use &amp; agriculture'!E105</f>
        <v>0</v>
      </c>
      <c r="Q1692" s="193" t="str">
        <f>'Land use &amp; agriculture'!F105</f>
        <v/>
      </c>
      <c r="R1692" s="193">
        <f>'Land use &amp; agriculture'!G105</f>
        <v>0</v>
      </c>
      <c r="S1692" s="193" t="str">
        <f>'Land use &amp; agriculture'!H105</f>
        <v>ha</v>
      </c>
      <c r="T1692" s="193">
        <f>'Land use &amp; agriculture'!I105</f>
        <v>0</v>
      </c>
      <c r="U1692" s="193" t="str">
        <f>'Land use &amp; agriculture'!J105</f>
        <v>ha</v>
      </c>
      <c r="V1692" s="193" t="str">
        <f>'Land use &amp; agriculture'!K105</f>
        <v/>
      </c>
      <c r="W1692" s="193">
        <f>'Land use &amp; agriculture'!L105</f>
        <v>0</v>
      </c>
      <c r="X1692" s="193">
        <f>'Land use &amp; agriculture'!M105</f>
        <v>0</v>
      </c>
      <c r="Y1692" s="193">
        <f>'Land use &amp; agriculture'!N105</f>
        <v>0</v>
      </c>
      <c r="Z1692" s="193">
        <f>'Land use &amp; agriculture'!O105</f>
        <v>0</v>
      </c>
      <c r="AA1692" s="193">
        <f>'Land use &amp; agriculture'!P105</f>
        <v>0</v>
      </c>
      <c r="AB1692" s="193">
        <f>'Land use &amp; agriculture'!Q105</f>
        <v>0</v>
      </c>
      <c r="AC1692" s="193">
        <f>'Land use &amp; agriculture'!R105</f>
        <v>0</v>
      </c>
      <c r="AD1692" s="193">
        <f>'Land use &amp; agriculture'!S105</f>
        <v>0</v>
      </c>
      <c r="AE1692" s="193" t="str">
        <f>'Land use &amp; agriculture'!T105</f>
        <v/>
      </c>
      <c r="AF1692" s="193" t="str">
        <f>'Land use &amp; agriculture'!U105</f>
        <v/>
      </c>
      <c r="AG1692" s="193">
        <f>'Land use &amp; agriculture'!V105</f>
        <v>0</v>
      </c>
      <c r="AI1692" s="193">
        <f t="shared" si="38"/>
        <v>0</v>
      </c>
      <c r="AJ1692" s="193">
        <f t="shared" si="39"/>
        <v>0</v>
      </c>
    </row>
    <row r="1693" spans="2:36" x14ac:dyDescent="0.35">
      <c r="B1693" s="193" t="e">
        <f>"2024"&amp;MATCH(Totals!D1693,OrgType,0)&amp;"_"&amp;MATCH(Totals!E1693,Organisations,0)&amp;"_"&amp;LEFT(Totals!F1693,1)&amp;"_"&amp;LEFT(G1693,1)&amp;"_"&amp;COUNTIF($G$3:G1693,G1693)</f>
        <v>#N/A</v>
      </c>
      <c r="C1693" s="193">
        <v>2025</v>
      </c>
      <c r="D1693" s="193">
        <f>Introduction!$D$7</f>
        <v>0</v>
      </c>
      <c r="E1693" s="193">
        <f>Introduction!$D$8</f>
        <v>0</v>
      </c>
      <c r="F1693" s="193" t="s">
        <v>497</v>
      </c>
      <c r="G1693" s="193" t="s">
        <v>497</v>
      </c>
      <c r="H1693" s="194"/>
      <c r="I1693" s="194"/>
      <c r="J1693" s="193">
        <f>'Land use &amp; agriculture'!B106</f>
        <v>0</v>
      </c>
      <c r="K1693" s="194"/>
      <c r="L1693" s="194"/>
      <c r="M1693" s="193">
        <f>'Land use &amp; agriculture'!C106</f>
        <v>0</v>
      </c>
      <c r="N1693" s="193">
        <f>'Land use &amp; agriculture'!D106</f>
        <v>0</v>
      </c>
      <c r="O1693" s="194"/>
      <c r="P1693" s="193">
        <f>'Land use &amp; agriculture'!E106</f>
        <v>0</v>
      </c>
      <c r="Q1693" s="193" t="str">
        <f>'Land use &amp; agriculture'!F106</f>
        <v/>
      </c>
      <c r="R1693" s="193">
        <f>'Land use &amp; agriculture'!G106</f>
        <v>0</v>
      </c>
      <c r="S1693" s="193" t="str">
        <f>'Land use &amp; agriculture'!H106</f>
        <v>ha</v>
      </c>
      <c r="T1693" s="193">
        <f>'Land use &amp; agriculture'!I106</f>
        <v>0</v>
      </c>
      <c r="U1693" s="193" t="str">
        <f>'Land use &amp; agriculture'!J106</f>
        <v>ha</v>
      </c>
      <c r="V1693" s="193" t="str">
        <f>'Land use &amp; agriculture'!K106</f>
        <v/>
      </c>
      <c r="W1693" s="193">
        <f>'Land use &amp; agriculture'!L106</f>
        <v>0</v>
      </c>
      <c r="X1693" s="193">
        <f>'Land use &amp; agriculture'!M106</f>
        <v>0</v>
      </c>
      <c r="Y1693" s="193">
        <f>'Land use &amp; agriculture'!N106</f>
        <v>0</v>
      </c>
      <c r="Z1693" s="193">
        <f>'Land use &amp; agriculture'!O106</f>
        <v>0</v>
      </c>
      <c r="AA1693" s="193">
        <f>'Land use &amp; agriculture'!P106</f>
        <v>0</v>
      </c>
      <c r="AB1693" s="193">
        <f>'Land use &amp; agriculture'!Q106</f>
        <v>0</v>
      </c>
      <c r="AC1693" s="193">
        <f>'Land use &amp; agriculture'!R106</f>
        <v>0</v>
      </c>
      <c r="AD1693" s="193">
        <f>'Land use &amp; agriculture'!S106</f>
        <v>0</v>
      </c>
      <c r="AE1693" s="193" t="str">
        <f>'Land use &amp; agriculture'!T106</f>
        <v/>
      </c>
      <c r="AF1693" s="193" t="str">
        <f>'Land use &amp; agriculture'!U106</f>
        <v/>
      </c>
      <c r="AG1693" s="193">
        <f>'Land use &amp; agriculture'!V106</f>
        <v>0</v>
      </c>
      <c r="AI1693" s="193">
        <f t="shared" si="38"/>
        <v>0</v>
      </c>
      <c r="AJ1693" s="193">
        <f t="shared" si="39"/>
        <v>0</v>
      </c>
    </row>
    <row r="1694" spans="2:36" x14ac:dyDescent="0.35">
      <c r="B1694" s="193" t="e">
        <f>"2024"&amp;MATCH(Totals!D1694,OrgType,0)&amp;"_"&amp;MATCH(Totals!E1694,Organisations,0)&amp;"_"&amp;LEFT(Totals!F1694,1)&amp;"_"&amp;LEFT(G1694,1)&amp;"_"&amp;COUNTIF($G$3:G1694,G1694)</f>
        <v>#N/A</v>
      </c>
      <c r="C1694" s="193">
        <v>2025</v>
      </c>
      <c r="D1694" s="193">
        <f>Introduction!$D$7</f>
        <v>0</v>
      </c>
      <c r="E1694" s="193">
        <f>Introduction!$D$8</f>
        <v>0</v>
      </c>
      <c r="F1694" s="193" t="s">
        <v>497</v>
      </c>
      <c r="G1694" s="193" t="s">
        <v>497</v>
      </c>
      <c r="H1694" s="194"/>
      <c r="I1694" s="194"/>
      <c r="J1694" s="193">
        <f>'Land use &amp; agriculture'!B107</f>
        <v>0</v>
      </c>
      <c r="K1694" s="194"/>
      <c r="L1694" s="194"/>
      <c r="M1694" s="193">
        <f>'Land use &amp; agriculture'!C107</f>
        <v>0</v>
      </c>
      <c r="N1694" s="193">
        <f>'Land use &amp; agriculture'!D107</f>
        <v>0</v>
      </c>
      <c r="O1694" s="194"/>
      <c r="P1694" s="193">
        <f>'Land use &amp; agriculture'!E107</f>
        <v>0</v>
      </c>
      <c r="Q1694" s="193" t="str">
        <f>'Land use &amp; agriculture'!F107</f>
        <v/>
      </c>
      <c r="R1694" s="193">
        <f>'Land use &amp; agriculture'!G107</f>
        <v>0</v>
      </c>
      <c r="S1694" s="193" t="str">
        <f>'Land use &amp; agriculture'!H107</f>
        <v>ha</v>
      </c>
      <c r="T1694" s="193">
        <f>'Land use &amp; agriculture'!I107</f>
        <v>0</v>
      </c>
      <c r="U1694" s="193" t="str">
        <f>'Land use &amp; agriculture'!J107</f>
        <v>ha</v>
      </c>
      <c r="V1694" s="193" t="str">
        <f>'Land use &amp; agriculture'!K107</f>
        <v/>
      </c>
      <c r="W1694" s="193">
        <f>'Land use &amp; agriculture'!L107</f>
        <v>0</v>
      </c>
      <c r="X1694" s="193">
        <f>'Land use &amp; agriculture'!M107</f>
        <v>0</v>
      </c>
      <c r="Y1694" s="193">
        <f>'Land use &amp; agriculture'!N107</f>
        <v>0</v>
      </c>
      <c r="Z1694" s="193">
        <f>'Land use &amp; agriculture'!O107</f>
        <v>0</v>
      </c>
      <c r="AA1694" s="193">
        <f>'Land use &amp; agriculture'!P107</f>
        <v>0</v>
      </c>
      <c r="AB1694" s="193">
        <f>'Land use &amp; agriculture'!Q107</f>
        <v>0</v>
      </c>
      <c r="AC1694" s="193">
        <f>'Land use &amp; agriculture'!R107</f>
        <v>0</v>
      </c>
      <c r="AD1694" s="193">
        <f>'Land use &amp; agriculture'!S107</f>
        <v>0</v>
      </c>
      <c r="AE1694" s="193" t="str">
        <f>'Land use &amp; agriculture'!T107</f>
        <v/>
      </c>
      <c r="AF1694" s="193" t="str">
        <f>'Land use &amp; agriculture'!U107</f>
        <v/>
      </c>
      <c r="AG1694" s="193">
        <f>'Land use &amp; agriculture'!V107</f>
        <v>0</v>
      </c>
      <c r="AI1694" s="193">
        <f t="shared" si="38"/>
        <v>0</v>
      </c>
      <c r="AJ1694" s="193">
        <f t="shared" si="39"/>
        <v>0</v>
      </c>
    </row>
    <row r="1695" spans="2:36" x14ac:dyDescent="0.35">
      <c r="B1695" s="193" t="e">
        <f>"2024"&amp;MATCH(Totals!D1695,OrgType,0)&amp;"_"&amp;MATCH(Totals!E1695,Organisations,0)&amp;"_"&amp;LEFT(Totals!F1695,1)&amp;"_"&amp;LEFT(G1695,1)&amp;"_"&amp;COUNTIF($G$3:G1695,G1695)</f>
        <v>#N/A</v>
      </c>
      <c r="C1695" s="193">
        <v>2025</v>
      </c>
      <c r="D1695" s="193">
        <f>Introduction!$D$7</f>
        <v>0</v>
      </c>
      <c r="E1695" s="193">
        <f>Introduction!$D$8</f>
        <v>0</v>
      </c>
      <c r="F1695" s="193" t="s">
        <v>497</v>
      </c>
      <c r="G1695" s="193" t="s">
        <v>497</v>
      </c>
      <c r="H1695" s="194"/>
      <c r="I1695" s="194"/>
      <c r="J1695" s="193">
        <f>'Land use &amp; agriculture'!B108</f>
        <v>0</v>
      </c>
      <c r="K1695" s="194"/>
      <c r="L1695" s="194"/>
      <c r="M1695" s="193">
        <f>'Land use &amp; agriculture'!C108</f>
        <v>0</v>
      </c>
      <c r="N1695" s="193">
        <f>'Land use &amp; agriculture'!D108</f>
        <v>0</v>
      </c>
      <c r="O1695" s="194"/>
      <c r="P1695" s="193">
        <f>'Land use &amp; agriculture'!E108</f>
        <v>0</v>
      </c>
      <c r="Q1695" s="193" t="str">
        <f>'Land use &amp; agriculture'!F108</f>
        <v/>
      </c>
      <c r="R1695" s="193">
        <f>'Land use &amp; agriculture'!G108</f>
        <v>0</v>
      </c>
      <c r="S1695" s="193" t="str">
        <f>'Land use &amp; agriculture'!H108</f>
        <v>ha</v>
      </c>
      <c r="T1695" s="193">
        <f>'Land use &amp; agriculture'!I108</f>
        <v>0</v>
      </c>
      <c r="U1695" s="193" t="str">
        <f>'Land use &amp; agriculture'!J108</f>
        <v>ha</v>
      </c>
      <c r="V1695" s="193" t="str">
        <f>'Land use &amp; agriculture'!K108</f>
        <v/>
      </c>
      <c r="W1695" s="193">
        <f>'Land use &amp; agriculture'!L108</f>
        <v>0</v>
      </c>
      <c r="X1695" s="193">
        <f>'Land use &amp; agriculture'!M108</f>
        <v>0</v>
      </c>
      <c r="Y1695" s="193">
        <f>'Land use &amp; agriculture'!N108</f>
        <v>0</v>
      </c>
      <c r="Z1695" s="193">
        <f>'Land use &amp; agriculture'!O108</f>
        <v>0</v>
      </c>
      <c r="AA1695" s="193">
        <f>'Land use &amp; agriculture'!P108</f>
        <v>0</v>
      </c>
      <c r="AB1695" s="193">
        <f>'Land use &amp; agriculture'!Q108</f>
        <v>0</v>
      </c>
      <c r="AC1695" s="193">
        <f>'Land use &amp; agriculture'!R108</f>
        <v>0</v>
      </c>
      <c r="AD1695" s="193">
        <f>'Land use &amp; agriculture'!S108</f>
        <v>0</v>
      </c>
      <c r="AE1695" s="193" t="str">
        <f>'Land use &amp; agriculture'!T108</f>
        <v/>
      </c>
      <c r="AF1695" s="193" t="str">
        <f>'Land use &amp; agriculture'!U108</f>
        <v/>
      </c>
      <c r="AG1695" s="193">
        <f>'Land use &amp; agriculture'!V108</f>
        <v>0</v>
      </c>
      <c r="AI1695" s="193">
        <f t="shared" si="38"/>
        <v>0</v>
      </c>
      <c r="AJ1695" s="193">
        <f t="shared" si="39"/>
        <v>0</v>
      </c>
    </row>
    <row r="1696" spans="2:36" x14ac:dyDescent="0.35">
      <c r="B1696" s="193" t="e">
        <f>"2024"&amp;MATCH(Totals!D1696,OrgType,0)&amp;"_"&amp;MATCH(Totals!E1696,Organisations,0)&amp;"_"&amp;LEFT(Totals!F1696,1)&amp;"_"&amp;LEFT(G1696,1)&amp;"_"&amp;COUNTIF($G$3:G1696,G1696)</f>
        <v>#N/A</v>
      </c>
      <c r="C1696" s="193">
        <v>2025</v>
      </c>
      <c r="D1696" s="193">
        <f>Introduction!$D$7</f>
        <v>0</v>
      </c>
      <c r="E1696" s="193">
        <f>Introduction!$D$8</f>
        <v>0</v>
      </c>
      <c r="F1696" s="193" t="s">
        <v>497</v>
      </c>
      <c r="G1696" s="193" t="s">
        <v>497</v>
      </c>
      <c r="H1696" s="194"/>
      <c r="I1696" s="194"/>
      <c r="J1696" s="193">
        <f>'Land use &amp; agriculture'!B109</f>
        <v>0</v>
      </c>
      <c r="K1696" s="194"/>
      <c r="L1696" s="194"/>
      <c r="M1696" s="193">
        <f>'Land use &amp; agriculture'!C109</f>
        <v>0</v>
      </c>
      <c r="N1696" s="193">
        <f>'Land use &amp; agriculture'!D109</f>
        <v>0</v>
      </c>
      <c r="O1696" s="194"/>
      <c r="P1696" s="193">
        <f>'Land use &amp; agriculture'!E109</f>
        <v>0</v>
      </c>
      <c r="Q1696" s="193" t="str">
        <f>'Land use &amp; agriculture'!F109</f>
        <v/>
      </c>
      <c r="R1696" s="193">
        <f>'Land use &amp; agriculture'!G109</f>
        <v>0</v>
      </c>
      <c r="S1696" s="193" t="str">
        <f>'Land use &amp; agriculture'!H109</f>
        <v>ha</v>
      </c>
      <c r="T1696" s="193">
        <f>'Land use &amp; agriculture'!I109</f>
        <v>0</v>
      </c>
      <c r="U1696" s="193" t="str">
        <f>'Land use &amp; agriculture'!J109</f>
        <v>ha</v>
      </c>
      <c r="V1696" s="193" t="str">
        <f>'Land use &amp; agriculture'!K109</f>
        <v/>
      </c>
      <c r="W1696" s="193">
        <f>'Land use &amp; agriculture'!L109</f>
        <v>0</v>
      </c>
      <c r="X1696" s="193">
        <f>'Land use &amp; agriculture'!M109</f>
        <v>0</v>
      </c>
      <c r="Y1696" s="193">
        <f>'Land use &amp; agriculture'!N109</f>
        <v>0</v>
      </c>
      <c r="Z1696" s="193">
        <f>'Land use &amp; agriculture'!O109</f>
        <v>0</v>
      </c>
      <c r="AA1696" s="193">
        <f>'Land use &amp; agriculture'!P109</f>
        <v>0</v>
      </c>
      <c r="AB1696" s="193">
        <f>'Land use &amp; agriculture'!Q109</f>
        <v>0</v>
      </c>
      <c r="AC1696" s="193">
        <f>'Land use &amp; agriculture'!R109</f>
        <v>0</v>
      </c>
      <c r="AD1696" s="193">
        <f>'Land use &amp; agriculture'!S109</f>
        <v>0</v>
      </c>
      <c r="AE1696" s="193" t="str">
        <f>'Land use &amp; agriculture'!T109</f>
        <v/>
      </c>
      <c r="AF1696" s="193" t="str">
        <f>'Land use &amp; agriculture'!U109</f>
        <v/>
      </c>
      <c r="AG1696" s="193">
        <f>'Land use &amp; agriculture'!V109</f>
        <v>0</v>
      </c>
      <c r="AI1696" s="193">
        <f t="shared" si="38"/>
        <v>0</v>
      </c>
      <c r="AJ1696" s="193">
        <f t="shared" si="39"/>
        <v>0</v>
      </c>
    </row>
    <row r="1697" spans="2:36" x14ac:dyDescent="0.35">
      <c r="B1697" s="193" t="e">
        <f>"2024"&amp;MATCH(Totals!D1697,OrgType,0)&amp;"_"&amp;MATCH(Totals!E1697,Organisations,0)&amp;"_"&amp;LEFT(Totals!F1697,1)&amp;"_"&amp;LEFT(G1697,1)&amp;"_"&amp;COUNTIF($G$3:G1697,G1697)</f>
        <v>#N/A</v>
      </c>
      <c r="C1697" s="193">
        <v>2025</v>
      </c>
      <c r="D1697" s="193">
        <f>Introduction!$D$7</f>
        <v>0</v>
      </c>
      <c r="E1697" s="193">
        <f>Introduction!$D$8</f>
        <v>0</v>
      </c>
      <c r="F1697" s="193" t="s">
        <v>497</v>
      </c>
      <c r="G1697" s="193" t="s">
        <v>497</v>
      </c>
      <c r="H1697" s="194"/>
      <c r="I1697" s="194"/>
      <c r="J1697" s="193">
        <f>'Land use &amp; agriculture'!B110</f>
        <v>0</v>
      </c>
      <c r="K1697" s="194"/>
      <c r="L1697" s="194"/>
      <c r="M1697" s="193">
        <f>'Land use &amp; agriculture'!C110</f>
        <v>0</v>
      </c>
      <c r="N1697" s="193">
        <f>'Land use &amp; agriculture'!D110</f>
        <v>0</v>
      </c>
      <c r="O1697" s="194"/>
      <c r="P1697" s="193">
        <f>'Land use &amp; agriculture'!E110</f>
        <v>0</v>
      </c>
      <c r="Q1697" s="193" t="str">
        <f>'Land use &amp; agriculture'!F110</f>
        <v/>
      </c>
      <c r="R1697" s="193">
        <f>'Land use &amp; agriculture'!G110</f>
        <v>0</v>
      </c>
      <c r="S1697" s="193" t="str">
        <f>'Land use &amp; agriculture'!H110</f>
        <v>ha</v>
      </c>
      <c r="T1697" s="193">
        <f>'Land use &amp; agriculture'!I110</f>
        <v>0</v>
      </c>
      <c r="U1697" s="193" t="str">
        <f>'Land use &amp; agriculture'!J110</f>
        <v>ha</v>
      </c>
      <c r="V1697" s="193" t="str">
        <f>'Land use &amp; agriculture'!K110</f>
        <v/>
      </c>
      <c r="W1697" s="193">
        <f>'Land use &amp; agriculture'!L110</f>
        <v>0</v>
      </c>
      <c r="X1697" s="193">
        <f>'Land use &amp; agriculture'!M110</f>
        <v>0</v>
      </c>
      <c r="Y1697" s="193">
        <f>'Land use &amp; agriculture'!N110</f>
        <v>0</v>
      </c>
      <c r="Z1697" s="193">
        <f>'Land use &amp; agriculture'!O110</f>
        <v>0</v>
      </c>
      <c r="AA1697" s="193">
        <f>'Land use &amp; agriculture'!P110</f>
        <v>0</v>
      </c>
      <c r="AB1697" s="193">
        <f>'Land use &amp; agriculture'!Q110</f>
        <v>0</v>
      </c>
      <c r="AC1697" s="193">
        <f>'Land use &amp; agriculture'!R110</f>
        <v>0</v>
      </c>
      <c r="AD1697" s="193">
        <f>'Land use &amp; agriculture'!S110</f>
        <v>0</v>
      </c>
      <c r="AE1697" s="193" t="str">
        <f>'Land use &amp; agriculture'!T110</f>
        <v/>
      </c>
      <c r="AF1697" s="193" t="str">
        <f>'Land use &amp; agriculture'!U110</f>
        <v/>
      </c>
      <c r="AG1697" s="193">
        <f>'Land use &amp; agriculture'!V110</f>
        <v>0</v>
      </c>
      <c r="AI1697" s="193">
        <f t="shared" si="38"/>
        <v>0</v>
      </c>
      <c r="AJ1697" s="193">
        <f t="shared" si="39"/>
        <v>0</v>
      </c>
    </row>
    <row r="1698" spans="2:36" x14ac:dyDescent="0.35">
      <c r="B1698" s="193" t="e">
        <f>"2024"&amp;MATCH(Totals!D1698,OrgType,0)&amp;"_"&amp;MATCH(Totals!E1698,Organisations,0)&amp;"_"&amp;LEFT(Totals!F1698,1)&amp;"_"&amp;LEFT(G1698,1)&amp;"_"&amp;COUNTIF($G$3:G1698,G1698)</f>
        <v>#N/A</v>
      </c>
      <c r="C1698" s="193">
        <v>2025</v>
      </c>
      <c r="D1698" s="193">
        <f>Introduction!$D$7</f>
        <v>0</v>
      </c>
      <c r="E1698" s="193">
        <f>Introduction!$D$8</f>
        <v>0</v>
      </c>
      <c r="F1698" s="193" t="s">
        <v>497</v>
      </c>
      <c r="G1698" s="193" t="s">
        <v>497</v>
      </c>
      <c r="H1698" s="194"/>
      <c r="I1698" s="194"/>
      <c r="J1698" s="193">
        <f>'Land use &amp; agriculture'!B111</f>
        <v>0</v>
      </c>
      <c r="K1698" s="194"/>
      <c r="L1698" s="194"/>
      <c r="M1698" s="193">
        <f>'Land use &amp; agriculture'!C111</f>
        <v>0</v>
      </c>
      <c r="N1698" s="193">
        <f>'Land use &amp; agriculture'!D111</f>
        <v>0</v>
      </c>
      <c r="O1698" s="194"/>
      <c r="P1698" s="193">
        <f>'Land use &amp; agriculture'!E111</f>
        <v>0</v>
      </c>
      <c r="Q1698" s="193" t="str">
        <f>'Land use &amp; agriculture'!F111</f>
        <v/>
      </c>
      <c r="R1698" s="193">
        <f>'Land use &amp; agriculture'!G111</f>
        <v>0</v>
      </c>
      <c r="S1698" s="193" t="str">
        <f>'Land use &amp; agriculture'!H111</f>
        <v>ha</v>
      </c>
      <c r="T1698" s="193">
        <f>'Land use &amp; agriculture'!I111</f>
        <v>0</v>
      </c>
      <c r="U1698" s="193" t="str">
        <f>'Land use &amp; agriculture'!J111</f>
        <v>ha</v>
      </c>
      <c r="V1698" s="193" t="str">
        <f>'Land use &amp; agriculture'!K111</f>
        <v/>
      </c>
      <c r="W1698" s="193">
        <f>'Land use &amp; agriculture'!L111</f>
        <v>0</v>
      </c>
      <c r="X1698" s="193">
        <f>'Land use &amp; agriculture'!M111</f>
        <v>0</v>
      </c>
      <c r="Y1698" s="193">
        <f>'Land use &amp; agriculture'!N111</f>
        <v>0</v>
      </c>
      <c r="Z1698" s="193">
        <f>'Land use &amp; agriculture'!O111</f>
        <v>0</v>
      </c>
      <c r="AA1698" s="193">
        <f>'Land use &amp; agriculture'!P111</f>
        <v>0</v>
      </c>
      <c r="AB1698" s="193">
        <f>'Land use &amp; agriculture'!Q111</f>
        <v>0</v>
      </c>
      <c r="AC1698" s="193">
        <f>'Land use &amp; agriculture'!R111</f>
        <v>0</v>
      </c>
      <c r="AD1698" s="193">
        <f>'Land use &amp; agriculture'!S111</f>
        <v>0</v>
      </c>
      <c r="AE1698" s="193" t="str">
        <f>'Land use &amp; agriculture'!T111</f>
        <v/>
      </c>
      <c r="AF1698" s="193" t="str">
        <f>'Land use &amp; agriculture'!U111</f>
        <v/>
      </c>
      <c r="AG1698" s="193">
        <f>'Land use &amp; agriculture'!V111</f>
        <v>0</v>
      </c>
      <c r="AI1698" s="193">
        <f t="shared" si="38"/>
        <v>0</v>
      </c>
      <c r="AJ1698" s="193">
        <f t="shared" si="39"/>
        <v>0</v>
      </c>
    </row>
    <row r="1699" spans="2:36" x14ac:dyDescent="0.35">
      <c r="B1699" s="193" t="e">
        <f>"2024"&amp;MATCH(Totals!D1699,OrgType,0)&amp;"_"&amp;MATCH(Totals!E1699,Organisations,0)&amp;"_"&amp;LEFT(Totals!F1699,1)&amp;"_"&amp;LEFT(G1699,1)&amp;"_"&amp;COUNTIF($G$3:G1699,G1699)</f>
        <v>#N/A</v>
      </c>
      <c r="C1699" s="193">
        <v>2025</v>
      </c>
      <c r="D1699" s="193">
        <f>Introduction!$D$7</f>
        <v>0</v>
      </c>
      <c r="E1699" s="193">
        <f>Introduction!$D$8</f>
        <v>0</v>
      </c>
      <c r="F1699" s="193" t="s">
        <v>497</v>
      </c>
      <c r="G1699" s="193" t="s">
        <v>497</v>
      </c>
      <c r="H1699" s="194"/>
      <c r="I1699" s="194"/>
      <c r="J1699" s="193">
        <f>'Land use &amp; agriculture'!B112</f>
        <v>0</v>
      </c>
      <c r="K1699" s="194"/>
      <c r="L1699" s="194"/>
      <c r="M1699" s="193">
        <f>'Land use &amp; agriculture'!C112</f>
        <v>0</v>
      </c>
      <c r="N1699" s="193">
        <f>'Land use &amp; agriculture'!D112</f>
        <v>0</v>
      </c>
      <c r="O1699" s="194"/>
      <c r="P1699" s="193">
        <f>'Land use &amp; agriculture'!E112</f>
        <v>0</v>
      </c>
      <c r="Q1699" s="193" t="str">
        <f>'Land use &amp; agriculture'!F112</f>
        <v/>
      </c>
      <c r="R1699" s="193">
        <f>'Land use &amp; agriculture'!G112</f>
        <v>0</v>
      </c>
      <c r="S1699" s="193" t="str">
        <f>'Land use &amp; agriculture'!H112</f>
        <v>ha</v>
      </c>
      <c r="T1699" s="193">
        <f>'Land use &amp; agriculture'!I112</f>
        <v>0</v>
      </c>
      <c r="U1699" s="193" t="str">
        <f>'Land use &amp; agriculture'!J112</f>
        <v>ha</v>
      </c>
      <c r="V1699" s="193" t="str">
        <f>'Land use &amp; agriculture'!K112</f>
        <v/>
      </c>
      <c r="W1699" s="193">
        <f>'Land use &amp; agriculture'!L112</f>
        <v>0</v>
      </c>
      <c r="X1699" s="193">
        <f>'Land use &amp; agriculture'!M112</f>
        <v>0</v>
      </c>
      <c r="Y1699" s="193">
        <f>'Land use &amp; agriculture'!N112</f>
        <v>0</v>
      </c>
      <c r="Z1699" s="193">
        <f>'Land use &amp; agriculture'!O112</f>
        <v>0</v>
      </c>
      <c r="AA1699" s="193">
        <f>'Land use &amp; agriculture'!P112</f>
        <v>0</v>
      </c>
      <c r="AB1699" s="193">
        <f>'Land use &amp; agriculture'!Q112</f>
        <v>0</v>
      </c>
      <c r="AC1699" s="193">
        <f>'Land use &amp; agriculture'!R112</f>
        <v>0</v>
      </c>
      <c r="AD1699" s="193">
        <f>'Land use &amp; agriculture'!S112</f>
        <v>0</v>
      </c>
      <c r="AE1699" s="193" t="str">
        <f>'Land use &amp; agriculture'!T112</f>
        <v/>
      </c>
      <c r="AF1699" s="193" t="str">
        <f>'Land use &amp; agriculture'!U112</f>
        <v/>
      </c>
      <c r="AG1699" s="193">
        <f>'Land use &amp; agriculture'!V112</f>
        <v>0</v>
      </c>
      <c r="AI1699" s="193">
        <f t="shared" si="38"/>
        <v>0</v>
      </c>
      <c r="AJ1699" s="193">
        <f t="shared" si="39"/>
        <v>0</v>
      </c>
    </row>
    <row r="1700" spans="2:36" x14ac:dyDescent="0.35">
      <c r="B1700" s="193" t="e">
        <f>"2024"&amp;MATCH(Totals!D1700,OrgType,0)&amp;"_"&amp;MATCH(Totals!E1700,Organisations,0)&amp;"_"&amp;LEFT(Totals!F1700,1)&amp;"_"&amp;LEFT(G1700,1)&amp;"_"&amp;COUNTIF($G$3:G1700,G1700)</f>
        <v>#N/A</v>
      </c>
      <c r="C1700" s="193">
        <v>2025</v>
      </c>
      <c r="D1700" s="193">
        <f>Introduction!$D$7</f>
        <v>0</v>
      </c>
      <c r="E1700" s="193">
        <f>Introduction!$D$8</f>
        <v>0</v>
      </c>
      <c r="F1700" s="193" t="s">
        <v>497</v>
      </c>
      <c r="G1700" s="193" t="s">
        <v>497</v>
      </c>
      <c r="H1700" s="194"/>
      <c r="I1700" s="194"/>
      <c r="J1700" s="193">
        <f>'Land use &amp; agriculture'!B113</f>
        <v>0</v>
      </c>
      <c r="K1700" s="194"/>
      <c r="L1700" s="194"/>
      <c r="M1700" s="193">
        <f>'Land use &amp; agriculture'!C113</f>
        <v>0</v>
      </c>
      <c r="N1700" s="193">
        <f>'Land use &amp; agriculture'!D113</f>
        <v>0</v>
      </c>
      <c r="O1700" s="194"/>
      <c r="P1700" s="193">
        <f>'Land use &amp; agriculture'!E113</f>
        <v>0</v>
      </c>
      <c r="Q1700" s="193" t="str">
        <f>'Land use &amp; agriculture'!F113</f>
        <v/>
      </c>
      <c r="R1700" s="193">
        <f>'Land use &amp; agriculture'!G113</f>
        <v>0</v>
      </c>
      <c r="S1700" s="193" t="str">
        <f>'Land use &amp; agriculture'!H113</f>
        <v>ha</v>
      </c>
      <c r="T1700" s="193">
        <f>'Land use &amp; agriculture'!I113</f>
        <v>0</v>
      </c>
      <c r="U1700" s="193" t="str">
        <f>'Land use &amp; agriculture'!J113</f>
        <v>ha</v>
      </c>
      <c r="V1700" s="193" t="str">
        <f>'Land use &amp; agriculture'!K113</f>
        <v/>
      </c>
      <c r="W1700" s="193">
        <f>'Land use &amp; agriculture'!L113</f>
        <v>0</v>
      </c>
      <c r="X1700" s="193">
        <f>'Land use &amp; agriculture'!M113</f>
        <v>0</v>
      </c>
      <c r="Y1700" s="193">
        <f>'Land use &amp; agriculture'!N113</f>
        <v>0</v>
      </c>
      <c r="Z1700" s="193">
        <f>'Land use &amp; agriculture'!O113</f>
        <v>0</v>
      </c>
      <c r="AA1700" s="193">
        <f>'Land use &amp; agriculture'!P113</f>
        <v>0</v>
      </c>
      <c r="AB1700" s="193">
        <f>'Land use &amp; agriculture'!Q113</f>
        <v>0</v>
      </c>
      <c r="AC1700" s="193">
        <f>'Land use &amp; agriculture'!R113</f>
        <v>0</v>
      </c>
      <c r="AD1700" s="193">
        <f>'Land use &amp; agriculture'!S113</f>
        <v>0</v>
      </c>
      <c r="AE1700" s="193" t="str">
        <f>'Land use &amp; agriculture'!T113</f>
        <v/>
      </c>
      <c r="AF1700" s="193" t="str">
        <f>'Land use &amp; agriculture'!U113</f>
        <v/>
      </c>
      <c r="AG1700" s="193">
        <f>'Land use &amp; agriculture'!V113</f>
        <v>0</v>
      </c>
      <c r="AI1700" s="193">
        <f t="shared" si="38"/>
        <v>0</v>
      </c>
      <c r="AJ1700" s="193">
        <f t="shared" si="39"/>
        <v>0</v>
      </c>
    </row>
    <row r="1701" spans="2:36" x14ac:dyDescent="0.35">
      <c r="B1701" s="193" t="e">
        <f>"2024"&amp;MATCH(Totals!D1701,OrgType,0)&amp;"_"&amp;MATCH(Totals!E1701,Organisations,0)&amp;"_"&amp;LEFT(Totals!F1701,1)&amp;"_"&amp;LEFT(G1701,1)&amp;"_"&amp;COUNTIF($G$3:G1701,G1701)</f>
        <v>#N/A</v>
      </c>
      <c r="C1701" s="193">
        <v>2025</v>
      </c>
      <c r="D1701" s="193">
        <f>Introduction!$D$7</f>
        <v>0</v>
      </c>
      <c r="E1701" s="193">
        <f>Introduction!$D$8</f>
        <v>0</v>
      </c>
      <c r="F1701" s="193" t="s">
        <v>497</v>
      </c>
      <c r="G1701" s="193" t="s">
        <v>497</v>
      </c>
      <c r="H1701" s="194"/>
      <c r="I1701" s="194"/>
      <c r="J1701" s="193">
        <f>'Land use &amp; agriculture'!B114</f>
        <v>0</v>
      </c>
      <c r="K1701" s="194"/>
      <c r="L1701" s="194"/>
      <c r="M1701" s="193">
        <f>'Land use &amp; agriculture'!C114</f>
        <v>0</v>
      </c>
      <c r="N1701" s="193">
        <f>'Land use &amp; agriculture'!D114</f>
        <v>0</v>
      </c>
      <c r="O1701" s="194"/>
      <c r="P1701" s="193">
        <f>'Land use &amp; agriculture'!E114</f>
        <v>0</v>
      </c>
      <c r="Q1701" s="193" t="str">
        <f>'Land use &amp; agriculture'!F114</f>
        <v/>
      </c>
      <c r="R1701" s="193">
        <f>'Land use &amp; agriculture'!G114</f>
        <v>0</v>
      </c>
      <c r="S1701" s="193" t="str">
        <f>'Land use &amp; agriculture'!H114</f>
        <v>ha</v>
      </c>
      <c r="T1701" s="193">
        <f>'Land use &amp; agriculture'!I114</f>
        <v>0</v>
      </c>
      <c r="U1701" s="193" t="str">
        <f>'Land use &amp; agriculture'!J114</f>
        <v>ha</v>
      </c>
      <c r="V1701" s="193" t="str">
        <f>'Land use &amp; agriculture'!K114</f>
        <v/>
      </c>
      <c r="W1701" s="193">
        <f>'Land use &amp; agriculture'!L114</f>
        <v>0</v>
      </c>
      <c r="X1701" s="193">
        <f>'Land use &amp; agriculture'!M114</f>
        <v>0</v>
      </c>
      <c r="Y1701" s="193">
        <f>'Land use &amp; agriculture'!N114</f>
        <v>0</v>
      </c>
      <c r="Z1701" s="193">
        <f>'Land use &amp; agriculture'!O114</f>
        <v>0</v>
      </c>
      <c r="AA1701" s="193">
        <f>'Land use &amp; agriculture'!P114</f>
        <v>0</v>
      </c>
      <c r="AB1701" s="193">
        <f>'Land use &amp; agriculture'!Q114</f>
        <v>0</v>
      </c>
      <c r="AC1701" s="193">
        <f>'Land use &amp; agriculture'!R114</f>
        <v>0</v>
      </c>
      <c r="AD1701" s="193">
        <f>'Land use &amp; agriculture'!S114</f>
        <v>0</v>
      </c>
      <c r="AE1701" s="193" t="str">
        <f>'Land use &amp; agriculture'!T114</f>
        <v/>
      </c>
      <c r="AF1701" s="193" t="str">
        <f>'Land use &amp; agriculture'!U114</f>
        <v/>
      </c>
      <c r="AG1701" s="193">
        <f>'Land use &amp; agriculture'!V114</f>
        <v>0</v>
      </c>
      <c r="AI1701" s="193">
        <f t="shared" si="38"/>
        <v>0</v>
      </c>
      <c r="AJ1701" s="193">
        <f t="shared" si="39"/>
        <v>0</v>
      </c>
    </row>
    <row r="1702" spans="2:36" x14ac:dyDescent="0.35">
      <c r="B1702" s="193" t="e">
        <f>"2024"&amp;MATCH(Totals!D1702,OrgType,0)&amp;"_"&amp;MATCH(Totals!E1702,Organisations,0)&amp;"_"&amp;LEFT(Totals!F1702,1)&amp;"_"&amp;LEFT(G1702,1)&amp;"_"&amp;COUNTIF($G$3:G1702,G1702)</f>
        <v>#N/A</v>
      </c>
      <c r="C1702" s="193">
        <v>2025</v>
      </c>
      <c r="D1702" s="193">
        <f>Introduction!$D$7</f>
        <v>0</v>
      </c>
      <c r="E1702" s="193">
        <f>Introduction!$D$8</f>
        <v>0</v>
      </c>
      <c r="F1702" s="193" t="s">
        <v>497</v>
      </c>
      <c r="G1702" s="193" t="s">
        <v>497</v>
      </c>
      <c r="H1702" s="194"/>
      <c r="I1702" s="194"/>
      <c r="J1702" s="193">
        <f>'Land use &amp; agriculture'!B115</f>
        <v>0</v>
      </c>
      <c r="K1702" s="194"/>
      <c r="L1702" s="194"/>
      <c r="M1702" s="193">
        <f>'Land use &amp; agriculture'!C115</f>
        <v>0</v>
      </c>
      <c r="N1702" s="193">
        <f>'Land use &amp; agriculture'!D115</f>
        <v>0</v>
      </c>
      <c r="O1702" s="194"/>
      <c r="P1702" s="193">
        <f>'Land use &amp; agriculture'!E115</f>
        <v>0</v>
      </c>
      <c r="Q1702" s="193" t="str">
        <f>'Land use &amp; agriculture'!F115</f>
        <v/>
      </c>
      <c r="R1702" s="193">
        <f>'Land use &amp; agriculture'!G115</f>
        <v>0</v>
      </c>
      <c r="S1702" s="193" t="str">
        <f>'Land use &amp; agriculture'!H115</f>
        <v>ha</v>
      </c>
      <c r="T1702" s="193">
        <f>'Land use &amp; agriculture'!I115</f>
        <v>0</v>
      </c>
      <c r="U1702" s="193" t="str">
        <f>'Land use &amp; agriculture'!J115</f>
        <v>ha</v>
      </c>
      <c r="V1702" s="193" t="str">
        <f>'Land use &amp; agriculture'!K115</f>
        <v/>
      </c>
      <c r="W1702" s="193">
        <f>'Land use &amp; agriculture'!L115</f>
        <v>0</v>
      </c>
      <c r="X1702" s="193">
        <f>'Land use &amp; agriculture'!M115</f>
        <v>0</v>
      </c>
      <c r="Y1702" s="193">
        <f>'Land use &amp; agriculture'!N115</f>
        <v>0</v>
      </c>
      <c r="Z1702" s="193">
        <f>'Land use &amp; agriculture'!O115</f>
        <v>0</v>
      </c>
      <c r="AA1702" s="193">
        <f>'Land use &amp; agriculture'!P115</f>
        <v>0</v>
      </c>
      <c r="AB1702" s="193">
        <f>'Land use &amp; agriculture'!Q115</f>
        <v>0</v>
      </c>
      <c r="AC1702" s="193">
        <f>'Land use &amp; agriculture'!R115</f>
        <v>0</v>
      </c>
      <c r="AD1702" s="193">
        <f>'Land use &amp; agriculture'!S115</f>
        <v>0</v>
      </c>
      <c r="AE1702" s="193" t="str">
        <f>'Land use &amp; agriculture'!T115</f>
        <v/>
      </c>
      <c r="AF1702" s="193" t="str">
        <f>'Land use &amp; agriculture'!U115</f>
        <v/>
      </c>
      <c r="AG1702" s="193">
        <f>'Land use &amp; agriculture'!V115</f>
        <v>0</v>
      </c>
      <c r="AI1702" s="193">
        <f t="shared" si="38"/>
        <v>0</v>
      </c>
      <c r="AJ1702" s="193">
        <f t="shared" si="39"/>
        <v>0</v>
      </c>
    </row>
    <row r="1703" spans="2:36" x14ac:dyDescent="0.35">
      <c r="B1703" s="193" t="e">
        <f>"2024"&amp;MATCH(Totals!D1703,OrgType,0)&amp;"_"&amp;MATCH(Totals!E1703,Organisations,0)&amp;"_"&amp;LEFT(Totals!F1703,1)&amp;"_"&amp;LEFT(G1703,1)&amp;"_"&amp;COUNTIF($G$3:G1703,G1703)</f>
        <v>#N/A</v>
      </c>
      <c r="C1703" s="193">
        <v>2025</v>
      </c>
      <c r="D1703" s="193">
        <f>Introduction!$D$7</f>
        <v>0</v>
      </c>
      <c r="E1703" s="193">
        <f>Introduction!$D$8</f>
        <v>0</v>
      </c>
      <c r="F1703" s="193" t="s">
        <v>497</v>
      </c>
      <c r="G1703" s="193" t="s">
        <v>497</v>
      </c>
      <c r="H1703" s="194"/>
      <c r="I1703" s="194"/>
      <c r="J1703" s="193">
        <f>'Land use &amp; agriculture'!B116</f>
        <v>0</v>
      </c>
      <c r="K1703" s="194"/>
      <c r="L1703" s="194"/>
      <c r="M1703" s="193">
        <f>'Land use &amp; agriculture'!C116</f>
        <v>0</v>
      </c>
      <c r="N1703" s="193">
        <f>'Land use &amp; agriculture'!D116</f>
        <v>0</v>
      </c>
      <c r="O1703" s="194"/>
      <c r="P1703" s="193">
        <f>'Land use &amp; agriculture'!E116</f>
        <v>0</v>
      </c>
      <c r="Q1703" s="193" t="str">
        <f>'Land use &amp; agriculture'!F116</f>
        <v/>
      </c>
      <c r="R1703" s="193">
        <f>'Land use &amp; agriculture'!G116</f>
        <v>0</v>
      </c>
      <c r="S1703" s="193" t="str">
        <f>'Land use &amp; agriculture'!H116</f>
        <v>ha</v>
      </c>
      <c r="T1703" s="193">
        <f>'Land use &amp; agriculture'!I116</f>
        <v>0</v>
      </c>
      <c r="U1703" s="193" t="str">
        <f>'Land use &amp; agriculture'!J116</f>
        <v>ha</v>
      </c>
      <c r="V1703" s="193" t="str">
        <f>'Land use &amp; agriculture'!K116</f>
        <v/>
      </c>
      <c r="W1703" s="193">
        <f>'Land use &amp; agriculture'!L116</f>
        <v>0</v>
      </c>
      <c r="X1703" s="193">
        <f>'Land use &amp; agriculture'!M116</f>
        <v>0</v>
      </c>
      <c r="Y1703" s="193">
        <f>'Land use &amp; agriculture'!N116</f>
        <v>0</v>
      </c>
      <c r="Z1703" s="193">
        <f>'Land use &amp; agriculture'!O116</f>
        <v>0</v>
      </c>
      <c r="AA1703" s="193">
        <f>'Land use &amp; agriculture'!P116</f>
        <v>0</v>
      </c>
      <c r="AB1703" s="193">
        <f>'Land use &amp; agriculture'!Q116</f>
        <v>0</v>
      </c>
      <c r="AC1703" s="193">
        <f>'Land use &amp; agriculture'!R116</f>
        <v>0</v>
      </c>
      <c r="AD1703" s="193">
        <f>'Land use &amp; agriculture'!S116</f>
        <v>0</v>
      </c>
      <c r="AE1703" s="193" t="str">
        <f>'Land use &amp; agriculture'!T116</f>
        <v/>
      </c>
      <c r="AF1703" s="193" t="str">
        <f>'Land use &amp; agriculture'!U116</f>
        <v/>
      </c>
      <c r="AG1703" s="193">
        <f>'Land use &amp; agriculture'!V116</f>
        <v>0</v>
      </c>
      <c r="AI1703" s="193">
        <f t="shared" si="38"/>
        <v>0</v>
      </c>
      <c r="AJ1703" s="193">
        <f t="shared" si="39"/>
        <v>0</v>
      </c>
    </row>
    <row r="1704" spans="2:36" x14ac:dyDescent="0.35">
      <c r="B1704" s="193" t="e">
        <f>"2024"&amp;MATCH(Totals!D1704,OrgType,0)&amp;"_"&amp;MATCH(Totals!E1704,Organisations,0)&amp;"_"&amp;LEFT(Totals!F1704,1)&amp;"_"&amp;LEFT(G1704,1)&amp;"_"&amp;COUNTIF($G$3:G1704,G1704)</f>
        <v>#N/A</v>
      </c>
      <c r="C1704" s="193">
        <v>2025</v>
      </c>
      <c r="D1704" s="193">
        <f>Introduction!$D$7</f>
        <v>0</v>
      </c>
      <c r="E1704" s="193">
        <f>Introduction!$D$8</f>
        <v>0</v>
      </c>
      <c r="F1704" s="193" t="s">
        <v>497</v>
      </c>
      <c r="G1704" s="193" t="s">
        <v>497</v>
      </c>
      <c r="H1704" s="194"/>
      <c r="I1704" s="194"/>
      <c r="J1704" s="193">
        <f>'Land use &amp; agriculture'!B117</f>
        <v>0</v>
      </c>
      <c r="K1704" s="194"/>
      <c r="L1704" s="194"/>
      <c r="M1704" s="193">
        <f>'Land use &amp; agriculture'!C117</f>
        <v>0</v>
      </c>
      <c r="N1704" s="193">
        <f>'Land use &amp; agriculture'!D117</f>
        <v>0</v>
      </c>
      <c r="O1704" s="194"/>
      <c r="P1704" s="193">
        <f>'Land use &amp; agriculture'!E117</f>
        <v>0</v>
      </c>
      <c r="Q1704" s="193" t="str">
        <f>'Land use &amp; agriculture'!F117</f>
        <v/>
      </c>
      <c r="R1704" s="193">
        <f>'Land use &amp; agriculture'!G117</f>
        <v>0</v>
      </c>
      <c r="S1704" s="193" t="str">
        <f>'Land use &amp; agriculture'!H117</f>
        <v>ha</v>
      </c>
      <c r="T1704" s="193">
        <f>'Land use &amp; agriculture'!I117</f>
        <v>0</v>
      </c>
      <c r="U1704" s="193" t="str">
        <f>'Land use &amp; agriculture'!J117</f>
        <v>ha</v>
      </c>
      <c r="V1704" s="193" t="str">
        <f>'Land use &amp; agriculture'!K117</f>
        <v/>
      </c>
      <c r="W1704" s="193">
        <f>'Land use &amp; agriculture'!L117</f>
        <v>0</v>
      </c>
      <c r="X1704" s="193">
        <f>'Land use &amp; agriculture'!M117</f>
        <v>0</v>
      </c>
      <c r="Y1704" s="193">
        <f>'Land use &amp; agriculture'!N117</f>
        <v>0</v>
      </c>
      <c r="Z1704" s="193">
        <f>'Land use &amp; agriculture'!O117</f>
        <v>0</v>
      </c>
      <c r="AA1704" s="193">
        <f>'Land use &amp; agriculture'!P117</f>
        <v>0</v>
      </c>
      <c r="AB1704" s="193">
        <f>'Land use &amp; agriculture'!Q117</f>
        <v>0</v>
      </c>
      <c r="AC1704" s="193">
        <f>'Land use &amp; agriculture'!R117</f>
        <v>0</v>
      </c>
      <c r="AD1704" s="193">
        <f>'Land use &amp; agriculture'!S117</f>
        <v>0</v>
      </c>
      <c r="AE1704" s="193" t="str">
        <f>'Land use &amp; agriculture'!T117</f>
        <v/>
      </c>
      <c r="AF1704" s="193" t="str">
        <f>'Land use &amp; agriculture'!U117</f>
        <v/>
      </c>
      <c r="AG1704" s="193">
        <f>'Land use &amp; agriculture'!V117</f>
        <v>0</v>
      </c>
      <c r="AI1704" s="193">
        <f t="shared" si="38"/>
        <v>0</v>
      </c>
      <c r="AJ1704" s="193">
        <f t="shared" si="39"/>
        <v>0</v>
      </c>
    </row>
    <row r="1705" spans="2:36" x14ac:dyDescent="0.35">
      <c r="B1705" s="193" t="e">
        <f>"2024"&amp;MATCH(Totals!D1705,OrgType,0)&amp;"_"&amp;MATCH(Totals!E1705,Organisations,0)&amp;"_"&amp;LEFT(Totals!F1705,1)&amp;"_"&amp;LEFT(G1705,1)&amp;"_"&amp;COUNTIF($G$3:G1705,G1705)</f>
        <v>#N/A</v>
      </c>
      <c r="C1705" s="193">
        <v>2025</v>
      </c>
      <c r="D1705" s="193">
        <f>Introduction!$D$7</f>
        <v>0</v>
      </c>
      <c r="E1705" s="193">
        <f>Introduction!$D$8</f>
        <v>0</v>
      </c>
      <c r="F1705" s="193" t="s">
        <v>497</v>
      </c>
      <c r="G1705" s="193" t="s">
        <v>497</v>
      </c>
      <c r="H1705" s="194"/>
      <c r="I1705" s="194"/>
      <c r="J1705" s="193">
        <f>'Land use &amp; agriculture'!B118</f>
        <v>0</v>
      </c>
      <c r="K1705" s="194"/>
      <c r="L1705" s="194"/>
      <c r="M1705" s="193">
        <f>'Land use &amp; agriculture'!C118</f>
        <v>0</v>
      </c>
      <c r="N1705" s="193">
        <f>'Land use &amp; agriculture'!D118</f>
        <v>0</v>
      </c>
      <c r="O1705" s="194"/>
      <c r="P1705" s="193">
        <f>'Land use &amp; agriculture'!E118</f>
        <v>0</v>
      </c>
      <c r="Q1705" s="193" t="str">
        <f>'Land use &amp; agriculture'!F118</f>
        <v/>
      </c>
      <c r="R1705" s="193">
        <f>'Land use &amp; agriculture'!G118</f>
        <v>0</v>
      </c>
      <c r="S1705" s="193" t="str">
        <f>'Land use &amp; agriculture'!H118</f>
        <v>ha</v>
      </c>
      <c r="T1705" s="193">
        <f>'Land use &amp; agriculture'!I118</f>
        <v>0</v>
      </c>
      <c r="U1705" s="193" t="str">
        <f>'Land use &amp; agriculture'!J118</f>
        <v>ha</v>
      </c>
      <c r="V1705" s="193" t="str">
        <f>'Land use &amp; agriculture'!K118</f>
        <v/>
      </c>
      <c r="W1705" s="193">
        <f>'Land use &amp; agriculture'!L118</f>
        <v>0</v>
      </c>
      <c r="X1705" s="193">
        <f>'Land use &amp; agriculture'!M118</f>
        <v>0</v>
      </c>
      <c r="Y1705" s="193">
        <f>'Land use &amp; agriculture'!N118</f>
        <v>0</v>
      </c>
      <c r="Z1705" s="193">
        <f>'Land use &amp; agriculture'!O118</f>
        <v>0</v>
      </c>
      <c r="AA1705" s="193">
        <f>'Land use &amp; agriculture'!P118</f>
        <v>0</v>
      </c>
      <c r="AB1705" s="193">
        <f>'Land use &amp; agriculture'!Q118</f>
        <v>0</v>
      </c>
      <c r="AC1705" s="193">
        <f>'Land use &amp; agriculture'!R118</f>
        <v>0</v>
      </c>
      <c r="AD1705" s="193">
        <f>'Land use &amp; agriculture'!S118</f>
        <v>0</v>
      </c>
      <c r="AE1705" s="193" t="str">
        <f>'Land use &amp; agriculture'!T118</f>
        <v/>
      </c>
      <c r="AF1705" s="193" t="str">
        <f>'Land use &amp; agriculture'!U118</f>
        <v/>
      </c>
      <c r="AG1705" s="193">
        <f>'Land use &amp; agriculture'!V118</f>
        <v>0</v>
      </c>
      <c r="AI1705" s="193">
        <f t="shared" si="38"/>
        <v>0</v>
      </c>
      <c r="AJ1705" s="193">
        <f t="shared" si="39"/>
        <v>0</v>
      </c>
    </row>
    <row r="1706" spans="2:36" x14ac:dyDescent="0.35">
      <c r="B1706" s="193" t="e">
        <f>"2024"&amp;MATCH(Totals!D1706,OrgType,0)&amp;"_"&amp;MATCH(Totals!E1706,Organisations,0)&amp;"_"&amp;LEFT(Totals!F1706,1)&amp;"_"&amp;LEFT(G1706,1)&amp;"_"&amp;COUNTIF($G$3:G1706,G1706)</f>
        <v>#N/A</v>
      </c>
      <c r="C1706" s="193">
        <v>2025</v>
      </c>
      <c r="D1706" s="193">
        <f>Introduction!$D$7</f>
        <v>0</v>
      </c>
      <c r="E1706" s="193">
        <f>Introduction!$D$8</f>
        <v>0</v>
      </c>
      <c r="F1706" s="193" t="s">
        <v>497</v>
      </c>
      <c r="G1706" s="193" t="s">
        <v>497</v>
      </c>
      <c r="H1706" s="194"/>
      <c r="I1706" s="194"/>
      <c r="J1706" s="193">
        <f>'Land use &amp; agriculture'!B119</f>
        <v>0</v>
      </c>
      <c r="K1706" s="194"/>
      <c r="L1706" s="194"/>
      <c r="M1706" s="193">
        <f>'Land use &amp; agriculture'!C119</f>
        <v>0</v>
      </c>
      <c r="N1706" s="193">
        <f>'Land use &amp; agriculture'!D119</f>
        <v>0</v>
      </c>
      <c r="O1706" s="194"/>
      <c r="P1706" s="193">
        <f>'Land use &amp; agriculture'!E119</f>
        <v>0</v>
      </c>
      <c r="Q1706" s="193" t="str">
        <f>'Land use &amp; agriculture'!F119</f>
        <v/>
      </c>
      <c r="R1706" s="193">
        <f>'Land use &amp; agriculture'!G119</f>
        <v>0</v>
      </c>
      <c r="S1706" s="193" t="str">
        <f>'Land use &amp; agriculture'!H119</f>
        <v>ha</v>
      </c>
      <c r="T1706" s="193">
        <f>'Land use &amp; agriculture'!I119</f>
        <v>0</v>
      </c>
      <c r="U1706" s="193" t="str">
        <f>'Land use &amp; agriculture'!J119</f>
        <v>ha</v>
      </c>
      <c r="V1706" s="193" t="str">
        <f>'Land use &amp; agriculture'!K119</f>
        <v/>
      </c>
      <c r="W1706" s="193">
        <f>'Land use &amp; agriculture'!L119</f>
        <v>0</v>
      </c>
      <c r="X1706" s="193">
        <f>'Land use &amp; agriculture'!M119</f>
        <v>0</v>
      </c>
      <c r="Y1706" s="193">
        <f>'Land use &amp; agriculture'!N119</f>
        <v>0</v>
      </c>
      <c r="Z1706" s="193">
        <f>'Land use &amp; agriculture'!O119</f>
        <v>0</v>
      </c>
      <c r="AA1706" s="193">
        <f>'Land use &amp; agriculture'!P119</f>
        <v>0</v>
      </c>
      <c r="AB1706" s="193">
        <f>'Land use &amp; agriculture'!Q119</f>
        <v>0</v>
      </c>
      <c r="AC1706" s="193">
        <f>'Land use &amp; agriculture'!R119</f>
        <v>0</v>
      </c>
      <c r="AD1706" s="193">
        <f>'Land use &amp; agriculture'!S119</f>
        <v>0</v>
      </c>
      <c r="AE1706" s="193" t="str">
        <f>'Land use &amp; agriculture'!T119</f>
        <v/>
      </c>
      <c r="AF1706" s="193" t="str">
        <f>'Land use &amp; agriculture'!U119</f>
        <v/>
      </c>
      <c r="AG1706" s="193">
        <f>'Land use &amp; agriculture'!V119</f>
        <v>0</v>
      </c>
      <c r="AI1706" s="193">
        <f t="shared" si="38"/>
        <v>0</v>
      </c>
      <c r="AJ1706" s="193">
        <f t="shared" si="39"/>
        <v>0</v>
      </c>
    </row>
    <row r="1707" spans="2:36" x14ac:dyDescent="0.35">
      <c r="B1707" s="193" t="e">
        <f>"2024"&amp;MATCH(Totals!D1707,OrgType,0)&amp;"_"&amp;MATCH(Totals!E1707,Organisations,0)&amp;"_"&amp;LEFT(Totals!F1707,1)&amp;"_"&amp;LEFT(G1707,1)&amp;"_"&amp;COUNTIF($G$3:G1707,G1707)</f>
        <v>#N/A</v>
      </c>
      <c r="C1707" s="193">
        <v>2025</v>
      </c>
      <c r="D1707" s="193">
        <f>Introduction!$D$7</f>
        <v>0</v>
      </c>
      <c r="E1707" s="193">
        <f>Introduction!$D$8</f>
        <v>0</v>
      </c>
      <c r="F1707" s="193" t="s">
        <v>497</v>
      </c>
      <c r="G1707" s="193" t="s">
        <v>497</v>
      </c>
      <c r="H1707" s="194"/>
      <c r="I1707" s="194"/>
      <c r="J1707" s="193">
        <f>'Land use &amp; agriculture'!B120</f>
        <v>0</v>
      </c>
      <c r="K1707" s="194"/>
      <c r="L1707" s="194"/>
      <c r="M1707" s="193">
        <f>'Land use &amp; agriculture'!C120</f>
        <v>0</v>
      </c>
      <c r="N1707" s="193">
        <f>'Land use &amp; agriculture'!D120</f>
        <v>0</v>
      </c>
      <c r="O1707" s="194"/>
      <c r="P1707" s="193">
        <f>'Land use &amp; agriculture'!E120</f>
        <v>0</v>
      </c>
      <c r="Q1707" s="193" t="str">
        <f>'Land use &amp; agriculture'!F120</f>
        <v/>
      </c>
      <c r="R1707" s="193">
        <f>'Land use &amp; agriculture'!G120</f>
        <v>0</v>
      </c>
      <c r="S1707" s="193" t="str">
        <f>'Land use &amp; agriculture'!H120</f>
        <v>ha</v>
      </c>
      <c r="T1707" s="193">
        <f>'Land use &amp; agriculture'!I120</f>
        <v>0</v>
      </c>
      <c r="U1707" s="193" t="str">
        <f>'Land use &amp; agriculture'!J120</f>
        <v>ha</v>
      </c>
      <c r="V1707" s="193" t="str">
        <f>'Land use &amp; agriculture'!K120</f>
        <v/>
      </c>
      <c r="W1707" s="193">
        <f>'Land use &amp; agriculture'!L120</f>
        <v>0</v>
      </c>
      <c r="X1707" s="193">
        <f>'Land use &amp; agriculture'!M120</f>
        <v>0</v>
      </c>
      <c r="Y1707" s="193">
        <f>'Land use &amp; agriculture'!N120</f>
        <v>0</v>
      </c>
      <c r="Z1707" s="193">
        <f>'Land use &amp; agriculture'!O120</f>
        <v>0</v>
      </c>
      <c r="AA1707" s="193">
        <f>'Land use &amp; agriculture'!P120</f>
        <v>0</v>
      </c>
      <c r="AB1707" s="193">
        <f>'Land use &amp; agriculture'!Q120</f>
        <v>0</v>
      </c>
      <c r="AC1707" s="193">
        <f>'Land use &amp; agriculture'!R120</f>
        <v>0</v>
      </c>
      <c r="AD1707" s="193">
        <f>'Land use &amp; agriculture'!S120</f>
        <v>0</v>
      </c>
      <c r="AE1707" s="193" t="str">
        <f>'Land use &amp; agriculture'!T120</f>
        <v/>
      </c>
      <c r="AF1707" s="193" t="str">
        <f>'Land use &amp; agriculture'!U120</f>
        <v/>
      </c>
      <c r="AG1707" s="193">
        <f>'Land use &amp; agriculture'!V120</f>
        <v>0</v>
      </c>
      <c r="AI1707" s="193">
        <f t="shared" si="38"/>
        <v>0</v>
      </c>
      <c r="AJ1707" s="193">
        <f t="shared" si="39"/>
        <v>0</v>
      </c>
    </row>
    <row r="1708" spans="2:36" x14ac:dyDescent="0.35">
      <c r="B1708" s="193" t="e">
        <f>"2024"&amp;MATCH(Totals!D1708,OrgType,0)&amp;"_"&amp;MATCH(Totals!E1708,Organisations,0)&amp;"_"&amp;LEFT(Totals!F1708,1)&amp;"_"&amp;LEFT(G1708,1)&amp;"_"&amp;COUNTIF($G$3:G1708,G1708)</f>
        <v>#N/A</v>
      </c>
      <c r="C1708" s="193">
        <v>2025</v>
      </c>
      <c r="D1708" s="193">
        <f>Introduction!$D$7</f>
        <v>0</v>
      </c>
      <c r="E1708" s="193">
        <f>Introduction!$D$8</f>
        <v>0</v>
      </c>
      <c r="F1708" s="193" t="s">
        <v>497</v>
      </c>
      <c r="G1708" s="193" t="s">
        <v>497</v>
      </c>
      <c r="H1708" s="194"/>
      <c r="I1708" s="194"/>
      <c r="J1708" s="193">
        <f>'Land use &amp; agriculture'!B121</f>
        <v>0</v>
      </c>
      <c r="K1708" s="194"/>
      <c r="L1708" s="194"/>
      <c r="M1708" s="193">
        <f>'Land use &amp; agriculture'!C121</f>
        <v>0</v>
      </c>
      <c r="N1708" s="193">
        <f>'Land use &amp; agriculture'!D121</f>
        <v>0</v>
      </c>
      <c r="O1708" s="194"/>
      <c r="P1708" s="193">
        <f>'Land use &amp; agriculture'!E121</f>
        <v>0</v>
      </c>
      <c r="Q1708" s="193" t="str">
        <f>'Land use &amp; agriculture'!F121</f>
        <v/>
      </c>
      <c r="R1708" s="193">
        <f>'Land use &amp; agriculture'!G121</f>
        <v>0</v>
      </c>
      <c r="S1708" s="193" t="str">
        <f>'Land use &amp; agriculture'!H121</f>
        <v>ha</v>
      </c>
      <c r="T1708" s="193">
        <f>'Land use &amp; agriculture'!I121</f>
        <v>0</v>
      </c>
      <c r="U1708" s="193" t="str">
        <f>'Land use &amp; agriculture'!J121</f>
        <v>ha</v>
      </c>
      <c r="V1708" s="193" t="str">
        <f>'Land use &amp; agriculture'!K121</f>
        <v/>
      </c>
      <c r="W1708" s="193">
        <f>'Land use &amp; agriculture'!L121</f>
        <v>0</v>
      </c>
      <c r="X1708" s="193">
        <f>'Land use &amp; agriculture'!M121</f>
        <v>0</v>
      </c>
      <c r="Y1708" s="193">
        <f>'Land use &amp; agriculture'!N121</f>
        <v>0</v>
      </c>
      <c r="Z1708" s="193">
        <f>'Land use &amp; agriculture'!O121</f>
        <v>0</v>
      </c>
      <c r="AA1708" s="193">
        <f>'Land use &amp; agriculture'!P121</f>
        <v>0</v>
      </c>
      <c r="AB1708" s="193">
        <f>'Land use &amp; agriculture'!Q121</f>
        <v>0</v>
      </c>
      <c r="AC1708" s="193">
        <f>'Land use &amp; agriculture'!R121</f>
        <v>0</v>
      </c>
      <c r="AD1708" s="193">
        <f>'Land use &amp; agriculture'!S121</f>
        <v>0</v>
      </c>
      <c r="AE1708" s="193" t="str">
        <f>'Land use &amp; agriculture'!T121</f>
        <v/>
      </c>
      <c r="AF1708" s="193" t="str">
        <f>'Land use &amp; agriculture'!U121</f>
        <v/>
      </c>
      <c r="AG1708" s="193">
        <f>'Land use &amp; agriculture'!V121</f>
        <v>0</v>
      </c>
      <c r="AI1708" s="193">
        <f t="shared" si="38"/>
        <v>0</v>
      </c>
      <c r="AJ1708" s="193">
        <f t="shared" si="39"/>
        <v>0</v>
      </c>
    </row>
    <row r="1709" spans="2:36" x14ac:dyDescent="0.35">
      <c r="B1709" s="193" t="e">
        <f>"2024"&amp;MATCH(Totals!D1709,OrgType,0)&amp;"_"&amp;MATCH(Totals!E1709,Organisations,0)&amp;"_"&amp;LEFT(Totals!F1709,1)&amp;"_"&amp;LEFT(G1709,1)&amp;"_"&amp;COUNTIF($G$3:G1709,G1709)</f>
        <v>#N/A</v>
      </c>
      <c r="C1709" s="193">
        <v>2025</v>
      </c>
      <c r="D1709" s="193">
        <f>Introduction!$D$7</f>
        <v>0</v>
      </c>
      <c r="E1709" s="193">
        <f>Introduction!$D$8</f>
        <v>0</v>
      </c>
      <c r="F1709" s="193" t="s">
        <v>497</v>
      </c>
      <c r="G1709" s="193" t="s">
        <v>497</v>
      </c>
      <c r="H1709" s="194"/>
      <c r="I1709" s="194"/>
      <c r="J1709" s="193">
        <f>'Land use &amp; agriculture'!B122</f>
        <v>0</v>
      </c>
      <c r="K1709" s="194"/>
      <c r="L1709" s="194"/>
      <c r="M1709" s="193">
        <f>'Land use &amp; agriculture'!C122</f>
        <v>0</v>
      </c>
      <c r="N1709" s="193">
        <f>'Land use &amp; agriculture'!D122</f>
        <v>0</v>
      </c>
      <c r="O1709" s="194"/>
      <c r="P1709" s="193">
        <f>'Land use &amp; agriculture'!E122</f>
        <v>0</v>
      </c>
      <c r="Q1709" s="193" t="str">
        <f>'Land use &amp; agriculture'!F122</f>
        <v/>
      </c>
      <c r="R1709" s="193">
        <f>'Land use &amp; agriculture'!G122</f>
        <v>0</v>
      </c>
      <c r="S1709" s="193" t="str">
        <f>'Land use &amp; agriculture'!H122</f>
        <v>ha</v>
      </c>
      <c r="T1709" s="193">
        <f>'Land use &amp; agriculture'!I122</f>
        <v>0</v>
      </c>
      <c r="U1709" s="193" t="str">
        <f>'Land use &amp; agriculture'!J122</f>
        <v>ha</v>
      </c>
      <c r="V1709" s="193" t="str">
        <f>'Land use &amp; agriculture'!K122</f>
        <v/>
      </c>
      <c r="W1709" s="193">
        <f>'Land use &amp; agriculture'!L122</f>
        <v>0</v>
      </c>
      <c r="X1709" s="193">
        <f>'Land use &amp; agriculture'!M122</f>
        <v>0</v>
      </c>
      <c r="Y1709" s="193">
        <f>'Land use &amp; agriculture'!N122</f>
        <v>0</v>
      </c>
      <c r="Z1709" s="193">
        <f>'Land use &amp; agriculture'!O122</f>
        <v>0</v>
      </c>
      <c r="AA1709" s="193">
        <f>'Land use &amp; agriculture'!P122</f>
        <v>0</v>
      </c>
      <c r="AB1709" s="193">
        <f>'Land use &amp; agriculture'!Q122</f>
        <v>0</v>
      </c>
      <c r="AC1709" s="193">
        <f>'Land use &amp; agriculture'!R122</f>
        <v>0</v>
      </c>
      <c r="AD1709" s="193">
        <f>'Land use &amp; agriculture'!S122</f>
        <v>0</v>
      </c>
      <c r="AE1709" s="193" t="str">
        <f>'Land use &amp; agriculture'!T122</f>
        <v/>
      </c>
      <c r="AF1709" s="193" t="str">
        <f>'Land use &amp; agriculture'!U122</f>
        <v/>
      </c>
      <c r="AG1709" s="193">
        <f>'Land use &amp; agriculture'!V122</f>
        <v>0</v>
      </c>
      <c r="AI1709" s="193">
        <f t="shared" si="38"/>
        <v>0</v>
      </c>
      <c r="AJ1709" s="193">
        <f t="shared" si="39"/>
        <v>0</v>
      </c>
    </row>
    <row r="1710" spans="2:36" x14ac:dyDescent="0.35">
      <c r="B1710" s="193" t="e">
        <f>"2024"&amp;MATCH(Totals!D1710,OrgType,0)&amp;"_"&amp;MATCH(Totals!E1710,Organisations,0)&amp;"_"&amp;LEFT(Totals!F1710,1)&amp;"_"&amp;LEFT(G1710,1)&amp;"_"&amp;COUNTIF($G$3:G1710,G1710)</f>
        <v>#N/A</v>
      </c>
      <c r="C1710" s="193">
        <v>2025</v>
      </c>
      <c r="D1710" s="193">
        <f>Introduction!$D$7</f>
        <v>0</v>
      </c>
      <c r="E1710" s="193">
        <f>Introduction!$D$8</f>
        <v>0</v>
      </c>
      <c r="F1710" s="193" t="s">
        <v>497</v>
      </c>
      <c r="G1710" s="193" t="s">
        <v>497</v>
      </c>
      <c r="H1710" s="194"/>
      <c r="I1710" s="194"/>
      <c r="J1710" s="193">
        <f>'Land use &amp; agriculture'!B123</f>
        <v>0</v>
      </c>
      <c r="K1710" s="194"/>
      <c r="L1710" s="194"/>
      <c r="M1710" s="193">
        <f>'Land use &amp; agriculture'!C123</f>
        <v>0</v>
      </c>
      <c r="N1710" s="193">
        <f>'Land use &amp; agriculture'!D123</f>
        <v>0</v>
      </c>
      <c r="O1710" s="194"/>
      <c r="P1710" s="193">
        <f>'Land use &amp; agriculture'!E123</f>
        <v>0</v>
      </c>
      <c r="Q1710" s="193" t="str">
        <f>'Land use &amp; agriculture'!F123</f>
        <v/>
      </c>
      <c r="R1710" s="193">
        <f>'Land use &amp; agriculture'!G123</f>
        <v>0</v>
      </c>
      <c r="S1710" s="193" t="str">
        <f>'Land use &amp; agriculture'!H123</f>
        <v>ha</v>
      </c>
      <c r="T1710" s="193">
        <f>'Land use &amp; agriculture'!I123</f>
        <v>0</v>
      </c>
      <c r="U1710" s="193" t="str">
        <f>'Land use &amp; agriculture'!J123</f>
        <v>ha</v>
      </c>
      <c r="V1710" s="193" t="str">
        <f>'Land use &amp; agriculture'!K123</f>
        <v/>
      </c>
      <c r="W1710" s="193">
        <f>'Land use &amp; agriculture'!L123</f>
        <v>0</v>
      </c>
      <c r="X1710" s="193">
        <f>'Land use &amp; agriculture'!M123</f>
        <v>0</v>
      </c>
      <c r="Y1710" s="193">
        <f>'Land use &amp; agriculture'!N123</f>
        <v>0</v>
      </c>
      <c r="Z1710" s="193">
        <f>'Land use &amp; agriculture'!O123</f>
        <v>0</v>
      </c>
      <c r="AA1710" s="193">
        <f>'Land use &amp; agriculture'!P123</f>
        <v>0</v>
      </c>
      <c r="AB1710" s="193">
        <f>'Land use &amp; agriculture'!Q123</f>
        <v>0</v>
      </c>
      <c r="AC1710" s="193">
        <f>'Land use &amp; agriculture'!R123</f>
        <v>0</v>
      </c>
      <c r="AD1710" s="193">
        <f>'Land use &amp; agriculture'!S123</f>
        <v>0</v>
      </c>
      <c r="AE1710" s="193" t="str">
        <f>'Land use &amp; agriculture'!T123</f>
        <v/>
      </c>
      <c r="AF1710" s="193" t="str">
        <f>'Land use &amp; agriculture'!U123</f>
        <v/>
      </c>
      <c r="AG1710" s="193">
        <f>'Land use &amp; agriculture'!V123</f>
        <v>0</v>
      </c>
      <c r="AI1710" s="193">
        <f t="shared" si="38"/>
        <v>0</v>
      </c>
      <c r="AJ1710" s="193">
        <f t="shared" si="39"/>
        <v>0</v>
      </c>
    </row>
    <row r="1711" spans="2:36" x14ac:dyDescent="0.35">
      <c r="B1711" s="193" t="e">
        <f>"2024"&amp;MATCH(Totals!D1711,OrgType,0)&amp;"_"&amp;MATCH(Totals!E1711,Organisations,0)&amp;"_"&amp;LEFT(Totals!F1711,1)&amp;"_"&amp;LEFT(G1711,1)&amp;"_"&amp;COUNTIF($G$3:G1711,G1711)</f>
        <v>#N/A</v>
      </c>
      <c r="C1711" s="193">
        <v>2025</v>
      </c>
      <c r="D1711" s="193">
        <f>Introduction!$D$7</f>
        <v>0</v>
      </c>
      <c r="E1711" s="193">
        <f>Introduction!$D$8</f>
        <v>0</v>
      </c>
      <c r="F1711" s="193" t="s">
        <v>497</v>
      </c>
      <c r="G1711" s="193" t="s">
        <v>497</v>
      </c>
      <c r="H1711" s="194"/>
      <c r="I1711" s="194"/>
      <c r="J1711" s="193">
        <f>'Land use &amp; agriculture'!B124</f>
        <v>0</v>
      </c>
      <c r="K1711" s="194"/>
      <c r="L1711" s="194"/>
      <c r="M1711" s="193">
        <f>'Land use &amp; agriculture'!C124</f>
        <v>0</v>
      </c>
      <c r="N1711" s="193">
        <f>'Land use &amp; agriculture'!D124</f>
        <v>0</v>
      </c>
      <c r="O1711" s="194"/>
      <c r="P1711" s="193">
        <f>'Land use &amp; agriculture'!E124</f>
        <v>0</v>
      </c>
      <c r="Q1711" s="193" t="str">
        <f>'Land use &amp; agriculture'!F124</f>
        <v/>
      </c>
      <c r="R1711" s="193">
        <f>'Land use &amp; agriculture'!G124</f>
        <v>0</v>
      </c>
      <c r="S1711" s="193" t="str">
        <f>'Land use &amp; agriculture'!H124</f>
        <v>ha</v>
      </c>
      <c r="T1711" s="193">
        <f>'Land use &amp; agriculture'!I124</f>
        <v>0</v>
      </c>
      <c r="U1711" s="193" t="str">
        <f>'Land use &amp; agriculture'!J124</f>
        <v>ha</v>
      </c>
      <c r="V1711" s="193" t="str">
        <f>'Land use &amp; agriculture'!K124</f>
        <v/>
      </c>
      <c r="W1711" s="193">
        <f>'Land use &amp; agriculture'!L124</f>
        <v>0</v>
      </c>
      <c r="X1711" s="193">
        <f>'Land use &amp; agriculture'!M124</f>
        <v>0</v>
      </c>
      <c r="Y1711" s="193">
        <f>'Land use &amp; agriculture'!N124</f>
        <v>0</v>
      </c>
      <c r="Z1711" s="193">
        <f>'Land use &amp; agriculture'!O124</f>
        <v>0</v>
      </c>
      <c r="AA1711" s="193">
        <f>'Land use &amp; agriculture'!P124</f>
        <v>0</v>
      </c>
      <c r="AB1711" s="193">
        <f>'Land use &amp; agriculture'!Q124</f>
        <v>0</v>
      </c>
      <c r="AC1711" s="193">
        <f>'Land use &amp; agriculture'!R124</f>
        <v>0</v>
      </c>
      <c r="AD1711" s="193">
        <f>'Land use &amp; agriculture'!S124</f>
        <v>0</v>
      </c>
      <c r="AE1711" s="193" t="str">
        <f>'Land use &amp; agriculture'!T124</f>
        <v/>
      </c>
      <c r="AF1711" s="193" t="str">
        <f>'Land use &amp; agriculture'!U124</f>
        <v/>
      </c>
      <c r="AG1711" s="193">
        <f>'Land use &amp; agriculture'!V124</f>
        <v>0</v>
      </c>
      <c r="AI1711" s="193">
        <f t="shared" si="38"/>
        <v>0</v>
      </c>
      <c r="AJ1711" s="193">
        <f t="shared" si="39"/>
        <v>0</v>
      </c>
    </row>
    <row r="1712" spans="2:36" x14ac:dyDescent="0.35">
      <c r="B1712" s="193" t="e">
        <f>"2024"&amp;MATCH(Totals!D1712,OrgType,0)&amp;"_"&amp;MATCH(Totals!E1712,Organisations,0)&amp;"_"&amp;LEFT(Totals!F1712,1)&amp;"_"&amp;LEFT(G1712,1)&amp;"_"&amp;COUNTIF($G$3:G1712,G1712)</f>
        <v>#N/A</v>
      </c>
      <c r="C1712" s="193">
        <v>2025</v>
      </c>
      <c r="D1712" s="193">
        <f>Introduction!$D$7</f>
        <v>0</v>
      </c>
      <c r="E1712" s="193">
        <f>Introduction!$D$8</f>
        <v>0</v>
      </c>
      <c r="F1712" s="193" t="s">
        <v>497</v>
      </c>
      <c r="G1712" s="193" t="s">
        <v>497</v>
      </c>
      <c r="H1712" s="194"/>
      <c r="I1712" s="194"/>
      <c r="J1712" s="193">
        <f>'Land use &amp; agriculture'!B125</f>
        <v>0</v>
      </c>
      <c r="K1712" s="194"/>
      <c r="L1712" s="194"/>
      <c r="M1712" s="193">
        <f>'Land use &amp; agriculture'!C125</f>
        <v>0</v>
      </c>
      <c r="N1712" s="193">
        <f>'Land use &amp; agriculture'!D125</f>
        <v>0</v>
      </c>
      <c r="O1712" s="194"/>
      <c r="P1712" s="193">
        <f>'Land use &amp; agriculture'!E125</f>
        <v>0</v>
      </c>
      <c r="Q1712" s="193" t="str">
        <f>'Land use &amp; agriculture'!F125</f>
        <v/>
      </c>
      <c r="R1712" s="193">
        <f>'Land use &amp; agriculture'!G125</f>
        <v>0</v>
      </c>
      <c r="S1712" s="193" t="str">
        <f>'Land use &amp; agriculture'!H125</f>
        <v>ha</v>
      </c>
      <c r="T1712" s="193">
        <f>'Land use &amp; agriculture'!I125</f>
        <v>0</v>
      </c>
      <c r="U1712" s="193" t="str">
        <f>'Land use &amp; agriculture'!J125</f>
        <v>ha</v>
      </c>
      <c r="V1712" s="193" t="str">
        <f>'Land use &amp; agriculture'!K125</f>
        <v/>
      </c>
      <c r="W1712" s="193">
        <f>'Land use &amp; agriculture'!L125</f>
        <v>0</v>
      </c>
      <c r="X1712" s="193">
        <f>'Land use &amp; agriculture'!M125</f>
        <v>0</v>
      </c>
      <c r="Y1712" s="193">
        <f>'Land use &amp; agriculture'!N125</f>
        <v>0</v>
      </c>
      <c r="Z1712" s="193">
        <f>'Land use &amp; agriculture'!O125</f>
        <v>0</v>
      </c>
      <c r="AA1712" s="193">
        <f>'Land use &amp; agriculture'!P125</f>
        <v>0</v>
      </c>
      <c r="AB1712" s="193">
        <f>'Land use &amp; agriculture'!Q125</f>
        <v>0</v>
      </c>
      <c r="AC1712" s="193">
        <f>'Land use &amp; agriculture'!R125</f>
        <v>0</v>
      </c>
      <c r="AD1712" s="193">
        <f>'Land use &amp; agriculture'!S125</f>
        <v>0</v>
      </c>
      <c r="AE1712" s="193" t="str">
        <f>'Land use &amp; agriculture'!T125</f>
        <v/>
      </c>
      <c r="AF1712" s="193" t="str">
        <f>'Land use &amp; agriculture'!U125</f>
        <v/>
      </c>
      <c r="AG1712" s="193">
        <f>'Land use &amp; agriculture'!V125</f>
        <v>0</v>
      </c>
      <c r="AI1712" s="193">
        <f t="shared" si="38"/>
        <v>0</v>
      </c>
      <c r="AJ1712" s="193">
        <f t="shared" si="39"/>
        <v>0</v>
      </c>
    </row>
    <row r="1713" spans="2:36" x14ac:dyDescent="0.35">
      <c r="B1713" s="193" t="e">
        <f>"2024"&amp;MATCH(Totals!D1713,OrgType,0)&amp;"_"&amp;MATCH(Totals!E1713,Organisations,0)&amp;"_"&amp;LEFT(Totals!F1713,1)&amp;"_"&amp;LEFT(G1713,1)&amp;"_"&amp;COUNTIF($G$3:G1713,G1713)</f>
        <v>#N/A</v>
      </c>
      <c r="C1713" s="193">
        <v>2025</v>
      </c>
      <c r="D1713" s="193">
        <f>Introduction!$D$7</f>
        <v>0</v>
      </c>
      <c r="E1713" s="193">
        <f>Introduction!$D$8</f>
        <v>0</v>
      </c>
      <c r="F1713" s="193" t="s">
        <v>497</v>
      </c>
      <c r="G1713" s="193" t="s">
        <v>497</v>
      </c>
      <c r="H1713" s="194"/>
      <c r="I1713" s="194"/>
      <c r="J1713" s="193">
        <f>'Land use &amp; agriculture'!B126</f>
        <v>0</v>
      </c>
      <c r="K1713" s="194"/>
      <c r="L1713" s="194"/>
      <c r="M1713" s="193">
        <f>'Land use &amp; agriculture'!C126</f>
        <v>0</v>
      </c>
      <c r="N1713" s="193">
        <f>'Land use &amp; agriculture'!D126</f>
        <v>0</v>
      </c>
      <c r="O1713" s="194"/>
      <c r="P1713" s="193">
        <f>'Land use &amp; agriculture'!E126</f>
        <v>0</v>
      </c>
      <c r="Q1713" s="193" t="str">
        <f>'Land use &amp; agriculture'!F126</f>
        <v/>
      </c>
      <c r="R1713" s="193">
        <f>'Land use &amp; agriculture'!G126</f>
        <v>0</v>
      </c>
      <c r="S1713" s="193" t="str">
        <f>'Land use &amp; agriculture'!H126</f>
        <v>ha</v>
      </c>
      <c r="T1713" s="193">
        <f>'Land use &amp; agriculture'!I126</f>
        <v>0</v>
      </c>
      <c r="U1713" s="193" t="str">
        <f>'Land use &amp; agriculture'!J126</f>
        <v>ha</v>
      </c>
      <c r="V1713" s="193" t="str">
        <f>'Land use &amp; agriculture'!K126</f>
        <v/>
      </c>
      <c r="W1713" s="193">
        <f>'Land use &amp; agriculture'!L126</f>
        <v>0</v>
      </c>
      <c r="X1713" s="193">
        <f>'Land use &amp; agriculture'!M126</f>
        <v>0</v>
      </c>
      <c r="Y1713" s="193">
        <f>'Land use &amp; agriculture'!N126</f>
        <v>0</v>
      </c>
      <c r="Z1713" s="193">
        <f>'Land use &amp; agriculture'!O126</f>
        <v>0</v>
      </c>
      <c r="AA1713" s="193">
        <f>'Land use &amp; agriculture'!P126</f>
        <v>0</v>
      </c>
      <c r="AB1713" s="193">
        <f>'Land use &amp; agriculture'!Q126</f>
        <v>0</v>
      </c>
      <c r="AC1713" s="193">
        <f>'Land use &amp; agriculture'!R126</f>
        <v>0</v>
      </c>
      <c r="AD1713" s="193">
        <f>'Land use &amp; agriculture'!S126</f>
        <v>0</v>
      </c>
      <c r="AE1713" s="193" t="str">
        <f>'Land use &amp; agriculture'!T126</f>
        <v/>
      </c>
      <c r="AF1713" s="193" t="str">
        <f>'Land use &amp; agriculture'!U126</f>
        <v/>
      </c>
      <c r="AG1713" s="193">
        <f>'Land use &amp; agriculture'!V126</f>
        <v>0</v>
      </c>
      <c r="AI1713" s="193">
        <f t="shared" si="38"/>
        <v>0</v>
      </c>
      <c r="AJ1713" s="193">
        <f t="shared" si="39"/>
        <v>0</v>
      </c>
    </row>
    <row r="1714" spans="2:36" x14ac:dyDescent="0.35">
      <c r="B1714" s="193" t="e">
        <f>"2024"&amp;MATCH(Totals!D1714,OrgType,0)&amp;"_"&amp;MATCH(Totals!E1714,Organisations,0)&amp;"_"&amp;LEFT(Totals!F1714,1)&amp;"_"&amp;LEFT(G1714,1)&amp;"_"&amp;COUNTIF($G$3:G1714,G1714)</f>
        <v>#N/A</v>
      </c>
      <c r="C1714" s="193">
        <v>2025</v>
      </c>
      <c r="D1714" s="193">
        <f>Introduction!$D$7</f>
        <v>0</v>
      </c>
      <c r="E1714" s="193">
        <f>Introduction!$D$8</f>
        <v>0</v>
      </c>
      <c r="F1714" s="193" t="s">
        <v>141</v>
      </c>
      <c r="G1714" s="193" t="s">
        <v>141</v>
      </c>
      <c r="H1714" s="194"/>
      <c r="I1714" s="194"/>
      <c r="J1714" s="193">
        <f>'Land use &amp; agriculture'!B130</f>
        <v>0</v>
      </c>
      <c r="K1714" s="194"/>
      <c r="L1714" s="194"/>
      <c r="M1714" s="193">
        <f>'Land use &amp; agriculture'!C130</f>
        <v>0</v>
      </c>
      <c r="N1714" s="193">
        <f>'Land use &amp; agriculture'!D130</f>
        <v>0</v>
      </c>
      <c r="O1714" s="194"/>
      <c r="P1714" s="193">
        <f>'Land use &amp; agriculture'!E130</f>
        <v>0</v>
      </c>
      <c r="Q1714" s="193" t="str">
        <f>'Land use &amp; agriculture'!F130</f>
        <v/>
      </c>
      <c r="R1714" s="193">
        <f>'Land use &amp; agriculture'!G130</f>
        <v>0</v>
      </c>
      <c r="S1714" s="193">
        <f>'Land use &amp; agriculture'!H130</f>
        <v>0</v>
      </c>
      <c r="T1714" s="193" t="str">
        <f>'Land use &amp; agriculture'!I130</f>
        <v/>
      </c>
      <c r="U1714" s="193" t="str">
        <f>'Land use &amp; agriculture'!J130</f>
        <v/>
      </c>
      <c r="V1714" s="193" t="str">
        <f>'Land use &amp; agriculture'!K130</f>
        <v/>
      </c>
      <c r="W1714" s="193" t="str">
        <f>'Land use &amp; agriculture'!L130</f>
        <v/>
      </c>
      <c r="X1714" s="193">
        <f>'Land use &amp; agriculture'!M130</f>
        <v>0</v>
      </c>
      <c r="Y1714" s="193">
        <f>'Land use &amp; agriculture'!N130</f>
        <v>0</v>
      </c>
      <c r="Z1714" s="193" t="str">
        <f>'Land use &amp; agriculture'!O130</f>
        <v/>
      </c>
      <c r="AA1714" s="193" t="str">
        <f>'Land use &amp; agriculture'!P130</f>
        <v/>
      </c>
      <c r="AB1714" s="193" t="str">
        <f>'Land use &amp; agriculture'!Q130</f>
        <v/>
      </c>
      <c r="AC1714" s="193" t="str">
        <f>'Land use &amp; agriculture'!R130</f>
        <v/>
      </c>
      <c r="AD1714" s="193" t="str">
        <f>'Land use &amp; agriculture'!S130</f>
        <v/>
      </c>
      <c r="AE1714" s="193" t="str">
        <f>'Land use &amp; agriculture'!T130</f>
        <v/>
      </c>
      <c r="AF1714" s="193" t="str">
        <f>'Land use &amp; agriculture'!U130</f>
        <v/>
      </c>
      <c r="AG1714" s="193" t="str">
        <f>'Land use &amp; agriculture'!V130</f>
        <v/>
      </c>
      <c r="AI1714" s="193">
        <f t="shared" si="38"/>
        <v>0</v>
      </c>
      <c r="AJ1714" s="193">
        <f t="shared" si="39"/>
        <v>0</v>
      </c>
    </row>
    <row r="1715" spans="2:36" x14ac:dyDescent="0.35">
      <c r="B1715" s="193" t="e">
        <f>"2024"&amp;MATCH(Totals!D1715,OrgType,0)&amp;"_"&amp;MATCH(Totals!E1715,Organisations,0)&amp;"_"&amp;LEFT(Totals!F1715,1)&amp;"_"&amp;LEFT(G1715,1)&amp;"_"&amp;COUNTIF($G$3:G1715,G1715)</f>
        <v>#N/A</v>
      </c>
      <c r="C1715" s="193">
        <v>2025</v>
      </c>
      <c r="D1715" s="193">
        <f>Introduction!$D$7</f>
        <v>0</v>
      </c>
      <c r="E1715" s="193">
        <f>Introduction!$D$8</f>
        <v>0</v>
      </c>
      <c r="F1715" s="193" t="s">
        <v>141</v>
      </c>
      <c r="G1715" s="193" t="s">
        <v>141</v>
      </c>
      <c r="H1715" s="194"/>
      <c r="I1715" s="194"/>
      <c r="J1715" s="193">
        <f>'Land use &amp; agriculture'!B131</f>
        <v>0</v>
      </c>
      <c r="K1715" s="194"/>
      <c r="L1715" s="194"/>
      <c r="M1715" s="193">
        <f>'Land use &amp; agriculture'!C131</f>
        <v>0</v>
      </c>
      <c r="N1715" s="193">
        <f>'Land use &amp; agriculture'!D131</f>
        <v>0</v>
      </c>
      <c r="O1715" s="194"/>
      <c r="P1715" s="193">
        <f>'Land use &amp; agriculture'!E131</f>
        <v>0</v>
      </c>
      <c r="Q1715" s="193" t="str">
        <f>'Land use &amp; agriculture'!F131</f>
        <v/>
      </c>
      <c r="R1715" s="193">
        <f>'Land use &amp; agriculture'!G131</f>
        <v>0</v>
      </c>
      <c r="S1715" s="193">
        <f>'Land use &amp; agriculture'!H131</f>
        <v>0</v>
      </c>
      <c r="T1715" s="193" t="str">
        <f>'Land use &amp; agriculture'!I131</f>
        <v/>
      </c>
      <c r="U1715" s="193" t="str">
        <f>'Land use &amp; agriculture'!J131</f>
        <v/>
      </c>
      <c r="V1715" s="193" t="str">
        <f>'Land use &amp; agriculture'!K131</f>
        <v/>
      </c>
      <c r="W1715" s="193" t="str">
        <f>'Land use &amp; agriculture'!L131</f>
        <v/>
      </c>
      <c r="X1715" s="193">
        <f>'Land use &amp; agriculture'!M131</f>
        <v>0</v>
      </c>
      <c r="Y1715" s="193">
        <f>'Land use &amp; agriculture'!N131</f>
        <v>0</v>
      </c>
      <c r="Z1715" s="193" t="str">
        <f>'Land use &amp; agriculture'!O131</f>
        <v/>
      </c>
      <c r="AA1715" s="193" t="str">
        <f>'Land use &amp; agriculture'!P131</f>
        <v/>
      </c>
      <c r="AB1715" s="193" t="str">
        <f>'Land use &amp; agriculture'!Q131</f>
        <v/>
      </c>
      <c r="AC1715" s="193" t="str">
        <f>'Land use &amp; agriculture'!R131</f>
        <v/>
      </c>
      <c r="AD1715" s="193" t="str">
        <f>'Land use &amp; agriculture'!S131</f>
        <v/>
      </c>
      <c r="AE1715" s="193" t="str">
        <f>'Land use &amp; agriculture'!T131</f>
        <v/>
      </c>
      <c r="AF1715" s="193" t="str">
        <f>'Land use &amp; agriculture'!U131</f>
        <v/>
      </c>
      <c r="AG1715" s="193" t="str">
        <f>'Land use &amp; agriculture'!V131</f>
        <v/>
      </c>
      <c r="AI1715" s="193">
        <f t="shared" si="38"/>
        <v>0</v>
      </c>
      <c r="AJ1715" s="193">
        <f t="shared" si="39"/>
        <v>0</v>
      </c>
    </row>
    <row r="1716" spans="2:36" x14ac:dyDescent="0.35">
      <c r="B1716" s="193" t="e">
        <f>"2024"&amp;MATCH(Totals!D1716,OrgType,0)&amp;"_"&amp;MATCH(Totals!E1716,Organisations,0)&amp;"_"&amp;LEFT(Totals!F1716,1)&amp;"_"&amp;LEFT(G1716,1)&amp;"_"&amp;COUNTIF($G$3:G1716,G1716)</f>
        <v>#N/A</v>
      </c>
      <c r="C1716" s="193">
        <v>2025</v>
      </c>
      <c r="D1716" s="193">
        <f>Introduction!$D$7</f>
        <v>0</v>
      </c>
      <c r="E1716" s="193">
        <f>Introduction!$D$8</f>
        <v>0</v>
      </c>
      <c r="F1716" s="193" t="s">
        <v>141</v>
      </c>
      <c r="G1716" s="193" t="s">
        <v>141</v>
      </c>
      <c r="H1716" s="194"/>
      <c r="I1716" s="194"/>
      <c r="J1716" s="193">
        <f>'Land use &amp; agriculture'!B132</f>
        <v>0</v>
      </c>
      <c r="K1716" s="194"/>
      <c r="L1716" s="194"/>
      <c r="M1716" s="193">
        <f>'Land use &amp; agriculture'!C132</f>
        <v>0</v>
      </c>
      <c r="N1716" s="193">
        <f>'Land use &amp; agriculture'!D132</f>
        <v>0</v>
      </c>
      <c r="O1716" s="194"/>
      <c r="P1716" s="193">
        <f>'Land use &amp; agriculture'!E132</f>
        <v>0</v>
      </c>
      <c r="Q1716" s="193" t="str">
        <f>'Land use &amp; agriculture'!F132</f>
        <v/>
      </c>
      <c r="R1716" s="193">
        <f>'Land use &amp; agriculture'!G132</f>
        <v>0</v>
      </c>
      <c r="S1716" s="193">
        <f>'Land use &amp; agriculture'!H132</f>
        <v>0</v>
      </c>
      <c r="T1716" s="193" t="str">
        <f>'Land use &amp; agriculture'!I132</f>
        <v/>
      </c>
      <c r="U1716" s="193" t="str">
        <f>'Land use &amp; agriculture'!J132</f>
        <v/>
      </c>
      <c r="V1716" s="193" t="str">
        <f>'Land use &amp; agriculture'!K132</f>
        <v/>
      </c>
      <c r="W1716" s="193" t="str">
        <f>'Land use &amp; agriculture'!L132</f>
        <v/>
      </c>
      <c r="X1716" s="193">
        <f>'Land use &amp; agriculture'!M132</f>
        <v>0</v>
      </c>
      <c r="Y1716" s="193">
        <f>'Land use &amp; agriculture'!N132</f>
        <v>0</v>
      </c>
      <c r="Z1716" s="193" t="str">
        <f>'Land use &amp; agriculture'!O132</f>
        <v/>
      </c>
      <c r="AA1716" s="193" t="str">
        <f>'Land use &amp; agriculture'!P132</f>
        <v/>
      </c>
      <c r="AB1716" s="193" t="str">
        <f>'Land use &amp; agriculture'!Q132</f>
        <v/>
      </c>
      <c r="AC1716" s="193" t="str">
        <f>'Land use &amp; agriculture'!R132</f>
        <v/>
      </c>
      <c r="AD1716" s="193" t="str">
        <f>'Land use &amp; agriculture'!S132</f>
        <v/>
      </c>
      <c r="AE1716" s="193" t="str">
        <f>'Land use &amp; agriculture'!T132</f>
        <v/>
      </c>
      <c r="AF1716" s="193" t="str">
        <f>'Land use &amp; agriculture'!U132</f>
        <v/>
      </c>
      <c r="AG1716" s="193" t="str">
        <f>'Land use &amp; agriculture'!V132</f>
        <v/>
      </c>
      <c r="AI1716" s="193">
        <f t="shared" ref="AI1716:AI1729" si="44">IF(AND(V1716="",R1716&lt;&gt;0),1,0)</f>
        <v>0</v>
      </c>
      <c r="AJ1716" s="193">
        <f t="shared" ref="AJ1716:AJ1729" si="45">IF(AND(W1716="",R1716&lt;&gt;0),1,0)</f>
        <v>0</v>
      </c>
    </row>
    <row r="1717" spans="2:36" x14ac:dyDescent="0.35">
      <c r="B1717" s="193" t="e">
        <f>"2024"&amp;MATCH(Totals!D1717,OrgType,0)&amp;"_"&amp;MATCH(Totals!E1717,Organisations,0)&amp;"_"&amp;LEFT(Totals!F1717,1)&amp;"_"&amp;LEFT(G1717,1)&amp;"_"&amp;COUNTIF($G$3:G1717,G1717)</f>
        <v>#N/A</v>
      </c>
      <c r="C1717" s="193">
        <v>2025</v>
      </c>
      <c r="D1717" s="193">
        <f>Introduction!$D$7</f>
        <v>0</v>
      </c>
      <c r="E1717" s="193">
        <f>Introduction!$D$8</f>
        <v>0</v>
      </c>
      <c r="F1717" s="193" t="s">
        <v>141</v>
      </c>
      <c r="G1717" s="193" t="s">
        <v>141</v>
      </c>
      <c r="H1717" s="194"/>
      <c r="I1717" s="194"/>
      <c r="J1717" s="193">
        <f>'Land use &amp; agriculture'!B133</f>
        <v>0</v>
      </c>
      <c r="K1717" s="194"/>
      <c r="L1717" s="194"/>
      <c r="M1717" s="193">
        <f>'Land use &amp; agriculture'!C133</f>
        <v>0</v>
      </c>
      <c r="N1717" s="193">
        <f>'Land use &amp; agriculture'!D133</f>
        <v>0</v>
      </c>
      <c r="O1717" s="194"/>
      <c r="P1717" s="193">
        <f>'Land use &amp; agriculture'!E133</f>
        <v>0</v>
      </c>
      <c r="Q1717" s="193" t="str">
        <f>'Land use &amp; agriculture'!F133</f>
        <v/>
      </c>
      <c r="R1717" s="193">
        <f>'Land use &amp; agriculture'!G133</f>
        <v>0</v>
      </c>
      <c r="S1717" s="193">
        <f>'Land use &amp; agriculture'!H133</f>
        <v>0</v>
      </c>
      <c r="T1717" s="193" t="str">
        <f>'Land use &amp; agriculture'!I133</f>
        <v/>
      </c>
      <c r="U1717" s="193" t="str">
        <f>'Land use &amp; agriculture'!J133</f>
        <v/>
      </c>
      <c r="V1717" s="193" t="str">
        <f>'Land use &amp; agriculture'!K133</f>
        <v/>
      </c>
      <c r="W1717" s="193" t="str">
        <f>'Land use &amp; agriculture'!L133</f>
        <v/>
      </c>
      <c r="X1717" s="193">
        <f>'Land use &amp; agriculture'!M133</f>
        <v>0</v>
      </c>
      <c r="Y1717" s="193">
        <f>'Land use &amp; agriculture'!N133</f>
        <v>0</v>
      </c>
      <c r="Z1717" s="193" t="str">
        <f>'Land use &amp; agriculture'!O133</f>
        <v/>
      </c>
      <c r="AA1717" s="193" t="str">
        <f>'Land use &amp; agriculture'!P133</f>
        <v/>
      </c>
      <c r="AB1717" s="193" t="str">
        <f>'Land use &amp; agriculture'!Q133</f>
        <v/>
      </c>
      <c r="AC1717" s="193" t="str">
        <f>'Land use &amp; agriculture'!R133</f>
        <v/>
      </c>
      <c r="AD1717" s="193" t="str">
        <f>'Land use &amp; agriculture'!S133</f>
        <v/>
      </c>
      <c r="AE1717" s="193" t="str">
        <f>'Land use &amp; agriculture'!T133</f>
        <v/>
      </c>
      <c r="AF1717" s="193" t="str">
        <f>'Land use &amp; agriculture'!U133</f>
        <v/>
      </c>
      <c r="AG1717" s="193" t="str">
        <f>'Land use &amp; agriculture'!V133</f>
        <v/>
      </c>
      <c r="AI1717" s="193">
        <f t="shared" si="44"/>
        <v>0</v>
      </c>
      <c r="AJ1717" s="193">
        <f t="shared" si="45"/>
        <v>0</v>
      </c>
    </row>
    <row r="1718" spans="2:36" x14ac:dyDescent="0.35">
      <c r="B1718" s="193" t="e">
        <f>"2024"&amp;MATCH(Totals!D1718,OrgType,0)&amp;"_"&amp;MATCH(Totals!E1718,Organisations,0)&amp;"_"&amp;LEFT(Totals!F1718,1)&amp;"_"&amp;LEFT(G1718,1)&amp;"_"&amp;COUNTIF($G$3:G1718,G1718)</f>
        <v>#N/A</v>
      </c>
      <c r="C1718" s="193">
        <v>2025</v>
      </c>
      <c r="D1718" s="193">
        <f>Introduction!$D$7</f>
        <v>0</v>
      </c>
      <c r="E1718" s="193">
        <f>Introduction!$D$8</f>
        <v>0</v>
      </c>
      <c r="F1718" s="193" t="s">
        <v>141</v>
      </c>
      <c r="G1718" s="193" t="s">
        <v>141</v>
      </c>
      <c r="H1718" s="194"/>
      <c r="I1718" s="194"/>
      <c r="J1718" s="193">
        <f>'Land use &amp; agriculture'!B134</f>
        <v>0</v>
      </c>
      <c r="K1718" s="194"/>
      <c r="L1718" s="194"/>
      <c r="M1718" s="193">
        <f>'Land use &amp; agriculture'!C134</f>
        <v>0</v>
      </c>
      <c r="N1718" s="193">
        <f>'Land use &amp; agriculture'!D134</f>
        <v>0</v>
      </c>
      <c r="O1718" s="194"/>
      <c r="P1718" s="193">
        <f>'Land use &amp; agriculture'!E134</f>
        <v>0</v>
      </c>
      <c r="Q1718" s="193" t="str">
        <f>'Land use &amp; agriculture'!F134</f>
        <v/>
      </c>
      <c r="R1718" s="193">
        <f>'Land use &amp; agriculture'!G134</f>
        <v>0</v>
      </c>
      <c r="S1718" s="193">
        <f>'Land use &amp; agriculture'!H134</f>
        <v>0</v>
      </c>
      <c r="T1718" s="193" t="str">
        <f>'Land use &amp; agriculture'!I134</f>
        <v/>
      </c>
      <c r="U1718" s="193" t="str">
        <f>'Land use &amp; agriculture'!J134</f>
        <v/>
      </c>
      <c r="V1718" s="193" t="str">
        <f>'Land use &amp; agriculture'!K134</f>
        <v/>
      </c>
      <c r="W1718" s="193" t="str">
        <f>'Land use &amp; agriculture'!L134</f>
        <v/>
      </c>
      <c r="X1718" s="193">
        <f>'Land use &amp; agriculture'!M134</f>
        <v>0</v>
      </c>
      <c r="Y1718" s="193">
        <f>'Land use &amp; agriculture'!N134</f>
        <v>0</v>
      </c>
      <c r="Z1718" s="193" t="str">
        <f>'Land use &amp; agriculture'!O134</f>
        <v/>
      </c>
      <c r="AA1718" s="193" t="str">
        <f>'Land use &amp; agriculture'!P134</f>
        <v/>
      </c>
      <c r="AB1718" s="193" t="str">
        <f>'Land use &amp; agriculture'!Q134</f>
        <v/>
      </c>
      <c r="AC1718" s="193" t="str">
        <f>'Land use &amp; agriculture'!R134</f>
        <v/>
      </c>
      <c r="AD1718" s="193" t="str">
        <f>'Land use &amp; agriculture'!S134</f>
        <v/>
      </c>
      <c r="AE1718" s="193" t="str">
        <f>'Land use &amp; agriculture'!T134</f>
        <v/>
      </c>
      <c r="AF1718" s="193" t="str">
        <f>'Land use &amp; agriculture'!U134</f>
        <v/>
      </c>
      <c r="AG1718" s="193" t="str">
        <f>'Land use &amp; agriculture'!V134</f>
        <v/>
      </c>
      <c r="AI1718" s="193">
        <f t="shared" si="44"/>
        <v>0</v>
      </c>
      <c r="AJ1718" s="193">
        <f t="shared" si="45"/>
        <v>0</v>
      </c>
    </row>
    <row r="1719" spans="2:36" x14ac:dyDescent="0.35">
      <c r="B1719" s="193" t="e">
        <f>"2024"&amp;MATCH(Totals!D1719,OrgType,0)&amp;"_"&amp;MATCH(Totals!E1719,Organisations,0)&amp;"_"&amp;LEFT(Totals!F1719,1)&amp;"_"&amp;LEFT(G1719,1)&amp;"_"&amp;COUNTIF($G$3:G1719,G1719)</f>
        <v>#N/A</v>
      </c>
      <c r="C1719" s="193">
        <v>2025</v>
      </c>
      <c r="D1719" s="193">
        <f>Introduction!$D$7</f>
        <v>0</v>
      </c>
      <c r="E1719" s="193">
        <f>Introduction!$D$8</f>
        <v>0</v>
      </c>
      <c r="F1719" s="193" t="s">
        <v>141</v>
      </c>
      <c r="G1719" s="193" t="s">
        <v>141</v>
      </c>
      <c r="H1719" s="194"/>
      <c r="I1719" s="194"/>
      <c r="J1719" s="193">
        <f>'Land use &amp; agriculture'!B135</f>
        <v>0</v>
      </c>
      <c r="K1719" s="194"/>
      <c r="L1719" s="194"/>
      <c r="M1719" s="193">
        <f>'Land use &amp; agriculture'!C135</f>
        <v>0</v>
      </c>
      <c r="N1719" s="193">
        <f>'Land use &amp; agriculture'!D135</f>
        <v>0</v>
      </c>
      <c r="O1719" s="194"/>
      <c r="P1719" s="193">
        <f>'Land use &amp; agriculture'!E135</f>
        <v>0</v>
      </c>
      <c r="Q1719" s="193" t="str">
        <f>'Land use &amp; agriculture'!F135</f>
        <v/>
      </c>
      <c r="R1719" s="193">
        <f>'Land use &amp; agriculture'!G135</f>
        <v>0</v>
      </c>
      <c r="S1719" s="193">
        <f>'Land use &amp; agriculture'!H135</f>
        <v>0</v>
      </c>
      <c r="T1719" s="193" t="str">
        <f>'Land use &amp; agriculture'!I135</f>
        <v/>
      </c>
      <c r="U1719" s="193" t="str">
        <f>'Land use &amp; agriculture'!J135</f>
        <v/>
      </c>
      <c r="V1719" s="193" t="str">
        <f>'Land use &amp; agriculture'!K135</f>
        <v/>
      </c>
      <c r="W1719" s="193" t="str">
        <f>'Land use &amp; agriculture'!L135</f>
        <v/>
      </c>
      <c r="X1719" s="193">
        <f>'Land use &amp; agriculture'!M135</f>
        <v>0</v>
      </c>
      <c r="Y1719" s="193">
        <f>'Land use &amp; agriculture'!N135</f>
        <v>0</v>
      </c>
      <c r="Z1719" s="193" t="str">
        <f>'Land use &amp; agriculture'!O135</f>
        <v/>
      </c>
      <c r="AA1719" s="193" t="str">
        <f>'Land use &amp; agriculture'!P135</f>
        <v/>
      </c>
      <c r="AB1719" s="193" t="str">
        <f>'Land use &amp; agriculture'!Q135</f>
        <v/>
      </c>
      <c r="AC1719" s="193" t="str">
        <f>'Land use &amp; agriculture'!R135</f>
        <v/>
      </c>
      <c r="AD1719" s="193" t="str">
        <f>'Land use &amp; agriculture'!S135</f>
        <v/>
      </c>
      <c r="AE1719" s="193" t="str">
        <f>'Land use &amp; agriculture'!T135</f>
        <v/>
      </c>
      <c r="AF1719" s="193" t="str">
        <f>'Land use &amp; agriculture'!U135</f>
        <v/>
      </c>
      <c r="AG1719" s="193" t="str">
        <f>'Land use &amp; agriculture'!V135</f>
        <v/>
      </c>
      <c r="AI1719" s="193">
        <f t="shared" si="44"/>
        <v>0</v>
      </c>
      <c r="AJ1719" s="193">
        <f t="shared" si="45"/>
        <v>0</v>
      </c>
    </row>
    <row r="1720" spans="2:36" x14ac:dyDescent="0.35">
      <c r="B1720" s="193" t="e">
        <f>"2024"&amp;MATCH(Totals!D1720,OrgType,0)&amp;"_"&amp;MATCH(Totals!E1720,Organisations,0)&amp;"_"&amp;LEFT(Totals!F1720,1)&amp;"_"&amp;LEFT(G1720,1)&amp;"_"&amp;COUNTIF($G$3:G1720,G1720)</f>
        <v>#N/A</v>
      </c>
      <c r="C1720" s="193">
        <v>2025</v>
      </c>
      <c r="D1720" s="193">
        <f>Introduction!$D$7</f>
        <v>0</v>
      </c>
      <c r="E1720" s="193">
        <f>Introduction!$D$8</f>
        <v>0</v>
      </c>
      <c r="F1720" s="193" t="s">
        <v>141</v>
      </c>
      <c r="G1720" s="193" t="s">
        <v>141</v>
      </c>
      <c r="H1720" s="194"/>
      <c r="I1720" s="194"/>
      <c r="J1720" s="193">
        <f>'Land use &amp; agriculture'!B136</f>
        <v>0</v>
      </c>
      <c r="K1720" s="194"/>
      <c r="L1720" s="194"/>
      <c r="M1720" s="193">
        <f>'Land use &amp; agriculture'!C136</f>
        <v>0</v>
      </c>
      <c r="N1720" s="193">
        <f>'Land use &amp; agriculture'!D136</f>
        <v>0</v>
      </c>
      <c r="O1720" s="194"/>
      <c r="P1720" s="193">
        <f>'Land use &amp; agriculture'!E136</f>
        <v>0</v>
      </c>
      <c r="Q1720" s="193" t="str">
        <f>'Land use &amp; agriculture'!F136</f>
        <v/>
      </c>
      <c r="R1720" s="193">
        <f>'Land use &amp; agriculture'!G136</f>
        <v>0</v>
      </c>
      <c r="S1720" s="193">
        <f>'Land use &amp; agriculture'!H136</f>
        <v>0</v>
      </c>
      <c r="T1720" s="193" t="str">
        <f>'Land use &amp; agriculture'!I136</f>
        <v/>
      </c>
      <c r="U1720" s="193" t="str">
        <f>'Land use &amp; agriculture'!J136</f>
        <v/>
      </c>
      <c r="V1720" s="193" t="str">
        <f>'Land use &amp; agriculture'!K136</f>
        <v/>
      </c>
      <c r="W1720" s="193" t="str">
        <f>'Land use &amp; agriculture'!L136</f>
        <v/>
      </c>
      <c r="X1720" s="193">
        <f>'Land use &amp; agriculture'!M136</f>
        <v>0</v>
      </c>
      <c r="Y1720" s="193">
        <f>'Land use &amp; agriculture'!N136</f>
        <v>0</v>
      </c>
      <c r="Z1720" s="193" t="str">
        <f>'Land use &amp; agriculture'!O136</f>
        <v/>
      </c>
      <c r="AA1720" s="193" t="str">
        <f>'Land use &amp; agriculture'!P136</f>
        <v/>
      </c>
      <c r="AB1720" s="193" t="str">
        <f>'Land use &amp; agriculture'!Q136</f>
        <v/>
      </c>
      <c r="AC1720" s="193" t="str">
        <f>'Land use &amp; agriculture'!R136</f>
        <v/>
      </c>
      <c r="AD1720" s="193" t="str">
        <f>'Land use &amp; agriculture'!S136</f>
        <v/>
      </c>
      <c r="AE1720" s="193" t="str">
        <f>'Land use &amp; agriculture'!T136</f>
        <v/>
      </c>
      <c r="AF1720" s="193" t="str">
        <f>'Land use &amp; agriculture'!U136</f>
        <v/>
      </c>
      <c r="AG1720" s="193" t="str">
        <f>'Land use &amp; agriculture'!V136</f>
        <v/>
      </c>
      <c r="AI1720" s="193">
        <f t="shared" si="44"/>
        <v>0</v>
      </c>
      <c r="AJ1720" s="193">
        <f t="shared" si="45"/>
        <v>0</v>
      </c>
    </row>
    <row r="1721" spans="2:36" x14ac:dyDescent="0.35">
      <c r="B1721" s="193" t="e">
        <f>"2024"&amp;MATCH(Totals!D1721,OrgType,0)&amp;"_"&amp;MATCH(Totals!E1721,Organisations,0)&amp;"_"&amp;LEFT(Totals!F1721,1)&amp;"_"&amp;LEFT(G1721,1)&amp;"_"&amp;COUNTIF($G$3:G1721,G1721)</f>
        <v>#N/A</v>
      </c>
      <c r="C1721" s="193">
        <v>2025</v>
      </c>
      <c r="D1721" s="193">
        <f>Introduction!$D$7</f>
        <v>0</v>
      </c>
      <c r="E1721" s="193">
        <f>Introduction!$D$8</f>
        <v>0</v>
      </c>
      <c r="F1721" s="193" t="s">
        <v>141</v>
      </c>
      <c r="G1721" s="193" t="s">
        <v>141</v>
      </c>
      <c r="H1721" s="194"/>
      <c r="I1721" s="194"/>
      <c r="J1721" s="193">
        <f>'Land use &amp; agriculture'!B137</f>
        <v>0</v>
      </c>
      <c r="K1721" s="194"/>
      <c r="L1721" s="194"/>
      <c r="M1721" s="193">
        <f>'Land use &amp; agriculture'!C137</f>
        <v>0</v>
      </c>
      <c r="N1721" s="193">
        <f>'Land use &amp; agriculture'!D137</f>
        <v>0</v>
      </c>
      <c r="O1721" s="194"/>
      <c r="P1721" s="193">
        <f>'Land use &amp; agriculture'!E137</f>
        <v>0</v>
      </c>
      <c r="Q1721" s="193" t="str">
        <f>'Land use &amp; agriculture'!F137</f>
        <v/>
      </c>
      <c r="R1721" s="193">
        <f>'Land use &amp; agriculture'!G137</f>
        <v>0</v>
      </c>
      <c r="S1721" s="193">
        <f>'Land use &amp; agriculture'!H137</f>
        <v>0</v>
      </c>
      <c r="T1721" s="193" t="str">
        <f>'Land use &amp; agriculture'!I137</f>
        <v/>
      </c>
      <c r="U1721" s="193" t="str">
        <f>'Land use &amp; agriculture'!J137</f>
        <v/>
      </c>
      <c r="V1721" s="193" t="str">
        <f>'Land use &amp; agriculture'!K137</f>
        <v/>
      </c>
      <c r="W1721" s="193" t="str">
        <f>'Land use &amp; agriculture'!L137</f>
        <v/>
      </c>
      <c r="X1721" s="193">
        <f>'Land use &amp; agriculture'!M137</f>
        <v>0</v>
      </c>
      <c r="Y1721" s="193">
        <f>'Land use &amp; agriculture'!N137</f>
        <v>0</v>
      </c>
      <c r="Z1721" s="193" t="str">
        <f>'Land use &amp; agriculture'!O137</f>
        <v/>
      </c>
      <c r="AA1721" s="193" t="str">
        <f>'Land use &amp; agriculture'!P137</f>
        <v/>
      </c>
      <c r="AB1721" s="193" t="str">
        <f>'Land use &amp; agriculture'!Q137</f>
        <v/>
      </c>
      <c r="AC1721" s="193" t="str">
        <f>'Land use &amp; agriculture'!R137</f>
        <v/>
      </c>
      <c r="AD1721" s="193" t="str">
        <f>'Land use &amp; agriculture'!S137</f>
        <v/>
      </c>
      <c r="AE1721" s="193" t="str">
        <f>'Land use &amp; agriculture'!T137</f>
        <v/>
      </c>
      <c r="AF1721" s="193" t="str">
        <f>'Land use &amp; agriculture'!U137</f>
        <v/>
      </c>
      <c r="AG1721" s="193" t="str">
        <f>'Land use &amp; agriculture'!V137</f>
        <v/>
      </c>
      <c r="AI1721" s="193">
        <f t="shared" si="44"/>
        <v>0</v>
      </c>
      <c r="AJ1721" s="193">
        <f t="shared" si="45"/>
        <v>0</v>
      </c>
    </row>
    <row r="1722" spans="2:36" x14ac:dyDescent="0.35">
      <c r="B1722" s="193" t="e">
        <f>"2024"&amp;MATCH(Totals!D1722,OrgType,0)&amp;"_"&amp;MATCH(Totals!E1722,Organisations,0)&amp;"_"&amp;LEFT(Totals!F1722,1)&amp;"_"&amp;LEFT(G1722,1)&amp;"_"&amp;COUNTIF($G$3:G1722,G1722)</f>
        <v>#N/A</v>
      </c>
      <c r="C1722" s="193">
        <v>2025</v>
      </c>
      <c r="D1722" s="193">
        <f>Introduction!$D$7</f>
        <v>0</v>
      </c>
      <c r="E1722" s="193">
        <f>Introduction!$D$8</f>
        <v>0</v>
      </c>
      <c r="F1722" s="193" t="s">
        <v>141</v>
      </c>
      <c r="G1722" s="193" t="s">
        <v>141</v>
      </c>
      <c r="H1722" s="194"/>
      <c r="I1722" s="194"/>
      <c r="J1722" s="193">
        <f>'Land use &amp; agriculture'!B138</f>
        <v>0</v>
      </c>
      <c r="K1722" s="194"/>
      <c r="L1722" s="194"/>
      <c r="M1722" s="193">
        <f>'Land use &amp; agriculture'!C138</f>
        <v>0</v>
      </c>
      <c r="N1722" s="193">
        <f>'Land use &amp; agriculture'!D138</f>
        <v>0</v>
      </c>
      <c r="O1722" s="194"/>
      <c r="P1722" s="193">
        <f>'Land use &amp; agriculture'!E138</f>
        <v>0</v>
      </c>
      <c r="Q1722" s="193" t="str">
        <f>'Land use &amp; agriculture'!F138</f>
        <v/>
      </c>
      <c r="R1722" s="193">
        <f>'Land use &amp; agriculture'!G138</f>
        <v>0</v>
      </c>
      <c r="S1722" s="193">
        <f>'Land use &amp; agriculture'!H138</f>
        <v>0</v>
      </c>
      <c r="T1722" s="193" t="str">
        <f>'Land use &amp; agriculture'!I138</f>
        <v/>
      </c>
      <c r="U1722" s="193" t="str">
        <f>'Land use &amp; agriculture'!J138</f>
        <v/>
      </c>
      <c r="V1722" s="193" t="str">
        <f>'Land use &amp; agriculture'!K138</f>
        <v/>
      </c>
      <c r="W1722" s="193" t="str">
        <f>'Land use &amp; agriculture'!L138</f>
        <v/>
      </c>
      <c r="X1722" s="193">
        <f>'Land use &amp; agriculture'!M138</f>
        <v>0</v>
      </c>
      <c r="Y1722" s="193">
        <f>'Land use &amp; agriculture'!N138</f>
        <v>0</v>
      </c>
      <c r="Z1722" s="193" t="str">
        <f>'Land use &amp; agriculture'!O138</f>
        <v/>
      </c>
      <c r="AA1722" s="193" t="str">
        <f>'Land use &amp; agriculture'!P138</f>
        <v/>
      </c>
      <c r="AB1722" s="193" t="str">
        <f>'Land use &amp; agriculture'!Q138</f>
        <v/>
      </c>
      <c r="AC1722" s="193" t="str">
        <f>'Land use &amp; agriculture'!R138</f>
        <v/>
      </c>
      <c r="AD1722" s="193" t="str">
        <f>'Land use &amp; agriculture'!S138</f>
        <v/>
      </c>
      <c r="AE1722" s="193" t="str">
        <f>'Land use &amp; agriculture'!T138</f>
        <v/>
      </c>
      <c r="AF1722" s="193" t="str">
        <f>'Land use &amp; agriculture'!U138</f>
        <v/>
      </c>
      <c r="AG1722" s="193" t="str">
        <f>'Land use &amp; agriculture'!V138</f>
        <v/>
      </c>
      <c r="AI1722" s="193">
        <f t="shared" si="44"/>
        <v>0</v>
      </c>
      <c r="AJ1722" s="193">
        <f t="shared" si="45"/>
        <v>0</v>
      </c>
    </row>
    <row r="1723" spans="2:36" x14ac:dyDescent="0.35">
      <c r="B1723" s="193" t="e">
        <f>"2024"&amp;MATCH(Totals!D1723,OrgType,0)&amp;"_"&amp;MATCH(Totals!E1723,Organisations,0)&amp;"_"&amp;LEFT(Totals!F1723,1)&amp;"_"&amp;LEFT(G1723,1)&amp;"_"&amp;COUNTIF($G$3:G1723,G1723)</f>
        <v>#N/A</v>
      </c>
      <c r="C1723" s="193">
        <v>2025</v>
      </c>
      <c r="D1723" s="193">
        <f>Introduction!$D$7</f>
        <v>0</v>
      </c>
      <c r="E1723" s="193">
        <f>Introduction!$D$8</f>
        <v>0</v>
      </c>
      <c r="F1723" s="193" t="s">
        <v>141</v>
      </c>
      <c r="G1723" s="193" t="s">
        <v>141</v>
      </c>
      <c r="H1723" s="194"/>
      <c r="I1723" s="194"/>
      <c r="J1723" s="193">
        <f>'Land use &amp; agriculture'!B139</f>
        <v>0</v>
      </c>
      <c r="K1723" s="194"/>
      <c r="L1723" s="194"/>
      <c r="M1723" s="193">
        <f>'Land use &amp; agriculture'!C139</f>
        <v>0</v>
      </c>
      <c r="N1723" s="193">
        <f>'Land use &amp; agriculture'!D139</f>
        <v>0</v>
      </c>
      <c r="O1723" s="194"/>
      <c r="P1723" s="193">
        <f>'Land use &amp; agriculture'!E139</f>
        <v>0</v>
      </c>
      <c r="Q1723" s="193" t="str">
        <f>'Land use &amp; agriculture'!F139</f>
        <v/>
      </c>
      <c r="R1723" s="193">
        <f>'Land use &amp; agriculture'!G139</f>
        <v>0</v>
      </c>
      <c r="S1723" s="193">
        <f>'Land use &amp; agriculture'!H139</f>
        <v>0</v>
      </c>
      <c r="T1723" s="193" t="str">
        <f>'Land use &amp; agriculture'!I139</f>
        <v/>
      </c>
      <c r="U1723" s="193" t="str">
        <f>'Land use &amp; agriculture'!J139</f>
        <v/>
      </c>
      <c r="V1723" s="193" t="str">
        <f>'Land use &amp; agriculture'!K139</f>
        <v/>
      </c>
      <c r="W1723" s="193" t="str">
        <f>'Land use &amp; agriculture'!L139</f>
        <v/>
      </c>
      <c r="X1723" s="193">
        <f>'Land use &amp; agriculture'!M139</f>
        <v>0</v>
      </c>
      <c r="Y1723" s="193">
        <f>'Land use &amp; agriculture'!N139</f>
        <v>0</v>
      </c>
      <c r="Z1723" s="193" t="str">
        <f>'Land use &amp; agriculture'!O139</f>
        <v/>
      </c>
      <c r="AA1723" s="193" t="str">
        <f>'Land use &amp; agriculture'!P139</f>
        <v/>
      </c>
      <c r="AB1723" s="193" t="str">
        <f>'Land use &amp; agriculture'!Q139</f>
        <v/>
      </c>
      <c r="AC1723" s="193" t="str">
        <f>'Land use &amp; agriculture'!R139</f>
        <v/>
      </c>
      <c r="AD1723" s="193" t="str">
        <f>'Land use &amp; agriculture'!S139</f>
        <v/>
      </c>
      <c r="AE1723" s="193" t="str">
        <f>'Land use &amp; agriculture'!T139</f>
        <v/>
      </c>
      <c r="AF1723" s="193" t="str">
        <f>'Land use &amp; agriculture'!U139</f>
        <v/>
      </c>
      <c r="AG1723" s="193" t="str">
        <f>'Land use &amp; agriculture'!V139</f>
        <v/>
      </c>
      <c r="AI1723" s="193">
        <f t="shared" si="44"/>
        <v>0</v>
      </c>
      <c r="AJ1723" s="193">
        <f t="shared" si="45"/>
        <v>0</v>
      </c>
    </row>
    <row r="1724" spans="2:36" x14ac:dyDescent="0.35">
      <c r="B1724" s="193" t="e">
        <f>"2024"&amp;MATCH(Totals!D1724,OrgType,0)&amp;"_"&amp;MATCH(Totals!E1724,Organisations,0)&amp;"_"&amp;LEFT(Totals!F1724,1)&amp;"_"&amp;LEFT(G1724,1)&amp;"_"&amp;COUNTIF($G$3:G1724,G1724)</f>
        <v>#N/A</v>
      </c>
      <c r="C1724" s="193">
        <v>2025</v>
      </c>
      <c r="D1724" s="193">
        <f>Introduction!$D$7</f>
        <v>0</v>
      </c>
      <c r="E1724" s="193">
        <f>Introduction!$D$8</f>
        <v>0</v>
      </c>
      <c r="F1724" s="193" t="s">
        <v>141</v>
      </c>
      <c r="G1724" s="193" t="s">
        <v>141</v>
      </c>
      <c r="H1724" s="194"/>
      <c r="I1724" s="194"/>
      <c r="J1724" s="193">
        <f>'Land use &amp; agriculture'!B140</f>
        <v>0</v>
      </c>
      <c r="K1724" s="194"/>
      <c r="L1724" s="194"/>
      <c r="M1724" s="193">
        <f>'Land use &amp; agriculture'!C140</f>
        <v>0</v>
      </c>
      <c r="N1724" s="193">
        <f>'Land use &amp; agriculture'!D140</f>
        <v>0</v>
      </c>
      <c r="O1724" s="194"/>
      <c r="P1724" s="193">
        <f>'Land use &amp; agriculture'!E140</f>
        <v>0</v>
      </c>
      <c r="Q1724" s="193" t="str">
        <f>'Land use &amp; agriculture'!F140</f>
        <v/>
      </c>
      <c r="R1724" s="193">
        <f>'Land use &amp; agriculture'!G140</f>
        <v>0</v>
      </c>
      <c r="S1724" s="193">
        <f>'Land use &amp; agriculture'!H140</f>
        <v>0</v>
      </c>
      <c r="T1724" s="193" t="str">
        <f>'Land use &amp; agriculture'!I140</f>
        <v/>
      </c>
      <c r="U1724" s="193" t="str">
        <f>'Land use &amp; agriculture'!J140</f>
        <v/>
      </c>
      <c r="V1724" s="193" t="str">
        <f>'Land use &amp; agriculture'!K140</f>
        <v/>
      </c>
      <c r="W1724" s="193" t="str">
        <f>'Land use &amp; agriculture'!L140</f>
        <v/>
      </c>
      <c r="X1724" s="193">
        <f>'Land use &amp; agriculture'!M140</f>
        <v>0</v>
      </c>
      <c r="Y1724" s="193">
        <f>'Land use &amp; agriculture'!N140</f>
        <v>0</v>
      </c>
      <c r="Z1724" s="193" t="str">
        <f>'Land use &amp; agriculture'!O140</f>
        <v/>
      </c>
      <c r="AA1724" s="193" t="str">
        <f>'Land use &amp; agriculture'!P140</f>
        <v/>
      </c>
      <c r="AB1724" s="193" t="str">
        <f>'Land use &amp; agriculture'!Q140</f>
        <v/>
      </c>
      <c r="AC1724" s="193" t="str">
        <f>'Land use &amp; agriculture'!R140</f>
        <v/>
      </c>
      <c r="AD1724" s="193" t="str">
        <f>'Land use &amp; agriculture'!S140</f>
        <v/>
      </c>
      <c r="AE1724" s="193" t="str">
        <f>'Land use &amp; agriculture'!T140</f>
        <v/>
      </c>
      <c r="AF1724" s="193" t="str">
        <f>'Land use &amp; agriculture'!U140</f>
        <v/>
      </c>
      <c r="AG1724" s="193" t="str">
        <f>'Land use &amp; agriculture'!V140</f>
        <v/>
      </c>
      <c r="AI1724" s="193">
        <f t="shared" si="44"/>
        <v>0</v>
      </c>
      <c r="AJ1724" s="193">
        <f t="shared" si="45"/>
        <v>0</v>
      </c>
    </row>
    <row r="1725" spans="2:36" x14ac:dyDescent="0.35">
      <c r="B1725" s="193" t="e">
        <f>"2024"&amp;MATCH(Totals!D1725,OrgType,0)&amp;"_"&amp;MATCH(Totals!E1725,Organisations,0)&amp;"_"&amp;LEFT(Totals!F1725,1)&amp;"_"&amp;LEFT(G1725,1)&amp;"_"&amp;COUNTIF($G$3:G1725,G1725)</f>
        <v>#N/A</v>
      </c>
      <c r="C1725" s="193">
        <v>2025</v>
      </c>
      <c r="D1725" s="193">
        <f>Introduction!$D$7</f>
        <v>0</v>
      </c>
      <c r="E1725" s="193">
        <f>Introduction!$D$8</f>
        <v>0</v>
      </c>
      <c r="F1725" s="193" t="s">
        <v>141</v>
      </c>
      <c r="G1725" s="193" t="s">
        <v>141</v>
      </c>
      <c r="H1725" s="194"/>
      <c r="I1725" s="194"/>
      <c r="J1725" s="193">
        <f>'Land use &amp; agriculture'!B141</f>
        <v>0</v>
      </c>
      <c r="K1725" s="194"/>
      <c r="L1725" s="194"/>
      <c r="M1725" s="193">
        <f>'Land use &amp; agriculture'!C141</f>
        <v>0</v>
      </c>
      <c r="N1725" s="193">
        <f>'Land use &amp; agriculture'!D141</f>
        <v>0</v>
      </c>
      <c r="O1725" s="194"/>
      <c r="P1725" s="193">
        <f>'Land use &amp; agriculture'!E141</f>
        <v>0</v>
      </c>
      <c r="Q1725" s="193" t="str">
        <f>'Land use &amp; agriculture'!F141</f>
        <v/>
      </c>
      <c r="R1725" s="193">
        <f>'Land use &amp; agriculture'!G141</f>
        <v>0</v>
      </c>
      <c r="S1725" s="193">
        <f>'Land use &amp; agriculture'!H141</f>
        <v>0</v>
      </c>
      <c r="T1725" s="193" t="str">
        <f>'Land use &amp; agriculture'!I141</f>
        <v/>
      </c>
      <c r="U1725" s="193" t="str">
        <f>'Land use &amp; agriculture'!J141</f>
        <v/>
      </c>
      <c r="V1725" s="193" t="str">
        <f>'Land use &amp; agriculture'!K141</f>
        <v/>
      </c>
      <c r="W1725" s="193" t="str">
        <f>'Land use &amp; agriculture'!L141</f>
        <v/>
      </c>
      <c r="X1725" s="193">
        <f>'Land use &amp; agriculture'!M141</f>
        <v>0</v>
      </c>
      <c r="Y1725" s="193">
        <f>'Land use &amp; agriculture'!N141</f>
        <v>0</v>
      </c>
      <c r="Z1725" s="193" t="str">
        <f>'Land use &amp; agriculture'!O141</f>
        <v/>
      </c>
      <c r="AA1725" s="193" t="str">
        <f>'Land use &amp; agriculture'!P141</f>
        <v/>
      </c>
      <c r="AB1725" s="193" t="str">
        <f>'Land use &amp; agriculture'!Q141</f>
        <v/>
      </c>
      <c r="AC1725" s="193" t="str">
        <f>'Land use &amp; agriculture'!R141</f>
        <v/>
      </c>
      <c r="AD1725" s="193" t="str">
        <f>'Land use &amp; agriculture'!S141</f>
        <v/>
      </c>
      <c r="AE1725" s="193" t="str">
        <f>'Land use &amp; agriculture'!T141</f>
        <v/>
      </c>
      <c r="AF1725" s="193" t="str">
        <f>'Land use &amp; agriculture'!U141</f>
        <v/>
      </c>
      <c r="AG1725" s="193" t="str">
        <f>'Land use &amp; agriculture'!V141</f>
        <v/>
      </c>
      <c r="AI1725" s="193">
        <f t="shared" si="44"/>
        <v>0</v>
      </c>
      <c r="AJ1725" s="193">
        <f t="shared" si="45"/>
        <v>0</v>
      </c>
    </row>
    <row r="1726" spans="2:36" x14ac:dyDescent="0.35">
      <c r="B1726" s="193" t="e">
        <f>"2024"&amp;MATCH(Totals!D1726,OrgType,0)&amp;"_"&amp;MATCH(Totals!E1726,Organisations,0)&amp;"_"&amp;LEFT(Totals!F1726,1)&amp;"_"&amp;LEFT(G1726,1)&amp;"_"&amp;COUNTIF($G$3:G1726,G1726)</f>
        <v>#N/A</v>
      </c>
      <c r="C1726" s="193">
        <v>2025</v>
      </c>
      <c r="D1726" s="193">
        <f>Introduction!$D$7</f>
        <v>0</v>
      </c>
      <c r="E1726" s="193">
        <f>Introduction!$D$8</f>
        <v>0</v>
      </c>
      <c r="F1726" s="193" t="s">
        <v>141</v>
      </c>
      <c r="G1726" s="193" t="s">
        <v>141</v>
      </c>
      <c r="H1726" s="194"/>
      <c r="I1726" s="194"/>
      <c r="J1726" s="193">
        <f>'Land use &amp; agriculture'!B142</f>
        <v>0</v>
      </c>
      <c r="K1726" s="194"/>
      <c r="L1726" s="194"/>
      <c r="M1726" s="193">
        <f>'Land use &amp; agriculture'!C142</f>
        <v>0</v>
      </c>
      <c r="N1726" s="193">
        <f>'Land use &amp; agriculture'!D142</f>
        <v>0</v>
      </c>
      <c r="O1726" s="194"/>
      <c r="P1726" s="193">
        <f>'Land use &amp; agriculture'!E142</f>
        <v>0</v>
      </c>
      <c r="Q1726" s="193" t="str">
        <f>'Land use &amp; agriculture'!F142</f>
        <v/>
      </c>
      <c r="R1726" s="193">
        <f>'Land use &amp; agriculture'!G142</f>
        <v>0</v>
      </c>
      <c r="S1726" s="193">
        <f>'Land use &amp; agriculture'!H142</f>
        <v>0</v>
      </c>
      <c r="T1726" s="193" t="str">
        <f>'Land use &amp; agriculture'!I142</f>
        <v/>
      </c>
      <c r="U1726" s="193" t="str">
        <f>'Land use &amp; agriculture'!J142</f>
        <v/>
      </c>
      <c r="V1726" s="193" t="str">
        <f>'Land use &amp; agriculture'!K142</f>
        <v/>
      </c>
      <c r="W1726" s="193" t="str">
        <f>'Land use &amp; agriculture'!L142</f>
        <v/>
      </c>
      <c r="X1726" s="193">
        <f>'Land use &amp; agriculture'!M142</f>
        <v>0</v>
      </c>
      <c r="Y1726" s="193">
        <f>'Land use &amp; agriculture'!N142</f>
        <v>0</v>
      </c>
      <c r="Z1726" s="193" t="str">
        <f>'Land use &amp; agriculture'!O142</f>
        <v/>
      </c>
      <c r="AA1726" s="193" t="str">
        <f>'Land use &amp; agriculture'!P142</f>
        <v/>
      </c>
      <c r="AB1726" s="193" t="str">
        <f>'Land use &amp; agriculture'!Q142</f>
        <v/>
      </c>
      <c r="AC1726" s="193" t="str">
        <f>'Land use &amp; agriculture'!R142</f>
        <v/>
      </c>
      <c r="AD1726" s="193" t="str">
        <f>'Land use &amp; agriculture'!S142</f>
        <v/>
      </c>
      <c r="AE1726" s="193" t="str">
        <f>'Land use &amp; agriculture'!T142</f>
        <v/>
      </c>
      <c r="AF1726" s="193" t="str">
        <f>'Land use &amp; agriculture'!U142</f>
        <v/>
      </c>
      <c r="AG1726" s="193" t="str">
        <f>'Land use &amp; agriculture'!V142</f>
        <v/>
      </c>
      <c r="AI1726" s="193">
        <f t="shared" si="44"/>
        <v>0</v>
      </c>
      <c r="AJ1726" s="193">
        <f t="shared" si="45"/>
        <v>0</v>
      </c>
    </row>
    <row r="1727" spans="2:36" x14ac:dyDescent="0.35">
      <c r="B1727" s="193" t="e">
        <f>"2024"&amp;MATCH(Totals!D1727,OrgType,0)&amp;"_"&amp;MATCH(Totals!E1727,Organisations,0)&amp;"_"&amp;LEFT(Totals!F1727,1)&amp;"_"&amp;LEFT(G1727,1)&amp;"_"&amp;COUNTIF($G$3:G1727,G1727)</f>
        <v>#N/A</v>
      </c>
      <c r="C1727" s="193">
        <v>2025</v>
      </c>
      <c r="D1727" s="193">
        <f>Introduction!$D$7</f>
        <v>0</v>
      </c>
      <c r="E1727" s="193">
        <f>Introduction!$D$8</f>
        <v>0</v>
      </c>
      <c r="F1727" s="193" t="s">
        <v>141</v>
      </c>
      <c r="G1727" s="193" t="s">
        <v>141</v>
      </c>
      <c r="H1727" s="194"/>
      <c r="I1727" s="194"/>
      <c r="J1727" s="193">
        <f>'Land use &amp; agriculture'!B143</f>
        <v>0</v>
      </c>
      <c r="K1727" s="194"/>
      <c r="L1727" s="194"/>
      <c r="M1727" s="193">
        <f>'Land use &amp; agriculture'!C143</f>
        <v>0</v>
      </c>
      <c r="N1727" s="193">
        <f>'Land use &amp; agriculture'!D143</f>
        <v>0</v>
      </c>
      <c r="O1727" s="194"/>
      <c r="P1727" s="193">
        <f>'Land use &amp; agriculture'!E143</f>
        <v>0</v>
      </c>
      <c r="Q1727" s="193" t="str">
        <f>'Land use &amp; agriculture'!F143</f>
        <v/>
      </c>
      <c r="R1727" s="193">
        <f>'Land use &amp; agriculture'!G143</f>
        <v>0</v>
      </c>
      <c r="S1727" s="193">
        <f>'Land use &amp; agriculture'!H143</f>
        <v>0</v>
      </c>
      <c r="T1727" s="193" t="str">
        <f>'Land use &amp; agriculture'!I143</f>
        <v/>
      </c>
      <c r="U1727" s="193" t="str">
        <f>'Land use &amp; agriculture'!J143</f>
        <v/>
      </c>
      <c r="V1727" s="193" t="str">
        <f>'Land use &amp; agriculture'!K143</f>
        <v/>
      </c>
      <c r="W1727" s="193" t="str">
        <f>'Land use &amp; agriculture'!L143</f>
        <v/>
      </c>
      <c r="X1727" s="193">
        <f>'Land use &amp; agriculture'!M143</f>
        <v>0</v>
      </c>
      <c r="Y1727" s="193">
        <f>'Land use &amp; agriculture'!N143</f>
        <v>0</v>
      </c>
      <c r="Z1727" s="193" t="str">
        <f>'Land use &amp; agriculture'!O143</f>
        <v/>
      </c>
      <c r="AA1727" s="193" t="str">
        <f>'Land use &amp; agriculture'!P143</f>
        <v/>
      </c>
      <c r="AB1727" s="193" t="str">
        <f>'Land use &amp; agriculture'!Q143</f>
        <v/>
      </c>
      <c r="AC1727" s="193" t="str">
        <f>'Land use &amp; agriculture'!R143</f>
        <v/>
      </c>
      <c r="AD1727" s="193" t="str">
        <f>'Land use &amp; agriculture'!S143</f>
        <v/>
      </c>
      <c r="AE1727" s="193" t="str">
        <f>'Land use &amp; agriculture'!T143</f>
        <v/>
      </c>
      <c r="AF1727" s="193" t="str">
        <f>'Land use &amp; agriculture'!U143</f>
        <v/>
      </c>
      <c r="AG1727" s="193" t="str">
        <f>'Land use &amp; agriculture'!V143</f>
        <v/>
      </c>
      <c r="AI1727" s="193">
        <f t="shared" si="44"/>
        <v>0</v>
      </c>
      <c r="AJ1727" s="193">
        <f t="shared" si="45"/>
        <v>0</v>
      </c>
    </row>
    <row r="1728" spans="2:36" x14ac:dyDescent="0.35">
      <c r="B1728" s="193" t="e">
        <f>"2024"&amp;MATCH(Totals!D1728,OrgType,0)&amp;"_"&amp;MATCH(Totals!E1728,Organisations,0)&amp;"_"&amp;LEFT(Totals!F1728,1)&amp;"_"&amp;LEFT(G1728,1)&amp;"_"&amp;COUNTIF($G$3:G1728,G1728)</f>
        <v>#N/A</v>
      </c>
      <c r="C1728" s="193">
        <v>2025</v>
      </c>
      <c r="D1728" s="193">
        <f>Introduction!$D$7</f>
        <v>0</v>
      </c>
      <c r="E1728" s="193">
        <f>Introduction!$D$8</f>
        <v>0</v>
      </c>
      <c r="F1728" s="193" t="s">
        <v>141</v>
      </c>
      <c r="G1728" s="193" t="s">
        <v>141</v>
      </c>
      <c r="H1728" s="194"/>
      <c r="I1728" s="194"/>
      <c r="J1728" s="193">
        <f>'Land use &amp; agriculture'!B144</f>
        <v>0</v>
      </c>
      <c r="K1728" s="194"/>
      <c r="L1728" s="194"/>
      <c r="M1728" s="193">
        <f>'Land use &amp; agriculture'!C144</f>
        <v>0</v>
      </c>
      <c r="N1728" s="193">
        <f>'Land use &amp; agriculture'!D144</f>
        <v>0</v>
      </c>
      <c r="O1728" s="194"/>
      <c r="P1728" s="193">
        <f>'Land use &amp; agriculture'!E144</f>
        <v>0</v>
      </c>
      <c r="Q1728" s="193" t="str">
        <f>'Land use &amp; agriculture'!F144</f>
        <v/>
      </c>
      <c r="R1728" s="193">
        <f>'Land use &amp; agriculture'!G144</f>
        <v>0</v>
      </c>
      <c r="S1728" s="193">
        <f>'Land use &amp; agriculture'!H144</f>
        <v>0</v>
      </c>
      <c r="T1728" s="193" t="str">
        <f>'Land use &amp; agriculture'!I144</f>
        <v/>
      </c>
      <c r="U1728" s="193" t="str">
        <f>'Land use &amp; agriculture'!J144</f>
        <v/>
      </c>
      <c r="V1728" s="193" t="str">
        <f>'Land use &amp; agriculture'!K144</f>
        <v/>
      </c>
      <c r="W1728" s="193" t="str">
        <f>'Land use &amp; agriculture'!L144</f>
        <v/>
      </c>
      <c r="X1728" s="193">
        <f>'Land use &amp; agriculture'!M144</f>
        <v>0</v>
      </c>
      <c r="Y1728" s="193">
        <f>'Land use &amp; agriculture'!N144</f>
        <v>0</v>
      </c>
      <c r="Z1728" s="193" t="str">
        <f>'Land use &amp; agriculture'!O144</f>
        <v/>
      </c>
      <c r="AA1728" s="193" t="str">
        <f>'Land use &amp; agriculture'!P144</f>
        <v/>
      </c>
      <c r="AB1728" s="193" t="str">
        <f>'Land use &amp; agriculture'!Q144</f>
        <v/>
      </c>
      <c r="AC1728" s="193" t="str">
        <f>'Land use &amp; agriculture'!R144</f>
        <v/>
      </c>
      <c r="AD1728" s="193" t="str">
        <f>'Land use &amp; agriculture'!S144</f>
        <v/>
      </c>
      <c r="AE1728" s="193" t="str">
        <f>'Land use &amp; agriculture'!T144</f>
        <v/>
      </c>
      <c r="AF1728" s="193" t="str">
        <f>'Land use &amp; agriculture'!U144</f>
        <v/>
      </c>
      <c r="AG1728" s="193" t="str">
        <f>'Land use &amp; agriculture'!V144</f>
        <v/>
      </c>
      <c r="AI1728" s="193">
        <f t="shared" si="44"/>
        <v>0</v>
      </c>
      <c r="AJ1728" s="193">
        <f t="shared" si="45"/>
        <v>0</v>
      </c>
    </row>
    <row r="1729" spans="2:36" x14ac:dyDescent="0.35">
      <c r="B1729" s="193" t="e">
        <f>"2024"&amp;MATCH(Totals!D1729,OrgType,0)&amp;"_"&amp;MATCH(Totals!E1729,Organisations,0)&amp;"_"&amp;LEFT(Totals!F1729,1)&amp;"_"&amp;LEFT(G1729,1)&amp;"_"&amp;COUNTIF($G$3:G1729,G1729)</f>
        <v>#N/A</v>
      </c>
      <c r="C1729" s="193">
        <v>2025</v>
      </c>
      <c r="D1729" s="193">
        <f>Introduction!$D$7</f>
        <v>0</v>
      </c>
      <c r="E1729" s="193">
        <f>Introduction!$D$8</f>
        <v>0</v>
      </c>
      <c r="F1729" s="209" t="s">
        <v>141</v>
      </c>
      <c r="G1729" s="209" t="s">
        <v>141</v>
      </c>
      <c r="H1729" s="210"/>
      <c r="I1729" s="194"/>
      <c r="J1729" s="209">
        <f>'Land use &amp; agriculture'!B145</f>
        <v>0</v>
      </c>
      <c r="K1729" s="194"/>
      <c r="L1729" s="194"/>
      <c r="M1729" s="209">
        <f>'Land use &amp; agriculture'!C145</f>
        <v>0</v>
      </c>
      <c r="N1729" s="209">
        <f>'Land use &amp; agriculture'!D145</f>
        <v>0</v>
      </c>
      <c r="O1729" s="194"/>
      <c r="P1729" s="209">
        <f>'Land use &amp; agriculture'!E145</f>
        <v>0</v>
      </c>
      <c r="Q1729" s="209" t="str">
        <f>'Land use &amp; agriculture'!F145</f>
        <v/>
      </c>
      <c r="R1729" s="209">
        <f>'Land use &amp; agriculture'!G145</f>
        <v>0</v>
      </c>
      <c r="S1729" s="209">
        <f>'Land use &amp; agriculture'!H145</f>
        <v>0</v>
      </c>
      <c r="T1729" s="209" t="str">
        <f>'Land use &amp; agriculture'!I145</f>
        <v/>
      </c>
      <c r="U1729" s="209" t="str">
        <f>'Land use &amp; agriculture'!J145</f>
        <v/>
      </c>
      <c r="V1729" s="209" t="str">
        <f>'Land use &amp; agriculture'!K145</f>
        <v/>
      </c>
      <c r="W1729" s="209" t="str">
        <f>'Land use &amp; agriculture'!L145</f>
        <v/>
      </c>
      <c r="X1729" s="209">
        <f>'Land use &amp; agriculture'!M145</f>
        <v>0</v>
      </c>
      <c r="Y1729" s="209">
        <f>'Land use &amp; agriculture'!N145</f>
        <v>0</v>
      </c>
      <c r="Z1729" s="209" t="str">
        <f>'Land use &amp; agriculture'!O145</f>
        <v/>
      </c>
      <c r="AA1729" s="209" t="str">
        <f>'Land use &amp; agriculture'!P145</f>
        <v/>
      </c>
      <c r="AB1729" s="209" t="str">
        <f>'Land use &amp; agriculture'!Q145</f>
        <v/>
      </c>
      <c r="AC1729" s="209" t="str">
        <f>'Land use &amp; agriculture'!R145</f>
        <v/>
      </c>
      <c r="AD1729" s="209" t="str">
        <f>'Land use &amp; agriculture'!S145</f>
        <v/>
      </c>
      <c r="AE1729" s="209" t="str">
        <f>'Land use &amp; agriculture'!T145</f>
        <v/>
      </c>
      <c r="AF1729" s="209" t="str">
        <f>'Land use &amp; agriculture'!U145</f>
        <v/>
      </c>
      <c r="AG1729" s="209" t="str">
        <f>'Land use &amp; agriculture'!V145</f>
        <v/>
      </c>
      <c r="AI1729" s="193">
        <f t="shared" si="44"/>
        <v>0</v>
      </c>
      <c r="AJ1729" s="193">
        <f t="shared" si="45"/>
        <v>0</v>
      </c>
    </row>
  </sheetData>
  <sheetProtection algorithmName="SHA-512" hashValue="bDBgErACdsXSE4+fs6Zh7GNFlQrERq8Q6TzYscyYlnAwe7oI12GbpWHCieBA1m+GFeOvYPBOBIIpSpB3VibJIQ==" saltValue="LMWqwKZtYh5R0wSO1RmQyQ==" spinCount="100000" sheet="1" objects="1" scenarios="1"/>
  <phoneticPr fontId="22" type="noConversion"/>
  <conditionalFormatting sqref="B2:AG2 AI2:AJ2">
    <cfRule type="expression" dxfId="10" priority="1">
      <formula>ISERROR($W2)</formula>
    </cfRule>
  </conditionalFormatting>
  <pageMargins left="0.7" right="0.7" top="0.75" bottom="0.75" header="0.3" footer="0.3"/>
  <tableParts count="1">
    <tablePart r:id="rId1"/>
  </tableParts>
  <extLst>
    <ext xmlns:x14="http://schemas.microsoft.com/office/spreadsheetml/2009/9/main" uri="{78C0D931-6437-407d-A8EE-F0AAD7539E65}">
      <x14:conditionalFormattings>
        <x14:conditionalFormatting xmlns:xm="http://schemas.microsoft.com/office/excel/2006/main">
          <x14:cfRule type="iconSet" priority="62" id="{FEFB0E81-9B33-4A3D-852D-E660275D3CEA}">
            <x14:iconSet iconSet="3Flags" custom="1">
              <x14:cfvo type="percent">
                <xm:f>0</xm:f>
              </x14:cfvo>
              <x14:cfvo type="num">
                <xm:f>0</xm:f>
              </x14:cfvo>
              <x14:cfvo type="num">
                <xm:f>1</xm:f>
              </x14:cfvo>
              <x14:cfIcon iconSet="3Flags" iconId="2"/>
              <x14:cfIcon iconSet="3Flags" iconId="2"/>
              <x14:cfIcon iconSet="3Flags" iconId="0"/>
            </x14:iconSet>
          </x14:cfRule>
          <xm:sqref>AI3:AI1729</xm:sqref>
        </x14:conditionalFormatting>
        <x14:conditionalFormatting xmlns:xm="http://schemas.microsoft.com/office/excel/2006/main">
          <x14:cfRule type="iconSet" priority="64" id="{C0EFC1ED-2510-4A3E-899D-4A706E009FEB}">
            <x14:iconSet iconSet="3Flags" custom="1">
              <x14:cfvo type="percent">
                <xm:f>0</xm:f>
              </x14:cfvo>
              <x14:cfvo type="num">
                <xm:f>0</xm:f>
              </x14:cfvo>
              <x14:cfvo type="num">
                <xm:f>1</xm:f>
              </x14:cfvo>
              <x14:cfIcon iconSet="3Flags" iconId="2"/>
              <x14:cfIcon iconSet="3Flags" iconId="2"/>
              <x14:cfIcon iconSet="3Flags" iconId="0"/>
            </x14:iconSet>
          </x14:cfRule>
          <xm:sqref>AJ3:AJ1729</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14106-81C6-457C-A3E0-0EE30EDFDECE}">
  <dimension ref="B1:X89"/>
  <sheetViews>
    <sheetView topLeftCell="N1" zoomScale="70" zoomScaleNormal="70" workbookViewId="0">
      <selection activeCell="P6" sqref="P6"/>
    </sheetView>
  </sheetViews>
  <sheetFormatPr defaultRowHeight="14.5" x14ac:dyDescent="0.35"/>
  <cols>
    <col min="2" max="2" width="9.36328125" customWidth="1"/>
    <col min="3" max="3" width="6.453125" customWidth="1"/>
    <col min="4" max="4" width="16.54296875" customWidth="1"/>
    <col min="5" max="5" width="17.54296875" customWidth="1"/>
    <col min="6" max="6" width="13.6328125" customWidth="1"/>
    <col min="7" max="7" width="13.36328125" customWidth="1"/>
    <col min="8" max="8" width="19.6328125" customWidth="1"/>
    <col min="9" max="9" width="17.6328125" customWidth="1"/>
    <col min="10" max="10" width="17.36328125" customWidth="1"/>
    <col min="11" max="11" width="18.6328125" customWidth="1"/>
    <col min="12" max="12" width="14.453125" customWidth="1"/>
    <col min="14" max="14" width="30.6328125" customWidth="1"/>
    <col min="15" max="15" width="21" customWidth="1"/>
    <col min="16" max="16" width="38.36328125" customWidth="1"/>
    <col min="17" max="17" width="21.36328125" customWidth="1"/>
    <col min="18" max="18" width="26.36328125" customWidth="1"/>
    <col min="19" max="19" width="31.6328125" customWidth="1"/>
    <col min="20" max="20" width="14.6328125" customWidth="1"/>
    <col min="21" max="21" width="17.6328125" customWidth="1"/>
    <col min="22" max="22" width="18.36328125" customWidth="1"/>
  </cols>
  <sheetData>
    <row r="1" spans="2:24" ht="15" thickBot="1" x14ac:dyDescent="0.4"/>
    <row r="2" spans="2:24" ht="70.5" customHeight="1" thickBot="1" x14ac:dyDescent="0.4">
      <c r="B2" s="238" t="s">
        <v>474</v>
      </c>
      <c r="C2" s="238" t="s">
        <v>475</v>
      </c>
      <c r="D2" s="238" t="s">
        <v>476</v>
      </c>
      <c r="E2" s="238" t="s">
        <v>477</v>
      </c>
      <c r="F2" s="238" t="s">
        <v>478</v>
      </c>
      <c r="G2" s="238" t="s">
        <v>479</v>
      </c>
      <c r="H2" s="40" t="s">
        <v>446</v>
      </c>
      <c r="I2" s="39" t="s">
        <v>447</v>
      </c>
      <c r="J2" s="39" t="s">
        <v>448</v>
      </c>
      <c r="K2" s="40" t="s">
        <v>449</v>
      </c>
      <c r="L2" s="40" t="s">
        <v>230</v>
      </c>
      <c r="M2" s="40" t="s">
        <v>450</v>
      </c>
      <c r="N2" s="40" t="s">
        <v>451</v>
      </c>
      <c r="O2" s="40" t="s">
        <v>181</v>
      </c>
      <c r="P2" s="40" t="s">
        <v>498</v>
      </c>
      <c r="Q2" s="40" t="s">
        <v>453</v>
      </c>
      <c r="R2" s="40" t="s">
        <v>454</v>
      </c>
      <c r="S2" s="40" t="s">
        <v>455</v>
      </c>
      <c r="T2" s="40" t="s">
        <v>456</v>
      </c>
      <c r="U2" s="40" t="s">
        <v>457</v>
      </c>
      <c r="V2" s="40" t="s">
        <v>458</v>
      </c>
      <c r="W2" s="255" t="s">
        <v>188</v>
      </c>
      <c r="X2" s="255" t="s">
        <v>189</v>
      </c>
    </row>
    <row r="3" spans="2:24" x14ac:dyDescent="0.35">
      <c r="B3" s="239" t="e">
        <f>"2025"&amp;MATCH(Totals!D3,OrgType,0)&amp;"_"&amp;MATCH(Totals!E3,Organisations,0)&amp;"_"&amp;LEFT(Totals!F3,1)&amp;"_"&amp;LEFT(G3,1)&amp;"_"&amp;COUNTIF($G$3:G3,G3)</f>
        <v>#N/A</v>
      </c>
      <c r="C3" s="239">
        <v>2025</v>
      </c>
      <c r="D3" s="239">
        <f>Introduction!$D$7</f>
        <v>0</v>
      </c>
      <c r="E3" s="239">
        <f>Introduction!$D$8</f>
        <v>0</v>
      </c>
      <c r="F3" s="193" t="s">
        <v>143</v>
      </c>
      <c r="G3" s="193" t="s">
        <v>499</v>
      </c>
      <c r="H3" s="193" t="str">
        <f>Renewables!B8</f>
        <v>TEST</v>
      </c>
      <c r="I3" s="193" t="str">
        <f>Renewables!C8</f>
        <v>Onsite</v>
      </c>
      <c r="J3" s="193" t="str">
        <f>Renewables!D8</f>
        <v>Renewable electricity</v>
      </c>
      <c r="K3" s="193" t="str">
        <f>Renewables!E8</f>
        <v>Rooftop Solar PV</v>
      </c>
      <c r="L3" s="193" t="str">
        <f>Renewables!F8</f>
        <v>Tier 1</v>
      </c>
      <c r="M3" s="193" t="str">
        <f>Renewables!G8</f>
        <v>Community</v>
      </c>
      <c r="N3" s="193">
        <f>Renewables!H8</f>
        <v>0</v>
      </c>
      <c r="O3" s="193">
        <f>Renewables!I8</f>
        <v>0.1</v>
      </c>
      <c r="P3" s="193">
        <f>Renewables!J8</f>
        <v>0</v>
      </c>
      <c r="Q3" s="193">
        <f>Renewables!K8</f>
        <v>0</v>
      </c>
      <c r="R3" s="193">
        <f>Renewables!L8</f>
        <v>0</v>
      </c>
      <c r="S3" s="193">
        <f>Renewables!M8</f>
        <v>0</v>
      </c>
      <c r="T3" s="193">
        <f>Renewables!N8</f>
        <v>0</v>
      </c>
      <c r="U3" s="193">
        <f>Renewables!O8</f>
        <v>0</v>
      </c>
      <c r="V3" s="193">
        <f>Renewables!P8</f>
        <v>0</v>
      </c>
      <c r="W3" s="193">
        <f>Renewables!Q8</f>
        <v>0</v>
      </c>
      <c r="X3" s="193">
        <f>Renewables!R8</f>
        <v>0</v>
      </c>
    </row>
    <row r="4" spans="2:24" x14ac:dyDescent="0.35">
      <c r="B4" s="239" t="e">
        <f>"2025"&amp;MATCH(Totals!D839,OrgType,0)&amp;"_"&amp;MATCH(Totals!E839,Organisations,0)&amp;"_"&amp;LEFT(Totals!F839,1)&amp;"_"&amp;LEFT(G4,1)&amp;"_"&amp;COUNTIF($G$3:G4,G4)</f>
        <v>#N/A</v>
      </c>
      <c r="C4" s="193">
        <v>2025</v>
      </c>
      <c r="D4" s="193">
        <f>Introduction!$D$7</f>
        <v>0</v>
      </c>
      <c r="E4" s="193">
        <f>Introduction!$D$8</f>
        <v>0</v>
      </c>
      <c r="F4" s="193" t="s">
        <v>143</v>
      </c>
      <c r="G4" s="193" t="s">
        <v>499</v>
      </c>
      <c r="H4" s="193">
        <f>Renewables!B9</f>
        <v>0</v>
      </c>
      <c r="I4" s="193">
        <f>Renewables!C9</f>
        <v>0</v>
      </c>
      <c r="J4" s="193">
        <f>Renewables!D9</f>
        <v>0</v>
      </c>
      <c r="K4" s="193">
        <f>Renewables!E9</f>
        <v>0</v>
      </c>
      <c r="L4" s="193">
        <f>Renewables!F9</f>
        <v>0</v>
      </c>
      <c r="M4" s="193">
        <f>Renewables!G9</f>
        <v>0</v>
      </c>
      <c r="N4" s="193">
        <f>Renewables!H9</f>
        <v>0</v>
      </c>
      <c r="O4" s="193" t="str">
        <f>Renewables!I9</f>
        <v/>
      </c>
      <c r="P4" s="193">
        <f>Renewables!J9</f>
        <v>0</v>
      </c>
      <c r="Q4" s="193">
        <f>Renewables!K9</f>
        <v>0</v>
      </c>
      <c r="R4" s="193">
        <f>Renewables!L9</f>
        <v>0</v>
      </c>
      <c r="S4" s="193">
        <f>Renewables!M9</f>
        <v>0</v>
      </c>
      <c r="T4" s="193">
        <f>Renewables!N9</f>
        <v>0</v>
      </c>
      <c r="U4" s="193">
        <f>Renewables!O9</f>
        <v>0</v>
      </c>
      <c r="V4" s="193">
        <f>Renewables!P9</f>
        <v>0</v>
      </c>
      <c r="W4" s="193">
        <f>Renewables!Q9</f>
        <v>0</v>
      </c>
      <c r="X4" s="193">
        <f>Renewables!R9</f>
        <v>0</v>
      </c>
    </row>
    <row r="5" spans="2:24" x14ac:dyDescent="0.35">
      <c r="B5" s="239" t="e">
        <f>"2025"&amp;MATCH(Totals!D840,OrgType,0)&amp;"_"&amp;MATCH(Totals!E840,Organisations,0)&amp;"_"&amp;LEFT(Totals!F840,1)&amp;"_"&amp;LEFT(G5,1)&amp;"_"&amp;COUNTIF($G$3:G5,G5)</f>
        <v>#N/A</v>
      </c>
      <c r="C5" s="239">
        <v>2025</v>
      </c>
      <c r="D5" s="239">
        <f>Introduction!$D$7</f>
        <v>0</v>
      </c>
      <c r="E5" s="239">
        <f>Introduction!$D$8</f>
        <v>0</v>
      </c>
      <c r="F5" s="193" t="s">
        <v>143</v>
      </c>
      <c r="G5" s="193" t="s">
        <v>499</v>
      </c>
      <c r="H5" s="193">
        <f>Renewables!B10</f>
        <v>0</v>
      </c>
      <c r="I5" s="193">
        <f>Renewables!C10</f>
        <v>0</v>
      </c>
      <c r="J5" s="193">
        <f>Renewables!D10</f>
        <v>0</v>
      </c>
      <c r="K5" s="193">
        <f>Renewables!E10</f>
        <v>0</v>
      </c>
      <c r="L5" s="193">
        <f>Renewables!F10</f>
        <v>0</v>
      </c>
      <c r="M5" s="193">
        <f>Renewables!G10</f>
        <v>0</v>
      </c>
      <c r="N5" s="193">
        <f>Renewables!H10</f>
        <v>0</v>
      </c>
      <c r="O5" s="193" t="str">
        <f>Renewables!I10</f>
        <v/>
      </c>
      <c r="P5" s="193">
        <f>Renewables!J10</f>
        <v>0</v>
      </c>
      <c r="Q5" s="193">
        <f>Renewables!K10</f>
        <v>0</v>
      </c>
      <c r="R5" s="193">
        <f>Renewables!L10</f>
        <v>0</v>
      </c>
      <c r="S5" s="193">
        <f>Renewables!M10</f>
        <v>0</v>
      </c>
      <c r="T5" s="193">
        <f>Renewables!N10</f>
        <v>0</v>
      </c>
      <c r="U5" s="193">
        <f>Renewables!O10</f>
        <v>0</v>
      </c>
      <c r="V5" s="193">
        <f>Renewables!P10</f>
        <v>0</v>
      </c>
      <c r="W5" s="193">
        <f>Renewables!Q10</f>
        <v>0</v>
      </c>
      <c r="X5" s="193">
        <f>Renewables!R10</f>
        <v>0</v>
      </c>
    </row>
    <row r="6" spans="2:24" x14ac:dyDescent="0.35">
      <c r="B6" s="239" t="e">
        <f>"2025"&amp;MATCH(Totals!D841,OrgType,0)&amp;"_"&amp;MATCH(Totals!E841,Organisations,0)&amp;"_"&amp;LEFT(Totals!F841,1)&amp;"_"&amp;LEFT(G6,1)&amp;"_"&amp;COUNTIF($G$3:G6,G6)</f>
        <v>#N/A</v>
      </c>
      <c r="C6" s="193">
        <v>2025</v>
      </c>
      <c r="D6" s="193">
        <f>Introduction!$D$7</f>
        <v>0</v>
      </c>
      <c r="E6" s="193">
        <f>Introduction!$D$8</f>
        <v>0</v>
      </c>
      <c r="F6" s="193" t="s">
        <v>143</v>
      </c>
      <c r="G6" s="193" t="s">
        <v>499</v>
      </c>
      <c r="H6" s="193">
        <f>Renewables!B11</f>
        <v>0</v>
      </c>
      <c r="I6" s="193">
        <f>Renewables!C11</f>
        <v>0</v>
      </c>
      <c r="J6" s="193">
        <f>Renewables!D11</f>
        <v>0</v>
      </c>
      <c r="K6" s="193">
        <f>Renewables!E11</f>
        <v>0</v>
      </c>
      <c r="L6" s="193">
        <f>Renewables!F11</f>
        <v>0</v>
      </c>
      <c r="M6" s="193">
        <f>Renewables!G11</f>
        <v>0</v>
      </c>
      <c r="N6" s="193">
        <f>Renewables!H11</f>
        <v>0</v>
      </c>
      <c r="O6" s="193" t="str">
        <f>Renewables!I11</f>
        <v/>
      </c>
      <c r="P6" s="193">
        <f>Renewables!J11</f>
        <v>0</v>
      </c>
      <c r="Q6" s="193">
        <f>Renewables!K11</f>
        <v>0</v>
      </c>
      <c r="R6" s="193">
        <f>Renewables!L11</f>
        <v>0</v>
      </c>
      <c r="S6" s="193">
        <f>Renewables!M11</f>
        <v>0</v>
      </c>
      <c r="T6" s="193">
        <f>Renewables!N11</f>
        <v>0</v>
      </c>
      <c r="U6" s="193">
        <f>Renewables!O11</f>
        <v>0</v>
      </c>
      <c r="V6" s="193">
        <f>Renewables!P11</f>
        <v>0</v>
      </c>
      <c r="W6" s="193">
        <f>Renewables!Q11</f>
        <v>0</v>
      </c>
      <c r="X6" s="193">
        <f>Renewables!R11</f>
        <v>0</v>
      </c>
    </row>
    <row r="7" spans="2:24" x14ac:dyDescent="0.35">
      <c r="B7" s="239" t="e">
        <f>"2025"&amp;MATCH(Totals!D842,OrgType,0)&amp;"_"&amp;MATCH(Totals!E842,Organisations,0)&amp;"_"&amp;LEFT(Totals!F842,1)&amp;"_"&amp;LEFT(G7,1)&amp;"_"&amp;COUNTIF($G$3:G7,G7)</f>
        <v>#N/A</v>
      </c>
      <c r="C7" s="239">
        <v>2025</v>
      </c>
      <c r="D7" s="239">
        <f>Introduction!$D$7</f>
        <v>0</v>
      </c>
      <c r="E7" s="239">
        <f>Introduction!$D$8</f>
        <v>0</v>
      </c>
      <c r="F7" s="193" t="s">
        <v>143</v>
      </c>
      <c r="G7" s="193" t="s">
        <v>499</v>
      </c>
      <c r="H7" s="193">
        <f>Renewables!B12</f>
        <v>0</v>
      </c>
      <c r="I7" s="193">
        <f>Renewables!C12</f>
        <v>0</v>
      </c>
      <c r="J7" s="193">
        <f>Renewables!D12</f>
        <v>0</v>
      </c>
      <c r="K7" s="193">
        <f>Renewables!E12</f>
        <v>0</v>
      </c>
      <c r="L7" s="193">
        <f>Renewables!F12</f>
        <v>0</v>
      </c>
      <c r="M7" s="193">
        <f>Renewables!G12</f>
        <v>0</v>
      </c>
      <c r="N7" s="193">
        <f>Renewables!H12</f>
        <v>0</v>
      </c>
      <c r="O7" s="193" t="str">
        <f>Renewables!I12</f>
        <v/>
      </c>
      <c r="P7" s="193">
        <f>Renewables!J12</f>
        <v>0</v>
      </c>
      <c r="Q7" s="193">
        <f>Renewables!K12</f>
        <v>0</v>
      </c>
      <c r="R7" s="193">
        <f>Renewables!L12</f>
        <v>0</v>
      </c>
      <c r="S7" s="193">
        <f>Renewables!M12</f>
        <v>0</v>
      </c>
      <c r="T7" s="193">
        <f>Renewables!N12</f>
        <v>0</v>
      </c>
      <c r="U7" s="193">
        <f>Renewables!O12</f>
        <v>0</v>
      </c>
      <c r="V7" s="193">
        <f>Renewables!P12</f>
        <v>0</v>
      </c>
      <c r="W7" s="193">
        <f>Renewables!Q12</f>
        <v>0</v>
      </c>
      <c r="X7" s="193">
        <f>Renewables!R12</f>
        <v>0</v>
      </c>
    </row>
    <row r="8" spans="2:24" x14ac:dyDescent="0.35">
      <c r="B8" s="239" t="e">
        <f>"2025"&amp;MATCH(Totals!D843,OrgType,0)&amp;"_"&amp;MATCH(Totals!E843,Organisations,0)&amp;"_"&amp;LEFT(Totals!F843,1)&amp;"_"&amp;LEFT(G8,1)&amp;"_"&amp;COUNTIF($G$3:G8,G8)</f>
        <v>#N/A</v>
      </c>
      <c r="C8" s="193">
        <v>2025</v>
      </c>
      <c r="D8" s="193">
        <f>Introduction!$D$7</f>
        <v>0</v>
      </c>
      <c r="E8" s="193">
        <f>Introduction!$D$8</f>
        <v>0</v>
      </c>
      <c r="F8" s="193" t="s">
        <v>143</v>
      </c>
      <c r="G8" s="193" t="s">
        <v>499</v>
      </c>
      <c r="H8" s="193">
        <f>Renewables!B13</f>
        <v>0</v>
      </c>
      <c r="I8" s="193">
        <f>Renewables!C13</f>
        <v>0</v>
      </c>
      <c r="J8" s="193">
        <f>Renewables!D13</f>
        <v>0</v>
      </c>
      <c r="K8" s="193">
        <f>Renewables!E13</f>
        <v>0</v>
      </c>
      <c r="L8" s="193">
        <f>Renewables!F13</f>
        <v>0</v>
      </c>
      <c r="M8" s="193">
        <f>Renewables!G13</f>
        <v>0</v>
      </c>
      <c r="N8" s="193">
        <f>Renewables!H13</f>
        <v>0</v>
      </c>
      <c r="O8" s="193" t="str">
        <f>Renewables!I13</f>
        <v/>
      </c>
      <c r="P8" s="193">
        <f>Renewables!J13</f>
        <v>0</v>
      </c>
      <c r="Q8" s="193">
        <f>Renewables!K13</f>
        <v>0</v>
      </c>
      <c r="R8" s="193">
        <f>Renewables!L13</f>
        <v>0</v>
      </c>
      <c r="S8" s="193">
        <f>Renewables!M13</f>
        <v>0</v>
      </c>
      <c r="T8" s="193">
        <f>Renewables!N13</f>
        <v>0</v>
      </c>
      <c r="U8" s="193">
        <f>Renewables!O13</f>
        <v>0</v>
      </c>
      <c r="V8" s="193">
        <f>Renewables!P13</f>
        <v>0</v>
      </c>
      <c r="W8" s="193">
        <f>Renewables!Q13</f>
        <v>0</v>
      </c>
      <c r="X8" s="193">
        <f>Renewables!R13</f>
        <v>0</v>
      </c>
    </row>
    <row r="9" spans="2:24" x14ac:dyDescent="0.35">
      <c r="B9" s="239" t="e">
        <f>"2025"&amp;MATCH(Totals!D844,OrgType,0)&amp;"_"&amp;MATCH(Totals!E844,Organisations,0)&amp;"_"&amp;LEFT(Totals!F844,1)&amp;"_"&amp;LEFT(G9,1)&amp;"_"&amp;COUNTIF($G$3:G9,G9)</f>
        <v>#N/A</v>
      </c>
      <c r="C9" s="239">
        <v>2025</v>
      </c>
      <c r="D9" s="239">
        <f>Introduction!$D$7</f>
        <v>0</v>
      </c>
      <c r="E9" s="239">
        <f>Introduction!$D$8</f>
        <v>0</v>
      </c>
      <c r="F9" s="193" t="s">
        <v>143</v>
      </c>
      <c r="G9" s="193" t="s">
        <v>499</v>
      </c>
      <c r="H9" s="193">
        <f>Renewables!B14</f>
        <v>0</v>
      </c>
      <c r="I9" s="193">
        <f>Renewables!C14</f>
        <v>0</v>
      </c>
      <c r="J9" s="193">
        <f>Renewables!D14</f>
        <v>0</v>
      </c>
      <c r="K9" s="193">
        <f>Renewables!E14</f>
        <v>0</v>
      </c>
      <c r="L9" s="193">
        <f>Renewables!F14</f>
        <v>0</v>
      </c>
      <c r="M9" s="193">
        <f>Renewables!G14</f>
        <v>0</v>
      </c>
      <c r="N9" s="193">
        <f>Renewables!H14</f>
        <v>0</v>
      </c>
      <c r="O9" s="193" t="str">
        <f>Renewables!I14</f>
        <v/>
      </c>
      <c r="P9" s="193">
        <f>Renewables!J14</f>
        <v>0</v>
      </c>
      <c r="Q9" s="193">
        <f>Renewables!K14</f>
        <v>0</v>
      </c>
      <c r="R9" s="193">
        <f>Renewables!L14</f>
        <v>0</v>
      </c>
      <c r="S9" s="193">
        <f>Renewables!M14</f>
        <v>0</v>
      </c>
      <c r="T9" s="193">
        <f>Renewables!N14</f>
        <v>0</v>
      </c>
      <c r="U9" s="193">
        <f>Renewables!O14</f>
        <v>0</v>
      </c>
      <c r="V9" s="193">
        <f>Renewables!P14</f>
        <v>0</v>
      </c>
      <c r="W9" s="193">
        <f>Renewables!Q14</f>
        <v>0</v>
      </c>
      <c r="X9" s="193">
        <f>Renewables!R14</f>
        <v>0</v>
      </c>
    </row>
    <row r="10" spans="2:24" x14ac:dyDescent="0.35">
      <c r="B10" s="239" t="e">
        <f>"2025"&amp;MATCH(Totals!D845,OrgType,0)&amp;"_"&amp;MATCH(Totals!E845,Organisations,0)&amp;"_"&amp;LEFT(Totals!F845,1)&amp;"_"&amp;LEFT(G10,1)&amp;"_"&amp;COUNTIF($G$3:G10,G10)</f>
        <v>#N/A</v>
      </c>
      <c r="C10" s="193">
        <v>2025</v>
      </c>
      <c r="D10" s="193">
        <f>Introduction!$D$7</f>
        <v>0</v>
      </c>
      <c r="E10" s="193">
        <f>Introduction!$D$8</f>
        <v>0</v>
      </c>
      <c r="F10" s="193" t="s">
        <v>143</v>
      </c>
      <c r="G10" s="193" t="s">
        <v>499</v>
      </c>
      <c r="H10" s="193">
        <f>Renewables!B15</f>
        <v>0</v>
      </c>
      <c r="I10" s="193">
        <f>Renewables!C15</f>
        <v>0</v>
      </c>
      <c r="J10" s="193">
        <f>Renewables!D15</f>
        <v>0</v>
      </c>
      <c r="K10" s="193">
        <f>Renewables!E15</f>
        <v>0</v>
      </c>
      <c r="L10" s="193">
        <f>Renewables!F15</f>
        <v>0</v>
      </c>
      <c r="M10" s="193">
        <f>Renewables!G15</f>
        <v>0</v>
      </c>
      <c r="N10" s="193">
        <f>Renewables!H15</f>
        <v>0</v>
      </c>
      <c r="O10" s="193" t="str">
        <f>Renewables!I15</f>
        <v/>
      </c>
      <c r="P10" s="193">
        <f>Renewables!J15</f>
        <v>0</v>
      </c>
      <c r="Q10" s="193">
        <f>Renewables!K15</f>
        <v>0</v>
      </c>
      <c r="R10" s="193">
        <f>Renewables!L15</f>
        <v>0</v>
      </c>
      <c r="S10" s="193">
        <f>Renewables!M15</f>
        <v>0</v>
      </c>
      <c r="T10" s="193">
        <f>Renewables!N15</f>
        <v>0</v>
      </c>
      <c r="U10" s="193">
        <f>Renewables!O15</f>
        <v>0</v>
      </c>
      <c r="V10" s="193">
        <f>Renewables!P15</f>
        <v>0</v>
      </c>
      <c r="W10" s="193">
        <f>Renewables!Q15</f>
        <v>0</v>
      </c>
      <c r="X10" s="193">
        <f>Renewables!R15</f>
        <v>0</v>
      </c>
    </row>
    <row r="11" spans="2:24" x14ac:dyDescent="0.35">
      <c r="B11" s="239" t="e">
        <f>"2025"&amp;MATCH(Totals!D846,OrgType,0)&amp;"_"&amp;MATCH(Totals!E846,Organisations,0)&amp;"_"&amp;LEFT(Totals!F846,1)&amp;"_"&amp;LEFT(G11,1)&amp;"_"&amp;COUNTIF($G$3:G11,G11)</f>
        <v>#N/A</v>
      </c>
      <c r="C11" s="239">
        <v>2025</v>
      </c>
      <c r="D11" s="239">
        <f>Introduction!$D$7</f>
        <v>0</v>
      </c>
      <c r="E11" s="239">
        <f>Introduction!$D$8</f>
        <v>0</v>
      </c>
      <c r="F11" s="193" t="s">
        <v>143</v>
      </c>
      <c r="G11" s="193" t="s">
        <v>499</v>
      </c>
      <c r="H11" s="193">
        <f>Renewables!B16</f>
        <v>0</v>
      </c>
      <c r="I11" s="193">
        <f>Renewables!C16</f>
        <v>0</v>
      </c>
      <c r="J11" s="193">
        <f>Renewables!D16</f>
        <v>0</v>
      </c>
      <c r="K11" s="193">
        <f>Renewables!E16</f>
        <v>0</v>
      </c>
      <c r="L11" s="193">
        <f>Renewables!F16</f>
        <v>0</v>
      </c>
      <c r="M11" s="193">
        <f>Renewables!G16</f>
        <v>0</v>
      </c>
      <c r="N11" s="193">
        <f>Renewables!H16</f>
        <v>0</v>
      </c>
      <c r="O11" s="193" t="str">
        <f>Renewables!I16</f>
        <v/>
      </c>
      <c r="P11" s="193">
        <f>Renewables!J16</f>
        <v>0</v>
      </c>
      <c r="Q11" s="193">
        <f>Renewables!K16</f>
        <v>0</v>
      </c>
      <c r="R11" s="193">
        <f>Renewables!L16</f>
        <v>0</v>
      </c>
      <c r="S11" s="193">
        <f>Renewables!M16</f>
        <v>0</v>
      </c>
      <c r="T11" s="193">
        <f>Renewables!N16</f>
        <v>0</v>
      </c>
      <c r="U11" s="193">
        <f>Renewables!O16</f>
        <v>0</v>
      </c>
      <c r="V11" s="193">
        <f>Renewables!P16</f>
        <v>0</v>
      </c>
      <c r="W11" s="193">
        <f>Renewables!Q16</f>
        <v>0</v>
      </c>
      <c r="X11" s="193">
        <f>Renewables!R16</f>
        <v>0</v>
      </c>
    </row>
    <row r="12" spans="2:24" x14ac:dyDescent="0.35">
      <c r="B12" s="239" t="e">
        <f>"2025"&amp;MATCH(Totals!D847,OrgType,0)&amp;"_"&amp;MATCH(Totals!E847,Organisations,0)&amp;"_"&amp;LEFT(Totals!F847,1)&amp;"_"&amp;LEFT(G12,1)&amp;"_"&amp;COUNTIF($G$3:G12,G12)</f>
        <v>#N/A</v>
      </c>
      <c r="C12" s="193">
        <v>2025</v>
      </c>
      <c r="D12" s="193">
        <f>Introduction!$D$7</f>
        <v>0</v>
      </c>
      <c r="E12" s="193">
        <f>Introduction!$D$8</f>
        <v>0</v>
      </c>
      <c r="F12" s="193" t="s">
        <v>143</v>
      </c>
      <c r="G12" s="193" t="s">
        <v>499</v>
      </c>
      <c r="H12" s="193">
        <f>Renewables!B17</f>
        <v>0</v>
      </c>
      <c r="I12" s="193">
        <f>Renewables!C17</f>
        <v>0</v>
      </c>
      <c r="J12" s="193">
        <f>Renewables!D17</f>
        <v>0</v>
      </c>
      <c r="K12" s="193">
        <f>Renewables!E17</f>
        <v>0</v>
      </c>
      <c r="L12" s="193">
        <f>Renewables!F17</f>
        <v>0</v>
      </c>
      <c r="M12" s="193">
        <f>Renewables!G17</f>
        <v>0</v>
      </c>
      <c r="N12" s="193">
        <f>Renewables!H17</f>
        <v>0</v>
      </c>
      <c r="O12" s="193" t="str">
        <f>Renewables!I17</f>
        <v/>
      </c>
      <c r="P12" s="193">
        <f>Renewables!J17</f>
        <v>0</v>
      </c>
      <c r="Q12" s="193">
        <f>Renewables!K17</f>
        <v>0</v>
      </c>
      <c r="R12" s="193">
        <f>Renewables!L17</f>
        <v>0</v>
      </c>
      <c r="S12" s="193">
        <f>Renewables!M17</f>
        <v>0</v>
      </c>
      <c r="T12" s="193">
        <f>Renewables!N17</f>
        <v>0</v>
      </c>
      <c r="U12" s="193">
        <f>Renewables!O17</f>
        <v>0</v>
      </c>
      <c r="V12" s="193">
        <f>Renewables!P17</f>
        <v>0</v>
      </c>
      <c r="W12" s="193">
        <f>Renewables!Q17</f>
        <v>0</v>
      </c>
      <c r="X12" s="193">
        <f>Renewables!R17</f>
        <v>0</v>
      </c>
    </row>
    <row r="13" spans="2:24" x14ac:dyDescent="0.35">
      <c r="B13" s="239" t="e">
        <f>"2025"&amp;MATCH(Totals!D848,OrgType,0)&amp;"_"&amp;MATCH(Totals!E848,Organisations,0)&amp;"_"&amp;LEFT(Totals!F848,1)&amp;"_"&amp;LEFT(G13,1)&amp;"_"&amp;COUNTIF($G$3:G13,G13)</f>
        <v>#N/A</v>
      </c>
      <c r="C13" s="239">
        <v>2025</v>
      </c>
      <c r="D13" s="239">
        <f>Introduction!$D$7</f>
        <v>0</v>
      </c>
      <c r="E13" s="239">
        <f>Introduction!$D$8</f>
        <v>0</v>
      </c>
      <c r="F13" s="193" t="s">
        <v>143</v>
      </c>
      <c r="G13" s="193" t="s">
        <v>499</v>
      </c>
      <c r="H13" s="193">
        <f>Renewables!B18</f>
        <v>0</v>
      </c>
      <c r="I13" s="193">
        <f>Renewables!C18</f>
        <v>0</v>
      </c>
      <c r="J13" s="193">
        <f>Renewables!D18</f>
        <v>0</v>
      </c>
      <c r="K13" s="193">
        <f>Renewables!E18</f>
        <v>0</v>
      </c>
      <c r="L13" s="193">
        <f>Renewables!F18</f>
        <v>0</v>
      </c>
      <c r="M13" s="193">
        <f>Renewables!G18</f>
        <v>0</v>
      </c>
      <c r="N13" s="193">
        <f>Renewables!H18</f>
        <v>0</v>
      </c>
      <c r="O13" s="193" t="str">
        <f>Renewables!I18</f>
        <v/>
      </c>
      <c r="P13" s="193">
        <f>Renewables!J18</f>
        <v>0</v>
      </c>
      <c r="Q13" s="193">
        <f>Renewables!K18</f>
        <v>0</v>
      </c>
      <c r="R13" s="193">
        <f>Renewables!L18</f>
        <v>0</v>
      </c>
      <c r="S13" s="193">
        <f>Renewables!M18</f>
        <v>0</v>
      </c>
      <c r="T13" s="193">
        <f>Renewables!N18</f>
        <v>0</v>
      </c>
      <c r="U13" s="193">
        <f>Renewables!O18</f>
        <v>0</v>
      </c>
      <c r="V13" s="193">
        <f>Renewables!P18</f>
        <v>0</v>
      </c>
      <c r="W13" s="193">
        <f>Renewables!Q18</f>
        <v>0</v>
      </c>
      <c r="X13" s="193">
        <f>Renewables!R18</f>
        <v>0</v>
      </c>
    </row>
    <row r="14" spans="2:24" x14ac:dyDescent="0.35">
      <c r="B14" s="239" t="e">
        <f>"2025"&amp;MATCH(Totals!D849,OrgType,0)&amp;"_"&amp;MATCH(Totals!E849,Organisations,0)&amp;"_"&amp;LEFT(Totals!F849,1)&amp;"_"&amp;LEFT(G14,1)&amp;"_"&amp;COUNTIF($G$3:G14,G14)</f>
        <v>#N/A</v>
      </c>
      <c r="C14" s="193">
        <v>2025</v>
      </c>
      <c r="D14" s="193">
        <f>Introduction!$D$7</f>
        <v>0</v>
      </c>
      <c r="E14" s="193">
        <f>Introduction!$D$8</f>
        <v>0</v>
      </c>
      <c r="F14" s="193" t="s">
        <v>143</v>
      </c>
      <c r="G14" s="193" t="s">
        <v>499</v>
      </c>
      <c r="H14" s="193">
        <f>Renewables!B19</f>
        <v>0</v>
      </c>
      <c r="I14" s="193">
        <f>Renewables!C19</f>
        <v>0</v>
      </c>
      <c r="J14" s="193">
        <f>Renewables!D19</f>
        <v>0</v>
      </c>
      <c r="K14" s="193">
        <f>Renewables!E19</f>
        <v>0</v>
      </c>
      <c r="L14" s="193">
        <f>Renewables!F19</f>
        <v>0</v>
      </c>
      <c r="M14" s="193">
        <f>Renewables!G19</f>
        <v>0</v>
      </c>
      <c r="N14" s="193">
        <f>Renewables!H19</f>
        <v>0</v>
      </c>
      <c r="O14" s="193" t="str">
        <f>Renewables!I19</f>
        <v/>
      </c>
      <c r="P14" s="193">
        <f>Renewables!J19</f>
        <v>0</v>
      </c>
      <c r="Q14" s="193">
        <f>Renewables!K19</f>
        <v>0</v>
      </c>
      <c r="R14" s="193">
        <f>Renewables!L19</f>
        <v>0</v>
      </c>
      <c r="S14" s="193">
        <f>Renewables!M19</f>
        <v>0</v>
      </c>
      <c r="T14" s="193">
        <f>Renewables!N19</f>
        <v>0</v>
      </c>
      <c r="U14" s="193">
        <f>Renewables!O19</f>
        <v>0</v>
      </c>
      <c r="V14" s="193">
        <f>Renewables!P19</f>
        <v>0</v>
      </c>
      <c r="W14" s="193">
        <f>Renewables!Q19</f>
        <v>0</v>
      </c>
      <c r="X14" s="193">
        <f>Renewables!R19</f>
        <v>0</v>
      </c>
    </row>
    <row r="15" spans="2:24" x14ac:dyDescent="0.35">
      <c r="B15" s="239" t="e">
        <f>"2025"&amp;MATCH(Totals!D850,OrgType,0)&amp;"_"&amp;MATCH(Totals!E850,Organisations,0)&amp;"_"&amp;LEFT(Totals!F850,1)&amp;"_"&amp;LEFT(G15,1)&amp;"_"&amp;COUNTIF($G$3:G15,G15)</f>
        <v>#N/A</v>
      </c>
      <c r="C15" s="239">
        <v>2025</v>
      </c>
      <c r="D15" s="239">
        <f>Introduction!$D$7</f>
        <v>0</v>
      </c>
      <c r="E15" s="239">
        <f>Introduction!$D$8</f>
        <v>0</v>
      </c>
      <c r="F15" s="193" t="s">
        <v>143</v>
      </c>
      <c r="G15" s="193" t="s">
        <v>499</v>
      </c>
      <c r="H15" s="193">
        <f>Renewables!B20</f>
        <v>0</v>
      </c>
      <c r="I15" s="193">
        <f>Renewables!C20</f>
        <v>0</v>
      </c>
      <c r="J15" s="193">
        <f>Renewables!D20</f>
        <v>0</v>
      </c>
      <c r="K15" s="193">
        <f>Renewables!E20</f>
        <v>0</v>
      </c>
      <c r="L15" s="193">
        <f>Renewables!F20</f>
        <v>0</v>
      </c>
      <c r="M15" s="193">
        <f>Renewables!G20</f>
        <v>0</v>
      </c>
      <c r="N15" s="193">
        <f>Renewables!H20</f>
        <v>0</v>
      </c>
      <c r="O15" s="193" t="str">
        <f>Renewables!I20</f>
        <v/>
      </c>
      <c r="P15" s="193">
        <f>Renewables!J20</f>
        <v>0</v>
      </c>
      <c r="Q15" s="193">
        <f>Renewables!K20</f>
        <v>0</v>
      </c>
      <c r="R15" s="193">
        <f>Renewables!L20</f>
        <v>0</v>
      </c>
      <c r="S15" s="193">
        <f>Renewables!M20</f>
        <v>0</v>
      </c>
      <c r="T15" s="193">
        <f>Renewables!N20</f>
        <v>0</v>
      </c>
      <c r="U15" s="193">
        <f>Renewables!O20</f>
        <v>0</v>
      </c>
      <c r="V15" s="193">
        <f>Renewables!P20</f>
        <v>0</v>
      </c>
      <c r="W15" s="193">
        <f>Renewables!Q20</f>
        <v>0</v>
      </c>
      <c r="X15" s="193">
        <f>Renewables!R20</f>
        <v>0</v>
      </c>
    </row>
    <row r="16" spans="2:24" x14ac:dyDescent="0.35">
      <c r="B16" s="239" t="e">
        <f>"2025"&amp;MATCH(Totals!D851,OrgType,0)&amp;"_"&amp;MATCH(Totals!E851,Organisations,0)&amp;"_"&amp;LEFT(Totals!F851,1)&amp;"_"&amp;LEFT(G16,1)&amp;"_"&amp;COUNTIF($G$3:G16,G16)</f>
        <v>#N/A</v>
      </c>
      <c r="C16" s="193">
        <v>2025</v>
      </c>
      <c r="D16" s="193">
        <f>Introduction!$D$7</f>
        <v>0</v>
      </c>
      <c r="E16" s="193">
        <f>Introduction!$D$8</f>
        <v>0</v>
      </c>
      <c r="F16" s="193" t="s">
        <v>143</v>
      </c>
      <c r="G16" s="193" t="s">
        <v>499</v>
      </c>
      <c r="H16" s="193">
        <f>Renewables!B21</f>
        <v>0</v>
      </c>
      <c r="I16" s="193">
        <f>Renewables!C21</f>
        <v>0</v>
      </c>
      <c r="J16" s="193">
        <f>Renewables!D21</f>
        <v>0</v>
      </c>
      <c r="K16" s="193">
        <f>Renewables!E21</f>
        <v>0</v>
      </c>
      <c r="L16" s="193">
        <f>Renewables!F21</f>
        <v>0</v>
      </c>
      <c r="M16" s="193">
        <f>Renewables!G21</f>
        <v>0</v>
      </c>
      <c r="N16" s="193">
        <f>Renewables!H21</f>
        <v>0</v>
      </c>
      <c r="O16" s="193" t="str">
        <f>Renewables!I21</f>
        <v/>
      </c>
      <c r="P16" s="193">
        <f>Renewables!J21</f>
        <v>0</v>
      </c>
      <c r="Q16" s="193">
        <f>Renewables!K21</f>
        <v>0</v>
      </c>
      <c r="R16" s="193">
        <f>Renewables!L21</f>
        <v>0</v>
      </c>
      <c r="S16" s="193">
        <f>Renewables!M21</f>
        <v>0</v>
      </c>
      <c r="T16" s="193">
        <f>Renewables!N21</f>
        <v>0</v>
      </c>
      <c r="U16" s="193">
        <f>Renewables!O21</f>
        <v>0</v>
      </c>
      <c r="V16" s="193">
        <f>Renewables!P21</f>
        <v>0</v>
      </c>
      <c r="W16" s="193">
        <f>Renewables!Q21</f>
        <v>0</v>
      </c>
      <c r="X16" s="193">
        <f>Renewables!R21</f>
        <v>0</v>
      </c>
    </row>
    <row r="17" spans="2:24" x14ac:dyDescent="0.35">
      <c r="B17" s="239" t="e">
        <f>"2025"&amp;MATCH(Totals!D852,OrgType,0)&amp;"_"&amp;MATCH(Totals!E852,Organisations,0)&amp;"_"&amp;LEFT(Totals!F852,1)&amp;"_"&amp;LEFT(G17,1)&amp;"_"&amp;COUNTIF($G$3:G17,G17)</f>
        <v>#N/A</v>
      </c>
      <c r="C17" s="239">
        <v>2025</v>
      </c>
      <c r="D17" s="239">
        <f>Introduction!$D$7</f>
        <v>0</v>
      </c>
      <c r="E17" s="239">
        <f>Introduction!$D$8</f>
        <v>0</v>
      </c>
      <c r="F17" s="193" t="s">
        <v>143</v>
      </c>
      <c r="G17" s="193" t="s">
        <v>499</v>
      </c>
      <c r="H17" s="193">
        <f>Renewables!B22</f>
        <v>0</v>
      </c>
      <c r="I17" s="193">
        <f>Renewables!C22</f>
        <v>0</v>
      </c>
      <c r="J17" s="193">
        <f>Renewables!D22</f>
        <v>0</v>
      </c>
      <c r="K17" s="193">
        <f>Renewables!E22</f>
        <v>0</v>
      </c>
      <c r="L17" s="193">
        <f>Renewables!F22</f>
        <v>0</v>
      </c>
      <c r="M17" s="193">
        <f>Renewables!G22</f>
        <v>0</v>
      </c>
      <c r="N17" s="193">
        <f>Renewables!H22</f>
        <v>0</v>
      </c>
      <c r="O17" s="193" t="str">
        <f>Renewables!I22</f>
        <v/>
      </c>
      <c r="P17" s="193">
        <f>Renewables!J22</f>
        <v>0</v>
      </c>
      <c r="Q17" s="193">
        <f>Renewables!K22</f>
        <v>0</v>
      </c>
      <c r="R17" s="193">
        <f>Renewables!L22</f>
        <v>0</v>
      </c>
      <c r="S17" s="193">
        <f>Renewables!M22</f>
        <v>0</v>
      </c>
      <c r="T17" s="193">
        <f>Renewables!N22</f>
        <v>0</v>
      </c>
      <c r="U17" s="193">
        <f>Renewables!O22</f>
        <v>0</v>
      </c>
      <c r="V17" s="193">
        <f>Renewables!P22</f>
        <v>0</v>
      </c>
      <c r="W17" s="193">
        <f>Renewables!Q22</f>
        <v>0</v>
      </c>
      <c r="X17" s="193">
        <f>Renewables!R22</f>
        <v>0</v>
      </c>
    </row>
    <row r="18" spans="2:24" x14ac:dyDescent="0.35">
      <c r="B18" s="239" t="e">
        <f>"2025"&amp;MATCH(Totals!D853,OrgType,0)&amp;"_"&amp;MATCH(Totals!E853,Organisations,0)&amp;"_"&amp;LEFT(Totals!F853,1)&amp;"_"&amp;LEFT(G18,1)&amp;"_"&amp;COUNTIF($G$3:G18,G18)</f>
        <v>#N/A</v>
      </c>
      <c r="C18" s="193">
        <v>2025</v>
      </c>
      <c r="D18" s="193">
        <f>Introduction!$D$7</f>
        <v>0</v>
      </c>
      <c r="E18" s="193">
        <f>Introduction!$D$8</f>
        <v>0</v>
      </c>
      <c r="F18" s="193" t="s">
        <v>143</v>
      </c>
      <c r="G18" s="193" t="s">
        <v>499</v>
      </c>
      <c r="H18" s="193">
        <f>Renewables!B23</f>
        <v>0</v>
      </c>
      <c r="I18" s="193">
        <f>Renewables!C23</f>
        <v>0</v>
      </c>
      <c r="J18" s="193">
        <f>Renewables!D23</f>
        <v>0</v>
      </c>
      <c r="K18" s="193">
        <f>Renewables!E23</f>
        <v>0</v>
      </c>
      <c r="L18" s="193">
        <f>Renewables!F23</f>
        <v>0</v>
      </c>
      <c r="M18" s="193">
        <f>Renewables!G23</f>
        <v>0</v>
      </c>
      <c r="N18" s="193">
        <f>Renewables!H23</f>
        <v>0</v>
      </c>
      <c r="O18" s="193" t="str">
        <f>Renewables!I23</f>
        <v/>
      </c>
      <c r="P18" s="193">
        <f>Renewables!J23</f>
        <v>0</v>
      </c>
      <c r="Q18" s="193">
        <f>Renewables!K23</f>
        <v>0</v>
      </c>
      <c r="R18" s="193">
        <f>Renewables!L23</f>
        <v>0</v>
      </c>
      <c r="S18" s="193">
        <f>Renewables!M23</f>
        <v>0</v>
      </c>
      <c r="T18" s="193">
        <f>Renewables!N23</f>
        <v>0</v>
      </c>
      <c r="U18" s="193">
        <f>Renewables!O23</f>
        <v>0</v>
      </c>
      <c r="V18" s="193">
        <f>Renewables!P23</f>
        <v>0</v>
      </c>
      <c r="W18" s="193">
        <f>Renewables!Q23</f>
        <v>0</v>
      </c>
      <c r="X18" s="193">
        <f>Renewables!R23</f>
        <v>0</v>
      </c>
    </row>
    <row r="19" spans="2:24" x14ac:dyDescent="0.35">
      <c r="B19" s="239" t="e">
        <f>"2025"&amp;MATCH(Totals!D854,OrgType,0)&amp;"_"&amp;MATCH(Totals!E854,Organisations,0)&amp;"_"&amp;LEFT(Totals!F854,1)&amp;"_"&amp;LEFT(G19,1)&amp;"_"&amp;COUNTIF($G$3:G19,G19)</f>
        <v>#N/A</v>
      </c>
      <c r="C19" s="239">
        <v>2025</v>
      </c>
      <c r="D19" s="239">
        <f>Introduction!$D$7</f>
        <v>0</v>
      </c>
      <c r="E19" s="239">
        <f>Introduction!$D$8</f>
        <v>0</v>
      </c>
      <c r="F19" s="193" t="s">
        <v>143</v>
      </c>
      <c r="G19" s="193" t="s">
        <v>499</v>
      </c>
      <c r="H19" s="193">
        <f>Renewables!B24</f>
        <v>0</v>
      </c>
      <c r="I19" s="193">
        <f>Renewables!C24</f>
        <v>0</v>
      </c>
      <c r="J19" s="193">
        <f>Renewables!D24</f>
        <v>0</v>
      </c>
      <c r="K19" s="193">
        <f>Renewables!E24</f>
        <v>0</v>
      </c>
      <c r="L19" s="193">
        <f>Renewables!F24</f>
        <v>0</v>
      </c>
      <c r="M19" s="193">
        <f>Renewables!G24</f>
        <v>0</v>
      </c>
      <c r="N19" s="193">
        <f>Renewables!H24</f>
        <v>0</v>
      </c>
      <c r="O19" s="193" t="str">
        <f>Renewables!I24</f>
        <v/>
      </c>
      <c r="P19" s="193">
        <f>Renewables!J24</f>
        <v>0</v>
      </c>
      <c r="Q19" s="193">
        <f>Renewables!K24</f>
        <v>0</v>
      </c>
      <c r="R19" s="193">
        <f>Renewables!L24</f>
        <v>0</v>
      </c>
      <c r="S19" s="193">
        <f>Renewables!M24</f>
        <v>0</v>
      </c>
      <c r="T19" s="193">
        <f>Renewables!N24</f>
        <v>0</v>
      </c>
      <c r="U19" s="193">
        <f>Renewables!O24</f>
        <v>0</v>
      </c>
      <c r="V19" s="193">
        <f>Renewables!P24</f>
        <v>0</v>
      </c>
      <c r="W19" s="193">
        <f>Renewables!Q24</f>
        <v>0</v>
      </c>
      <c r="X19" s="193">
        <f>Renewables!R24</f>
        <v>0</v>
      </c>
    </row>
    <row r="20" spans="2:24" x14ac:dyDescent="0.35">
      <c r="B20" s="239" t="e">
        <f>"2025"&amp;MATCH(Totals!D855,OrgType,0)&amp;"_"&amp;MATCH(Totals!E855,Organisations,0)&amp;"_"&amp;LEFT(Totals!F855,1)&amp;"_"&amp;LEFT(G20,1)&amp;"_"&amp;COUNTIF($G$3:G20,G20)</f>
        <v>#N/A</v>
      </c>
      <c r="C20" s="193">
        <v>2025</v>
      </c>
      <c r="D20" s="193">
        <f>Introduction!$D$7</f>
        <v>0</v>
      </c>
      <c r="E20" s="193">
        <f>Introduction!$D$8</f>
        <v>0</v>
      </c>
      <c r="F20" s="193" t="s">
        <v>143</v>
      </c>
      <c r="G20" s="193" t="s">
        <v>499</v>
      </c>
      <c r="H20" s="193">
        <f>Renewables!B25</f>
        <v>0</v>
      </c>
      <c r="I20" s="193">
        <f>Renewables!C25</f>
        <v>0</v>
      </c>
      <c r="J20" s="193">
        <f>Renewables!D25</f>
        <v>0</v>
      </c>
      <c r="K20" s="193">
        <f>Renewables!E25</f>
        <v>0</v>
      </c>
      <c r="L20" s="193">
        <f>Renewables!F25</f>
        <v>0</v>
      </c>
      <c r="M20" s="193">
        <f>Renewables!G25</f>
        <v>0</v>
      </c>
      <c r="N20" s="193">
        <f>Renewables!H25</f>
        <v>0</v>
      </c>
      <c r="O20" s="193" t="str">
        <f>Renewables!I25</f>
        <v/>
      </c>
      <c r="P20" s="193">
        <f>Renewables!J25</f>
        <v>0</v>
      </c>
      <c r="Q20" s="193">
        <f>Renewables!K25</f>
        <v>0</v>
      </c>
      <c r="R20" s="193">
        <f>Renewables!L25</f>
        <v>0</v>
      </c>
      <c r="S20" s="193">
        <f>Renewables!M25</f>
        <v>0</v>
      </c>
      <c r="T20" s="193">
        <f>Renewables!N25</f>
        <v>0</v>
      </c>
      <c r="U20" s="193">
        <f>Renewables!O25</f>
        <v>0</v>
      </c>
      <c r="V20" s="193">
        <f>Renewables!P25</f>
        <v>0</v>
      </c>
      <c r="W20" s="193">
        <f>Renewables!Q25</f>
        <v>0</v>
      </c>
      <c r="X20" s="193">
        <f>Renewables!R25</f>
        <v>0</v>
      </c>
    </row>
    <row r="21" spans="2:24" x14ac:dyDescent="0.35">
      <c r="B21" s="239" t="e">
        <f>"2025"&amp;MATCH(Totals!D856,OrgType,0)&amp;"_"&amp;MATCH(Totals!E856,Organisations,0)&amp;"_"&amp;LEFT(Totals!F856,1)&amp;"_"&amp;LEFT(G21,1)&amp;"_"&amp;COUNTIF($G$3:G21,G21)</f>
        <v>#N/A</v>
      </c>
      <c r="C21" s="239">
        <v>2025</v>
      </c>
      <c r="D21" s="239">
        <f>Introduction!$D$7</f>
        <v>0</v>
      </c>
      <c r="E21" s="239">
        <f>Introduction!$D$8</f>
        <v>0</v>
      </c>
      <c r="F21" s="193" t="s">
        <v>143</v>
      </c>
      <c r="G21" s="193" t="s">
        <v>499</v>
      </c>
      <c r="H21" s="193">
        <f>Renewables!B26</f>
        <v>0</v>
      </c>
      <c r="I21" s="193">
        <f>Renewables!C26</f>
        <v>0</v>
      </c>
      <c r="J21" s="193">
        <f>Renewables!D26</f>
        <v>0</v>
      </c>
      <c r="K21" s="193">
        <f>Renewables!E26</f>
        <v>0</v>
      </c>
      <c r="L21" s="193">
        <f>Renewables!F26</f>
        <v>0</v>
      </c>
      <c r="M21" s="193">
        <f>Renewables!G26</f>
        <v>0</v>
      </c>
      <c r="N21" s="193">
        <f>Renewables!H26</f>
        <v>0</v>
      </c>
      <c r="O21" s="193" t="str">
        <f>Renewables!I26</f>
        <v/>
      </c>
      <c r="P21" s="193">
        <f>Renewables!J26</f>
        <v>0</v>
      </c>
      <c r="Q21" s="193">
        <f>Renewables!K26</f>
        <v>0</v>
      </c>
      <c r="R21" s="193">
        <f>Renewables!L26</f>
        <v>0</v>
      </c>
      <c r="S21" s="193">
        <f>Renewables!M26</f>
        <v>0</v>
      </c>
      <c r="T21" s="193">
        <f>Renewables!N26</f>
        <v>0</v>
      </c>
      <c r="U21" s="193">
        <f>Renewables!O26</f>
        <v>0</v>
      </c>
      <c r="V21" s="193">
        <f>Renewables!P26</f>
        <v>0</v>
      </c>
      <c r="W21" s="193">
        <f>Renewables!Q26</f>
        <v>0</v>
      </c>
      <c r="X21" s="193">
        <f>Renewables!R26</f>
        <v>0</v>
      </c>
    </row>
    <row r="22" spans="2:24" x14ac:dyDescent="0.35">
      <c r="B22" s="239" t="e">
        <f>"2025"&amp;MATCH(Totals!D857,OrgType,0)&amp;"_"&amp;MATCH(Totals!E857,Organisations,0)&amp;"_"&amp;LEFT(Totals!F857,1)&amp;"_"&amp;LEFT(G22,1)&amp;"_"&amp;COUNTIF($G$3:G22,G22)</f>
        <v>#N/A</v>
      </c>
      <c r="C22" s="193">
        <v>2025</v>
      </c>
      <c r="D22" s="193">
        <f>Introduction!$D$7</f>
        <v>0</v>
      </c>
      <c r="E22" s="193">
        <f>Introduction!$D$8</f>
        <v>0</v>
      </c>
      <c r="F22" s="193" t="s">
        <v>143</v>
      </c>
      <c r="G22" s="193" t="s">
        <v>499</v>
      </c>
      <c r="H22" s="193">
        <f>Renewables!B27</f>
        <v>0</v>
      </c>
      <c r="I22" s="193">
        <f>Renewables!C27</f>
        <v>0</v>
      </c>
      <c r="J22" s="193">
        <f>Renewables!D27</f>
        <v>0</v>
      </c>
      <c r="K22" s="193">
        <f>Renewables!E27</f>
        <v>0</v>
      </c>
      <c r="L22" s="193">
        <f>Renewables!F27</f>
        <v>0</v>
      </c>
      <c r="M22" s="193">
        <f>Renewables!G27</f>
        <v>0</v>
      </c>
      <c r="N22" s="193">
        <f>Renewables!H27</f>
        <v>0</v>
      </c>
      <c r="O22" s="193" t="str">
        <f>Renewables!I27</f>
        <v/>
      </c>
      <c r="P22" s="193">
        <f>Renewables!J27</f>
        <v>0</v>
      </c>
      <c r="Q22" s="193">
        <f>Renewables!K27</f>
        <v>0</v>
      </c>
      <c r="R22" s="193">
        <f>Renewables!L27</f>
        <v>0</v>
      </c>
      <c r="S22" s="193">
        <f>Renewables!M27</f>
        <v>0</v>
      </c>
      <c r="T22" s="193">
        <f>Renewables!N27</f>
        <v>0</v>
      </c>
      <c r="U22" s="193">
        <f>Renewables!O27</f>
        <v>0</v>
      </c>
      <c r="V22" s="193">
        <f>Renewables!P27</f>
        <v>0</v>
      </c>
      <c r="W22" s="193">
        <f>Renewables!Q27</f>
        <v>0</v>
      </c>
      <c r="X22" s="193">
        <f>Renewables!R27</f>
        <v>0</v>
      </c>
    </row>
    <row r="23" spans="2:24" x14ac:dyDescent="0.35">
      <c r="B23" s="239" t="e">
        <f>"2025"&amp;MATCH(Totals!D858,OrgType,0)&amp;"_"&amp;MATCH(Totals!E858,Organisations,0)&amp;"_"&amp;LEFT(Totals!F858,1)&amp;"_"&amp;LEFT(G23,1)&amp;"_"&amp;COUNTIF($G$3:G23,G23)</f>
        <v>#N/A</v>
      </c>
      <c r="C23" s="239">
        <v>2025</v>
      </c>
      <c r="D23" s="239">
        <f>Introduction!$D$7</f>
        <v>0</v>
      </c>
      <c r="E23" s="239">
        <f>Introduction!$D$8</f>
        <v>0</v>
      </c>
      <c r="F23" s="193" t="s">
        <v>143</v>
      </c>
      <c r="G23" s="193" t="s">
        <v>499</v>
      </c>
      <c r="H23" s="193">
        <f>Renewables!B28</f>
        <v>0</v>
      </c>
      <c r="I23" s="193">
        <f>Renewables!C28</f>
        <v>0</v>
      </c>
      <c r="J23" s="193">
        <f>Renewables!D28</f>
        <v>0</v>
      </c>
      <c r="K23" s="193">
        <f>Renewables!E28</f>
        <v>0</v>
      </c>
      <c r="L23" s="193">
        <f>Renewables!F28</f>
        <v>0</v>
      </c>
      <c r="M23" s="193">
        <f>Renewables!G28</f>
        <v>0</v>
      </c>
      <c r="N23" s="193">
        <f>Renewables!H28</f>
        <v>0</v>
      </c>
      <c r="O23" s="193" t="str">
        <f>Renewables!I28</f>
        <v/>
      </c>
      <c r="P23" s="193">
        <f>Renewables!J28</f>
        <v>0</v>
      </c>
      <c r="Q23" s="193">
        <f>Renewables!K28</f>
        <v>0</v>
      </c>
      <c r="R23" s="193">
        <f>Renewables!L28</f>
        <v>0</v>
      </c>
      <c r="S23" s="193">
        <f>Renewables!M28</f>
        <v>0</v>
      </c>
      <c r="T23" s="193">
        <f>Renewables!N28</f>
        <v>0</v>
      </c>
      <c r="U23" s="193">
        <f>Renewables!O28</f>
        <v>0</v>
      </c>
      <c r="V23" s="193">
        <f>Renewables!P28</f>
        <v>0</v>
      </c>
      <c r="W23" s="193">
        <f>Renewables!Q28</f>
        <v>0</v>
      </c>
      <c r="X23" s="193">
        <f>Renewables!R28</f>
        <v>0</v>
      </c>
    </row>
    <row r="24" spans="2:24" x14ac:dyDescent="0.35">
      <c r="B24" s="239" t="e">
        <f>"2025"&amp;MATCH(Totals!D859,OrgType,0)&amp;"_"&amp;MATCH(Totals!E859,Organisations,0)&amp;"_"&amp;LEFT(Totals!F859,1)&amp;"_"&amp;LEFT(G24,1)&amp;"_"&amp;COUNTIF($G$3:G24,G24)</f>
        <v>#N/A</v>
      </c>
      <c r="C24" s="193">
        <v>2025</v>
      </c>
      <c r="D24" s="193">
        <f>Introduction!$D$7</f>
        <v>0</v>
      </c>
      <c r="E24" s="193">
        <f>Introduction!$D$8</f>
        <v>0</v>
      </c>
      <c r="F24" s="193" t="s">
        <v>143</v>
      </c>
      <c r="G24" s="193" t="s">
        <v>499</v>
      </c>
      <c r="H24" s="193">
        <f>Renewables!B29</f>
        <v>0</v>
      </c>
      <c r="I24" s="193">
        <f>Renewables!C29</f>
        <v>0</v>
      </c>
      <c r="J24" s="193">
        <f>Renewables!D29</f>
        <v>0</v>
      </c>
      <c r="K24" s="193">
        <f>Renewables!E29</f>
        <v>0</v>
      </c>
      <c r="L24" s="193">
        <f>Renewables!F29</f>
        <v>0</v>
      </c>
      <c r="M24" s="193">
        <f>Renewables!G29</f>
        <v>0</v>
      </c>
      <c r="N24" s="193">
        <f>Renewables!H29</f>
        <v>0</v>
      </c>
      <c r="O24" s="193" t="str">
        <f>Renewables!I29</f>
        <v/>
      </c>
      <c r="P24" s="193">
        <f>Renewables!J29</f>
        <v>0</v>
      </c>
      <c r="Q24" s="193">
        <f>Renewables!K29</f>
        <v>0</v>
      </c>
      <c r="R24" s="193">
        <f>Renewables!L29</f>
        <v>0</v>
      </c>
      <c r="S24" s="193">
        <f>Renewables!M29</f>
        <v>0</v>
      </c>
      <c r="T24" s="193">
        <f>Renewables!N29</f>
        <v>0</v>
      </c>
      <c r="U24" s="193">
        <f>Renewables!O29</f>
        <v>0</v>
      </c>
      <c r="V24" s="193">
        <f>Renewables!P29</f>
        <v>0</v>
      </c>
      <c r="W24" s="193">
        <f>Renewables!Q29</f>
        <v>0</v>
      </c>
      <c r="X24" s="193">
        <f>Renewables!R29</f>
        <v>0</v>
      </c>
    </row>
    <row r="25" spans="2:24" x14ac:dyDescent="0.35">
      <c r="B25" s="239" t="e">
        <f>"2025"&amp;MATCH(Totals!D860,OrgType,0)&amp;"_"&amp;MATCH(Totals!E860,Organisations,0)&amp;"_"&amp;LEFT(Totals!F860,1)&amp;"_"&amp;LEFT(G25,1)&amp;"_"&amp;COUNTIF($G$3:G25,G25)</f>
        <v>#N/A</v>
      </c>
      <c r="C25" s="239">
        <v>2025</v>
      </c>
      <c r="D25" s="239">
        <f>Introduction!$D$7</f>
        <v>0</v>
      </c>
      <c r="E25" s="239">
        <f>Introduction!$D$8</f>
        <v>0</v>
      </c>
      <c r="F25" s="193" t="s">
        <v>143</v>
      </c>
      <c r="G25" s="193" t="s">
        <v>499</v>
      </c>
      <c r="H25" s="193">
        <f>Renewables!B30</f>
        <v>0</v>
      </c>
      <c r="I25" s="193">
        <f>Renewables!C30</f>
        <v>0</v>
      </c>
      <c r="J25" s="193">
        <f>Renewables!D30</f>
        <v>0</v>
      </c>
      <c r="K25" s="193">
        <f>Renewables!E30</f>
        <v>0</v>
      </c>
      <c r="L25" s="193">
        <f>Renewables!F30</f>
        <v>0</v>
      </c>
      <c r="M25" s="193">
        <f>Renewables!G30</f>
        <v>0</v>
      </c>
      <c r="N25" s="193">
        <f>Renewables!H30</f>
        <v>0</v>
      </c>
      <c r="O25" s="193" t="str">
        <f>Renewables!I30</f>
        <v/>
      </c>
      <c r="P25" s="193">
        <f>Renewables!J30</f>
        <v>0</v>
      </c>
      <c r="Q25" s="193">
        <f>Renewables!K30</f>
        <v>0</v>
      </c>
      <c r="R25" s="193">
        <f>Renewables!L30</f>
        <v>0</v>
      </c>
      <c r="S25" s="193">
        <f>Renewables!M30</f>
        <v>0</v>
      </c>
      <c r="T25" s="193">
        <f>Renewables!N30</f>
        <v>0</v>
      </c>
      <c r="U25" s="193">
        <f>Renewables!O30</f>
        <v>0</v>
      </c>
      <c r="V25" s="193">
        <f>Renewables!P30</f>
        <v>0</v>
      </c>
      <c r="W25" s="193">
        <f>Renewables!Q30</f>
        <v>0</v>
      </c>
      <c r="X25" s="193">
        <f>Renewables!R30</f>
        <v>0</v>
      </c>
    </row>
    <row r="26" spans="2:24" x14ac:dyDescent="0.35">
      <c r="B26" s="239" t="e">
        <f>"2025"&amp;MATCH(Totals!D861,OrgType,0)&amp;"_"&amp;MATCH(Totals!E861,Organisations,0)&amp;"_"&amp;LEFT(Totals!F861,1)&amp;"_"&amp;LEFT(G26,1)&amp;"_"&amp;COUNTIF($G$3:G26,G26)</f>
        <v>#N/A</v>
      </c>
      <c r="C26" s="193">
        <v>2025</v>
      </c>
      <c r="D26" s="193">
        <f>Introduction!$D$7</f>
        <v>0</v>
      </c>
      <c r="E26" s="193">
        <f>Introduction!$D$8</f>
        <v>0</v>
      </c>
      <c r="F26" s="193" t="s">
        <v>143</v>
      </c>
      <c r="G26" s="193" t="s">
        <v>499</v>
      </c>
      <c r="H26" s="193">
        <f>Renewables!B31</f>
        <v>0</v>
      </c>
      <c r="I26" s="193">
        <f>Renewables!C31</f>
        <v>0</v>
      </c>
      <c r="J26" s="193">
        <f>Renewables!D31</f>
        <v>0</v>
      </c>
      <c r="K26" s="193">
        <f>Renewables!E31</f>
        <v>0</v>
      </c>
      <c r="L26" s="193">
        <f>Renewables!F31</f>
        <v>0</v>
      </c>
      <c r="M26" s="193">
        <f>Renewables!G31</f>
        <v>0</v>
      </c>
      <c r="N26" s="193">
        <f>Renewables!H31</f>
        <v>0</v>
      </c>
      <c r="O26" s="193" t="str">
        <f>Renewables!I31</f>
        <v/>
      </c>
      <c r="P26" s="193">
        <f>Renewables!J31</f>
        <v>0</v>
      </c>
      <c r="Q26" s="193">
        <f>Renewables!K31</f>
        <v>0</v>
      </c>
      <c r="R26" s="193">
        <f>Renewables!L31</f>
        <v>0</v>
      </c>
      <c r="S26" s="193">
        <f>Renewables!M31</f>
        <v>0</v>
      </c>
      <c r="T26" s="193">
        <f>Renewables!N31</f>
        <v>0</v>
      </c>
      <c r="U26" s="193">
        <f>Renewables!O31</f>
        <v>0</v>
      </c>
      <c r="V26" s="193">
        <f>Renewables!P31</f>
        <v>0</v>
      </c>
      <c r="W26" s="193">
        <f>Renewables!Q31</f>
        <v>0</v>
      </c>
      <c r="X26" s="193">
        <f>Renewables!R31</f>
        <v>0</v>
      </c>
    </row>
    <row r="27" spans="2:24" x14ac:dyDescent="0.35">
      <c r="B27" s="239" t="e">
        <f>"2025"&amp;MATCH(Totals!D862,OrgType,0)&amp;"_"&amp;MATCH(Totals!E862,Organisations,0)&amp;"_"&amp;LEFT(Totals!F862,1)&amp;"_"&amp;LEFT(G27,1)&amp;"_"&amp;COUNTIF($G$3:G27,G27)</f>
        <v>#N/A</v>
      </c>
      <c r="C27" s="239">
        <v>2025</v>
      </c>
      <c r="D27" s="239">
        <f>Introduction!$D$7</f>
        <v>0</v>
      </c>
      <c r="E27" s="239">
        <f>Introduction!$D$8</f>
        <v>0</v>
      </c>
      <c r="F27" s="193" t="s">
        <v>143</v>
      </c>
      <c r="G27" s="193" t="s">
        <v>499</v>
      </c>
      <c r="H27" s="193">
        <f>Renewables!B32</f>
        <v>0</v>
      </c>
      <c r="I27" s="193">
        <f>Renewables!C32</f>
        <v>0</v>
      </c>
      <c r="J27" s="193">
        <f>Renewables!D32</f>
        <v>0</v>
      </c>
      <c r="K27" s="193">
        <f>Renewables!E32</f>
        <v>0</v>
      </c>
      <c r="L27" s="193">
        <f>Renewables!F32</f>
        <v>0</v>
      </c>
      <c r="M27" s="193">
        <f>Renewables!G32</f>
        <v>0</v>
      </c>
      <c r="N27" s="193">
        <f>Renewables!H32</f>
        <v>0</v>
      </c>
      <c r="O27" s="193" t="str">
        <f>Renewables!I32</f>
        <v/>
      </c>
      <c r="P27" s="193">
        <f>Renewables!J32</f>
        <v>0</v>
      </c>
      <c r="Q27" s="193">
        <f>Renewables!K32</f>
        <v>0</v>
      </c>
      <c r="R27" s="193">
        <f>Renewables!L32</f>
        <v>0</v>
      </c>
      <c r="S27" s="193">
        <f>Renewables!M32</f>
        <v>0</v>
      </c>
      <c r="T27" s="193">
        <f>Renewables!N32</f>
        <v>0</v>
      </c>
      <c r="U27" s="193">
        <f>Renewables!O32</f>
        <v>0</v>
      </c>
      <c r="V27" s="193">
        <f>Renewables!P32</f>
        <v>0</v>
      </c>
      <c r="W27" s="193">
        <f>Renewables!Q32</f>
        <v>0</v>
      </c>
      <c r="X27" s="193">
        <f>Renewables!R32</f>
        <v>0</v>
      </c>
    </row>
    <row r="28" spans="2:24" x14ac:dyDescent="0.35">
      <c r="B28" s="239" t="e">
        <f>"2025"&amp;MATCH(Totals!D863,OrgType,0)&amp;"_"&amp;MATCH(Totals!E863,Organisations,0)&amp;"_"&amp;LEFT(Totals!F863,1)&amp;"_"&amp;LEFT(G28,1)&amp;"_"&amp;COUNTIF($G$3:G28,G28)</f>
        <v>#N/A</v>
      </c>
      <c r="C28" s="193">
        <v>2025</v>
      </c>
      <c r="D28" s="193">
        <f>Introduction!$D$7</f>
        <v>0</v>
      </c>
      <c r="E28" s="193">
        <f>Introduction!$D$8</f>
        <v>0</v>
      </c>
      <c r="F28" s="193" t="s">
        <v>143</v>
      </c>
      <c r="G28" s="193" t="s">
        <v>463</v>
      </c>
      <c r="H28" s="193">
        <f>Renewables!B37</f>
        <v>0</v>
      </c>
      <c r="I28" s="237"/>
      <c r="J28" s="193">
        <f>Renewables!D37</f>
        <v>0</v>
      </c>
      <c r="K28" s="193">
        <f>Renewables!E37</f>
        <v>0</v>
      </c>
      <c r="L28" s="193">
        <f>Renewables!F37</f>
        <v>0</v>
      </c>
      <c r="M28" s="193">
        <f>Renewables!G37</f>
        <v>0</v>
      </c>
      <c r="N28" s="193">
        <f>Renewables!H37</f>
        <v>0</v>
      </c>
      <c r="O28" s="193" t="str">
        <f>Renewables!I37</f>
        <v/>
      </c>
      <c r="P28" s="193">
        <f>Renewables!J37</f>
        <v>0</v>
      </c>
      <c r="Q28" s="193">
        <f>Renewables!K37</f>
        <v>0</v>
      </c>
      <c r="R28" s="193">
        <f>Renewables!L37</f>
        <v>0</v>
      </c>
      <c r="S28" s="193">
        <f>Renewables!M37</f>
        <v>0</v>
      </c>
      <c r="T28" s="193">
        <f>Renewables!N37</f>
        <v>0</v>
      </c>
      <c r="U28" s="193">
        <f>Renewables!O37</f>
        <v>0</v>
      </c>
      <c r="V28" s="193">
        <f>Renewables!P37</f>
        <v>0</v>
      </c>
      <c r="W28" s="193">
        <f>Renewables!Q37</f>
        <v>0</v>
      </c>
      <c r="X28" s="193">
        <f>Renewables!R37</f>
        <v>0</v>
      </c>
    </row>
    <row r="29" spans="2:24" x14ac:dyDescent="0.35">
      <c r="B29" s="239" t="e">
        <f>"2025"&amp;MATCH(Totals!D864,OrgType,0)&amp;"_"&amp;MATCH(Totals!E864,Organisations,0)&amp;"_"&amp;LEFT(Totals!F864,1)&amp;"_"&amp;LEFT(G29,1)&amp;"_"&amp;COUNTIF($G$3:G29,G29)</f>
        <v>#N/A</v>
      </c>
      <c r="C29" s="239">
        <v>2025</v>
      </c>
      <c r="D29" s="239">
        <f>Introduction!$D$7</f>
        <v>0</v>
      </c>
      <c r="E29" s="239">
        <f>Introduction!$D$8</f>
        <v>0</v>
      </c>
      <c r="F29" s="193" t="s">
        <v>143</v>
      </c>
      <c r="G29" s="193" t="s">
        <v>463</v>
      </c>
      <c r="H29" s="193">
        <f>Renewables!B38</f>
        <v>0</v>
      </c>
      <c r="I29" s="237"/>
      <c r="J29" s="193">
        <f>Renewables!D38</f>
        <v>0</v>
      </c>
      <c r="K29" s="193">
        <f>Renewables!E38</f>
        <v>0</v>
      </c>
      <c r="L29" s="193">
        <f>Renewables!F38</f>
        <v>0</v>
      </c>
      <c r="M29" s="193">
        <f>Renewables!G38</f>
        <v>0</v>
      </c>
      <c r="N29" s="193">
        <f>Renewables!H38</f>
        <v>0</v>
      </c>
      <c r="O29" s="193" t="str">
        <f>Renewables!I38</f>
        <v/>
      </c>
      <c r="P29" s="193">
        <f>Renewables!J38</f>
        <v>0</v>
      </c>
      <c r="Q29" s="193">
        <f>Renewables!K38</f>
        <v>0</v>
      </c>
      <c r="R29" s="193">
        <f>Renewables!L38</f>
        <v>0</v>
      </c>
      <c r="S29" s="193">
        <f>Renewables!M38</f>
        <v>0</v>
      </c>
      <c r="T29" s="193">
        <f>Renewables!N38</f>
        <v>0</v>
      </c>
      <c r="U29" s="193">
        <f>Renewables!O38</f>
        <v>0</v>
      </c>
      <c r="V29" s="193">
        <f>Renewables!P38</f>
        <v>0</v>
      </c>
      <c r="W29" s="193">
        <f>Renewables!Q38</f>
        <v>0</v>
      </c>
      <c r="X29" s="193">
        <f>Renewables!R38</f>
        <v>0</v>
      </c>
    </row>
    <row r="30" spans="2:24" x14ac:dyDescent="0.35">
      <c r="B30" s="239" t="e">
        <f>"2025"&amp;MATCH(Totals!D865,OrgType,0)&amp;"_"&amp;MATCH(Totals!E865,Organisations,0)&amp;"_"&amp;LEFT(Totals!F865,1)&amp;"_"&amp;LEFT(G30,1)&amp;"_"&amp;COUNTIF($G$3:G30,G30)</f>
        <v>#N/A</v>
      </c>
      <c r="C30" s="193">
        <v>2025</v>
      </c>
      <c r="D30" s="193">
        <f>Introduction!$D$7</f>
        <v>0</v>
      </c>
      <c r="E30" s="193">
        <f>Introduction!$D$8</f>
        <v>0</v>
      </c>
      <c r="F30" s="193" t="s">
        <v>143</v>
      </c>
      <c r="G30" s="193" t="s">
        <v>463</v>
      </c>
      <c r="H30" s="193">
        <f>Renewables!B39</f>
        <v>0</v>
      </c>
      <c r="I30" s="237"/>
      <c r="J30" s="193">
        <f>Renewables!D39</f>
        <v>0</v>
      </c>
      <c r="K30" s="193">
        <f>Renewables!E39</f>
        <v>0</v>
      </c>
      <c r="L30" s="193">
        <f>Renewables!F39</f>
        <v>0</v>
      </c>
      <c r="M30" s="193">
        <f>Renewables!G39</f>
        <v>0</v>
      </c>
      <c r="N30" s="193">
        <f>Renewables!H39</f>
        <v>0</v>
      </c>
      <c r="O30" s="193" t="str">
        <f>Renewables!I39</f>
        <v/>
      </c>
      <c r="P30" s="193">
        <f>Renewables!J39</f>
        <v>0</v>
      </c>
      <c r="Q30" s="193">
        <f>Renewables!K39</f>
        <v>0</v>
      </c>
      <c r="R30" s="193">
        <f>Renewables!L39</f>
        <v>0</v>
      </c>
      <c r="S30" s="193">
        <f>Renewables!M39</f>
        <v>0</v>
      </c>
      <c r="T30" s="193">
        <f>Renewables!N39</f>
        <v>0</v>
      </c>
      <c r="U30" s="193">
        <f>Renewables!O39</f>
        <v>0</v>
      </c>
      <c r="V30" s="193">
        <f>Renewables!P39</f>
        <v>0</v>
      </c>
      <c r="W30" s="193">
        <f>Renewables!Q39</f>
        <v>0</v>
      </c>
      <c r="X30" s="193">
        <f>Renewables!R39</f>
        <v>0</v>
      </c>
    </row>
    <row r="31" spans="2:24" x14ac:dyDescent="0.35">
      <c r="B31" s="239" t="e">
        <f>"2025"&amp;MATCH(Totals!D866,OrgType,0)&amp;"_"&amp;MATCH(Totals!E866,Organisations,0)&amp;"_"&amp;LEFT(Totals!F866,1)&amp;"_"&amp;LEFT(G31,1)&amp;"_"&amp;COUNTIF($G$3:G31,G31)</f>
        <v>#N/A</v>
      </c>
      <c r="C31" s="239">
        <v>2025</v>
      </c>
      <c r="D31" s="239">
        <f>Introduction!$D$7</f>
        <v>0</v>
      </c>
      <c r="E31" s="239">
        <f>Introduction!$D$8</f>
        <v>0</v>
      </c>
      <c r="F31" s="193" t="s">
        <v>143</v>
      </c>
      <c r="G31" s="193" t="s">
        <v>463</v>
      </c>
      <c r="H31" s="193">
        <f>Renewables!B40</f>
        <v>0</v>
      </c>
      <c r="I31" s="237"/>
      <c r="J31" s="193">
        <f>Renewables!D40</f>
        <v>0</v>
      </c>
      <c r="K31" s="193">
        <f>Renewables!E40</f>
        <v>0</v>
      </c>
      <c r="L31" s="193">
        <f>Renewables!F40</f>
        <v>0</v>
      </c>
      <c r="M31" s="193">
        <f>Renewables!G40</f>
        <v>0</v>
      </c>
      <c r="N31" s="193">
        <f>Renewables!H40</f>
        <v>0</v>
      </c>
      <c r="O31" s="193" t="str">
        <f>Renewables!I40</f>
        <v/>
      </c>
      <c r="P31" s="193">
        <f>Renewables!J40</f>
        <v>0</v>
      </c>
      <c r="Q31" s="193">
        <f>Renewables!K40</f>
        <v>0</v>
      </c>
      <c r="R31" s="193">
        <f>Renewables!L40</f>
        <v>0</v>
      </c>
      <c r="S31" s="193">
        <f>Renewables!M40</f>
        <v>0</v>
      </c>
      <c r="T31" s="193">
        <f>Renewables!N40</f>
        <v>0</v>
      </c>
      <c r="U31" s="193">
        <f>Renewables!O40</f>
        <v>0</v>
      </c>
      <c r="V31" s="193">
        <f>Renewables!P40</f>
        <v>0</v>
      </c>
      <c r="W31" s="193">
        <f>Renewables!Q40</f>
        <v>0</v>
      </c>
      <c r="X31" s="193">
        <f>Renewables!R40</f>
        <v>0</v>
      </c>
    </row>
    <row r="32" spans="2:24" x14ac:dyDescent="0.35">
      <c r="B32" s="239" t="e">
        <f>"2025"&amp;MATCH(Totals!D867,OrgType,0)&amp;"_"&amp;MATCH(Totals!E867,Organisations,0)&amp;"_"&amp;LEFT(Totals!F867,1)&amp;"_"&amp;LEFT(G32,1)&amp;"_"&amp;COUNTIF($G$3:G32,G32)</f>
        <v>#N/A</v>
      </c>
      <c r="C32" s="193">
        <v>2025</v>
      </c>
      <c r="D32" s="193">
        <f>Introduction!$D$7</f>
        <v>0</v>
      </c>
      <c r="E32" s="193">
        <f>Introduction!$D$8</f>
        <v>0</v>
      </c>
      <c r="F32" s="193" t="s">
        <v>143</v>
      </c>
      <c r="G32" s="193" t="s">
        <v>463</v>
      </c>
      <c r="H32" s="193">
        <f>Renewables!B41</f>
        <v>0</v>
      </c>
      <c r="I32" s="237"/>
      <c r="J32" s="193">
        <f>Renewables!D41</f>
        <v>0</v>
      </c>
      <c r="K32" s="193">
        <f>Renewables!E41</f>
        <v>0</v>
      </c>
      <c r="L32" s="193">
        <f>Renewables!F41</f>
        <v>0</v>
      </c>
      <c r="M32" s="193">
        <f>Renewables!G41</f>
        <v>0</v>
      </c>
      <c r="N32" s="193">
        <f>Renewables!H41</f>
        <v>0</v>
      </c>
      <c r="O32" s="193" t="str">
        <f>Renewables!I41</f>
        <v/>
      </c>
      <c r="P32" s="193">
        <f>Renewables!J41</f>
        <v>0</v>
      </c>
      <c r="Q32" s="193">
        <f>Renewables!K41</f>
        <v>0</v>
      </c>
      <c r="R32" s="193">
        <f>Renewables!L41</f>
        <v>0</v>
      </c>
      <c r="S32" s="193">
        <f>Renewables!M41</f>
        <v>0</v>
      </c>
      <c r="T32" s="193">
        <f>Renewables!N41</f>
        <v>0</v>
      </c>
      <c r="U32" s="193">
        <f>Renewables!O41</f>
        <v>0</v>
      </c>
      <c r="V32" s="193">
        <f>Renewables!P41</f>
        <v>0</v>
      </c>
      <c r="W32" s="193">
        <f>Renewables!Q41</f>
        <v>0</v>
      </c>
      <c r="X32" s="193">
        <f>Renewables!R41</f>
        <v>0</v>
      </c>
    </row>
    <row r="33" spans="2:24" x14ac:dyDescent="0.35">
      <c r="B33" s="239" t="e">
        <f>"2025"&amp;MATCH(Totals!D868,OrgType,0)&amp;"_"&amp;MATCH(Totals!E868,Organisations,0)&amp;"_"&amp;LEFT(Totals!F868,1)&amp;"_"&amp;LEFT(G33,1)&amp;"_"&amp;COUNTIF($G$3:G33,G33)</f>
        <v>#N/A</v>
      </c>
      <c r="C33" s="239">
        <v>2025</v>
      </c>
      <c r="D33" s="239">
        <f>Introduction!$D$7</f>
        <v>0</v>
      </c>
      <c r="E33" s="239">
        <f>Introduction!$D$8</f>
        <v>0</v>
      </c>
      <c r="F33" s="193" t="s">
        <v>143</v>
      </c>
      <c r="G33" s="193" t="s">
        <v>463</v>
      </c>
      <c r="H33" s="193">
        <f>Renewables!B42</f>
        <v>0</v>
      </c>
      <c r="I33" s="237"/>
      <c r="J33" s="193">
        <f>Renewables!D42</f>
        <v>0</v>
      </c>
      <c r="K33" s="193">
        <f>Renewables!E42</f>
        <v>0</v>
      </c>
      <c r="L33" s="193">
        <f>Renewables!F42</f>
        <v>0</v>
      </c>
      <c r="M33" s="193">
        <f>Renewables!G42</f>
        <v>0</v>
      </c>
      <c r="N33" s="193">
        <f>Renewables!H42</f>
        <v>0</v>
      </c>
      <c r="O33" s="193" t="str">
        <f>Renewables!I42</f>
        <v/>
      </c>
      <c r="P33" s="193">
        <f>Renewables!J42</f>
        <v>0</v>
      </c>
      <c r="Q33" s="193">
        <f>Renewables!K42</f>
        <v>0</v>
      </c>
      <c r="R33" s="193">
        <f>Renewables!L42</f>
        <v>0</v>
      </c>
      <c r="S33" s="193">
        <f>Renewables!M42</f>
        <v>0</v>
      </c>
      <c r="T33" s="193">
        <f>Renewables!N42</f>
        <v>0</v>
      </c>
      <c r="U33" s="193">
        <f>Renewables!O42</f>
        <v>0</v>
      </c>
      <c r="V33" s="193">
        <f>Renewables!P42</f>
        <v>0</v>
      </c>
      <c r="W33" s="193">
        <f>Renewables!Q42</f>
        <v>0</v>
      </c>
      <c r="X33" s="193">
        <f>Renewables!R42</f>
        <v>0</v>
      </c>
    </row>
    <row r="34" spans="2:24" x14ac:dyDescent="0.35">
      <c r="B34" s="239" t="e">
        <f>"2025"&amp;MATCH(Totals!D869,OrgType,0)&amp;"_"&amp;MATCH(Totals!E869,Organisations,0)&amp;"_"&amp;LEFT(Totals!F869,1)&amp;"_"&amp;LEFT(G34,1)&amp;"_"&amp;COUNTIF($G$3:G34,G34)</f>
        <v>#N/A</v>
      </c>
      <c r="C34" s="193">
        <v>2025</v>
      </c>
      <c r="D34" s="193">
        <f>Introduction!$D$7</f>
        <v>0</v>
      </c>
      <c r="E34" s="193">
        <f>Introduction!$D$8</f>
        <v>0</v>
      </c>
      <c r="F34" s="193" t="s">
        <v>143</v>
      </c>
      <c r="G34" s="193" t="s">
        <v>463</v>
      </c>
      <c r="H34" s="193">
        <f>Renewables!B43</f>
        <v>0</v>
      </c>
      <c r="I34" s="237"/>
      <c r="J34" s="193">
        <f>Renewables!D43</f>
        <v>0</v>
      </c>
      <c r="K34" s="193">
        <f>Renewables!E43</f>
        <v>0</v>
      </c>
      <c r="L34" s="193">
        <f>Renewables!F43</f>
        <v>0</v>
      </c>
      <c r="M34" s="193">
        <f>Renewables!G43</f>
        <v>0</v>
      </c>
      <c r="N34" s="193">
        <f>Renewables!H43</f>
        <v>0</v>
      </c>
      <c r="O34" s="193" t="str">
        <f>Renewables!I43</f>
        <v/>
      </c>
      <c r="P34" s="193">
        <f>Renewables!J43</f>
        <v>0</v>
      </c>
      <c r="Q34" s="193">
        <f>Renewables!K43</f>
        <v>0</v>
      </c>
      <c r="R34" s="193">
        <f>Renewables!L43</f>
        <v>0</v>
      </c>
      <c r="S34" s="193">
        <f>Renewables!M43</f>
        <v>0</v>
      </c>
      <c r="T34" s="193">
        <f>Renewables!N43</f>
        <v>0</v>
      </c>
      <c r="U34" s="193">
        <f>Renewables!O43</f>
        <v>0</v>
      </c>
      <c r="V34" s="193">
        <f>Renewables!P43</f>
        <v>0</v>
      </c>
      <c r="W34" s="193">
        <f>Renewables!Q43</f>
        <v>0</v>
      </c>
      <c r="X34" s="193">
        <f>Renewables!R43</f>
        <v>0</v>
      </c>
    </row>
    <row r="35" spans="2:24" x14ac:dyDescent="0.35">
      <c r="B35" s="239" t="e">
        <f>"2025"&amp;MATCH(Totals!D870,OrgType,0)&amp;"_"&amp;MATCH(Totals!E870,Organisations,0)&amp;"_"&amp;LEFT(Totals!F870,1)&amp;"_"&amp;LEFT(G35,1)&amp;"_"&amp;COUNTIF($G$3:G35,G35)</f>
        <v>#N/A</v>
      </c>
      <c r="C35" s="239">
        <v>2025</v>
      </c>
      <c r="D35" s="239">
        <f>Introduction!$D$7</f>
        <v>0</v>
      </c>
      <c r="E35" s="239">
        <f>Introduction!$D$8</f>
        <v>0</v>
      </c>
      <c r="F35" s="193" t="s">
        <v>143</v>
      </c>
      <c r="G35" s="193" t="s">
        <v>463</v>
      </c>
      <c r="H35" s="193">
        <f>Renewables!B44</f>
        <v>0</v>
      </c>
      <c r="I35" s="237"/>
      <c r="J35" s="193">
        <f>Renewables!D44</f>
        <v>0</v>
      </c>
      <c r="K35" s="193">
        <f>Renewables!E44</f>
        <v>0</v>
      </c>
      <c r="L35" s="193">
        <f>Renewables!F44</f>
        <v>0</v>
      </c>
      <c r="M35" s="193">
        <f>Renewables!G44</f>
        <v>0</v>
      </c>
      <c r="N35" s="193">
        <f>Renewables!H44</f>
        <v>0</v>
      </c>
      <c r="O35" s="193" t="str">
        <f>Renewables!I44</f>
        <v/>
      </c>
      <c r="P35" s="193">
        <f>Renewables!J44</f>
        <v>0</v>
      </c>
      <c r="Q35" s="193">
        <f>Renewables!K44</f>
        <v>0</v>
      </c>
      <c r="R35" s="193">
        <f>Renewables!L44</f>
        <v>0</v>
      </c>
      <c r="S35" s="193">
        <f>Renewables!M44</f>
        <v>0</v>
      </c>
      <c r="T35" s="193">
        <f>Renewables!N44</f>
        <v>0</v>
      </c>
      <c r="U35" s="193">
        <f>Renewables!O44</f>
        <v>0</v>
      </c>
      <c r="V35" s="193">
        <f>Renewables!P44</f>
        <v>0</v>
      </c>
      <c r="W35" s="193">
        <f>Renewables!Q44</f>
        <v>0</v>
      </c>
      <c r="X35" s="193">
        <f>Renewables!R44</f>
        <v>0</v>
      </c>
    </row>
    <row r="36" spans="2:24" x14ac:dyDescent="0.35">
      <c r="B36" s="239" t="e">
        <f>"2025"&amp;MATCH(Totals!D871,OrgType,0)&amp;"_"&amp;MATCH(Totals!E871,Organisations,0)&amp;"_"&amp;LEFT(Totals!F871,1)&amp;"_"&amp;LEFT(G36,1)&amp;"_"&amp;COUNTIF($G$3:G36,G36)</f>
        <v>#N/A</v>
      </c>
      <c r="C36" s="193">
        <v>2025</v>
      </c>
      <c r="D36" s="193">
        <f>Introduction!$D$7</f>
        <v>0</v>
      </c>
      <c r="E36" s="193">
        <f>Introduction!$D$8</f>
        <v>0</v>
      </c>
      <c r="F36" s="193" t="s">
        <v>143</v>
      </c>
      <c r="G36" s="193" t="s">
        <v>463</v>
      </c>
      <c r="H36" s="193">
        <f>Renewables!B45</f>
        <v>0</v>
      </c>
      <c r="I36" s="237"/>
      <c r="J36" s="193">
        <f>Renewables!D45</f>
        <v>0</v>
      </c>
      <c r="K36" s="193">
        <f>Renewables!E45</f>
        <v>0</v>
      </c>
      <c r="L36" s="193">
        <f>Renewables!F45</f>
        <v>0</v>
      </c>
      <c r="M36" s="193">
        <f>Renewables!G45</f>
        <v>0</v>
      </c>
      <c r="N36" s="193">
        <f>Renewables!H45</f>
        <v>0</v>
      </c>
      <c r="O36" s="193" t="str">
        <f>Renewables!I45</f>
        <v/>
      </c>
      <c r="P36" s="193">
        <f>Renewables!J45</f>
        <v>0</v>
      </c>
      <c r="Q36" s="193">
        <f>Renewables!K45</f>
        <v>0</v>
      </c>
      <c r="R36" s="193">
        <f>Renewables!L45</f>
        <v>0</v>
      </c>
      <c r="S36" s="193">
        <f>Renewables!M45</f>
        <v>0</v>
      </c>
      <c r="T36" s="193">
        <f>Renewables!N45</f>
        <v>0</v>
      </c>
      <c r="U36" s="193">
        <f>Renewables!O45</f>
        <v>0</v>
      </c>
      <c r="V36" s="193">
        <f>Renewables!P45</f>
        <v>0</v>
      </c>
      <c r="W36" s="193">
        <f>Renewables!Q45</f>
        <v>0</v>
      </c>
      <c r="X36" s="193">
        <f>Renewables!R45</f>
        <v>0</v>
      </c>
    </row>
    <row r="37" spans="2:24" x14ac:dyDescent="0.35">
      <c r="B37" s="239" t="e">
        <f>"2025"&amp;MATCH(Totals!D872,OrgType,0)&amp;"_"&amp;MATCH(Totals!E872,Organisations,0)&amp;"_"&amp;LEFT(Totals!F872,1)&amp;"_"&amp;LEFT(G37,1)&amp;"_"&amp;COUNTIF($G$3:G37,G37)</f>
        <v>#N/A</v>
      </c>
      <c r="C37" s="239">
        <v>2025</v>
      </c>
      <c r="D37" s="239">
        <f>Introduction!$D$7</f>
        <v>0</v>
      </c>
      <c r="E37" s="239">
        <f>Introduction!$D$8</f>
        <v>0</v>
      </c>
      <c r="F37" s="193" t="s">
        <v>143</v>
      </c>
      <c r="G37" s="193" t="s">
        <v>463</v>
      </c>
      <c r="H37" s="193">
        <f>Renewables!B46</f>
        <v>0</v>
      </c>
      <c r="I37" s="237"/>
      <c r="J37" s="193">
        <f>Renewables!D46</f>
        <v>0</v>
      </c>
      <c r="K37" s="193">
        <f>Renewables!E46</f>
        <v>0</v>
      </c>
      <c r="L37" s="193">
        <f>Renewables!F46</f>
        <v>0</v>
      </c>
      <c r="M37" s="193">
        <f>Renewables!G46</f>
        <v>0</v>
      </c>
      <c r="N37" s="193">
        <f>Renewables!H46</f>
        <v>0</v>
      </c>
      <c r="O37" s="193" t="str">
        <f>Renewables!I46</f>
        <v/>
      </c>
      <c r="P37" s="193">
        <f>Renewables!J46</f>
        <v>0</v>
      </c>
      <c r="Q37" s="193">
        <f>Renewables!K46</f>
        <v>0</v>
      </c>
      <c r="R37" s="193">
        <f>Renewables!L46</f>
        <v>0</v>
      </c>
      <c r="S37" s="193">
        <f>Renewables!M46</f>
        <v>0</v>
      </c>
      <c r="T37" s="193">
        <f>Renewables!N46</f>
        <v>0</v>
      </c>
      <c r="U37" s="193">
        <f>Renewables!O46</f>
        <v>0</v>
      </c>
      <c r="V37" s="193">
        <f>Renewables!P46</f>
        <v>0</v>
      </c>
      <c r="W37" s="193">
        <f>Renewables!Q46</f>
        <v>0</v>
      </c>
      <c r="X37" s="193">
        <f>Renewables!R46</f>
        <v>0</v>
      </c>
    </row>
    <row r="38" spans="2:24" x14ac:dyDescent="0.35">
      <c r="B38" s="239" t="e">
        <f>"2025"&amp;MATCH(Totals!D873,OrgType,0)&amp;"_"&amp;MATCH(Totals!E873,Organisations,0)&amp;"_"&amp;LEFT(Totals!F873,1)&amp;"_"&amp;LEFT(G38,1)&amp;"_"&amp;COUNTIF($G$3:G38,G38)</f>
        <v>#N/A</v>
      </c>
      <c r="C38" s="193">
        <v>2025</v>
      </c>
      <c r="D38" s="193">
        <f>Introduction!$D$7</f>
        <v>0</v>
      </c>
      <c r="E38" s="193">
        <f>Introduction!$D$8</f>
        <v>0</v>
      </c>
      <c r="F38" s="193" t="s">
        <v>143</v>
      </c>
      <c r="G38" s="193" t="s">
        <v>463</v>
      </c>
      <c r="H38" s="193">
        <f>Renewables!B47</f>
        <v>0</v>
      </c>
      <c r="I38" s="237"/>
      <c r="J38" s="193">
        <f>Renewables!D47</f>
        <v>0</v>
      </c>
      <c r="K38" s="193">
        <f>Renewables!E47</f>
        <v>0</v>
      </c>
      <c r="L38" s="193">
        <f>Renewables!F47</f>
        <v>0</v>
      </c>
      <c r="M38" s="193">
        <f>Renewables!G47</f>
        <v>0</v>
      </c>
      <c r="N38" s="193">
        <f>Renewables!H47</f>
        <v>0</v>
      </c>
      <c r="O38" s="193" t="str">
        <f>Renewables!I47</f>
        <v/>
      </c>
      <c r="P38" s="193">
        <f>Renewables!J47</f>
        <v>0</v>
      </c>
      <c r="Q38" s="193">
        <f>Renewables!K47</f>
        <v>0</v>
      </c>
      <c r="R38" s="193">
        <f>Renewables!L47</f>
        <v>0</v>
      </c>
      <c r="S38" s="193">
        <f>Renewables!M47</f>
        <v>0</v>
      </c>
      <c r="T38" s="193">
        <f>Renewables!N47</f>
        <v>0</v>
      </c>
      <c r="U38" s="193">
        <f>Renewables!O47</f>
        <v>0</v>
      </c>
      <c r="V38" s="193">
        <f>Renewables!P47</f>
        <v>0</v>
      </c>
      <c r="W38" s="193">
        <f>Renewables!Q47</f>
        <v>0</v>
      </c>
      <c r="X38" s="193">
        <f>Renewables!R47</f>
        <v>0</v>
      </c>
    </row>
    <row r="39" spans="2:24" x14ac:dyDescent="0.35">
      <c r="B39" s="239" t="e">
        <f>"2025"&amp;MATCH(Totals!D874,OrgType,0)&amp;"_"&amp;MATCH(Totals!E874,Organisations,0)&amp;"_"&amp;LEFT(Totals!F874,1)&amp;"_"&amp;LEFT(G39,1)&amp;"_"&amp;COUNTIF($G$3:G39,G39)</f>
        <v>#N/A</v>
      </c>
      <c r="C39" s="239">
        <v>2025</v>
      </c>
      <c r="D39" s="239">
        <f>Introduction!$D$7</f>
        <v>0</v>
      </c>
      <c r="E39" s="239">
        <f>Introduction!$D$8</f>
        <v>0</v>
      </c>
      <c r="F39" s="193" t="s">
        <v>143</v>
      </c>
      <c r="G39" s="193" t="s">
        <v>463</v>
      </c>
      <c r="H39" s="193">
        <f>Renewables!B48</f>
        <v>0</v>
      </c>
      <c r="I39" s="237"/>
      <c r="J39" s="193">
        <f>Renewables!D48</f>
        <v>0</v>
      </c>
      <c r="K39" s="193">
        <f>Renewables!E48</f>
        <v>0</v>
      </c>
      <c r="L39" s="193">
        <f>Renewables!F48</f>
        <v>0</v>
      </c>
      <c r="M39" s="193">
        <f>Renewables!G48</f>
        <v>0</v>
      </c>
      <c r="N39" s="193">
        <f>Renewables!H48</f>
        <v>0</v>
      </c>
      <c r="O39" s="193" t="str">
        <f>Renewables!I48</f>
        <v/>
      </c>
      <c r="P39" s="193">
        <f>Renewables!J48</f>
        <v>0</v>
      </c>
      <c r="Q39" s="193">
        <f>Renewables!K48</f>
        <v>0</v>
      </c>
      <c r="R39" s="193">
        <f>Renewables!L48</f>
        <v>0</v>
      </c>
      <c r="S39" s="193">
        <f>Renewables!M48</f>
        <v>0</v>
      </c>
      <c r="T39" s="193">
        <f>Renewables!N48</f>
        <v>0</v>
      </c>
      <c r="U39" s="193">
        <f>Renewables!O48</f>
        <v>0</v>
      </c>
      <c r="V39" s="193">
        <f>Renewables!P48</f>
        <v>0</v>
      </c>
      <c r="W39" s="193">
        <f>Renewables!Q48</f>
        <v>0</v>
      </c>
      <c r="X39" s="193">
        <f>Renewables!R48</f>
        <v>0</v>
      </c>
    </row>
    <row r="40" spans="2:24" x14ac:dyDescent="0.35">
      <c r="B40" s="239" t="e">
        <f>"2025"&amp;MATCH(Totals!D875,OrgType,0)&amp;"_"&amp;MATCH(Totals!E875,Organisations,0)&amp;"_"&amp;LEFT(Totals!F875,1)&amp;"_"&amp;LEFT(G40,1)&amp;"_"&amp;COUNTIF($G$3:G40,G40)</f>
        <v>#N/A</v>
      </c>
      <c r="C40" s="193">
        <v>2025</v>
      </c>
      <c r="D40" s="193">
        <f>Introduction!$D$7</f>
        <v>0</v>
      </c>
      <c r="E40" s="193">
        <f>Introduction!$D$8</f>
        <v>0</v>
      </c>
      <c r="F40" s="193" t="s">
        <v>143</v>
      </c>
      <c r="G40" s="193" t="s">
        <v>463</v>
      </c>
      <c r="H40" s="193">
        <f>Renewables!B49</f>
        <v>0</v>
      </c>
      <c r="I40" s="237"/>
      <c r="J40" s="193">
        <f>Renewables!D49</f>
        <v>0</v>
      </c>
      <c r="K40" s="193">
        <f>Renewables!E49</f>
        <v>0</v>
      </c>
      <c r="L40" s="193">
        <f>Renewables!F49</f>
        <v>0</v>
      </c>
      <c r="M40" s="193">
        <f>Renewables!G49</f>
        <v>0</v>
      </c>
      <c r="N40" s="193">
        <f>Renewables!H49</f>
        <v>0</v>
      </c>
      <c r="O40" s="193" t="str">
        <f>Renewables!I49</f>
        <v/>
      </c>
      <c r="P40" s="193">
        <f>Renewables!J49</f>
        <v>0</v>
      </c>
      <c r="Q40" s="193">
        <f>Renewables!K49</f>
        <v>0</v>
      </c>
      <c r="R40" s="193">
        <f>Renewables!L49</f>
        <v>0</v>
      </c>
      <c r="S40" s="193">
        <f>Renewables!M49</f>
        <v>0</v>
      </c>
      <c r="T40" s="193">
        <f>Renewables!N49</f>
        <v>0</v>
      </c>
      <c r="U40" s="193">
        <f>Renewables!O49</f>
        <v>0</v>
      </c>
      <c r="V40" s="193">
        <f>Renewables!P49</f>
        <v>0</v>
      </c>
      <c r="W40" s="193">
        <f>Renewables!Q49</f>
        <v>0</v>
      </c>
      <c r="X40" s="193">
        <f>Renewables!R49</f>
        <v>0</v>
      </c>
    </row>
    <row r="41" spans="2:24" x14ac:dyDescent="0.35">
      <c r="B41" s="239" t="e">
        <f>"2025"&amp;MATCH(Totals!D876,OrgType,0)&amp;"_"&amp;MATCH(Totals!E876,Organisations,0)&amp;"_"&amp;LEFT(Totals!F876,1)&amp;"_"&amp;LEFT(G41,1)&amp;"_"&amp;COUNTIF($G$3:G41,G41)</f>
        <v>#N/A</v>
      </c>
      <c r="C41" s="239">
        <v>2025</v>
      </c>
      <c r="D41" s="239">
        <f>Introduction!$D$7</f>
        <v>0</v>
      </c>
      <c r="E41" s="239">
        <f>Introduction!$D$8</f>
        <v>0</v>
      </c>
      <c r="F41" s="193" t="s">
        <v>143</v>
      </c>
      <c r="G41" s="193" t="s">
        <v>463</v>
      </c>
      <c r="H41" s="193">
        <f>Renewables!B50</f>
        <v>0</v>
      </c>
      <c r="I41" s="237"/>
      <c r="J41" s="193">
        <f>Renewables!D50</f>
        <v>0</v>
      </c>
      <c r="K41" s="193">
        <f>Renewables!E50</f>
        <v>0</v>
      </c>
      <c r="L41" s="193">
        <f>Renewables!F50</f>
        <v>0</v>
      </c>
      <c r="M41" s="193">
        <f>Renewables!G50</f>
        <v>0</v>
      </c>
      <c r="N41" s="193">
        <f>Renewables!H50</f>
        <v>0</v>
      </c>
      <c r="O41" s="193" t="str">
        <f>Renewables!I50</f>
        <v/>
      </c>
      <c r="P41" s="193">
        <f>Renewables!J50</f>
        <v>0</v>
      </c>
      <c r="Q41" s="193">
        <f>Renewables!K50</f>
        <v>0</v>
      </c>
      <c r="R41" s="193">
        <f>Renewables!L50</f>
        <v>0</v>
      </c>
      <c r="S41" s="193">
        <f>Renewables!M50</f>
        <v>0</v>
      </c>
      <c r="T41" s="193">
        <f>Renewables!N50</f>
        <v>0</v>
      </c>
      <c r="U41" s="193">
        <f>Renewables!O50</f>
        <v>0</v>
      </c>
      <c r="V41" s="193">
        <f>Renewables!P50</f>
        <v>0</v>
      </c>
      <c r="W41" s="193">
        <f>Renewables!Q50</f>
        <v>0</v>
      </c>
      <c r="X41" s="193">
        <f>Renewables!R50</f>
        <v>0</v>
      </c>
    </row>
    <row r="42" spans="2:24" x14ac:dyDescent="0.35">
      <c r="B42" s="239" t="e">
        <f>"2025"&amp;MATCH(Totals!D877,OrgType,0)&amp;"_"&amp;MATCH(Totals!E877,Organisations,0)&amp;"_"&amp;LEFT(Totals!F877,1)&amp;"_"&amp;LEFT(G42,1)&amp;"_"&amp;COUNTIF($G$3:G42,G42)</f>
        <v>#N/A</v>
      </c>
      <c r="C42" s="193">
        <v>2025</v>
      </c>
      <c r="D42" s="193">
        <f>Introduction!$D$7</f>
        <v>0</v>
      </c>
      <c r="E42" s="193">
        <f>Introduction!$D$8</f>
        <v>0</v>
      </c>
      <c r="F42" s="193" t="s">
        <v>143</v>
      </c>
      <c r="G42" s="193" t="s">
        <v>463</v>
      </c>
      <c r="H42" s="193">
        <f>Renewables!B51</f>
        <v>0</v>
      </c>
      <c r="I42" s="237"/>
      <c r="J42" s="193">
        <f>Renewables!D51</f>
        <v>0</v>
      </c>
      <c r="K42" s="193">
        <f>Renewables!E51</f>
        <v>0</v>
      </c>
      <c r="L42" s="193">
        <f>Renewables!F51</f>
        <v>0</v>
      </c>
      <c r="M42" s="193">
        <f>Renewables!G51</f>
        <v>0</v>
      </c>
      <c r="N42" s="193">
        <f>Renewables!H51</f>
        <v>0</v>
      </c>
      <c r="O42" s="193" t="str">
        <f>Renewables!I51</f>
        <v/>
      </c>
      <c r="P42" s="193">
        <f>Renewables!J51</f>
        <v>0</v>
      </c>
      <c r="Q42" s="193">
        <f>Renewables!K51</f>
        <v>0</v>
      </c>
      <c r="R42" s="193">
        <f>Renewables!L51</f>
        <v>0</v>
      </c>
      <c r="S42" s="193">
        <f>Renewables!M51</f>
        <v>0</v>
      </c>
      <c r="T42" s="193">
        <f>Renewables!N51</f>
        <v>0</v>
      </c>
      <c r="U42" s="193">
        <f>Renewables!O51</f>
        <v>0</v>
      </c>
      <c r="V42" s="193">
        <f>Renewables!P51</f>
        <v>0</v>
      </c>
      <c r="W42" s="193">
        <f>Renewables!Q51</f>
        <v>0</v>
      </c>
      <c r="X42" s="193">
        <f>Renewables!R51</f>
        <v>0</v>
      </c>
    </row>
    <row r="43" spans="2:24" x14ac:dyDescent="0.35">
      <c r="B43" s="239" t="e">
        <f>"2025"&amp;MATCH(Totals!D878,OrgType,0)&amp;"_"&amp;MATCH(Totals!E878,Organisations,0)&amp;"_"&amp;LEFT(Totals!F878,1)&amp;"_"&amp;LEFT(G43,1)&amp;"_"&amp;COUNTIF($G$3:G43,G43)</f>
        <v>#N/A</v>
      </c>
      <c r="C43" s="239">
        <v>2025</v>
      </c>
      <c r="D43" s="239">
        <f>Introduction!$D$7</f>
        <v>0</v>
      </c>
      <c r="E43" s="239">
        <f>Introduction!$D$8</f>
        <v>0</v>
      </c>
      <c r="F43" s="193" t="s">
        <v>143</v>
      </c>
      <c r="G43" s="193" t="s">
        <v>463</v>
      </c>
      <c r="H43" s="193">
        <f>Renewables!B52</f>
        <v>0</v>
      </c>
      <c r="I43" s="237"/>
      <c r="J43" s="193">
        <f>Renewables!D52</f>
        <v>0</v>
      </c>
      <c r="K43" s="193">
        <f>Renewables!E52</f>
        <v>0</v>
      </c>
      <c r="L43" s="193">
        <f>Renewables!F52</f>
        <v>0</v>
      </c>
      <c r="M43" s="193">
        <f>Renewables!G52</f>
        <v>0</v>
      </c>
      <c r="N43" s="193">
        <f>Renewables!H52</f>
        <v>0</v>
      </c>
      <c r="O43" s="193" t="str">
        <f>Renewables!I52</f>
        <v/>
      </c>
      <c r="P43" s="193">
        <f>Renewables!J52</f>
        <v>0</v>
      </c>
      <c r="Q43" s="193">
        <f>Renewables!K52</f>
        <v>0</v>
      </c>
      <c r="R43" s="193">
        <f>Renewables!L52</f>
        <v>0</v>
      </c>
      <c r="S43" s="193">
        <f>Renewables!M52</f>
        <v>0</v>
      </c>
      <c r="T43" s="193">
        <f>Renewables!N52</f>
        <v>0</v>
      </c>
      <c r="U43" s="193">
        <f>Renewables!O52</f>
        <v>0</v>
      </c>
      <c r="V43" s="193">
        <f>Renewables!P52</f>
        <v>0</v>
      </c>
      <c r="W43" s="193">
        <f>Renewables!Q52</f>
        <v>0</v>
      </c>
      <c r="X43" s="193">
        <f>Renewables!R52</f>
        <v>0</v>
      </c>
    </row>
    <row r="44" spans="2:24" x14ac:dyDescent="0.35">
      <c r="B44" s="239" t="e">
        <f>"2025"&amp;MATCH(Totals!D879,OrgType,0)&amp;"_"&amp;MATCH(Totals!E879,Organisations,0)&amp;"_"&amp;LEFT(Totals!F879,1)&amp;"_"&amp;LEFT(G44,1)&amp;"_"&amp;COUNTIF($G$3:G44,G44)</f>
        <v>#N/A</v>
      </c>
      <c r="C44" s="193">
        <v>2025</v>
      </c>
      <c r="D44" s="193">
        <f>Introduction!$D$7</f>
        <v>0</v>
      </c>
      <c r="E44" s="193">
        <f>Introduction!$D$8</f>
        <v>0</v>
      </c>
      <c r="F44" s="193" t="s">
        <v>143</v>
      </c>
      <c r="G44" s="193" t="s">
        <v>463</v>
      </c>
      <c r="H44" s="193">
        <f>Renewables!B53</f>
        <v>0</v>
      </c>
      <c r="I44" s="237"/>
      <c r="J44" s="193">
        <f>Renewables!D53</f>
        <v>0</v>
      </c>
      <c r="K44" s="193">
        <f>Renewables!E53</f>
        <v>0</v>
      </c>
      <c r="L44" s="193">
        <f>Renewables!F53</f>
        <v>0</v>
      </c>
      <c r="M44" s="193">
        <f>Renewables!G53</f>
        <v>0</v>
      </c>
      <c r="N44" s="193">
        <f>Renewables!H53</f>
        <v>0</v>
      </c>
      <c r="O44" s="193" t="str">
        <f>Renewables!I53</f>
        <v/>
      </c>
      <c r="P44" s="193">
        <f>Renewables!J53</f>
        <v>0</v>
      </c>
      <c r="Q44" s="193">
        <f>Renewables!K53</f>
        <v>0</v>
      </c>
      <c r="R44" s="193">
        <f>Renewables!L53</f>
        <v>0</v>
      </c>
      <c r="S44" s="193">
        <f>Renewables!M53</f>
        <v>0</v>
      </c>
      <c r="T44" s="193">
        <f>Renewables!N53</f>
        <v>0</v>
      </c>
      <c r="U44" s="193">
        <f>Renewables!O53</f>
        <v>0</v>
      </c>
      <c r="V44" s="193">
        <f>Renewables!P53</f>
        <v>0</v>
      </c>
      <c r="W44" s="193">
        <f>Renewables!Q53</f>
        <v>0</v>
      </c>
      <c r="X44" s="193">
        <f>Renewables!R53</f>
        <v>0</v>
      </c>
    </row>
    <row r="45" spans="2:24" x14ac:dyDescent="0.35">
      <c r="B45" s="239" t="e">
        <f>"2025"&amp;MATCH(Totals!D880,OrgType,0)&amp;"_"&amp;MATCH(Totals!E880,Organisations,0)&amp;"_"&amp;LEFT(Totals!F880,1)&amp;"_"&amp;LEFT(G45,1)&amp;"_"&amp;COUNTIF($G$3:G45,G45)</f>
        <v>#N/A</v>
      </c>
      <c r="C45" s="239">
        <v>2025</v>
      </c>
      <c r="D45" s="239">
        <f>Introduction!$D$7</f>
        <v>0</v>
      </c>
      <c r="E45" s="239">
        <f>Introduction!$D$8</f>
        <v>0</v>
      </c>
      <c r="F45" s="193" t="s">
        <v>143</v>
      </c>
      <c r="G45" s="193" t="s">
        <v>463</v>
      </c>
      <c r="H45" s="193">
        <f>Renewables!B54</f>
        <v>0</v>
      </c>
      <c r="I45" s="237"/>
      <c r="J45" s="193">
        <f>Renewables!D54</f>
        <v>0</v>
      </c>
      <c r="K45" s="193">
        <f>Renewables!E54</f>
        <v>0</v>
      </c>
      <c r="L45" s="193">
        <f>Renewables!F54</f>
        <v>0</v>
      </c>
      <c r="M45" s="193">
        <f>Renewables!G54</f>
        <v>0</v>
      </c>
      <c r="N45" s="193">
        <f>Renewables!H54</f>
        <v>0</v>
      </c>
      <c r="O45" s="193" t="str">
        <f>Renewables!I54</f>
        <v/>
      </c>
      <c r="P45" s="193">
        <f>Renewables!J54</f>
        <v>0</v>
      </c>
      <c r="Q45" s="193">
        <f>Renewables!K54</f>
        <v>0</v>
      </c>
      <c r="R45" s="193">
        <f>Renewables!L54</f>
        <v>0</v>
      </c>
      <c r="S45" s="193">
        <f>Renewables!M54</f>
        <v>0</v>
      </c>
      <c r="T45" s="193">
        <f>Renewables!N54</f>
        <v>0</v>
      </c>
      <c r="U45" s="193">
        <f>Renewables!O54</f>
        <v>0</v>
      </c>
      <c r="V45" s="193">
        <f>Renewables!P54</f>
        <v>0</v>
      </c>
      <c r="W45" s="193">
        <f>Renewables!Q54</f>
        <v>0</v>
      </c>
      <c r="X45" s="193">
        <f>Renewables!R54</f>
        <v>0</v>
      </c>
    </row>
    <row r="46" spans="2:24" x14ac:dyDescent="0.35">
      <c r="B46" s="239" t="e">
        <f>"2025"&amp;MATCH(Totals!D881,OrgType,0)&amp;"_"&amp;MATCH(Totals!E881,Organisations,0)&amp;"_"&amp;LEFT(Totals!F881,1)&amp;"_"&amp;LEFT(G46,1)&amp;"_"&amp;COUNTIF($G$3:G46,G46)</f>
        <v>#N/A</v>
      </c>
      <c r="C46" s="193">
        <v>2025</v>
      </c>
      <c r="D46" s="193">
        <f>Introduction!$D$7</f>
        <v>0</v>
      </c>
      <c r="E46" s="193">
        <f>Introduction!$D$8</f>
        <v>0</v>
      </c>
      <c r="F46" s="193" t="s">
        <v>143</v>
      </c>
      <c r="G46" s="193" t="s">
        <v>463</v>
      </c>
      <c r="H46" s="193">
        <f>Renewables!B55</f>
        <v>0</v>
      </c>
      <c r="I46" s="237"/>
      <c r="J46" s="193">
        <f>Renewables!D55</f>
        <v>0</v>
      </c>
      <c r="K46" s="193">
        <f>Renewables!E55</f>
        <v>0</v>
      </c>
      <c r="L46" s="193">
        <f>Renewables!F55</f>
        <v>0</v>
      </c>
      <c r="M46" s="193">
        <f>Renewables!G55</f>
        <v>0</v>
      </c>
      <c r="N46" s="193">
        <f>Renewables!H55</f>
        <v>0</v>
      </c>
      <c r="O46" s="193" t="str">
        <f>Renewables!I55</f>
        <v/>
      </c>
      <c r="P46" s="193">
        <f>Renewables!J55</f>
        <v>0</v>
      </c>
      <c r="Q46" s="193">
        <f>Renewables!K55</f>
        <v>0</v>
      </c>
      <c r="R46" s="193">
        <f>Renewables!L55</f>
        <v>0</v>
      </c>
      <c r="S46" s="193">
        <f>Renewables!M55</f>
        <v>0</v>
      </c>
      <c r="T46" s="193">
        <f>Renewables!N55</f>
        <v>0</v>
      </c>
      <c r="U46" s="193">
        <f>Renewables!O55</f>
        <v>0</v>
      </c>
      <c r="V46" s="193">
        <f>Renewables!P55</f>
        <v>0</v>
      </c>
      <c r="W46" s="193">
        <f>Renewables!Q55</f>
        <v>0</v>
      </c>
      <c r="X46" s="193">
        <f>Renewables!R55</f>
        <v>0</v>
      </c>
    </row>
    <row r="47" spans="2:24" x14ac:dyDescent="0.35">
      <c r="B47" s="239" t="e">
        <f>"2025"&amp;MATCH(Totals!D882,OrgType,0)&amp;"_"&amp;MATCH(Totals!E882,Organisations,0)&amp;"_"&amp;LEFT(Totals!F882,1)&amp;"_"&amp;LEFT(G47,1)&amp;"_"&amp;COUNTIF($G$3:G47,G47)</f>
        <v>#N/A</v>
      </c>
      <c r="C47" s="239">
        <v>2025</v>
      </c>
      <c r="D47" s="239">
        <f>Introduction!$D$7</f>
        <v>0</v>
      </c>
      <c r="E47" s="239">
        <f>Introduction!$D$8</f>
        <v>0</v>
      </c>
      <c r="F47" s="193" t="s">
        <v>143</v>
      </c>
      <c r="G47" s="193" t="s">
        <v>463</v>
      </c>
      <c r="H47" s="193">
        <f>Renewables!B56</f>
        <v>0</v>
      </c>
      <c r="I47" s="237"/>
      <c r="J47" s="193">
        <f>Renewables!D56</f>
        <v>0</v>
      </c>
      <c r="K47" s="193">
        <f>Renewables!E56</f>
        <v>0</v>
      </c>
      <c r="L47" s="193">
        <f>Renewables!F56</f>
        <v>0</v>
      </c>
      <c r="M47" s="193">
        <f>Renewables!G56</f>
        <v>0</v>
      </c>
      <c r="N47" s="193">
        <f>Renewables!H56</f>
        <v>0</v>
      </c>
      <c r="O47" s="193" t="str">
        <f>Renewables!I56</f>
        <v/>
      </c>
      <c r="P47" s="193">
        <f>Renewables!J56</f>
        <v>0</v>
      </c>
      <c r="Q47" s="193">
        <f>Renewables!K56</f>
        <v>0</v>
      </c>
      <c r="R47" s="193">
        <f>Renewables!L56</f>
        <v>0</v>
      </c>
      <c r="S47" s="193">
        <f>Renewables!M56</f>
        <v>0</v>
      </c>
      <c r="T47" s="193">
        <f>Renewables!N56</f>
        <v>0</v>
      </c>
      <c r="U47" s="193">
        <f>Renewables!O56</f>
        <v>0</v>
      </c>
      <c r="V47" s="193">
        <f>Renewables!P56</f>
        <v>0</v>
      </c>
      <c r="W47" s="193">
        <f>Renewables!Q56</f>
        <v>0</v>
      </c>
      <c r="X47" s="193">
        <f>Renewables!R56</f>
        <v>0</v>
      </c>
    </row>
    <row r="48" spans="2:24" x14ac:dyDescent="0.35">
      <c r="B48" s="239" t="e">
        <f>"2025"&amp;MATCH(Totals!D883,OrgType,0)&amp;"_"&amp;MATCH(Totals!E883,Organisations,0)&amp;"_"&amp;LEFT(Totals!F883,1)&amp;"_"&amp;LEFT(G48,1)&amp;"_"&amp;COUNTIF($G$3:G48,G48)</f>
        <v>#N/A</v>
      </c>
      <c r="C48" s="193">
        <v>2025</v>
      </c>
      <c r="D48" s="193">
        <f>Introduction!$D$7</f>
        <v>0</v>
      </c>
      <c r="E48" s="193">
        <f>Introduction!$D$8</f>
        <v>0</v>
      </c>
      <c r="F48" s="193" t="s">
        <v>143</v>
      </c>
      <c r="G48" s="193" t="s">
        <v>463</v>
      </c>
      <c r="H48" s="193">
        <f>Renewables!B57</f>
        <v>0</v>
      </c>
      <c r="I48" s="237"/>
      <c r="J48" s="193">
        <f>Renewables!D57</f>
        <v>0</v>
      </c>
      <c r="K48" s="193">
        <f>Renewables!E57</f>
        <v>0</v>
      </c>
      <c r="L48" s="193">
        <f>Renewables!F57</f>
        <v>0</v>
      </c>
      <c r="M48" s="193">
        <f>Renewables!G57</f>
        <v>0</v>
      </c>
      <c r="N48" s="193">
        <f>Renewables!H57</f>
        <v>0</v>
      </c>
      <c r="O48" s="193" t="str">
        <f>Renewables!I57</f>
        <v/>
      </c>
      <c r="P48" s="193">
        <f>Renewables!J57</f>
        <v>0</v>
      </c>
      <c r="Q48" s="193">
        <f>Renewables!K57</f>
        <v>0</v>
      </c>
      <c r="R48" s="193">
        <f>Renewables!L57</f>
        <v>0</v>
      </c>
      <c r="S48" s="193">
        <f>Renewables!M57</f>
        <v>0</v>
      </c>
      <c r="T48" s="193">
        <f>Renewables!N57</f>
        <v>0</v>
      </c>
      <c r="U48" s="193">
        <f>Renewables!O57</f>
        <v>0</v>
      </c>
      <c r="V48" s="193">
        <f>Renewables!P57</f>
        <v>0</v>
      </c>
      <c r="W48" s="193">
        <f>Renewables!Q57</f>
        <v>0</v>
      </c>
      <c r="X48" s="193">
        <f>Renewables!R57</f>
        <v>0</v>
      </c>
    </row>
    <row r="49" spans="2:24" x14ac:dyDescent="0.35">
      <c r="B49" s="239" t="e">
        <f>"2025"&amp;MATCH(Totals!D884,OrgType,0)&amp;"_"&amp;MATCH(Totals!E884,Organisations,0)&amp;"_"&amp;LEFT(Totals!F884,1)&amp;"_"&amp;LEFT(G49,1)&amp;"_"&amp;COUNTIF($G$3:G49,G49)</f>
        <v>#N/A</v>
      </c>
      <c r="C49" s="239">
        <v>2025</v>
      </c>
      <c r="D49" s="239">
        <f>Introduction!$D$7</f>
        <v>0</v>
      </c>
      <c r="E49" s="239">
        <f>Introduction!$D$8</f>
        <v>0</v>
      </c>
      <c r="F49" s="193" t="s">
        <v>143</v>
      </c>
      <c r="G49" s="193" t="s">
        <v>463</v>
      </c>
      <c r="H49" s="193">
        <f>Renewables!B58</f>
        <v>0</v>
      </c>
      <c r="I49" s="237"/>
      <c r="J49" s="193">
        <f>Renewables!D58</f>
        <v>0</v>
      </c>
      <c r="K49" s="193">
        <f>Renewables!E58</f>
        <v>0</v>
      </c>
      <c r="L49" s="193">
        <f>Renewables!F58</f>
        <v>0</v>
      </c>
      <c r="M49" s="193">
        <f>Renewables!G58</f>
        <v>0</v>
      </c>
      <c r="N49" s="193">
        <f>Renewables!H58</f>
        <v>0</v>
      </c>
      <c r="O49" s="193" t="str">
        <f>Renewables!I58</f>
        <v/>
      </c>
      <c r="P49" s="193">
        <f>Renewables!J58</f>
        <v>0</v>
      </c>
      <c r="Q49" s="193">
        <f>Renewables!K58</f>
        <v>0</v>
      </c>
      <c r="R49" s="193">
        <f>Renewables!L58</f>
        <v>0</v>
      </c>
      <c r="S49" s="193">
        <f>Renewables!M58</f>
        <v>0</v>
      </c>
      <c r="T49" s="193">
        <f>Renewables!N58</f>
        <v>0</v>
      </c>
      <c r="U49" s="193">
        <f>Renewables!O58</f>
        <v>0</v>
      </c>
      <c r="V49" s="193">
        <f>Renewables!P58</f>
        <v>0</v>
      </c>
      <c r="W49" s="193">
        <f>Renewables!Q58</f>
        <v>0</v>
      </c>
      <c r="X49" s="193">
        <f>Renewables!R58</f>
        <v>0</v>
      </c>
    </row>
    <row r="50" spans="2:24" x14ac:dyDescent="0.35">
      <c r="B50" s="239" t="e">
        <f>"2025"&amp;MATCH(Totals!D885,OrgType,0)&amp;"_"&amp;MATCH(Totals!E885,Organisations,0)&amp;"_"&amp;LEFT(Totals!F885,1)&amp;"_"&amp;LEFT(G50,1)&amp;"_"&amp;COUNTIF($G$3:G50,G50)</f>
        <v>#N/A</v>
      </c>
      <c r="C50" s="193">
        <v>2025</v>
      </c>
      <c r="D50" s="193">
        <f>Introduction!$D$7</f>
        <v>0</v>
      </c>
      <c r="E50" s="193">
        <f>Introduction!$D$8</f>
        <v>0</v>
      </c>
      <c r="F50" s="193" t="s">
        <v>143</v>
      </c>
      <c r="G50" s="193" t="s">
        <v>463</v>
      </c>
      <c r="H50" s="193">
        <f>Renewables!B59</f>
        <v>0</v>
      </c>
      <c r="I50" s="237"/>
      <c r="J50" s="193">
        <f>Renewables!D59</f>
        <v>0</v>
      </c>
      <c r="K50" s="193">
        <f>Renewables!E59</f>
        <v>0</v>
      </c>
      <c r="L50" s="193">
        <f>Renewables!F59</f>
        <v>0</v>
      </c>
      <c r="M50" s="193">
        <f>Renewables!G59</f>
        <v>0</v>
      </c>
      <c r="N50" s="193">
        <f>Renewables!H59</f>
        <v>0</v>
      </c>
      <c r="O50" s="193" t="str">
        <f>Renewables!I59</f>
        <v/>
      </c>
      <c r="P50" s="193">
        <f>Renewables!J59</f>
        <v>0</v>
      </c>
      <c r="Q50" s="193">
        <f>Renewables!K59</f>
        <v>0</v>
      </c>
      <c r="R50" s="193">
        <f>Renewables!L59</f>
        <v>0</v>
      </c>
      <c r="S50" s="193">
        <f>Renewables!M59</f>
        <v>0</v>
      </c>
      <c r="T50" s="193">
        <f>Renewables!N59</f>
        <v>0</v>
      </c>
      <c r="U50" s="193">
        <f>Renewables!O59</f>
        <v>0</v>
      </c>
      <c r="V50" s="193">
        <f>Renewables!P59</f>
        <v>0</v>
      </c>
      <c r="W50" s="193">
        <f>Renewables!Q59</f>
        <v>0</v>
      </c>
      <c r="X50" s="193">
        <f>Renewables!R59</f>
        <v>0</v>
      </c>
    </row>
    <row r="51" spans="2:24" x14ac:dyDescent="0.35">
      <c r="B51" s="239" t="e">
        <f>"2025"&amp;MATCH(Totals!D886,OrgType,0)&amp;"_"&amp;MATCH(Totals!E886,Organisations,0)&amp;"_"&amp;LEFT(Totals!F886,1)&amp;"_"&amp;LEFT(G51,1)&amp;"_"&amp;COUNTIF($G$3:G51,G51)</f>
        <v>#N/A</v>
      </c>
      <c r="C51" s="239">
        <v>2025</v>
      </c>
      <c r="D51" s="239">
        <f>Introduction!$D$7</f>
        <v>0</v>
      </c>
      <c r="E51" s="239">
        <f>Introduction!$D$8</f>
        <v>0</v>
      </c>
      <c r="F51" s="193" t="s">
        <v>143</v>
      </c>
      <c r="G51" s="193" t="s">
        <v>463</v>
      </c>
      <c r="H51" s="193">
        <f>Renewables!B60</f>
        <v>0</v>
      </c>
      <c r="I51" s="237"/>
      <c r="J51" s="193">
        <f>Renewables!D60</f>
        <v>0</v>
      </c>
      <c r="K51" s="193">
        <f>Renewables!E60</f>
        <v>0</v>
      </c>
      <c r="L51" s="193">
        <f>Renewables!F60</f>
        <v>0</v>
      </c>
      <c r="M51" s="193">
        <f>Renewables!G60</f>
        <v>0</v>
      </c>
      <c r="N51" s="193">
        <f>Renewables!H60</f>
        <v>0</v>
      </c>
      <c r="O51" s="193" t="str">
        <f>Renewables!I60</f>
        <v/>
      </c>
      <c r="P51" s="193">
        <f>Renewables!J60</f>
        <v>0</v>
      </c>
      <c r="Q51" s="193">
        <f>Renewables!K60</f>
        <v>0</v>
      </c>
      <c r="R51" s="193">
        <f>Renewables!L60</f>
        <v>0</v>
      </c>
      <c r="S51" s="193">
        <f>Renewables!M60</f>
        <v>0</v>
      </c>
      <c r="T51" s="193">
        <f>Renewables!N60</f>
        <v>0</v>
      </c>
      <c r="U51" s="193">
        <f>Renewables!O60</f>
        <v>0</v>
      </c>
      <c r="V51" s="193">
        <f>Renewables!P60</f>
        <v>0</v>
      </c>
      <c r="W51" s="193">
        <f>Renewables!Q60</f>
        <v>0</v>
      </c>
      <c r="X51" s="193">
        <f>Renewables!R60</f>
        <v>0</v>
      </c>
    </row>
    <row r="52" spans="2:24" x14ac:dyDescent="0.35">
      <c r="B52" s="239" t="e">
        <f>"2025"&amp;MATCH(Totals!D887,OrgType,0)&amp;"_"&amp;MATCH(Totals!E887,Organisations,0)&amp;"_"&amp;LEFT(Totals!F887,1)&amp;"_"&amp;LEFT(G52,1)&amp;"_"&amp;COUNTIF($G$3:G52,G52)</f>
        <v>#N/A</v>
      </c>
      <c r="C52" s="193">
        <v>2025</v>
      </c>
      <c r="D52" s="193">
        <f>Introduction!$D$7</f>
        <v>0</v>
      </c>
      <c r="E52" s="193">
        <f>Introduction!$D$8</f>
        <v>0</v>
      </c>
      <c r="F52" s="193" t="s">
        <v>143</v>
      </c>
      <c r="G52" s="193" t="s">
        <v>467</v>
      </c>
      <c r="H52" s="193">
        <f>Renewables!B65</f>
        <v>0</v>
      </c>
      <c r="I52" s="237"/>
      <c r="J52" s="193">
        <f>Renewables!D65</f>
        <v>0</v>
      </c>
      <c r="K52" s="193">
        <f>Renewables!E65</f>
        <v>0</v>
      </c>
      <c r="L52" s="193">
        <f>Renewables!F65</f>
        <v>0</v>
      </c>
      <c r="M52" s="193">
        <f>Renewables!G65</f>
        <v>0</v>
      </c>
      <c r="N52" s="193">
        <f>Renewables!H65</f>
        <v>0</v>
      </c>
      <c r="O52" s="193" t="str">
        <f>Renewables!I65</f>
        <v/>
      </c>
      <c r="P52" s="193">
        <f>Renewables!J65</f>
        <v>0</v>
      </c>
      <c r="Q52" s="193">
        <f>Renewables!K65</f>
        <v>0</v>
      </c>
      <c r="R52" s="193">
        <f>Renewables!L65</f>
        <v>0</v>
      </c>
      <c r="S52" s="193">
        <f>Renewables!M65</f>
        <v>0</v>
      </c>
      <c r="T52" s="193">
        <f>Renewables!N65</f>
        <v>0</v>
      </c>
      <c r="U52" s="193">
        <f>Renewables!O65</f>
        <v>0</v>
      </c>
      <c r="V52" s="193">
        <f>Renewables!P65</f>
        <v>0</v>
      </c>
      <c r="W52" s="193">
        <f>Renewables!Q65</f>
        <v>0</v>
      </c>
      <c r="X52" s="193">
        <f>Renewables!R65</f>
        <v>0</v>
      </c>
    </row>
    <row r="53" spans="2:24" x14ac:dyDescent="0.35">
      <c r="B53" s="239" t="e">
        <f>"2025"&amp;MATCH(Totals!D888,OrgType,0)&amp;"_"&amp;MATCH(Totals!E888,Organisations,0)&amp;"_"&amp;LEFT(Totals!F888,1)&amp;"_"&amp;LEFT(G53,1)&amp;"_"&amp;COUNTIF($G$3:G53,G53)</f>
        <v>#N/A</v>
      </c>
      <c r="C53" s="239">
        <v>2025</v>
      </c>
      <c r="D53" s="239">
        <f>Introduction!$D$7</f>
        <v>0</v>
      </c>
      <c r="E53" s="239">
        <f>Introduction!$D$8</f>
        <v>0</v>
      </c>
      <c r="F53" s="193" t="s">
        <v>143</v>
      </c>
      <c r="G53" s="193" t="s">
        <v>467</v>
      </c>
      <c r="H53" s="193">
        <f>Renewables!B66</f>
        <v>0</v>
      </c>
      <c r="I53" s="237"/>
      <c r="J53" s="193">
        <f>Renewables!D66</f>
        <v>0</v>
      </c>
      <c r="K53" s="193">
        <f>Renewables!E66</f>
        <v>0</v>
      </c>
      <c r="L53" s="193">
        <f>Renewables!F66</f>
        <v>0</v>
      </c>
      <c r="M53" s="193">
        <f>Renewables!G66</f>
        <v>0</v>
      </c>
      <c r="N53" s="193">
        <f>Renewables!H66</f>
        <v>0</v>
      </c>
      <c r="O53" s="193" t="str">
        <f>Renewables!I66</f>
        <v/>
      </c>
      <c r="P53" s="193">
        <f>Renewables!J66</f>
        <v>0</v>
      </c>
      <c r="Q53" s="193">
        <f>Renewables!K66</f>
        <v>0</v>
      </c>
      <c r="R53" s="193">
        <f>Renewables!L66</f>
        <v>0</v>
      </c>
      <c r="S53" s="193">
        <f>Renewables!M66</f>
        <v>0</v>
      </c>
      <c r="T53" s="193">
        <f>Renewables!N66</f>
        <v>0</v>
      </c>
      <c r="U53" s="193">
        <f>Renewables!O66</f>
        <v>0</v>
      </c>
      <c r="V53" s="193">
        <f>Renewables!P66</f>
        <v>0</v>
      </c>
      <c r="W53" s="193">
        <f>Renewables!Q66</f>
        <v>0</v>
      </c>
      <c r="X53" s="193">
        <f>Renewables!R66</f>
        <v>0</v>
      </c>
    </row>
    <row r="54" spans="2:24" x14ac:dyDescent="0.35">
      <c r="B54" s="239" t="e">
        <f>"2025"&amp;MATCH(Totals!D889,OrgType,0)&amp;"_"&amp;MATCH(Totals!E889,Organisations,0)&amp;"_"&amp;LEFT(Totals!F889,1)&amp;"_"&amp;LEFT(G54,1)&amp;"_"&amp;COUNTIF($G$3:G54,G54)</f>
        <v>#N/A</v>
      </c>
      <c r="C54" s="193">
        <v>2025</v>
      </c>
      <c r="D54" s="193">
        <f>Introduction!$D$7</f>
        <v>0</v>
      </c>
      <c r="E54" s="193">
        <f>Introduction!$D$8</f>
        <v>0</v>
      </c>
      <c r="F54" s="193" t="s">
        <v>143</v>
      </c>
      <c r="G54" s="193" t="s">
        <v>467</v>
      </c>
      <c r="H54" s="193">
        <f>Renewables!B67</f>
        <v>0</v>
      </c>
      <c r="I54" s="237"/>
      <c r="J54" s="193">
        <f>Renewables!D67</f>
        <v>0</v>
      </c>
      <c r="K54" s="193">
        <f>Renewables!E67</f>
        <v>0</v>
      </c>
      <c r="L54" s="193">
        <f>Renewables!F67</f>
        <v>0</v>
      </c>
      <c r="M54" s="193">
        <f>Renewables!G67</f>
        <v>0</v>
      </c>
      <c r="N54" s="193">
        <f>Renewables!H67</f>
        <v>0</v>
      </c>
      <c r="O54" s="193" t="str">
        <f>Renewables!I67</f>
        <v/>
      </c>
      <c r="P54" s="193">
        <f>Renewables!J67</f>
        <v>0</v>
      </c>
      <c r="Q54" s="193">
        <f>Renewables!K67</f>
        <v>0</v>
      </c>
      <c r="R54" s="193">
        <f>Renewables!L67</f>
        <v>0</v>
      </c>
      <c r="S54" s="193">
        <f>Renewables!M67</f>
        <v>0</v>
      </c>
      <c r="T54" s="193">
        <f>Renewables!N67</f>
        <v>0</v>
      </c>
      <c r="U54" s="193">
        <f>Renewables!O67</f>
        <v>0</v>
      </c>
      <c r="V54" s="193">
        <f>Renewables!P67</f>
        <v>0</v>
      </c>
      <c r="W54" s="193">
        <f>Renewables!Q67</f>
        <v>0</v>
      </c>
      <c r="X54" s="193">
        <f>Renewables!R67</f>
        <v>0</v>
      </c>
    </row>
    <row r="55" spans="2:24" x14ac:dyDescent="0.35">
      <c r="B55" s="239" t="e">
        <f>"2025"&amp;MATCH(Totals!D890,OrgType,0)&amp;"_"&amp;MATCH(Totals!E890,Organisations,0)&amp;"_"&amp;LEFT(Totals!F890,1)&amp;"_"&amp;LEFT(G55,1)&amp;"_"&amp;COUNTIF($G$3:G55,G55)</f>
        <v>#N/A</v>
      </c>
      <c r="C55" s="239">
        <v>2025</v>
      </c>
      <c r="D55" s="239">
        <f>Introduction!$D$7</f>
        <v>0</v>
      </c>
      <c r="E55" s="239">
        <f>Introduction!$D$8</f>
        <v>0</v>
      </c>
      <c r="F55" s="193" t="s">
        <v>143</v>
      </c>
      <c r="G55" s="193" t="s">
        <v>467</v>
      </c>
      <c r="H55" s="193">
        <f>Renewables!B68</f>
        <v>0</v>
      </c>
      <c r="I55" s="237"/>
      <c r="J55" s="193">
        <f>Renewables!D68</f>
        <v>0</v>
      </c>
      <c r="K55" s="193">
        <f>Renewables!E68</f>
        <v>0</v>
      </c>
      <c r="L55" s="193">
        <f>Renewables!F68</f>
        <v>0</v>
      </c>
      <c r="M55" s="193">
        <f>Renewables!G68</f>
        <v>0</v>
      </c>
      <c r="N55" s="193">
        <f>Renewables!H68</f>
        <v>0</v>
      </c>
      <c r="O55" s="193" t="str">
        <f>Renewables!I68</f>
        <v/>
      </c>
      <c r="P55" s="193">
        <f>Renewables!J68</f>
        <v>0</v>
      </c>
      <c r="Q55" s="193">
        <f>Renewables!K68</f>
        <v>0</v>
      </c>
      <c r="R55" s="193">
        <f>Renewables!L68</f>
        <v>0</v>
      </c>
      <c r="S55" s="193">
        <f>Renewables!M68</f>
        <v>0</v>
      </c>
      <c r="T55" s="193">
        <f>Renewables!N68</f>
        <v>0</v>
      </c>
      <c r="U55" s="193">
        <f>Renewables!O68</f>
        <v>0</v>
      </c>
      <c r="V55" s="193">
        <f>Renewables!P68</f>
        <v>0</v>
      </c>
      <c r="W55" s="193">
        <f>Renewables!Q68</f>
        <v>0</v>
      </c>
      <c r="X55" s="193">
        <f>Renewables!R68</f>
        <v>0</v>
      </c>
    </row>
    <row r="56" spans="2:24" x14ac:dyDescent="0.35">
      <c r="B56" s="239" t="e">
        <f>"2025"&amp;MATCH(Totals!D891,OrgType,0)&amp;"_"&amp;MATCH(Totals!E891,Organisations,0)&amp;"_"&amp;LEFT(Totals!F891,1)&amp;"_"&amp;LEFT(G56,1)&amp;"_"&amp;COUNTIF($G$3:G56,G56)</f>
        <v>#N/A</v>
      </c>
      <c r="C56" s="193">
        <v>2025</v>
      </c>
      <c r="D56" s="193">
        <f>Introduction!$D$7</f>
        <v>0</v>
      </c>
      <c r="E56" s="193">
        <f>Introduction!$D$8</f>
        <v>0</v>
      </c>
      <c r="F56" s="193" t="s">
        <v>143</v>
      </c>
      <c r="G56" s="193" t="s">
        <v>467</v>
      </c>
      <c r="H56" s="193">
        <f>Renewables!B69</f>
        <v>0</v>
      </c>
      <c r="I56" s="237"/>
      <c r="J56" s="193">
        <f>Renewables!D69</f>
        <v>0</v>
      </c>
      <c r="K56" s="193">
        <f>Renewables!E69</f>
        <v>0</v>
      </c>
      <c r="L56" s="193">
        <f>Renewables!F69</f>
        <v>0</v>
      </c>
      <c r="M56" s="193">
        <f>Renewables!G69</f>
        <v>0</v>
      </c>
      <c r="N56" s="193">
        <f>Renewables!H69</f>
        <v>0</v>
      </c>
      <c r="O56" s="193" t="str">
        <f>Renewables!I69</f>
        <v/>
      </c>
      <c r="P56" s="193">
        <f>Renewables!J69</f>
        <v>0</v>
      </c>
      <c r="Q56" s="193">
        <f>Renewables!K69</f>
        <v>0</v>
      </c>
      <c r="R56" s="193">
        <f>Renewables!L69</f>
        <v>0</v>
      </c>
      <c r="S56" s="193">
        <f>Renewables!M69</f>
        <v>0</v>
      </c>
      <c r="T56" s="193">
        <f>Renewables!N69</f>
        <v>0</v>
      </c>
      <c r="U56" s="193">
        <f>Renewables!O69</f>
        <v>0</v>
      </c>
      <c r="V56" s="193">
        <f>Renewables!P69</f>
        <v>0</v>
      </c>
      <c r="W56" s="193">
        <f>Renewables!Q69</f>
        <v>0</v>
      </c>
      <c r="X56" s="193">
        <f>Renewables!R69</f>
        <v>0</v>
      </c>
    </row>
    <row r="57" spans="2:24" x14ac:dyDescent="0.35">
      <c r="B57" s="239" t="e">
        <f>"2025"&amp;MATCH(Totals!D892,OrgType,0)&amp;"_"&amp;MATCH(Totals!E892,Organisations,0)&amp;"_"&amp;LEFT(Totals!F892,1)&amp;"_"&amp;LEFT(G57,1)&amp;"_"&amp;COUNTIF($G$3:G57,G57)</f>
        <v>#N/A</v>
      </c>
      <c r="C57" s="239">
        <v>2025</v>
      </c>
      <c r="D57" s="239">
        <f>Introduction!$D$7</f>
        <v>0</v>
      </c>
      <c r="E57" s="239">
        <f>Introduction!$D$8</f>
        <v>0</v>
      </c>
      <c r="F57" s="193" t="s">
        <v>143</v>
      </c>
      <c r="G57" s="193" t="s">
        <v>467</v>
      </c>
      <c r="H57" s="193">
        <f>Renewables!B70</f>
        <v>0</v>
      </c>
      <c r="I57" s="237"/>
      <c r="J57" s="193">
        <f>Renewables!D70</f>
        <v>0</v>
      </c>
      <c r="K57" s="193">
        <f>Renewables!E70</f>
        <v>0</v>
      </c>
      <c r="L57" s="193">
        <f>Renewables!F70</f>
        <v>0</v>
      </c>
      <c r="M57" s="193">
        <f>Renewables!G70</f>
        <v>0</v>
      </c>
      <c r="N57" s="193">
        <f>Renewables!H70</f>
        <v>0</v>
      </c>
      <c r="O57" s="193" t="str">
        <f>Renewables!I70</f>
        <v/>
      </c>
      <c r="P57" s="193">
        <f>Renewables!J70</f>
        <v>0</v>
      </c>
      <c r="Q57" s="193">
        <f>Renewables!K70</f>
        <v>0</v>
      </c>
      <c r="R57" s="193">
        <f>Renewables!L70</f>
        <v>0</v>
      </c>
      <c r="S57" s="193">
        <f>Renewables!M70</f>
        <v>0</v>
      </c>
      <c r="T57" s="193">
        <f>Renewables!N70</f>
        <v>0</v>
      </c>
      <c r="U57" s="193">
        <f>Renewables!O70</f>
        <v>0</v>
      </c>
      <c r="V57" s="193">
        <f>Renewables!P70</f>
        <v>0</v>
      </c>
      <c r="W57" s="193">
        <f>Renewables!Q70</f>
        <v>0</v>
      </c>
      <c r="X57" s="193">
        <f>Renewables!R70</f>
        <v>0</v>
      </c>
    </row>
    <row r="58" spans="2:24" x14ac:dyDescent="0.35">
      <c r="B58" s="239" t="e">
        <f>"2025"&amp;MATCH(Totals!D893,OrgType,0)&amp;"_"&amp;MATCH(Totals!E893,Organisations,0)&amp;"_"&amp;LEFT(Totals!F893,1)&amp;"_"&amp;LEFT(G58,1)&amp;"_"&amp;COUNTIF($G$3:G58,G58)</f>
        <v>#N/A</v>
      </c>
      <c r="C58" s="193">
        <v>2025</v>
      </c>
      <c r="D58" s="193">
        <f>Introduction!$D$7</f>
        <v>0</v>
      </c>
      <c r="E58" s="193">
        <f>Introduction!$D$8</f>
        <v>0</v>
      </c>
      <c r="F58" s="193" t="s">
        <v>143</v>
      </c>
      <c r="G58" s="193" t="s">
        <v>467</v>
      </c>
      <c r="H58" s="193">
        <f>Renewables!B71</f>
        <v>0</v>
      </c>
      <c r="I58" s="237"/>
      <c r="J58" s="193">
        <f>Renewables!D71</f>
        <v>0</v>
      </c>
      <c r="K58" s="193">
        <f>Renewables!E71</f>
        <v>0</v>
      </c>
      <c r="L58" s="193">
        <f>Renewables!F71</f>
        <v>0</v>
      </c>
      <c r="M58" s="193">
        <f>Renewables!G71</f>
        <v>0</v>
      </c>
      <c r="N58" s="193">
        <f>Renewables!H71</f>
        <v>0</v>
      </c>
      <c r="O58" s="193" t="str">
        <f>Renewables!I71</f>
        <v/>
      </c>
      <c r="P58" s="193">
        <f>Renewables!J71</f>
        <v>0</v>
      </c>
      <c r="Q58" s="193">
        <f>Renewables!K71</f>
        <v>0</v>
      </c>
      <c r="R58" s="193">
        <f>Renewables!L71</f>
        <v>0</v>
      </c>
      <c r="S58" s="193">
        <f>Renewables!M71</f>
        <v>0</v>
      </c>
      <c r="T58" s="193">
        <f>Renewables!N71</f>
        <v>0</v>
      </c>
      <c r="U58" s="193">
        <f>Renewables!O71</f>
        <v>0</v>
      </c>
      <c r="V58" s="193">
        <f>Renewables!P71</f>
        <v>0</v>
      </c>
      <c r="W58" s="193">
        <f>Renewables!Q71</f>
        <v>0</v>
      </c>
      <c r="X58" s="193">
        <f>Renewables!R71</f>
        <v>0</v>
      </c>
    </row>
    <row r="59" spans="2:24" x14ac:dyDescent="0.35">
      <c r="B59" s="239" t="e">
        <f>"2025"&amp;MATCH(Totals!D894,OrgType,0)&amp;"_"&amp;MATCH(Totals!E894,Organisations,0)&amp;"_"&amp;LEFT(Totals!F894,1)&amp;"_"&amp;LEFT(G59,1)&amp;"_"&amp;COUNTIF($G$3:G59,G59)</f>
        <v>#N/A</v>
      </c>
      <c r="C59" s="239">
        <v>2025</v>
      </c>
      <c r="D59" s="239">
        <f>Introduction!$D$7</f>
        <v>0</v>
      </c>
      <c r="E59" s="239">
        <f>Introduction!$D$8</f>
        <v>0</v>
      </c>
      <c r="F59" s="193" t="s">
        <v>143</v>
      </c>
      <c r="G59" s="193" t="s">
        <v>467</v>
      </c>
      <c r="H59" s="193">
        <f>Renewables!B72</f>
        <v>0</v>
      </c>
      <c r="I59" s="237"/>
      <c r="J59" s="193">
        <f>Renewables!D72</f>
        <v>0</v>
      </c>
      <c r="K59" s="193">
        <f>Renewables!E72</f>
        <v>0</v>
      </c>
      <c r="L59" s="193">
        <f>Renewables!F72</f>
        <v>0</v>
      </c>
      <c r="M59" s="193">
        <f>Renewables!G72</f>
        <v>0</v>
      </c>
      <c r="N59" s="193">
        <f>Renewables!H72</f>
        <v>0</v>
      </c>
      <c r="O59" s="193" t="str">
        <f>Renewables!I72</f>
        <v/>
      </c>
      <c r="P59" s="193">
        <f>Renewables!J72</f>
        <v>0</v>
      </c>
      <c r="Q59" s="193">
        <f>Renewables!K72</f>
        <v>0</v>
      </c>
      <c r="R59" s="193">
        <f>Renewables!L72</f>
        <v>0</v>
      </c>
      <c r="S59" s="193">
        <f>Renewables!M72</f>
        <v>0</v>
      </c>
      <c r="T59" s="193">
        <f>Renewables!N72</f>
        <v>0</v>
      </c>
      <c r="U59" s="193">
        <f>Renewables!O72</f>
        <v>0</v>
      </c>
      <c r="V59" s="193">
        <f>Renewables!P72</f>
        <v>0</v>
      </c>
      <c r="W59" s="193">
        <f>Renewables!Q72</f>
        <v>0</v>
      </c>
      <c r="X59" s="193">
        <f>Renewables!R72</f>
        <v>0</v>
      </c>
    </row>
    <row r="60" spans="2:24" x14ac:dyDescent="0.35">
      <c r="B60" s="239" t="e">
        <f>"2025"&amp;MATCH(Totals!D895,OrgType,0)&amp;"_"&amp;MATCH(Totals!E895,Organisations,0)&amp;"_"&amp;LEFT(Totals!F895,1)&amp;"_"&amp;LEFT(G60,1)&amp;"_"&amp;COUNTIF($G$3:G60,G60)</f>
        <v>#N/A</v>
      </c>
      <c r="C60" s="193">
        <v>2025</v>
      </c>
      <c r="D60" s="193">
        <f>Introduction!$D$7</f>
        <v>0</v>
      </c>
      <c r="E60" s="193">
        <f>Introduction!$D$8</f>
        <v>0</v>
      </c>
      <c r="F60" s="193" t="s">
        <v>143</v>
      </c>
      <c r="G60" s="193" t="s">
        <v>467</v>
      </c>
      <c r="H60" s="193">
        <f>Renewables!B73</f>
        <v>0</v>
      </c>
      <c r="I60" s="237"/>
      <c r="J60" s="193">
        <f>Renewables!D73</f>
        <v>0</v>
      </c>
      <c r="K60" s="193">
        <f>Renewables!E73</f>
        <v>0</v>
      </c>
      <c r="L60" s="193">
        <f>Renewables!F73</f>
        <v>0</v>
      </c>
      <c r="M60" s="193">
        <f>Renewables!G73</f>
        <v>0</v>
      </c>
      <c r="N60" s="193">
        <f>Renewables!H73</f>
        <v>0</v>
      </c>
      <c r="O60" s="193" t="str">
        <f>Renewables!I73</f>
        <v/>
      </c>
      <c r="P60" s="193">
        <f>Renewables!J73</f>
        <v>0</v>
      </c>
      <c r="Q60" s="193">
        <f>Renewables!K73</f>
        <v>0</v>
      </c>
      <c r="R60" s="193">
        <f>Renewables!L73</f>
        <v>0</v>
      </c>
      <c r="S60" s="193">
        <f>Renewables!M73</f>
        <v>0</v>
      </c>
      <c r="T60" s="193">
        <f>Renewables!N73</f>
        <v>0</v>
      </c>
      <c r="U60" s="193">
        <f>Renewables!O73</f>
        <v>0</v>
      </c>
      <c r="V60" s="193">
        <f>Renewables!P73</f>
        <v>0</v>
      </c>
      <c r="W60" s="193">
        <f>Renewables!Q73</f>
        <v>0</v>
      </c>
      <c r="X60" s="193">
        <f>Renewables!R73</f>
        <v>0</v>
      </c>
    </row>
    <row r="61" spans="2:24" x14ac:dyDescent="0.35">
      <c r="B61" s="239" t="e">
        <f>"2025"&amp;MATCH(Totals!D896,OrgType,0)&amp;"_"&amp;MATCH(Totals!E896,Organisations,0)&amp;"_"&amp;LEFT(Totals!F896,1)&amp;"_"&amp;LEFT(G61,1)&amp;"_"&amp;COUNTIF($G$3:G61,G61)</f>
        <v>#N/A</v>
      </c>
      <c r="C61" s="239">
        <v>2025</v>
      </c>
      <c r="D61" s="239">
        <f>Introduction!$D$7</f>
        <v>0</v>
      </c>
      <c r="E61" s="239">
        <f>Introduction!$D$8</f>
        <v>0</v>
      </c>
      <c r="F61" s="193" t="s">
        <v>143</v>
      </c>
      <c r="G61" s="193" t="s">
        <v>467</v>
      </c>
      <c r="H61" s="193">
        <f>Renewables!B74</f>
        <v>0</v>
      </c>
      <c r="I61" s="237"/>
      <c r="J61" s="193">
        <f>Renewables!D74</f>
        <v>0</v>
      </c>
      <c r="K61" s="193">
        <f>Renewables!E74</f>
        <v>0</v>
      </c>
      <c r="L61" s="193">
        <f>Renewables!F74</f>
        <v>0</v>
      </c>
      <c r="M61" s="193">
        <f>Renewables!G74</f>
        <v>0</v>
      </c>
      <c r="N61" s="193">
        <f>Renewables!H74</f>
        <v>0</v>
      </c>
      <c r="O61" s="193" t="str">
        <f>Renewables!I74</f>
        <v/>
      </c>
      <c r="P61" s="193">
        <f>Renewables!J74</f>
        <v>0</v>
      </c>
      <c r="Q61" s="193">
        <f>Renewables!K74</f>
        <v>0</v>
      </c>
      <c r="R61" s="193">
        <f>Renewables!L74</f>
        <v>0</v>
      </c>
      <c r="S61" s="193">
        <f>Renewables!M74</f>
        <v>0</v>
      </c>
      <c r="T61" s="193">
        <f>Renewables!N74</f>
        <v>0</v>
      </c>
      <c r="U61" s="193">
        <f>Renewables!O74</f>
        <v>0</v>
      </c>
      <c r="V61" s="193">
        <f>Renewables!P74</f>
        <v>0</v>
      </c>
      <c r="W61" s="193">
        <f>Renewables!Q74</f>
        <v>0</v>
      </c>
      <c r="X61" s="193">
        <f>Renewables!R74</f>
        <v>0</v>
      </c>
    </row>
    <row r="62" spans="2:24" x14ac:dyDescent="0.35">
      <c r="B62" s="239" t="e">
        <f>"2025"&amp;MATCH(Totals!D897,OrgType,0)&amp;"_"&amp;MATCH(Totals!E897,Organisations,0)&amp;"_"&amp;LEFT(Totals!F897,1)&amp;"_"&amp;LEFT(G62,1)&amp;"_"&amp;COUNTIF($G$3:G62,G62)</f>
        <v>#N/A</v>
      </c>
      <c r="C62" s="193">
        <v>2025</v>
      </c>
      <c r="D62" s="193">
        <f>Introduction!$D$7</f>
        <v>0</v>
      </c>
      <c r="E62" s="193">
        <f>Introduction!$D$8</f>
        <v>0</v>
      </c>
      <c r="F62" s="193" t="s">
        <v>143</v>
      </c>
      <c r="G62" s="193" t="s">
        <v>467</v>
      </c>
      <c r="H62" s="193">
        <f>Renewables!B75</f>
        <v>0</v>
      </c>
      <c r="I62" s="237"/>
      <c r="J62" s="193">
        <f>Renewables!D75</f>
        <v>0</v>
      </c>
      <c r="K62" s="193">
        <f>Renewables!E75</f>
        <v>0</v>
      </c>
      <c r="L62" s="193">
        <f>Renewables!F75</f>
        <v>0</v>
      </c>
      <c r="M62" s="193">
        <f>Renewables!G75</f>
        <v>0</v>
      </c>
      <c r="N62" s="193">
        <f>Renewables!H75</f>
        <v>0</v>
      </c>
      <c r="O62" s="193" t="str">
        <f>Renewables!I75</f>
        <v/>
      </c>
      <c r="P62" s="193">
        <f>Renewables!J75</f>
        <v>0</v>
      </c>
      <c r="Q62" s="193">
        <f>Renewables!K75</f>
        <v>0</v>
      </c>
      <c r="R62" s="193">
        <f>Renewables!L75</f>
        <v>0</v>
      </c>
      <c r="S62" s="193">
        <f>Renewables!M75</f>
        <v>0</v>
      </c>
      <c r="T62" s="193">
        <f>Renewables!N75</f>
        <v>0</v>
      </c>
      <c r="U62" s="193">
        <f>Renewables!O75</f>
        <v>0</v>
      </c>
      <c r="V62" s="193">
        <f>Renewables!P75</f>
        <v>0</v>
      </c>
      <c r="W62" s="193">
        <f>Renewables!Q75</f>
        <v>0</v>
      </c>
      <c r="X62" s="193">
        <f>Renewables!R75</f>
        <v>0</v>
      </c>
    </row>
    <row r="63" spans="2:24" x14ac:dyDescent="0.35">
      <c r="B63" s="239" t="e">
        <f>"2025"&amp;MATCH(Totals!D898,OrgType,0)&amp;"_"&amp;MATCH(Totals!E898,Organisations,0)&amp;"_"&amp;LEFT(Totals!F898,1)&amp;"_"&amp;LEFT(G63,1)&amp;"_"&amp;COUNTIF($G$3:G63,G63)</f>
        <v>#N/A</v>
      </c>
      <c r="C63" s="239">
        <v>2025</v>
      </c>
      <c r="D63" s="239">
        <f>Introduction!$D$7</f>
        <v>0</v>
      </c>
      <c r="E63" s="239">
        <f>Introduction!$D$8</f>
        <v>0</v>
      </c>
      <c r="F63" s="193" t="s">
        <v>143</v>
      </c>
      <c r="G63" s="193" t="s">
        <v>467</v>
      </c>
      <c r="H63" s="193">
        <f>Renewables!B76</f>
        <v>0</v>
      </c>
      <c r="I63" s="237"/>
      <c r="J63" s="193">
        <f>Renewables!D76</f>
        <v>0</v>
      </c>
      <c r="K63" s="193">
        <f>Renewables!E76</f>
        <v>0</v>
      </c>
      <c r="L63" s="193">
        <f>Renewables!F76</f>
        <v>0</v>
      </c>
      <c r="M63" s="193">
        <f>Renewables!G76</f>
        <v>0</v>
      </c>
      <c r="N63" s="193">
        <f>Renewables!H76</f>
        <v>0</v>
      </c>
      <c r="O63" s="193" t="str">
        <f>Renewables!I76</f>
        <v/>
      </c>
      <c r="P63" s="193">
        <f>Renewables!J76</f>
        <v>0</v>
      </c>
      <c r="Q63" s="193">
        <f>Renewables!K76</f>
        <v>0</v>
      </c>
      <c r="R63" s="193">
        <f>Renewables!L76</f>
        <v>0</v>
      </c>
      <c r="S63" s="193">
        <f>Renewables!M76</f>
        <v>0</v>
      </c>
      <c r="T63" s="193">
        <f>Renewables!N76</f>
        <v>0</v>
      </c>
      <c r="U63" s="193">
        <f>Renewables!O76</f>
        <v>0</v>
      </c>
      <c r="V63" s="193">
        <f>Renewables!P76</f>
        <v>0</v>
      </c>
      <c r="W63" s="193">
        <f>Renewables!Q76</f>
        <v>0</v>
      </c>
      <c r="X63" s="193">
        <f>Renewables!R76</f>
        <v>0</v>
      </c>
    </row>
    <row r="64" spans="2:24" x14ac:dyDescent="0.35">
      <c r="B64" s="239" t="e">
        <f>"2025"&amp;MATCH(Totals!D899,OrgType,0)&amp;"_"&amp;MATCH(Totals!E899,Organisations,0)&amp;"_"&amp;LEFT(Totals!F899,1)&amp;"_"&amp;LEFT(G64,1)&amp;"_"&amp;COUNTIF($G$3:G64,G64)</f>
        <v>#N/A</v>
      </c>
      <c r="C64" s="193">
        <v>2025</v>
      </c>
      <c r="D64" s="193">
        <f>Introduction!$D$7</f>
        <v>0</v>
      </c>
      <c r="E64" s="193">
        <f>Introduction!$D$8</f>
        <v>0</v>
      </c>
      <c r="F64" s="193" t="s">
        <v>143</v>
      </c>
      <c r="G64" s="193" t="s">
        <v>467</v>
      </c>
      <c r="H64" s="193">
        <f>Renewables!B77</f>
        <v>0</v>
      </c>
      <c r="I64" s="237"/>
      <c r="J64" s="193">
        <f>Renewables!D77</f>
        <v>0</v>
      </c>
      <c r="K64" s="193">
        <f>Renewables!E77</f>
        <v>0</v>
      </c>
      <c r="L64" s="193">
        <f>Renewables!F77</f>
        <v>0</v>
      </c>
      <c r="M64" s="193">
        <f>Renewables!G77</f>
        <v>0</v>
      </c>
      <c r="N64" s="193">
        <f>Renewables!H77</f>
        <v>0</v>
      </c>
      <c r="O64" s="193" t="str">
        <f>Renewables!I77</f>
        <v/>
      </c>
      <c r="P64" s="193">
        <f>Renewables!J77</f>
        <v>0</v>
      </c>
      <c r="Q64" s="193">
        <f>Renewables!K77</f>
        <v>0</v>
      </c>
      <c r="R64" s="193">
        <f>Renewables!L77</f>
        <v>0</v>
      </c>
      <c r="S64" s="193">
        <f>Renewables!M77</f>
        <v>0</v>
      </c>
      <c r="T64" s="193">
        <f>Renewables!N77</f>
        <v>0</v>
      </c>
      <c r="U64" s="193">
        <f>Renewables!O77</f>
        <v>0</v>
      </c>
      <c r="V64" s="193">
        <f>Renewables!P77</f>
        <v>0</v>
      </c>
      <c r="W64" s="193">
        <f>Renewables!Q77</f>
        <v>0</v>
      </c>
      <c r="X64" s="193">
        <f>Renewables!R77</f>
        <v>0</v>
      </c>
    </row>
    <row r="65" spans="2:24" x14ac:dyDescent="0.35">
      <c r="B65" s="239" t="e">
        <f>"2025"&amp;MATCH(Totals!D900,OrgType,0)&amp;"_"&amp;MATCH(Totals!E900,Organisations,0)&amp;"_"&amp;LEFT(Totals!F900,1)&amp;"_"&amp;LEFT(G65,1)&amp;"_"&amp;COUNTIF($G$3:G65,G65)</f>
        <v>#N/A</v>
      </c>
      <c r="C65" s="239">
        <v>2025</v>
      </c>
      <c r="D65" s="239">
        <f>Introduction!$D$7</f>
        <v>0</v>
      </c>
      <c r="E65" s="239">
        <f>Introduction!$D$8</f>
        <v>0</v>
      </c>
      <c r="F65" s="193" t="s">
        <v>143</v>
      </c>
      <c r="G65" s="193" t="s">
        <v>467</v>
      </c>
      <c r="H65" s="193">
        <f>Renewables!B78</f>
        <v>0</v>
      </c>
      <c r="I65" s="237"/>
      <c r="J65" s="193">
        <f>Renewables!D78</f>
        <v>0</v>
      </c>
      <c r="K65" s="193">
        <f>Renewables!E78</f>
        <v>0</v>
      </c>
      <c r="L65" s="193">
        <f>Renewables!F78</f>
        <v>0</v>
      </c>
      <c r="M65" s="193">
        <f>Renewables!G78</f>
        <v>0</v>
      </c>
      <c r="N65" s="193">
        <f>Renewables!H78</f>
        <v>0</v>
      </c>
      <c r="O65" s="193" t="str">
        <f>Renewables!I78</f>
        <v/>
      </c>
      <c r="P65" s="193">
        <f>Renewables!J78</f>
        <v>0</v>
      </c>
      <c r="Q65" s="193">
        <f>Renewables!K78</f>
        <v>0</v>
      </c>
      <c r="R65" s="193">
        <f>Renewables!L78</f>
        <v>0</v>
      </c>
      <c r="S65" s="193">
        <f>Renewables!M78</f>
        <v>0</v>
      </c>
      <c r="T65" s="193">
        <f>Renewables!N78</f>
        <v>0</v>
      </c>
      <c r="U65" s="193">
        <f>Renewables!O78</f>
        <v>0</v>
      </c>
      <c r="V65" s="193">
        <f>Renewables!P78</f>
        <v>0</v>
      </c>
      <c r="W65" s="193">
        <f>Renewables!Q78</f>
        <v>0</v>
      </c>
      <c r="X65" s="193">
        <f>Renewables!R78</f>
        <v>0</v>
      </c>
    </row>
    <row r="66" spans="2:24" x14ac:dyDescent="0.35">
      <c r="B66" s="239" t="e">
        <f>"2025"&amp;MATCH(Totals!D901,OrgType,0)&amp;"_"&amp;MATCH(Totals!E901,Organisations,0)&amp;"_"&amp;LEFT(Totals!F901,1)&amp;"_"&amp;LEFT(G66,1)&amp;"_"&amp;COUNTIF($G$3:G66,G66)</f>
        <v>#N/A</v>
      </c>
      <c r="C66" s="193">
        <v>2025</v>
      </c>
      <c r="D66" s="193">
        <f>Introduction!$D$7</f>
        <v>0</v>
      </c>
      <c r="E66" s="193">
        <f>Introduction!$D$8</f>
        <v>0</v>
      </c>
      <c r="F66" s="193" t="s">
        <v>143</v>
      </c>
      <c r="G66" s="193" t="s">
        <v>467</v>
      </c>
      <c r="H66" s="193">
        <f>Renewables!B79</f>
        <v>0</v>
      </c>
      <c r="I66" s="237"/>
      <c r="J66" s="193">
        <f>Renewables!D79</f>
        <v>0</v>
      </c>
      <c r="K66" s="193">
        <f>Renewables!E79</f>
        <v>0</v>
      </c>
      <c r="L66" s="193">
        <f>Renewables!F79</f>
        <v>0</v>
      </c>
      <c r="M66" s="193">
        <f>Renewables!G79</f>
        <v>0</v>
      </c>
      <c r="N66" s="193">
        <f>Renewables!H79</f>
        <v>0</v>
      </c>
      <c r="O66" s="193" t="str">
        <f>Renewables!I79</f>
        <v/>
      </c>
      <c r="P66" s="193">
        <f>Renewables!J79</f>
        <v>0</v>
      </c>
      <c r="Q66" s="193">
        <f>Renewables!K79</f>
        <v>0</v>
      </c>
      <c r="R66" s="193">
        <f>Renewables!L79</f>
        <v>0</v>
      </c>
      <c r="S66" s="193">
        <f>Renewables!M79</f>
        <v>0</v>
      </c>
      <c r="T66" s="193">
        <f>Renewables!N79</f>
        <v>0</v>
      </c>
      <c r="U66" s="193">
        <f>Renewables!O79</f>
        <v>0</v>
      </c>
      <c r="V66" s="193">
        <f>Renewables!P79</f>
        <v>0</v>
      </c>
      <c r="W66" s="193">
        <f>Renewables!Q79</f>
        <v>0</v>
      </c>
      <c r="X66" s="193">
        <f>Renewables!R79</f>
        <v>0</v>
      </c>
    </row>
    <row r="67" spans="2:24" x14ac:dyDescent="0.35">
      <c r="B67" s="239" t="e">
        <f>"2025"&amp;MATCH(Totals!D902,OrgType,0)&amp;"_"&amp;MATCH(Totals!E902,Organisations,0)&amp;"_"&amp;LEFT(Totals!F902,1)&amp;"_"&amp;LEFT(G67,1)&amp;"_"&amp;COUNTIF($G$3:G67,G67)</f>
        <v>#N/A</v>
      </c>
      <c r="C67" s="239">
        <v>2025</v>
      </c>
      <c r="D67" s="239">
        <f>Introduction!$D$7</f>
        <v>0</v>
      </c>
      <c r="E67" s="239">
        <f>Introduction!$D$8</f>
        <v>0</v>
      </c>
      <c r="F67" s="193" t="s">
        <v>143</v>
      </c>
      <c r="G67" s="193" t="s">
        <v>467</v>
      </c>
      <c r="H67" s="193">
        <f>Renewables!B80</f>
        <v>0</v>
      </c>
      <c r="I67" s="237"/>
      <c r="J67" s="193">
        <f>Renewables!D80</f>
        <v>0</v>
      </c>
      <c r="K67" s="193">
        <f>Renewables!E80</f>
        <v>0</v>
      </c>
      <c r="L67" s="193">
        <f>Renewables!F80</f>
        <v>0</v>
      </c>
      <c r="M67" s="193">
        <f>Renewables!G80</f>
        <v>0</v>
      </c>
      <c r="N67" s="193">
        <f>Renewables!H80</f>
        <v>0</v>
      </c>
      <c r="O67" s="193" t="str">
        <f>Renewables!I80</f>
        <v/>
      </c>
      <c r="P67" s="193">
        <f>Renewables!J80</f>
        <v>0</v>
      </c>
      <c r="Q67" s="193">
        <f>Renewables!K80</f>
        <v>0</v>
      </c>
      <c r="R67" s="193">
        <f>Renewables!L80</f>
        <v>0</v>
      </c>
      <c r="S67" s="193">
        <f>Renewables!M80</f>
        <v>0</v>
      </c>
      <c r="T67" s="193">
        <f>Renewables!N80</f>
        <v>0</v>
      </c>
      <c r="U67" s="193">
        <f>Renewables!O80</f>
        <v>0</v>
      </c>
      <c r="V67" s="193">
        <f>Renewables!P80</f>
        <v>0</v>
      </c>
      <c r="W67" s="193">
        <f>Renewables!Q80</f>
        <v>0</v>
      </c>
      <c r="X67" s="193">
        <f>Renewables!R80</f>
        <v>0</v>
      </c>
    </row>
    <row r="68" spans="2:24" x14ac:dyDescent="0.35">
      <c r="B68" s="239" t="e">
        <f>"2025"&amp;MATCH(Totals!D903,OrgType,0)&amp;"_"&amp;MATCH(Totals!E903,Organisations,0)&amp;"_"&amp;LEFT(Totals!F903,1)&amp;"_"&amp;LEFT(G68,1)&amp;"_"&amp;COUNTIF($G$3:G68,G68)</f>
        <v>#N/A</v>
      </c>
      <c r="C68" s="193">
        <v>2025</v>
      </c>
      <c r="D68" s="193">
        <f>Introduction!$D$7</f>
        <v>0</v>
      </c>
      <c r="E68" s="193">
        <f>Introduction!$D$8</f>
        <v>0</v>
      </c>
      <c r="F68" s="193" t="s">
        <v>143</v>
      </c>
      <c r="G68" s="193" t="s">
        <v>467</v>
      </c>
      <c r="H68" s="193">
        <f>Renewables!B81</f>
        <v>0</v>
      </c>
      <c r="I68" s="237"/>
      <c r="J68" s="193">
        <f>Renewables!D81</f>
        <v>0</v>
      </c>
      <c r="K68" s="193">
        <f>Renewables!E81</f>
        <v>0</v>
      </c>
      <c r="L68" s="193">
        <f>Renewables!F81</f>
        <v>0</v>
      </c>
      <c r="M68" s="193">
        <f>Renewables!G81</f>
        <v>0</v>
      </c>
      <c r="N68" s="193">
        <f>Renewables!H81</f>
        <v>0</v>
      </c>
      <c r="O68" s="193" t="str">
        <f>Renewables!I81</f>
        <v/>
      </c>
      <c r="P68" s="193">
        <f>Renewables!J81</f>
        <v>0</v>
      </c>
      <c r="Q68" s="193">
        <f>Renewables!K81</f>
        <v>0</v>
      </c>
      <c r="R68" s="193">
        <f>Renewables!L81</f>
        <v>0</v>
      </c>
      <c r="S68" s="193">
        <f>Renewables!M81</f>
        <v>0</v>
      </c>
      <c r="T68" s="193">
        <f>Renewables!N81</f>
        <v>0</v>
      </c>
      <c r="U68" s="193">
        <f>Renewables!O81</f>
        <v>0</v>
      </c>
      <c r="V68" s="193">
        <f>Renewables!P81</f>
        <v>0</v>
      </c>
      <c r="W68" s="193">
        <f>Renewables!Q81</f>
        <v>0</v>
      </c>
      <c r="X68" s="193">
        <f>Renewables!R81</f>
        <v>0</v>
      </c>
    </row>
    <row r="69" spans="2:24" x14ac:dyDescent="0.35">
      <c r="B69" s="239" t="e">
        <f>"2025"&amp;MATCH(Totals!D904,OrgType,0)&amp;"_"&amp;MATCH(Totals!E904,Organisations,0)&amp;"_"&amp;LEFT(Totals!F904,1)&amp;"_"&amp;LEFT(G69,1)&amp;"_"&amp;COUNTIF($G$3:G69,G69)</f>
        <v>#N/A</v>
      </c>
      <c r="C69" s="239">
        <v>2025</v>
      </c>
      <c r="D69" s="239">
        <f>Introduction!$D$7</f>
        <v>0</v>
      </c>
      <c r="E69" s="239">
        <f>Introduction!$D$8</f>
        <v>0</v>
      </c>
      <c r="F69" s="193" t="s">
        <v>143</v>
      </c>
      <c r="G69" s="193" t="s">
        <v>467</v>
      </c>
      <c r="H69" s="193">
        <f>Renewables!B82</f>
        <v>0</v>
      </c>
      <c r="I69" s="237"/>
      <c r="J69" s="193">
        <f>Renewables!D82</f>
        <v>0</v>
      </c>
      <c r="K69" s="193">
        <f>Renewables!E82</f>
        <v>0</v>
      </c>
      <c r="L69" s="193">
        <f>Renewables!F82</f>
        <v>0</v>
      </c>
      <c r="M69" s="193">
        <f>Renewables!G82</f>
        <v>0</v>
      </c>
      <c r="N69" s="193">
        <f>Renewables!H82</f>
        <v>0</v>
      </c>
      <c r="O69" s="193" t="str">
        <f>Renewables!I82</f>
        <v/>
      </c>
      <c r="P69" s="193">
        <f>Renewables!J82</f>
        <v>0</v>
      </c>
      <c r="Q69" s="193">
        <f>Renewables!K82</f>
        <v>0</v>
      </c>
      <c r="R69" s="193">
        <f>Renewables!L82</f>
        <v>0</v>
      </c>
      <c r="S69" s="193">
        <f>Renewables!M82</f>
        <v>0</v>
      </c>
      <c r="T69" s="193">
        <f>Renewables!N82</f>
        <v>0</v>
      </c>
      <c r="U69" s="193">
        <f>Renewables!O82</f>
        <v>0</v>
      </c>
      <c r="V69" s="193">
        <f>Renewables!P82</f>
        <v>0</v>
      </c>
      <c r="W69" s="193">
        <f>Renewables!Q82</f>
        <v>0</v>
      </c>
      <c r="X69" s="193">
        <f>Renewables!R82</f>
        <v>0</v>
      </c>
    </row>
    <row r="70" spans="2:24" x14ac:dyDescent="0.35">
      <c r="B70" s="239" t="e">
        <f>"2025"&amp;MATCH(Totals!D905,OrgType,0)&amp;"_"&amp;MATCH(Totals!E905,Organisations,0)&amp;"_"&amp;LEFT(Totals!F905,1)&amp;"_"&amp;LEFT(G70,1)&amp;"_"&amp;COUNTIF($G$3:G70,G70)</f>
        <v>#N/A</v>
      </c>
      <c r="C70" s="193">
        <v>2025</v>
      </c>
      <c r="D70" s="193">
        <f>Introduction!$D$7</f>
        <v>0</v>
      </c>
      <c r="E70" s="193">
        <f>Introduction!$D$8</f>
        <v>0</v>
      </c>
      <c r="F70" s="193" t="s">
        <v>143</v>
      </c>
      <c r="G70" s="193" t="s">
        <v>467</v>
      </c>
      <c r="H70" s="193">
        <f>Renewables!B83</f>
        <v>0</v>
      </c>
      <c r="I70" s="237"/>
      <c r="J70" s="193">
        <f>Renewables!D83</f>
        <v>0</v>
      </c>
      <c r="K70" s="193">
        <f>Renewables!E83</f>
        <v>0</v>
      </c>
      <c r="L70" s="193">
        <f>Renewables!F83</f>
        <v>0</v>
      </c>
      <c r="M70" s="193">
        <f>Renewables!G83</f>
        <v>0</v>
      </c>
      <c r="N70" s="193">
        <f>Renewables!H83</f>
        <v>0</v>
      </c>
      <c r="O70" s="193" t="str">
        <f>Renewables!I83</f>
        <v/>
      </c>
      <c r="P70" s="193">
        <f>Renewables!J83</f>
        <v>0</v>
      </c>
      <c r="Q70" s="193">
        <f>Renewables!K83</f>
        <v>0</v>
      </c>
      <c r="R70" s="193">
        <f>Renewables!L83</f>
        <v>0</v>
      </c>
      <c r="S70" s="193">
        <f>Renewables!M83</f>
        <v>0</v>
      </c>
      <c r="T70" s="193">
        <f>Renewables!N83</f>
        <v>0</v>
      </c>
      <c r="U70" s="193">
        <f>Renewables!O83</f>
        <v>0</v>
      </c>
      <c r="V70" s="193">
        <f>Renewables!P83</f>
        <v>0</v>
      </c>
      <c r="W70" s="193">
        <f>Renewables!Q83</f>
        <v>0</v>
      </c>
      <c r="X70" s="193">
        <f>Renewables!R83</f>
        <v>0</v>
      </c>
    </row>
    <row r="71" spans="2:24" x14ac:dyDescent="0.35">
      <c r="B71" s="239" t="e">
        <f>"2025"&amp;MATCH(Totals!D906,OrgType,0)&amp;"_"&amp;MATCH(Totals!E906,Organisations,0)&amp;"_"&amp;LEFT(Totals!F906,1)&amp;"_"&amp;LEFT(G71,1)&amp;"_"&amp;COUNTIF($G$3:G71,G71)</f>
        <v>#N/A</v>
      </c>
      <c r="C71" s="239">
        <v>2025</v>
      </c>
      <c r="D71" s="239">
        <f>Introduction!$D$7</f>
        <v>0</v>
      </c>
      <c r="E71" s="239">
        <f>Introduction!$D$8</f>
        <v>0</v>
      </c>
      <c r="F71" s="193" t="s">
        <v>143</v>
      </c>
      <c r="G71" s="193" t="s">
        <v>467</v>
      </c>
      <c r="H71" s="193">
        <f>Renewables!B84</f>
        <v>0</v>
      </c>
      <c r="I71" s="237"/>
      <c r="J71" s="193">
        <f>Renewables!D84</f>
        <v>0</v>
      </c>
      <c r="K71" s="193">
        <f>Renewables!E84</f>
        <v>0</v>
      </c>
      <c r="L71" s="193">
        <f>Renewables!F84</f>
        <v>0</v>
      </c>
      <c r="M71" s="193">
        <f>Renewables!G84</f>
        <v>0</v>
      </c>
      <c r="N71" s="193">
        <f>Renewables!H84</f>
        <v>0</v>
      </c>
      <c r="O71" s="193" t="str">
        <f>Renewables!I84</f>
        <v/>
      </c>
      <c r="P71" s="193">
        <f>Renewables!J84</f>
        <v>0</v>
      </c>
      <c r="Q71" s="193">
        <f>Renewables!K84</f>
        <v>0</v>
      </c>
      <c r="R71" s="193">
        <f>Renewables!L84</f>
        <v>0</v>
      </c>
      <c r="S71" s="193">
        <f>Renewables!M84</f>
        <v>0</v>
      </c>
      <c r="T71" s="193">
        <f>Renewables!N84</f>
        <v>0</v>
      </c>
      <c r="U71" s="193">
        <f>Renewables!O84</f>
        <v>0</v>
      </c>
      <c r="V71" s="193">
        <f>Renewables!P84</f>
        <v>0</v>
      </c>
      <c r="W71" s="193">
        <f>Renewables!Q84</f>
        <v>0</v>
      </c>
      <c r="X71" s="193">
        <f>Renewables!R84</f>
        <v>0</v>
      </c>
    </row>
    <row r="72" spans="2:24" x14ac:dyDescent="0.35">
      <c r="B72" s="239" t="e">
        <f>"2025"&amp;MATCH(Totals!D907,OrgType,0)&amp;"_"&amp;MATCH(Totals!E907,Organisations,0)&amp;"_"&amp;LEFT(Totals!F907,1)&amp;"_"&amp;LEFT(G72,1)&amp;"_"&amp;COUNTIF($G$3:G72,G72)</f>
        <v>#N/A</v>
      </c>
      <c r="C72" s="193">
        <v>2025</v>
      </c>
      <c r="D72" s="193">
        <f>Introduction!$D$7</f>
        <v>0</v>
      </c>
      <c r="E72" s="193">
        <f>Introduction!$D$8</f>
        <v>0</v>
      </c>
      <c r="F72" s="193" t="s">
        <v>143</v>
      </c>
      <c r="G72" s="193" t="s">
        <v>467</v>
      </c>
      <c r="H72" s="193">
        <f>Renewables!B85</f>
        <v>0</v>
      </c>
      <c r="I72" s="237"/>
      <c r="J72" s="193">
        <f>Renewables!D85</f>
        <v>0</v>
      </c>
      <c r="K72" s="193">
        <f>Renewables!E85</f>
        <v>0</v>
      </c>
      <c r="L72" s="193">
        <f>Renewables!F85</f>
        <v>0</v>
      </c>
      <c r="M72" s="193">
        <f>Renewables!G85</f>
        <v>0</v>
      </c>
      <c r="N72" s="193">
        <f>Renewables!H85</f>
        <v>0</v>
      </c>
      <c r="O72" s="193" t="str">
        <f>Renewables!I85</f>
        <v/>
      </c>
      <c r="P72" s="193">
        <f>Renewables!J85</f>
        <v>0</v>
      </c>
      <c r="Q72" s="193">
        <f>Renewables!K85</f>
        <v>0</v>
      </c>
      <c r="R72" s="193">
        <f>Renewables!L85</f>
        <v>0</v>
      </c>
      <c r="S72" s="193">
        <f>Renewables!M85</f>
        <v>0</v>
      </c>
      <c r="T72" s="193">
        <f>Renewables!N85</f>
        <v>0</v>
      </c>
      <c r="U72" s="193">
        <f>Renewables!O85</f>
        <v>0</v>
      </c>
      <c r="V72" s="193">
        <f>Renewables!P85</f>
        <v>0</v>
      </c>
      <c r="W72" s="193">
        <f>Renewables!Q85</f>
        <v>0</v>
      </c>
      <c r="X72" s="193">
        <f>Renewables!R85</f>
        <v>0</v>
      </c>
    </row>
    <row r="73" spans="2:24" x14ac:dyDescent="0.35">
      <c r="B73" s="239" t="e">
        <f>"2025"&amp;MATCH(Totals!D908,OrgType,0)&amp;"_"&amp;MATCH(Totals!E908,Organisations,0)&amp;"_"&amp;LEFT(Totals!F908,1)&amp;"_"&amp;LEFT(G73,1)&amp;"_"&amp;COUNTIF($G$3:G73,G73)</f>
        <v>#N/A</v>
      </c>
      <c r="C73" s="239">
        <v>2025</v>
      </c>
      <c r="D73" s="239">
        <f>Introduction!$D$7</f>
        <v>0</v>
      </c>
      <c r="E73" s="239">
        <f>Introduction!$D$8</f>
        <v>0</v>
      </c>
      <c r="F73" s="193" t="s">
        <v>143</v>
      </c>
      <c r="G73" s="193" t="s">
        <v>467</v>
      </c>
      <c r="H73" s="193">
        <f>Renewables!B86</f>
        <v>0</v>
      </c>
      <c r="I73" s="237"/>
      <c r="J73" s="193">
        <f>Renewables!D86</f>
        <v>0</v>
      </c>
      <c r="K73" s="193">
        <f>Renewables!E86</f>
        <v>0</v>
      </c>
      <c r="L73" s="193">
        <f>Renewables!F86</f>
        <v>0</v>
      </c>
      <c r="M73" s="193">
        <f>Renewables!G86</f>
        <v>0</v>
      </c>
      <c r="N73" s="193">
        <f>Renewables!H86</f>
        <v>0</v>
      </c>
      <c r="O73" s="193" t="str">
        <f>Renewables!I86</f>
        <v/>
      </c>
      <c r="P73" s="193">
        <f>Renewables!J86</f>
        <v>0</v>
      </c>
      <c r="Q73" s="193">
        <f>Renewables!K86</f>
        <v>0</v>
      </c>
      <c r="R73" s="193">
        <f>Renewables!L86</f>
        <v>0</v>
      </c>
      <c r="S73" s="193">
        <f>Renewables!M86</f>
        <v>0</v>
      </c>
      <c r="T73" s="193">
        <f>Renewables!N86</f>
        <v>0</v>
      </c>
      <c r="U73" s="193">
        <f>Renewables!O86</f>
        <v>0</v>
      </c>
      <c r="V73" s="193">
        <f>Renewables!P86</f>
        <v>0</v>
      </c>
      <c r="W73" s="193">
        <f>Renewables!Q86</f>
        <v>0</v>
      </c>
      <c r="X73" s="193">
        <f>Renewables!R86</f>
        <v>0</v>
      </c>
    </row>
    <row r="74" spans="2:24" x14ac:dyDescent="0.35">
      <c r="B74" s="239" t="e">
        <f>"2025"&amp;MATCH(Totals!D909,OrgType,0)&amp;"_"&amp;MATCH(Totals!E909,Organisations,0)&amp;"_"&amp;LEFT(Totals!F909,1)&amp;"_"&amp;LEFT(G74,1)&amp;"_"&amp;COUNTIF($G$3:G89,G74)</f>
        <v>#N/A</v>
      </c>
      <c r="C74" s="193">
        <v>2025</v>
      </c>
      <c r="D74" s="193">
        <f>Introduction!$D$7</f>
        <v>0</v>
      </c>
      <c r="E74" s="193">
        <f>Introduction!$D$8</f>
        <v>0</v>
      </c>
      <c r="F74" s="193" t="s">
        <v>143</v>
      </c>
      <c r="G74" s="193" t="s">
        <v>467</v>
      </c>
      <c r="H74" s="193">
        <f>Renewables!B87</f>
        <v>0</v>
      </c>
      <c r="I74" s="237"/>
      <c r="J74" s="193">
        <f>Renewables!D87</f>
        <v>0</v>
      </c>
      <c r="K74" s="193">
        <f>Renewables!E87</f>
        <v>0</v>
      </c>
      <c r="L74" s="193">
        <f>Renewables!F87</f>
        <v>0</v>
      </c>
      <c r="M74" s="193">
        <f>Renewables!G87</f>
        <v>0</v>
      </c>
      <c r="N74" s="193">
        <f>Renewables!H87</f>
        <v>0</v>
      </c>
      <c r="O74" s="193" t="str">
        <f>Renewables!I87</f>
        <v/>
      </c>
      <c r="P74" s="193">
        <f>Renewables!J87</f>
        <v>0</v>
      </c>
      <c r="Q74" s="193">
        <f>Renewables!K87</f>
        <v>0</v>
      </c>
      <c r="R74" s="193">
        <f>Renewables!L87</f>
        <v>0</v>
      </c>
      <c r="S74" s="193">
        <f>Renewables!M87</f>
        <v>0</v>
      </c>
      <c r="T74" s="193">
        <f>Renewables!N87</f>
        <v>0</v>
      </c>
      <c r="U74" s="193">
        <f>Renewables!O87</f>
        <v>0</v>
      </c>
      <c r="V74" s="193">
        <f>Renewables!P87</f>
        <v>0</v>
      </c>
      <c r="W74" s="193">
        <f>Renewables!Q87</f>
        <v>0</v>
      </c>
      <c r="X74" s="193">
        <f>Renewables!R87</f>
        <v>0</v>
      </c>
    </row>
    <row r="75" spans="2:24" x14ac:dyDescent="0.35">
      <c r="B75" s="193" t="e">
        <f>"2025"&amp;MATCH(Totals!D75,OrgType,0)&amp;"_"&amp;MATCH(Totals!E75,Organisations,0)&amp;"_"&amp;LEFT(Totals!F75,1)&amp;"_"&amp;LEFT(G75,1)&amp;"_"&amp;COUNTIF($G$3:G89,G75)</f>
        <v>#N/A</v>
      </c>
      <c r="C75" s="193"/>
      <c r="D75" s="193">
        <f>Introduction!$D$7</f>
        <v>0</v>
      </c>
      <c r="E75" s="193">
        <f>Introduction!$D$8</f>
        <v>0</v>
      </c>
      <c r="G75" s="193" t="s">
        <v>467</v>
      </c>
      <c r="H75" s="193">
        <f>Renewables!B88</f>
        <v>0</v>
      </c>
      <c r="I75" s="237"/>
      <c r="J75" s="193">
        <f>Renewables!D88</f>
        <v>0</v>
      </c>
      <c r="K75" s="193">
        <f>Renewables!E88</f>
        <v>0</v>
      </c>
      <c r="L75" s="193">
        <f>Renewables!F88</f>
        <v>0</v>
      </c>
      <c r="M75" s="193">
        <f>Renewables!G88</f>
        <v>0</v>
      </c>
      <c r="N75" s="193">
        <f>Renewables!H88</f>
        <v>0</v>
      </c>
      <c r="O75" s="193" t="str">
        <f>Renewables!I88</f>
        <v/>
      </c>
      <c r="P75" s="193">
        <f>Renewables!J88</f>
        <v>0</v>
      </c>
      <c r="Q75" s="193">
        <f>Renewables!K88</f>
        <v>0</v>
      </c>
      <c r="R75" s="193">
        <f>Renewables!L88</f>
        <v>0</v>
      </c>
      <c r="S75" s="193">
        <f>Renewables!M88</f>
        <v>0</v>
      </c>
      <c r="T75" s="193">
        <f>Renewables!N88</f>
        <v>0</v>
      </c>
      <c r="U75" s="193">
        <f>Renewables!O88</f>
        <v>0</v>
      </c>
      <c r="V75" s="193">
        <f>Renewables!P88</f>
        <v>0</v>
      </c>
      <c r="W75" s="193">
        <f>Renewables!Q88</f>
        <v>0</v>
      </c>
      <c r="X75" s="193">
        <f>Renewables!R88</f>
        <v>0</v>
      </c>
    </row>
    <row r="76" spans="2:24" x14ac:dyDescent="0.35">
      <c r="B76" s="193" t="e">
        <f>"2025"&amp;MATCH(Totals!D76,OrgType,0)&amp;"_"&amp;MATCH(Totals!E76,Organisations,0)&amp;"_"&amp;LEFT(Totals!F76,1)&amp;"_"&amp;LEFT(G76,1)&amp;"_"&amp;COUNTIF($G$3:G76,G76)</f>
        <v>#N/A</v>
      </c>
      <c r="C76" s="193"/>
      <c r="D76" s="193">
        <f>Introduction!$D$7</f>
        <v>0</v>
      </c>
      <c r="E76" s="193">
        <f>Introduction!$D$8</f>
        <v>0</v>
      </c>
      <c r="G76" t="s">
        <v>469</v>
      </c>
      <c r="H76" s="256"/>
      <c r="I76" s="237"/>
      <c r="J76" s="193">
        <f>Renewables!B92</f>
        <v>0</v>
      </c>
      <c r="K76" s="237"/>
      <c r="L76" s="193">
        <f>Renewables!D92</f>
        <v>0</v>
      </c>
      <c r="M76" s="193">
        <f>Renewables!C92</f>
        <v>0</v>
      </c>
      <c r="N76" s="237"/>
      <c r="O76" s="257" t="str">
        <f>Renewables!E92</f>
        <v/>
      </c>
      <c r="P76" s="237"/>
      <c r="Q76" s="237"/>
      <c r="R76" s="193">
        <f>Renewables!F92</f>
        <v>0</v>
      </c>
      <c r="S76" s="237"/>
      <c r="T76" s="237"/>
      <c r="U76" s="237"/>
      <c r="V76" s="237"/>
      <c r="W76" s="193">
        <f>Renewables!I92</f>
        <v>0</v>
      </c>
      <c r="X76" s="193">
        <f>Renewables!J92</f>
        <v>0</v>
      </c>
    </row>
    <row r="77" spans="2:24" x14ac:dyDescent="0.35">
      <c r="B77" s="193" t="e">
        <f>"2025"&amp;MATCH(Totals!D77,OrgType,0)&amp;"_"&amp;MATCH(Totals!E77,Organisations,0)&amp;"_"&amp;LEFT(Totals!F77,1)&amp;"_"&amp;LEFT(G77,1)&amp;"_"&amp;COUNTIF($G$3:G77,G77)</f>
        <v>#N/A</v>
      </c>
      <c r="C77" s="193"/>
      <c r="D77" s="193">
        <f>Introduction!$D$7</f>
        <v>0</v>
      </c>
      <c r="E77" s="193">
        <f>Introduction!$D$8</f>
        <v>0</v>
      </c>
      <c r="G77" t="s">
        <v>469</v>
      </c>
      <c r="H77" s="256"/>
      <c r="I77" s="237"/>
      <c r="J77" s="193">
        <f>Renewables!B93</f>
        <v>0</v>
      </c>
      <c r="K77" s="237"/>
      <c r="L77" s="193">
        <f>Renewables!D93</f>
        <v>0</v>
      </c>
      <c r="M77" s="193">
        <f>Renewables!C93</f>
        <v>0</v>
      </c>
      <c r="N77" s="237"/>
      <c r="O77" s="257" t="str">
        <f>Renewables!E93</f>
        <v/>
      </c>
      <c r="P77" s="237"/>
      <c r="Q77" s="237"/>
      <c r="R77" s="193">
        <f>Renewables!F93</f>
        <v>0</v>
      </c>
      <c r="S77" s="237"/>
      <c r="T77" s="237"/>
      <c r="U77" s="237"/>
      <c r="V77" s="237"/>
      <c r="W77" s="193">
        <f>Renewables!I93</f>
        <v>0</v>
      </c>
      <c r="X77" s="193">
        <f>Renewables!J93</f>
        <v>0</v>
      </c>
    </row>
    <row r="78" spans="2:24" x14ac:dyDescent="0.35">
      <c r="B78" s="193" t="e">
        <f>"2025"&amp;MATCH(Totals!D78,OrgType,0)&amp;"_"&amp;MATCH(Totals!E78,Organisations,0)&amp;"_"&amp;LEFT(Totals!F78,1)&amp;"_"&amp;LEFT(G78,1)&amp;"_"&amp;COUNTIF($G$3:G78,G78)</f>
        <v>#N/A</v>
      </c>
      <c r="C78" s="193"/>
      <c r="D78" s="193">
        <f>Introduction!$D$7</f>
        <v>0</v>
      </c>
      <c r="E78" s="193">
        <f>Introduction!$D$8</f>
        <v>0</v>
      </c>
      <c r="G78" t="s">
        <v>469</v>
      </c>
      <c r="H78" s="256"/>
      <c r="I78" s="237"/>
      <c r="J78" s="193">
        <f>Renewables!B94</f>
        <v>0</v>
      </c>
      <c r="K78" s="237"/>
      <c r="L78" s="193">
        <f>Renewables!D94</f>
        <v>0</v>
      </c>
      <c r="M78" s="193">
        <f>Renewables!C94</f>
        <v>0</v>
      </c>
      <c r="N78" s="237"/>
      <c r="O78" s="257" t="str">
        <f>Renewables!E94</f>
        <v/>
      </c>
      <c r="P78" s="237"/>
      <c r="Q78" s="237"/>
      <c r="R78" s="193">
        <f>Renewables!F94</f>
        <v>0</v>
      </c>
      <c r="S78" s="237"/>
      <c r="T78" s="237"/>
      <c r="U78" s="237"/>
      <c r="V78" s="237"/>
      <c r="W78" s="193">
        <f>Renewables!I94</f>
        <v>0</v>
      </c>
      <c r="X78" s="193">
        <f>Renewables!J94</f>
        <v>0</v>
      </c>
    </row>
    <row r="79" spans="2:24" x14ac:dyDescent="0.35">
      <c r="B79" s="193" t="e">
        <f>"2025"&amp;MATCH(Totals!D79,OrgType,0)&amp;"_"&amp;MATCH(Totals!E79,Organisations,0)&amp;"_"&amp;LEFT(Totals!F79,1)&amp;"_"&amp;LEFT(G79,1)&amp;"_"&amp;COUNTIF($G$3:G79,G79)</f>
        <v>#N/A</v>
      </c>
      <c r="C79" s="193"/>
      <c r="D79" s="193">
        <f>Introduction!$D$7</f>
        <v>0</v>
      </c>
      <c r="E79" s="193">
        <f>Introduction!$D$8</f>
        <v>0</v>
      </c>
      <c r="G79" t="s">
        <v>469</v>
      </c>
      <c r="H79" s="256"/>
      <c r="I79" s="237"/>
      <c r="J79" s="193">
        <f>Renewables!B95</f>
        <v>0</v>
      </c>
      <c r="K79" s="237"/>
      <c r="L79" s="193">
        <f>Renewables!D95</f>
        <v>0</v>
      </c>
      <c r="M79" s="193">
        <f>Renewables!C95</f>
        <v>0</v>
      </c>
      <c r="N79" s="237"/>
      <c r="O79" s="257" t="str">
        <f>Renewables!E95</f>
        <v/>
      </c>
      <c r="P79" s="237"/>
      <c r="Q79" s="237"/>
      <c r="R79" s="193">
        <f>Renewables!F95</f>
        <v>0</v>
      </c>
      <c r="S79" s="237"/>
      <c r="T79" s="237"/>
      <c r="U79" s="237"/>
      <c r="V79" s="237"/>
      <c r="W79" s="193">
        <f>Renewables!I95</f>
        <v>0</v>
      </c>
      <c r="X79" s="193">
        <f>Renewables!J95</f>
        <v>0</v>
      </c>
    </row>
    <row r="80" spans="2:24" x14ac:dyDescent="0.35">
      <c r="B80" s="193" t="e">
        <f>"2025"&amp;MATCH(Totals!D80,OrgType,0)&amp;"_"&amp;MATCH(Totals!E80,Organisations,0)&amp;"_"&amp;LEFT(Totals!F80,1)&amp;"_"&amp;LEFT(G80,1)&amp;"_"&amp;COUNTIF($G$3:G80,G80)</f>
        <v>#N/A</v>
      </c>
      <c r="C80" s="193"/>
      <c r="D80" s="193">
        <f>Introduction!$D$7</f>
        <v>0</v>
      </c>
      <c r="E80" s="193">
        <f>Introduction!$D$8</f>
        <v>0</v>
      </c>
      <c r="G80" t="s">
        <v>469</v>
      </c>
      <c r="H80" s="256"/>
      <c r="I80" s="237"/>
      <c r="J80" s="193">
        <f>Renewables!B96</f>
        <v>0</v>
      </c>
      <c r="K80" s="237"/>
      <c r="L80" s="193">
        <f>Renewables!D96</f>
        <v>0</v>
      </c>
      <c r="M80" s="193">
        <f>Renewables!C96</f>
        <v>0</v>
      </c>
      <c r="N80" s="237"/>
      <c r="O80" s="257" t="str">
        <f>Renewables!E96</f>
        <v/>
      </c>
      <c r="P80" s="237"/>
      <c r="Q80" s="237"/>
      <c r="R80" s="193">
        <f>Renewables!F96</f>
        <v>0</v>
      </c>
      <c r="S80" s="237"/>
      <c r="T80" s="237"/>
      <c r="U80" s="237"/>
      <c r="V80" s="237"/>
      <c r="W80" s="193">
        <f>Renewables!I96</f>
        <v>0</v>
      </c>
      <c r="X80" s="193">
        <f>Renewables!J96</f>
        <v>0</v>
      </c>
    </row>
    <row r="81" spans="2:24" x14ac:dyDescent="0.35">
      <c r="B81" s="193" t="e">
        <f>"2025"&amp;MATCH(Totals!D81,OrgType,0)&amp;"_"&amp;MATCH(Totals!E81,Organisations,0)&amp;"_"&amp;LEFT(Totals!F81,1)&amp;"_"&amp;LEFT(G81,1)&amp;"_"&amp;COUNTIF($G$3:G81,G81)</f>
        <v>#N/A</v>
      </c>
      <c r="C81" s="193"/>
      <c r="D81" s="193">
        <f>Introduction!$D$7</f>
        <v>0</v>
      </c>
      <c r="E81" s="193">
        <f>Introduction!$D$8</f>
        <v>0</v>
      </c>
      <c r="G81" t="s">
        <v>469</v>
      </c>
      <c r="H81" s="256"/>
      <c r="I81" s="237"/>
      <c r="J81" s="193">
        <f>Renewables!B97</f>
        <v>0</v>
      </c>
      <c r="K81" s="237"/>
      <c r="L81" s="193">
        <f>Renewables!D97</f>
        <v>0</v>
      </c>
      <c r="M81" s="193">
        <f>Renewables!C97</f>
        <v>0</v>
      </c>
      <c r="N81" s="237"/>
      <c r="O81" s="257" t="str">
        <f>Renewables!E97</f>
        <v/>
      </c>
      <c r="P81" s="237"/>
      <c r="Q81" s="237"/>
      <c r="R81" s="193">
        <f>Renewables!F97</f>
        <v>0</v>
      </c>
      <c r="S81" s="237"/>
      <c r="T81" s="237"/>
      <c r="U81" s="237"/>
      <c r="V81" s="237"/>
      <c r="W81" s="193">
        <f>Renewables!I97</f>
        <v>0</v>
      </c>
      <c r="X81" s="193">
        <f>Renewables!J97</f>
        <v>0</v>
      </c>
    </row>
    <row r="82" spans="2:24" x14ac:dyDescent="0.35">
      <c r="B82" s="193" t="e">
        <f>"2025"&amp;MATCH(Totals!D82,OrgType,0)&amp;"_"&amp;MATCH(Totals!E82,Organisations,0)&amp;"_"&amp;LEFT(Totals!F82,1)&amp;"_"&amp;LEFT(G82,1)&amp;"_"&amp;COUNTIF($G$3:G82,G82)</f>
        <v>#N/A</v>
      </c>
      <c r="C82" s="193"/>
      <c r="D82" s="193">
        <f>Introduction!$D$7</f>
        <v>0</v>
      </c>
      <c r="E82" s="193">
        <f>Introduction!$D$8</f>
        <v>0</v>
      </c>
      <c r="G82" t="s">
        <v>469</v>
      </c>
      <c r="H82" s="256"/>
      <c r="I82" s="237"/>
      <c r="J82" s="193">
        <f>Renewables!B98</f>
        <v>0</v>
      </c>
      <c r="K82" s="237"/>
      <c r="L82" s="193">
        <f>Renewables!D98</f>
        <v>0</v>
      </c>
      <c r="M82" s="193">
        <f>Renewables!C98</f>
        <v>0</v>
      </c>
      <c r="N82" s="237"/>
      <c r="O82" s="257" t="str">
        <f>Renewables!E98</f>
        <v/>
      </c>
      <c r="P82" s="237"/>
      <c r="Q82" s="237"/>
      <c r="R82" s="193">
        <f>Renewables!F98</f>
        <v>0</v>
      </c>
      <c r="S82" s="237"/>
      <c r="T82" s="237"/>
      <c r="U82" s="237"/>
      <c r="V82" s="237"/>
      <c r="W82" s="193">
        <f>Renewables!I98</f>
        <v>0</v>
      </c>
      <c r="X82" s="193">
        <f>Renewables!J98</f>
        <v>0</v>
      </c>
    </row>
    <row r="83" spans="2:24" x14ac:dyDescent="0.35">
      <c r="B83" s="193" t="e">
        <f>"2025"&amp;MATCH(Totals!D83,OrgType,0)&amp;"_"&amp;MATCH(Totals!E83,Organisations,0)&amp;"_"&amp;LEFT(Totals!F83,1)&amp;"_"&amp;LEFT(G83,1)&amp;"_"&amp;COUNTIF($G$3:G83,G83)</f>
        <v>#N/A</v>
      </c>
      <c r="C83" s="193"/>
      <c r="D83" s="193">
        <f>Introduction!$D$7</f>
        <v>0</v>
      </c>
      <c r="E83" s="193">
        <f>Introduction!$D$8</f>
        <v>0</v>
      </c>
      <c r="G83" t="s">
        <v>469</v>
      </c>
      <c r="H83" s="256"/>
      <c r="I83" s="237"/>
      <c r="J83" s="193">
        <f>Renewables!B99</f>
        <v>0</v>
      </c>
      <c r="K83" s="237"/>
      <c r="L83" s="193">
        <f>Renewables!D99</f>
        <v>0</v>
      </c>
      <c r="M83" s="193">
        <f>Renewables!C99</f>
        <v>0</v>
      </c>
      <c r="N83" s="237"/>
      <c r="O83" s="257" t="str">
        <f>Renewables!E99</f>
        <v/>
      </c>
      <c r="P83" s="237"/>
      <c r="Q83" s="237"/>
      <c r="R83" s="193">
        <f>Renewables!F99</f>
        <v>0</v>
      </c>
      <c r="S83" s="237"/>
      <c r="T83" s="237"/>
      <c r="U83" s="237"/>
      <c r="V83" s="237"/>
      <c r="W83" s="193">
        <f>Renewables!I99</f>
        <v>0</v>
      </c>
      <c r="X83" s="193">
        <f>Renewables!J99</f>
        <v>0</v>
      </c>
    </row>
    <row r="84" spans="2:24" x14ac:dyDescent="0.35">
      <c r="B84" s="193" t="e">
        <f>"2025"&amp;MATCH(Totals!D84,OrgType,0)&amp;"_"&amp;MATCH(Totals!E84,Organisations,0)&amp;"_"&amp;LEFT(Totals!F84,1)&amp;"_"&amp;LEFT(G84,1)&amp;"_"&amp;COUNTIF($G$3:G84,G84)</f>
        <v>#N/A</v>
      </c>
      <c r="C84" s="193"/>
      <c r="D84" s="193">
        <f>Introduction!$D$7</f>
        <v>0</v>
      </c>
      <c r="E84" s="193">
        <f>Introduction!$D$8</f>
        <v>0</v>
      </c>
      <c r="G84" t="s">
        <v>469</v>
      </c>
      <c r="H84" s="256"/>
      <c r="I84" s="237"/>
      <c r="J84" s="193">
        <f>Renewables!B100</f>
        <v>0</v>
      </c>
      <c r="K84" s="237"/>
      <c r="L84" s="193">
        <f>Renewables!D100</f>
        <v>0</v>
      </c>
      <c r="M84" s="193">
        <f>Renewables!C100</f>
        <v>0</v>
      </c>
      <c r="N84" s="237"/>
      <c r="O84" s="257" t="str">
        <f>Renewables!E100</f>
        <v/>
      </c>
      <c r="P84" s="237"/>
      <c r="Q84" s="237"/>
      <c r="R84" s="193">
        <f>Renewables!F100</f>
        <v>0</v>
      </c>
      <c r="S84" s="237"/>
      <c r="T84" s="237"/>
      <c r="U84" s="237"/>
      <c r="V84" s="237"/>
      <c r="W84" s="193">
        <f>Renewables!I100</f>
        <v>0</v>
      </c>
      <c r="X84" s="193">
        <f>Renewables!J100</f>
        <v>0</v>
      </c>
    </row>
    <row r="85" spans="2:24" x14ac:dyDescent="0.35">
      <c r="B85" s="193" t="e">
        <f>"2025"&amp;MATCH(Totals!D85,OrgType,0)&amp;"_"&amp;MATCH(Totals!E85,Organisations,0)&amp;"_"&amp;LEFT(Totals!F85,1)&amp;"_"&amp;LEFT(G85,1)&amp;"_"&amp;COUNTIF($G$3:G85,G85)</f>
        <v>#N/A</v>
      </c>
      <c r="C85" s="193"/>
      <c r="D85" s="193">
        <f>Introduction!$D$7</f>
        <v>0</v>
      </c>
      <c r="E85" s="193">
        <f>Introduction!$D$8</f>
        <v>0</v>
      </c>
      <c r="G85" t="s">
        <v>469</v>
      </c>
      <c r="H85" s="256"/>
      <c r="I85" s="237"/>
      <c r="J85" s="193">
        <f>Renewables!B101</f>
        <v>0</v>
      </c>
      <c r="K85" s="237"/>
      <c r="L85" s="193">
        <f>Renewables!D101</f>
        <v>0</v>
      </c>
      <c r="M85" s="193">
        <f>Renewables!C101</f>
        <v>0</v>
      </c>
      <c r="N85" s="237"/>
      <c r="O85" s="257" t="str">
        <f>Renewables!E101</f>
        <v/>
      </c>
      <c r="P85" s="237"/>
      <c r="Q85" s="237"/>
      <c r="R85" s="193">
        <f>Renewables!F101</f>
        <v>0</v>
      </c>
      <c r="S85" s="237"/>
      <c r="T85" s="237"/>
      <c r="U85" s="237"/>
      <c r="V85" s="237"/>
      <c r="W85" s="193">
        <f>Renewables!I101</f>
        <v>0</v>
      </c>
      <c r="X85" s="193">
        <f>Renewables!J101</f>
        <v>0</v>
      </c>
    </row>
    <row r="86" spans="2:24" x14ac:dyDescent="0.35">
      <c r="B86" s="193" t="e">
        <f>"2025"&amp;MATCH(Totals!D86,OrgType,0)&amp;"_"&amp;MATCH(Totals!E86,Organisations,0)&amp;"_"&amp;LEFT(Totals!F86,1)&amp;"_"&amp;LEFT(G86,1)&amp;"_"&amp;COUNTIF($G$3:G86,G86)</f>
        <v>#N/A</v>
      </c>
      <c r="C86" s="193"/>
      <c r="D86" s="193">
        <f>Introduction!$D$7</f>
        <v>0</v>
      </c>
      <c r="E86" s="193">
        <f>Introduction!$D$8</f>
        <v>0</v>
      </c>
      <c r="G86" t="s">
        <v>469</v>
      </c>
      <c r="H86" s="256"/>
      <c r="I86" s="237"/>
      <c r="J86" s="193">
        <f>Renewables!B102</f>
        <v>0</v>
      </c>
      <c r="K86" s="237"/>
      <c r="L86" s="193">
        <f>Renewables!D102</f>
        <v>0</v>
      </c>
      <c r="M86" s="193">
        <f>Renewables!C102</f>
        <v>0</v>
      </c>
      <c r="N86" s="237"/>
      <c r="O86" s="257" t="str">
        <f>Renewables!E102</f>
        <v/>
      </c>
      <c r="P86" s="237"/>
      <c r="Q86" s="237"/>
      <c r="R86" s="193">
        <f>Renewables!F102</f>
        <v>0</v>
      </c>
      <c r="S86" s="237"/>
      <c r="T86" s="237"/>
      <c r="U86" s="237"/>
      <c r="V86" s="237"/>
      <c r="W86" s="193">
        <f>Renewables!I102</f>
        <v>0</v>
      </c>
      <c r="X86" s="193">
        <f>Renewables!J102</f>
        <v>0</v>
      </c>
    </row>
    <row r="87" spans="2:24" x14ac:dyDescent="0.35">
      <c r="B87" s="193" t="e">
        <f>"2025"&amp;MATCH(Totals!D87,OrgType,0)&amp;"_"&amp;MATCH(Totals!E87,Organisations,0)&amp;"_"&amp;LEFT(Totals!F87,1)&amp;"_"&amp;LEFT(G87,1)&amp;"_"&amp;COUNTIF($G$3:G87,G87)</f>
        <v>#N/A</v>
      </c>
      <c r="C87" s="193"/>
      <c r="D87" s="193">
        <f>Introduction!$D$7</f>
        <v>0</v>
      </c>
      <c r="E87" s="193">
        <f>Introduction!$D$8</f>
        <v>0</v>
      </c>
      <c r="G87" t="s">
        <v>469</v>
      </c>
      <c r="H87" s="256"/>
      <c r="I87" s="237"/>
      <c r="J87" s="193">
        <f>Renewables!B103</f>
        <v>0</v>
      </c>
      <c r="K87" s="237"/>
      <c r="L87" s="193">
        <f>Renewables!D103</f>
        <v>0</v>
      </c>
      <c r="M87" s="193">
        <f>Renewables!C103</f>
        <v>0</v>
      </c>
      <c r="N87" s="237"/>
      <c r="O87" s="257" t="str">
        <f>Renewables!E103</f>
        <v/>
      </c>
      <c r="P87" s="237"/>
      <c r="Q87" s="237"/>
      <c r="R87" s="193">
        <f>Renewables!F103</f>
        <v>0</v>
      </c>
      <c r="S87" s="237"/>
      <c r="T87" s="237"/>
      <c r="U87" s="237"/>
      <c r="V87" s="237"/>
      <c r="W87" s="193">
        <f>Renewables!I103</f>
        <v>0</v>
      </c>
      <c r="X87" s="193">
        <f>Renewables!J103</f>
        <v>0</v>
      </c>
    </row>
    <row r="88" spans="2:24" x14ac:dyDescent="0.35">
      <c r="B88" s="193" t="e">
        <f>"2025"&amp;MATCH(Totals!D88,OrgType,0)&amp;"_"&amp;MATCH(Totals!E88,Organisations,0)&amp;"_"&amp;LEFT(Totals!F88,1)&amp;"_"&amp;LEFT(G88,1)&amp;"_"&amp;COUNTIF($G$3:G88,G88)</f>
        <v>#N/A</v>
      </c>
      <c r="C88" s="193"/>
      <c r="D88" s="193">
        <f>Introduction!$D$7</f>
        <v>0</v>
      </c>
      <c r="E88" s="193">
        <f>Introduction!$D$8</f>
        <v>0</v>
      </c>
      <c r="G88" t="s">
        <v>469</v>
      </c>
      <c r="H88" s="256"/>
      <c r="I88" s="237"/>
      <c r="J88" s="193">
        <f>Renewables!B104</f>
        <v>0</v>
      </c>
      <c r="K88" s="237"/>
      <c r="L88" s="193">
        <f>Renewables!D104</f>
        <v>0</v>
      </c>
      <c r="M88" s="193">
        <f>Renewables!C104</f>
        <v>0</v>
      </c>
      <c r="N88" s="237"/>
      <c r="O88" s="257" t="str">
        <f>Renewables!E104</f>
        <v/>
      </c>
      <c r="P88" s="237"/>
      <c r="Q88" s="237"/>
      <c r="R88" s="193">
        <f>Renewables!F104</f>
        <v>0</v>
      </c>
      <c r="S88" s="237"/>
      <c r="T88" s="237"/>
      <c r="U88" s="237"/>
      <c r="V88" s="237"/>
      <c r="W88" s="193">
        <f>Renewables!I104</f>
        <v>0</v>
      </c>
      <c r="X88" s="193">
        <f>Renewables!J104</f>
        <v>0</v>
      </c>
    </row>
    <row r="89" spans="2:24" x14ac:dyDescent="0.35">
      <c r="B89" s="193" t="e">
        <f>"2025"&amp;MATCH(Totals!D89,OrgType,0)&amp;"_"&amp;MATCH(Totals!E89,Organisations,0)&amp;"_"&amp;LEFT(Totals!F89,1)&amp;"_"&amp;LEFT(G89,1)&amp;"_"&amp;COUNTIF($G$3:G89,G89)</f>
        <v>#N/A</v>
      </c>
      <c r="C89" s="193"/>
      <c r="D89" s="193">
        <f>Introduction!$D$7</f>
        <v>0</v>
      </c>
      <c r="E89" s="193">
        <f>Introduction!$D$8</f>
        <v>0</v>
      </c>
      <c r="G89" t="s">
        <v>469</v>
      </c>
      <c r="H89" s="256"/>
      <c r="I89" s="237"/>
      <c r="J89" s="193">
        <f>Renewables!B105</f>
        <v>0</v>
      </c>
      <c r="K89" s="237"/>
      <c r="L89" s="193">
        <f>Renewables!D105</f>
        <v>0</v>
      </c>
      <c r="M89" s="193">
        <f>Renewables!C105</f>
        <v>0</v>
      </c>
      <c r="N89" s="237"/>
      <c r="O89" s="257" t="str">
        <f>Renewables!E105</f>
        <v/>
      </c>
      <c r="P89" s="237"/>
      <c r="Q89" s="237"/>
      <c r="R89" s="193">
        <f>Renewables!F105</f>
        <v>0</v>
      </c>
      <c r="S89" s="237"/>
      <c r="T89" s="237"/>
      <c r="U89" s="237"/>
      <c r="V89" s="237"/>
      <c r="W89" s="193">
        <f>Renewables!I105</f>
        <v>0</v>
      </c>
      <c r="X89" s="193">
        <f>Renewables!J105</f>
        <v>0</v>
      </c>
    </row>
  </sheetData>
  <sheetProtection algorithmName="SHA-512" hashValue="2Xy3/yzKWKQimdxNu2OB2TItaLMXNU+EfPbB6fJx03r9odlCYMvNFP5Za+QrOksMhoFr3FSzE+TvyqOCuxC5JA==" saltValue="LPSc1g31aRlF9fBuQRiu4g==" spinCount="100000" sheet="1" objects="1" scenarios="1"/>
  <conditionalFormatting sqref="B2:G2">
    <cfRule type="expression" dxfId="9" priority="1">
      <formula>ISERROR($S2)</formula>
    </cfRule>
  </conditionalFormatting>
  <dataValidations count="13">
    <dataValidation allowBlank="1" showInputMessage="1" showErrorMessage="1" promptTitle="Info" prompt="Please enter the age of the genrating asset to the nearest year, since first generation" sqref="N2" xr:uid="{03E03278-83E6-488E-ADA9-6D94FA01A351}"/>
    <dataValidation allowBlank="1" showInputMessage="1" showErrorMessage="1" promptTitle="Info" prompt="Please state whether this generating asset is onsite or offsite" sqref="I2" xr:uid="{73A6491B-E085-4318-B299-3E549E428D47}"/>
    <dataValidation allowBlank="1" showInputMessage="1" showErrorMessage="1" promptTitle="Info" prompt="If energy is exported to another Welsh Public Sector Body during the reporting year then please enter the name of that organisation here." sqref="V2" xr:uid="{AF32AF07-2454-48FD-8740-AC8847E8C93A}"/>
    <dataValidation allowBlank="1" showInputMessage="1" showErrorMessage="1" promptTitle="Info" prompt="Please enter data for the amount of energy that was exported to another Welsh Public Sector Body in kWh during the reporting year" sqref="U2" xr:uid="{175A3769-D6D4-4EF2-B2A7-38298C400177}"/>
    <dataValidation allowBlank="1" showInputMessage="1" showErrorMessage="1" promptTitle="Info" prompt="Please enter how much energy (in kWh) was exported to the grid by the generation asset within the reporting year" sqref="T2" xr:uid="{94FDEB28-4289-4066-8A1B-2E17059DED58}"/>
    <dataValidation allowBlank="1" showInputMessage="1" showErrorMessage="1" promptTitle="Info" prompt="Please enter data for how much of the energy genertaed in the reporting year was consumed by the reporting organisation" sqref="S2" xr:uid="{6FA83A29-8A14-4FBE-99CE-055A26BB7447}"/>
    <dataValidation allowBlank="1" showInputMessage="1" showErrorMessage="1" promptTitle="Info" prompt="Please use the dropdown to select the onwership type of the generating asset" sqref="M2" xr:uid="{D33CEDAE-E8A2-43E6-BD2B-212A5ECCF754}"/>
    <dataValidation allowBlank="1" showInputMessage="1" showErrorMessage="1" promptTitle="Info" prompt="Please select the methodology tier, see guidance - table 34 for more info" sqref="L2" xr:uid="{157D67AA-412A-40BE-AFA4-ACD9CBE157AF}"/>
    <dataValidation allowBlank="1" showInputMessage="1" showErrorMessage="1" promptTitle="Info" prompt="Please enter the name of the site if known, or if aggregating all g renewable generation then please write 'All sites'" sqref="H2" xr:uid="{3EF5BDFF-611D-4014-B509-43CFDF17945C}"/>
    <dataValidation allowBlank="1" showInputMessage="1" showErrorMessage="1" promptTitle="Info" prompt="Please enter the total maximum potential elecrical output capacity in kilowatts of the generating asset as measured at the inverter. If unknown then use the rated capacity of the assets themselves." sqref="P2" xr:uid="{077F1D5E-E354-47BF-A6EA-05191A873234}"/>
    <dataValidation allowBlank="1" showInputMessage="1" showErrorMessage="1" promptTitle="Info" prompt="State the percentage of the reporting year the electricity generating station was available to generate electricity. " sqref="Q2" xr:uid="{6BB90BF5-A20F-456F-9285-9ACF5BEF2355}"/>
    <dataValidation allowBlank="1" showInputMessage="1" showErrorMessage="1" promptTitle="Info" prompt="Please use the dropdown to select the renewable generation technology" sqref="K2" xr:uid="{D3BBFCC4-66AB-4D6F-B3B5-A12EA2A1343D}"/>
    <dataValidation allowBlank="1" showInputMessage="1" showErrorMessage="1" promptTitle="Info" prompt="Please use the dropdown to select the type of generation" sqref="J2" xr:uid="{F9A4F72F-12EE-4F78-B9AF-E4EF118DB119}"/>
  </dataValidations>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CBCBCB"/>
  </sheetPr>
  <dimension ref="B2:BC377"/>
  <sheetViews>
    <sheetView workbookViewId="0">
      <selection activeCell="O9" sqref="O3:O9"/>
    </sheetView>
  </sheetViews>
  <sheetFormatPr defaultColWidth="8.6328125" defaultRowHeight="14.5" x14ac:dyDescent="0.35"/>
  <cols>
    <col min="1" max="1" width="5.54296875" style="1" customWidth="1"/>
    <col min="2" max="3" width="8.6328125" style="1"/>
    <col min="4" max="4" width="37.36328125" style="1" customWidth="1"/>
    <col min="5" max="12" width="8.6328125" style="1"/>
    <col min="13" max="14" width="18.36328125" style="1" customWidth="1"/>
    <col min="15" max="17" width="24.36328125" style="1" customWidth="1"/>
    <col min="18" max="19" width="28.6328125" style="1" customWidth="1"/>
    <col min="20" max="20" width="8.6328125" style="1"/>
    <col min="21" max="21" width="32" style="1" customWidth="1"/>
    <col min="22" max="24" width="28" style="1" customWidth="1"/>
    <col min="25" max="25" width="18.6328125" style="1" customWidth="1"/>
    <col min="26" max="30" width="8.6328125" style="1"/>
    <col min="31" max="34" width="17.6328125" style="1" customWidth="1"/>
    <col min="35" max="36" width="24.54296875" style="1" customWidth="1"/>
    <col min="37" max="37" width="8.6328125" style="1"/>
    <col min="38" max="38" width="27.54296875" style="1" customWidth="1"/>
    <col min="39" max="48" width="8.6328125" style="1"/>
    <col min="49" max="49" width="8.6328125" style="154"/>
    <col min="50" max="50" width="8.6328125" style="1"/>
    <col min="51" max="51" width="18.54296875" style="1" customWidth="1"/>
    <col min="52" max="52" width="15" style="1" customWidth="1"/>
    <col min="53" max="16384" width="8.6328125" style="1"/>
  </cols>
  <sheetData>
    <row r="2" spans="2:55" ht="18.5" x14ac:dyDescent="0.45">
      <c r="B2" s="625" t="s">
        <v>500</v>
      </c>
      <c r="C2" s="626"/>
      <c r="D2" s="627"/>
      <c r="E2" s="51"/>
      <c r="F2" s="52"/>
      <c r="G2" s="628" t="s">
        <v>501</v>
      </c>
      <c r="H2" s="629"/>
      <c r="I2" s="629"/>
      <c r="J2" s="630"/>
      <c r="L2" s="49" t="s">
        <v>502</v>
      </c>
      <c r="M2" s="50"/>
      <c r="O2" s="64" t="s">
        <v>503</v>
      </c>
      <c r="P2" s="64"/>
      <c r="Q2" s="64"/>
      <c r="R2" s="65"/>
      <c r="S2" s="65"/>
      <c r="U2" s="43" t="s">
        <v>113</v>
      </c>
      <c r="V2" s="43"/>
      <c r="W2" s="43"/>
      <c r="X2" s="43"/>
      <c r="AE2" s="36" t="s">
        <v>504</v>
      </c>
      <c r="AF2" s="37"/>
      <c r="AG2" s="37"/>
      <c r="AH2" s="37"/>
      <c r="AI2" s="37"/>
      <c r="AJ2" s="37"/>
      <c r="AL2" s="23" t="s">
        <v>143</v>
      </c>
      <c r="AP2" s="36" t="s">
        <v>493</v>
      </c>
      <c r="AQ2" s="37"/>
      <c r="AU2" s="35" t="s">
        <v>505</v>
      </c>
      <c r="AV2" s="34"/>
      <c r="AZ2" s="36" t="s">
        <v>506</v>
      </c>
      <c r="BA2" s="36"/>
    </row>
    <row r="3" spans="2:55" ht="15" thickBot="1" x14ac:dyDescent="0.4">
      <c r="B3" s="9" t="s">
        <v>180</v>
      </c>
      <c r="C3" s="9" t="s">
        <v>181</v>
      </c>
      <c r="D3" s="9" t="s">
        <v>507</v>
      </c>
      <c r="E3" s="9" t="s">
        <v>508</v>
      </c>
      <c r="F3" s="9"/>
      <c r="G3" s="9" t="s">
        <v>202</v>
      </c>
      <c r="H3" s="9"/>
      <c r="I3" s="9" t="s">
        <v>509</v>
      </c>
      <c r="J3" s="9"/>
      <c r="K3" s="9"/>
      <c r="L3" s="9" t="s">
        <v>510</v>
      </c>
      <c r="M3" s="9" t="s">
        <v>424</v>
      </c>
      <c r="N3" s="9"/>
      <c r="O3" s="9" t="s">
        <v>511</v>
      </c>
      <c r="P3" s="9" t="s">
        <v>197</v>
      </c>
      <c r="Q3" s="9" t="s">
        <v>218</v>
      </c>
      <c r="R3" s="9" t="s">
        <v>221</v>
      </c>
      <c r="S3" s="9" t="s">
        <v>141</v>
      </c>
      <c r="U3" s="9" t="s">
        <v>512</v>
      </c>
      <c r="V3" s="9" t="s">
        <v>513</v>
      </c>
      <c r="W3" s="9" t="s">
        <v>514</v>
      </c>
      <c r="X3" s="9" t="s">
        <v>515</v>
      </c>
      <c r="Y3" s="9"/>
      <c r="AA3" s="9"/>
      <c r="AB3" s="9"/>
      <c r="AC3" s="9"/>
      <c r="AD3" s="9"/>
      <c r="AE3" s="9" t="s">
        <v>516</v>
      </c>
      <c r="AF3" s="9" t="s">
        <v>110</v>
      </c>
      <c r="AG3" s="9" t="s">
        <v>111</v>
      </c>
      <c r="AH3" s="9"/>
      <c r="AL3" s="9" t="s">
        <v>517</v>
      </c>
      <c r="AM3" s="9" t="s">
        <v>469</v>
      </c>
      <c r="AP3" s="9" t="s">
        <v>251</v>
      </c>
      <c r="AU3" s="1" t="s">
        <v>261</v>
      </c>
      <c r="AV3" s="1" t="s">
        <v>118</v>
      </c>
      <c r="AW3" s="154" t="s">
        <v>260</v>
      </c>
      <c r="BA3" s="9" t="s">
        <v>206</v>
      </c>
      <c r="BB3" s="9" t="s">
        <v>409</v>
      </c>
      <c r="BC3" s="9" t="s">
        <v>262</v>
      </c>
    </row>
    <row r="4" spans="2:55" ht="15" thickBot="1" x14ac:dyDescent="0.4">
      <c r="B4" s="1" t="s">
        <v>206</v>
      </c>
      <c r="C4" s="197">
        <v>0.01</v>
      </c>
      <c r="D4" s="1" t="s">
        <v>518</v>
      </c>
      <c r="E4" s="1" t="s">
        <v>243</v>
      </c>
      <c r="G4" s="1" t="s">
        <v>519</v>
      </c>
      <c r="I4" s="1" t="s">
        <v>520</v>
      </c>
      <c r="L4" s="1" t="s">
        <v>521</v>
      </c>
      <c r="M4" s="1" t="s">
        <v>522</v>
      </c>
      <c r="O4" s="1" t="s">
        <v>168</v>
      </c>
      <c r="P4" s="1" t="s">
        <v>523</v>
      </c>
      <c r="Q4" s="1" t="s">
        <v>524</v>
      </c>
      <c r="R4" s="1" t="s">
        <v>524</v>
      </c>
      <c r="S4" s="1" t="s">
        <v>525</v>
      </c>
      <c r="U4" s="1" t="s">
        <v>526</v>
      </c>
      <c r="V4" s="1" t="s">
        <v>527</v>
      </c>
      <c r="W4" s="1" t="s">
        <v>528</v>
      </c>
      <c r="X4" s="1" t="s">
        <v>241</v>
      </c>
      <c r="AE4" s="1" t="s">
        <v>529</v>
      </c>
      <c r="AF4" s="1" t="s">
        <v>529</v>
      </c>
      <c r="AG4" s="1" t="s">
        <v>111</v>
      </c>
      <c r="AL4" s="1" t="s">
        <v>530</v>
      </c>
      <c r="AM4" s="1" t="s">
        <v>531</v>
      </c>
      <c r="AP4" s="24" t="s">
        <v>118</v>
      </c>
      <c r="AU4" s="1" t="s">
        <v>265</v>
      </c>
      <c r="AV4" s="1" t="s">
        <v>118</v>
      </c>
      <c r="AW4" s="154" t="s">
        <v>264</v>
      </c>
      <c r="AY4" s="1" t="s">
        <v>532</v>
      </c>
      <c r="AZ4" s="1" t="s">
        <v>533</v>
      </c>
      <c r="BA4" s="54">
        <v>2.5000000000000001E-2</v>
      </c>
      <c r="BB4" s="54">
        <v>0.05</v>
      </c>
      <c r="BC4" s="54">
        <v>0.1</v>
      </c>
    </row>
    <row r="5" spans="2:55" ht="15" thickBot="1" x14ac:dyDescent="0.4">
      <c r="B5" s="1" t="s">
        <v>409</v>
      </c>
      <c r="C5" s="197">
        <v>0.02</v>
      </c>
      <c r="D5" s="1" t="s">
        <v>534</v>
      </c>
      <c r="E5" s="1" t="s">
        <v>535</v>
      </c>
      <c r="G5" s="1" t="s">
        <v>536</v>
      </c>
      <c r="I5" s="1" t="s">
        <v>537</v>
      </c>
      <c r="L5" s="1" t="s">
        <v>538</v>
      </c>
      <c r="M5" s="1" t="s">
        <v>539</v>
      </c>
      <c r="O5" s="1" t="s">
        <v>540</v>
      </c>
      <c r="P5" s="1" t="s">
        <v>541</v>
      </c>
      <c r="Q5" s="1" t="s">
        <v>542</v>
      </c>
      <c r="R5" s="1" t="s">
        <v>542</v>
      </c>
      <c r="S5" s="1" t="s">
        <v>543</v>
      </c>
      <c r="U5" s="1" t="s">
        <v>239</v>
      </c>
      <c r="V5" s="1" t="s">
        <v>526</v>
      </c>
      <c r="W5" s="1" t="s">
        <v>544</v>
      </c>
      <c r="X5" s="1" t="s">
        <v>207</v>
      </c>
      <c r="AE5" s="1" t="s">
        <v>545</v>
      </c>
      <c r="AF5" s="1" t="s">
        <v>546</v>
      </c>
      <c r="AL5" s="1" t="s">
        <v>547</v>
      </c>
      <c r="AM5" s="1" t="s">
        <v>548</v>
      </c>
      <c r="AP5" s="25" t="s">
        <v>119</v>
      </c>
      <c r="AU5" s="1" t="s">
        <v>267</v>
      </c>
      <c r="AV5" s="1" t="s">
        <v>118</v>
      </c>
      <c r="AW5" s="154" t="s">
        <v>266</v>
      </c>
      <c r="AY5" s="1" t="s">
        <v>532</v>
      </c>
      <c r="AZ5" s="1" t="s">
        <v>549</v>
      </c>
      <c r="BA5" s="54">
        <v>0.05</v>
      </c>
      <c r="BB5" s="55">
        <v>7.4999999999999997E-2</v>
      </c>
      <c r="BC5" s="54">
        <v>0.125</v>
      </c>
    </row>
    <row r="6" spans="2:55" ht="15" thickBot="1" x14ac:dyDescent="0.4">
      <c r="B6" s="1" t="s">
        <v>262</v>
      </c>
      <c r="C6" s="197">
        <v>0.03</v>
      </c>
      <c r="D6" s="1" t="s">
        <v>550</v>
      </c>
      <c r="G6" s="26" t="s">
        <v>551</v>
      </c>
      <c r="L6" s="1" t="s">
        <v>552</v>
      </c>
      <c r="O6" s="1" t="s">
        <v>553</v>
      </c>
      <c r="P6" s="1" t="s">
        <v>554</v>
      </c>
      <c r="Q6" s="1" t="s">
        <v>555</v>
      </c>
      <c r="R6" s="1" t="s">
        <v>555</v>
      </c>
      <c r="U6" s="1" t="s">
        <v>556</v>
      </c>
      <c r="V6" s="1" t="s">
        <v>239</v>
      </c>
      <c r="W6" s="1" t="s">
        <v>557</v>
      </c>
      <c r="AE6" s="1" t="s">
        <v>546</v>
      </c>
      <c r="AF6" s="1" t="s">
        <v>558</v>
      </c>
      <c r="AL6" s="9" t="s">
        <v>559</v>
      </c>
      <c r="AP6" s="25" t="s">
        <v>120</v>
      </c>
      <c r="AU6" s="1" t="s">
        <v>269</v>
      </c>
      <c r="AV6" s="1" t="s">
        <v>119</v>
      </c>
      <c r="AW6" s="154" t="s">
        <v>268</v>
      </c>
      <c r="AY6" s="1" t="s">
        <v>532</v>
      </c>
      <c r="AZ6" s="1" t="s">
        <v>560</v>
      </c>
      <c r="BA6" s="54">
        <v>0.05</v>
      </c>
      <c r="BB6" s="55">
        <v>7.4999999999999997E-2</v>
      </c>
      <c r="BC6" s="54">
        <v>0.125</v>
      </c>
    </row>
    <row r="7" spans="2:55" ht="16" thickBot="1" x14ac:dyDescent="0.4">
      <c r="C7" s="197">
        <v>0.04</v>
      </c>
      <c r="D7" s="1" t="s">
        <v>561</v>
      </c>
      <c r="G7" s="1" t="s">
        <v>562</v>
      </c>
      <c r="L7" s="1" t="s">
        <v>563</v>
      </c>
      <c r="O7" s="26" t="s">
        <v>564</v>
      </c>
      <c r="P7" s="48"/>
      <c r="Q7" s="1" t="s">
        <v>565</v>
      </c>
      <c r="U7" s="1" t="s">
        <v>566</v>
      </c>
      <c r="V7" s="1" t="s">
        <v>556</v>
      </c>
      <c r="W7" s="1" t="s">
        <v>567</v>
      </c>
      <c r="AE7" s="1" t="s">
        <v>558</v>
      </c>
      <c r="AL7" s="1" t="s">
        <v>568</v>
      </c>
      <c r="AP7" s="25" t="s">
        <v>121</v>
      </c>
      <c r="AU7" s="1" t="s">
        <v>271</v>
      </c>
      <c r="AV7" s="1" t="s">
        <v>119</v>
      </c>
      <c r="AW7" s="154" t="s">
        <v>270</v>
      </c>
      <c r="AY7" s="1" t="s">
        <v>532</v>
      </c>
      <c r="AZ7" s="1" t="s">
        <v>569</v>
      </c>
      <c r="BA7" s="54">
        <v>0.05</v>
      </c>
      <c r="BB7" s="55">
        <v>7.4999999999999997E-2</v>
      </c>
      <c r="BC7" s="54">
        <v>0.125</v>
      </c>
    </row>
    <row r="8" spans="2:55" ht="16" thickBot="1" x14ac:dyDescent="0.4">
      <c r="B8" s="1" t="s">
        <v>570</v>
      </c>
      <c r="C8" s="197">
        <v>0.05</v>
      </c>
      <c r="D8" s="1" t="s">
        <v>571</v>
      </c>
      <c r="G8" s="1" t="s">
        <v>572</v>
      </c>
      <c r="L8" s="1" t="s">
        <v>573</v>
      </c>
      <c r="O8" s="1" t="s">
        <v>574</v>
      </c>
      <c r="P8" s="48"/>
      <c r="Q8" s="1" t="s">
        <v>575</v>
      </c>
      <c r="U8" s="1" t="s">
        <v>576</v>
      </c>
      <c r="V8" s="1" t="s">
        <v>566</v>
      </c>
      <c r="W8" s="1" t="s">
        <v>577</v>
      </c>
      <c r="AE8" s="1" t="s">
        <v>578</v>
      </c>
      <c r="AL8" s="1" t="s">
        <v>579</v>
      </c>
      <c r="AM8" s="9" t="s">
        <v>580</v>
      </c>
      <c r="AP8" s="25" t="s">
        <v>122</v>
      </c>
      <c r="AU8" s="1" t="s">
        <v>273</v>
      </c>
      <c r="AV8" s="1" t="s">
        <v>119</v>
      </c>
      <c r="AW8" s="154" t="s">
        <v>272</v>
      </c>
      <c r="AY8" s="1" t="s">
        <v>532</v>
      </c>
      <c r="AZ8" s="1" t="s">
        <v>581</v>
      </c>
      <c r="BA8" s="54">
        <v>0.05</v>
      </c>
      <c r="BB8" s="55">
        <v>7.4999999999999997E-2</v>
      </c>
      <c r="BC8" s="55">
        <v>0.125</v>
      </c>
    </row>
    <row r="9" spans="2:55" ht="16" thickBot="1" x14ac:dyDescent="0.4">
      <c r="B9" s="1" t="s">
        <v>262</v>
      </c>
      <c r="C9" s="198">
        <v>7.4999999999999997E-2</v>
      </c>
      <c r="D9" s="1" t="s">
        <v>582</v>
      </c>
      <c r="G9" s="1" t="s">
        <v>583</v>
      </c>
      <c r="L9" s="1" t="s">
        <v>584</v>
      </c>
      <c r="O9" s="1" t="s">
        <v>585</v>
      </c>
      <c r="P9" s="48"/>
      <c r="U9" s="1" t="s">
        <v>586</v>
      </c>
      <c r="V9" s="1" t="s">
        <v>576</v>
      </c>
      <c r="W9" s="1" t="s">
        <v>587</v>
      </c>
      <c r="AE9" s="1" t="s">
        <v>542</v>
      </c>
      <c r="AL9" s="1" t="s">
        <v>588</v>
      </c>
      <c r="AM9" s="1" t="s">
        <v>589</v>
      </c>
      <c r="AP9" s="25" t="s">
        <v>123</v>
      </c>
      <c r="AU9" s="1" t="s">
        <v>275</v>
      </c>
      <c r="AV9" s="1" t="s">
        <v>119</v>
      </c>
      <c r="AW9" s="154" t="s">
        <v>274</v>
      </c>
      <c r="AY9" s="1" t="s">
        <v>532</v>
      </c>
      <c r="AZ9" s="1" t="s">
        <v>590</v>
      </c>
      <c r="BA9" s="54">
        <v>0.05</v>
      </c>
      <c r="BB9" s="55">
        <v>7.4999999999999997E-2</v>
      </c>
      <c r="BC9" s="55">
        <v>0.125</v>
      </c>
    </row>
    <row r="10" spans="2:55" ht="16" thickBot="1" x14ac:dyDescent="0.4">
      <c r="C10" s="197">
        <v>0.1</v>
      </c>
      <c r="D10" s="1" t="s">
        <v>591</v>
      </c>
      <c r="G10" s="1" t="s">
        <v>592</v>
      </c>
      <c r="O10" s="48"/>
      <c r="P10" s="48"/>
      <c r="U10" s="1" t="s">
        <v>593</v>
      </c>
      <c r="V10" s="1" t="s">
        <v>586</v>
      </c>
      <c r="W10" s="1" t="s">
        <v>594</v>
      </c>
      <c r="AL10" s="1" t="s">
        <v>595</v>
      </c>
      <c r="AM10" s="1" t="s">
        <v>596</v>
      </c>
      <c r="AP10" s="25" t="s">
        <v>124</v>
      </c>
      <c r="AU10" s="1" t="s">
        <v>277</v>
      </c>
      <c r="AV10" s="1" t="s">
        <v>120</v>
      </c>
      <c r="AW10" s="154" t="s">
        <v>276</v>
      </c>
      <c r="AY10" s="1" t="s">
        <v>532</v>
      </c>
      <c r="AZ10" s="1" t="s">
        <v>597</v>
      </c>
      <c r="BA10" s="54">
        <v>0.05</v>
      </c>
      <c r="BB10" s="54">
        <v>7.4999999999999997E-2</v>
      </c>
      <c r="BC10" s="55">
        <v>0.125</v>
      </c>
    </row>
    <row r="11" spans="2:55" ht="16" thickBot="1" x14ac:dyDescent="0.4">
      <c r="B11" s="1" t="s">
        <v>598</v>
      </c>
      <c r="C11" s="198">
        <v>0.125</v>
      </c>
      <c r="G11" s="1" t="s">
        <v>599</v>
      </c>
      <c r="O11" s="48"/>
      <c r="P11" s="48"/>
      <c r="U11" s="1" t="s">
        <v>600</v>
      </c>
      <c r="V11" s="1" t="s">
        <v>593</v>
      </c>
      <c r="W11" s="1" t="s">
        <v>601</v>
      </c>
      <c r="AL11" s="1" t="s">
        <v>602</v>
      </c>
      <c r="AM11" s="1" t="s">
        <v>603</v>
      </c>
      <c r="AP11" s="25" t="s">
        <v>125</v>
      </c>
      <c r="AU11" s="1" t="s">
        <v>279</v>
      </c>
      <c r="AV11" s="1" t="s">
        <v>120</v>
      </c>
      <c r="AW11" s="154" t="s">
        <v>278</v>
      </c>
      <c r="AY11" s="1" t="s">
        <v>532</v>
      </c>
      <c r="AZ11" s="1" t="s">
        <v>604</v>
      </c>
      <c r="BA11" s="54">
        <v>0.05</v>
      </c>
      <c r="BB11" s="54">
        <v>0.1</v>
      </c>
      <c r="BC11" s="55">
        <v>0.15</v>
      </c>
    </row>
    <row r="12" spans="2:55" ht="16" thickBot="1" x14ac:dyDescent="0.4">
      <c r="B12" s="1" t="s">
        <v>262</v>
      </c>
      <c r="C12" s="197">
        <v>0.2</v>
      </c>
      <c r="G12" s="32" t="s">
        <v>605</v>
      </c>
      <c r="O12" s="48"/>
      <c r="P12" s="48"/>
      <c r="U12" s="1" t="s">
        <v>606</v>
      </c>
      <c r="V12" s="1" t="s">
        <v>600</v>
      </c>
      <c r="W12" s="1" t="s">
        <v>607</v>
      </c>
      <c r="AE12" s="9" t="s">
        <v>608</v>
      </c>
      <c r="AF12" s="9" t="s">
        <v>609</v>
      </c>
      <c r="AG12" s="9" t="s">
        <v>610</v>
      </c>
      <c r="AI12" s="9" t="s">
        <v>611</v>
      </c>
      <c r="AJ12" s="9" t="s">
        <v>612</v>
      </c>
      <c r="AL12" s="1" t="s">
        <v>613</v>
      </c>
      <c r="AP12" s="25" t="s">
        <v>126</v>
      </c>
      <c r="AU12" s="1" t="s">
        <v>281</v>
      </c>
      <c r="AV12" s="1" t="s">
        <v>120</v>
      </c>
      <c r="AW12" s="154" t="s">
        <v>280</v>
      </c>
      <c r="AY12" s="1" t="s">
        <v>532</v>
      </c>
      <c r="AZ12" s="1" t="s">
        <v>614</v>
      </c>
      <c r="BA12" s="54">
        <v>0.05</v>
      </c>
      <c r="BB12" s="54">
        <v>0.1</v>
      </c>
      <c r="BC12" s="55">
        <v>0.15</v>
      </c>
    </row>
    <row r="13" spans="2:55" ht="16" thickBot="1" x14ac:dyDescent="0.4">
      <c r="B13" s="1" t="s">
        <v>409</v>
      </c>
      <c r="C13" s="197">
        <v>0.15</v>
      </c>
      <c r="O13" s="48"/>
      <c r="P13" s="48"/>
      <c r="Q13" s="15"/>
      <c r="S13" s="9" t="s">
        <v>615</v>
      </c>
      <c r="U13" s="1" t="s">
        <v>616</v>
      </c>
      <c r="V13" s="1" t="s">
        <v>606</v>
      </c>
      <c r="W13" s="1" t="s">
        <v>617</v>
      </c>
      <c r="AE13" s="1" t="s">
        <v>618</v>
      </c>
      <c r="AF13" s="1" t="s">
        <v>619</v>
      </c>
      <c r="AG13" s="1" t="s">
        <v>581</v>
      </c>
      <c r="AI13" s="1" t="s">
        <v>620</v>
      </c>
      <c r="AJ13" s="1" t="s">
        <v>581</v>
      </c>
      <c r="AL13" s="9" t="s">
        <v>621</v>
      </c>
      <c r="AP13" s="25" t="s">
        <v>127</v>
      </c>
      <c r="AU13" s="1" t="s">
        <v>283</v>
      </c>
      <c r="AV13" s="1" t="s">
        <v>120</v>
      </c>
      <c r="AW13" s="154" t="s">
        <v>282</v>
      </c>
      <c r="AY13" s="1" t="s">
        <v>532</v>
      </c>
      <c r="AZ13" s="1" t="s">
        <v>622</v>
      </c>
      <c r="BA13" s="54">
        <v>0.05</v>
      </c>
      <c r="BB13" s="54">
        <v>7.4999999999999997E-2</v>
      </c>
      <c r="BC13" s="55">
        <v>0.125</v>
      </c>
    </row>
    <row r="14" spans="2:55" ht="15" thickBot="1" x14ac:dyDescent="0.4">
      <c r="C14" s="197">
        <v>0.2</v>
      </c>
      <c r="G14" s="27" t="s">
        <v>623</v>
      </c>
      <c r="O14" s="9" t="s">
        <v>488</v>
      </c>
      <c r="P14" s="27" t="s">
        <v>195</v>
      </c>
      <c r="Q14" s="9" t="s">
        <v>624</v>
      </c>
      <c r="R14" s="9" t="s">
        <v>625</v>
      </c>
      <c r="S14" s="1" t="s">
        <v>626</v>
      </c>
      <c r="U14" s="1" t="s">
        <v>627</v>
      </c>
      <c r="V14" s="1" t="s">
        <v>616</v>
      </c>
      <c r="W14" s="1" t="s">
        <v>628</v>
      </c>
      <c r="AE14" s="1" t="s">
        <v>629</v>
      </c>
      <c r="AF14" s="1" t="s">
        <v>630</v>
      </c>
      <c r="AG14" s="1" t="s">
        <v>590</v>
      </c>
      <c r="AJ14" s="1" t="s">
        <v>590</v>
      </c>
      <c r="AL14" s="1" t="s">
        <v>631</v>
      </c>
      <c r="AP14" s="25" t="s">
        <v>128</v>
      </c>
      <c r="AU14" s="1" t="s">
        <v>285</v>
      </c>
      <c r="AV14" s="1" t="s">
        <v>120</v>
      </c>
      <c r="AW14" s="154" t="s">
        <v>284</v>
      </c>
      <c r="AY14" s="1" t="s">
        <v>532</v>
      </c>
      <c r="AZ14" s="1" t="s">
        <v>632</v>
      </c>
      <c r="BA14" s="54">
        <v>0.05</v>
      </c>
      <c r="BB14" s="55">
        <v>7.4999999999999997E-2</v>
      </c>
      <c r="BC14" s="54">
        <v>0.125</v>
      </c>
    </row>
    <row r="15" spans="2:55" ht="15" thickBot="1" x14ac:dyDescent="0.4">
      <c r="B15" s="1" t="s">
        <v>633</v>
      </c>
      <c r="C15" s="197">
        <v>0.25</v>
      </c>
      <c r="G15" s="1" t="s">
        <v>634</v>
      </c>
      <c r="O15" s="1" t="s">
        <v>533</v>
      </c>
      <c r="P15" s="1" t="s">
        <v>635</v>
      </c>
      <c r="Q15" s="1" t="s">
        <v>581</v>
      </c>
      <c r="R15" s="1" t="s">
        <v>620</v>
      </c>
      <c r="S15" s="9" t="s">
        <v>636</v>
      </c>
      <c r="U15" s="1" t="s">
        <v>637</v>
      </c>
      <c r="V15" s="1" t="s">
        <v>627</v>
      </c>
      <c r="W15" s="1" t="s">
        <v>638</v>
      </c>
      <c r="AF15" s="1" t="s">
        <v>639</v>
      </c>
      <c r="AG15" s="1" t="s">
        <v>640</v>
      </c>
      <c r="AJ15" s="1" t="s">
        <v>560</v>
      </c>
      <c r="AL15" s="1" t="s">
        <v>641</v>
      </c>
      <c r="AP15" s="25" t="s">
        <v>129</v>
      </c>
      <c r="AU15" s="1" t="s">
        <v>287</v>
      </c>
      <c r="AV15" s="1" t="s">
        <v>120</v>
      </c>
      <c r="AW15" s="154" t="s">
        <v>286</v>
      </c>
      <c r="AY15" s="1" t="s">
        <v>532</v>
      </c>
      <c r="AZ15" s="1" t="s">
        <v>642</v>
      </c>
      <c r="BA15" s="54">
        <v>0.05</v>
      </c>
      <c r="BB15" s="55">
        <v>7.4999999999999997E-2</v>
      </c>
      <c r="BC15" s="54">
        <v>0.125</v>
      </c>
    </row>
    <row r="16" spans="2:55" ht="15" thickBot="1" x14ac:dyDescent="0.4">
      <c r="B16" s="1" t="s">
        <v>409</v>
      </c>
      <c r="G16" s="1" t="s">
        <v>643</v>
      </c>
      <c r="O16" s="1" t="s">
        <v>560</v>
      </c>
      <c r="Q16" s="1" t="s">
        <v>590</v>
      </c>
      <c r="S16" s="1" t="s">
        <v>644</v>
      </c>
      <c r="U16" s="1" t="s">
        <v>544</v>
      </c>
      <c r="V16" s="1" t="s">
        <v>637</v>
      </c>
      <c r="W16" s="1" t="s">
        <v>645</v>
      </c>
      <c r="AF16" s="1" t="s">
        <v>620</v>
      </c>
      <c r="AG16" s="1" t="s">
        <v>646</v>
      </c>
      <c r="AJ16" s="1" t="s">
        <v>647</v>
      </c>
      <c r="AL16" s="9" t="s">
        <v>648</v>
      </c>
      <c r="AM16" s="9" t="s">
        <v>649</v>
      </c>
      <c r="AP16" s="25" t="s">
        <v>130</v>
      </c>
      <c r="AU16" s="1" t="s">
        <v>289</v>
      </c>
      <c r="AV16" s="1" t="s">
        <v>120</v>
      </c>
      <c r="AW16" s="154" t="s">
        <v>288</v>
      </c>
      <c r="AY16" s="1" t="s">
        <v>532</v>
      </c>
      <c r="AZ16" s="1" t="s">
        <v>524</v>
      </c>
      <c r="BA16" s="54">
        <v>0.05</v>
      </c>
      <c r="BB16" s="55">
        <v>7.4999999999999997E-2</v>
      </c>
      <c r="BC16" s="54">
        <v>0.125</v>
      </c>
    </row>
    <row r="17" spans="2:55" ht="15" thickBot="1" x14ac:dyDescent="0.4">
      <c r="G17" s="1" t="s">
        <v>650</v>
      </c>
      <c r="O17" s="1" t="s">
        <v>549</v>
      </c>
      <c r="Q17" s="1" t="s">
        <v>632</v>
      </c>
      <c r="S17" s="1" t="s">
        <v>651</v>
      </c>
      <c r="U17" s="1" t="s">
        <v>652</v>
      </c>
      <c r="V17" s="1" t="s">
        <v>652</v>
      </c>
      <c r="W17" s="1" t="s">
        <v>526</v>
      </c>
      <c r="AG17" s="1" t="s">
        <v>647</v>
      </c>
      <c r="AJ17" s="1" t="s">
        <v>653</v>
      </c>
      <c r="AL17" s="1" t="s">
        <v>530</v>
      </c>
      <c r="AM17" s="1" t="s">
        <v>654</v>
      </c>
      <c r="AP17" s="25" t="s">
        <v>131</v>
      </c>
      <c r="AU17" s="1" t="s">
        <v>290</v>
      </c>
      <c r="AV17" s="1" t="s">
        <v>120</v>
      </c>
      <c r="AW17" s="154">
        <v>10.9</v>
      </c>
      <c r="AY17" s="1" t="s">
        <v>532</v>
      </c>
      <c r="AZ17" s="1" t="s">
        <v>542</v>
      </c>
      <c r="BA17" s="54">
        <v>0.05</v>
      </c>
      <c r="BB17" s="55">
        <v>7.4999999999999997E-2</v>
      </c>
      <c r="BC17" s="54">
        <v>0.125</v>
      </c>
    </row>
    <row r="18" spans="2:55" ht="15" thickBot="1" x14ac:dyDescent="0.4">
      <c r="B18" s="1" t="s">
        <v>655</v>
      </c>
      <c r="G18" s="1" t="s">
        <v>656</v>
      </c>
      <c r="O18" s="1" t="s">
        <v>569</v>
      </c>
      <c r="Q18" s="1" t="s">
        <v>642</v>
      </c>
      <c r="U18" s="1" t="s">
        <v>657</v>
      </c>
      <c r="AG18" s="1" t="s">
        <v>658</v>
      </c>
      <c r="AL18" s="1" t="s">
        <v>547</v>
      </c>
      <c r="AM18" s="1" t="s">
        <v>659</v>
      </c>
      <c r="AP18" s="25" t="s">
        <v>132</v>
      </c>
      <c r="AU18" s="1" t="s">
        <v>292</v>
      </c>
      <c r="AV18" s="1" t="s">
        <v>120</v>
      </c>
      <c r="AW18" s="154" t="s">
        <v>291</v>
      </c>
      <c r="AY18" s="1" t="s">
        <v>532</v>
      </c>
      <c r="AZ18" s="1" t="s">
        <v>555</v>
      </c>
      <c r="BA18" s="54">
        <v>0.05</v>
      </c>
      <c r="BB18" s="55">
        <v>7.4999999999999997E-2</v>
      </c>
      <c r="BC18" s="54">
        <v>0.125</v>
      </c>
    </row>
    <row r="19" spans="2:55" ht="15" thickBot="1" x14ac:dyDescent="0.4">
      <c r="B19" s="1" t="s">
        <v>409</v>
      </c>
      <c r="G19" s="1" t="s">
        <v>660</v>
      </c>
      <c r="H19" s="11"/>
      <c r="O19" s="1" t="s">
        <v>597</v>
      </c>
      <c r="P19" s="9"/>
      <c r="Q19" s="1" t="s">
        <v>569</v>
      </c>
      <c r="S19" s="9" t="s">
        <v>525</v>
      </c>
      <c r="U19" s="1" t="s">
        <v>661</v>
      </c>
      <c r="W19" s="9"/>
      <c r="X19" s="9"/>
      <c r="AM19" s="1" t="s">
        <v>662</v>
      </c>
      <c r="AP19" s="25" t="s">
        <v>133</v>
      </c>
      <c r="AU19" s="1" t="s">
        <v>293</v>
      </c>
      <c r="AV19" s="1" t="s">
        <v>120</v>
      </c>
      <c r="AW19" s="154">
        <v>11.07</v>
      </c>
      <c r="AY19" s="1" t="s">
        <v>532</v>
      </c>
      <c r="AZ19" s="1" t="s">
        <v>635</v>
      </c>
      <c r="BA19" s="54">
        <v>2.5000000000000001E-2</v>
      </c>
      <c r="BB19" s="55">
        <v>0.05</v>
      </c>
      <c r="BC19" s="54">
        <v>0.1</v>
      </c>
    </row>
    <row r="20" spans="2:55" ht="15" thickBot="1" x14ac:dyDescent="0.4">
      <c r="B20" s="1" t="s">
        <v>206</v>
      </c>
      <c r="O20" s="1" t="s">
        <v>614</v>
      </c>
      <c r="Q20" s="1" t="s">
        <v>560</v>
      </c>
      <c r="S20" s="1" t="s">
        <v>663</v>
      </c>
      <c r="U20" s="1" t="s">
        <v>664</v>
      </c>
      <c r="V20" s="9"/>
      <c r="AE20" s="9" t="s">
        <v>665</v>
      </c>
      <c r="AF20" s="9" t="s">
        <v>666</v>
      </c>
      <c r="AG20" s="9" t="s">
        <v>667</v>
      </c>
      <c r="AL20" s="9" t="s">
        <v>668</v>
      </c>
      <c r="AM20" s="1" t="s">
        <v>669</v>
      </c>
      <c r="AP20" s="25" t="s">
        <v>134</v>
      </c>
      <c r="AU20" s="1" t="s">
        <v>294</v>
      </c>
      <c r="AV20" s="1" t="s">
        <v>120</v>
      </c>
      <c r="AW20" s="154">
        <v>12</v>
      </c>
      <c r="AY20" s="1" t="s">
        <v>655</v>
      </c>
      <c r="AZ20" s="1" t="s">
        <v>545</v>
      </c>
      <c r="BA20" s="54">
        <v>7.4999999999999997E-2</v>
      </c>
      <c r="BB20" s="55">
        <v>0.125</v>
      </c>
      <c r="BC20" s="54"/>
    </row>
    <row r="21" spans="2:55" ht="15" thickBot="1" x14ac:dyDescent="0.4">
      <c r="G21" s="9" t="s">
        <v>670</v>
      </c>
      <c r="H21" s="9" t="s">
        <v>671</v>
      </c>
      <c r="O21" s="1" t="s">
        <v>604</v>
      </c>
      <c r="Q21" s="1" t="s">
        <v>635</v>
      </c>
      <c r="S21" s="1" t="s">
        <v>672</v>
      </c>
      <c r="U21" s="1" t="s">
        <v>673</v>
      </c>
      <c r="AE21" s="1" t="s">
        <v>618</v>
      </c>
      <c r="AF21" s="1" t="s">
        <v>619</v>
      </c>
      <c r="AG21" s="1" t="s">
        <v>581</v>
      </c>
      <c r="AL21" s="1" t="s">
        <v>460</v>
      </c>
      <c r="AM21" s="1" t="s">
        <v>674</v>
      </c>
      <c r="AP21" s="25" t="s">
        <v>135</v>
      </c>
      <c r="AU21" s="1" t="s">
        <v>295</v>
      </c>
      <c r="AV21" s="1" t="s">
        <v>120</v>
      </c>
      <c r="AW21" s="154">
        <v>13</v>
      </c>
      <c r="AY21" s="1" t="s">
        <v>655</v>
      </c>
      <c r="AZ21" s="1" t="s">
        <v>529</v>
      </c>
      <c r="BA21" s="54">
        <v>7.4999999999999997E-2</v>
      </c>
      <c r="BB21" s="55">
        <v>0.125</v>
      </c>
      <c r="BC21" s="54"/>
    </row>
    <row r="22" spans="2:55" ht="15" thickBot="1" x14ac:dyDescent="0.4">
      <c r="B22" s="1" t="s">
        <v>675</v>
      </c>
      <c r="G22" s="1" t="s">
        <v>519</v>
      </c>
      <c r="H22" s="26" t="s">
        <v>676</v>
      </c>
      <c r="O22" s="1" t="s">
        <v>632</v>
      </c>
      <c r="S22" s="1" t="s">
        <v>677</v>
      </c>
      <c r="U22" s="1" t="s">
        <v>678</v>
      </c>
      <c r="W22" s="9"/>
      <c r="X22" s="9"/>
      <c r="AE22" s="1" t="s">
        <v>629</v>
      </c>
      <c r="AF22" s="1" t="s">
        <v>630</v>
      </c>
      <c r="AG22" s="1" t="s">
        <v>590</v>
      </c>
      <c r="AL22" s="1" t="s">
        <v>679</v>
      </c>
      <c r="AP22" s="25" t="s">
        <v>136</v>
      </c>
      <c r="AU22" s="1" t="s">
        <v>296</v>
      </c>
      <c r="AV22" s="1" t="s">
        <v>120</v>
      </c>
      <c r="AW22" s="154">
        <v>14</v>
      </c>
      <c r="AY22" s="1" t="s">
        <v>655</v>
      </c>
      <c r="AZ22" s="1" t="s">
        <v>578</v>
      </c>
      <c r="BA22" s="54">
        <v>7.4999999999999997E-2</v>
      </c>
      <c r="BB22" s="55">
        <v>0.125</v>
      </c>
      <c r="BC22" s="54"/>
    </row>
    <row r="23" spans="2:55" ht="15" thickBot="1" x14ac:dyDescent="0.4">
      <c r="B23" s="1" t="s">
        <v>206</v>
      </c>
      <c r="G23" s="1" t="s">
        <v>519</v>
      </c>
      <c r="H23" s="26" t="s">
        <v>680</v>
      </c>
      <c r="O23" s="9" t="s">
        <v>681</v>
      </c>
      <c r="P23" s="26"/>
      <c r="Q23" s="9" t="s">
        <v>682</v>
      </c>
      <c r="R23" s="9" t="s">
        <v>683</v>
      </c>
      <c r="S23" s="1" t="s">
        <v>684</v>
      </c>
      <c r="W23" s="9"/>
      <c r="X23" s="9"/>
      <c r="AF23" s="1" t="s">
        <v>639</v>
      </c>
      <c r="AG23" s="1" t="s">
        <v>640</v>
      </c>
      <c r="AP23" s="25" t="s">
        <v>137</v>
      </c>
      <c r="AU23" s="1" t="s">
        <v>297</v>
      </c>
      <c r="AV23" s="1" t="s">
        <v>120</v>
      </c>
      <c r="AW23" s="154">
        <v>15</v>
      </c>
      <c r="AY23" s="1" t="s">
        <v>655</v>
      </c>
      <c r="AZ23" s="1" t="s">
        <v>546</v>
      </c>
      <c r="BA23" s="54">
        <v>7.4999999999999997E-2</v>
      </c>
      <c r="BB23" s="55">
        <v>0.125</v>
      </c>
      <c r="BC23" s="54"/>
    </row>
    <row r="24" spans="2:55" x14ac:dyDescent="0.35">
      <c r="G24" s="1" t="s">
        <v>519</v>
      </c>
      <c r="H24" s="26" t="s">
        <v>685</v>
      </c>
      <c r="O24" s="1" t="s">
        <v>533</v>
      </c>
      <c r="P24" s="26"/>
      <c r="Q24" s="1" t="s">
        <v>581</v>
      </c>
      <c r="R24" s="1" t="s">
        <v>620</v>
      </c>
      <c r="S24" s="1" t="s">
        <v>686</v>
      </c>
      <c r="U24" s="9" t="s">
        <v>237</v>
      </c>
      <c r="V24" s="9" t="s">
        <v>687</v>
      </c>
      <c r="W24" s="11"/>
      <c r="AF24" s="1" t="s">
        <v>620</v>
      </c>
      <c r="AG24" s="1" t="s">
        <v>646</v>
      </c>
      <c r="AU24" s="1" t="s">
        <v>298</v>
      </c>
      <c r="AV24" s="1" t="s">
        <v>120</v>
      </c>
      <c r="AW24" s="154">
        <v>16</v>
      </c>
      <c r="AY24" s="1" t="s">
        <v>655</v>
      </c>
      <c r="AZ24" s="1" t="s">
        <v>558</v>
      </c>
      <c r="BA24" s="54">
        <v>0.1</v>
      </c>
      <c r="BB24" s="55">
        <v>0.15</v>
      </c>
      <c r="BC24" s="54"/>
    </row>
    <row r="25" spans="2:55" ht="15" thickBot="1" x14ac:dyDescent="0.4">
      <c r="G25" s="1" t="s">
        <v>519</v>
      </c>
      <c r="H25" s="26" t="s">
        <v>688</v>
      </c>
      <c r="O25" s="1" t="s">
        <v>689</v>
      </c>
      <c r="P25" s="26"/>
      <c r="Q25" s="1" t="s">
        <v>590</v>
      </c>
      <c r="S25" s="1" t="s">
        <v>690</v>
      </c>
      <c r="U25" s="1" t="s">
        <v>528</v>
      </c>
      <c r="V25" s="5" t="s">
        <v>691</v>
      </c>
      <c r="W25" s="5" t="s">
        <v>240</v>
      </c>
      <c r="X25" s="5"/>
      <c r="Y25" s="5"/>
      <c r="Z25" s="5"/>
      <c r="AG25" s="1" t="s">
        <v>647</v>
      </c>
      <c r="AL25" s="9" t="s">
        <v>692</v>
      </c>
      <c r="AP25" s="11"/>
      <c r="AQ25" s="11"/>
      <c r="AR25" s="11"/>
      <c r="AS25" s="11"/>
      <c r="AU25" s="1" t="s">
        <v>299</v>
      </c>
      <c r="AV25" s="1" t="s">
        <v>120</v>
      </c>
      <c r="AW25" s="154">
        <v>17</v>
      </c>
      <c r="AY25" s="1" t="s">
        <v>655</v>
      </c>
      <c r="AZ25" s="1" t="s">
        <v>110</v>
      </c>
      <c r="BA25" s="54">
        <v>0.125</v>
      </c>
      <c r="BB25" s="55">
        <v>0.15</v>
      </c>
      <c r="BC25" s="54"/>
    </row>
    <row r="26" spans="2:55" ht="15" thickBot="1" x14ac:dyDescent="0.4">
      <c r="B26" s="9" t="s">
        <v>693</v>
      </c>
      <c r="G26" s="1" t="s">
        <v>519</v>
      </c>
      <c r="H26" s="26" t="s">
        <v>694</v>
      </c>
      <c r="O26" s="1" t="s">
        <v>581</v>
      </c>
      <c r="P26" s="26"/>
      <c r="Q26" s="1" t="s">
        <v>632</v>
      </c>
      <c r="U26" s="1" t="s">
        <v>673</v>
      </c>
      <c r="V26" s="5" t="s">
        <v>695</v>
      </c>
      <c r="W26" s="5"/>
      <c r="X26" s="5"/>
      <c r="Y26" s="5"/>
      <c r="Z26" s="5"/>
      <c r="AG26" s="1" t="s">
        <v>658</v>
      </c>
      <c r="AL26" s="1" t="s">
        <v>696</v>
      </c>
      <c r="AP26" s="11"/>
      <c r="AQ26" s="11"/>
      <c r="AR26" s="11"/>
      <c r="AS26" s="11"/>
      <c r="AU26" s="1" t="s">
        <v>300</v>
      </c>
      <c r="AV26" s="1" t="s">
        <v>120</v>
      </c>
      <c r="AW26" s="154">
        <v>18</v>
      </c>
      <c r="AY26" s="1" t="s">
        <v>633</v>
      </c>
      <c r="AZ26" s="1" t="s">
        <v>111</v>
      </c>
      <c r="BA26" s="54"/>
      <c r="BB26" s="55">
        <v>0.2</v>
      </c>
      <c r="BC26" s="54"/>
    </row>
    <row r="27" spans="2:55" ht="15" thickBot="1" x14ac:dyDescent="0.4">
      <c r="B27" s="66">
        <v>0.2</v>
      </c>
      <c r="G27" s="1" t="s">
        <v>519</v>
      </c>
      <c r="H27" s="26" t="s">
        <v>697</v>
      </c>
      <c r="O27" s="1" t="s">
        <v>569</v>
      </c>
      <c r="P27" s="26"/>
      <c r="Q27" s="1" t="s">
        <v>642</v>
      </c>
      <c r="S27" s="9" t="s">
        <v>698</v>
      </c>
      <c r="U27" s="1" t="s">
        <v>557</v>
      </c>
      <c r="V27" s="5" t="s">
        <v>240</v>
      </c>
      <c r="W27" s="5"/>
      <c r="X27" s="5"/>
      <c r="Y27" s="5"/>
      <c r="Z27" s="5"/>
      <c r="AL27" s="1" t="s">
        <v>461</v>
      </c>
      <c r="AP27" s="11"/>
      <c r="AQ27" s="11"/>
      <c r="AR27" s="11"/>
      <c r="AS27" s="11"/>
      <c r="AU27" s="1" t="s">
        <v>301</v>
      </c>
      <c r="AV27" s="1" t="s">
        <v>120</v>
      </c>
      <c r="AW27" s="154">
        <v>19</v>
      </c>
      <c r="AZ27" s="1" t="s">
        <v>114</v>
      </c>
      <c r="BA27" s="66">
        <v>0.05</v>
      </c>
      <c r="BB27" s="66">
        <v>0.1</v>
      </c>
      <c r="BC27" s="66">
        <v>0.15</v>
      </c>
    </row>
    <row r="28" spans="2:55" ht="15" thickBot="1" x14ac:dyDescent="0.4">
      <c r="B28" s="66">
        <v>0.15</v>
      </c>
      <c r="G28" s="1" t="s">
        <v>519</v>
      </c>
      <c r="H28" s="26" t="s">
        <v>699</v>
      </c>
      <c r="O28" s="1" t="s">
        <v>549</v>
      </c>
      <c r="P28" s="26"/>
      <c r="Q28" s="1" t="s">
        <v>569</v>
      </c>
      <c r="S28" s="1" t="s">
        <v>700</v>
      </c>
      <c r="U28" s="1" t="s">
        <v>567</v>
      </c>
      <c r="V28" s="5" t="s">
        <v>691</v>
      </c>
      <c r="W28" s="5" t="s">
        <v>240</v>
      </c>
      <c r="X28" s="5"/>
      <c r="Y28" s="5"/>
      <c r="Z28" s="5"/>
      <c r="AE28" s="9" t="s">
        <v>701</v>
      </c>
      <c r="AF28" s="9" t="s">
        <v>702</v>
      </c>
      <c r="AG28" s="9" t="s">
        <v>703</v>
      </c>
      <c r="AL28" s="1" t="s">
        <v>704</v>
      </c>
      <c r="AP28" s="11"/>
      <c r="AQ28" s="11"/>
      <c r="AR28" s="11"/>
      <c r="AS28" s="11"/>
      <c r="AU28" s="1" t="s">
        <v>302</v>
      </c>
      <c r="AV28" s="1" t="s">
        <v>120</v>
      </c>
      <c r="AW28" s="154">
        <v>20.3</v>
      </c>
      <c r="AZ28" s="1" t="s">
        <v>115</v>
      </c>
      <c r="BA28" s="66">
        <v>0.05</v>
      </c>
      <c r="BB28" s="66">
        <v>0.1</v>
      </c>
      <c r="BC28" s="66">
        <v>0.15</v>
      </c>
    </row>
    <row r="29" spans="2:55" ht="15" thickBot="1" x14ac:dyDescent="0.4">
      <c r="B29" s="66">
        <v>0.1</v>
      </c>
      <c r="G29" s="1" t="s">
        <v>519</v>
      </c>
      <c r="H29" s="26" t="s">
        <v>705</v>
      </c>
      <c r="P29" s="26"/>
      <c r="Q29" s="1" t="s">
        <v>560</v>
      </c>
      <c r="S29" s="1" t="s">
        <v>706</v>
      </c>
      <c r="U29" s="1" t="s">
        <v>544</v>
      </c>
      <c r="V29" s="5" t="s">
        <v>691</v>
      </c>
      <c r="W29" s="5"/>
      <c r="X29" s="5"/>
      <c r="Y29" s="5"/>
      <c r="Z29" s="5"/>
      <c r="AE29" s="1" t="s">
        <v>618</v>
      </c>
      <c r="AF29" s="1" t="s">
        <v>619</v>
      </c>
      <c r="AG29" s="1" t="s">
        <v>590</v>
      </c>
      <c r="AL29" s="1" t="s">
        <v>707</v>
      </c>
      <c r="AU29" s="1" t="s">
        <v>303</v>
      </c>
      <c r="AV29" s="1" t="s">
        <v>120</v>
      </c>
      <c r="AW29" s="154">
        <v>20.399999999999999</v>
      </c>
      <c r="AZ29" s="1" t="s">
        <v>116</v>
      </c>
      <c r="BA29" s="66">
        <v>0.05</v>
      </c>
      <c r="BB29" s="66">
        <v>0.1</v>
      </c>
      <c r="BC29" s="66">
        <v>0.15</v>
      </c>
    </row>
    <row r="30" spans="2:55" ht="15" thickBot="1" x14ac:dyDescent="0.4">
      <c r="G30" s="1" t="s">
        <v>519</v>
      </c>
      <c r="H30" s="1" t="s">
        <v>708</v>
      </c>
      <c r="P30" s="26"/>
      <c r="Q30" s="1" t="s">
        <v>635</v>
      </c>
      <c r="R30" s="9" t="s">
        <v>709</v>
      </c>
      <c r="S30" s="9"/>
      <c r="U30" s="1" t="s">
        <v>627</v>
      </c>
      <c r="V30" s="5" t="s">
        <v>691</v>
      </c>
      <c r="W30" s="5" t="s">
        <v>240</v>
      </c>
      <c r="X30" s="5"/>
      <c r="Y30" s="5"/>
      <c r="Z30" s="5"/>
      <c r="AE30" s="1" t="s">
        <v>629</v>
      </c>
      <c r="AF30" s="1" t="s">
        <v>630</v>
      </c>
      <c r="AL30" s="1" t="s">
        <v>710</v>
      </c>
      <c r="AU30" s="1" t="s">
        <v>304</v>
      </c>
      <c r="AV30" s="1" t="s">
        <v>120</v>
      </c>
      <c r="AW30" s="154">
        <v>20.5</v>
      </c>
      <c r="AY30" s="1" t="s">
        <v>570</v>
      </c>
      <c r="AZ30" s="1" t="s">
        <v>525</v>
      </c>
      <c r="BA30" s="66"/>
      <c r="BB30" s="66"/>
      <c r="BC30" s="66">
        <v>0.2</v>
      </c>
    </row>
    <row r="31" spans="2:55" ht="15" thickBot="1" x14ac:dyDescent="0.4">
      <c r="G31" s="1" t="s">
        <v>519</v>
      </c>
      <c r="H31" s="26" t="s">
        <v>711</v>
      </c>
      <c r="O31" s="9"/>
      <c r="P31" s="27"/>
      <c r="R31" s="1" t="s">
        <v>712</v>
      </c>
      <c r="U31" s="1" t="s">
        <v>577</v>
      </c>
      <c r="V31" s="5" t="s">
        <v>691</v>
      </c>
      <c r="W31" s="5" t="s">
        <v>240</v>
      </c>
      <c r="X31" s="5"/>
      <c r="Y31" s="5"/>
      <c r="Z31" s="5"/>
      <c r="AF31" s="1" t="s">
        <v>639</v>
      </c>
      <c r="AU31" s="1" t="s">
        <v>306</v>
      </c>
      <c r="AV31" s="1" t="s">
        <v>120</v>
      </c>
      <c r="AW31" s="154" t="s">
        <v>305</v>
      </c>
      <c r="AY31" s="1" t="s">
        <v>570</v>
      </c>
      <c r="AZ31" s="1" t="s">
        <v>713</v>
      </c>
      <c r="BC31" s="66">
        <v>0.2</v>
      </c>
    </row>
    <row r="32" spans="2:55" ht="15" thickBot="1" x14ac:dyDescent="0.4">
      <c r="G32" s="1" t="s">
        <v>519</v>
      </c>
      <c r="H32" s="26" t="s">
        <v>714</v>
      </c>
      <c r="O32" s="9" t="s">
        <v>715</v>
      </c>
      <c r="P32" s="27" t="s">
        <v>716</v>
      </c>
      <c r="Q32" s="9" t="s">
        <v>717</v>
      </c>
      <c r="R32" s="1" t="s">
        <v>718</v>
      </c>
      <c r="U32" s="1" t="s">
        <v>661</v>
      </c>
      <c r="V32" s="5" t="s">
        <v>695</v>
      </c>
      <c r="W32" s="5"/>
      <c r="X32" s="5"/>
      <c r="Y32" s="5"/>
      <c r="Z32" s="5"/>
      <c r="AF32" s="1" t="s">
        <v>620</v>
      </c>
      <c r="AL32" s="9" t="s">
        <v>719</v>
      </c>
      <c r="AU32" s="1" t="s">
        <v>308</v>
      </c>
      <c r="AV32" s="1" t="s">
        <v>120</v>
      </c>
      <c r="AW32" s="154" t="s">
        <v>307</v>
      </c>
      <c r="AY32" s="1" t="s">
        <v>532</v>
      </c>
      <c r="AZ32" s="32" t="s">
        <v>530</v>
      </c>
      <c r="BA32" s="93">
        <v>0.05</v>
      </c>
      <c r="BB32" s="93">
        <v>0.1</v>
      </c>
      <c r="BC32" s="93">
        <v>0.15</v>
      </c>
    </row>
    <row r="33" spans="4:55" ht="15" thickBot="1" x14ac:dyDescent="0.4">
      <c r="G33" s="1" t="s">
        <v>519</v>
      </c>
      <c r="H33" s="26" t="s">
        <v>720</v>
      </c>
      <c r="O33" s="1" t="s">
        <v>721</v>
      </c>
      <c r="P33" s="26" t="s">
        <v>722</v>
      </c>
      <c r="Q33" s="1" t="s">
        <v>581</v>
      </c>
      <c r="R33" s="1" t="s">
        <v>723</v>
      </c>
      <c r="U33" s="1" t="s">
        <v>637</v>
      </c>
      <c r="V33" s="5" t="s">
        <v>691</v>
      </c>
      <c r="W33" s="5" t="s">
        <v>724</v>
      </c>
      <c r="X33" s="5" t="s">
        <v>240</v>
      </c>
      <c r="Y33" s="5"/>
      <c r="Z33" s="5"/>
      <c r="AL33" s="1" t="s">
        <v>631</v>
      </c>
      <c r="AU33" s="1" t="s">
        <v>310</v>
      </c>
      <c r="AV33" s="1" t="s">
        <v>120</v>
      </c>
      <c r="AW33" s="154" t="s">
        <v>309</v>
      </c>
      <c r="AY33" s="1" t="s">
        <v>532</v>
      </c>
      <c r="AZ33" s="32" t="s">
        <v>460</v>
      </c>
      <c r="BA33" s="93">
        <v>2.5000000000000001E-2</v>
      </c>
      <c r="BB33" s="93">
        <v>0.05</v>
      </c>
      <c r="BC33" s="93">
        <v>0.1</v>
      </c>
    </row>
    <row r="34" spans="4:55" ht="15" thickBot="1" x14ac:dyDescent="0.4">
      <c r="G34" s="1" t="s">
        <v>519</v>
      </c>
      <c r="H34" s="26" t="s">
        <v>725</v>
      </c>
      <c r="O34" s="1" t="s">
        <v>726</v>
      </c>
      <c r="P34" s="27"/>
      <c r="Q34" s="1" t="s">
        <v>632</v>
      </c>
      <c r="U34" s="1" t="s">
        <v>526</v>
      </c>
      <c r="V34" s="5" t="s">
        <v>691</v>
      </c>
      <c r="W34" s="5" t="s">
        <v>724</v>
      </c>
      <c r="X34" s="5" t="s">
        <v>240</v>
      </c>
      <c r="Y34" s="5"/>
      <c r="Z34" s="155"/>
      <c r="AE34" s="9" t="s">
        <v>727</v>
      </c>
      <c r="AF34" s="9" t="s">
        <v>728</v>
      </c>
      <c r="AG34" s="9" t="s">
        <v>729</v>
      </c>
      <c r="AH34" s="9" t="s">
        <v>730</v>
      </c>
      <c r="AI34" s="9" t="s">
        <v>731</v>
      </c>
      <c r="AJ34" s="9" t="s">
        <v>732</v>
      </c>
      <c r="AL34" s="1" t="s">
        <v>641</v>
      </c>
      <c r="AU34" s="1" t="s">
        <v>311</v>
      </c>
      <c r="AV34" s="1" t="s">
        <v>120</v>
      </c>
      <c r="AW34" s="154">
        <v>21</v>
      </c>
      <c r="AY34" s="1" t="s">
        <v>532</v>
      </c>
      <c r="AZ34" s="1" t="s">
        <v>547</v>
      </c>
      <c r="BA34" s="93">
        <v>0.05</v>
      </c>
      <c r="BB34" s="93">
        <v>0.1</v>
      </c>
      <c r="BC34" s="93">
        <v>0.15</v>
      </c>
    </row>
    <row r="35" spans="4:55" ht="15" thickBot="1" x14ac:dyDescent="0.4">
      <c r="G35" s="1" t="s">
        <v>536</v>
      </c>
      <c r="H35" s="1" t="s">
        <v>733</v>
      </c>
      <c r="P35" s="26"/>
      <c r="Q35" s="9" t="s">
        <v>734</v>
      </c>
      <c r="U35" s="1" t="s">
        <v>587</v>
      </c>
      <c r="V35" s="5" t="s">
        <v>691</v>
      </c>
      <c r="W35" s="5" t="s">
        <v>240</v>
      </c>
      <c r="X35" s="5"/>
      <c r="Y35" s="5"/>
      <c r="Z35" s="5"/>
      <c r="AE35" s="1" t="s">
        <v>735</v>
      </c>
      <c r="AF35" s="1" t="s">
        <v>736</v>
      </c>
      <c r="AG35" s="1" t="s">
        <v>737</v>
      </c>
      <c r="AH35" s="1" t="s">
        <v>738</v>
      </c>
      <c r="AI35" s="1" t="s">
        <v>739</v>
      </c>
      <c r="AJ35" s="1" t="s">
        <v>740</v>
      </c>
      <c r="AL35" s="9" t="s">
        <v>741</v>
      </c>
      <c r="AU35" s="1" t="s">
        <v>312</v>
      </c>
      <c r="AV35" s="1" t="s">
        <v>120</v>
      </c>
      <c r="AW35" s="154">
        <v>22</v>
      </c>
      <c r="AY35" s="1" t="s">
        <v>532</v>
      </c>
      <c r="AZ35" s="1" t="s">
        <v>679</v>
      </c>
      <c r="BA35" s="93">
        <v>2.5000000000000001E-2</v>
      </c>
      <c r="BB35" s="93">
        <v>0.05</v>
      </c>
      <c r="BC35" s="93">
        <v>0.1</v>
      </c>
    </row>
    <row r="36" spans="4:55" ht="15" customHeight="1" thickBot="1" x14ac:dyDescent="0.4">
      <c r="G36" s="1" t="s">
        <v>536</v>
      </c>
      <c r="H36" s="1" t="s">
        <v>742</v>
      </c>
      <c r="O36" s="9" t="s">
        <v>743</v>
      </c>
      <c r="P36" s="27" t="s">
        <v>744</v>
      </c>
      <c r="Q36" s="1" t="s">
        <v>581</v>
      </c>
      <c r="R36" s="9" t="s">
        <v>745</v>
      </c>
      <c r="S36" s="9"/>
      <c r="U36" s="1" t="s">
        <v>527</v>
      </c>
      <c r="V36" s="5" t="s">
        <v>240</v>
      </c>
      <c r="W36" s="5" t="s">
        <v>724</v>
      </c>
      <c r="X36" s="5"/>
      <c r="Y36" s="5"/>
      <c r="Z36" s="5"/>
      <c r="AE36" s="1" t="s">
        <v>746</v>
      </c>
      <c r="AF36" s="1" t="s">
        <v>747</v>
      </c>
      <c r="AG36" s="1" t="s">
        <v>748</v>
      </c>
      <c r="AH36" s="1" t="s">
        <v>749</v>
      </c>
      <c r="AI36" s="1" t="s">
        <v>750</v>
      </c>
      <c r="AJ36" s="1" t="s">
        <v>751</v>
      </c>
      <c r="AL36" s="1" t="s">
        <v>752</v>
      </c>
      <c r="AU36" s="1" t="s">
        <v>314</v>
      </c>
      <c r="AV36" s="1" t="s">
        <v>120</v>
      </c>
      <c r="AW36" s="154" t="s">
        <v>313</v>
      </c>
      <c r="AY36" s="1" t="s">
        <v>675</v>
      </c>
      <c r="AZ36" s="1" t="s">
        <v>531</v>
      </c>
      <c r="BA36" s="93">
        <v>0.05</v>
      </c>
    </row>
    <row r="37" spans="4:55" ht="16.25" customHeight="1" thickBot="1" x14ac:dyDescent="0.4">
      <c r="G37" s="1" t="s">
        <v>536</v>
      </c>
      <c r="H37" s="1" t="s">
        <v>753</v>
      </c>
      <c r="O37" s="1" t="s">
        <v>721</v>
      </c>
      <c r="P37" s="26" t="s">
        <v>754</v>
      </c>
      <c r="Q37" s="1" t="s">
        <v>590</v>
      </c>
      <c r="R37" s="1" t="s">
        <v>581</v>
      </c>
      <c r="U37" s="1" t="s">
        <v>657</v>
      </c>
      <c r="V37" s="5" t="s">
        <v>755</v>
      </c>
      <c r="W37" s="5"/>
      <c r="X37" s="5"/>
      <c r="Y37" s="5"/>
      <c r="Z37" s="5"/>
      <c r="AF37" s="1" t="s">
        <v>756</v>
      </c>
      <c r="AI37" s="1" t="s">
        <v>757</v>
      </c>
      <c r="AL37" s="1" t="s">
        <v>758</v>
      </c>
      <c r="AU37" s="1" t="s">
        <v>316</v>
      </c>
      <c r="AV37" s="1" t="s">
        <v>120</v>
      </c>
      <c r="AW37" s="154" t="s">
        <v>315</v>
      </c>
      <c r="AY37" s="1" t="s">
        <v>675</v>
      </c>
      <c r="AZ37" s="1" t="s">
        <v>548</v>
      </c>
      <c r="BA37" s="93">
        <v>2.5000000000000001E-2</v>
      </c>
    </row>
    <row r="38" spans="4:55" ht="15" thickBot="1" x14ac:dyDescent="0.4">
      <c r="G38" s="1" t="s">
        <v>536</v>
      </c>
      <c r="H38" s="1" t="s">
        <v>759</v>
      </c>
      <c r="O38" s="1" t="s">
        <v>760</v>
      </c>
      <c r="P38" s="26"/>
      <c r="Q38" s="1" t="s">
        <v>632</v>
      </c>
      <c r="R38" s="1" t="s">
        <v>590</v>
      </c>
      <c r="U38" s="1" t="s">
        <v>594</v>
      </c>
      <c r="V38" s="5" t="s">
        <v>691</v>
      </c>
      <c r="W38" s="5" t="s">
        <v>240</v>
      </c>
      <c r="X38" s="5"/>
      <c r="Y38" s="5"/>
      <c r="Z38" s="5"/>
      <c r="AF38" s="1" t="s">
        <v>761</v>
      </c>
      <c r="AI38" s="1" t="s">
        <v>762</v>
      </c>
      <c r="AL38" s="1" t="s">
        <v>462</v>
      </c>
      <c r="AU38" s="1" t="s">
        <v>318</v>
      </c>
      <c r="AV38" s="1" t="s">
        <v>120</v>
      </c>
      <c r="AW38" s="154" t="s">
        <v>317</v>
      </c>
      <c r="AY38" s="1" t="s">
        <v>675</v>
      </c>
      <c r="AZ38" s="1" t="s">
        <v>204</v>
      </c>
      <c r="BA38" s="66">
        <v>0.1</v>
      </c>
    </row>
    <row r="39" spans="4:55" ht="15" thickBot="1" x14ac:dyDescent="0.4">
      <c r="D39" s="11"/>
      <c r="G39" s="26" t="s">
        <v>551</v>
      </c>
      <c r="H39" s="1" t="s">
        <v>763</v>
      </c>
      <c r="P39" s="26"/>
      <c r="Q39" s="1" t="s">
        <v>642</v>
      </c>
      <c r="R39" s="1" t="s">
        <v>640</v>
      </c>
      <c r="U39" s="1" t="s">
        <v>664</v>
      </c>
      <c r="V39" s="5" t="s">
        <v>695</v>
      </c>
      <c r="W39" s="5"/>
      <c r="X39" s="5"/>
      <c r="Y39" s="5"/>
      <c r="Z39" s="5"/>
      <c r="AL39" s="1" t="s">
        <v>764</v>
      </c>
      <c r="AU39" s="1" t="s">
        <v>320</v>
      </c>
      <c r="AV39" s="1" t="s">
        <v>120</v>
      </c>
      <c r="AW39" s="154" t="s">
        <v>319</v>
      </c>
      <c r="AY39" s="1" t="s">
        <v>675</v>
      </c>
      <c r="AZ39" s="1" t="s">
        <v>214</v>
      </c>
      <c r="BA39" s="93">
        <v>0.1</v>
      </c>
    </row>
    <row r="40" spans="4:55" ht="15" thickBot="1" x14ac:dyDescent="0.4">
      <c r="D40" s="11"/>
      <c r="G40" s="26" t="s">
        <v>551</v>
      </c>
      <c r="H40" s="1" t="s">
        <v>765</v>
      </c>
      <c r="P40" s="26"/>
      <c r="Q40" s="1" t="s">
        <v>569</v>
      </c>
      <c r="R40" s="1" t="s">
        <v>646</v>
      </c>
      <c r="U40" s="1" t="s">
        <v>678</v>
      </c>
      <c r="V40" s="5" t="s">
        <v>695</v>
      </c>
      <c r="W40" s="5"/>
      <c r="X40" s="5"/>
      <c r="Y40" s="5"/>
      <c r="Z40" s="5"/>
      <c r="AL40" s="1" t="s">
        <v>766</v>
      </c>
      <c r="AU40" s="1" t="s">
        <v>321</v>
      </c>
      <c r="AV40" s="1" t="s">
        <v>120</v>
      </c>
      <c r="AW40" s="154">
        <v>25.4</v>
      </c>
    </row>
    <row r="41" spans="4:55" ht="15" thickBot="1" x14ac:dyDescent="0.4">
      <c r="G41" s="26" t="s">
        <v>551</v>
      </c>
      <c r="H41" s="1" t="s">
        <v>767</v>
      </c>
      <c r="O41" s="9" t="s">
        <v>768</v>
      </c>
      <c r="P41" s="27" t="s">
        <v>769</v>
      </c>
      <c r="Q41" s="1" t="s">
        <v>560</v>
      </c>
      <c r="R41" s="1" t="s">
        <v>647</v>
      </c>
      <c r="U41" s="1" t="s">
        <v>601</v>
      </c>
      <c r="V41" s="5" t="s">
        <v>691</v>
      </c>
      <c r="W41" s="5" t="s">
        <v>240</v>
      </c>
      <c r="X41" s="5"/>
      <c r="Y41" s="5"/>
      <c r="Z41" s="5"/>
      <c r="AL41" s="1" t="s">
        <v>653</v>
      </c>
      <c r="AU41" s="1" t="s">
        <v>323</v>
      </c>
      <c r="AV41" s="1" t="s">
        <v>120</v>
      </c>
      <c r="AW41" s="154" t="s">
        <v>322</v>
      </c>
    </row>
    <row r="42" spans="4:55" ht="15" thickBot="1" x14ac:dyDescent="0.4">
      <c r="G42" s="1" t="s">
        <v>562</v>
      </c>
      <c r="H42" s="26" t="s">
        <v>770</v>
      </c>
      <c r="O42" s="1" t="s">
        <v>721</v>
      </c>
      <c r="P42" s="26" t="s">
        <v>771</v>
      </c>
      <c r="Q42" s="1" t="s">
        <v>635</v>
      </c>
      <c r="R42" s="1" t="s">
        <v>658</v>
      </c>
      <c r="U42" s="1" t="s">
        <v>617</v>
      </c>
      <c r="V42" s="5" t="s">
        <v>691</v>
      </c>
      <c r="W42" s="5" t="s">
        <v>240</v>
      </c>
      <c r="X42" s="5"/>
      <c r="Y42" s="5"/>
      <c r="Z42" s="5"/>
      <c r="AU42" s="1" t="s">
        <v>324</v>
      </c>
      <c r="AV42" s="1" t="s">
        <v>120</v>
      </c>
      <c r="AW42" s="154">
        <v>26</v>
      </c>
    </row>
    <row r="43" spans="4:55" ht="15" thickBot="1" x14ac:dyDescent="0.4">
      <c r="G43" s="1" t="s">
        <v>562</v>
      </c>
      <c r="H43" s="26" t="s">
        <v>772</v>
      </c>
      <c r="O43" s="1" t="s">
        <v>760</v>
      </c>
      <c r="P43" s="26"/>
      <c r="U43" s="1" t="s">
        <v>593</v>
      </c>
      <c r="V43" s="5" t="s">
        <v>691</v>
      </c>
      <c r="W43" s="142"/>
      <c r="X43" s="142"/>
      <c r="Y43" s="142"/>
      <c r="Z43" s="5"/>
      <c r="AU43" s="1" t="s">
        <v>325</v>
      </c>
      <c r="AV43" s="1" t="s">
        <v>120</v>
      </c>
      <c r="AW43" s="154">
        <v>27</v>
      </c>
    </row>
    <row r="44" spans="4:55" ht="15" thickBot="1" x14ac:dyDescent="0.4">
      <c r="G44" s="1" t="s">
        <v>562</v>
      </c>
      <c r="H44" s="26" t="s">
        <v>773</v>
      </c>
      <c r="P44" s="26"/>
      <c r="Q44" s="9" t="s">
        <v>774</v>
      </c>
      <c r="U44" s="1" t="s">
        <v>606</v>
      </c>
      <c r="V44" s="5" t="s">
        <v>691</v>
      </c>
      <c r="W44" s="142"/>
      <c r="X44" s="142"/>
      <c r="Y44" s="142"/>
      <c r="Z44" s="5"/>
      <c r="AU44" s="1" t="s">
        <v>326</v>
      </c>
      <c r="AV44" s="1" t="s">
        <v>120</v>
      </c>
      <c r="AW44" s="154">
        <v>28</v>
      </c>
    </row>
    <row r="45" spans="4:55" ht="15" thickBot="1" x14ac:dyDescent="0.4">
      <c r="G45" s="1" t="s">
        <v>562</v>
      </c>
      <c r="H45" s="26" t="s">
        <v>775</v>
      </c>
      <c r="O45" s="9" t="s">
        <v>569</v>
      </c>
      <c r="P45" s="27" t="s">
        <v>776</v>
      </c>
      <c r="Q45" s="1" t="s">
        <v>581</v>
      </c>
      <c r="R45" s="9" t="s">
        <v>777</v>
      </c>
      <c r="S45" s="9"/>
      <c r="U45" s="1" t="s">
        <v>600</v>
      </c>
      <c r="V45" s="5" t="s">
        <v>691</v>
      </c>
      <c r="W45" s="142" t="s">
        <v>778</v>
      </c>
      <c r="X45" s="142"/>
      <c r="Y45" s="142"/>
      <c r="Z45" s="5"/>
      <c r="AU45" s="1" t="s">
        <v>327</v>
      </c>
      <c r="AV45" s="1" t="s">
        <v>120</v>
      </c>
      <c r="AW45" s="154">
        <v>29</v>
      </c>
    </row>
    <row r="46" spans="4:55" ht="15" thickBot="1" x14ac:dyDescent="0.4">
      <c r="G46" s="1" t="s">
        <v>562</v>
      </c>
      <c r="H46" s="26" t="s">
        <v>779</v>
      </c>
      <c r="O46" s="26" t="s">
        <v>721</v>
      </c>
      <c r="P46" s="26" t="s">
        <v>780</v>
      </c>
      <c r="Q46" s="1" t="s">
        <v>590</v>
      </c>
      <c r="R46" s="1" t="s">
        <v>581</v>
      </c>
      <c r="U46" s="1" t="s">
        <v>586</v>
      </c>
      <c r="V46" s="5" t="s">
        <v>691</v>
      </c>
      <c r="W46" s="142"/>
      <c r="X46" s="142"/>
      <c r="Y46" s="142"/>
      <c r="Z46" s="5"/>
      <c r="AU46" s="1" t="s">
        <v>328</v>
      </c>
      <c r="AV46" s="1" t="s">
        <v>120</v>
      </c>
      <c r="AW46" s="154">
        <v>30.1</v>
      </c>
    </row>
    <row r="47" spans="4:55" ht="15" thickBot="1" x14ac:dyDescent="0.4">
      <c r="G47" s="1" t="s">
        <v>562</v>
      </c>
      <c r="H47" s="26" t="s">
        <v>781</v>
      </c>
      <c r="O47" s="26" t="s">
        <v>760</v>
      </c>
      <c r="Q47" s="1" t="s">
        <v>632</v>
      </c>
      <c r="R47" s="1" t="s">
        <v>590</v>
      </c>
      <c r="U47" s="1" t="s">
        <v>616</v>
      </c>
      <c r="V47" s="5" t="s">
        <v>691</v>
      </c>
      <c r="W47" s="5"/>
      <c r="X47" s="5"/>
      <c r="Y47" s="5"/>
      <c r="Z47" s="5"/>
      <c r="AU47" s="1" t="s">
        <v>329</v>
      </c>
      <c r="AV47" s="1" t="s">
        <v>120</v>
      </c>
      <c r="AW47" s="154">
        <v>30.3</v>
      </c>
    </row>
    <row r="48" spans="4:55" ht="15" thickBot="1" x14ac:dyDescent="0.4">
      <c r="G48" s="1" t="s">
        <v>562</v>
      </c>
      <c r="H48" s="26" t="s">
        <v>782</v>
      </c>
      <c r="Q48" s="1" t="s">
        <v>642</v>
      </c>
      <c r="R48" s="1" t="s">
        <v>560</v>
      </c>
      <c r="U48" s="1" t="s">
        <v>576</v>
      </c>
      <c r="V48" s="5" t="s">
        <v>691</v>
      </c>
      <c r="W48" s="5" t="s">
        <v>724</v>
      </c>
      <c r="X48" s="5" t="s">
        <v>240</v>
      </c>
      <c r="Y48" s="5"/>
      <c r="Z48" s="5"/>
      <c r="AH48" s="9" t="s">
        <v>783</v>
      </c>
      <c r="AU48" s="1" t="s">
        <v>331</v>
      </c>
      <c r="AV48" s="1" t="s">
        <v>120</v>
      </c>
      <c r="AW48" s="154" t="s">
        <v>330</v>
      </c>
    </row>
    <row r="49" spans="7:49" ht="15" thickBot="1" x14ac:dyDescent="0.4">
      <c r="G49" s="1" t="s">
        <v>562</v>
      </c>
      <c r="H49" s="26" t="s">
        <v>784</v>
      </c>
      <c r="O49" s="9" t="s">
        <v>581</v>
      </c>
      <c r="P49" s="9" t="s">
        <v>785</v>
      </c>
      <c r="Q49" s="1" t="s">
        <v>569</v>
      </c>
      <c r="R49" s="1" t="s">
        <v>647</v>
      </c>
      <c r="U49" s="1" t="s">
        <v>652</v>
      </c>
      <c r="V49" s="5" t="s">
        <v>724</v>
      </c>
      <c r="W49" s="5"/>
      <c r="X49" s="5"/>
      <c r="Y49" s="5"/>
      <c r="Z49" s="5"/>
      <c r="AE49" s="9" t="s">
        <v>786</v>
      </c>
      <c r="AF49" s="9" t="s">
        <v>787</v>
      </c>
      <c r="AG49" s="9" t="s">
        <v>788</v>
      </c>
      <c r="AH49" s="9" t="s">
        <v>789</v>
      </c>
      <c r="AI49" s="11"/>
      <c r="AJ49" s="11"/>
      <c r="AU49" s="1" t="s">
        <v>332</v>
      </c>
      <c r="AV49" s="1" t="s">
        <v>120</v>
      </c>
      <c r="AW49" s="154">
        <v>31</v>
      </c>
    </row>
    <row r="50" spans="7:49" ht="15" thickBot="1" x14ac:dyDescent="0.4">
      <c r="G50" s="1" t="s">
        <v>562</v>
      </c>
      <c r="H50" s="26" t="s">
        <v>790</v>
      </c>
      <c r="O50" s="1" t="s">
        <v>721</v>
      </c>
      <c r="P50" s="1" t="s">
        <v>791</v>
      </c>
      <c r="Q50" s="1" t="s">
        <v>560</v>
      </c>
      <c r="R50" s="1" t="s">
        <v>653</v>
      </c>
      <c r="U50" s="1" t="s">
        <v>556</v>
      </c>
      <c r="V50" s="5" t="s">
        <v>724</v>
      </c>
      <c r="W50" s="5" t="s">
        <v>778</v>
      </c>
      <c r="X50" s="5" t="s">
        <v>240</v>
      </c>
      <c r="Y50" s="5" t="s">
        <v>792</v>
      </c>
      <c r="Z50" s="5"/>
      <c r="AE50" s="1" t="s">
        <v>735</v>
      </c>
      <c r="AF50" s="1" t="s">
        <v>793</v>
      </c>
      <c r="AG50" s="1" t="s">
        <v>620</v>
      </c>
      <c r="AH50" s="1" t="s">
        <v>620</v>
      </c>
      <c r="AU50" s="1" t="s">
        <v>333</v>
      </c>
      <c r="AV50" s="1" t="s">
        <v>120</v>
      </c>
      <c r="AW50" s="154">
        <v>32</v>
      </c>
    </row>
    <row r="51" spans="7:49" ht="15" thickBot="1" x14ac:dyDescent="0.4">
      <c r="G51" s="1" t="s">
        <v>562</v>
      </c>
      <c r="H51" s="26" t="s">
        <v>794</v>
      </c>
      <c r="O51" s="1" t="s">
        <v>760</v>
      </c>
      <c r="P51" s="1" t="s">
        <v>795</v>
      </c>
      <c r="Q51" s="1" t="s">
        <v>635</v>
      </c>
      <c r="U51" s="1" t="s">
        <v>566</v>
      </c>
      <c r="V51" s="5" t="s">
        <v>724</v>
      </c>
      <c r="W51" s="5" t="s">
        <v>778</v>
      </c>
      <c r="X51" s="5" t="s">
        <v>240</v>
      </c>
      <c r="Y51" s="5" t="s">
        <v>792</v>
      </c>
      <c r="Z51" s="5"/>
      <c r="AE51" s="1" t="s">
        <v>746</v>
      </c>
      <c r="AF51" s="1" t="s">
        <v>796</v>
      </c>
      <c r="AH51" s="1" t="s">
        <v>797</v>
      </c>
      <c r="AU51" s="1" t="s">
        <v>334</v>
      </c>
      <c r="AV51" s="1" t="s">
        <v>120</v>
      </c>
      <c r="AW51" s="154">
        <v>33.15</v>
      </c>
    </row>
    <row r="52" spans="7:49" ht="15" thickBot="1" x14ac:dyDescent="0.4">
      <c r="G52" s="1" t="s">
        <v>562</v>
      </c>
      <c r="H52" s="1" t="s">
        <v>798</v>
      </c>
      <c r="Q52" s="9" t="s">
        <v>799</v>
      </c>
      <c r="R52" s="9" t="s">
        <v>800</v>
      </c>
      <c r="S52" s="9"/>
      <c r="U52" s="1" t="s">
        <v>239</v>
      </c>
      <c r="V52" s="5" t="s">
        <v>724</v>
      </c>
      <c r="W52" s="5" t="s">
        <v>778</v>
      </c>
      <c r="X52" s="5" t="s">
        <v>240</v>
      </c>
      <c r="Y52" s="5" t="s">
        <v>792</v>
      </c>
      <c r="Z52" s="5"/>
      <c r="AF52" s="1" t="s">
        <v>801</v>
      </c>
      <c r="AH52" s="1" t="s">
        <v>802</v>
      </c>
      <c r="AU52" s="1" t="s">
        <v>335</v>
      </c>
      <c r="AV52" s="1" t="s">
        <v>120</v>
      </c>
      <c r="AW52" s="154">
        <v>33.159999999999997</v>
      </c>
    </row>
    <row r="53" spans="7:49" ht="15" thickBot="1" x14ac:dyDescent="0.4">
      <c r="G53" s="1" t="s">
        <v>562</v>
      </c>
      <c r="H53" s="1" t="s">
        <v>803</v>
      </c>
      <c r="O53" s="9" t="s">
        <v>590</v>
      </c>
      <c r="P53" s="9" t="s">
        <v>804</v>
      </c>
      <c r="Q53" s="1" t="s">
        <v>581</v>
      </c>
      <c r="R53" s="1" t="s">
        <v>581</v>
      </c>
      <c r="U53" s="1" t="s">
        <v>628</v>
      </c>
      <c r="V53" s="5" t="s">
        <v>691</v>
      </c>
      <c r="W53" s="5" t="s">
        <v>240</v>
      </c>
      <c r="X53" s="5"/>
      <c r="Y53" s="5"/>
      <c r="Z53" s="5"/>
      <c r="AU53" s="1" t="s">
        <v>337</v>
      </c>
      <c r="AV53" s="1" t="s">
        <v>120</v>
      </c>
      <c r="AW53" s="154" t="s">
        <v>336</v>
      </c>
    </row>
    <row r="54" spans="7:49" ht="15" thickBot="1" x14ac:dyDescent="0.4">
      <c r="G54" s="1" t="s">
        <v>562</v>
      </c>
      <c r="H54" s="1" t="s">
        <v>805</v>
      </c>
      <c r="O54" s="1" t="s">
        <v>721</v>
      </c>
      <c r="P54" s="1" t="s">
        <v>791</v>
      </c>
      <c r="Q54" s="1" t="s">
        <v>590</v>
      </c>
      <c r="U54" s="1" t="s">
        <v>806</v>
      </c>
      <c r="V54" s="5" t="s">
        <v>691</v>
      </c>
      <c r="W54" s="5" t="s">
        <v>240</v>
      </c>
      <c r="X54" s="5"/>
      <c r="Y54" s="5"/>
      <c r="Z54" s="5"/>
      <c r="AU54" s="1" t="s">
        <v>338</v>
      </c>
      <c r="AV54" s="1" t="s">
        <v>121</v>
      </c>
      <c r="AW54" s="154">
        <v>35.1</v>
      </c>
    </row>
    <row r="55" spans="7:49" ht="15" thickBot="1" x14ac:dyDescent="0.4">
      <c r="G55" s="1" t="s">
        <v>562</v>
      </c>
      <c r="H55" s="1" t="s">
        <v>807</v>
      </c>
      <c r="O55" s="1" t="s">
        <v>760</v>
      </c>
      <c r="P55" s="1" t="s">
        <v>808</v>
      </c>
      <c r="Q55" s="1" t="s">
        <v>632</v>
      </c>
      <c r="U55" s="1" t="s">
        <v>638</v>
      </c>
      <c r="V55" s="5" t="s">
        <v>691</v>
      </c>
      <c r="W55" s="5" t="s">
        <v>240</v>
      </c>
      <c r="X55" s="5"/>
      <c r="Y55" s="5"/>
      <c r="Z55" s="5"/>
      <c r="AU55" s="1" t="s">
        <v>340</v>
      </c>
      <c r="AV55" s="1" t="s">
        <v>121</v>
      </c>
      <c r="AW55" s="154" t="s">
        <v>339</v>
      </c>
    </row>
    <row r="56" spans="7:49" ht="15" thickBot="1" x14ac:dyDescent="0.4">
      <c r="G56" s="1" t="s">
        <v>562</v>
      </c>
      <c r="H56" s="1" t="s">
        <v>809</v>
      </c>
      <c r="Q56" s="1" t="s">
        <v>642</v>
      </c>
      <c r="R56" s="9" t="s">
        <v>810</v>
      </c>
      <c r="S56" s="9"/>
      <c r="U56" s="1" t="s">
        <v>645</v>
      </c>
      <c r="V56" s="5" t="s">
        <v>691</v>
      </c>
      <c r="W56" s="5" t="s">
        <v>724</v>
      </c>
      <c r="X56" s="5" t="s">
        <v>778</v>
      </c>
      <c r="Y56" s="5" t="s">
        <v>240</v>
      </c>
      <c r="Z56" s="5"/>
      <c r="AU56" s="1" t="s">
        <v>341</v>
      </c>
      <c r="AV56" s="1" t="s">
        <v>122</v>
      </c>
      <c r="AW56" s="154">
        <v>36</v>
      </c>
    </row>
    <row r="57" spans="7:49" x14ac:dyDescent="0.35">
      <c r="G57" s="1" t="s">
        <v>562</v>
      </c>
      <c r="H57" s="1" t="s">
        <v>811</v>
      </c>
      <c r="O57" s="9" t="s">
        <v>812</v>
      </c>
      <c r="P57" s="27" t="s">
        <v>813</v>
      </c>
      <c r="Q57" s="1" t="s">
        <v>569</v>
      </c>
      <c r="R57" s="1" t="s">
        <v>618</v>
      </c>
      <c r="AU57" s="1" t="s">
        <v>342</v>
      </c>
      <c r="AV57" s="1" t="s">
        <v>122</v>
      </c>
      <c r="AW57" s="154">
        <v>37</v>
      </c>
    </row>
    <row r="58" spans="7:49" x14ac:dyDescent="0.35">
      <c r="G58" s="1" t="s">
        <v>562</v>
      </c>
      <c r="H58" s="1" t="s">
        <v>814</v>
      </c>
      <c r="O58" s="1" t="s">
        <v>721</v>
      </c>
      <c r="P58" s="1" t="s">
        <v>815</v>
      </c>
      <c r="Q58" s="1" t="s">
        <v>560</v>
      </c>
      <c r="R58" s="1" t="s">
        <v>629</v>
      </c>
      <c r="AU58" s="1" t="s">
        <v>343</v>
      </c>
      <c r="AV58" s="1" t="s">
        <v>122</v>
      </c>
      <c r="AW58" s="154">
        <v>38</v>
      </c>
    </row>
    <row r="59" spans="7:49" x14ac:dyDescent="0.35">
      <c r="G59" s="1" t="s">
        <v>562</v>
      </c>
      <c r="H59" s="1" t="s">
        <v>816</v>
      </c>
      <c r="O59" s="1" t="s">
        <v>760</v>
      </c>
      <c r="AU59" s="1" t="s">
        <v>344</v>
      </c>
      <c r="AV59" s="1" t="s">
        <v>122</v>
      </c>
      <c r="AW59" s="154">
        <v>39</v>
      </c>
    </row>
    <row r="60" spans="7:49" x14ac:dyDescent="0.35">
      <c r="G60" s="1" t="s">
        <v>562</v>
      </c>
      <c r="H60" s="1" t="s">
        <v>817</v>
      </c>
      <c r="O60" s="9" t="s">
        <v>818</v>
      </c>
      <c r="P60" s="9" t="s">
        <v>819</v>
      </c>
      <c r="R60" s="9" t="s">
        <v>820</v>
      </c>
      <c r="S60" s="9"/>
      <c r="AU60" s="1" t="s">
        <v>345</v>
      </c>
      <c r="AV60" s="1" t="s">
        <v>123</v>
      </c>
      <c r="AW60" s="154">
        <v>41.2</v>
      </c>
    </row>
    <row r="61" spans="7:49" x14ac:dyDescent="0.35">
      <c r="G61" s="1" t="s">
        <v>562</v>
      </c>
      <c r="H61" s="1" t="s">
        <v>821</v>
      </c>
      <c r="O61" s="1" t="s">
        <v>721</v>
      </c>
      <c r="P61" s="1" t="s">
        <v>459</v>
      </c>
      <c r="R61" s="1" t="s">
        <v>618</v>
      </c>
      <c r="AU61" s="1" t="s">
        <v>347</v>
      </c>
      <c r="AV61" s="1" t="s">
        <v>123</v>
      </c>
      <c r="AW61" s="154" t="s">
        <v>346</v>
      </c>
    </row>
    <row r="62" spans="7:49" x14ac:dyDescent="0.35">
      <c r="G62" s="1" t="s">
        <v>562</v>
      </c>
      <c r="H62" s="1" t="s">
        <v>822</v>
      </c>
      <c r="O62" s="1" t="s">
        <v>760</v>
      </c>
      <c r="P62" s="1" t="s">
        <v>823</v>
      </c>
      <c r="R62" s="1" t="s">
        <v>629</v>
      </c>
      <c r="AU62" s="1" t="s">
        <v>348</v>
      </c>
      <c r="AV62" s="1" t="s">
        <v>123</v>
      </c>
      <c r="AW62" s="154">
        <v>42.99</v>
      </c>
    </row>
    <row r="63" spans="7:49" x14ac:dyDescent="0.35">
      <c r="G63" s="1" t="s">
        <v>562</v>
      </c>
      <c r="H63" s="1" t="s">
        <v>824</v>
      </c>
      <c r="O63" s="27" t="s">
        <v>825</v>
      </c>
      <c r="AU63" s="1" t="s">
        <v>349</v>
      </c>
      <c r="AV63" s="1" t="s">
        <v>124</v>
      </c>
      <c r="AW63" s="154">
        <v>45</v>
      </c>
    </row>
    <row r="64" spans="7:49" x14ac:dyDescent="0.35">
      <c r="G64" s="1" t="s">
        <v>572</v>
      </c>
      <c r="H64" s="1" t="s">
        <v>826</v>
      </c>
      <c r="O64" s="1" t="s">
        <v>721</v>
      </c>
      <c r="P64" s="9" t="s">
        <v>827</v>
      </c>
      <c r="R64" s="9" t="s">
        <v>828</v>
      </c>
      <c r="S64" s="9"/>
      <c r="X64" s="9"/>
      <c r="AU64" s="1" t="s">
        <v>350</v>
      </c>
      <c r="AV64" s="1" t="s">
        <v>124</v>
      </c>
      <c r="AW64" s="154">
        <v>46</v>
      </c>
    </row>
    <row r="65" spans="7:49" x14ac:dyDescent="0.35">
      <c r="G65" s="1" t="s">
        <v>572</v>
      </c>
      <c r="H65" s="1" t="s">
        <v>829</v>
      </c>
      <c r="O65" s="26"/>
      <c r="P65" s="1" t="s">
        <v>830</v>
      </c>
      <c r="R65" s="1" t="s">
        <v>618</v>
      </c>
      <c r="AU65" s="1" t="s">
        <v>351</v>
      </c>
      <c r="AV65" s="1" t="s">
        <v>124</v>
      </c>
      <c r="AW65" s="154">
        <v>47</v>
      </c>
    </row>
    <row r="66" spans="7:49" x14ac:dyDescent="0.35">
      <c r="G66" s="1" t="s">
        <v>572</v>
      </c>
      <c r="H66" s="1" t="s">
        <v>831</v>
      </c>
      <c r="O66" s="27" t="s">
        <v>832</v>
      </c>
      <c r="P66" s="1" t="s">
        <v>833</v>
      </c>
      <c r="R66" s="1" t="s">
        <v>629</v>
      </c>
      <c r="AU66" s="1" t="s">
        <v>353</v>
      </c>
      <c r="AV66" s="1" t="s">
        <v>125</v>
      </c>
      <c r="AW66" s="154" t="s">
        <v>352</v>
      </c>
    </row>
    <row r="67" spans="7:49" x14ac:dyDescent="0.35">
      <c r="G67" s="1" t="s">
        <v>583</v>
      </c>
      <c r="H67" s="1" t="s">
        <v>834</v>
      </c>
      <c r="O67" s="26" t="s">
        <v>721</v>
      </c>
      <c r="P67" s="1" t="s">
        <v>835</v>
      </c>
      <c r="AU67" s="1" t="s">
        <v>355</v>
      </c>
      <c r="AV67" s="1" t="s">
        <v>125</v>
      </c>
      <c r="AW67" s="154" t="s">
        <v>354</v>
      </c>
    </row>
    <row r="68" spans="7:49" x14ac:dyDescent="0.35">
      <c r="G68" s="1" t="s">
        <v>583</v>
      </c>
      <c r="H68" s="1" t="s">
        <v>836</v>
      </c>
      <c r="AU68" s="1" t="s">
        <v>356</v>
      </c>
      <c r="AV68" s="1" t="s">
        <v>125</v>
      </c>
      <c r="AW68" s="154">
        <v>50</v>
      </c>
    </row>
    <row r="69" spans="7:49" x14ac:dyDescent="0.35">
      <c r="G69" s="1" t="s">
        <v>583</v>
      </c>
      <c r="H69" s="1" t="s">
        <v>837</v>
      </c>
      <c r="P69" s="9" t="s">
        <v>838</v>
      </c>
      <c r="AU69" s="1" t="s">
        <v>357</v>
      </c>
      <c r="AV69" s="1" t="s">
        <v>125</v>
      </c>
      <c r="AW69" s="154">
        <v>51</v>
      </c>
    </row>
    <row r="70" spans="7:49" x14ac:dyDescent="0.35">
      <c r="G70" s="1" t="s">
        <v>583</v>
      </c>
      <c r="H70" s="1" t="s">
        <v>839</v>
      </c>
      <c r="O70" s="9" t="s">
        <v>840</v>
      </c>
      <c r="P70" s="1" t="s">
        <v>841</v>
      </c>
      <c r="AU70" s="1" t="s">
        <v>358</v>
      </c>
      <c r="AV70" s="1" t="s">
        <v>125</v>
      </c>
      <c r="AW70" s="154">
        <v>52</v>
      </c>
    </row>
    <row r="71" spans="7:49" x14ac:dyDescent="0.35">
      <c r="G71" s="1" t="s">
        <v>583</v>
      </c>
      <c r="H71" s="1" t="s">
        <v>842</v>
      </c>
      <c r="O71" s="1" t="s">
        <v>721</v>
      </c>
      <c r="P71" s="1" t="s">
        <v>843</v>
      </c>
      <c r="X71" s="9"/>
      <c r="AU71" s="1" t="s">
        <v>359</v>
      </c>
      <c r="AV71" s="1" t="s">
        <v>125</v>
      </c>
      <c r="AW71" s="154">
        <v>53</v>
      </c>
    </row>
    <row r="72" spans="7:49" x14ac:dyDescent="0.35">
      <c r="G72" s="1" t="s">
        <v>583</v>
      </c>
      <c r="H72" s="1" t="s">
        <v>844</v>
      </c>
      <c r="O72" s="1" t="s">
        <v>241</v>
      </c>
      <c r="P72" s="1" t="s">
        <v>845</v>
      </c>
      <c r="AU72" s="1" t="s">
        <v>360</v>
      </c>
      <c r="AV72" s="1" t="s">
        <v>126</v>
      </c>
      <c r="AW72" s="154">
        <v>55</v>
      </c>
    </row>
    <row r="73" spans="7:49" x14ac:dyDescent="0.35">
      <c r="G73" s="1" t="s">
        <v>583</v>
      </c>
      <c r="H73" s="1" t="s">
        <v>846</v>
      </c>
      <c r="P73" s="1" t="s">
        <v>847</v>
      </c>
      <c r="AU73" s="1" t="s">
        <v>361</v>
      </c>
      <c r="AV73" s="1" t="s">
        <v>126</v>
      </c>
      <c r="AW73" s="154">
        <v>56</v>
      </c>
    </row>
    <row r="74" spans="7:49" x14ac:dyDescent="0.35">
      <c r="G74" s="1" t="s">
        <v>583</v>
      </c>
      <c r="H74" s="1" t="s">
        <v>848</v>
      </c>
      <c r="AU74" s="1" t="s">
        <v>362</v>
      </c>
      <c r="AV74" s="1" t="s">
        <v>127</v>
      </c>
      <c r="AW74" s="154">
        <v>58</v>
      </c>
    </row>
    <row r="75" spans="7:49" x14ac:dyDescent="0.35">
      <c r="G75" s="1" t="s">
        <v>583</v>
      </c>
      <c r="H75" s="1" t="s">
        <v>849</v>
      </c>
      <c r="O75" s="27" t="s">
        <v>850</v>
      </c>
      <c r="P75" s="9" t="s">
        <v>851</v>
      </c>
      <c r="AU75" s="1" t="s">
        <v>363</v>
      </c>
      <c r="AV75" s="1" t="s">
        <v>127</v>
      </c>
      <c r="AW75" s="154">
        <v>59</v>
      </c>
    </row>
    <row r="76" spans="7:49" x14ac:dyDescent="0.35">
      <c r="G76" s="1" t="s">
        <v>583</v>
      </c>
      <c r="H76" s="1" t="s">
        <v>852</v>
      </c>
      <c r="O76" s="1" t="s">
        <v>726</v>
      </c>
      <c r="P76" s="1" t="s">
        <v>853</v>
      </c>
      <c r="X76" s="9"/>
      <c r="AU76" s="1" t="s">
        <v>364</v>
      </c>
      <c r="AV76" s="1" t="s">
        <v>127</v>
      </c>
      <c r="AW76" s="154">
        <v>60</v>
      </c>
    </row>
    <row r="77" spans="7:49" x14ac:dyDescent="0.35">
      <c r="G77" s="1" t="s">
        <v>583</v>
      </c>
      <c r="H77" s="1" t="s">
        <v>854</v>
      </c>
      <c r="O77" s="1" t="s">
        <v>760</v>
      </c>
      <c r="AU77" s="1" t="s">
        <v>365</v>
      </c>
      <c r="AV77" s="1" t="s">
        <v>127</v>
      </c>
      <c r="AW77" s="154">
        <v>61</v>
      </c>
    </row>
    <row r="78" spans="7:49" x14ac:dyDescent="0.35">
      <c r="G78" s="1" t="s">
        <v>583</v>
      </c>
      <c r="H78" s="1" t="s">
        <v>855</v>
      </c>
      <c r="P78" s="9" t="s">
        <v>856</v>
      </c>
      <c r="AU78" s="1" t="s">
        <v>366</v>
      </c>
      <c r="AV78" s="1" t="s">
        <v>127</v>
      </c>
      <c r="AW78" s="154">
        <v>62</v>
      </c>
    </row>
    <row r="79" spans="7:49" x14ac:dyDescent="0.35">
      <c r="G79" s="1" t="s">
        <v>583</v>
      </c>
      <c r="H79" s="1" t="s">
        <v>857</v>
      </c>
      <c r="O79" s="9" t="s">
        <v>858</v>
      </c>
      <c r="P79" s="1" t="s">
        <v>859</v>
      </c>
      <c r="AU79" s="1" t="s">
        <v>367</v>
      </c>
      <c r="AV79" s="1" t="s">
        <v>127</v>
      </c>
      <c r="AW79" s="154">
        <v>63</v>
      </c>
    </row>
    <row r="80" spans="7:49" x14ac:dyDescent="0.35">
      <c r="G80" s="1" t="s">
        <v>592</v>
      </c>
      <c r="H80" s="1" t="s">
        <v>860</v>
      </c>
      <c r="O80" s="1" t="s">
        <v>721</v>
      </c>
      <c r="P80" s="1" t="s">
        <v>861</v>
      </c>
      <c r="AU80" s="1" t="s">
        <v>368</v>
      </c>
      <c r="AV80" s="1" t="s">
        <v>128</v>
      </c>
      <c r="AW80" s="154">
        <v>64</v>
      </c>
    </row>
    <row r="81" spans="7:49" x14ac:dyDescent="0.35">
      <c r="G81" s="1" t="s">
        <v>592</v>
      </c>
      <c r="H81" s="1" t="s">
        <v>862</v>
      </c>
      <c r="O81" s="1" t="s">
        <v>241</v>
      </c>
      <c r="AU81" s="1" t="s">
        <v>370</v>
      </c>
      <c r="AV81" s="1" t="s">
        <v>128</v>
      </c>
      <c r="AW81" s="154" t="s">
        <v>369</v>
      </c>
    </row>
    <row r="82" spans="7:49" x14ac:dyDescent="0.35">
      <c r="G82" s="1" t="s">
        <v>592</v>
      </c>
      <c r="H82" s="1" t="s">
        <v>863</v>
      </c>
      <c r="P82" s="9" t="s">
        <v>864</v>
      </c>
      <c r="X82" s="9"/>
      <c r="AU82" s="1" t="s">
        <v>371</v>
      </c>
      <c r="AV82" s="1" t="s">
        <v>128</v>
      </c>
      <c r="AW82" s="154">
        <v>66</v>
      </c>
    </row>
    <row r="83" spans="7:49" x14ac:dyDescent="0.35">
      <c r="G83" s="1" t="s">
        <v>592</v>
      </c>
      <c r="H83" s="1" t="s">
        <v>865</v>
      </c>
      <c r="O83" s="9" t="s">
        <v>866</v>
      </c>
      <c r="P83" s="1" t="s">
        <v>793</v>
      </c>
      <c r="AU83" s="1" t="s">
        <v>372</v>
      </c>
      <c r="AV83" s="1" t="s">
        <v>129</v>
      </c>
      <c r="AW83" s="154">
        <v>68.12</v>
      </c>
    </row>
    <row r="84" spans="7:49" x14ac:dyDescent="0.35">
      <c r="G84" s="1" t="s">
        <v>592</v>
      </c>
      <c r="H84" s="1" t="s">
        <v>867</v>
      </c>
      <c r="O84" s="1" t="s">
        <v>204</v>
      </c>
      <c r="AU84" s="1" t="s">
        <v>374</v>
      </c>
      <c r="AV84" s="1" t="s">
        <v>129</v>
      </c>
      <c r="AW84" s="154" t="s">
        <v>373</v>
      </c>
    </row>
    <row r="85" spans="7:49" x14ac:dyDescent="0.35">
      <c r="G85" s="1" t="s">
        <v>592</v>
      </c>
      <c r="H85" s="1" t="s">
        <v>868</v>
      </c>
      <c r="O85" s="1" t="s">
        <v>869</v>
      </c>
      <c r="AU85" s="1" t="s">
        <v>375</v>
      </c>
      <c r="AV85" s="1" t="s">
        <v>129</v>
      </c>
      <c r="AW85" s="154">
        <v>68.3</v>
      </c>
    </row>
    <row r="86" spans="7:49" x14ac:dyDescent="0.35">
      <c r="G86" s="1" t="s">
        <v>592</v>
      </c>
      <c r="H86" s="1" t="s">
        <v>870</v>
      </c>
      <c r="AU86" s="1" t="s">
        <v>376</v>
      </c>
      <c r="AV86" s="1" t="s">
        <v>130</v>
      </c>
      <c r="AW86" s="154">
        <v>69.099999999999994</v>
      </c>
    </row>
    <row r="87" spans="7:49" x14ac:dyDescent="0.35">
      <c r="G87" s="1" t="s">
        <v>592</v>
      </c>
      <c r="H87" s="1" t="s">
        <v>871</v>
      </c>
      <c r="O87" s="9" t="s">
        <v>872</v>
      </c>
      <c r="P87" s="9" t="s">
        <v>873</v>
      </c>
      <c r="X87" s="9"/>
      <c r="AU87" s="1" t="s">
        <v>377</v>
      </c>
      <c r="AV87" s="1" t="s">
        <v>130</v>
      </c>
      <c r="AW87" s="154">
        <v>69.2</v>
      </c>
    </row>
    <row r="88" spans="7:49" x14ac:dyDescent="0.35">
      <c r="G88" s="1" t="s">
        <v>592</v>
      </c>
      <c r="H88" s="1" t="s">
        <v>874</v>
      </c>
      <c r="O88" s="1" t="s">
        <v>875</v>
      </c>
      <c r="P88" s="1" t="s">
        <v>207</v>
      </c>
      <c r="AU88" s="1" t="s">
        <v>378</v>
      </c>
      <c r="AV88" s="1" t="s">
        <v>130</v>
      </c>
      <c r="AW88" s="154">
        <v>70</v>
      </c>
    </row>
    <row r="89" spans="7:49" x14ac:dyDescent="0.35">
      <c r="G89" s="1" t="s">
        <v>592</v>
      </c>
      <c r="H89" s="1" t="s">
        <v>876</v>
      </c>
      <c r="O89" s="1" t="s">
        <v>205</v>
      </c>
      <c r="AU89" s="1" t="s">
        <v>379</v>
      </c>
      <c r="AV89" s="1" t="s">
        <v>130</v>
      </c>
      <c r="AW89" s="154">
        <v>71</v>
      </c>
    </row>
    <row r="90" spans="7:49" x14ac:dyDescent="0.35">
      <c r="G90" s="1" t="s">
        <v>592</v>
      </c>
      <c r="H90" s="1" t="s">
        <v>877</v>
      </c>
      <c r="O90" s="1" t="s">
        <v>878</v>
      </c>
      <c r="AU90" s="1" t="s">
        <v>380</v>
      </c>
      <c r="AV90" s="1" t="s">
        <v>130</v>
      </c>
      <c r="AW90" s="154">
        <v>72</v>
      </c>
    </row>
    <row r="91" spans="7:49" x14ac:dyDescent="0.35">
      <c r="G91" s="1" t="s">
        <v>592</v>
      </c>
      <c r="H91" s="1" t="s">
        <v>879</v>
      </c>
      <c r="O91" s="1" t="s">
        <v>880</v>
      </c>
      <c r="P91" s="9" t="s">
        <v>214</v>
      </c>
      <c r="AU91" s="1" t="s">
        <v>381</v>
      </c>
      <c r="AV91" s="1" t="s">
        <v>130</v>
      </c>
      <c r="AW91" s="154">
        <v>73</v>
      </c>
    </row>
    <row r="92" spans="7:49" x14ac:dyDescent="0.35">
      <c r="G92" s="1" t="s">
        <v>592</v>
      </c>
      <c r="H92" s="1" t="s">
        <v>881</v>
      </c>
      <c r="O92" s="1" t="s">
        <v>882</v>
      </c>
      <c r="P92" s="1" t="s">
        <v>883</v>
      </c>
      <c r="AU92" s="1" t="s">
        <v>382</v>
      </c>
      <c r="AV92" s="1" t="s">
        <v>130</v>
      </c>
      <c r="AW92" s="154">
        <v>74</v>
      </c>
    </row>
    <row r="93" spans="7:49" x14ac:dyDescent="0.35">
      <c r="G93" s="1" t="s">
        <v>592</v>
      </c>
      <c r="H93" s="1" t="s">
        <v>884</v>
      </c>
      <c r="O93" s="1" t="s">
        <v>885</v>
      </c>
      <c r="P93" s="1" t="s">
        <v>886</v>
      </c>
      <c r="X93" s="9"/>
      <c r="AU93" s="1" t="s">
        <v>383</v>
      </c>
      <c r="AV93" s="1" t="s">
        <v>130</v>
      </c>
      <c r="AW93" s="154">
        <v>75</v>
      </c>
    </row>
    <row r="94" spans="7:49" x14ac:dyDescent="0.35">
      <c r="G94" s="1" t="s">
        <v>592</v>
      </c>
      <c r="H94" s="1" t="s">
        <v>887</v>
      </c>
      <c r="O94" s="1" t="s">
        <v>888</v>
      </c>
      <c r="P94" s="1" t="s">
        <v>889</v>
      </c>
      <c r="AU94" s="1" t="s">
        <v>384</v>
      </c>
      <c r="AV94" s="1" t="s">
        <v>131</v>
      </c>
      <c r="AW94" s="154">
        <v>77</v>
      </c>
    </row>
    <row r="95" spans="7:49" x14ac:dyDescent="0.35">
      <c r="G95" s="1" t="s">
        <v>592</v>
      </c>
      <c r="H95" s="1" t="s">
        <v>890</v>
      </c>
      <c r="O95" s="1" t="s">
        <v>891</v>
      </c>
      <c r="P95" s="1" t="s">
        <v>892</v>
      </c>
      <c r="AU95" s="1" t="s">
        <v>385</v>
      </c>
      <c r="AV95" s="1" t="s">
        <v>131</v>
      </c>
      <c r="AW95" s="154">
        <v>78</v>
      </c>
    </row>
    <row r="96" spans="7:49" x14ac:dyDescent="0.35">
      <c r="G96" s="1" t="s">
        <v>592</v>
      </c>
      <c r="H96" s="1" t="s">
        <v>893</v>
      </c>
      <c r="O96" s="1" t="s">
        <v>894</v>
      </c>
      <c r="P96" s="1" t="s">
        <v>895</v>
      </c>
      <c r="AU96" s="1" t="s">
        <v>386</v>
      </c>
      <c r="AV96" s="1" t="s">
        <v>131</v>
      </c>
      <c r="AW96" s="154">
        <v>79</v>
      </c>
    </row>
    <row r="97" spans="7:49" x14ac:dyDescent="0.35">
      <c r="G97" s="1" t="s">
        <v>592</v>
      </c>
      <c r="H97" s="1" t="s">
        <v>896</v>
      </c>
      <c r="O97" s="1" t="s">
        <v>897</v>
      </c>
      <c r="P97" s="1" t="s">
        <v>898</v>
      </c>
      <c r="AU97" s="1" t="s">
        <v>387</v>
      </c>
      <c r="AV97" s="1" t="s">
        <v>131</v>
      </c>
      <c r="AW97" s="154">
        <v>80</v>
      </c>
    </row>
    <row r="98" spans="7:49" x14ac:dyDescent="0.35">
      <c r="G98" s="1" t="s">
        <v>592</v>
      </c>
      <c r="H98" s="1" t="s">
        <v>899</v>
      </c>
      <c r="O98" s="1" t="s">
        <v>900</v>
      </c>
      <c r="AU98" s="1" t="s">
        <v>388</v>
      </c>
      <c r="AV98" s="1" t="s">
        <v>131</v>
      </c>
      <c r="AW98" s="154">
        <v>81</v>
      </c>
    </row>
    <row r="99" spans="7:49" x14ac:dyDescent="0.35">
      <c r="G99" s="1" t="s">
        <v>599</v>
      </c>
      <c r="H99" s="1" t="s">
        <v>901</v>
      </c>
      <c r="O99" s="1" t="s">
        <v>902</v>
      </c>
      <c r="P99" s="9" t="s">
        <v>903</v>
      </c>
      <c r="X99" s="9"/>
      <c r="AU99" s="1" t="s">
        <v>389</v>
      </c>
      <c r="AV99" s="1" t="s">
        <v>131</v>
      </c>
      <c r="AW99" s="154">
        <v>82</v>
      </c>
    </row>
    <row r="100" spans="7:49" x14ac:dyDescent="0.35">
      <c r="G100" s="1" t="s">
        <v>599</v>
      </c>
      <c r="H100" s="1" t="s">
        <v>904</v>
      </c>
      <c r="O100" s="1" t="s">
        <v>905</v>
      </c>
      <c r="P100" s="1" t="s">
        <v>906</v>
      </c>
      <c r="AU100" s="1" t="s">
        <v>390</v>
      </c>
      <c r="AV100" s="1" t="s">
        <v>132</v>
      </c>
      <c r="AW100" s="154">
        <v>84</v>
      </c>
    </row>
    <row r="101" spans="7:49" x14ac:dyDescent="0.35">
      <c r="G101" s="1" t="s">
        <v>599</v>
      </c>
      <c r="H101" s="1" t="s">
        <v>907</v>
      </c>
      <c r="O101" s="1" t="s">
        <v>908</v>
      </c>
      <c r="AU101" s="1" t="s">
        <v>391</v>
      </c>
      <c r="AV101" s="1" t="s">
        <v>133</v>
      </c>
      <c r="AW101" s="154">
        <v>85</v>
      </c>
    </row>
    <row r="102" spans="7:49" x14ac:dyDescent="0.35">
      <c r="G102" s="1" t="s">
        <v>599</v>
      </c>
      <c r="H102" s="1" t="s">
        <v>909</v>
      </c>
      <c r="O102" s="1" t="s">
        <v>910</v>
      </c>
      <c r="AU102" s="1" t="s">
        <v>392</v>
      </c>
      <c r="AV102" s="1" t="s">
        <v>134</v>
      </c>
      <c r="AW102" s="154">
        <v>86</v>
      </c>
    </row>
    <row r="103" spans="7:49" x14ac:dyDescent="0.35">
      <c r="G103" s="1" t="s">
        <v>599</v>
      </c>
      <c r="H103" s="1" t="s">
        <v>911</v>
      </c>
      <c r="O103" s="1" t="s">
        <v>912</v>
      </c>
      <c r="AU103" s="1" t="s">
        <v>393</v>
      </c>
      <c r="AV103" s="1" t="s">
        <v>134</v>
      </c>
      <c r="AW103" s="154">
        <v>87</v>
      </c>
    </row>
    <row r="104" spans="7:49" x14ac:dyDescent="0.35">
      <c r="G104" s="1" t="s">
        <v>599</v>
      </c>
      <c r="H104" s="1" t="s">
        <v>913</v>
      </c>
      <c r="O104" s="1" t="s">
        <v>914</v>
      </c>
      <c r="AU104" s="1" t="s">
        <v>394</v>
      </c>
      <c r="AV104" s="1" t="s">
        <v>134</v>
      </c>
      <c r="AW104" s="154">
        <v>88</v>
      </c>
    </row>
    <row r="105" spans="7:49" x14ac:dyDescent="0.35">
      <c r="G105" s="1" t="s">
        <v>599</v>
      </c>
      <c r="H105" s="1" t="s">
        <v>915</v>
      </c>
      <c r="O105" s="1" t="s">
        <v>916</v>
      </c>
      <c r="X105" s="9"/>
      <c r="AU105" s="1" t="s">
        <v>395</v>
      </c>
      <c r="AV105" s="1" t="s">
        <v>135</v>
      </c>
      <c r="AW105" s="154">
        <v>90</v>
      </c>
    </row>
    <row r="106" spans="7:49" x14ac:dyDescent="0.35">
      <c r="G106" s="1" t="s">
        <v>599</v>
      </c>
      <c r="H106" s="1" t="s">
        <v>917</v>
      </c>
      <c r="O106" s="1" t="s">
        <v>918</v>
      </c>
      <c r="AU106" s="1" t="s">
        <v>396</v>
      </c>
      <c r="AV106" s="1" t="s">
        <v>135</v>
      </c>
      <c r="AW106" s="154">
        <v>91</v>
      </c>
    </row>
    <row r="107" spans="7:49" x14ac:dyDescent="0.35">
      <c r="G107" s="32" t="s">
        <v>605</v>
      </c>
      <c r="H107" s="1" t="s">
        <v>605</v>
      </c>
      <c r="O107" s="1" t="s">
        <v>919</v>
      </c>
      <c r="AU107" s="1" t="s">
        <v>397</v>
      </c>
      <c r="AV107" s="1" t="s">
        <v>135</v>
      </c>
      <c r="AW107" s="154">
        <v>92</v>
      </c>
    </row>
    <row r="108" spans="7:49" x14ac:dyDescent="0.35">
      <c r="O108" s="1" t="s">
        <v>920</v>
      </c>
      <c r="AU108" s="1" t="s">
        <v>398</v>
      </c>
      <c r="AV108" s="1" t="s">
        <v>135</v>
      </c>
      <c r="AW108" s="154">
        <v>93</v>
      </c>
    </row>
    <row r="109" spans="7:49" x14ac:dyDescent="0.35">
      <c r="O109" s="1" t="s">
        <v>921</v>
      </c>
      <c r="AU109" s="1" t="s">
        <v>399</v>
      </c>
      <c r="AV109" s="1" t="s">
        <v>136</v>
      </c>
      <c r="AW109" s="154">
        <v>94</v>
      </c>
    </row>
    <row r="110" spans="7:49" x14ac:dyDescent="0.35">
      <c r="O110" s="1" t="s">
        <v>922</v>
      </c>
      <c r="AU110" s="1" t="s">
        <v>400</v>
      </c>
      <c r="AV110" s="1" t="s">
        <v>136</v>
      </c>
      <c r="AW110" s="154">
        <v>95</v>
      </c>
    </row>
    <row r="111" spans="7:49" x14ac:dyDescent="0.35">
      <c r="O111" s="1" t="s">
        <v>923</v>
      </c>
      <c r="AU111" s="1" t="s">
        <v>401</v>
      </c>
      <c r="AV111" s="1" t="s">
        <v>136</v>
      </c>
      <c r="AW111" s="154">
        <v>96</v>
      </c>
    </row>
    <row r="112" spans="7:49" x14ac:dyDescent="0.35">
      <c r="O112" s="1" t="s">
        <v>924</v>
      </c>
      <c r="AU112" s="1" t="s">
        <v>402</v>
      </c>
      <c r="AV112" s="1" t="s">
        <v>137</v>
      </c>
      <c r="AW112" s="154">
        <v>97</v>
      </c>
    </row>
    <row r="113" spans="15:15" x14ac:dyDescent="0.35">
      <c r="O113" s="1" t="s">
        <v>925</v>
      </c>
    </row>
    <row r="114" spans="15:15" x14ac:dyDescent="0.35">
      <c r="O114" s="1" t="s">
        <v>926</v>
      </c>
    </row>
    <row r="115" spans="15:15" x14ac:dyDescent="0.35">
      <c r="O115" s="1" t="s">
        <v>927</v>
      </c>
    </row>
    <row r="116" spans="15:15" x14ac:dyDescent="0.35">
      <c r="O116" s="1" t="s">
        <v>928</v>
      </c>
    </row>
    <row r="117" spans="15:15" x14ac:dyDescent="0.35">
      <c r="O117" s="1" t="s">
        <v>929</v>
      </c>
    </row>
    <row r="118" spans="15:15" x14ac:dyDescent="0.35">
      <c r="O118" s="1" t="s">
        <v>930</v>
      </c>
    </row>
    <row r="119" spans="15:15" x14ac:dyDescent="0.35">
      <c r="O119" s="1" t="s">
        <v>931</v>
      </c>
    </row>
    <row r="120" spans="15:15" x14ac:dyDescent="0.35">
      <c r="O120" s="1" t="s">
        <v>932</v>
      </c>
    </row>
    <row r="121" spans="15:15" x14ac:dyDescent="0.35">
      <c r="O121" s="1" t="s">
        <v>933</v>
      </c>
    </row>
    <row r="122" spans="15:15" x14ac:dyDescent="0.35">
      <c r="O122" s="1" t="s">
        <v>934</v>
      </c>
    </row>
    <row r="123" spans="15:15" x14ac:dyDescent="0.35">
      <c r="O123" s="1" t="s">
        <v>935</v>
      </c>
    </row>
    <row r="124" spans="15:15" x14ac:dyDescent="0.35">
      <c r="O124" s="1" t="s">
        <v>936</v>
      </c>
    </row>
    <row r="125" spans="15:15" x14ac:dyDescent="0.35">
      <c r="O125" s="1" t="s">
        <v>937</v>
      </c>
    </row>
    <row r="126" spans="15:15" x14ac:dyDescent="0.35">
      <c r="O126" s="1" t="s">
        <v>938</v>
      </c>
    </row>
    <row r="127" spans="15:15" x14ac:dyDescent="0.35">
      <c r="O127" s="1" t="s">
        <v>939</v>
      </c>
    </row>
    <row r="128" spans="15:15" x14ac:dyDescent="0.35">
      <c r="O128" s="1" t="s">
        <v>940</v>
      </c>
    </row>
    <row r="129" spans="4:15" x14ac:dyDescent="0.35">
      <c r="O129" s="1" t="s">
        <v>941</v>
      </c>
    </row>
    <row r="130" spans="4:15" x14ac:dyDescent="0.35">
      <c r="O130" s="1" t="s">
        <v>942</v>
      </c>
    </row>
    <row r="131" spans="4:15" x14ac:dyDescent="0.35">
      <c r="O131" s="1" t="s">
        <v>943</v>
      </c>
    </row>
    <row r="132" spans="4:15" x14ac:dyDescent="0.35">
      <c r="D132" s="204"/>
      <c r="O132" s="1" t="s">
        <v>944</v>
      </c>
    </row>
    <row r="133" spans="4:15" ht="15.5" x14ac:dyDescent="0.35">
      <c r="D133" s="203"/>
      <c r="O133" s="1" t="s">
        <v>945</v>
      </c>
    </row>
    <row r="134" spans="4:15" ht="15.5" x14ac:dyDescent="0.35">
      <c r="D134" s="203"/>
      <c r="O134" s="1" t="s">
        <v>946</v>
      </c>
    </row>
    <row r="135" spans="4:15" x14ac:dyDescent="0.35">
      <c r="D135" s="204"/>
      <c r="O135" s="1" t="s">
        <v>947</v>
      </c>
    </row>
    <row r="136" spans="4:15" x14ac:dyDescent="0.35">
      <c r="D136" s="204"/>
      <c r="O136" s="1" t="s">
        <v>948</v>
      </c>
    </row>
    <row r="137" spans="4:15" ht="16" x14ac:dyDescent="0.35">
      <c r="D137" s="205"/>
      <c r="O137" s="1" t="s">
        <v>949</v>
      </c>
    </row>
    <row r="138" spans="4:15" x14ac:dyDescent="0.35">
      <c r="D138" s="204"/>
      <c r="O138" s="1" t="s">
        <v>950</v>
      </c>
    </row>
    <row r="139" spans="4:15" x14ac:dyDescent="0.35">
      <c r="D139" s="204"/>
      <c r="O139" s="1" t="s">
        <v>951</v>
      </c>
    </row>
    <row r="140" spans="4:15" x14ac:dyDescent="0.35">
      <c r="D140" s="204"/>
      <c r="O140" s="1" t="s">
        <v>952</v>
      </c>
    </row>
    <row r="141" spans="4:15" x14ac:dyDescent="0.35">
      <c r="O141" s="1" t="s">
        <v>953</v>
      </c>
    </row>
    <row r="142" spans="4:15" x14ac:dyDescent="0.35">
      <c r="O142" s="1" t="s">
        <v>954</v>
      </c>
    </row>
    <row r="143" spans="4:15" x14ac:dyDescent="0.35">
      <c r="O143" s="1" t="s">
        <v>955</v>
      </c>
    </row>
    <row r="144" spans="4:15" x14ac:dyDescent="0.35">
      <c r="O144" s="1" t="s">
        <v>956</v>
      </c>
    </row>
    <row r="145" spans="15:15" x14ac:dyDescent="0.35">
      <c r="O145" s="1" t="s">
        <v>957</v>
      </c>
    </row>
    <row r="146" spans="15:15" x14ac:dyDescent="0.35">
      <c r="O146" s="1" t="s">
        <v>958</v>
      </c>
    </row>
    <row r="147" spans="15:15" x14ac:dyDescent="0.35">
      <c r="O147" s="1" t="s">
        <v>959</v>
      </c>
    </row>
    <row r="148" spans="15:15" x14ac:dyDescent="0.35">
      <c r="O148" s="1" t="s">
        <v>960</v>
      </c>
    </row>
    <row r="149" spans="15:15" x14ac:dyDescent="0.35">
      <c r="O149" s="1" t="s">
        <v>961</v>
      </c>
    </row>
    <row r="150" spans="15:15" x14ac:dyDescent="0.35">
      <c r="O150" s="1" t="s">
        <v>962</v>
      </c>
    </row>
    <row r="151" spans="15:15" x14ac:dyDescent="0.35">
      <c r="O151" s="1" t="s">
        <v>963</v>
      </c>
    </row>
    <row r="152" spans="15:15" x14ac:dyDescent="0.35">
      <c r="O152" s="1" t="s">
        <v>964</v>
      </c>
    </row>
    <row r="153" spans="15:15" x14ac:dyDescent="0.35">
      <c r="O153" s="1" t="s">
        <v>965</v>
      </c>
    </row>
    <row r="154" spans="15:15" x14ac:dyDescent="0.35">
      <c r="O154" s="1" t="s">
        <v>966</v>
      </c>
    </row>
    <row r="155" spans="15:15" x14ac:dyDescent="0.35">
      <c r="O155" s="1" t="s">
        <v>967</v>
      </c>
    </row>
    <row r="156" spans="15:15" x14ac:dyDescent="0.35">
      <c r="O156" s="1" t="s">
        <v>968</v>
      </c>
    </row>
    <row r="157" spans="15:15" x14ac:dyDescent="0.35">
      <c r="O157" s="1" t="s">
        <v>969</v>
      </c>
    </row>
    <row r="158" spans="15:15" x14ac:dyDescent="0.35">
      <c r="O158" s="1" t="s">
        <v>970</v>
      </c>
    </row>
    <row r="159" spans="15:15" x14ac:dyDescent="0.35">
      <c r="O159" s="1" t="s">
        <v>971</v>
      </c>
    </row>
    <row r="160" spans="15:15" x14ac:dyDescent="0.35">
      <c r="O160" s="1" t="s">
        <v>972</v>
      </c>
    </row>
    <row r="161" spans="15:15" x14ac:dyDescent="0.35">
      <c r="O161" s="1" t="s">
        <v>973</v>
      </c>
    </row>
    <row r="162" spans="15:15" x14ac:dyDescent="0.35">
      <c r="O162" s="1" t="s">
        <v>974</v>
      </c>
    </row>
    <row r="163" spans="15:15" x14ac:dyDescent="0.35">
      <c r="O163" s="1" t="s">
        <v>975</v>
      </c>
    </row>
    <row r="164" spans="15:15" x14ac:dyDescent="0.35">
      <c r="O164" s="1" t="s">
        <v>976</v>
      </c>
    </row>
    <row r="165" spans="15:15" x14ac:dyDescent="0.35">
      <c r="O165" s="1" t="s">
        <v>977</v>
      </c>
    </row>
    <row r="166" spans="15:15" x14ac:dyDescent="0.35">
      <c r="O166" s="1" t="s">
        <v>978</v>
      </c>
    </row>
    <row r="167" spans="15:15" x14ac:dyDescent="0.35">
      <c r="O167" s="1" t="s">
        <v>979</v>
      </c>
    </row>
    <row r="168" spans="15:15" x14ac:dyDescent="0.35">
      <c r="O168" s="1" t="s">
        <v>980</v>
      </c>
    </row>
    <row r="169" spans="15:15" x14ac:dyDescent="0.35">
      <c r="O169" s="1" t="s">
        <v>981</v>
      </c>
    </row>
    <row r="170" spans="15:15" x14ac:dyDescent="0.35">
      <c r="O170" s="1" t="s">
        <v>982</v>
      </c>
    </row>
    <row r="171" spans="15:15" x14ac:dyDescent="0.35">
      <c r="O171" s="1" t="s">
        <v>983</v>
      </c>
    </row>
    <row r="172" spans="15:15" x14ac:dyDescent="0.35">
      <c r="O172" s="1" t="s">
        <v>984</v>
      </c>
    </row>
    <row r="173" spans="15:15" x14ac:dyDescent="0.35">
      <c r="O173" s="1" t="s">
        <v>985</v>
      </c>
    </row>
    <row r="174" spans="15:15" x14ac:dyDescent="0.35">
      <c r="O174" s="1" t="s">
        <v>986</v>
      </c>
    </row>
    <row r="175" spans="15:15" x14ac:dyDescent="0.35">
      <c r="O175" s="1" t="s">
        <v>987</v>
      </c>
    </row>
    <row r="176" spans="15:15" x14ac:dyDescent="0.35">
      <c r="O176" s="1" t="s">
        <v>988</v>
      </c>
    </row>
    <row r="177" spans="15:15" x14ac:dyDescent="0.35">
      <c r="O177" s="1" t="s">
        <v>989</v>
      </c>
    </row>
    <row r="178" spans="15:15" x14ac:dyDescent="0.35">
      <c r="O178" s="1" t="s">
        <v>990</v>
      </c>
    </row>
    <row r="179" spans="15:15" x14ac:dyDescent="0.35">
      <c r="O179" s="1" t="s">
        <v>991</v>
      </c>
    </row>
    <row r="180" spans="15:15" x14ac:dyDescent="0.35">
      <c r="O180" s="1" t="s">
        <v>992</v>
      </c>
    </row>
    <row r="181" spans="15:15" x14ac:dyDescent="0.35">
      <c r="O181" s="1" t="s">
        <v>993</v>
      </c>
    </row>
    <row r="182" spans="15:15" x14ac:dyDescent="0.35">
      <c r="O182" s="1" t="s">
        <v>994</v>
      </c>
    </row>
    <row r="183" spans="15:15" x14ac:dyDescent="0.35">
      <c r="O183" s="1" t="s">
        <v>995</v>
      </c>
    </row>
    <row r="184" spans="15:15" x14ac:dyDescent="0.35">
      <c r="O184" s="1" t="s">
        <v>996</v>
      </c>
    </row>
    <row r="185" spans="15:15" x14ac:dyDescent="0.35">
      <c r="O185" s="1" t="s">
        <v>997</v>
      </c>
    </row>
    <row r="186" spans="15:15" x14ac:dyDescent="0.35">
      <c r="O186" s="1" t="s">
        <v>998</v>
      </c>
    </row>
    <row r="187" spans="15:15" x14ac:dyDescent="0.35">
      <c r="O187" s="1" t="s">
        <v>999</v>
      </c>
    </row>
    <row r="188" spans="15:15" x14ac:dyDescent="0.35">
      <c r="O188" s="1" t="s">
        <v>1000</v>
      </c>
    </row>
    <row r="189" spans="15:15" x14ac:dyDescent="0.35">
      <c r="O189" s="1" t="s">
        <v>1001</v>
      </c>
    </row>
    <row r="190" spans="15:15" x14ac:dyDescent="0.35">
      <c r="O190" s="1" t="s">
        <v>1002</v>
      </c>
    </row>
    <row r="191" spans="15:15" x14ac:dyDescent="0.35">
      <c r="O191" s="1" t="s">
        <v>1003</v>
      </c>
    </row>
    <row r="192" spans="15:15" x14ac:dyDescent="0.35">
      <c r="O192" s="1" t="s">
        <v>1004</v>
      </c>
    </row>
    <row r="193" spans="15:15" x14ac:dyDescent="0.35">
      <c r="O193" s="1" t="s">
        <v>1005</v>
      </c>
    </row>
    <row r="194" spans="15:15" x14ac:dyDescent="0.35">
      <c r="O194" s="1" t="s">
        <v>1006</v>
      </c>
    </row>
    <row r="195" spans="15:15" x14ac:dyDescent="0.35">
      <c r="O195" s="1" t="s">
        <v>1007</v>
      </c>
    </row>
    <row r="196" spans="15:15" x14ac:dyDescent="0.35">
      <c r="O196" s="1" t="s">
        <v>1008</v>
      </c>
    </row>
    <row r="197" spans="15:15" x14ac:dyDescent="0.35">
      <c r="O197" s="1" t="s">
        <v>1009</v>
      </c>
    </row>
    <row r="198" spans="15:15" x14ac:dyDescent="0.35">
      <c r="O198" s="1" t="s">
        <v>1010</v>
      </c>
    </row>
    <row r="199" spans="15:15" x14ac:dyDescent="0.35">
      <c r="O199" s="1" t="s">
        <v>1011</v>
      </c>
    </row>
    <row r="200" spans="15:15" x14ac:dyDescent="0.35">
      <c r="O200" s="1" t="s">
        <v>1012</v>
      </c>
    </row>
    <row r="201" spans="15:15" x14ac:dyDescent="0.35">
      <c r="O201" s="1" t="s">
        <v>1013</v>
      </c>
    </row>
    <row r="202" spans="15:15" x14ac:dyDescent="0.35">
      <c r="O202" s="1" t="s">
        <v>1014</v>
      </c>
    </row>
    <row r="203" spans="15:15" x14ac:dyDescent="0.35">
      <c r="O203" s="1" t="s">
        <v>1015</v>
      </c>
    </row>
    <row r="204" spans="15:15" x14ac:dyDescent="0.35">
      <c r="O204" s="1" t="s">
        <v>1016</v>
      </c>
    </row>
    <row r="205" spans="15:15" x14ac:dyDescent="0.35">
      <c r="O205" s="1" t="s">
        <v>1017</v>
      </c>
    </row>
    <row r="206" spans="15:15" x14ac:dyDescent="0.35">
      <c r="O206" s="1" t="s">
        <v>1018</v>
      </c>
    </row>
    <row r="207" spans="15:15" x14ac:dyDescent="0.35">
      <c r="O207" s="1" t="s">
        <v>1019</v>
      </c>
    </row>
    <row r="208" spans="15:15" x14ac:dyDescent="0.35">
      <c r="O208" s="1" t="s">
        <v>1020</v>
      </c>
    </row>
    <row r="209" spans="15:15" x14ac:dyDescent="0.35">
      <c r="O209" s="1" t="s">
        <v>1021</v>
      </c>
    </row>
    <row r="210" spans="15:15" x14ac:dyDescent="0.35">
      <c r="O210" s="1" t="s">
        <v>1022</v>
      </c>
    </row>
    <row r="211" spans="15:15" x14ac:dyDescent="0.35">
      <c r="O211" s="1" t="s">
        <v>1023</v>
      </c>
    </row>
    <row r="212" spans="15:15" x14ac:dyDescent="0.35">
      <c r="O212" s="1" t="s">
        <v>1024</v>
      </c>
    </row>
    <row r="213" spans="15:15" x14ac:dyDescent="0.35">
      <c r="O213" s="1" t="s">
        <v>1025</v>
      </c>
    </row>
    <row r="214" spans="15:15" x14ac:dyDescent="0.35">
      <c r="O214" s="1" t="s">
        <v>1026</v>
      </c>
    </row>
    <row r="215" spans="15:15" x14ac:dyDescent="0.35">
      <c r="O215" s="1" t="s">
        <v>1027</v>
      </c>
    </row>
    <row r="216" spans="15:15" x14ac:dyDescent="0.35">
      <c r="O216" s="1" t="s">
        <v>1028</v>
      </c>
    </row>
    <row r="217" spans="15:15" x14ac:dyDescent="0.35">
      <c r="O217" s="1" t="s">
        <v>1029</v>
      </c>
    </row>
    <row r="218" spans="15:15" x14ac:dyDescent="0.35">
      <c r="O218" s="1" t="s">
        <v>1030</v>
      </c>
    </row>
    <row r="219" spans="15:15" x14ac:dyDescent="0.35">
      <c r="O219" s="1" t="s">
        <v>1031</v>
      </c>
    </row>
    <row r="220" spans="15:15" x14ac:dyDescent="0.35">
      <c r="O220" s="1" t="s">
        <v>1032</v>
      </c>
    </row>
    <row r="221" spans="15:15" x14ac:dyDescent="0.35">
      <c r="O221" s="1" t="s">
        <v>1033</v>
      </c>
    </row>
    <row r="222" spans="15:15" x14ac:dyDescent="0.35">
      <c r="O222" s="1" t="s">
        <v>1034</v>
      </c>
    </row>
    <row r="223" spans="15:15" x14ac:dyDescent="0.35">
      <c r="O223" s="1" t="s">
        <v>1035</v>
      </c>
    </row>
    <row r="224" spans="15:15" x14ac:dyDescent="0.35">
      <c r="O224" s="1" t="s">
        <v>1036</v>
      </c>
    </row>
    <row r="225" spans="15:15" x14ac:dyDescent="0.35">
      <c r="O225" s="1" t="s">
        <v>1037</v>
      </c>
    </row>
    <row r="226" spans="15:15" x14ac:dyDescent="0.35">
      <c r="O226" s="1" t="s">
        <v>1038</v>
      </c>
    </row>
    <row r="227" spans="15:15" x14ac:dyDescent="0.35">
      <c r="O227" s="1" t="s">
        <v>1039</v>
      </c>
    </row>
    <row r="228" spans="15:15" x14ac:dyDescent="0.35">
      <c r="O228" s="1" t="s">
        <v>1040</v>
      </c>
    </row>
    <row r="229" spans="15:15" x14ac:dyDescent="0.35">
      <c r="O229" s="1" t="s">
        <v>1041</v>
      </c>
    </row>
    <row r="230" spans="15:15" x14ac:dyDescent="0.35">
      <c r="O230" s="1" t="s">
        <v>1042</v>
      </c>
    </row>
    <row r="231" spans="15:15" x14ac:dyDescent="0.35">
      <c r="O231" s="1" t="s">
        <v>1043</v>
      </c>
    </row>
    <row r="232" spans="15:15" x14ac:dyDescent="0.35">
      <c r="O232" s="1" t="s">
        <v>1044</v>
      </c>
    </row>
    <row r="233" spans="15:15" x14ac:dyDescent="0.35">
      <c r="O233" s="1" t="s">
        <v>1045</v>
      </c>
    </row>
    <row r="234" spans="15:15" x14ac:dyDescent="0.35">
      <c r="O234" s="1" t="s">
        <v>1046</v>
      </c>
    </row>
    <row r="235" spans="15:15" x14ac:dyDescent="0.35">
      <c r="O235" s="1" t="s">
        <v>1047</v>
      </c>
    </row>
    <row r="236" spans="15:15" x14ac:dyDescent="0.35">
      <c r="O236" s="1" t="s">
        <v>1048</v>
      </c>
    </row>
    <row r="237" spans="15:15" x14ac:dyDescent="0.35">
      <c r="O237" s="1" t="s">
        <v>1049</v>
      </c>
    </row>
    <row r="238" spans="15:15" x14ac:dyDescent="0.35">
      <c r="O238" s="1" t="s">
        <v>1050</v>
      </c>
    </row>
    <row r="239" spans="15:15" x14ac:dyDescent="0.35">
      <c r="O239" s="1" t="s">
        <v>1051</v>
      </c>
    </row>
    <row r="240" spans="15:15" x14ac:dyDescent="0.35">
      <c r="O240" s="1" t="s">
        <v>1052</v>
      </c>
    </row>
    <row r="241" spans="15:17" x14ac:dyDescent="0.35">
      <c r="O241" s="1" t="s">
        <v>1053</v>
      </c>
    </row>
    <row r="242" spans="15:17" x14ac:dyDescent="0.35">
      <c r="O242" s="1" t="s">
        <v>1054</v>
      </c>
    </row>
    <row r="243" spans="15:17" x14ac:dyDescent="0.35">
      <c r="O243" s="1" t="s">
        <v>1055</v>
      </c>
    </row>
    <row r="244" spans="15:17" x14ac:dyDescent="0.35">
      <c r="O244" s="1" t="s">
        <v>1056</v>
      </c>
    </row>
    <row r="245" spans="15:17" x14ac:dyDescent="0.35">
      <c r="O245" s="1" t="s">
        <v>1057</v>
      </c>
    </row>
    <row r="246" spans="15:17" x14ac:dyDescent="0.35">
      <c r="O246" s="1" t="s">
        <v>1058</v>
      </c>
    </row>
    <row r="247" spans="15:17" x14ac:dyDescent="0.35">
      <c r="O247" s="1" t="s">
        <v>1059</v>
      </c>
    </row>
    <row r="248" spans="15:17" x14ac:dyDescent="0.35">
      <c r="O248" s="1" t="s">
        <v>1060</v>
      </c>
    </row>
    <row r="250" spans="15:17" x14ac:dyDescent="0.35">
      <c r="O250" s="9" t="s">
        <v>1061</v>
      </c>
      <c r="P250" s="231" t="s">
        <v>1062</v>
      </c>
      <c r="Q250" s="9" t="s">
        <v>1063</v>
      </c>
    </row>
    <row r="251" spans="15:17" x14ac:dyDescent="0.35">
      <c r="O251" s="1" t="s">
        <v>1064</v>
      </c>
      <c r="P251" s="232" t="s">
        <v>1064</v>
      </c>
      <c r="Q251" s="18" t="s">
        <v>1065</v>
      </c>
    </row>
    <row r="252" spans="15:17" x14ac:dyDescent="0.35">
      <c r="O252" s="1" t="s">
        <v>793</v>
      </c>
      <c r="P252" s="232" t="s">
        <v>1064</v>
      </c>
      <c r="Q252" s="18" t="s">
        <v>1066</v>
      </c>
    </row>
    <row r="253" spans="15:17" x14ac:dyDescent="0.35">
      <c r="O253" s="1" t="s">
        <v>1067</v>
      </c>
      <c r="P253" s="232" t="s">
        <v>1064</v>
      </c>
      <c r="Q253" s="18" t="s">
        <v>1068</v>
      </c>
    </row>
    <row r="254" spans="15:17" x14ac:dyDescent="0.35">
      <c r="O254" s="1" t="s">
        <v>1069</v>
      </c>
      <c r="P254" s="232" t="s">
        <v>1064</v>
      </c>
      <c r="Q254" s="18" t="s">
        <v>1070</v>
      </c>
    </row>
    <row r="255" spans="15:17" x14ac:dyDescent="0.35">
      <c r="O255" s="1" t="s">
        <v>1071</v>
      </c>
      <c r="P255" s="232" t="s">
        <v>793</v>
      </c>
      <c r="Q255" s="18" t="s">
        <v>1072</v>
      </c>
    </row>
    <row r="256" spans="15:17" x14ac:dyDescent="0.35">
      <c r="O256" s="1" t="s">
        <v>169</v>
      </c>
      <c r="P256" s="232" t="s">
        <v>793</v>
      </c>
      <c r="Q256" s="18" t="s">
        <v>1073</v>
      </c>
    </row>
    <row r="257" spans="15:17" x14ac:dyDescent="0.35">
      <c r="O257" s="1" t="s">
        <v>1074</v>
      </c>
      <c r="P257" s="232" t="s">
        <v>793</v>
      </c>
      <c r="Q257" s="18" t="s">
        <v>1075</v>
      </c>
    </row>
    <row r="258" spans="15:17" x14ac:dyDescent="0.35">
      <c r="O258" s="1" t="s">
        <v>1076</v>
      </c>
      <c r="P258" s="232" t="s">
        <v>793</v>
      </c>
      <c r="Q258" s="18" t="s">
        <v>1077</v>
      </c>
    </row>
    <row r="259" spans="15:17" x14ac:dyDescent="0.35">
      <c r="O259" s="1" t="s">
        <v>1078</v>
      </c>
      <c r="P259" s="232" t="s">
        <v>793</v>
      </c>
      <c r="Q259" s="18" t="s">
        <v>1079</v>
      </c>
    </row>
    <row r="260" spans="15:17" x14ac:dyDescent="0.35">
      <c r="O260" s="1" t="s">
        <v>1080</v>
      </c>
      <c r="P260" s="232" t="s">
        <v>793</v>
      </c>
      <c r="Q260" s="18" t="s">
        <v>1081</v>
      </c>
    </row>
    <row r="261" spans="15:17" x14ac:dyDescent="0.35">
      <c r="O261" s="1" t="s">
        <v>1082</v>
      </c>
      <c r="P261" s="232" t="s">
        <v>793</v>
      </c>
      <c r="Q261" s="18" t="s">
        <v>1083</v>
      </c>
    </row>
    <row r="262" spans="15:17" x14ac:dyDescent="0.35">
      <c r="O262" s="1" t="s">
        <v>1084</v>
      </c>
      <c r="P262" s="232" t="s">
        <v>793</v>
      </c>
      <c r="Q262" s="18" t="s">
        <v>1085</v>
      </c>
    </row>
    <row r="263" spans="15:17" x14ac:dyDescent="0.35">
      <c r="O263" s="1" t="s">
        <v>1086</v>
      </c>
      <c r="P263" s="232" t="s">
        <v>793</v>
      </c>
      <c r="Q263" s="18" t="s">
        <v>1087</v>
      </c>
    </row>
    <row r="264" spans="15:17" x14ac:dyDescent="0.35">
      <c r="O264" s="1" t="s">
        <v>1088</v>
      </c>
      <c r="P264" s="232" t="s">
        <v>793</v>
      </c>
      <c r="Q264" s="18" t="s">
        <v>1089</v>
      </c>
    </row>
    <row r="265" spans="15:17" x14ac:dyDescent="0.35">
      <c r="O265" s="1" t="s">
        <v>1090</v>
      </c>
      <c r="P265" s="232" t="s">
        <v>793</v>
      </c>
      <c r="Q265" s="18" t="s">
        <v>1091</v>
      </c>
    </row>
    <row r="266" spans="15:17" x14ac:dyDescent="0.35">
      <c r="O266" s="1" t="s">
        <v>1092</v>
      </c>
      <c r="P266" s="232" t="s">
        <v>793</v>
      </c>
      <c r="Q266" s="18" t="s">
        <v>1093</v>
      </c>
    </row>
    <row r="267" spans="15:17" x14ac:dyDescent="0.35">
      <c r="O267" s="1" t="s">
        <v>1094</v>
      </c>
      <c r="P267" s="232" t="s">
        <v>1067</v>
      </c>
      <c r="Q267" s="18" t="s">
        <v>1095</v>
      </c>
    </row>
    <row r="268" spans="15:17" x14ac:dyDescent="0.35">
      <c r="P268" s="232" t="s">
        <v>1067</v>
      </c>
      <c r="Q268" s="18" t="s">
        <v>1096</v>
      </c>
    </row>
    <row r="269" spans="15:17" x14ac:dyDescent="0.35">
      <c r="P269" s="232" t="s">
        <v>1067</v>
      </c>
      <c r="Q269" s="18" t="s">
        <v>1097</v>
      </c>
    </row>
    <row r="270" spans="15:17" x14ac:dyDescent="0.35">
      <c r="P270" s="232" t="s">
        <v>1067</v>
      </c>
      <c r="Q270" s="18" t="s">
        <v>1098</v>
      </c>
    </row>
    <row r="271" spans="15:17" x14ac:dyDescent="0.35">
      <c r="P271" s="232" t="s">
        <v>1067</v>
      </c>
      <c r="Q271" s="18" t="s">
        <v>1099</v>
      </c>
    </row>
    <row r="272" spans="15:17" x14ac:dyDescent="0.35">
      <c r="P272" s="232" t="s">
        <v>1067</v>
      </c>
      <c r="Q272" s="18" t="s">
        <v>1100</v>
      </c>
    </row>
    <row r="273" spans="16:17" x14ac:dyDescent="0.35">
      <c r="P273" s="232" t="s">
        <v>1067</v>
      </c>
      <c r="Q273" s="18" t="s">
        <v>1101</v>
      </c>
    </row>
    <row r="274" spans="16:17" x14ac:dyDescent="0.35">
      <c r="P274" s="232" t="s">
        <v>1067</v>
      </c>
      <c r="Q274" s="18" t="s">
        <v>1102</v>
      </c>
    </row>
    <row r="275" spans="16:17" x14ac:dyDescent="0.35">
      <c r="P275" s="232" t="s">
        <v>1067</v>
      </c>
      <c r="Q275" s="18" t="s">
        <v>1103</v>
      </c>
    </row>
    <row r="276" spans="16:17" x14ac:dyDescent="0.35">
      <c r="P276" s="232" t="s">
        <v>1069</v>
      </c>
      <c r="Q276" s="18" t="s">
        <v>1104</v>
      </c>
    </row>
    <row r="277" spans="16:17" x14ac:dyDescent="0.35">
      <c r="P277" s="232" t="s">
        <v>1069</v>
      </c>
      <c r="Q277" s="18" t="s">
        <v>1105</v>
      </c>
    </row>
    <row r="278" spans="16:17" x14ac:dyDescent="0.35">
      <c r="P278" s="232" t="s">
        <v>1069</v>
      </c>
      <c r="Q278" s="18" t="s">
        <v>1106</v>
      </c>
    </row>
    <row r="279" spans="16:17" x14ac:dyDescent="0.35">
      <c r="P279" s="232" t="s">
        <v>1069</v>
      </c>
      <c r="Q279" s="18" t="s">
        <v>1107</v>
      </c>
    </row>
    <row r="280" spans="16:17" x14ac:dyDescent="0.35">
      <c r="P280" s="232" t="s">
        <v>1069</v>
      </c>
      <c r="Q280" s="18" t="s">
        <v>1108</v>
      </c>
    </row>
    <row r="281" spans="16:17" x14ac:dyDescent="0.35">
      <c r="P281" s="232" t="s">
        <v>1069</v>
      </c>
      <c r="Q281" s="18" t="s">
        <v>1109</v>
      </c>
    </row>
    <row r="282" spans="16:17" x14ac:dyDescent="0.35">
      <c r="P282" s="232" t="s">
        <v>1069</v>
      </c>
      <c r="Q282" s="18" t="s">
        <v>1110</v>
      </c>
    </row>
    <row r="283" spans="16:17" x14ac:dyDescent="0.35">
      <c r="P283" s="232" t="s">
        <v>1069</v>
      </c>
      <c r="Q283" s="18" t="s">
        <v>1111</v>
      </c>
    </row>
    <row r="284" spans="16:17" x14ac:dyDescent="0.35">
      <c r="P284" s="232" t="s">
        <v>1069</v>
      </c>
      <c r="Q284" s="18" t="s">
        <v>1112</v>
      </c>
    </row>
    <row r="285" spans="16:17" x14ac:dyDescent="0.35">
      <c r="P285" s="232" t="s">
        <v>1069</v>
      </c>
      <c r="Q285" s="18" t="s">
        <v>1113</v>
      </c>
    </row>
    <row r="286" spans="16:17" x14ac:dyDescent="0.35">
      <c r="P286" s="232" t="s">
        <v>1069</v>
      </c>
      <c r="Q286" s="18" t="s">
        <v>1114</v>
      </c>
    </row>
    <row r="287" spans="16:17" x14ac:dyDescent="0.35">
      <c r="P287" s="232" t="s">
        <v>1069</v>
      </c>
      <c r="Q287" s="18" t="s">
        <v>1115</v>
      </c>
    </row>
    <row r="288" spans="16:17" x14ac:dyDescent="0.35">
      <c r="P288" s="232" t="s">
        <v>1071</v>
      </c>
      <c r="Q288" s="18" t="s">
        <v>1116</v>
      </c>
    </row>
    <row r="289" spans="16:17" x14ac:dyDescent="0.35">
      <c r="P289" s="232" t="s">
        <v>1071</v>
      </c>
      <c r="Q289" s="18" t="s">
        <v>1117</v>
      </c>
    </row>
    <row r="290" spans="16:17" x14ac:dyDescent="0.35">
      <c r="P290" s="232" t="s">
        <v>1071</v>
      </c>
      <c r="Q290" s="18" t="s">
        <v>1118</v>
      </c>
    </row>
    <row r="291" spans="16:17" x14ac:dyDescent="0.35">
      <c r="P291" s="232" t="s">
        <v>1071</v>
      </c>
      <c r="Q291" s="18" t="s">
        <v>1119</v>
      </c>
    </row>
    <row r="292" spans="16:17" x14ac:dyDescent="0.35">
      <c r="P292" s="232" t="s">
        <v>169</v>
      </c>
      <c r="Q292" s="18" t="s">
        <v>1120</v>
      </c>
    </row>
    <row r="293" spans="16:17" x14ac:dyDescent="0.35">
      <c r="P293" s="232" t="s">
        <v>169</v>
      </c>
      <c r="Q293" s="18" t="s">
        <v>1121</v>
      </c>
    </row>
    <row r="294" spans="16:17" x14ac:dyDescent="0.35">
      <c r="P294" s="232" t="s">
        <v>169</v>
      </c>
      <c r="Q294" s="18" t="s">
        <v>1122</v>
      </c>
    </row>
    <row r="295" spans="16:17" x14ac:dyDescent="0.35">
      <c r="P295" s="232" t="s">
        <v>169</v>
      </c>
      <c r="Q295" s="18" t="s">
        <v>1123</v>
      </c>
    </row>
    <row r="296" spans="16:17" x14ac:dyDescent="0.35">
      <c r="P296" s="232" t="s">
        <v>1074</v>
      </c>
      <c r="Q296" s="18" t="s">
        <v>1124</v>
      </c>
    </row>
    <row r="297" spans="16:17" x14ac:dyDescent="0.35">
      <c r="P297" s="232" t="s">
        <v>1074</v>
      </c>
      <c r="Q297" s="18" t="s">
        <v>1125</v>
      </c>
    </row>
    <row r="298" spans="16:17" x14ac:dyDescent="0.35">
      <c r="P298" s="232" t="s">
        <v>1074</v>
      </c>
      <c r="Q298" s="18" t="s">
        <v>170</v>
      </c>
    </row>
    <row r="299" spans="16:17" x14ac:dyDescent="0.35">
      <c r="P299" s="232" t="s">
        <v>1074</v>
      </c>
      <c r="Q299" s="18" t="s">
        <v>1126</v>
      </c>
    </row>
    <row r="300" spans="16:17" x14ac:dyDescent="0.35">
      <c r="P300" s="232" t="s">
        <v>1076</v>
      </c>
      <c r="Q300" s="18" t="s">
        <v>1127</v>
      </c>
    </row>
    <row r="301" spans="16:17" x14ac:dyDescent="0.35">
      <c r="P301" s="232" t="s">
        <v>1076</v>
      </c>
      <c r="Q301" s="18" t="s">
        <v>1128</v>
      </c>
    </row>
    <row r="302" spans="16:17" x14ac:dyDescent="0.35">
      <c r="P302" s="232" t="s">
        <v>1076</v>
      </c>
      <c r="Q302" s="18" t="s">
        <v>619</v>
      </c>
    </row>
    <row r="303" spans="16:17" x14ac:dyDescent="0.35">
      <c r="P303" s="232" t="s">
        <v>1078</v>
      </c>
      <c r="Q303" s="18" t="s">
        <v>1129</v>
      </c>
    </row>
    <row r="304" spans="16:17" x14ac:dyDescent="0.35">
      <c r="P304" s="232" t="s">
        <v>1078</v>
      </c>
      <c r="Q304" s="18" t="s">
        <v>1130</v>
      </c>
    </row>
    <row r="305" spans="16:17" x14ac:dyDescent="0.35">
      <c r="P305" s="232" t="s">
        <v>1078</v>
      </c>
      <c r="Q305" s="18" t="s">
        <v>1131</v>
      </c>
    </row>
    <row r="306" spans="16:17" x14ac:dyDescent="0.35">
      <c r="P306" s="232" t="s">
        <v>1078</v>
      </c>
      <c r="Q306" s="18" t="s">
        <v>1132</v>
      </c>
    </row>
    <row r="307" spans="16:17" x14ac:dyDescent="0.35">
      <c r="P307" s="232" t="s">
        <v>1080</v>
      </c>
      <c r="Q307" s="18" t="s">
        <v>1133</v>
      </c>
    </row>
    <row r="308" spans="16:17" x14ac:dyDescent="0.35">
      <c r="P308" s="232" t="s">
        <v>1080</v>
      </c>
      <c r="Q308" s="18" t="s">
        <v>1134</v>
      </c>
    </row>
    <row r="309" spans="16:17" x14ac:dyDescent="0.35">
      <c r="P309" s="232" t="s">
        <v>1080</v>
      </c>
      <c r="Q309" s="18" t="s">
        <v>1135</v>
      </c>
    </row>
    <row r="310" spans="16:17" x14ac:dyDescent="0.35">
      <c r="P310" s="232" t="s">
        <v>1080</v>
      </c>
      <c r="Q310" s="18" t="s">
        <v>1136</v>
      </c>
    </row>
    <row r="311" spans="16:17" x14ac:dyDescent="0.35">
      <c r="P311" s="232" t="s">
        <v>1080</v>
      </c>
      <c r="Q311" s="18" t="s">
        <v>1137</v>
      </c>
    </row>
    <row r="312" spans="16:17" x14ac:dyDescent="0.35">
      <c r="P312" s="232" t="s">
        <v>1080</v>
      </c>
      <c r="Q312" s="18" t="s">
        <v>1138</v>
      </c>
    </row>
    <row r="313" spans="16:17" x14ac:dyDescent="0.35">
      <c r="P313" s="232" t="s">
        <v>1080</v>
      </c>
      <c r="Q313" s="18" t="s">
        <v>1139</v>
      </c>
    </row>
    <row r="314" spans="16:17" x14ac:dyDescent="0.35">
      <c r="P314" s="232" t="s">
        <v>1080</v>
      </c>
      <c r="Q314" s="18" t="s">
        <v>1140</v>
      </c>
    </row>
    <row r="315" spans="16:17" x14ac:dyDescent="0.35">
      <c r="P315" s="232" t="s">
        <v>1080</v>
      </c>
      <c r="Q315" s="18" t="s">
        <v>1141</v>
      </c>
    </row>
    <row r="316" spans="16:17" x14ac:dyDescent="0.35">
      <c r="P316" s="232" t="s">
        <v>1082</v>
      </c>
      <c r="Q316" s="18" t="s">
        <v>1142</v>
      </c>
    </row>
    <row r="317" spans="16:17" x14ac:dyDescent="0.35">
      <c r="P317" s="232" t="s">
        <v>1082</v>
      </c>
      <c r="Q317" s="18" t="s">
        <v>1143</v>
      </c>
    </row>
    <row r="318" spans="16:17" x14ac:dyDescent="0.35">
      <c r="P318" s="232" t="s">
        <v>1082</v>
      </c>
      <c r="Q318" s="18" t="s">
        <v>1144</v>
      </c>
    </row>
    <row r="319" spans="16:17" x14ac:dyDescent="0.35">
      <c r="P319" s="232" t="s">
        <v>1082</v>
      </c>
      <c r="Q319" s="18" t="s">
        <v>1145</v>
      </c>
    </row>
    <row r="320" spans="16:17" x14ac:dyDescent="0.35">
      <c r="P320" s="232" t="s">
        <v>1082</v>
      </c>
      <c r="Q320" s="18" t="s">
        <v>1146</v>
      </c>
    </row>
    <row r="321" spans="16:17" x14ac:dyDescent="0.35">
      <c r="P321" s="232" t="s">
        <v>1082</v>
      </c>
      <c r="Q321" s="18" t="s">
        <v>1147</v>
      </c>
    </row>
    <row r="322" spans="16:17" x14ac:dyDescent="0.35">
      <c r="P322" s="232" t="s">
        <v>1082</v>
      </c>
      <c r="Q322" s="18" t="s">
        <v>1148</v>
      </c>
    </row>
    <row r="323" spans="16:17" x14ac:dyDescent="0.35">
      <c r="P323" s="232" t="s">
        <v>1082</v>
      </c>
      <c r="Q323" s="18" t="s">
        <v>1149</v>
      </c>
    </row>
    <row r="324" spans="16:17" x14ac:dyDescent="0.35">
      <c r="P324" s="232" t="s">
        <v>1084</v>
      </c>
      <c r="Q324" s="18" t="s">
        <v>1150</v>
      </c>
    </row>
    <row r="325" spans="16:17" x14ac:dyDescent="0.35">
      <c r="P325" s="232" t="s">
        <v>1084</v>
      </c>
      <c r="Q325" s="18" t="s">
        <v>1151</v>
      </c>
    </row>
    <row r="326" spans="16:17" x14ac:dyDescent="0.35">
      <c r="P326" s="232" t="s">
        <v>1084</v>
      </c>
      <c r="Q326" s="18" t="s">
        <v>1152</v>
      </c>
    </row>
    <row r="327" spans="16:17" x14ac:dyDescent="0.35">
      <c r="P327" s="232" t="s">
        <v>1084</v>
      </c>
      <c r="Q327" s="18" t="s">
        <v>1153</v>
      </c>
    </row>
    <row r="328" spans="16:17" x14ac:dyDescent="0.35">
      <c r="P328" s="232" t="s">
        <v>1084</v>
      </c>
      <c r="Q328" s="18" t="s">
        <v>1154</v>
      </c>
    </row>
    <row r="329" spans="16:17" x14ac:dyDescent="0.35">
      <c r="P329" s="232" t="s">
        <v>1084</v>
      </c>
      <c r="Q329" s="18" t="s">
        <v>1155</v>
      </c>
    </row>
    <row r="330" spans="16:17" x14ac:dyDescent="0.35">
      <c r="P330" s="232" t="s">
        <v>1086</v>
      </c>
      <c r="Q330" s="18" t="s">
        <v>1156</v>
      </c>
    </row>
    <row r="331" spans="16:17" x14ac:dyDescent="0.35">
      <c r="P331" s="232" t="s">
        <v>1086</v>
      </c>
      <c r="Q331" s="18" t="s">
        <v>1157</v>
      </c>
    </row>
    <row r="332" spans="16:17" x14ac:dyDescent="0.35">
      <c r="P332" s="232" t="s">
        <v>1088</v>
      </c>
      <c r="Q332" s="18" t="s">
        <v>1158</v>
      </c>
    </row>
    <row r="333" spans="16:17" x14ac:dyDescent="0.35">
      <c r="P333" s="232" t="s">
        <v>1088</v>
      </c>
      <c r="Q333" s="18" t="s">
        <v>1159</v>
      </c>
    </row>
    <row r="334" spans="16:17" x14ac:dyDescent="0.35">
      <c r="P334" s="232" t="s">
        <v>1088</v>
      </c>
      <c r="Q334" s="18" t="s">
        <v>1160</v>
      </c>
    </row>
    <row r="335" spans="16:17" x14ac:dyDescent="0.35">
      <c r="P335" s="232" t="s">
        <v>1088</v>
      </c>
      <c r="Q335" s="18" t="s">
        <v>1161</v>
      </c>
    </row>
    <row r="336" spans="16:17" x14ac:dyDescent="0.35">
      <c r="P336" s="232" t="s">
        <v>1088</v>
      </c>
      <c r="Q336" s="18" t="s">
        <v>1162</v>
      </c>
    </row>
    <row r="337" spans="16:17" x14ac:dyDescent="0.35">
      <c r="P337" s="232" t="s">
        <v>1088</v>
      </c>
      <c r="Q337" s="18" t="s">
        <v>1163</v>
      </c>
    </row>
    <row r="338" spans="16:17" x14ac:dyDescent="0.35">
      <c r="P338" s="232" t="s">
        <v>1088</v>
      </c>
      <c r="Q338" s="18" t="s">
        <v>1164</v>
      </c>
    </row>
    <row r="339" spans="16:17" x14ac:dyDescent="0.35">
      <c r="P339" s="232" t="s">
        <v>1088</v>
      </c>
      <c r="Q339" s="18" t="s">
        <v>1165</v>
      </c>
    </row>
    <row r="340" spans="16:17" x14ac:dyDescent="0.35">
      <c r="P340" s="232" t="s">
        <v>1088</v>
      </c>
      <c r="Q340" s="18" t="s">
        <v>1166</v>
      </c>
    </row>
    <row r="341" spans="16:17" x14ac:dyDescent="0.35">
      <c r="P341" s="232" t="s">
        <v>1088</v>
      </c>
      <c r="Q341" s="18" t="s">
        <v>1167</v>
      </c>
    </row>
    <row r="342" spans="16:17" x14ac:dyDescent="0.35">
      <c r="P342" s="232" t="s">
        <v>1088</v>
      </c>
      <c r="Q342" s="18" t="s">
        <v>1168</v>
      </c>
    </row>
    <row r="343" spans="16:17" x14ac:dyDescent="0.35">
      <c r="P343" s="232" t="s">
        <v>1088</v>
      </c>
      <c r="Q343" s="18" t="s">
        <v>1169</v>
      </c>
    </row>
    <row r="344" spans="16:17" x14ac:dyDescent="0.35">
      <c r="P344" s="232" t="s">
        <v>1090</v>
      </c>
      <c r="Q344" s="18" t="s">
        <v>1170</v>
      </c>
    </row>
    <row r="345" spans="16:17" x14ac:dyDescent="0.35">
      <c r="P345" s="232" t="s">
        <v>1090</v>
      </c>
      <c r="Q345" s="18" t="s">
        <v>1171</v>
      </c>
    </row>
    <row r="346" spans="16:17" x14ac:dyDescent="0.35">
      <c r="P346" s="232" t="s">
        <v>1090</v>
      </c>
      <c r="Q346" s="18" t="s">
        <v>1172</v>
      </c>
    </row>
    <row r="347" spans="16:17" x14ac:dyDescent="0.35">
      <c r="P347" s="232" t="s">
        <v>1090</v>
      </c>
      <c r="Q347" s="18" t="s">
        <v>1173</v>
      </c>
    </row>
    <row r="348" spans="16:17" x14ac:dyDescent="0.35">
      <c r="P348" s="232" t="s">
        <v>1090</v>
      </c>
      <c r="Q348" s="18" t="s">
        <v>1174</v>
      </c>
    </row>
    <row r="349" spans="16:17" x14ac:dyDescent="0.35">
      <c r="P349" s="232" t="s">
        <v>1090</v>
      </c>
      <c r="Q349" s="18" t="s">
        <v>1175</v>
      </c>
    </row>
    <row r="350" spans="16:17" x14ac:dyDescent="0.35">
      <c r="P350" s="232" t="s">
        <v>1090</v>
      </c>
      <c r="Q350" s="18" t="s">
        <v>1176</v>
      </c>
    </row>
    <row r="351" spans="16:17" x14ac:dyDescent="0.35">
      <c r="P351" s="232" t="s">
        <v>1090</v>
      </c>
      <c r="Q351" s="18" t="s">
        <v>1177</v>
      </c>
    </row>
    <row r="352" spans="16:17" x14ac:dyDescent="0.35">
      <c r="P352" s="232" t="s">
        <v>1090</v>
      </c>
      <c r="Q352" s="18" t="s">
        <v>1178</v>
      </c>
    </row>
    <row r="353" spans="16:17" x14ac:dyDescent="0.35">
      <c r="P353" s="232" t="s">
        <v>1090</v>
      </c>
      <c r="Q353" s="18" t="s">
        <v>1179</v>
      </c>
    </row>
    <row r="354" spans="16:17" x14ac:dyDescent="0.35">
      <c r="P354" s="232" t="s">
        <v>1090</v>
      </c>
      <c r="Q354" s="18" t="s">
        <v>1180</v>
      </c>
    </row>
    <row r="355" spans="16:17" x14ac:dyDescent="0.35">
      <c r="P355" s="232" t="s">
        <v>1090</v>
      </c>
      <c r="Q355" s="18" t="s">
        <v>1181</v>
      </c>
    </row>
    <row r="356" spans="16:17" x14ac:dyDescent="0.35">
      <c r="P356" s="232" t="s">
        <v>1090</v>
      </c>
      <c r="Q356" s="18" t="s">
        <v>1182</v>
      </c>
    </row>
    <row r="357" spans="16:17" x14ac:dyDescent="0.35">
      <c r="P357" s="232" t="s">
        <v>1090</v>
      </c>
      <c r="Q357" s="18" t="s">
        <v>1183</v>
      </c>
    </row>
    <row r="358" spans="16:17" x14ac:dyDescent="0.35">
      <c r="P358" s="232" t="s">
        <v>1090</v>
      </c>
      <c r="Q358" s="18" t="s">
        <v>1184</v>
      </c>
    </row>
    <row r="359" spans="16:17" x14ac:dyDescent="0.35">
      <c r="P359" s="232" t="s">
        <v>1090</v>
      </c>
      <c r="Q359" s="18" t="s">
        <v>1185</v>
      </c>
    </row>
    <row r="360" spans="16:17" x14ac:dyDescent="0.35">
      <c r="P360" s="232" t="s">
        <v>1090</v>
      </c>
      <c r="Q360" s="18" t="s">
        <v>1186</v>
      </c>
    </row>
    <row r="361" spans="16:17" x14ac:dyDescent="0.35">
      <c r="P361" s="232" t="s">
        <v>1090</v>
      </c>
      <c r="Q361" s="18" t="s">
        <v>1187</v>
      </c>
    </row>
    <row r="362" spans="16:17" x14ac:dyDescent="0.35">
      <c r="P362" s="232" t="s">
        <v>1090</v>
      </c>
      <c r="Q362" s="18" t="s">
        <v>1188</v>
      </c>
    </row>
    <row r="363" spans="16:17" x14ac:dyDescent="0.35">
      <c r="P363" s="232" t="s">
        <v>1090</v>
      </c>
      <c r="Q363" s="18" t="s">
        <v>1189</v>
      </c>
    </row>
    <row r="364" spans="16:17" x14ac:dyDescent="0.35">
      <c r="P364" s="232" t="s">
        <v>1090</v>
      </c>
      <c r="Q364" s="18" t="s">
        <v>1190</v>
      </c>
    </row>
    <row r="365" spans="16:17" x14ac:dyDescent="0.35">
      <c r="P365" s="232" t="s">
        <v>1090</v>
      </c>
      <c r="Q365" s="18" t="s">
        <v>1191</v>
      </c>
    </row>
    <row r="366" spans="16:17" x14ac:dyDescent="0.35">
      <c r="P366" s="232" t="s">
        <v>1090</v>
      </c>
      <c r="Q366" s="18" t="s">
        <v>1192</v>
      </c>
    </row>
    <row r="367" spans="16:17" x14ac:dyDescent="0.35">
      <c r="P367" s="232" t="s">
        <v>1090</v>
      </c>
      <c r="Q367" s="18" t="s">
        <v>1193</v>
      </c>
    </row>
    <row r="368" spans="16:17" x14ac:dyDescent="0.35">
      <c r="P368" s="232" t="s">
        <v>1090</v>
      </c>
      <c r="Q368" s="18" t="s">
        <v>1194</v>
      </c>
    </row>
    <row r="369" spans="16:17" x14ac:dyDescent="0.35">
      <c r="P369" s="232" t="s">
        <v>1090</v>
      </c>
      <c r="Q369" s="18" t="s">
        <v>1195</v>
      </c>
    </row>
    <row r="370" spans="16:17" x14ac:dyDescent="0.35">
      <c r="P370" s="232" t="s">
        <v>1092</v>
      </c>
      <c r="Q370" s="18" t="s">
        <v>1196</v>
      </c>
    </row>
    <row r="371" spans="16:17" x14ac:dyDescent="0.35">
      <c r="P371" s="232" t="s">
        <v>1092</v>
      </c>
      <c r="Q371" s="18" t="s">
        <v>1197</v>
      </c>
    </row>
    <row r="372" spans="16:17" x14ac:dyDescent="0.35">
      <c r="P372" s="232" t="s">
        <v>1092</v>
      </c>
      <c r="Q372" s="18" t="s">
        <v>1198</v>
      </c>
    </row>
    <row r="373" spans="16:17" x14ac:dyDescent="0.35">
      <c r="P373" s="232" t="s">
        <v>1092</v>
      </c>
      <c r="Q373" s="18" t="s">
        <v>1199</v>
      </c>
    </row>
    <row r="374" spans="16:17" x14ac:dyDescent="0.35">
      <c r="P374" s="232" t="s">
        <v>1092</v>
      </c>
      <c r="Q374" s="18" t="s">
        <v>1200</v>
      </c>
    </row>
    <row r="375" spans="16:17" x14ac:dyDescent="0.35">
      <c r="P375" s="232" t="s">
        <v>1092</v>
      </c>
      <c r="Q375" s="18" t="s">
        <v>1201</v>
      </c>
    </row>
    <row r="376" spans="16:17" x14ac:dyDescent="0.35">
      <c r="P376" s="232" t="s">
        <v>1092</v>
      </c>
      <c r="Q376" s="18" t="s">
        <v>1202</v>
      </c>
    </row>
    <row r="377" spans="16:17" x14ac:dyDescent="0.35">
      <c r="P377" s="232" t="s">
        <v>1094</v>
      </c>
      <c r="Q377" s="18" t="s">
        <v>1094</v>
      </c>
    </row>
  </sheetData>
  <sheetProtection algorithmName="SHA-512" hashValue="iUGNUPPU3rQuCJrFhJyqmLvZtSfebenv51lPfPZx8iyS+N2/rFSjZrAnt3yi0qSP2K3F5yqur7H9ATbOLhY0xg==" saltValue="l4HmNqrYhqWai+r1TDD8oQ==" spinCount="100000" sheet="1" objects="1" scenarios="1"/>
  <sortState xmlns:xlrd2="http://schemas.microsoft.com/office/spreadsheetml/2017/richdata2" ref="G4:G11">
    <sortCondition ref="G4:G11"/>
  </sortState>
  <mergeCells count="2">
    <mergeCell ref="B2:D2"/>
    <mergeCell ref="G2:J2"/>
  </mergeCells>
  <phoneticPr fontId="22" type="noConversion"/>
  <dataValidations disablePrompts="1" count="1">
    <dataValidation type="list" allowBlank="1" showInputMessage="1" showErrorMessage="1" sqref="AZ30:AZ31" xr:uid="{0F05B8C2-AD74-4DC2-B69F-3E8F17B2D3A9}">
      <formula1>INDIRECT(SUBSTITUTE($B$73," ",""))</formula1>
    </dataValidation>
  </dataValidation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tabColor theme="7" tint="0.79998168889431442"/>
  </sheetPr>
  <dimension ref="A1:BA381"/>
  <sheetViews>
    <sheetView topLeftCell="K1" zoomScale="70" zoomScaleNormal="85" workbookViewId="0">
      <pane ySplit="2" topLeftCell="A149" activePane="bottomLeft" state="frozen"/>
      <selection pane="bottomLeft" activeCell="BA151" sqref="BA151"/>
    </sheetView>
  </sheetViews>
  <sheetFormatPr defaultColWidth="8.6328125" defaultRowHeight="14.5" x14ac:dyDescent="0.35"/>
  <cols>
    <col min="1" max="9" width="6.36328125" style="1" customWidth="1"/>
    <col min="10" max="10" width="15" style="1" customWidth="1"/>
    <col min="11" max="11" width="22.36328125" style="1" customWidth="1"/>
    <col min="12" max="12" width="14" style="1" customWidth="1"/>
    <col min="13" max="13" width="11.54296875" style="1" customWidth="1"/>
    <col min="14" max="14" width="15.6328125" style="1" customWidth="1"/>
    <col min="15" max="15" width="11.54296875" style="1" customWidth="1"/>
    <col min="16" max="22" width="13.6328125" style="1" customWidth="1"/>
    <col min="23" max="26" width="8.6328125" style="1" customWidth="1"/>
    <col min="27" max="27" width="5.36328125" style="1" customWidth="1"/>
    <col min="28" max="28" width="4.6328125" style="1" customWidth="1"/>
    <col min="29" max="29" width="5.54296875" style="1" customWidth="1"/>
    <col min="30" max="52" width="4.6328125" style="1" customWidth="1"/>
    <col min="53" max="53" width="47.453125" style="1" customWidth="1"/>
    <col min="54" max="16384" width="8.6328125" style="1"/>
  </cols>
  <sheetData>
    <row r="1" spans="1:53" ht="23.75" customHeight="1" thickBot="1" x14ac:dyDescent="0.4">
      <c r="D1" s="11"/>
      <c r="K1" s="174"/>
      <c r="P1" s="11"/>
      <c r="U1" s="18"/>
      <c r="V1" s="47" t="s">
        <v>1203</v>
      </c>
      <c r="W1" s="631" t="s">
        <v>1204</v>
      </c>
      <c r="X1" s="632"/>
      <c r="Y1" s="632"/>
      <c r="Z1" s="632"/>
      <c r="AA1" s="632"/>
      <c r="AB1" s="632"/>
      <c r="AC1" s="632"/>
      <c r="AD1" s="632"/>
      <c r="AE1" s="632"/>
      <c r="AF1" s="632"/>
      <c r="AG1" s="632"/>
      <c r="AH1" s="632"/>
      <c r="AI1" s="632"/>
      <c r="AJ1" s="632"/>
      <c r="AK1" s="632"/>
      <c r="AL1" s="632"/>
      <c r="AM1" s="632"/>
      <c r="AN1" s="632"/>
      <c r="AO1" s="632"/>
      <c r="AP1" s="632"/>
      <c r="AQ1" s="632"/>
      <c r="AR1" s="632"/>
      <c r="AS1" s="632"/>
      <c r="AT1" s="632"/>
      <c r="AU1" s="633"/>
      <c r="AV1" s="631" t="s">
        <v>1205</v>
      </c>
      <c r="AW1" s="632"/>
      <c r="AX1" s="633"/>
      <c r="AY1" s="63"/>
      <c r="AZ1" s="63"/>
      <c r="BA1" s="30"/>
    </row>
    <row r="2" spans="1:53" ht="91.5" customHeight="1" thickBot="1" x14ac:dyDescent="0.4">
      <c r="A2" s="17" t="s">
        <v>488</v>
      </c>
      <c r="B2" s="17" t="s">
        <v>195</v>
      </c>
      <c r="C2" s="17" t="s">
        <v>1206</v>
      </c>
      <c r="D2" s="17" t="s">
        <v>141</v>
      </c>
      <c r="E2" s="17" t="s">
        <v>113</v>
      </c>
      <c r="F2" s="17" t="s">
        <v>109</v>
      </c>
      <c r="G2" s="17" t="s">
        <v>110</v>
      </c>
      <c r="H2" s="17" t="s">
        <v>111</v>
      </c>
      <c r="I2" s="87" t="s">
        <v>502</v>
      </c>
      <c r="J2" s="10" t="s">
        <v>202</v>
      </c>
      <c r="K2" s="10" t="s">
        <v>179</v>
      </c>
      <c r="L2" s="10" t="s">
        <v>229</v>
      </c>
      <c r="M2" s="10" t="s">
        <v>185</v>
      </c>
      <c r="N2" s="10" t="s">
        <v>1207</v>
      </c>
      <c r="O2" s="10" t="s">
        <v>184</v>
      </c>
      <c r="P2" s="8" t="s">
        <v>92</v>
      </c>
      <c r="Q2" s="8" t="s">
        <v>190</v>
      </c>
      <c r="R2" s="8" t="s">
        <v>191</v>
      </c>
      <c r="S2" s="8" t="s">
        <v>192</v>
      </c>
      <c r="T2" s="8" t="s">
        <v>193</v>
      </c>
      <c r="U2" s="8" t="s">
        <v>96</v>
      </c>
      <c r="V2" s="8" t="s">
        <v>231</v>
      </c>
      <c r="W2" s="46" t="s">
        <v>1208</v>
      </c>
      <c r="X2" s="46" t="s">
        <v>1209</v>
      </c>
      <c r="Y2" s="21" t="s">
        <v>597</v>
      </c>
      <c r="Z2" s="21" t="s">
        <v>1210</v>
      </c>
      <c r="AA2" s="21" t="s">
        <v>604</v>
      </c>
      <c r="AB2" s="21" t="s">
        <v>1211</v>
      </c>
      <c r="AC2" s="21" t="s">
        <v>1212</v>
      </c>
      <c r="AD2" s="21" t="s">
        <v>1213</v>
      </c>
      <c r="AE2" s="21" t="s">
        <v>1214</v>
      </c>
      <c r="AF2" s="21" t="s">
        <v>1215</v>
      </c>
      <c r="AG2" s="21" t="s">
        <v>1216</v>
      </c>
      <c r="AH2" s="21" t="s">
        <v>1217</v>
      </c>
      <c r="AI2" s="21" t="s">
        <v>1218</v>
      </c>
      <c r="AJ2" s="21" t="s">
        <v>1219</v>
      </c>
      <c r="AK2" s="21" t="s">
        <v>1220</v>
      </c>
      <c r="AL2" s="21" t="s">
        <v>1221</v>
      </c>
      <c r="AM2" s="21" t="s">
        <v>1222</v>
      </c>
      <c r="AN2" s="21" t="s">
        <v>1223</v>
      </c>
      <c r="AO2" s="21" t="s">
        <v>1224</v>
      </c>
      <c r="AP2" s="21" t="s">
        <v>1225</v>
      </c>
      <c r="AQ2" s="21" t="s">
        <v>1226</v>
      </c>
      <c r="AR2" s="21" t="s">
        <v>1227</v>
      </c>
      <c r="AS2" s="21" t="s">
        <v>1228</v>
      </c>
      <c r="AT2" s="21" t="s">
        <v>111</v>
      </c>
      <c r="AU2" s="21" t="s">
        <v>96</v>
      </c>
      <c r="AV2" s="21" t="s">
        <v>1229</v>
      </c>
      <c r="AW2" s="21" t="s">
        <v>1230</v>
      </c>
      <c r="AX2" s="21" t="s">
        <v>1231</v>
      </c>
      <c r="AY2" s="21" t="s">
        <v>1232</v>
      </c>
      <c r="AZ2" s="21" t="s">
        <v>1233</v>
      </c>
      <c r="BA2" s="13"/>
    </row>
    <row r="3" spans="1:53" ht="26.5" thickBot="1" x14ac:dyDescent="0.4">
      <c r="A3" s="16" t="s">
        <v>243</v>
      </c>
      <c r="B3" s="16" t="s">
        <v>535</v>
      </c>
      <c r="C3" s="16" t="s">
        <v>535</v>
      </c>
      <c r="D3" s="16" t="s">
        <v>535</v>
      </c>
      <c r="E3" s="16" t="s">
        <v>535</v>
      </c>
      <c r="F3" s="16" t="s">
        <v>535</v>
      </c>
      <c r="G3" s="16" t="s">
        <v>535</v>
      </c>
      <c r="H3" s="16" t="s">
        <v>535</v>
      </c>
      <c r="I3" s="16" t="s">
        <v>535</v>
      </c>
      <c r="J3" s="4" t="s">
        <v>533</v>
      </c>
      <c r="K3" s="5" t="s">
        <v>722</v>
      </c>
      <c r="L3" s="5" t="s">
        <v>1234</v>
      </c>
      <c r="M3" s="5" t="s">
        <v>721</v>
      </c>
      <c r="N3" s="5" t="s">
        <v>726</v>
      </c>
      <c r="O3" s="181">
        <f>(0.8*14.01)</f>
        <v>11.208</v>
      </c>
      <c r="P3" s="179">
        <v>0.18290000000000001</v>
      </c>
      <c r="Q3" s="45"/>
      <c r="R3" s="45"/>
      <c r="S3" s="45"/>
      <c r="T3" s="180">
        <v>3.0210000000000001E-2</v>
      </c>
      <c r="U3" s="45"/>
      <c r="V3" s="53">
        <f>SUM(P3:U3)</f>
        <v>0.21311000000000002</v>
      </c>
      <c r="W3" s="16" t="s">
        <v>243</v>
      </c>
      <c r="X3" s="16"/>
      <c r="Y3" s="16"/>
      <c r="Z3" s="16"/>
      <c r="AA3" s="16"/>
      <c r="AB3" s="16" t="s">
        <v>243</v>
      </c>
      <c r="AC3" s="16"/>
      <c r="AD3" s="16"/>
      <c r="AE3" s="16"/>
      <c r="AF3" s="22"/>
      <c r="AG3" s="22"/>
      <c r="AH3" s="22"/>
      <c r="AI3" s="22"/>
      <c r="AJ3" s="22"/>
      <c r="AK3" s="22"/>
      <c r="AL3" s="22"/>
      <c r="AM3" s="22"/>
      <c r="AN3" s="22"/>
      <c r="AO3" s="22"/>
      <c r="AP3" s="22"/>
      <c r="AQ3" s="22"/>
      <c r="AR3" s="22"/>
      <c r="AS3" s="22"/>
      <c r="AT3" s="22"/>
      <c r="AU3" s="22"/>
      <c r="AV3" s="22"/>
      <c r="AW3" s="22"/>
      <c r="AX3" s="22"/>
      <c r="AY3" s="22"/>
      <c r="AZ3" s="22"/>
      <c r="BA3" s="5" t="s">
        <v>1235</v>
      </c>
    </row>
    <row r="4" spans="1:53" ht="15" thickBot="1" x14ac:dyDescent="0.4">
      <c r="A4" s="16" t="s">
        <v>243</v>
      </c>
      <c r="B4" s="16" t="s">
        <v>535</v>
      </c>
      <c r="C4" s="16" t="s">
        <v>243</v>
      </c>
      <c r="D4" s="16" t="s">
        <v>535</v>
      </c>
      <c r="E4" s="16" t="s">
        <v>535</v>
      </c>
      <c r="F4" s="16" t="s">
        <v>535</v>
      </c>
      <c r="G4" s="16" t="s">
        <v>535</v>
      </c>
      <c r="H4" s="16" t="s">
        <v>535</v>
      </c>
      <c r="I4" s="16" t="s">
        <v>535</v>
      </c>
      <c r="J4" s="4" t="s">
        <v>560</v>
      </c>
      <c r="K4" s="5" t="s">
        <v>754</v>
      </c>
      <c r="L4" s="5" t="s">
        <v>1234</v>
      </c>
      <c r="M4" s="5" t="s">
        <v>721</v>
      </c>
      <c r="N4" s="5" t="s">
        <v>760</v>
      </c>
      <c r="O4" s="181">
        <v>7.28</v>
      </c>
      <c r="P4" s="179">
        <v>0.2145</v>
      </c>
      <c r="Q4" s="45"/>
      <c r="R4" s="45"/>
      <c r="S4" s="45"/>
      <c r="T4" s="180">
        <v>2.5479999999999999E-2</v>
      </c>
      <c r="U4" s="45"/>
      <c r="V4" s="53">
        <f t="shared" ref="V4:V67" si="0">SUM(P4:U4)</f>
        <v>0.23998</v>
      </c>
      <c r="W4" s="16" t="s">
        <v>243</v>
      </c>
      <c r="X4" s="22"/>
      <c r="Y4" s="22"/>
      <c r="Z4" s="22"/>
      <c r="AA4" s="22"/>
      <c r="AB4" s="22" t="s">
        <v>243</v>
      </c>
      <c r="AC4" s="22"/>
      <c r="AD4" s="22"/>
      <c r="AE4" s="22"/>
      <c r="AF4" s="22"/>
      <c r="AG4" s="22"/>
      <c r="AH4" s="22"/>
      <c r="AI4" s="22"/>
      <c r="AJ4" s="22"/>
      <c r="AK4" s="22"/>
      <c r="AL4" s="22"/>
      <c r="AM4" s="22"/>
      <c r="AN4" s="22"/>
      <c r="AO4" s="22"/>
      <c r="AP4" s="22"/>
      <c r="AQ4" s="22"/>
      <c r="AR4" s="22"/>
      <c r="AS4" s="22"/>
      <c r="AT4" s="22"/>
      <c r="AU4" s="22"/>
      <c r="AV4" s="22"/>
      <c r="AW4" s="22"/>
      <c r="AX4" s="22"/>
      <c r="AY4" s="22"/>
      <c r="AZ4" s="22"/>
      <c r="BA4" s="5"/>
    </row>
    <row r="5" spans="1:53" ht="26.5" thickBot="1" x14ac:dyDescent="0.4">
      <c r="A5" s="16" t="s">
        <v>243</v>
      </c>
      <c r="B5" s="16" t="s">
        <v>535</v>
      </c>
      <c r="C5" s="16" t="s">
        <v>535</v>
      </c>
      <c r="D5" s="16" t="s">
        <v>535</v>
      </c>
      <c r="E5" s="16" t="s">
        <v>535</v>
      </c>
      <c r="F5" s="16" t="s">
        <v>535</v>
      </c>
      <c r="G5" s="16" t="s">
        <v>535</v>
      </c>
      <c r="H5" s="16" t="s">
        <v>535</v>
      </c>
      <c r="I5" s="16" t="s">
        <v>535</v>
      </c>
      <c r="J5" s="4" t="s">
        <v>549</v>
      </c>
      <c r="K5" s="5" t="s">
        <v>771</v>
      </c>
      <c r="L5" s="5" t="s">
        <v>1234</v>
      </c>
      <c r="M5" s="5" t="s">
        <v>721</v>
      </c>
      <c r="N5" s="5" t="s">
        <v>760</v>
      </c>
      <c r="O5" s="181">
        <v>10.301</v>
      </c>
      <c r="P5" s="179">
        <v>0.24676999999999999</v>
      </c>
      <c r="Q5" s="45"/>
      <c r="R5" s="45"/>
      <c r="S5" s="45"/>
      <c r="T5" s="180">
        <v>5.1529999999999999E-2</v>
      </c>
      <c r="U5" s="45"/>
      <c r="V5" s="53">
        <f t="shared" si="0"/>
        <v>0.29830000000000001</v>
      </c>
      <c r="W5" s="16" t="s">
        <v>243</v>
      </c>
      <c r="X5" s="22"/>
      <c r="Y5" s="22"/>
      <c r="Z5" s="22"/>
      <c r="AA5" s="22"/>
      <c r="AB5" s="22" t="s">
        <v>243</v>
      </c>
      <c r="AC5" s="22"/>
      <c r="AD5" s="22"/>
      <c r="AE5" s="22"/>
      <c r="AF5" s="22"/>
      <c r="AG5" s="22"/>
      <c r="AH5" s="22"/>
      <c r="AI5" s="22"/>
      <c r="AJ5" s="22"/>
      <c r="AK5" s="22"/>
      <c r="AL5" s="22"/>
      <c r="AM5" s="22"/>
      <c r="AN5" s="22"/>
      <c r="AO5" s="22"/>
      <c r="AP5" s="22"/>
      <c r="AQ5" s="22"/>
      <c r="AR5" s="22"/>
      <c r="AS5" s="22"/>
      <c r="AT5" s="22"/>
      <c r="AU5" s="22"/>
      <c r="AV5" s="22"/>
      <c r="AW5" s="22"/>
      <c r="AX5" s="22"/>
      <c r="AY5" s="22"/>
      <c r="AZ5" s="22"/>
      <c r="BA5" s="5" t="s">
        <v>1236</v>
      </c>
    </row>
    <row r="6" spans="1:53" ht="15" thickBot="1" x14ac:dyDescent="0.4">
      <c r="A6" s="16" t="s">
        <v>243</v>
      </c>
      <c r="B6" s="16" t="s">
        <v>535</v>
      </c>
      <c r="C6" s="16" t="s">
        <v>243</v>
      </c>
      <c r="D6" s="16" t="s">
        <v>535</v>
      </c>
      <c r="E6" s="16" t="s">
        <v>535</v>
      </c>
      <c r="F6" s="16" t="s">
        <v>535</v>
      </c>
      <c r="G6" s="16" t="s">
        <v>535</v>
      </c>
      <c r="H6" s="16" t="s">
        <v>535</v>
      </c>
      <c r="I6" s="16" t="s">
        <v>535</v>
      </c>
      <c r="J6" s="4" t="s">
        <v>569</v>
      </c>
      <c r="K6" s="5" t="s">
        <v>780</v>
      </c>
      <c r="L6" s="5" t="s">
        <v>1234</v>
      </c>
      <c r="M6" s="5" t="s">
        <v>721</v>
      </c>
      <c r="N6" s="5" t="s">
        <v>760</v>
      </c>
      <c r="O6" s="181">
        <v>10.598000000000001</v>
      </c>
      <c r="P6" s="179">
        <v>0.25649</v>
      </c>
      <c r="Q6" s="45"/>
      <c r="R6" s="45"/>
      <c r="S6" s="45"/>
      <c r="T6" s="180">
        <v>5.9130000000000002E-2</v>
      </c>
      <c r="U6" s="45"/>
      <c r="V6" s="53">
        <f t="shared" si="0"/>
        <v>0.31562000000000001</v>
      </c>
      <c r="W6" s="22" t="s">
        <v>243</v>
      </c>
      <c r="X6" s="22"/>
      <c r="Y6" s="22"/>
      <c r="Z6" s="22"/>
      <c r="AA6" s="22"/>
      <c r="AB6" s="22" t="s">
        <v>243</v>
      </c>
      <c r="AC6" s="22"/>
      <c r="AD6" s="22"/>
      <c r="AE6" s="22"/>
      <c r="AF6" s="22"/>
      <c r="AG6" s="22"/>
      <c r="AH6" s="22"/>
      <c r="AI6" s="22"/>
      <c r="AJ6" s="22"/>
      <c r="AK6" s="22"/>
      <c r="AL6" s="22"/>
      <c r="AM6" s="22"/>
      <c r="AN6" s="22"/>
      <c r="AO6" s="22"/>
      <c r="AP6" s="22"/>
      <c r="AQ6" s="22"/>
      <c r="AR6" s="22"/>
      <c r="AS6" s="22"/>
      <c r="AT6" s="22"/>
      <c r="AU6" s="22"/>
      <c r="AV6" s="22"/>
      <c r="AW6" s="22"/>
      <c r="AX6" s="22"/>
      <c r="AY6" s="22"/>
      <c r="AZ6" s="22"/>
      <c r="BA6" s="5"/>
    </row>
    <row r="7" spans="1:53" ht="15" thickBot="1" x14ac:dyDescent="0.4">
      <c r="A7" s="16" t="s">
        <v>243</v>
      </c>
      <c r="B7" s="16" t="s">
        <v>535</v>
      </c>
      <c r="C7" s="16" t="s">
        <v>535</v>
      </c>
      <c r="D7" s="16" t="s">
        <v>535</v>
      </c>
      <c r="E7" s="16" t="s">
        <v>535</v>
      </c>
      <c r="F7" s="16" t="s">
        <v>535</v>
      </c>
      <c r="G7" s="16" t="s">
        <v>535</v>
      </c>
      <c r="H7" s="16" t="s">
        <v>535</v>
      </c>
      <c r="I7" s="16" t="s">
        <v>535</v>
      </c>
      <c r="J7" s="4" t="s">
        <v>597</v>
      </c>
      <c r="K7" s="5" t="s">
        <v>833</v>
      </c>
      <c r="L7" s="5" t="s">
        <v>1234</v>
      </c>
      <c r="M7" s="5" t="s">
        <v>721</v>
      </c>
      <c r="N7" s="5" t="s">
        <v>241</v>
      </c>
      <c r="O7" s="181">
        <f>5.193*1000</f>
        <v>5193</v>
      </c>
      <c r="P7" s="180">
        <v>1.132E-2</v>
      </c>
      <c r="Q7" s="45"/>
      <c r="R7" s="45"/>
      <c r="S7" s="45"/>
      <c r="T7" s="180">
        <v>3.7440000000000001E-2</v>
      </c>
      <c r="U7" s="258">
        <v>0.35</v>
      </c>
      <c r="V7" s="53">
        <f t="shared" si="0"/>
        <v>0.39876</v>
      </c>
      <c r="W7" s="22"/>
      <c r="X7" s="22"/>
      <c r="Y7" s="22" t="s">
        <v>243</v>
      </c>
      <c r="Z7" s="22"/>
      <c r="AA7" s="22"/>
      <c r="AB7" s="22"/>
      <c r="AC7" s="22" t="s">
        <v>243</v>
      </c>
      <c r="AD7" s="22"/>
      <c r="AE7" s="22"/>
      <c r="AF7" s="22"/>
      <c r="AG7" s="22"/>
      <c r="AH7" s="22"/>
      <c r="AI7" s="22"/>
      <c r="AJ7" s="22"/>
      <c r="AK7" s="22"/>
      <c r="AL7" s="22"/>
      <c r="AM7" s="22"/>
      <c r="AN7" s="22"/>
      <c r="AO7" s="22"/>
      <c r="AP7" s="22"/>
      <c r="AQ7" s="22"/>
      <c r="AR7" s="22"/>
      <c r="AS7" s="22"/>
      <c r="AT7" s="22"/>
      <c r="AU7" s="22" t="s">
        <v>243</v>
      </c>
      <c r="AV7" s="22"/>
      <c r="AW7" s="22"/>
      <c r="AX7" s="22"/>
      <c r="AY7" s="22"/>
      <c r="AZ7" s="22"/>
      <c r="BA7" s="5"/>
    </row>
    <row r="8" spans="1:53" ht="15" thickBot="1" x14ac:dyDescent="0.4">
      <c r="A8" s="16" t="s">
        <v>243</v>
      </c>
      <c r="B8" s="16" t="s">
        <v>535</v>
      </c>
      <c r="C8" s="16" t="s">
        <v>535</v>
      </c>
      <c r="D8" s="16" t="s">
        <v>535</v>
      </c>
      <c r="E8" s="16" t="s">
        <v>535</v>
      </c>
      <c r="F8" s="16" t="s">
        <v>535</v>
      </c>
      <c r="G8" s="16" t="s">
        <v>535</v>
      </c>
      <c r="H8" s="16" t="s">
        <v>535</v>
      </c>
      <c r="I8" s="16" t="s">
        <v>535</v>
      </c>
      <c r="J8" s="4" t="s">
        <v>597</v>
      </c>
      <c r="K8" s="5" t="s">
        <v>835</v>
      </c>
      <c r="L8" s="5" t="s">
        <v>1234</v>
      </c>
      <c r="M8" s="5" t="s">
        <v>721</v>
      </c>
      <c r="N8" s="5" t="s">
        <v>241</v>
      </c>
      <c r="O8" s="181">
        <f>4.087*1000</f>
        <v>4086.9999999999995</v>
      </c>
      <c r="P8" s="180">
        <v>1.132E-2</v>
      </c>
      <c r="Q8" s="45"/>
      <c r="R8" s="45"/>
      <c r="S8" s="45"/>
      <c r="T8" s="180">
        <v>7.92E-3</v>
      </c>
      <c r="U8" s="258">
        <v>0.35</v>
      </c>
      <c r="V8" s="53">
        <f t="shared" si="0"/>
        <v>0.36923999999999996</v>
      </c>
      <c r="W8" s="22"/>
      <c r="X8" s="22"/>
      <c r="Y8" s="22" t="s">
        <v>243</v>
      </c>
      <c r="Z8" s="22"/>
      <c r="AA8" s="22"/>
      <c r="AB8" s="22"/>
      <c r="AC8" s="22" t="s">
        <v>243</v>
      </c>
      <c r="AD8" s="22"/>
      <c r="AE8" s="22"/>
      <c r="AF8" s="22"/>
      <c r="AG8" s="22"/>
      <c r="AH8" s="22"/>
      <c r="AI8" s="22"/>
      <c r="AJ8" s="22"/>
      <c r="AK8" s="22"/>
      <c r="AL8" s="22"/>
      <c r="AM8" s="22"/>
      <c r="AN8" s="22"/>
      <c r="AO8" s="22"/>
      <c r="AP8" s="22"/>
      <c r="AQ8" s="22"/>
      <c r="AR8" s="22"/>
      <c r="AS8" s="22"/>
      <c r="AT8" s="22"/>
      <c r="AU8" s="22" t="s">
        <v>243</v>
      </c>
      <c r="AV8" s="22"/>
      <c r="AW8" s="22"/>
      <c r="AX8" s="22"/>
      <c r="AY8" s="22"/>
      <c r="AZ8" s="22"/>
      <c r="BA8" s="5"/>
    </row>
    <row r="9" spans="1:53" ht="15" thickBot="1" x14ac:dyDescent="0.4">
      <c r="A9" s="16" t="s">
        <v>243</v>
      </c>
      <c r="B9" s="16" t="s">
        <v>535</v>
      </c>
      <c r="C9" s="16" t="s">
        <v>535</v>
      </c>
      <c r="D9" s="16" t="s">
        <v>535</v>
      </c>
      <c r="E9" s="16" t="s">
        <v>535</v>
      </c>
      <c r="F9" s="16" t="s">
        <v>535</v>
      </c>
      <c r="G9" s="16" t="s">
        <v>535</v>
      </c>
      <c r="H9" s="16" t="s">
        <v>535</v>
      </c>
      <c r="I9" s="16" t="s">
        <v>535</v>
      </c>
      <c r="J9" s="4" t="s">
        <v>597</v>
      </c>
      <c r="K9" s="5" t="s">
        <v>830</v>
      </c>
      <c r="L9" s="5" t="s">
        <v>1234</v>
      </c>
      <c r="M9" s="5" t="s">
        <v>721</v>
      </c>
      <c r="N9" s="5" t="s">
        <v>241</v>
      </c>
      <c r="O9" s="181">
        <f>6.105*1000</f>
        <v>6105</v>
      </c>
      <c r="P9" s="180">
        <v>2.3000000000000001E-4</v>
      </c>
      <c r="Q9" s="45"/>
      <c r="R9" s="45"/>
      <c r="S9" s="45"/>
      <c r="T9" s="180">
        <v>1.8509999999999999E-2</v>
      </c>
      <c r="U9" s="258">
        <v>0.19902</v>
      </c>
      <c r="V9" s="53">
        <f t="shared" si="0"/>
        <v>0.21776000000000001</v>
      </c>
      <c r="W9" s="22"/>
      <c r="X9" s="22"/>
      <c r="Y9" s="22" t="s">
        <v>243</v>
      </c>
      <c r="Z9" s="22"/>
      <c r="AA9" s="22"/>
      <c r="AB9" s="22"/>
      <c r="AC9" s="22" t="s">
        <v>243</v>
      </c>
      <c r="AD9" s="22"/>
      <c r="AE9" s="22"/>
      <c r="AF9" s="22"/>
      <c r="AG9" s="22"/>
      <c r="AH9" s="22"/>
      <c r="AI9" s="22"/>
      <c r="AJ9" s="22"/>
      <c r="AK9" s="22"/>
      <c r="AL9" s="22"/>
      <c r="AM9" s="22"/>
      <c r="AN9" s="22"/>
      <c r="AO9" s="22"/>
      <c r="AP9" s="22"/>
      <c r="AQ9" s="22"/>
      <c r="AR9" s="22"/>
      <c r="AS9" s="22"/>
      <c r="AT9" s="22"/>
      <c r="AU9" s="22" t="s">
        <v>243</v>
      </c>
      <c r="AV9" s="22"/>
      <c r="AW9" s="22"/>
      <c r="AX9" s="22"/>
      <c r="AY9" s="22"/>
      <c r="AZ9" s="22"/>
      <c r="BA9" s="5"/>
    </row>
    <row r="10" spans="1:53" ht="15" thickBot="1" x14ac:dyDescent="0.4">
      <c r="A10" s="16" t="s">
        <v>243</v>
      </c>
      <c r="B10" s="16" t="s">
        <v>535</v>
      </c>
      <c r="C10" s="16" t="s">
        <v>535</v>
      </c>
      <c r="D10" s="16" t="s">
        <v>535</v>
      </c>
      <c r="E10" s="16" t="s">
        <v>535</v>
      </c>
      <c r="F10" s="16" t="s">
        <v>535</v>
      </c>
      <c r="G10" s="16" t="s">
        <v>535</v>
      </c>
      <c r="H10" s="16" t="s">
        <v>535</v>
      </c>
      <c r="I10" s="16" t="s">
        <v>535</v>
      </c>
      <c r="J10" s="4" t="s">
        <v>614</v>
      </c>
      <c r="K10" s="5" t="s">
        <v>793</v>
      </c>
      <c r="L10" s="5" t="s">
        <v>1234</v>
      </c>
      <c r="M10" s="5" t="s">
        <v>721</v>
      </c>
      <c r="N10" s="5" t="s">
        <v>241</v>
      </c>
      <c r="O10" s="181">
        <f>8.366*1000</f>
        <v>8366</v>
      </c>
      <c r="P10" s="179">
        <v>0.34721000000000002</v>
      </c>
      <c r="Q10" s="45"/>
      <c r="R10" s="45"/>
      <c r="S10" s="45"/>
      <c r="T10" s="180">
        <v>5.629E-2</v>
      </c>
      <c r="U10" s="45"/>
      <c r="V10" s="53">
        <f t="shared" si="0"/>
        <v>0.40350000000000003</v>
      </c>
      <c r="W10" s="22" t="s">
        <v>243</v>
      </c>
      <c r="X10" s="22"/>
      <c r="Y10" s="22"/>
      <c r="Z10" s="22"/>
      <c r="AA10" s="22"/>
      <c r="AB10" s="22" t="s">
        <v>243</v>
      </c>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5"/>
    </row>
    <row r="11" spans="1:53" ht="39.5" thickBot="1" x14ac:dyDescent="0.4">
      <c r="A11" s="16" t="s">
        <v>243</v>
      </c>
      <c r="B11" s="16" t="s">
        <v>243</v>
      </c>
      <c r="C11" s="16" t="s">
        <v>243</v>
      </c>
      <c r="D11" s="16" t="s">
        <v>535</v>
      </c>
      <c r="E11" s="16" t="s">
        <v>535</v>
      </c>
      <c r="F11" s="16" t="s">
        <v>243</v>
      </c>
      <c r="G11" s="16" t="s">
        <v>243</v>
      </c>
      <c r="H11" s="16" t="s">
        <v>535</v>
      </c>
      <c r="I11" s="16" t="s">
        <v>535</v>
      </c>
      <c r="J11" s="4" t="s">
        <v>635</v>
      </c>
      <c r="K11" s="5" t="s">
        <v>815</v>
      </c>
      <c r="L11" s="5"/>
      <c r="M11" s="5" t="s">
        <v>721</v>
      </c>
      <c r="N11" s="5"/>
      <c r="O11" s="5"/>
      <c r="P11" s="45"/>
      <c r="Q11" s="179">
        <v>0.20705000000000001</v>
      </c>
      <c r="R11" s="45"/>
      <c r="S11" s="179">
        <v>1.83E-2</v>
      </c>
      <c r="T11" s="180">
        <v>4.5900000000000003E-2</v>
      </c>
      <c r="U11" s="258">
        <f>0.115069241546259</f>
        <v>0.115069241546259</v>
      </c>
      <c r="V11" s="53">
        <f t="shared" si="0"/>
        <v>0.38631924154625907</v>
      </c>
      <c r="W11" s="22"/>
      <c r="X11" s="22"/>
      <c r="Y11" s="22"/>
      <c r="Z11" s="22" t="s">
        <v>243</v>
      </c>
      <c r="AA11" s="22"/>
      <c r="AB11" s="22"/>
      <c r="AC11" s="22"/>
      <c r="AD11" s="22" t="s">
        <v>243</v>
      </c>
      <c r="AE11" s="22" t="s">
        <v>243</v>
      </c>
      <c r="AF11" s="22"/>
      <c r="AG11" s="22"/>
      <c r="AH11" s="22"/>
      <c r="AI11" s="22"/>
      <c r="AJ11" s="22"/>
      <c r="AK11" s="22"/>
      <c r="AL11" s="22"/>
      <c r="AM11" s="22"/>
      <c r="AN11" s="22"/>
      <c r="AO11" s="22"/>
      <c r="AP11" s="22"/>
      <c r="AQ11" s="22"/>
      <c r="AR11" s="22"/>
      <c r="AS11" s="22"/>
      <c r="AT11" s="22"/>
      <c r="AU11" s="22"/>
      <c r="AV11" s="22"/>
      <c r="AW11" s="22"/>
      <c r="AX11" s="22"/>
      <c r="AY11" s="22"/>
      <c r="AZ11" s="22"/>
      <c r="BA11" s="5" t="s">
        <v>1237</v>
      </c>
    </row>
    <row r="12" spans="1:53" ht="15" thickBot="1" x14ac:dyDescent="0.4">
      <c r="A12" s="16" t="s">
        <v>243</v>
      </c>
      <c r="B12" s="16" t="s">
        <v>535</v>
      </c>
      <c r="C12" s="16" t="s">
        <v>535</v>
      </c>
      <c r="D12" s="16" t="s">
        <v>535</v>
      </c>
      <c r="E12" s="16" t="s">
        <v>535</v>
      </c>
      <c r="F12" s="16" t="s">
        <v>535</v>
      </c>
      <c r="G12" s="16" t="s">
        <v>535</v>
      </c>
      <c r="H12" s="16" t="s">
        <v>535</v>
      </c>
      <c r="I12" s="16" t="s">
        <v>535</v>
      </c>
      <c r="J12" s="4" t="s">
        <v>604</v>
      </c>
      <c r="K12" s="5" t="s">
        <v>459</v>
      </c>
      <c r="L12" s="5"/>
      <c r="M12" s="5" t="s">
        <v>721</v>
      </c>
      <c r="N12" s="5"/>
      <c r="O12" s="5"/>
      <c r="P12" s="45"/>
      <c r="Q12" s="179">
        <v>0.17965</v>
      </c>
      <c r="R12" s="45"/>
      <c r="S12" s="45"/>
      <c r="T12" s="180">
        <v>3.3410000000000002E-2</v>
      </c>
      <c r="U12" s="45"/>
      <c r="V12" s="53">
        <f t="shared" si="0"/>
        <v>0.21306</v>
      </c>
      <c r="W12" s="22"/>
      <c r="X12" s="22"/>
      <c r="Y12" s="22"/>
      <c r="Z12" s="22"/>
      <c r="AA12" s="22" t="s">
        <v>243</v>
      </c>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5" t="s">
        <v>1238</v>
      </c>
    </row>
    <row r="13" spans="1:53" ht="26.5" thickBot="1" x14ac:dyDescent="0.4">
      <c r="A13" s="16" t="s">
        <v>243</v>
      </c>
      <c r="B13" s="16" t="s">
        <v>535</v>
      </c>
      <c r="C13" s="16" t="s">
        <v>535</v>
      </c>
      <c r="D13" s="16" t="s">
        <v>535</v>
      </c>
      <c r="E13" s="16" t="s">
        <v>535</v>
      </c>
      <c r="F13" s="16" t="s">
        <v>535</v>
      </c>
      <c r="G13" s="16" t="s">
        <v>535</v>
      </c>
      <c r="H13" s="16" t="s">
        <v>535</v>
      </c>
      <c r="I13" s="16" t="s">
        <v>535</v>
      </c>
      <c r="J13" s="4" t="s">
        <v>604</v>
      </c>
      <c r="K13" s="5" t="s">
        <v>823</v>
      </c>
      <c r="L13" s="5"/>
      <c r="M13" s="5" t="s">
        <v>721</v>
      </c>
      <c r="N13" s="5"/>
      <c r="O13" s="5"/>
      <c r="P13" s="45"/>
      <c r="Q13" s="179">
        <v>0.17964657181208055</v>
      </c>
      <c r="R13" s="45"/>
      <c r="S13" s="258">
        <v>9.4599999999999997E-3</v>
      </c>
      <c r="T13" s="180">
        <v>3.3410000000000002E-2</v>
      </c>
      <c r="U13" s="45"/>
      <c r="V13" s="53">
        <f t="shared" si="0"/>
        <v>0.22251657181208054</v>
      </c>
      <c r="W13" s="22"/>
      <c r="X13" s="22"/>
      <c r="Y13" s="22"/>
      <c r="Z13" s="22"/>
      <c r="AA13" s="22" t="s">
        <v>243</v>
      </c>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5" t="s">
        <v>1239</v>
      </c>
    </row>
    <row r="14" spans="1:53" ht="15" thickBot="1" x14ac:dyDescent="0.4">
      <c r="A14" s="16" t="s">
        <v>243</v>
      </c>
      <c r="B14" s="16" t="s">
        <v>535</v>
      </c>
      <c r="C14" s="16" t="s">
        <v>535</v>
      </c>
      <c r="D14" s="16" t="s">
        <v>535</v>
      </c>
      <c r="E14" s="16" t="s">
        <v>535</v>
      </c>
      <c r="F14" s="16" t="s">
        <v>535</v>
      </c>
      <c r="G14" s="16" t="s">
        <v>535</v>
      </c>
      <c r="H14" s="16" t="s">
        <v>535</v>
      </c>
      <c r="I14" s="16" t="s">
        <v>535</v>
      </c>
      <c r="J14" s="4" t="s">
        <v>622</v>
      </c>
      <c r="K14" s="5" t="s">
        <v>841</v>
      </c>
      <c r="L14" s="5"/>
      <c r="M14" s="5" t="s">
        <v>726</v>
      </c>
      <c r="N14" s="5" t="s">
        <v>760</v>
      </c>
      <c r="O14" s="181">
        <v>1E-3</v>
      </c>
      <c r="P14" s="45"/>
      <c r="Q14" s="45"/>
      <c r="R14" s="179">
        <v>0.15311</v>
      </c>
      <c r="S14" s="45"/>
      <c r="T14" s="45"/>
      <c r="U14" s="45"/>
      <c r="V14" s="53">
        <f t="shared" si="0"/>
        <v>0.15311</v>
      </c>
      <c r="W14" s="22"/>
      <c r="X14" s="22"/>
      <c r="Y14" s="22"/>
      <c r="Z14" s="22"/>
      <c r="AA14" s="22"/>
      <c r="AB14" s="22"/>
      <c r="AC14" s="22"/>
      <c r="AD14" s="22"/>
      <c r="AE14" s="22"/>
      <c r="AF14" s="22"/>
      <c r="AG14" s="22" t="s">
        <v>243</v>
      </c>
      <c r="AH14" s="22"/>
      <c r="AI14" s="22"/>
      <c r="AJ14" s="22"/>
      <c r="AK14" s="22"/>
      <c r="AL14" s="22"/>
      <c r="AM14" s="22"/>
      <c r="AN14" s="22"/>
      <c r="AO14" s="22"/>
      <c r="AP14" s="22"/>
      <c r="AQ14" s="22"/>
      <c r="AR14" s="22"/>
      <c r="AS14" s="22"/>
      <c r="AT14" s="22"/>
      <c r="AU14" s="22"/>
      <c r="AV14" s="22"/>
      <c r="AW14" s="22"/>
      <c r="AX14" s="22"/>
      <c r="AY14" s="22"/>
      <c r="AZ14" s="22"/>
      <c r="BA14" s="5"/>
    </row>
    <row r="15" spans="1:53" ht="15" thickBot="1" x14ac:dyDescent="0.4">
      <c r="A15" s="16" t="s">
        <v>243</v>
      </c>
      <c r="B15" s="16" t="s">
        <v>535</v>
      </c>
      <c r="C15" s="16" t="s">
        <v>535</v>
      </c>
      <c r="D15" s="16" t="s">
        <v>535</v>
      </c>
      <c r="E15" s="16" t="s">
        <v>535</v>
      </c>
      <c r="F15" s="16" t="s">
        <v>535</v>
      </c>
      <c r="G15" s="16" t="s">
        <v>535</v>
      </c>
      <c r="H15" s="16" t="s">
        <v>535</v>
      </c>
      <c r="I15" s="16" t="s">
        <v>535</v>
      </c>
      <c r="J15" s="4" t="s">
        <v>622</v>
      </c>
      <c r="K15" s="5" t="s">
        <v>843</v>
      </c>
      <c r="L15" s="5"/>
      <c r="M15" s="5" t="s">
        <v>726</v>
      </c>
      <c r="N15" s="5" t="s">
        <v>760</v>
      </c>
      <c r="O15" s="181">
        <v>1E-3</v>
      </c>
      <c r="P15" s="45"/>
      <c r="Q15" s="45"/>
      <c r="R15" s="179">
        <v>0.18573999999999999</v>
      </c>
      <c r="S15" s="45"/>
      <c r="T15" s="45"/>
      <c r="U15" s="45"/>
      <c r="V15" s="53">
        <f t="shared" si="0"/>
        <v>0.18573999999999999</v>
      </c>
      <c r="W15" s="22"/>
      <c r="X15" s="22"/>
      <c r="Y15" s="22"/>
      <c r="Z15" s="22"/>
      <c r="AA15" s="22"/>
      <c r="AB15" s="22"/>
      <c r="AC15" s="22"/>
      <c r="AD15" s="22"/>
      <c r="AE15" s="22"/>
      <c r="AF15" s="22"/>
      <c r="AG15" s="22"/>
      <c r="AH15" s="22" t="s">
        <v>243</v>
      </c>
      <c r="AI15" s="22"/>
      <c r="AJ15" s="22"/>
      <c r="AK15" s="22"/>
      <c r="AL15" s="22"/>
      <c r="AM15" s="22"/>
      <c r="AN15" s="22"/>
      <c r="AO15" s="22"/>
      <c r="AP15" s="22"/>
      <c r="AQ15" s="22"/>
      <c r="AR15" s="22"/>
      <c r="AS15" s="22"/>
      <c r="AT15" s="22"/>
      <c r="AU15" s="22"/>
      <c r="AV15" s="22"/>
      <c r="AW15" s="22"/>
      <c r="AX15" s="22"/>
      <c r="AY15" s="22"/>
      <c r="AZ15" s="22"/>
      <c r="BA15" s="5"/>
    </row>
    <row r="16" spans="1:53" ht="26.5" thickBot="1" x14ac:dyDescent="0.4">
      <c r="A16" s="16" t="s">
        <v>243</v>
      </c>
      <c r="B16" s="16" t="s">
        <v>535</v>
      </c>
      <c r="C16" s="16" t="s">
        <v>535</v>
      </c>
      <c r="D16" s="16" t="s">
        <v>535</v>
      </c>
      <c r="E16" s="16" t="s">
        <v>535</v>
      </c>
      <c r="F16" s="16" t="s">
        <v>535</v>
      </c>
      <c r="G16" s="16" t="s">
        <v>535</v>
      </c>
      <c r="H16" s="16" t="s">
        <v>535</v>
      </c>
      <c r="I16" s="16" t="s">
        <v>535</v>
      </c>
      <c r="J16" s="4" t="s">
        <v>622</v>
      </c>
      <c r="K16" s="5" t="s">
        <v>845</v>
      </c>
      <c r="L16" s="5"/>
      <c r="M16" s="5" t="s">
        <v>726</v>
      </c>
      <c r="N16" s="5" t="s">
        <v>760</v>
      </c>
      <c r="O16" s="181">
        <v>1E-3</v>
      </c>
      <c r="P16" s="45"/>
      <c r="Q16" s="45"/>
      <c r="R16" s="44">
        <v>0</v>
      </c>
      <c r="S16" s="45"/>
      <c r="T16" s="45"/>
      <c r="U16" s="45"/>
      <c r="V16" s="53">
        <f t="shared" si="0"/>
        <v>0</v>
      </c>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5" t="s">
        <v>1240</v>
      </c>
    </row>
    <row r="17" spans="1:53" ht="26.5" thickBot="1" x14ac:dyDescent="0.4">
      <c r="A17" s="16" t="s">
        <v>243</v>
      </c>
      <c r="B17" s="16" t="s">
        <v>535</v>
      </c>
      <c r="C17" s="16" t="s">
        <v>535</v>
      </c>
      <c r="D17" s="16" t="s">
        <v>535</v>
      </c>
      <c r="E17" s="16" t="s">
        <v>535</v>
      </c>
      <c r="F17" s="16" t="s">
        <v>535</v>
      </c>
      <c r="G17" s="16" t="s">
        <v>535</v>
      </c>
      <c r="H17" s="16" t="s">
        <v>535</v>
      </c>
      <c r="I17" s="16" t="s">
        <v>535</v>
      </c>
      <c r="J17" s="4" t="s">
        <v>622</v>
      </c>
      <c r="K17" s="5" t="s">
        <v>847</v>
      </c>
      <c r="L17" s="5"/>
      <c r="M17" s="5" t="s">
        <v>726</v>
      </c>
      <c r="N17" s="5" t="s">
        <v>760</v>
      </c>
      <c r="O17" s="181">
        <v>1E-3</v>
      </c>
      <c r="P17" s="45"/>
      <c r="Q17" s="45"/>
      <c r="R17" s="44">
        <v>0</v>
      </c>
      <c r="S17" s="45"/>
      <c r="T17" s="45"/>
      <c r="U17" s="45"/>
      <c r="V17" s="53">
        <f t="shared" si="0"/>
        <v>0</v>
      </c>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5" t="s">
        <v>1241</v>
      </c>
    </row>
    <row r="18" spans="1:53" ht="15" thickBot="1" x14ac:dyDescent="0.4">
      <c r="A18" s="16" t="s">
        <v>535</v>
      </c>
      <c r="B18" s="16" t="s">
        <v>535</v>
      </c>
      <c r="C18" s="16" t="s">
        <v>243</v>
      </c>
      <c r="D18" s="16" t="s">
        <v>535</v>
      </c>
      <c r="E18" s="16" t="s">
        <v>535</v>
      </c>
      <c r="F18" s="16" t="s">
        <v>535</v>
      </c>
      <c r="G18" s="16" t="s">
        <v>535</v>
      </c>
      <c r="H18" s="16" t="s">
        <v>535</v>
      </c>
      <c r="I18" s="16" t="s">
        <v>535</v>
      </c>
      <c r="J18" s="4" t="s">
        <v>581</v>
      </c>
      <c r="K18" s="5" t="s">
        <v>791</v>
      </c>
      <c r="L18" s="5"/>
      <c r="M18" s="5" t="s">
        <v>721</v>
      </c>
      <c r="N18" s="5" t="s">
        <v>760</v>
      </c>
      <c r="O18" s="181">
        <v>10.506</v>
      </c>
      <c r="P18" s="179">
        <v>0.23902000000000001</v>
      </c>
      <c r="Q18" s="45"/>
      <c r="R18" s="45"/>
      <c r="S18" s="45"/>
      <c r="T18" s="180">
        <v>5.8160000000000003E-2</v>
      </c>
      <c r="U18" s="259">
        <v>0.02</v>
      </c>
      <c r="V18" s="53">
        <f t="shared" si="0"/>
        <v>0.31718000000000002</v>
      </c>
      <c r="W18" s="22" t="s">
        <v>243</v>
      </c>
      <c r="X18" s="22"/>
      <c r="Y18" s="22"/>
      <c r="Z18" s="22"/>
      <c r="AA18" s="22"/>
      <c r="AB18" s="22" t="s">
        <v>243</v>
      </c>
      <c r="AC18" s="22"/>
      <c r="AD18" s="22"/>
      <c r="AE18" s="22"/>
      <c r="AF18" s="22"/>
      <c r="AG18" s="22"/>
      <c r="AH18" s="22"/>
      <c r="AI18" s="22"/>
      <c r="AJ18" s="22"/>
      <c r="AK18" s="22"/>
      <c r="AL18" s="22"/>
      <c r="AM18" s="22"/>
      <c r="AN18" s="22"/>
      <c r="AO18" s="22"/>
      <c r="AP18" s="22"/>
      <c r="AQ18" s="22"/>
      <c r="AR18" s="22"/>
      <c r="AS18" s="22"/>
      <c r="AT18" s="22"/>
      <c r="AU18" s="22" t="s">
        <v>243</v>
      </c>
      <c r="AV18" s="22"/>
      <c r="AW18" s="22"/>
      <c r="AX18" s="22"/>
      <c r="AY18" s="22"/>
      <c r="AZ18" s="22"/>
      <c r="BA18" s="5"/>
    </row>
    <row r="19" spans="1:53" ht="15" thickBot="1" x14ac:dyDescent="0.4">
      <c r="A19" s="16" t="s">
        <v>535</v>
      </c>
      <c r="B19" s="16" t="s">
        <v>535</v>
      </c>
      <c r="C19" s="16" t="s">
        <v>243</v>
      </c>
      <c r="D19" s="16" t="s">
        <v>535</v>
      </c>
      <c r="E19" s="16" t="s">
        <v>535</v>
      </c>
      <c r="F19" s="16" t="s">
        <v>535</v>
      </c>
      <c r="G19" s="16" t="s">
        <v>535</v>
      </c>
      <c r="H19" s="16" t="s">
        <v>535</v>
      </c>
      <c r="I19" s="16" t="s">
        <v>535</v>
      </c>
      <c r="J19" s="4" t="s">
        <v>581</v>
      </c>
      <c r="K19" s="5" t="s">
        <v>795</v>
      </c>
      <c r="L19" s="5"/>
      <c r="M19" s="5" t="s">
        <v>721</v>
      </c>
      <c r="N19" s="5" t="s">
        <v>760</v>
      </c>
      <c r="O19" s="181">
        <v>10.554</v>
      </c>
      <c r="P19" s="179">
        <v>0.25197000000000003</v>
      </c>
      <c r="Q19" s="45"/>
      <c r="R19" s="45"/>
      <c r="S19" s="45"/>
      <c r="T19" s="180">
        <v>5.9130000000000002E-2</v>
      </c>
      <c r="U19" s="45"/>
      <c r="V19" s="53">
        <f t="shared" si="0"/>
        <v>0.31110000000000004</v>
      </c>
      <c r="W19" s="22" t="s">
        <v>243</v>
      </c>
      <c r="X19" s="22"/>
      <c r="Y19" s="22"/>
      <c r="Z19" s="22"/>
      <c r="AA19" s="22"/>
      <c r="AB19" s="22" t="s">
        <v>243</v>
      </c>
      <c r="AC19" s="22"/>
      <c r="AD19" s="22"/>
      <c r="AE19" s="22"/>
      <c r="AF19" s="22"/>
      <c r="AG19" s="22"/>
      <c r="AH19" s="22"/>
      <c r="AI19" s="22"/>
      <c r="AJ19" s="22"/>
      <c r="AK19" s="22"/>
      <c r="AL19" s="22"/>
      <c r="AM19" s="22"/>
      <c r="AN19" s="22"/>
      <c r="AO19" s="22"/>
      <c r="AP19" s="22"/>
      <c r="AQ19" s="22"/>
      <c r="AR19" s="22"/>
      <c r="AS19" s="22"/>
      <c r="AT19" s="22"/>
      <c r="AU19" s="22" t="s">
        <v>243</v>
      </c>
      <c r="AV19" s="22"/>
      <c r="AW19" s="22"/>
      <c r="AX19" s="22"/>
      <c r="AY19" s="22"/>
      <c r="AZ19" s="22"/>
      <c r="BA19" s="5"/>
    </row>
    <row r="20" spans="1:53" ht="15" thickBot="1" x14ac:dyDescent="0.4">
      <c r="A20" s="16" t="s">
        <v>535</v>
      </c>
      <c r="B20" s="16" t="s">
        <v>535</v>
      </c>
      <c r="C20" s="16" t="s">
        <v>243</v>
      </c>
      <c r="D20" s="16" t="s">
        <v>535</v>
      </c>
      <c r="E20" s="16" t="s">
        <v>535</v>
      </c>
      <c r="F20" s="16" t="s">
        <v>535</v>
      </c>
      <c r="G20" s="16" t="s">
        <v>535</v>
      </c>
      <c r="H20" s="16" t="s">
        <v>535</v>
      </c>
      <c r="I20" s="16" t="s">
        <v>535</v>
      </c>
      <c r="J20" s="5" t="s">
        <v>590</v>
      </c>
      <c r="K20" s="5" t="s">
        <v>791</v>
      </c>
      <c r="L20" s="5"/>
      <c r="M20" s="5" t="s">
        <v>721</v>
      </c>
      <c r="N20" s="5" t="s">
        <v>760</v>
      </c>
      <c r="O20" s="181">
        <v>9.4619999999999997</v>
      </c>
      <c r="P20" s="179">
        <v>0.22012999999999999</v>
      </c>
      <c r="Q20" s="45"/>
      <c r="R20" s="45"/>
      <c r="S20" s="45"/>
      <c r="T20" s="180">
        <v>6.1400000000000003E-2</v>
      </c>
      <c r="U20" s="259">
        <v>0.01</v>
      </c>
      <c r="V20" s="53">
        <f t="shared" si="0"/>
        <v>0.29153000000000001</v>
      </c>
      <c r="W20" s="22" t="s">
        <v>243</v>
      </c>
      <c r="X20" s="22"/>
      <c r="Y20" s="22"/>
      <c r="Z20" s="22"/>
      <c r="AA20" s="22"/>
      <c r="AB20" s="22" t="s">
        <v>243</v>
      </c>
      <c r="AC20" s="22"/>
      <c r="AD20" s="22"/>
      <c r="AE20" s="22"/>
      <c r="AF20" s="22"/>
      <c r="AG20" s="22"/>
      <c r="AH20" s="22"/>
      <c r="AI20" s="22"/>
      <c r="AJ20" s="22"/>
      <c r="AK20" s="22"/>
      <c r="AL20" s="22"/>
      <c r="AM20" s="22"/>
      <c r="AN20" s="22"/>
      <c r="AO20" s="22"/>
      <c r="AP20" s="22"/>
      <c r="AQ20" s="22"/>
      <c r="AR20" s="22"/>
      <c r="AS20" s="22"/>
      <c r="AT20" s="22"/>
      <c r="AU20" s="22" t="s">
        <v>243</v>
      </c>
      <c r="AV20" s="22"/>
      <c r="AW20" s="22"/>
      <c r="AX20" s="22"/>
      <c r="AY20" s="22"/>
      <c r="AZ20" s="22"/>
      <c r="BA20" s="5"/>
    </row>
    <row r="21" spans="1:53" ht="15" thickBot="1" x14ac:dyDescent="0.4">
      <c r="A21" s="16" t="s">
        <v>535</v>
      </c>
      <c r="B21" s="16" t="s">
        <v>535</v>
      </c>
      <c r="C21" s="16" t="s">
        <v>243</v>
      </c>
      <c r="D21" s="16" t="s">
        <v>535</v>
      </c>
      <c r="E21" s="16" t="s">
        <v>535</v>
      </c>
      <c r="F21" s="16" t="s">
        <v>535</v>
      </c>
      <c r="G21" s="16" t="s">
        <v>535</v>
      </c>
      <c r="H21" s="16" t="s">
        <v>535</v>
      </c>
      <c r="I21" s="16" t="s">
        <v>535</v>
      </c>
      <c r="J21" s="5" t="s">
        <v>590</v>
      </c>
      <c r="K21" s="5" t="s">
        <v>808</v>
      </c>
      <c r="L21" s="5"/>
      <c r="M21" s="5" t="s">
        <v>721</v>
      </c>
      <c r="N21" s="5" t="s">
        <v>760</v>
      </c>
      <c r="O21" s="181">
        <v>9.702</v>
      </c>
      <c r="P21" s="179">
        <v>0.24185999999999999</v>
      </c>
      <c r="Q21" s="45"/>
      <c r="R21" s="45"/>
      <c r="S21" s="45"/>
      <c r="T21" s="180">
        <v>6.2530000000000002E-2</v>
      </c>
      <c r="U21" s="45"/>
      <c r="V21" s="53">
        <f t="shared" si="0"/>
        <v>0.30438999999999999</v>
      </c>
      <c r="W21" s="22" t="s">
        <v>243</v>
      </c>
      <c r="X21" s="22"/>
      <c r="Y21" s="22"/>
      <c r="Z21" s="22"/>
      <c r="AA21" s="22"/>
      <c r="AB21" s="22" t="s">
        <v>243</v>
      </c>
      <c r="AC21" s="22"/>
      <c r="AD21" s="22"/>
      <c r="AE21" s="22"/>
      <c r="AF21" s="22"/>
      <c r="AG21" s="22"/>
      <c r="AH21" s="22"/>
      <c r="AI21" s="22"/>
      <c r="AJ21" s="22"/>
      <c r="AK21" s="22"/>
      <c r="AL21" s="22"/>
      <c r="AM21" s="22"/>
      <c r="AN21" s="22"/>
      <c r="AO21" s="22"/>
      <c r="AP21" s="22"/>
      <c r="AQ21" s="22"/>
      <c r="AR21" s="22"/>
      <c r="AS21" s="22"/>
      <c r="AT21" s="22"/>
      <c r="AU21" s="22" t="s">
        <v>243</v>
      </c>
      <c r="AV21" s="22"/>
      <c r="AW21" s="22"/>
      <c r="AX21" s="22"/>
      <c r="AY21" s="22"/>
      <c r="AZ21" s="22"/>
      <c r="BA21" s="5"/>
    </row>
    <row r="22" spans="1:53" ht="26.5" thickBot="1" x14ac:dyDescent="0.4">
      <c r="A22" s="16" t="s">
        <v>243</v>
      </c>
      <c r="B22" s="16" t="s">
        <v>535</v>
      </c>
      <c r="C22" s="16" t="s">
        <v>243</v>
      </c>
      <c r="D22" s="16" t="s">
        <v>535</v>
      </c>
      <c r="E22" s="16" t="s">
        <v>535</v>
      </c>
      <c r="F22" s="16" t="s">
        <v>535</v>
      </c>
      <c r="G22" s="16" t="s">
        <v>535</v>
      </c>
      <c r="H22" s="16" t="s">
        <v>535</v>
      </c>
      <c r="I22" s="16" t="s">
        <v>535</v>
      </c>
      <c r="J22" s="5" t="s">
        <v>632</v>
      </c>
      <c r="K22" s="5" t="s">
        <v>859</v>
      </c>
      <c r="L22" s="5"/>
      <c r="M22" s="5" t="s">
        <v>721</v>
      </c>
      <c r="N22" s="5" t="s">
        <v>760</v>
      </c>
      <c r="O22" s="181">
        <v>9.9309999999999992</v>
      </c>
      <c r="P22" s="179">
        <f>0.03558/O22</f>
        <v>3.5827207733360191E-3</v>
      </c>
      <c r="Q22" s="45"/>
      <c r="R22" s="45"/>
      <c r="S22" s="45"/>
      <c r="T22" s="180">
        <f>0.559/O22</f>
        <v>5.6288389890242686E-2</v>
      </c>
      <c r="U22" s="259">
        <f>2.43/O22</f>
        <v>0.24468834961232508</v>
      </c>
      <c r="V22" s="53">
        <f t="shared" si="0"/>
        <v>0.3045594602759038</v>
      </c>
      <c r="W22" s="22"/>
      <c r="X22" s="22"/>
      <c r="Y22" s="22" t="s">
        <v>243</v>
      </c>
      <c r="Z22" s="22"/>
      <c r="AA22" s="22"/>
      <c r="AB22" s="22"/>
      <c r="AC22" s="22" t="s">
        <v>243</v>
      </c>
      <c r="AD22" s="22"/>
      <c r="AE22" s="22"/>
      <c r="AF22" s="22"/>
      <c r="AG22" s="22"/>
      <c r="AH22" s="22"/>
      <c r="AI22" s="22"/>
      <c r="AJ22" s="22"/>
      <c r="AK22" s="22"/>
      <c r="AL22" s="22"/>
      <c r="AM22" s="22"/>
      <c r="AN22" s="22"/>
      <c r="AO22" s="22"/>
      <c r="AP22" s="22"/>
      <c r="AQ22" s="22"/>
      <c r="AR22" s="22"/>
      <c r="AS22" s="22"/>
      <c r="AT22" s="22"/>
      <c r="AU22" s="22" t="s">
        <v>243</v>
      </c>
      <c r="AV22" s="22"/>
      <c r="AW22" s="22"/>
      <c r="AX22" s="22"/>
      <c r="AY22" s="22"/>
      <c r="AZ22" s="22"/>
      <c r="BA22" s="5" t="s">
        <v>1242</v>
      </c>
    </row>
    <row r="23" spans="1:53" ht="26.5" thickBot="1" x14ac:dyDescent="0.4">
      <c r="A23" s="16" t="s">
        <v>535</v>
      </c>
      <c r="B23" s="16" t="s">
        <v>535</v>
      </c>
      <c r="C23" s="16" t="s">
        <v>243</v>
      </c>
      <c r="D23" s="16" t="s">
        <v>535</v>
      </c>
      <c r="E23" s="16" t="s">
        <v>535</v>
      </c>
      <c r="F23" s="16" t="s">
        <v>535</v>
      </c>
      <c r="G23" s="16" t="s">
        <v>535</v>
      </c>
      <c r="H23" s="16" t="s">
        <v>535</v>
      </c>
      <c r="I23" s="16" t="s">
        <v>535</v>
      </c>
      <c r="J23" s="5" t="s">
        <v>632</v>
      </c>
      <c r="K23" s="5" t="s">
        <v>861</v>
      </c>
      <c r="L23" s="5"/>
      <c r="M23" s="5" t="s">
        <v>721</v>
      </c>
      <c r="N23" s="5" t="s">
        <v>760</v>
      </c>
      <c r="O23" s="181">
        <v>9.5679999999999996</v>
      </c>
      <c r="P23" s="179">
        <f>0.16751/O23</f>
        <v>1.7507316053511704E-2</v>
      </c>
      <c r="Q23" s="45"/>
      <c r="R23" s="45"/>
      <c r="S23" s="45"/>
      <c r="T23" s="180">
        <f>0.48103/O23</f>
        <v>5.0274874581939806E-2</v>
      </c>
      <c r="U23" s="259">
        <f>2.39/O23</f>
        <v>0.24979096989966557</v>
      </c>
      <c r="V23" s="53">
        <f t="shared" si="0"/>
        <v>0.31757316053511708</v>
      </c>
      <c r="W23" s="22"/>
      <c r="X23" s="22"/>
      <c r="Y23" s="22" t="s">
        <v>243</v>
      </c>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5" t="s">
        <v>1242</v>
      </c>
    </row>
    <row r="24" spans="1:53" ht="52.5" thickBot="1" x14ac:dyDescent="0.4">
      <c r="A24" s="16" t="s">
        <v>535</v>
      </c>
      <c r="B24" s="16" t="s">
        <v>535</v>
      </c>
      <c r="C24" s="16" t="s">
        <v>243</v>
      </c>
      <c r="D24" s="16" t="s">
        <v>535</v>
      </c>
      <c r="E24" s="16" t="s">
        <v>535</v>
      </c>
      <c r="F24" s="16" t="s">
        <v>535</v>
      </c>
      <c r="G24" s="16" t="s">
        <v>535</v>
      </c>
      <c r="H24" s="16" t="s">
        <v>535</v>
      </c>
      <c r="I24" s="16" t="s">
        <v>535</v>
      </c>
      <c r="J24" s="5" t="s">
        <v>642</v>
      </c>
      <c r="K24" s="142" t="s">
        <v>853</v>
      </c>
      <c r="L24" s="5"/>
      <c r="M24" s="5" t="s">
        <v>721</v>
      </c>
      <c r="N24" s="5" t="s">
        <v>760</v>
      </c>
      <c r="O24" s="182">
        <f>0.01402/P24</f>
        <v>9.2056023996787832</v>
      </c>
      <c r="P24" s="179">
        <f>0.42339/278</f>
        <v>1.5229856115107914E-3</v>
      </c>
      <c r="Q24" s="45"/>
      <c r="R24" s="45"/>
      <c r="S24" s="45"/>
      <c r="T24" s="259">
        <f>24.393/278</f>
        <v>8.7744604316546765E-2</v>
      </c>
      <c r="U24" s="259">
        <f>71.37/278</f>
        <v>0.25672661870503599</v>
      </c>
      <c r="V24" s="53">
        <f t="shared" si="0"/>
        <v>0.34599420863309355</v>
      </c>
      <c r="W24" s="22"/>
      <c r="X24" s="22"/>
      <c r="Y24" s="22" t="s">
        <v>243</v>
      </c>
      <c r="Z24" s="22"/>
      <c r="AA24" s="22"/>
      <c r="AB24" s="22"/>
      <c r="AC24" s="22" t="s">
        <v>243</v>
      </c>
      <c r="AD24" s="22"/>
      <c r="AE24" s="22"/>
      <c r="AF24" s="22"/>
      <c r="AG24" s="22"/>
      <c r="AH24" s="22"/>
      <c r="AI24" s="22"/>
      <c r="AJ24" s="22"/>
      <c r="AK24" s="22"/>
      <c r="AL24" s="22"/>
      <c r="AM24" s="22"/>
      <c r="AN24" s="22"/>
      <c r="AO24" s="22"/>
      <c r="AP24" s="22"/>
      <c r="AQ24" s="22"/>
      <c r="AR24" s="22"/>
      <c r="AS24" s="22"/>
      <c r="AT24" s="22"/>
      <c r="AU24" s="22" t="s">
        <v>243</v>
      </c>
      <c r="AV24" s="22"/>
      <c r="AW24" s="22"/>
      <c r="AX24" s="22"/>
      <c r="AY24" s="22"/>
      <c r="AZ24" s="22"/>
      <c r="BA24" s="5" t="s">
        <v>1243</v>
      </c>
    </row>
    <row r="25" spans="1:53" ht="15" thickBot="1" x14ac:dyDescent="0.4">
      <c r="A25" s="16" t="s">
        <v>535</v>
      </c>
      <c r="B25" s="16" t="s">
        <v>535</v>
      </c>
      <c r="C25" s="16" t="s">
        <v>535</v>
      </c>
      <c r="D25" s="16" t="s">
        <v>243</v>
      </c>
      <c r="E25" s="16" t="s">
        <v>535</v>
      </c>
      <c r="F25" s="16" t="s">
        <v>535</v>
      </c>
      <c r="G25" s="16" t="s">
        <v>535</v>
      </c>
      <c r="H25" s="16" t="s">
        <v>535</v>
      </c>
      <c r="I25" s="16" t="s">
        <v>535</v>
      </c>
      <c r="J25" s="5" t="s">
        <v>543</v>
      </c>
      <c r="K25" s="142" t="s">
        <v>706</v>
      </c>
      <c r="L25" s="5"/>
      <c r="M25" s="5" t="s">
        <v>644</v>
      </c>
      <c r="N25" s="5" t="s">
        <v>651</v>
      </c>
      <c r="O25" s="5">
        <v>100</v>
      </c>
      <c r="P25" s="152">
        <v>289.22000000000003</v>
      </c>
      <c r="Q25" s="45"/>
      <c r="R25" s="45"/>
      <c r="S25" s="45"/>
      <c r="T25" s="45"/>
      <c r="U25" s="45"/>
      <c r="V25" s="53">
        <f t="shared" si="0"/>
        <v>289.22000000000003</v>
      </c>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t="s">
        <v>243</v>
      </c>
      <c r="AZ25" s="22"/>
      <c r="BA25" s="5"/>
    </row>
    <row r="26" spans="1:53" ht="15" thickBot="1" x14ac:dyDescent="0.4">
      <c r="A26" s="16" t="s">
        <v>535</v>
      </c>
      <c r="B26" s="16" t="s">
        <v>535</v>
      </c>
      <c r="C26" s="16" t="s">
        <v>535</v>
      </c>
      <c r="D26" s="16" t="s">
        <v>243</v>
      </c>
      <c r="E26" s="16" t="s">
        <v>535</v>
      </c>
      <c r="F26" s="16" t="s">
        <v>535</v>
      </c>
      <c r="G26" s="16" t="s">
        <v>535</v>
      </c>
      <c r="H26" s="16" t="s">
        <v>535</v>
      </c>
      <c r="I26" s="16" t="s">
        <v>535</v>
      </c>
      <c r="J26" s="5" t="s">
        <v>543</v>
      </c>
      <c r="K26" s="142" t="s">
        <v>700</v>
      </c>
      <c r="L26" s="5"/>
      <c r="M26" s="5" t="s">
        <v>644</v>
      </c>
      <c r="N26" s="5" t="s">
        <v>651</v>
      </c>
      <c r="O26" s="5">
        <v>100</v>
      </c>
      <c r="P26" s="152">
        <v>1186.2</v>
      </c>
      <c r="Q26" s="45"/>
      <c r="R26" s="45"/>
      <c r="S26" s="45"/>
      <c r="T26" s="45"/>
      <c r="U26" s="45"/>
      <c r="V26" s="53">
        <f t="shared" si="0"/>
        <v>1186.2</v>
      </c>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t="s">
        <v>243</v>
      </c>
      <c r="AZ26" s="22"/>
      <c r="BA26" s="5"/>
    </row>
    <row r="27" spans="1:53" ht="15" thickBot="1" x14ac:dyDescent="0.4">
      <c r="A27" s="16" t="s">
        <v>535</v>
      </c>
      <c r="B27" s="16" t="s">
        <v>535</v>
      </c>
      <c r="C27" s="16" t="s">
        <v>535</v>
      </c>
      <c r="D27" s="16" t="s">
        <v>243</v>
      </c>
      <c r="E27" s="16" t="s">
        <v>535</v>
      </c>
      <c r="F27" s="16" t="s">
        <v>535</v>
      </c>
      <c r="G27" s="16" t="s">
        <v>535</v>
      </c>
      <c r="H27" s="16" t="s">
        <v>535</v>
      </c>
      <c r="I27" s="16" t="s">
        <v>535</v>
      </c>
      <c r="J27" s="5" t="s">
        <v>525</v>
      </c>
      <c r="K27" s="142" t="s">
        <v>663</v>
      </c>
      <c r="L27" s="5"/>
      <c r="M27" s="5" t="s">
        <v>626</v>
      </c>
      <c r="N27" s="5"/>
      <c r="O27" s="5"/>
      <c r="P27" s="152">
        <v>4726.0787226046687</v>
      </c>
      <c r="Q27" s="45"/>
      <c r="R27" s="45"/>
      <c r="S27" s="45"/>
      <c r="T27" s="45"/>
      <c r="U27" s="45"/>
      <c r="V27" s="53">
        <f t="shared" si="0"/>
        <v>4726.0787226046687</v>
      </c>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t="s">
        <v>243</v>
      </c>
      <c r="AZ27" s="22"/>
      <c r="BA27" s="5"/>
    </row>
    <row r="28" spans="1:53" ht="15" thickBot="1" x14ac:dyDescent="0.4">
      <c r="A28" s="16" t="s">
        <v>535</v>
      </c>
      <c r="B28" s="16" t="s">
        <v>535</v>
      </c>
      <c r="C28" s="16" t="s">
        <v>535</v>
      </c>
      <c r="D28" s="16" t="s">
        <v>243</v>
      </c>
      <c r="E28" s="16" t="s">
        <v>535</v>
      </c>
      <c r="F28" s="16" t="s">
        <v>535</v>
      </c>
      <c r="G28" s="16" t="s">
        <v>535</v>
      </c>
      <c r="H28" s="16" t="s">
        <v>535</v>
      </c>
      <c r="I28" s="16" t="s">
        <v>535</v>
      </c>
      <c r="J28" s="5" t="s">
        <v>525</v>
      </c>
      <c r="K28" s="142" t="s">
        <v>672</v>
      </c>
      <c r="L28" s="5"/>
      <c r="M28" s="5" t="s">
        <v>626</v>
      </c>
      <c r="N28" s="5"/>
      <c r="O28" s="5"/>
      <c r="P28" s="152">
        <v>1870.9743780629465</v>
      </c>
      <c r="Q28" s="45"/>
      <c r="R28" s="45"/>
      <c r="S28" s="45"/>
      <c r="T28" s="45"/>
      <c r="U28" s="45"/>
      <c r="V28" s="53">
        <f t="shared" si="0"/>
        <v>1870.9743780629465</v>
      </c>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t="s">
        <v>243</v>
      </c>
      <c r="AZ28" s="22"/>
      <c r="BA28" s="5"/>
    </row>
    <row r="29" spans="1:53" ht="15" thickBot="1" x14ac:dyDescent="0.4">
      <c r="A29" s="16" t="s">
        <v>535</v>
      </c>
      <c r="B29" s="16" t="s">
        <v>535</v>
      </c>
      <c r="C29" s="16" t="s">
        <v>535</v>
      </c>
      <c r="D29" s="16" t="s">
        <v>243</v>
      </c>
      <c r="E29" s="16" t="s">
        <v>535</v>
      </c>
      <c r="F29" s="16" t="s">
        <v>535</v>
      </c>
      <c r="G29" s="16" t="s">
        <v>535</v>
      </c>
      <c r="H29" s="16" t="s">
        <v>535</v>
      </c>
      <c r="I29" s="16" t="s">
        <v>535</v>
      </c>
      <c r="J29" s="5" t="s">
        <v>525</v>
      </c>
      <c r="K29" s="142" t="s">
        <v>677</v>
      </c>
      <c r="L29" s="5"/>
      <c r="M29" s="5" t="s">
        <v>626</v>
      </c>
      <c r="N29" s="5"/>
      <c r="O29" s="5"/>
      <c r="P29" s="152">
        <v>228.3410090861976</v>
      </c>
      <c r="Q29" s="45"/>
      <c r="R29" s="45"/>
      <c r="S29" s="45"/>
      <c r="T29" s="45"/>
      <c r="U29" s="45"/>
      <c r="V29" s="53">
        <f t="shared" si="0"/>
        <v>228.3410090861976</v>
      </c>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t="s">
        <v>243</v>
      </c>
      <c r="AZ29" s="22"/>
      <c r="BA29" s="5"/>
    </row>
    <row r="30" spans="1:53" ht="15" thickBot="1" x14ac:dyDescent="0.4">
      <c r="A30" s="16" t="s">
        <v>535</v>
      </c>
      <c r="B30" s="16" t="s">
        <v>535</v>
      </c>
      <c r="C30" s="16" t="s">
        <v>535</v>
      </c>
      <c r="D30" s="16" t="s">
        <v>243</v>
      </c>
      <c r="E30" s="16" t="s">
        <v>535</v>
      </c>
      <c r="F30" s="16" t="s">
        <v>535</v>
      </c>
      <c r="G30" s="16" t="s">
        <v>535</v>
      </c>
      <c r="H30" s="16" t="s">
        <v>535</v>
      </c>
      <c r="I30" s="16" t="s">
        <v>535</v>
      </c>
      <c r="J30" s="5" t="s">
        <v>525</v>
      </c>
      <c r="K30" s="142" t="s">
        <v>684</v>
      </c>
      <c r="L30" s="5"/>
      <c r="M30" s="5" t="s">
        <v>626</v>
      </c>
      <c r="N30" s="5"/>
      <c r="O30" s="5"/>
      <c r="P30" s="152">
        <v>4.5933035846345422</v>
      </c>
      <c r="Q30" s="45"/>
      <c r="R30" s="45"/>
      <c r="S30" s="45"/>
      <c r="T30" s="45"/>
      <c r="U30" s="45"/>
      <c r="V30" s="53">
        <f t="shared" si="0"/>
        <v>4.5933035846345422</v>
      </c>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t="s">
        <v>243</v>
      </c>
      <c r="AZ30" s="22"/>
      <c r="BA30" s="5"/>
    </row>
    <row r="31" spans="1:53" ht="15" thickBot="1" x14ac:dyDescent="0.4">
      <c r="A31" s="16" t="s">
        <v>535</v>
      </c>
      <c r="B31" s="16" t="s">
        <v>535</v>
      </c>
      <c r="C31" s="16" t="s">
        <v>535</v>
      </c>
      <c r="D31" s="16" t="s">
        <v>243</v>
      </c>
      <c r="E31" s="16" t="s">
        <v>535</v>
      </c>
      <c r="F31" s="16" t="s">
        <v>535</v>
      </c>
      <c r="G31" s="16" t="s">
        <v>535</v>
      </c>
      <c r="H31" s="16" t="s">
        <v>535</v>
      </c>
      <c r="I31" s="16" t="s">
        <v>535</v>
      </c>
      <c r="J31" s="5" t="s">
        <v>525</v>
      </c>
      <c r="K31" s="142" t="s">
        <v>686</v>
      </c>
      <c r="L31" s="5"/>
      <c r="M31" s="5" t="s">
        <v>626</v>
      </c>
      <c r="N31" s="5"/>
      <c r="O31" s="5"/>
      <c r="P31" s="152">
        <v>785.85391496092552</v>
      </c>
      <c r="Q31" s="45"/>
      <c r="R31" s="45"/>
      <c r="S31" s="45"/>
      <c r="T31" s="45"/>
      <c r="U31" s="45"/>
      <c r="V31" s="53">
        <f t="shared" si="0"/>
        <v>785.85391496092552</v>
      </c>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t="s">
        <v>243</v>
      </c>
      <c r="AZ31" s="22"/>
      <c r="BA31" s="5"/>
    </row>
    <row r="32" spans="1:53" ht="15" thickBot="1" x14ac:dyDescent="0.4">
      <c r="A32" s="16" t="s">
        <v>535</v>
      </c>
      <c r="B32" s="16" t="s">
        <v>535</v>
      </c>
      <c r="C32" s="16" t="s">
        <v>535</v>
      </c>
      <c r="D32" s="16" t="s">
        <v>243</v>
      </c>
      <c r="E32" s="16" t="s">
        <v>535</v>
      </c>
      <c r="F32" s="16" t="s">
        <v>535</v>
      </c>
      <c r="G32" s="16" t="s">
        <v>535</v>
      </c>
      <c r="H32" s="16" t="s">
        <v>535</v>
      </c>
      <c r="I32" s="16" t="s">
        <v>535</v>
      </c>
      <c r="J32" s="5" t="s">
        <v>525</v>
      </c>
      <c r="K32" s="142" t="s">
        <v>690</v>
      </c>
      <c r="L32" s="5"/>
      <c r="M32" s="5" t="s">
        <v>626</v>
      </c>
      <c r="N32" s="5"/>
      <c r="O32" s="5"/>
      <c r="P32" s="152">
        <v>139.1166578013202</v>
      </c>
      <c r="Q32" s="45"/>
      <c r="R32" s="45"/>
      <c r="S32" s="45"/>
      <c r="T32" s="45"/>
      <c r="U32" s="45"/>
      <c r="V32" s="53">
        <f t="shared" si="0"/>
        <v>139.1166578013202</v>
      </c>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t="s">
        <v>243</v>
      </c>
      <c r="AZ32" s="22"/>
      <c r="BA32" s="5"/>
    </row>
    <row r="33" spans="1:53" ht="15" thickBot="1" x14ac:dyDescent="0.4">
      <c r="A33" s="16" t="s">
        <v>535</v>
      </c>
      <c r="B33" s="16" t="s">
        <v>535</v>
      </c>
      <c r="C33" s="16" t="s">
        <v>243</v>
      </c>
      <c r="D33" s="16" t="s">
        <v>535</v>
      </c>
      <c r="E33" s="16" t="s">
        <v>535</v>
      </c>
      <c r="F33" s="16" t="s">
        <v>535</v>
      </c>
      <c r="G33" s="16" t="s">
        <v>535</v>
      </c>
      <c r="H33" s="16" t="s">
        <v>535</v>
      </c>
      <c r="I33" s="16" t="s">
        <v>535</v>
      </c>
      <c r="J33" s="5" t="s">
        <v>542</v>
      </c>
      <c r="K33" s="5" t="s">
        <v>620</v>
      </c>
      <c r="L33" s="5" t="s">
        <v>581</v>
      </c>
      <c r="M33" s="5" t="s">
        <v>618</v>
      </c>
      <c r="N33" s="5" t="s">
        <v>629</v>
      </c>
      <c r="O33" s="5">
        <v>1.609</v>
      </c>
      <c r="P33" s="179">
        <v>0.25023000000000001</v>
      </c>
      <c r="Q33" s="45"/>
      <c r="R33" s="45"/>
      <c r="S33" s="45"/>
      <c r="T33" s="179">
        <v>6.1280000000000001E-2</v>
      </c>
      <c r="U33" s="45"/>
      <c r="V33" s="53">
        <f t="shared" si="0"/>
        <v>0.31151000000000001</v>
      </c>
      <c r="W33" s="22"/>
      <c r="X33" s="22"/>
      <c r="Y33" s="22"/>
      <c r="Z33" s="22"/>
      <c r="AA33" s="22"/>
      <c r="AB33" s="22"/>
      <c r="AC33" s="22"/>
      <c r="AD33" s="22"/>
      <c r="AE33" s="22"/>
      <c r="AF33" s="22"/>
      <c r="AG33" s="22"/>
      <c r="AH33" s="22"/>
      <c r="AI33" s="22"/>
      <c r="AJ33" s="22"/>
      <c r="AK33" s="22"/>
      <c r="AL33" s="22"/>
      <c r="AM33" s="22"/>
      <c r="AN33" s="22"/>
      <c r="AO33" s="22"/>
      <c r="AP33" s="22"/>
      <c r="AQ33" s="22"/>
      <c r="AR33" s="22" t="s">
        <v>243</v>
      </c>
      <c r="AS33" s="22" t="s">
        <v>243</v>
      </c>
      <c r="AT33" s="22"/>
      <c r="AU33" s="22"/>
      <c r="AV33" s="22"/>
      <c r="AW33" s="22"/>
      <c r="AX33" s="22"/>
      <c r="AY33" s="22"/>
      <c r="AZ33" s="22"/>
      <c r="BA33" s="5" t="s">
        <v>1244</v>
      </c>
    </row>
    <row r="34" spans="1:53" ht="15" thickBot="1" x14ac:dyDescent="0.4">
      <c r="A34" s="16" t="s">
        <v>535</v>
      </c>
      <c r="B34" s="16" t="s">
        <v>535</v>
      </c>
      <c r="C34" s="16" t="s">
        <v>243</v>
      </c>
      <c r="D34" s="16" t="s">
        <v>535</v>
      </c>
      <c r="E34" s="16" t="s">
        <v>535</v>
      </c>
      <c r="F34" s="16" t="s">
        <v>535</v>
      </c>
      <c r="G34" s="16" t="s">
        <v>535</v>
      </c>
      <c r="H34" s="16" t="s">
        <v>535</v>
      </c>
      <c r="I34" s="16" t="s">
        <v>535</v>
      </c>
      <c r="J34" s="5" t="s">
        <v>542</v>
      </c>
      <c r="K34" s="5" t="s">
        <v>620</v>
      </c>
      <c r="L34" s="5" t="s">
        <v>590</v>
      </c>
      <c r="M34" s="5" t="s">
        <v>618</v>
      </c>
      <c r="N34" s="5" t="s">
        <v>629</v>
      </c>
      <c r="O34" s="5">
        <v>1.609</v>
      </c>
      <c r="P34" s="179">
        <v>0.22095000000000001</v>
      </c>
      <c r="Q34" s="45"/>
      <c r="R34" s="45"/>
      <c r="S34" s="45"/>
      <c r="T34" s="179">
        <v>6.1830000000000003E-2</v>
      </c>
      <c r="U34" s="45"/>
      <c r="V34" s="53">
        <f t="shared" si="0"/>
        <v>0.28278000000000003</v>
      </c>
      <c r="W34" s="22"/>
      <c r="X34" s="22"/>
      <c r="Y34" s="22"/>
      <c r="Z34" s="22"/>
      <c r="AA34" s="22"/>
      <c r="AB34" s="22"/>
      <c r="AC34" s="22"/>
      <c r="AD34" s="22"/>
      <c r="AE34" s="22"/>
      <c r="AF34" s="22"/>
      <c r="AG34" s="22"/>
      <c r="AH34" s="22"/>
      <c r="AI34" s="22"/>
      <c r="AJ34" s="22"/>
      <c r="AK34" s="22"/>
      <c r="AL34" s="22"/>
      <c r="AM34" s="22"/>
      <c r="AN34" s="22"/>
      <c r="AO34" s="22"/>
      <c r="AP34" s="22"/>
      <c r="AQ34" s="22"/>
      <c r="AR34" s="22" t="s">
        <v>243</v>
      </c>
      <c r="AS34" s="22" t="s">
        <v>243</v>
      </c>
      <c r="AT34" s="22"/>
      <c r="AU34" s="22"/>
      <c r="AV34" s="22"/>
      <c r="AW34" s="22"/>
      <c r="AX34" s="22"/>
      <c r="AY34" s="22"/>
      <c r="AZ34" s="22"/>
      <c r="BA34" s="5" t="s">
        <v>1244</v>
      </c>
    </row>
    <row r="35" spans="1:53" ht="15" thickBot="1" x14ac:dyDescent="0.4">
      <c r="A35" s="16" t="s">
        <v>535</v>
      </c>
      <c r="B35" s="16" t="s">
        <v>535</v>
      </c>
      <c r="C35" s="16" t="s">
        <v>243</v>
      </c>
      <c r="D35" s="16" t="s">
        <v>535</v>
      </c>
      <c r="E35" s="16" t="s">
        <v>535</v>
      </c>
      <c r="F35" s="16" t="s">
        <v>535</v>
      </c>
      <c r="G35" s="16" t="s">
        <v>535</v>
      </c>
      <c r="H35" s="16" t="s">
        <v>535</v>
      </c>
      <c r="I35" s="16" t="s">
        <v>535</v>
      </c>
      <c r="J35" s="5" t="s">
        <v>542</v>
      </c>
      <c r="K35" s="5" t="s">
        <v>620</v>
      </c>
      <c r="L35" s="5" t="s">
        <v>560</v>
      </c>
      <c r="M35" s="5" t="s">
        <v>618</v>
      </c>
      <c r="N35" s="5" t="s">
        <v>629</v>
      </c>
      <c r="O35" s="5">
        <v>1.609</v>
      </c>
      <c r="P35" s="179">
        <v>0.27617000000000003</v>
      </c>
      <c r="Q35" s="45"/>
      <c r="R35" s="45"/>
      <c r="S35" s="45"/>
      <c r="T35" s="180">
        <v>3.279E-2</v>
      </c>
      <c r="U35" s="45"/>
      <c r="V35" s="53">
        <f t="shared" si="0"/>
        <v>0.30896000000000001</v>
      </c>
      <c r="W35" s="22"/>
      <c r="X35" s="22"/>
      <c r="Y35" s="22"/>
      <c r="Z35" s="22"/>
      <c r="AA35" s="22"/>
      <c r="AB35" s="22"/>
      <c r="AC35" s="22"/>
      <c r="AD35" s="22"/>
      <c r="AE35" s="22"/>
      <c r="AF35" s="22"/>
      <c r="AG35" s="22"/>
      <c r="AH35" s="22"/>
      <c r="AI35" s="22"/>
      <c r="AJ35" s="22"/>
      <c r="AK35" s="22"/>
      <c r="AL35" s="22"/>
      <c r="AM35" s="22"/>
      <c r="AN35" s="22"/>
      <c r="AO35" s="22"/>
      <c r="AP35" s="22"/>
      <c r="AQ35" s="22"/>
      <c r="AR35" s="22" t="s">
        <v>243</v>
      </c>
      <c r="AS35" s="22" t="s">
        <v>243</v>
      </c>
      <c r="AT35" s="22"/>
      <c r="AU35" s="22"/>
      <c r="AV35" s="22"/>
      <c r="AW35" s="22"/>
      <c r="AX35" s="22"/>
      <c r="AY35" s="22"/>
      <c r="AZ35" s="22"/>
      <c r="BA35" s="5" t="s">
        <v>1244</v>
      </c>
    </row>
    <row r="36" spans="1:53" ht="26.5" thickBot="1" x14ac:dyDescent="0.4">
      <c r="A36" s="16" t="s">
        <v>535</v>
      </c>
      <c r="B36" s="16" t="s">
        <v>535</v>
      </c>
      <c r="C36" s="16" t="s">
        <v>243</v>
      </c>
      <c r="D36" s="16" t="s">
        <v>535</v>
      </c>
      <c r="E36" s="16" t="s">
        <v>535</v>
      </c>
      <c r="F36" s="16" t="s">
        <v>535</v>
      </c>
      <c r="G36" s="16" t="s">
        <v>535</v>
      </c>
      <c r="H36" s="16" t="s">
        <v>535</v>
      </c>
      <c r="I36" s="16" t="s">
        <v>535</v>
      </c>
      <c r="J36" s="5" t="s">
        <v>542</v>
      </c>
      <c r="K36" s="5" t="s">
        <v>620</v>
      </c>
      <c r="L36" s="5" t="s">
        <v>647</v>
      </c>
      <c r="M36" s="5" t="s">
        <v>618</v>
      </c>
      <c r="N36" s="5" t="s">
        <v>629</v>
      </c>
      <c r="O36" s="5">
        <v>1.609</v>
      </c>
      <c r="P36" s="45"/>
      <c r="Q36" s="179">
        <v>7.2789999999999994E-2</v>
      </c>
      <c r="R36" s="45"/>
      <c r="S36" s="179">
        <v>6.4400000000000004E-3</v>
      </c>
      <c r="T36" s="179">
        <v>1.7590000000000001E-2</v>
      </c>
      <c r="U36" s="45"/>
      <c r="V36" s="53">
        <f t="shared" si="0"/>
        <v>9.6819999999999989E-2</v>
      </c>
      <c r="W36" s="22"/>
      <c r="X36" s="22"/>
      <c r="Y36" s="22"/>
      <c r="Z36" s="22"/>
      <c r="AA36" s="22"/>
      <c r="AB36" s="22"/>
      <c r="AC36" s="22"/>
      <c r="AD36" s="22"/>
      <c r="AE36" s="22"/>
      <c r="AF36" s="22"/>
      <c r="AG36" s="22"/>
      <c r="AH36" s="22"/>
      <c r="AI36" s="22"/>
      <c r="AJ36" s="22"/>
      <c r="AK36" s="22"/>
      <c r="AL36" s="22"/>
      <c r="AM36" s="22"/>
      <c r="AN36" s="22"/>
      <c r="AO36" s="22"/>
      <c r="AP36" s="22" t="s">
        <v>243</v>
      </c>
      <c r="AQ36" s="22" t="s">
        <v>243</v>
      </c>
      <c r="AR36" s="22"/>
      <c r="AS36" s="22" t="s">
        <v>243</v>
      </c>
      <c r="AT36" s="22"/>
      <c r="AU36" s="22"/>
      <c r="AV36" s="22"/>
      <c r="AW36" s="22"/>
      <c r="AX36" s="22"/>
      <c r="AY36" s="22"/>
      <c r="AZ36" s="22"/>
      <c r="BA36" s="5" t="s">
        <v>1244</v>
      </c>
    </row>
    <row r="37" spans="1:53" ht="15" thickBot="1" x14ac:dyDescent="0.4">
      <c r="A37" s="16" t="s">
        <v>535</v>
      </c>
      <c r="B37" s="16" t="s">
        <v>535</v>
      </c>
      <c r="C37" s="16" t="s">
        <v>243</v>
      </c>
      <c r="D37" s="16" t="s">
        <v>535</v>
      </c>
      <c r="E37" s="16" t="s">
        <v>535</v>
      </c>
      <c r="F37" s="16" t="s">
        <v>535</v>
      </c>
      <c r="G37" s="16" t="s">
        <v>535</v>
      </c>
      <c r="H37" s="16" t="s">
        <v>535</v>
      </c>
      <c r="I37" s="16" t="s">
        <v>535</v>
      </c>
      <c r="J37" s="5" t="s">
        <v>542</v>
      </c>
      <c r="K37" s="5" t="s">
        <v>620</v>
      </c>
      <c r="L37" s="5" t="s">
        <v>653</v>
      </c>
      <c r="M37" s="5" t="s">
        <v>618</v>
      </c>
      <c r="N37" s="5" t="s">
        <v>629</v>
      </c>
      <c r="O37" s="5">
        <v>1.609</v>
      </c>
      <c r="P37" s="179">
        <v>0.24934000000000001</v>
      </c>
      <c r="Q37" s="45"/>
      <c r="R37" s="45"/>
      <c r="S37" s="45"/>
      <c r="T37" s="179">
        <v>6.13E-2</v>
      </c>
      <c r="U37" s="45"/>
      <c r="V37" s="53">
        <f t="shared" si="0"/>
        <v>0.31064000000000003</v>
      </c>
      <c r="W37" s="22"/>
      <c r="X37" s="22"/>
      <c r="Y37" s="22"/>
      <c r="Z37" s="22"/>
      <c r="AA37" s="22"/>
      <c r="AB37" s="22"/>
      <c r="AC37" s="22"/>
      <c r="AD37" s="22"/>
      <c r="AE37" s="22"/>
      <c r="AF37" s="22"/>
      <c r="AG37" s="22"/>
      <c r="AH37" s="22"/>
      <c r="AI37" s="22"/>
      <c r="AJ37" s="22"/>
      <c r="AK37" s="22"/>
      <c r="AL37" s="22"/>
      <c r="AM37" s="22"/>
      <c r="AN37" s="22"/>
      <c r="AO37" s="22"/>
      <c r="AP37" s="22"/>
      <c r="AQ37" s="22"/>
      <c r="AR37" s="22" t="s">
        <v>243</v>
      </c>
      <c r="AS37" s="22" t="s">
        <v>243</v>
      </c>
      <c r="AT37" s="22"/>
      <c r="AU37" s="22"/>
      <c r="AV37" s="22"/>
      <c r="AW37" s="22"/>
      <c r="AX37" s="22"/>
      <c r="AY37" s="22"/>
      <c r="AZ37" s="22"/>
      <c r="BA37" s="5" t="s">
        <v>1244</v>
      </c>
    </row>
    <row r="38" spans="1:53" ht="15" thickBot="1" x14ac:dyDescent="0.4">
      <c r="A38" s="16" t="s">
        <v>535</v>
      </c>
      <c r="B38" s="16" t="s">
        <v>535</v>
      </c>
      <c r="C38" s="16" t="s">
        <v>243</v>
      </c>
      <c r="D38" s="16" t="s">
        <v>535</v>
      </c>
      <c r="E38" s="16" t="s">
        <v>535</v>
      </c>
      <c r="F38" s="16" t="s">
        <v>535</v>
      </c>
      <c r="G38" s="16" t="s">
        <v>535</v>
      </c>
      <c r="H38" s="16" t="s">
        <v>535</v>
      </c>
      <c r="I38" s="16" t="s">
        <v>535</v>
      </c>
      <c r="J38" s="5" t="s">
        <v>555</v>
      </c>
      <c r="K38" s="5" t="s">
        <v>712</v>
      </c>
      <c r="L38" s="5" t="s">
        <v>581</v>
      </c>
      <c r="M38" s="5" t="s">
        <v>618</v>
      </c>
      <c r="N38" s="5" t="s">
        <v>629</v>
      </c>
      <c r="O38" s="5">
        <v>1.609</v>
      </c>
      <c r="P38" s="179">
        <v>0.82657000000000003</v>
      </c>
      <c r="Q38" s="45"/>
      <c r="R38" s="45"/>
      <c r="S38" s="45"/>
      <c r="T38" s="180">
        <v>0.20099</v>
      </c>
      <c r="U38" s="45"/>
      <c r="V38" s="53">
        <f t="shared" si="0"/>
        <v>1.02756</v>
      </c>
      <c r="W38" s="22"/>
      <c r="X38" s="22"/>
      <c r="Y38" s="22"/>
      <c r="Z38" s="22"/>
      <c r="AA38" s="22"/>
      <c r="AB38" s="22"/>
      <c r="AC38" s="22"/>
      <c r="AD38" s="22"/>
      <c r="AE38" s="22"/>
      <c r="AF38" s="22"/>
      <c r="AG38" s="22"/>
      <c r="AH38" s="22"/>
      <c r="AI38" s="22"/>
      <c r="AJ38" s="22"/>
      <c r="AK38" s="22"/>
      <c r="AL38" s="22"/>
      <c r="AM38" s="22"/>
      <c r="AN38" s="22"/>
      <c r="AO38" s="22"/>
      <c r="AP38" s="22"/>
      <c r="AQ38" s="22"/>
      <c r="AR38" s="22" t="s">
        <v>243</v>
      </c>
      <c r="AS38" s="22" t="s">
        <v>243</v>
      </c>
      <c r="AT38" s="22"/>
      <c r="AU38" s="22"/>
      <c r="AV38" s="22"/>
      <c r="AW38" s="22"/>
      <c r="AX38" s="22"/>
      <c r="AY38" s="22"/>
      <c r="AZ38" s="22"/>
      <c r="BA38" s="5" t="s">
        <v>1245</v>
      </c>
    </row>
    <row r="39" spans="1:53" ht="15" thickBot="1" x14ac:dyDescent="0.4">
      <c r="A39" s="16" t="s">
        <v>535</v>
      </c>
      <c r="B39" s="16" t="s">
        <v>535</v>
      </c>
      <c r="C39" s="16" t="s">
        <v>243</v>
      </c>
      <c r="D39" s="16" t="s">
        <v>535</v>
      </c>
      <c r="E39" s="16" t="s">
        <v>535</v>
      </c>
      <c r="F39" s="16" t="s">
        <v>535</v>
      </c>
      <c r="G39" s="16" t="s">
        <v>535</v>
      </c>
      <c r="H39" s="16" t="s">
        <v>535</v>
      </c>
      <c r="I39" s="16" t="s">
        <v>535</v>
      </c>
      <c r="J39" s="5" t="s">
        <v>555</v>
      </c>
      <c r="K39" s="5" t="s">
        <v>718</v>
      </c>
      <c r="L39" s="5" t="s">
        <v>581</v>
      </c>
      <c r="M39" s="5" t="s">
        <v>618</v>
      </c>
      <c r="N39" s="5" t="s">
        <v>629</v>
      </c>
      <c r="O39" s="5">
        <v>1.609</v>
      </c>
      <c r="P39" s="179">
        <v>0.90581</v>
      </c>
      <c r="Q39" s="45"/>
      <c r="R39" s="45"/>
      <c r="S39" s="45"/>
      <c r="T39" s="180">
        <v>0.21898000000000001</v>
      </c>
      <c r="U39" s="45"/>
      <c r="V39" s="53">
        <f t="shared" si="0"/>
        <v>1.12479</v>
      </c>
      <c r="W39" s="22"/>
      <c r="X39" s="22"/>
      <c r="Y39" s="22"/>
      <c r="Z39" s="22"/>
      <c r="AA39" s="22"/>
      <c r="AB39" s="22"/>
      <c r="AC39" s="22"/>
      <c r="AD39" s="22"/>
      <c r="AE39" s="22"/>
      <c r="AF39" s="22"/>
      <c r="AG39" s="22"/>
      <c r="AH39" s="22"/>
      <c r="AI39" s="22"/>
      <c r="AJ39" s="22"/>
      <c r="AK39" s="22"/>
      <c r="AL39" s="22"/>
      <c r="AM39" s="22"/>
      <c r="AN39" s="22"/>
      <c r="AO39" s="22"/>
      <c r="AP39" s="22"/>
      <c r="AQ39" s="22"/>
      <c r="AR39" s="22" t="s">
        <v>243</v>
      </c>
      <c r="AS39" s="22" t="s">
        <v>243</v>
      </c>
      <c r="AT39" s="22"/>
      <c r="AU39" s="22"/>
      <c r="AV39" s="22"/>
      <c r="AW39" s="22"/>
      <c r="AX39" s="22"/>
      <c r="AY39" s="22"/>
      <c r="AZ39" s="22"/>
      <c r="BA39" s="5" t="s">
        <v>1245</v>
      </c>
    </row>
    <row r="40" spans="1:53" ht="15" thickBot="1" x14ac:dyDescent="0.4">
      <c r="A40" s="16" t="s">
        <v>535</v>
      </c>
      <c r="B40" s="16" t="s">
        <v>535</v>
      </c>
      <c r="C40" s="16" t="s">
        <v>243</v>
      </c>
      <c r="D40" s="16" t="s">
        <v>535</v>
      </c>
      <c r="E40" s="16" t="s">
        <v>535</v>
      </c>
      <c r="F40" s="16" t="s">
        <v>535</v>
      </c>
      <c r="G40" s="16" t="s">
        <v>535</v>
      </c>
      <c r="H40" s="16" t="s">
        <v>535</v>
      </c>
      <c r="I40" s="16" t="s">
        <v>535</v>
      </c>
      <c r="J40" s="5" t="s">
        <v>555</v>
      </c>
      <c r="K40" s="5" t="s">
        <v>723</v>
      </c>
      <c r="L40" s="5" t="s">
        <v>581</v>
      </c>
      <c r="M40" s="5" t="s">
        <v>618</v>
      </c>
      <c r="N40" s="5" t="s">
        <v>629</v>
      </c>
      <c r="O40" s="5">
        <v>1.609</v>
      </c>
      <c r="P40" s="179">
        <v>0.87295999999999996</v>
      </c>
      <c r="Q40" s="45"/>
      <c r="R40" s="45"/>
      <c r="S40" s="45"/>
      <c r="T40" s="180">
        <v>0.21154000000000001</v>
      </c>
      <c r="U40" s="45"/>
      <c r="V40" s="53">
        <f t="shared" si="0"/>
        <v>1.0845</v>
      </c>
      <c r="W40" s="22"/>
      <c r="X40" s="22"/>
      <c r="Y40" s="22"/>
      <c r="Z40" s="22"/>
      <c r="AA40" s="22"/>
      <c r="AB40" s="22"/>
      <c r="AC40" s="22"/>
      <c r="AD40" s="22"/>
      <c r="AE40" s="22"/>
      <c r="AF40" s="22"/>
      <c r="AG40" s="22"/>
      <c r="AH40" s="22"/>
      <c r="AI40" s="22"/>
      <c r="AJ40" s="22"/>
      <c r="AK40" s="22"/>
      <c r="AL40" s="22"/>
      <c r="AM40" s="22"/>
      <c r="AN40" s="22"/>
      <c r="AO40" s="22"/>
      <c r="AP40" s="22"/>
      <c r="AQ40" s="22"/>
      <c r="AR40" s="22" t="s">
        <v>243</v>
      </c>
      <c r="AS40" s="22" t="s">
        <v>243</v>
      </c>
      <c r="AT40" s="22"/>
      <c r="AU40" s="22"/>
      <c r="AV40" s="22"/>
      <c r="AW40" s="22"/>
      <c r="AX40" s="22"/>
      <c r="AY40" s="22"/>
      <c r="AZ40" s="22"/>
      <c r="BA40" s="5" t="s">
        <v>1245</v>
      </c>
    </row>
    <row r="41" spans="1:53" ht="15" thickBot="1" x14ac:dyDescent="0.4">
      <c r="A41" s="16" t="s">
        <v>535</v>
      </c>
      <c r="B41" s="16" t="s">
        <v>535</v>
      </c>
      <c r="C41" s="16" t="s">
        <v>243</v>
      </c>
      <c r="D41" s="16" t="s">
        <v>535</v>
      </c>
      <c r="E41" s="16" t="s">
        <v>535</v>
      </c>
      <c r="F41" s="16" t="s">
        <v>535</v>
      </c>
      <c r="G41" s="16" t="s">
        <v>535</v>
      </c>
      <c r="H41" s="16" t="s">
        <v>535</v>
      </c>
      <c r="I41" s="16" t="s">
        <v>535</v>
      </c>
      <c r="J41" s="5" t="s">
        <v>524</v>
      </c>
      <c r="K41" s="5" t="s">
        <v>620</v>
      </c>
      <c r="L41" s="5" t="s">
        <v>581</v>
      </c>
      <c r="M41" s="5" t="s">
        <v>618</v>
      </c>
      <c r="N41" s="5" t="s">
        <v>629</v>
      </c>
      <c r="O41" s="5">
        <v>1.609</v>
      </c>
      <c r="P41" s="179">
        <v>0.16983999999999999</v>
      </c>
      <c r="Q41" s="45"/>
      <c r="R41" s="45"/>
      <c r="S41" s="45"/>
      <c r="T41" s="180">
        <v>4.1459999999999997E-2</v>
      </c>
      <c r="U41" s="45"/>
      <c r="V41" s="53">
        <f t="shared" si="0"/>
        <v>0.21129999999999999</v>
      </c>
      <c r="W41" s="22"/>
      <c r="X41" s="22"/>
      <c r="Y41" s="22"/>
      <c r="Z41" s="22"/>
      <c r="AA41" s="22"/>
      <c r="AB41" s="22"/>
      <c r="AC41" s="22"/>
      <c r="AD41" s="22"/>
      <c r="AE41" s="22"/>
      <c r="AF41" s="22"/>
      <c r="AG41" s="22"/>
      <c r="AH41" s="22"/>
      <c r="AI41" s="22"/>
      <c r="AJ41" s="22"/>
      <c r="AK41" s="22"/>
      <c r="AL41" s="22"/>
      <c r="AM41" s="22"/>
      <c r="AN41" s="22" t="s">
        <v>243</v>
      </c>
      <c r="AO41" s="22" t="s">
        <v>243</v>
      </c>
      <c r="AP41" s="22"/>
      <c r="AQ41" s="22"/>
      <c r="AR41" s="22"/>
      <c r="AS41" s="22"/>
      <c r="AT41" s="22"/>
      <c r="AU41" s="22"/>
      <c r="AV41" s="22"/>
      <c r="AW41" s="22"/>
      <c r="AX41" s="22"/>
      <c r="AY41" s="22"/>
      <c r="AZ41" s="22"/>
      <c r="BA41" s="5"/>
    </row>
    <row r="42" spans="1:53" ht="15" thickBot="1" x14ac:dyDescent="0.4">
      <c r="A42" s="16" t="s">
        <v>535</v>
      </c>
      <c r="B42" s="16" t="s">
        <v>535</v>
      </c>
      <c r="C42" s="16" t="s">
        <v>243</v>
      </c>
      <c r="D42" s="16" t="s">
        <v>535</v>
      </c>
      <c r="E42" s="16" t="s">
        <v>535</v>
      </c>
      <c r="F42" s="16" t="s">
        <v>535</v>
      </c>
      <c r="G42" s="16" t="s">
        <v>535</v>
      </c>
      <c r="H42" s="16" t="s">
        <v>535</v>
      </c>
      <c r="I42" s="16" t="s">
        <v>535</v>
      </c>
      <c r="J42" s="5" t="s">
        <v>524</v>
      </c>
      <c r="K42" s="5" t="s">
        <v>620</v>
      </c>
      <c r="L42" s="5" t="s">
        <v>590</v>
      </c>
      <c r="M42" s="5" t="s">
        <v>618</v>
      </c>
      <c r="N42" s="5" t="s">
        <v>629</v>
      </c>
      <c r="O42" s="5">
        <v>1.609</v>
      </c>
      <c r="P42" s="179">
        <v>0.16450000000000001</v>
      </c>
      <c r="Q42" s="45"/>
      <c r="R42" s="45"/>
      <c r="S42" s="45"/>
      <c r="T42" s="180">
        <v>4.5990000000000003E-2</v>
      </c>
      <c r="U42" s="45"/>
      <c r="V42" s="53">
        <f t="shared" si="0"/>
        <v>0.21049000000000001</v>
      </c>
      <c r="W42" s="22"/>
      <c r="X42" s="22"/>
      <c r="Y42" s="22"/>
      <c r="Z42" s="22"/>
      <c r="AA42" s="22"/>
      <c r="AB42" s="22"/>
      <c r="AC42" s="22"/>
      <c r="AD42" s="22"/>
      <c r="AE42" s="22"/>
      <c r="AF42" s="22"/>
      <c r="AG42" s="22"/>
      <c r="AH42" s="22"/>
      <c r="AI42" s="22"/>
      <c r="AJ42" s="22"/>
      <c r="AK42" s="22"/>
      <c r="AL42" s="22"/>
      <c r="AM42" s="22"/>
      <c r="AN42" s="22" t="s">
        <v>243</v>
      </c>
      <c r="AO42" s="22" t="s">
        <v>243</v>
      </c>
      <c r="AP42" s="22"/>
      <c r="AQ42" s="22"/>
      <c r="AR42" s="22"/>
      <c r="AS42" s="22"/>
      <c r="AT42" s="22"/>
      <c r="AU42" s="22"/>
      <c r="AV42" s="22"/>
      <c r="AW42" s="22"/>
      <c r="AX42" s="22"/>
      <c r="AY42" s="22"/>
      <c r="AZ42" s="22"/>
      <c r="BA42" s="5"/>
    </row>
    <row r="43" spans="1:53" ht="15" thickBot="1" x14ac:dyDescent="0.4">
      <c r="A43" s="16" t="s">
        <v>535</v>
      </c>
      <c r="B43" s="16" t="s">
        <v>535</v>
      </c>
      <c r="C43" s="16" t="s">
        <v>243</v>
      </c>
      <c r="D43" s="16" t="s">
        <v>535</v>
      </c>
      <c r="E43" s="16" t="s">
        <v>535</v>
      </c>
      <c r="F43" s="16" t="s">
        <v>535</v>
      </c>
      <c r="G43" s="16" t="s">
        <v>535</v>
      </c>
      <c r="H43" s="16" t="s">
        <v>535</v>
      </c>
      <c r="I43" s="16" t="s">
        <v>535</v>
      </c>
      <c r="J43" s="5" t="s">
        <v>524</v>
      </c>
      <c r="K43" s="5" t="s">
        <v>620</v>
      </c>
      <c r="L43" s="5" t="s">
        <v>640</v>
      </c>
      <c r="M43" s="5" t="s">
        <v>618</v>
      </c>
      <c r="N43" s="5" t="s">
        <v>629</v>
      </c>
      <c r="O43" s="5">
        <v>1.609</v>
      </c>
      <c r="P43" s="179">
        <v>0.12606999999999999</v>
      </c>
      <c r="Q43" s="45"/>
      <c r="R43" s="45"/>
      <c r="S43" s="45"/>
      <c r="T43" s="180">
        <v>3.3149999999999999E-2</v>
      </c>
      <c r="U43" s="45"/>
      <c r="V43" s="53">
        <f t="shared" si="0"/>
        <v>0.15921999999999997</v>
      </c>
      <c r="W43" s="22"/>
      <c r="X43" s="22"/>
      <c r="Y43" s="22"/>
      <c r="Z43" s="22"/>
      <c r="AA43" s="22"/>
      <c r="AB43" s="22"/>
      <c r="AC43" s="22"/>
      <c r="AD43" s="22"/>
      <c r="AE43" s="22"/>
      <c r="AF43" s="22"/>
      <c r="AG43" s="22"/>
      <c r="AH43" s="22"/>
      <c r="AI43" s="22"/>
      <c r="AJ43" s="22"/>
      <c r="AK43" s="22"/>
      <c r="AL43" s="22"/>
      <c r="AM43" s="22"/>
      <c r="AN43" s="22" t="s">
        <v>243</v>
      </c>
      <c r="AO43" s="22" t="s">
        <v>243</v>
      </c>
      <c r="AP43" s="22"/>
      <c r="AQ43" s="22"/>
      <c r="AR43" s="22"/>
      <c r="AS43" s="22"/>
      <c r="AT43" s="22"/>
      <c r="AU43" s="22"/>
      <c r="AV43" s="22"/>
      <c r="AW43" s="22"/>
      <c r="AX43" s="22"/>
      <c r="AY43" s="22"/>
      <c r="AZ43" s="22"/>
      <c r="BA43" s="5"/>
    </row>
    <row r="44" spans="1:53" ht="26.5" thickBot="1" x14ac:dyDescent="0.4">
      <c r="A44" s="16" t="s">
        <v>535</v>
      </c>
      <c r="B44" s="16" t="s">
        <v>535</v>
      </c>
      <c r="C44" s="16" t="s">
        <v>243</v>
      </c>
      <c r="D44" s="16" t="s">
        <v>535</v>
      </c>
      <c r="E44" s="16" t="s">
        <v>535</v>
      </c>
      <c r="F44" s="16" t="s">
        <v>535</v>
      </c>
      <c r="G44" s="16" t="s">
        <v>535</v>
      </c>
      <c r="H44" s="16" t="s">
        <v>535</v>
      </c>
      <c r="I44" s="16" t="s">
        <v>535</v>
      </c>
      <c r="J44" s="5" t="s">
        <v>524</v>
      </c>
      <c r="K44" s="5" t="s">
        <v>620</v>
      </c>
      <c r="L44" s="5" t="s">
        <v>646</v>
      </c>
      <c r="M44" s="5" t="s">
        <v>618</v>
      </c>
      <c r="N44" s="5" t="s">
        <v>629</v>
      </c>
      <c r="O44" s="5">
        <v>1.609</v>
      </c>
      <c r="P44" s="179">
        <v>9.3600000000000003E-2</v>
      </c>
      <c r="Q44" s="179">
        <v>1.371E-2</v>
      </c>
      <c r="R44" s="45"/>
      <c r="S44" s="179">
        <v>1.2099999999999999E-3</v>
      </c>
      <c r="T44" s="179">
        <v>2.9340000000000001E-2</v>
      </c>
      <c r="U44" s="45"/>
      <c r="V44" s="53">
        <f t="shared" si="0"/>
        <v>0.13786000000000001</v>
      </c>
      <c r="W44" s="22"/>
      <c r="X44" s="22"/>
      <c r="Y44" s="22"/>
      <c r="Z44" s="22"/>
      <c r="AA44" s="22"/>
      <c r="AB44" s="22"/>
      <c r="AC44" s="22"/>
      <c r="AD44" s="22"/>
      <c r="AE44" s="22"/>
      <c r="AF44" s="22"/>
      <c r="AG44" s="22"/>
      <c r="AH44" s="22"/>
      <c r="AI44" s="22"/>
      <c r="AJ44" s="22"/>
      <c r="AK44" s="22"/>
      <c r="AL44" s="22"/>
      <c r="AM44" s="22"/>
      <c r="AN44" s="22" t="s">
        <v>243</v>
      </c>
      <c r="AO44" s="22" t="s">
        <v>243</v>
      </c>
      <c r="AP44" s="22" t="s">
        <v>243</v>
      </c>
      <c r="AQ44" s="22" t="s">
        <v>243</v>
      </c>
      <c r="AR44" s="22"/>
      <c r="AS44" s="22"/>
      <c r="AT44" s="22"/>
      <c r="AU44" s="22"/>
      <c r="AV44" s="22"/>
      <c r="AW44" s="22"/>
      <c r="AX44" s="22"/>
      <c r="AY44" s="22"/>
      <c r="AZ44" s="22"/>
      <c r="BA44" s="5"/>
    </row>
    <row r="45" spans="1:53" ht="26.5" thickBot="1" x14ac:dyDescent="0.4">
      <c r="A45" s="16" t="s">
        <v>535</v>
      </c>
      <c r="B45" s="16" t="s">
        <v>535</v>
      </c>
      <c r="C45" s="16" t="s">
        <v>243</v>
      </c>
      <c r="D45" s="16" t="s">
        <v>535</v>
      </c>
      <c r="E45" s="16" t="s">
        <v>535</v>
      </c>
      <c r="F45" s="16" t="s">
        <v>535</v>
      </c>
      <c r="G45" s="16" t="s">
        <v>535</v>
      </c>
      <c r="H45" s="16" t="s">
        <v>535</v>
      </c>
      <c r="I45" s="16" t="s">
        <v>535</v>
      </c>
      <c r="J45" s="5" t="s">
        <v>524</v>
      </c>
      <c r="K45" s="5" t="s">
        <v>620</v>
      </c>
      <c r="L45" s="5" t="s">
        <v>647</v>
      </c>
      <c r="M45" s="5" t="s">
        <v>618</v>
      </c>
      <c r="N45" s="5" t="s">
        <v>629</v>
      </c>
      <c r="O45" s="5">
        <v>1.609</v>
      </c>
      <c r="P45" s="45"/>
      <c r="Q45" s="179">
        <v>4.3580000000000001E-2</v>
      </c>
      <c r="R45" s="45"/>
      <c r="S45" s="179">
        <v>3.8600000000000001E-3</v>
      </c>
      <c r="T45" s="180">
        <v>1.0489999999999999E-2</v>
      </c>
      <c r="U45" s="45"/>
      <c r="V45" s="53">
        <f t="shared" si="0"/>
        <v>5.7930000000000002E-2</v>
      </c>
      <c r="W45" s="22"/>
      <c r="X45" s="22"/>
      <c r="Y45" s="22"/>
      <c r="Z45" s="22"/>
      <c r="AA45" s="22"/>
      <c r="AB45" s="22"/>
      <c r="AC45" s="22"/>
      <c r="AD45" s="22"/>
      <c r="AE45" s="22"/>
      <c r="AF45" s="22"/>
      <c r="AG45" s="22"/>
      <c r="AH45" s="22"/>
      <c r="AI45" s="22"/>
      <c r="AJ45" s="22"/>
      <c r="AK45" s="22"/>
      <c r="AL45" s="22"/>
      <c r="AM45" s="22"/>
      <c r="AN45" s="22"/>
      <c r="AO45" s="22" t="s">
        <v>243</v>
      </c>
      <c r="AP45" s="22" t="s">
        <v>243</v>
      </c>
      <c r="AQ45" s="22" t="s">
        <v>243</v>
      </c>
      <c r="AR45" s="22"/>
      <c r="AS45" s="22"/>
      <c r="AT45" s="22"/>
      <c r="AU45" s="22"/>
      <c r="AV45" s="22"/>
      <c r="AW45" s="22"/>
      <c r="AX45" s="22"/>
      <c r="AY45" s="22"/>
      <c r="AZ45" s="22"/>
      <c r="BA45" s="5"/>
    </row>
    <row r="46" spans="1:53" ht="15" thickBot="1" x14ac:dyDescent="0.4">
      <c r="A46" s="16" t="s">
        <v>535</v>
      </c>
      <c r="B46" s="16" t="s">
        <v>535</v>
      </c>
      <c r="C46" s="16" t="s">
        <v>243</v>
      </c>
      <c r="D46" s="16" t="s">
        <v>535</v>
      </c>
      <c r="E46" s="16" t="s">
        <v>535</v>
      </c>
      <c r="F46" s="16" t="s">
        <v>535</v>
      </c>
      <c r="G46" s="16" t="s">
        <v>535</v>
      </c>
      <c r="H46" s="16" t="s">
        <v>535</v>
      </c>
      <c r="I46" s="16" t="s">
        <v>535</v>
      </c>
      <c r="J46" s="5" t="s">
        <v>524</v>
      </c>
      <c r="K46" s="5" t="s">
        <v>620</v>
      </c>
      <c r="L46" s="5" t="s">
        <v>658</v>
      </c>
      <c r="M46" s="5" t="s">
        <v>618</v>
      </c>
      <c r="N46" s="5" t="s">
        <v>629</v>
      </c>
      <c r="O46" s="5">
        <v>1.609</v>
      </c>
      <c r="P46" s="179">
        <v>0.16691</v>
      </c>
      <c r="Q46" s="45"/>
      <c r="R46" s="45"/>
      <c r="S46" s="45"/>
      <c r="T46" s="180">
        <v>4.3990000000000001E-2</v>
      </c>
      <c r="U46" s="45"/>
      <c r="V46" s="53">
        <f t="shared" si="0"/>
        <v>0.2109</v>
      </c>
      <c r="W46" s="22"/>
      <c r="X46" s="22"/>
      <c r="Y46" s="22"/>
      <c r="Z46" s="22"/>
      <c r="AA46" s="22"/>
      <c r="AB46" s="22"/>
      <c r="AC46" s="22"/>
      <c r="AD46" s="22"/>
      <c r="AE46" s="22"/>
      <c r="AF46" s="22"/>
      <c r="AG46" s="22"/>
      <c r="AH46" s="22"/>
      <c r="AI46" s="22"/>
      <c r="AJ46" s="22"/>
      <c r="AK46" s="22"/>
      <c r="AL46" s="22"/>
      <c r="AM46" s="22"/>
      <c r="AN46" s="22" t="s">
        <v>243</v>
      </c>
      <c r="AO46" s="22" t="s">
        <v>243</v>
      </c>
      <c r="AP46" s="22"/>
      <c r="AQ46" s="22"/>
      <c r="AR46" s="22"/>
      <c r="AS46" s="22"/>
      <c r="AT46" s="22"/>
      <c r="AU46" s="22"/>
      <c r="AV46" s="22"/>
      <c r="AW46" s="22"/>
      <c r="AX46" s="22"/>
      <c r="AY46" s="22"/>
      <c r="AZ46" s="22"/>
      <c r="BA46" s="5"/>
    </row>
    <row r="47" spans="1:53" ht="15" thickBot="1" x14ac:dyDescent="0.4">
      <c r="A47" s="16" t="s">
        <v>535</v>
      </c>
      <c r="B47" s="16" t="s">
        <v>535</v>
      </c>
      <c r="C47" s="16" t="s">
        <v>535</v>
      </c>
      <c r="D47" s="16" t="s">
        <v>535</v>
      </c>
      <c r="E47" s="16" t="s">
        <v>535</v>
      </c>
      <c r="F47" s="16" t="s">
        <v>243</v>
      </c>
      <c r="G47" s="16" t="s">
        <v>243</v>
      </c>
      <c r="H47" s="16" t="s">
        <v>535</v>
      </c>
      <c r="I47" s="16" t="s">
        <v>535</v>
      </c>
      <c r="J47" s="5" t="s">
        <v>529</v>
      </c>
      <c r="K47" s="5" t="s">
        <v>619</v>
      </c>
      <c r="L47" s="5" t="s">
        <v>581</v>
      </c>
      <c r="M47" s="5" t="s">
        <v>618</v>
      </c>
      <c r="N47" s="5" t="s">
        <v>629</v>
      </c>
      <c r="O47" s="5">
        <v>1.609</v>
      </c>
      <c r="P47" s="45"/>
      <c r="Q47" s="45"/>
      <c r="R47" s="179">
        <v>0.13994000000000001</v>
      </c>
      <c r="S47" s="45"/>
      <c r="T47" s="179">
        <v>3.4090000000000002E-2</v>
      </c>
      <c r="U47" s="45"/>
      <c r="V47" s="53">
        <f t="shared" si="0"/>
        <v>0.17403000000000002</v>
      </c>
      <c r="W47" s="22"/>
      <c r="X47" s="22"/>
      <c r="Y47" s="22"/>
      <c r="Z47" s="22"/>
      <c r="AA47" s="22"/>
      <c r="AB47" s="22"/>
      <c r="AC47" s="22"/>
      <c r="AD47" s="22"/>
      <c r="AE47" s="22"/>
      <c r="AF47" s="22"/>
      <c r="AG47" s="22"/>
      <c r="AH47" s="22"/>
      <c r="AI47" s="22"/>
      <c r="AJ47" s="22"/>
      <c r="AK47" s="22"/>
      <c r="AL47" s="22"/>
      <c r="AM47" s="22"/>
      <c r="AN47" s="22" t="s">
        <v>243</v>
      </c>
      <c r="AO47" s="22" t="s">
        <v>243</v>
      </c>
      <c r="AP47" s="22"/>
      <c r="AQ47" s="22"/>
      <c r="AR47" s="22"/>
      <c r="AS47" s="22"/>
      <c r="AT47" s="22"/>
      <c r="AU47" s="22"/>
      <c r="AV47" s="22"/>
      <c r="AW47" s="22"/>
      <c r="AX47" s="22"/>
      <c r="AY47" s="22"/>
      <c r="AZ47" s="22"/>
      <c r="BA47" s="5"/>
    </row>
    <row r="48" spans="1:53" ht="15" thickBot="1" x14ac:dyDescent="0.4">
      <c r="A48" s="16" t="s">
        <v>535</v>
      </c>
      <c r="B48" s="16" t="s">
        <v>535</v>
      </c>
      <c r="C48" s="16" t="s">
        <v>535</v>
      </c>
      <c r="D48" s="16" t="s">
        <v>535</v>
      </c>
      <c r="E48" s="16" t="s">
        <v>535</v>
      </c>
      <c r="F48" s="16" t="s">
        <v>243</v>
      </c>
      <c r="G48" s="16" t="s">
        <v>243</v>
      </c>
      <c r="H48" s="16" t="s">
        <v>535</v>
      </c>
      <c r="I48" s="16" t="s">
        <v>535</v>
      </c>
      <c r="J48" s="5" t="s">
        <v>529</v>
      </c>
      <c r="K48" s="5" t="s">
        <v>630</v>
      </c>
      <c r="L48" s="5" t="s">
        <v>581</v>
      </c>
      <c r="M48" s="5" t="s">
        <v>618</v>
      </c>
      <c r="N48" s="5" t="s">
        <v>629</v>
      </c>
      <c r="O48" s="5">
        <v>1.609</v>
      </c>
      <c r="P48" s="45"/>
      <c r="Q48" s="45"/>
      <c r="R48" s="179">
        <v>0.16807</v>
      </c>
      <c r="S48" s="45"/>
      <c r="T48" s="179">
        <v>4.1029999999999997E-2</v>
      </c>
      <c r="U48" s="45"/>
      <c r="V48" s="53">
        <f t="shared" si="0"/>
        <v>0.20910000000000001</v>
      </c>
      <c r="W48" s="22"/>
      <c r="X48" s="22"/>
      <c r="Y48" s="22"/>
      <c r="Z48" s="22"/>
      <c r="AA48" s="22"/>
      <c r="AB48" s="22"/>
      <c r="AC48" s="22"/>
      <c r="AD48" s="22"/>
      <c r="AE48" s="22"/>
      <c r="AF48" s="22"/>
      <c r="AG48" s="22"/>
      <c r="AH48" s="22"/>
      <c r="AI48" s="22"/>
      <c r="AJ48" s="22"/>
      <c r="AK48" s="22"/>
      <c r="AL48" s="22"/>
      <c r="AM48" s="22"/>
      <c r="AN48" s="22" t="s">
        <v>243</v>
      </c>
      <c r="AO48" s="22" t="s">
        <v>243</v>
      </c>
      <c r="AP48" s="22"/>
      <c r="AQ48" s="22"/>
      <c r="AR48" s="22"/>
      <c r="AS48" s="22"/>
      <c r="AT48" s="22"/>
      <c r="AU48" s="22"/>
      <c r="AV48" s="22"/>
      <c r="AW48" s="22"/>
      <c r="AX48" s="22"/>
      <c r="AY48" s="22"/>
      <c r="AZ48" s="22"/>
      <c r="BA48" s="5"/>
    </row>
    <row r="49" spans="1:53" ht="15" thickBot="1" x14ac:dyDescent="0.4">
      <c r="A49" s="16" t="s">
        <v>535</v>
      </c>
      <c r="B49" s="16" t="s">
        <v>535</v>
      </c>
      <c r="C49" s="16" t="s">
        <v>535</v>
      </c>
      <c r="D49" s="16" t="s">
        <v>535</v>
      </c>
      <c r="E49" s="16" t="s">
        <v>535</v>
      </c>
      <c r="F49" s="16" t="s">
        <v>243</v>
      </c>
      <c r="G49" s="16" t="s">
        <v>243</v>
      </c>
      <c r="H49" s="16" t="s">
        <v>535</v>
      </c>
      <c r="I49" s="16" t="s">
        <v>535</v>
      </c>
      <c r="J49" s="5" t="s">
        <v>529</v>
      </c>
      <c r="K49" s="5" t="s">
        <v>639</v>
      </c>
      <c r="L49" s="5" t="s">
        <v>581</v>
      </c>
      <c r="M49" s="5" t="s">
        <v>618</v>
      </c>
      <c r="N49" s="5" t="s">
        <v>629</v>
      </c>
      <c r="O49" s="5">
        <v>1.609</v>
      </c>
      <c r="P49" s="45"/>
      <c r="Q49" s="45"/>
      <c r="R49" s="179">
        <v>0.20729</v>
      </c>
      <c r="S49" s="45"/>
      <c r="T49" s="179">
        <v>5.0700000000000002E-2</v>
      </c>
      <c r="U49" s="45"/>
      <c r="V49" s="53">
        <f t="shared" si="0"/>
        <v>0.25799</v>
      </c>
      <c r="W49" s="22"/>
      <c r="X49" s="22"/>
      <c r="Y49" s="22"/>
      <c r="Z49" s="22"/>
      <c r="AA49" s="22"/>
      <c r="AB49" s="22"/>
      <c r="AC49" s="22"/>
      <c r="AD49" s="22"/>
      <c r="AE49" s="22"/>
      <c r="AF49" s="22"/>
      <c r="AG49" s="22"/>
      <c r="AH49" s="22"/>
      <c r="AI49" s="22"/>
      <c r="AJ49" s="22"/>
      <c r="AK49" s="22"/>
      <c r="AL49" s="22"/>
      <c r="AM49" s="22"/>
      <c r="AN49" s="22" t="s">
        <v>243</v>
      </c>
      <c r="AO49" s="22" t="s">
        <v>243</v>
      </c>
      <c r="AP49" s="22"/>
      <c r="AQ49" s="22"/>
      <c r="AR49" s="22"/>
      <c r="AS49" s="22"/>
      <c r="AT49" s="22"/>
      <c r="AU49" s="22"/>
      <c r="AV49" s="22"/>
      <c r="AW49" s="22"/>
      <c r="AX49" s="22"/>
      <c r="AY49" s="22"/>
      <c r="AZ49" s="22"/>
      <c r="BA49" s="5"/>
    </row>
    <row r="50" spans="1:53" ht="15" thickBot="1" x14ac:dyDescent="0.4">
      <c r="A50" s="16" t="s">
        <v>535</v>
      </c>
      <c r="B50" s="16" t="s">
        <v>535</v>
      </c>
      <c r="C50" s="16" t="s">
        <v>535</v>
      </c>
      <c r="D50" s="16" t="s">
        <v>535</v>
      </c>
      <c r="E50" s="16" t="s">
        <v>535</v>
      </c>
      <c r="F50" s="16" t="s">
        <v>243</v>
      </c>
      <c r="G50" s="16" t="s">
        <v>243</v>
      </c>
      <c r="H50" s="16" t="s">
        <v>535</v>
      </c>
      <c r="I50" s="16" t="s">
        <v>535</v>
      </c>
      <c r="J50" s="5" t="s">
        <v>529</v>
      </c>
      <c r="K50" s="5" t="s">
        <v>620</v>
      </c>
      <c r="L50" s="5" t="s">
        <v>581</v>
      </c>
      <c r="M50" s="5" t="s">
        <v>618</v>
      </c>
      <c r="N50" s="5" t="s">
        <v>629</v>
      </c>
      <c r="O50" s="5">
        <v>1.609</v>
      </c>
      <c r="P50" s="45"/>
      <c r="Q50" s="45"/>
      <c r="R50" s="179">
        <v>0.16983999999999999</v>
      </c>
      <c r="S50" s="45"/>
      <c r="T50" s="179">
        <v>4.1459999999999997E-2</v>
      </c>
      <c r="U50" s="45"/>
      <c r="V50" s="53">
        <f t="shared" si="0"/>
        <v>0.21129999999999999</v>
      </c>
      <c r="W50" s="22"/>
      <c r="X50" s="22"/>
      <c r="Y50" s="22"/>
      <c r="Z50" s="22"/>
      <c r="AA50" s="22"/>
      <c r="AB50" s="22"/>
      <c r="AC50" s="22"/>
      <c r="AD50" s="22"/>
      <c r="AE50" s="22"/>
      <c r="AF50" s="22"/>
      <c r="AG50" s="22"/>
      <c r="AH50" s="22"/>
      <c r="AI50" s="22"/>
      <c r="AJ50" s="22"/>
      <c r="AK50" s="22"/>
      <c r="AL50" s="22"/>
      <c r="AM50" s="22"/>
      <c r="AN50" s="22" t="s">
        <v>243</v>
      </c>
      <c r="AO50" s="22" t="s">
        <v>243</v>
      </c>
      <c r="AP50" s="22"/>
      <c r="AQ50" s="22"/>
      <c r="AR50" s="22"/>
      <c r="AS50" s="22"/>
      <c r="AT50" s="22"/>
      <c r="AU50" s="22"/>
      <c r="AV50" s="22"/>
      <c r="AW50" s="22"/>
      <c r="AX50" s="22"/>
      <c r="AY50" s="22"/>
      <c r="AZ50" s="22"/>
      <c r="BA50" s="5"/>
    </row>
    <row r="51" spans="1:53" ht="15" thickBot="1" x14ac:dyDescent="0.4">
      <c r="A51" s="16" t="s">
        <v>535</v>
      </c>
      <c r="B51" s="16" t="s">
        <v>535</v>
      </c>
      <c r="C51" s="16" t="s">
        <v>535</v>
      </c>
      <c r="D51" s="16" t="s">
        <v>535</v>
      </c>
      <c r="E51" s="16" t="s">
        <v>535</v>
      </c>
      <c r="F51" s="16" t="s">
        <v>243</v>
      </c>
      <c r="G51" s="16" t="s">
        <v>243</v>
      </c>
      <c r="H51" s="16" t="s">
        <v>535</v>
      </c>
      <c r="I51" s="16" t="s">
        <v>535</v>
      </c>
      <c r="J51" s="5" t="s">
        <v>529</v>
      </c>
      <c r="K51" s="5" t="s">
        <v>619</v>
      </c>
      <c r="L51" s="5" t="s">
        <v>590</v>
      </c>
      <c r="M51" s="5" t="s">
        <v>618</v>
      </c>
      <c r="N51" s="5" t="s">
        <v>629</v>
      </c>
      <c r="O51" s="5">
        <v>1.609</v>
      </c>
      <c r="P51" s="45"/>
      <c r="Q51" s="45"/>
      <c r="R51" s="179">
        <v>0.14369999999999999</v>
      </c>
      <c r="S51" s="45"/>
      <c r="T51" s="179">
        <v>4.0149999999999998E-2</v>
      </c>
      <c r="U51" s="45"/>
      <c r="V51" s="53">
        <f t="shared" si="0"/>
        <v>0.18384999999999999</v>
      </c>
      <c r="W51" s="22"/>
      <c r="X51" s="22"/>
      <c r="Y51" s="22"/>
      <c r="Z51" s="22"/>
      <c r="AA51" s="22"/>
      <c r="AB51" s="22"/>
      <c r="AC51" s="22"/>
      <c r="AD51" s="22"/>
      <c r="AE51" s="22"/>
      <c r="AF51" s="22"/>
      <c r="AG51" s="22"/>
      <c r="AH51" s="22"/>
      <c r="AI51" s="22"/>
      <c r="AJ51" s="22"/>
      <c r="AK51" s="22"/>
      <c r="AL51" s="22"/>
      <c r="AM51" s="22"/>
      <c r="AN51" s="22" t="s">
        <v>243</v>
      </c>
      <c r="AO51" s="22" t="s">
        <v>243</v>
      </c>
      <c r="AP51" s="22"/>
      <c r="AQ51" s="22"/>
      <c r="AR51" s="22"/>
      <c r="AS51" s="22"/>
      <c r="AT51" s="22"/>
      <c r="AU51" s="22"/>
      <c r="AV51" s="22"/>
      <c r="AW51" s="22"/>
      <c r="AX51" s="22"/>
      <c r="AY51" s="22"/>
      <c r="AZ51" s="22"/>
      <c r="BA51" s="5"/>
    </row>
    <row r="52" spans="1:53" ht="15" thickBot="1" x14ac:dyDescent="0.4">
      <c r="A52" s="16" t="s">
        <v>535</v>
      </c>
      <c r="B52" s="16" t="s">
        <v>535</v>
      </c>
      <c r="C52" s="16" t="s">
        <v>535</v>
      </c>
      <c r="D52" s="16" t="s">
        <v>535</v>
      </c>
      <c r="E52" s="16" t="s">
        <v>535</v>
      </c>
      <c r="F52" s="16" t="s">
        <v>243</v>
      </c>
      <c r="G52" s="16" t="s">
        <v>243</v>
      </c>
      <c r="H52" s="16" t="s">
        <v>535</v>
      </c>
      <c r="I52" s="16" t="s">
        <v>535</v>
      </c>
      <c r="J52" s="5" t="s">
        <v>529</v>
      </c>
      <c r="K52" s="5" t="s">
        <v>630</v>
      </c>
      <c r="L52" s="5" t="s">
        <v>590</v>
      </c>
      <c r="M52" s="5" t="s">
        <v>618</v>
      </c>
      <c r="N52" s="5" t="s">
        <v>629</v>
      </c>
      <c r="O52" s="5">
        <v>1.609</v>
      </c>
      <c r="P52" s="45"/>
      <c r="Q52" s="45"/>
      <c r="R52" s="179">
        <v>0.17726</v>
      </c>
      <c r="S52" s="45"/>
      <c r="T52" s="179">
        <v>4.9570000000000003E-2</v>
      </c>
      <c r="U52" s="45"/>
      <c r="V52" s="53">
        <f t="shared" si="0"/>
        <v>0.22683</v>
      </c>
      <c r="W52" s="22"/>
      <c r="X52" s="22"/>
      <c r="Y52" s="22"/>
      <c r="Z52" s="22"/>
      <c r="AA52" s="22"/>
      <c r="AB52" s="22"/>
      <c r="AC52" s="22"/>
      <c r="AD52" s="22"/>
      <c r="AE52" s="22"/>
      <c r="AF52" s="22"/>
      <c r="AG52" s="22"/>
      <c r="AH52" s="22"/>
      <c r="AI52" s="22"/>
      <c r="AJ52" s="22"/>
      <c r="AK52" s="22"/>
      <c r="AL52" s="22"/>
      <c r="AM52" s="22"/>
      <c r="AN52" s="22" t="s">
        <v>243</v>
      </c>
      <c r="AO52" s="22" t="s">
        <v>243</v>
      </c>
      <c r="AP52" s="22"/>
      <c r="AQ52" s="22"/>
      <c r="AR52" s="22"/>
      <c r="AS52" s="22"/>
      <c r="AT52" s="22"/>
      <c r="AU52" s="22"/>
      <c r="AV52" s="22"/>
      <c r="AW52" s="22"/>
      <c r="AX52" s="22"/>
      <c r="AY52" s="22"/>
      <c r="AZ52" s="22"/>
      <c r="BA52" s="5"/>
    </row>
    <row r="53" spans="1:53" ht="15" thickBot="1" x14ac:dyDescent="0.4">
      <c r="A53" s="16" t="s">
        <v>535</v>
      </c>
      <c r="B53" s="16" t="s">
        <v>535</v>
      </c>
      <c r="C53" s="16" t="s">
        <v>535</v>
      </c>
      <c r="D53" s="16" t="s">
        <v>535</v>
      </c>
      <c r="E53" s="16" t="s">
        <v>535</v>
      </c>
      <c r="F53" s="16" t="s">
        <v>243</v>
      </c>
      <c r="G53" s="16" t="s">
        <v>243</v>
      </c>
      <c r="H53" s="16" t="s">
        <v>535</v>
      </c>
      <c r="I53" s="16" t="s">
        <v>535</v>
      </c>
      <c r="J53" s="5" t="s">
        <v>529</v>
      </c>
      <c r="K53" s="5" t="s">
        <v>639</v>
      </c>
      <c r="L53" s="5" t="s">
        <v>590</v>
      </c>
      <c r="M53" s="5" t="s">
        <v>618</v>
      </c>
      <c r="N53" s="5" t="s">
        <v>629</v>
      </c>
      <c r="O53" s="5">
        <v>1.609</v>
      </c>
      <c r="P53" s="45"/>
      <c r="Q53" s="45"/>
      <c r="R53" s="179">
        <v>0.26884999999999998</v>
      </c>
      <c r="S53" s="45"/>
      <c r="T53" s="179">
        <v>7.528E-2</v>
      </c>
      <c r="U53" s="45"/>
      <c r="V53" s="53">
        <f t="shared" si="0"/>
        <v>0.34412999999999999</v>
      </c>
      <c r="W53" s="22"/>
      <c r="X53" s="22"/>
      <c r="Y53" s="22"/>
      <c r="Z53" s="22"/>
      <c r="AA53" s="22"/>
      <c r="AB53" s="22"/>
      <c r="AC53" s="22"/>
      <c r="AD53" s="22"/>
      <c r="AE53" s="22"/>
      <c r="AF53" s="22"/>
      <c r="AG53" s="22"/>
      <c r="AH53" s="22"/>
      <c r="AI53" s="22"/>
      <c r="AJ53" s="22"/>
      <c r="AK53" s="22"/>
      <c r="AL53" s="22"/>
      <c r="AM53" s="22"/>
      <c r="AN53" s="22" t="s">
        <v>243</v>
      </c>
      <c r="AO53" s="22" t="s">
        <v>243</v>
      </c>
      <c r="AP53" s="22"/>
      <c r="AQ53" s="22"/>
      <c r="AR53" s="22"/>
      <c r="AS53" s="22"/>
      <c r="AT53" s="22"/>
      <c r="AU53" s="22"/>
      <c r="AV53" s="22"/>
      <c r="AW53" s="22"/>
      <c r="AX53" s="22"/>
      <c r="AY53" s="22"/>
      <c r="AZ53" s="22"/>
      <c r="BA53" s="5"/>
    </row>
    <row r="54" spans="1:53" ht="15" thickBot="1" x14ac:dyDescent="0.4">
      <c r="A54" s="16" t="s">
        <v>535</v>
      </c>
      <c r="B54" s="16" t="s">
        <v>535</v>
      </c>
      <c r="C54" s="16" t="s">
        <v>535</v>
      </c>
      <c r="D54" s="16" t="s">
        <v>535</v>
      </c>
      <c r="E54" s="16" t="s">
        <v>535</v>
      </c>
      <c r="F54" s="16" t="s">
        <v>243</v>
      </c>
      <c r="G54" s="16" t="s">
        <v>243</v>
      </c>
      <c r="H54" s="16" t="s">
        <v>535</v>
      </c>
      <c r="I54" s="16" t="s">
        <v>535</v>
      </c>
      <c r="J54" s="5" t="s">
        <v>529</v>
      </c>
      <c r="K54" s="5" t="s">
        <v>620</v>
      </c>
      <c r="L54" s="5" t="s">
        <v>590</v>
      </c>
      <c r="M54" s="5" t="s">
        <v>618</v>
      </c>
      <c r="N54" s="5" t="s">
        <v>629</v>
      </c>
      <c r="O54" s="5">
        <v>1.609</v>
      </c>
      <c r="P54" s="45"/>
      <c r="Q54" s="45"/>
      <c r="R54" s="179">
        <v>0.16450000000000001</v>
      </c>
      <c r="S54" s="45"/>
      <c r="T54" s="179">
        <v>4.5990000000000003E-2</v>
      </c>
      <c r="U54" s="45"/>
      <c r="V54" s="53">
        <f t="shared" si="0"/>
        <v>0.21049000000000001</v>
      </c>
      <c r="W54" s="22"/>
      <c r="X54" s="22"/>
      <c r="Y54" s="22"/>
      <c r="Z54" s="22"/>
      <c r="AA54" s="22"/>
      <c r="AB54" s="22"/>
      <c r="AC54" s="22"/>
      <c r="AD54" s="22"/>
      <c r="AE54" s="22"/>
      <c r="AF54" s="22"/>
      <c r="AG54" s="22"/>
      <c r="AH54" s="22"/>
      <c r="AI54" s="22"/>
      <c r="AJ54" s="22"/>
      <c r="AK54" s="22"/>
      <c r="AL54" s="22"/>
      <c r="AM54" s="22"/>
      <c r="AN54" s="22" t="s">
        <v>243</v>
      </c>
      <c r="AO54" s="22" t="s">
        <v>243</v>
      </c>
      <c r="AP54" s="22"/>
      <c r="AQ54" s="22"/>
      <c r="AR54" s="22"/>
      <c r="AS54" s="22"/>
      <c r="AT54" s="22"/>
      <c r="AU54" s="22"/>
      <c r="AV54" s="22"/>
      <c r="AW54" s="22"/>
      <c r="AX54" s="22"/>
      <c r="AY54" s="22"/>
      <c r="AZ54" s="22"/>
      <c r="BA54" s="5"/>
    </row>
    <row r="55" spans="1:53" ht="15" thickBot="1" x14ac:dyDescent="0.4">
      <c r="A55" s="16" t="s">
        <v>535</v>
      </c>
      <c r="B55" s="16" t="s">
        <v>535</v>
      </c>
      <c r="C55" s="16" t="s">
        <v>535</v>
      </c>
      <c r="D55" s="16" t="s">
        <v>535</v>
      </c>
      <c r="E55" s="16" t="s">
        <v>535</v>
      </c>
      <c r="F55" s="16" t="s">
        <v>243</v>
      </c>
      <c r="G55" s="16" t="s">
        <v>243</v>
      </c>
      <c r="H55" s="16" t="s">
        <v>535</v>
      </c>
      <c r="I55" s="16" t="s">
        <v>535</v>
      </c>
      <c r="J55" s="5" t="s">
        <v>529</v>
      </c>
      <c r="K55" s="5" t="s">
        <v>619</v>
      </c>
      <c r="L55" s="5" t="s">
        <v>640</v>
      </c>
      <c r="M55" s="5" t="s">
        <v>618</v>
      </c>
      <c r="N55" s="5" t="s">
        <v>629</v>
      </c>
      <c r="O55" s="5">
        <v>1.609</v>
      </c>
      <c r="P55" s="45"/>
      <c r="Q55" s="45"/>
      <c r="R55" s="179">
        <v>0.11274000000000001</v>
      </c>
      <c r="S55" s="45"/>
      <c r="T55" s="179">
        <v>3.0259999999999999E-2</v>
      </c>
      <c r="U55" s="45"/>
      <c r="V55" s="53">
        <f t="shared" si="0"/>
        <v>0.14300000000000002</v>
      </c>
      <c r="W55" s="22"/>
      <c r="X55" s="22"/>
      <c r="Y55" s="22"/>
      <c r="Z55" s="22"/>
      <c r="AA55" s="22"/>
      <c r="AB55" s="22"/>
      <c r="AC55" s="22"/>
      <c r="AD55" s="22"/>
      <c r="AE55" s="22"/>
      <c r="AF55" s="22"/>
      <c r="AG55" s="22"/>
      <c r="AH55" s="22"/>
      <c r="AI55" s="22"/>
      <c r="AJ55" s="22"/>
      <c r="AK55" s="22"/>
      <c r="AL55" s="22"/>
      <c r="AM55" s="22"/>
      <c r="AN55" s="22" t="s">
        <v>243</v>
      </c>
      <c r="AO55" s="22" t="s">
        <v>243</v>
      </c>
      <c r="AP55" s="22"/>
      <c r="AQ55" s="22"/>
      <c r="AR55" s="22"/>
      <c r="AS55" s="22"/>
      <c r="AT55" s="22"/>
      <c r="AU55" s="22"/>
      <c r="AV55" s="22"/>
      <c r="AW55" s="22"/>
      <c r="AX55" s="22"/>
      <c r="AY55" s="22"/>
      <c r="AZ55" s="22"/>
      <c r="BA55" s="5"/>
    </row>
    <row r="56" spans="1:53" ht="15" thickBot="1" x14ac:dyDescent="0.4">
      <c r="A56" s="16" t="s">
        <v>535</v>
      </c>
      <c r="B56" s="16" t="s">
        <v>535</v>
      </c>
      <c r="C56" s="16" t="s">
        <v>535</v>
      </c>
      <c r="D56" s="16" t="s">
        <v>535</v>
      </c>
      <c r="E56" s="16" t="s">
        <v>535</v>
      </c>
      <c r="F56" s="16" t="s">
        <v>243</v>
      </c>
      <c r="G56" s="16" t="s">
        <v>243</v>
      </c>
      <c r="H56" s="16" t="s">
        <v>535</v>
      </c>
      <c r="I56" s="16" t="s">
        <v>535</v>
      </c>
      <c r="J56" s="5" t="s">
        <v>529</v>
      </c>
      <c r="K56" s="5" t="s">
        <v>630</v>
      </c>
      <c r="L56" s="5" t="s">
        <v>640</v>
      </c>
      <c r="M56" s="5" t="s">
        <v>618</v>
      </c>
      <c r="N56" s="5" t="s">
        <v>629</v>
      </c>
      <c r="O56" s="5">
        <v>1.609</v>
      </c>
      <c r="P56" s="45"/>
      <c r="Q56" s="45"/>
      <c r="R56" s="179">
        <v>0.1149</v>
      </c>
      <c r="S56" s="45"/>
      <c r="T56" s="179">
        <v>2.998E-2</v>
      </c>
      <c r="U56" s="45"/>
      <c r="V56" s="53">
        <f t="shared" si="0"/>
        <v>0.14488000000000001</v>
      </c>
      <c r="W56" s="22"/>
      <c r="X56" s="22"/>
      <c r="Y56" s="22"/>
      <c r="Z56" s="22"/>
      <c r="AA56" s="22"/>
      <c r="AB56" s="22"/>
      <c r="AC56" s="22"/>
      <c r="AD56" s="22"/>
      <c r="AE56" s="22"/>
      <c r="AF56" s="22"/>
      <c r="AG56" s="22"/>
      <c r="AH56" s="22"/>
      <c r="AI56" s="22"/>
      <c r="AJ56" s="22"/>
      <c r="AK56" s="22"/>
      <c r="AL56" s="22"/>
      <c r="AM56" s="22"/>
      <c r="AN56" s="22" t="s">
        <v>243</v>
      </c>
      <c r="AO56" s="22" t="s">
        <v>243</v>
      </c>
      <c r="AP56" s="22"/>
      <c r="AQ56" s="22"/>
      <c r="AR56" s="22"/>
      <c r="AS56" s="22"/>
      <c r="AT56" s="22"/>
      <c r="AU56" s="22"/>
      <c r="AV56" s="22"/>
      <c r="AW56" s="22"/>
      <c r="AX56" s="22"/>
      <c r="AY56" s="22"/>
      <c r="AZ56" s="22"/>
      <c r="BA56" s="5"/>
    </row>
    <row r="57" spans="1:53" ht="15" thickBot="1" x14ac:dyDescent="0.4">
      <c r="A57" s="16" t="s">
        <v>535</v>
      </c>
      <c r="B57" s="16" t="s">
        <v>535</v>
      </c>
      <c r="C57" s="16" t="s">
        <v>535</v>
      </c>
      <c r="D57" s="16" t="s">
        <v>535</v>
      </c>
      <c r="E57" s="16" t="s">
        <v>535</v>
      </c>
      <c r="F57" s="16" t="s">
        <v>243</v>
      </c>
      <c r="G57" s="16" t="s">
        <v>243</v>
      </c>
      <c r="H57" s="16" t="s">
        <v>535</v>
      </c>
      <c r="I57" s="16" t="s">
        <v>535</v>
      </c>
      <c r="J57" s="5" t="s">
        <v>529</v>
      </c>
      <c r="K57" s="5" t="s">
        <v>639</v>
      </c>
      <c r="L57" s="5" t="s">
        <v>640</v>
      </c>
      <c r="M57" s="5" t="s">
        <v>618</v>
      </c>
      <c r="N57" s="5" t="s">
        <v>629</v>
      </c>
      <c r="O57" s="5">
        <v>1.609</v>
      </c>
      <c r="P57" s="45"/>
      <c r="Q57" s="45"/>
      <c r="R57" s="179">
        <v>0.15486</v>
      </c>
      <c r="S57" s="45"/>
      <c r="T57" s="179">
        <v>3.9609999999999999E-2</v>
      </c>
      <c r="U57" s="45"/>
      <c r="V57" s="53">
        <f t="shared" si="0"/>
        <v>0.19447</v>
      </c>
      <c r="W57" s="22"/>
      <c r="X57" s="22"/>
      <c r="Y57" s="22"/>
      <c r="Z57" s="22"/>
      <c r="AA57" s="22"/>
      <c r="AB57" s="22"/>
      <c r="AC57" s="22"/>
      <c r="AD57" s="22"/>
      <c r="AE57" s="22"/>
      <c r="AF57" s="22"/>
      <c r="AG57" s="22"/>
      <c r="AH57" s="22"/>
      <c r="AI57" s="22"/>
      <c r="AJ57" s="22"/>
      <c r="AK57" s="22"/>
      <c r="AL57" s="22"/>
      <c r="AM57" s="22"/>
      <c r="AN57" s="22" t="s">
        <v>243</v>
      </c>
      <c r="AO57" s="22" t="s">
        <v>243</v>
      </c>
      <c r="AP57" s="22"/>
      <c r="AQ57" s="22"/>
      <c r="AR57" s="22"/>
      <c r="AS57" s="22"/>
      <c r="AT57" s="22"/>
      <c r="AU57" s="22"/>
      <c r="AV57" s="22"/>
      <c r="AW57" s="22"/>
      <c r="AX57" s="22"/>
      <c r="AY57" s="22"/>
      <c r="AZ57" s="22"/>
      <c r="BA57" s="5"/>
    </row>
    <row r="58" spans="1:53" ht="15" thickBot="1" x14ac:dyDescent="0.4">
      <c r="A58" s="16" t="s">
        <v>535</v>
      </c>
      <c r="B58" s="16" t="s">
        <v>535</v>
      </c>
      <c r="C58" s="16" t="s">
        <v>535</v>
      </c>
      <c r="D58" s="16" t="s">
        <v>535</v>
      </c>
      <c r="E58" s="16" t="s">
        <v>535</v>
      </c>
      <c r="F58" s="16" t="s">
        <v>243</v>
      </c>
      <c r="G58" s="16" t="s">
        <v>243</v>
      </c>
      <c r="H58" s="16" t="s">
        <v>535</v>
      </c>
      <c r="I58" s="16" t="s">
        <v>535</v>
      </c>
      <c r="J58" s="5" t="s">
        <v>529</v>
      </c>
      <c r="K58" s="5" t="s">
        <v>620</v>
      </c>
      <c r="L58" s="5" t="s">
        <v>640</v>
      </c>
      <c r="M58" s="5" t="s">
        <v>618</v>
      </c>
      <c r="N58" s="5" t="s">
        <v>629</v>
      </c>
      <c r="O58" s="5">
        <v>1.609</v>
      </c>
      <c r="P58" s="45"/>
      <c r="Q58" s="45"/>
      <c r="R58" s="179">
        <v>0.12606999999999999</v>
      </c>
      <c r="S58" s="45"/>
      <c r="T58" s="179">
        <v>3.3149999999999999E-2</v>
      </c>
      <c r="U58" s="45"/>
      <c r="V58" s="53">
        <f t="shared" si="0"/>
        <v>0.15921999999999997</v>
      </c>
      <c r="W58" s="22"/>
      <c r="X58" s="22"/>
      <c r="Y58" s="22"/>
      <c r="Z58" s="22"/>
      <c r="AA58" s="22"/>
      <c r="AB58" s="22"/>
      <c r="AC58" s="22"/>
      <c r="AD58" s="22"/>
      <c r="AE58" s="22"/>
      <c r="AF58" s="22"/>
      <c r="AG58" s="22"/>
      <c r="AH58" s="22"/>
      <c r="AI58" s="22"/>
      <c r="AJ58" s="22"/>
      <c r="AK58" s="22"/>
      <c r="AL58" s="22"/>
      <c r="AM58" s="22"/>
      <c r="AN58" s="22" t="s">
        <v>243</v>
      </c>
      <c r="AO58" s="22" t="s">
        <v>243</v>
      </c>
      <c r="AP58" s="22"/>
      <c r="AQ58" s="22"/>
      <c r="AR58" s="22"/>
      <c r="AS58" s="22"/>
      <c r="AT58" s="22"/>
      <c r="AU58" s="22"/>
      <c r="AV58" s="22"/>
      <c r="AW58" s="22"/>
      <c r="AX58" s="22"/>
      <c r="AY58" s="22"/>
      <c r="AZ58" s="22"/>
      <c r="BA58" s="5"/>
    </row>
    <row r="59" spans="1:53" ht="26.5" thickBot="1" x14ac:dyDescent="0.4">
      <c r="A59" s="16" t="s">
        <v>535</v>
      </c>
      <c r="B59" s="16" t="s">
        <v>535</v>
      </c>
      <c r="C59" s="16" t="s">
        <v>535</v>
      </c>
      <c r="D59" s="16" t="s">
        <v>535</v>
      </c>
      <c r="E59" s="16" t="s">
        <v>535</v>
      </c>
      <c r="F59" s="16" t="s">
        <v>243</v>
      </c>
      <c r="G59" s="16" t="s">
        <v>243</v>
      </c>
      <c r="H59" s="16" t="s">
        <v>535</v>
      </c>
      <c r="I59" s="16" t="s">
        <v>535</v>
      </c>
      <c r="J59" s="5" t="s">
        <v>529</v>
      </c>
      <c r="K59" s="5" t="s">
        <v>619</v>
      </c>
      <c r="L59" s="5" t="s">
        <v>646</v>
      </c>
      <c r="M59" s="5" t="s">
        <v>618</v>
      </c>
      <c r="N59" s="5" t="s">
        <v>629</v>
      </c>
      <c r="O59" s="5">
        <v>1.609</v>
      </c>
      <c r="P59" s="45"/>
      <c r="Q59" s="45"/>
      <c r="R59" s="179">
        <v>5.8290000000000002E-2</v>
      </c>
      <c r="S59" s="179">
        <v>2.49E-3</v>
      </c>
      <c r="T59" s="179">
        <v>1.52E-2</v>
      </c>
      <c r="U59" s="45"/>
      <c r="V59" s="53">
        <f t="shared" si="0"/>
        <v>7.5980000000000006E-2</v>
      </c>
      <c r="W59" s="22"/>
      <c r="X59" s="22"/>
      <c r="Y59" s="22"/>
      <c r="Z59" s="22"/>
      <c r="AA59" s="22"/>
      <c r="AB59" s="22"/>
      <c r="AC59" s="22"/>
      <c r="AD59" s="22"/>
      <c r="AE59" s="22"/>
      <c r="AF59" s="22"/>
      <c r="AG59" s="22"/>
      <c r="AH59" s="22"/>
      <c r="AI59" s="22"/>
      <c r="AJ59" s="22"/>
      <c r="AK59" s="22"/>
      <c r="AL59" s="22"/>
      <c r="AM59" s="22"/>
      <c r="AN59" s="22" t="s">
        <v>243</v>
      </c>
      <c r="AO59" s="22" t="s">
        <v>243</v>
      </c>
      <c r="AP59" s="22"/>
      <c r="AQ59" s="22"/>
      <c r="AR59" s="22"/>
      <c r="AS59" s="22"/>
      <c r="AT59" s="22"/>
      <c r="AU59" s="22"/>
      <c r="AV59" s="22"/>
      <c r="AW59" s="22"/>
      <c r="AX59" s="22"/>
      <c r="AY59" s="22"/>
      <c r="AZ59" s="22"/>
      <c r="BA59" s="5"/>
    </row>
    <row r="60" spans="1:53" ht="26.5" thickBot="1" x14ac:dyDescent="0.4">
      <c r="A60" s="16" t="s">
        <v>535</v>
      </c>
      <c r="B60" s="16" t="s">
        <v>535</v>
      </c>
      <c r="C60" s="16" t="s">
        <v>535</v>
      </c>
      <c r="D60" s="16" t="s">
        <v>535</v>
      </c>
      <c r="E60" s="16" t="s">
        <v>535</v>
      </c>
      <c r="F60" s="16" t="s">
        <v>243</v>
      </c>
      <c r="G60" s="16" t="s">
        <v>243</v>
      </c>
      <c r="H60" s="16" t="s">
        <v>535</v>
      </c>
      <c r="I60" s="16" t="s">
        <v>535</v>
      </c>
      <c r="J60" s="5" t="s">
        <v>529</v>
      </c>
      <c r="K60" s="5" t="s">
        <v>630</v>
      </c>
      <c r="L60" s="5" t="s">
        <v>646</v>
      </c>
      <c r="M60" s="5" t="s">
        <v>618</v>
      </c>
      <c r="N60" s="5" t="s">
        <v>629</v>
      </c>
      <c r="O60" s="5">
        <v>1.609</v>
      </c>
      <c r="P60" s="45"/>
      <c r="Q60" s="45"/>
      <c r="R60" s="179">
        <v>9.2149999999999996E-2</v>
      </c>
      <c r="S60" s="179">
        <v>9.7000000000000005E-4</v>
      </c>
      <c r="T60" s="179">
        <v>2.5239999999999999E-2</v>
      </c>
      <c r="U60" s="45"/>
      <c r="V60" s="53">
        <f t="shared" si="0"/>
        <v>0.11835999999999999</v>
      </c>
      <c r="W60" s="22"/>
      <c r="X60" s="22"/>
      <c r="Y60" s="22"/>
      <c r="Z60" s="22"/>
      <c r="AA60" s="22"/>
      <c r="AB60" s="22"/>
      <c r="AC60" s="22"/>
      <c r="AD60" s="22"/>
      <c r="AE60" s="22"/>
      <c r="AF60" s="22"/>
      <c r="AG60" s="22"/>
      <c r="AH60" s="22"/>
      <c r="AI60" s="22"/>
      <c r="AJ60" s="22"/>
      <c r="AK60" s="22"/>
      <c r="AL60" s="22"/>
      <c r="AM60" s="22"/>
      <c r="AN60" s="22" t="s">
        <v>243</v>
      </c>
      <c r="AO60" s="22" t="s">
        <v>243</v>
      </c>
      <c r="AP60" s="22"/>
      <c r="AQ60" s="22"/>
      <c r="AR60" s="22"/>
      <c r="AS60" s="22"/>
      <c r="AT60" s="22"/>
      <c r="AU60" s="22"/>
      <c r="AV60" s="22"/>
      <c r="AW60" s="22"/>
      <c r="AX60" s="22"/>
      <c r="AY60" s="22"/>
      <c r="AZ60" s="22"/>
      <c r="BA60" s="5"/>
    </row>
    <row r="61" spans="1:53" ht="26.5" thickBot="1" x14ac:dyDescent="0.4">
      <c r="A61" s="16" t="s">
        <v>535</v>
      </c>
      <c r="B61" s="16" t="s">
        <v>535</v>
      </c>
      <c r="C61" s="16" t="s">
        <v>535</v>
      </c>
      <c r="D61" s="16" t="s">
        <v>535</v>
      </c>
      <c r="E61" s="16" t="s">
        <v>535</v>
      </c>
      <c r="F61" s="16" t="s">
        <v>243</v>
      </c>
      <c r="G61" s="16" t="s">
        <v>243</v>
      </c>
      <c r="H61" s="16" t="s">
        <v>535</v>
      </c>
      <c r="I61" s="16" t="s">
        <v>535</v>
      </c>
      <c r="J61" s="5" t="s">
        <v>529</v>
      </c>
      <c r="K61" s="5" t="s">
        <v>639</v>
      </c>
      <c r="L61" s="5" t="s">
        <v>646</v>
      </c>
      <c r="M61" s="5" t="s">
        <v>618</v>
      </c>
      <c r="N61" s="5" t="s">
        <v>629</v>
      </c>
      <c r="O61" s="5">
        <v>1.609</v>
      </c>
      <c r="P61" s="45"/>
      <c r="Q61" s="45"/>
      <c r="R61" s="179">
        <v>0.11792</v>
      </c>
      <c r="S61" s="179">
        <v>1.31E-3</v>
      </c>
      <c r="T61" s="179">
        <v>3.2210000000000003E-2</v>
      </c>
      <c r="U61" s="45"/>
      <c r="V61" s="53">
        <f t="shared" si="0"/>
        <v>0.15144000000000002</v>
      </c>
      <c r="W61" s="22"/>
      <c r="X61" s="22"/>
      <c r="Y61" s="22"/>
      <c r="Z61" s="22"/>
      <c r="AA61" s="22"/>
      <c r="AB61" s="22"/>
      <c r="AC61" s="22"/>
      <c r="AD61" s="22"/>
      <c r="AE61" s="22"/>
      <c r="AF61" s="22"/>
      <c r="AG61" s="22"/>
      <c r="AH61" s="22"/>
      <c r="AI61" s="22"/>
      <c r="AJ61" s="22"/>
      <c r="AK61" s="22"/>
      <c r="AL61" s="22"/>
      <c r="AM61" s="22"/>
      <c r="AN61" s="22" t="s">
        <v>243</v>
      </c>
      <c r="AO61" s="22" t="s">
        <v>243</v>
      </c>
      <c r="AP61" s="22"/>
      <c r="AQ61" s="22"/>
      <c r="AR61" s="22"/>
      <c r="AS61" s="22"/>
      <c r="AT61" s="22"/>
      <c r="AU61" s="22"/>
      <c r="AV61" s="22"/>
      <c r="AW61" s="22"/>
      <c r="AX61" s="22"/>
      <c r="AY61" s="22"/>
      <c r="AZ61" s="22"/>
      <c r="BA61" s="5"/>
    </row>
    <row r="62" spans="1:53" ht="26.5" thickBot="1" x14ac:dyDescent="0.4">
      <c r="A62" s="16" t="s">
        <v>535</v>
      </c>
      <c r="B62" s="16" t="s">
        <v>535</v>
      </c>
      <c r="C62" s="16" t="s">
        <v>535</v>
      </c>
      <c r="D62" s="16" t="s">
        <v>535</v>
      </c>
      <c r="E62" s="16" t="s">
        <v>535</v>
      </c>
      <c r="F62" s="16" t="s">
        <v>243</v>
      </c>
      <c r="G62" s="16" t="s">
        <v>243</v>
      </c>
      <c r="H62" s="16" t="s">
        <v>535</v>
      </c>
      <c r="I62" s="16" t="s">
        <v>535</v>
      </c>
      <c r="J62" s="5" t="s">
        <v>529</v>
      </c>
      <c r="K62" s="5" t="s">
        <v>620</v>
      </c>
      <c r="L62" s="5" t="s">
        <v>646</v>
      </c>
      <c r="M62" s="5" t="s">
        <v>618</v>
      </c>
      <c r="N62" s="5" t="s">
        <v>629</v>
      </c>
      <c r="O62" s="5">
        <v>1.609</v>
      </c>
      <c r="P62" s="45"/>
      <c r="Q62" s="45"/>
      <c r="R62" s="179">
        <v>0.10732</v>
      </c>
      <c r="S62" s="179">
        <v>1.2099999999999999E-3</v>
      </c>
      <c r="T62" s="179">
        <v>2.9340000000000001E-2</v>
      </c>
      <c r="U62" s="45"/>
      <c r="V62" s="53">
        <f t="shared" si="0"/>
        <v>0.13786999999999999</v>
      </c>
      <c r="W62" s="22"/>
      <c r="X62" s="22"/>
      <c r="Y62" s="22"/>
      <c r="Z62" s="22"/>
      <c r="AA62" s="22"/>
      <c r="AB62" s="22"/>
      <c r="AC62" s="22"/>
      <c r="AD62" s="22"/>
      <c r="AE62" s="22"/>
      <c r="AF62" s="22"/>
      <c r="AG62" s="22"/>
      <c r="AH62" s="22"/>
      <c r="AI62" s="22"/>
      <c r="AJ62" s="22"/>
      <c r="AK62" s="22"/>
      <c r="AL62" s="22"/>
      <c r="AM62" s="22"/>
      <c r="AN62" s="22" t="s">
        <v>243</v>
      </c>
      <c r="AO62" s="22" t="s">
        <v>243</v>
      </c>
      <c r="AP62" s="22"/>
      <c r="AQ62" s="22"/>
      <c r="AR62" s="22"/>
      <c r="AS62" s="22"/>
      <c r="AT62" s="22"/>
      <c r="AU62" s="22"/>
      <c r="AV62" s="22"/>
      <c r="AW62" s="22"/>
      <c r="AX62" s="22"/>
      <c r="AY62" s="22"/>
      <c r="AZ62" s="22"/>
      <c r="BA62" s="5"/>
    </row>
    <row r="63" spans="1:53" ht="26.5" thickBot="1" x14ac:dyDescent="0.4">
      <c r="A63" s="16" t="s">
        <v>535</v>
      </c>
      <c r="B63" s="16" t="s">
        <v>535</v>
      </c>
      <c r="C63" s="16" t="s">
        <v>535</v>
      </c>
      <c r="D63" s="16" t="s">
        <v>535</v>
      </c>
      <c r="E63" s="16" t="s">
        <v>535</v>
      </c>
      <c r="F63" s="16" t="s">
        <v>243</v>
      </c>
      <c r="G63" s="16" t="s">
        <v>243</v>
      </c>
      <c r="H63" s="16" t="s">
        <v>535</v>
      </c>
      <c r="I63" s="16" t="s">
        <v>535</v>
      </c>
      <c r="J63" s="5" t="s">
        <v>529</v>
      </c>
      <c r="K63" s="5" t="s">
        <v>619</v>
      </c>
      <c r="L63" s="5" t="s">
        <v>647</v>
      </c>
      <c r="M63" s="5" t="s">
        <v>618</v>
      </c>
      <c r="N63" s="5" t="s">
        <v>629</v>
      </c>
      <c r="O63" s="5">
        <v>1.609</v>
      </c>
      <c r="P63" s="45"/>
      <c r="Q63" s="45"/>
      <c r="R63" s="179">
        <v>3.9370000000000002E-2</v>
      </c>
      <c r="S63" s="179">
        <v>3.47E-3</v>
      </c>
      <c r="T63" s="179">
        <v>9.4800000000000006E-3</v>
      </c>
      <c r="U63" s="45"/>
      <c r="V63" s="53">
        <f t="shared" si="0"/>
        <v>5.2320000000000005E-2</v>
      </c>
      <c r="W63" s="22"/>
      <c r="X63" s="22"/>
      <c r="Y63" s="22"/>
      <c r="Z63" s="22"/>
      <c r="AA63" s="22"/>
      <c r="AB63" s="22"/>
      <c r="AC63" s="22"/>
      <c r="AD63" s="22"/>
      <c r="AE63" s="22"/>
      <c r="AF63" s="22"/>
      <c r="AG63" s="22"/>
      <c r="AH63" s="22"/>
      <c r="AI63" s="22"/>
      <c r="AJ63" s="22"/>
      <c r="AK63" s="22"/>
      <c r="AL63" s="22"/>
      <c r="AM63" s="22"/>
      <c r="AN63" s="22" t="s">
        <v>243</v>
      </c>
      <c r="AO63" s="22" t="s">
        <v>243</v>
      </c>
      <c r="AP63" s="22"/>
      <c r="AQ63" s="22"/>
      <c r="AR63" s="22"/>
      <c r="AS63" s="22"/>
      <c r="AT63" s="22"/>
      <c r="AU63" s="22"/>
      <c r="AV63" s="22"/>
      <c r="AW63" s="22"/>
      <c r="AX63" s="22"/>
      <c r="AY63" s="22"/>
      <c r="AZ63" s="22"/>
      <c r="BA63" s="5"/>
    </row>
    <row r="64" spans="1:53" ht="26.5" thickBot="1" x14ac:dyDescent="0.4">
      <c r="A64" s="16" t="s">
        <v>535</v>
      </c>
      <c r="B64" s="16" t="s">
        <v>535</v>
      </c>
      <c r="C64" s="16" t="s">
        <v>535</v>
      </c>
      <c r="D64" s="16" t="s">
        <v>535</v>
      </c>
      <c r="E64" s="16" t="s">
        <v>535</v>
      </c>
      <c r="F64" s="16" t="s">
        <v>243</v>
      </c>
      <c r="G64" s="16" t="s">
        <v>243</v>
      </c>
      <c r="H64" s="16" t="s">
        <v>535</v>
      </c>
      <c r="I64" s="16" t="s">
        <v>535</v>
      </c>
      <c r="J64" s="5" t="s">
        <v>529</v>
      </c>
      <c r="K64" s="5" t="s">
        <v>630</v>
      </c>
      <c r="L64" s="5" t="s">
        <v>647</v>
      </c>
      <c r="M64" s="5" t="s">
        <v>618</v>
      </c>
      <c r="N64" s="5" t="s">
        <v>629</v>
      </c>
      <c r="O64" s="5">
        <v>1.609</v>
      </c>
      <c r="P64" s="45"/>
      <c r="Q64" s="45"/>
      <c r="R64" s="179">
        <v>4.249E-2</v>
      </c>
      <c r="S64" s="179">
        <v>3.7599999999999999E-3</v>
      </c>
      <c r="T64" s="179">
        <v>1.022E-2</v>
      </c>
      <c r="U64" s="45"/>
      <c r="V64" s="53">
        <f t="shared" si="0"/>
        <v>5.6469999999999999E-2</v>
      </c>
      <c r="W64" s="22"/>
      <c r="X64" s="22"/>
      <c r="Y64" s="22"/>
      <c r="Z64" s="22"/>
      <c r="AA64" s="22"/>
      <c r="AB64" s="22"/>
      <c r="AC64" s="22"/>
      <c r="AD64" s="22"/>
      <c r="AE64" s="22"/>
      <c r="AF64" s="22"/>
      <c r="AG64" s="22"/>
      <c r="AH64" s="22"/>
      <c r="AI64" s="22"/>
      <c r="AJ64" s="22"/>
      <c r="AK64" s="22"/>
      <c r="AL64" s="22"/>
      <c r="AM64" s="22"/>
      <c r="AN64" s="22" t="s">
        <v>243</v>
      </c>
      <c r="AO64" s="22" t="s">
        <v>243</v>
      </c>
      <c r="AP64" s="22"/>
      <c r="AQ64" s="22"/>
      <c r="AR64" s="22"/>
      <c r="AS64" s="22"/>
      <c r="AT64" s="22"/>
      <c r="AU64" s="22"/>
      <c r="AV64" s="22"/>
      <c r="AW64" s="22"/>
      <c r="AX64" s="22"/>
      <c r="AY64" s="22"/>
      <c r="AZ64" s="22"/>
      <c r="BA64" s="5"/>
    </row>
    <row r="65" spans="1:53" ht="26.5" thickBot="1" x14ac:dyDescent="0.4">
      <c r="A65" s="16" t="s">
        <v>535</v>
      </c>
      <c r="B65" s="16" t="s">
        <v>535</v>
      </c>
      <c r="C65" s="16" t="s">
        <v>535</v>
      </c>
      <c r="D65" s="16" t="s">
        <v>535</v>
      </c>
      <c r="E65" s="16" t="s">
        <v>535</v>
      </c>
      <c r="F65" s="16" t="s">
        <v>243</v>
      </c>
      <c r="G65" s="16" t="s">
        <v>243</v>
      </c>
      <c r="H65" s="16" t="s">
        <v>535</v>
      </c>
      <c r="I65" s="16" t="s">
        <v>535</v>
      </c>
      <c r="J65" s="5" t="s">
        <v>529</v>
      </c>
      <c r="K65" s="5" t="s">
        <v>639</v>
      </c>
      <c r="L65" s="5" t="s">
        <v>647</v>
      </c>
      <c r="M65" s="5" t="s">
        <v>618</v>
      </c>
      <c r="N65" s="5" t="s">
        <v>629</v>
      </c>
      <c r="O65" s="5">
        <v>1.609</v>
      </c>
      <c r="P65" s="45"/>
      <c r="Q65" s="45"/>
      <c r="R65" s="179">
        <v>4.5249999999999999E-2</v>
      </c>
      <c r="S65" s="179">
        <v>4.0000000000000001E-3</v>
      </c>
      <c r="T65" s="179">
        <v>1.0880000000000001E-2</v>
      </c>
      <c r="U65" s="45"/>
      <c r="V65" s="53">
        <f t="shared" si="0"/>
        <v>6.0130000000000003E-2</v>
      </c>
      <c r="W65" s="22"/>
      <c r="X65" s="22"/>
      <c r="Y65" s="22"/>
      <c r="Z65" s="22"/>
      <c r="AA65" s="22"/>
      <c r="AB65" s="22"/>
      <c r="AC65" s="22"/>
      <c r="AD65" s="22"/>
      <c r="AE65" s="22"/>
      <c r="AF65" s="22"/>
      <c r="AG65" s="22"/>
      <c r="AH65" s="22"/>
      <c r="AI65" s="22"/>
      <c r="AJ65" s="22"/>
      <c r="AK65" s="22"/>
      <c r="AL65" s="22"/>
      <c r="AM65" s="22"/>
      <c r="AN65" s="22" t="s">
        <v>243</v>
      </c>
      <c r="AO65" s="22" t="s">
        <v>243</v>
      </c>
      <c r="AP65" s="22"/>
      <c r="AQ65" s="22"/>
      <c r="AR65" s="22"/>
      <c r="AS65" s="22"/>
      <c r="AT65" s="22"/>
      <c r="AU65" s="22"/>
      <c r="AV65" s="22"/>
      <c r="AW65" s="22"/>
      <c r="AX65" s="22"/>
      <c r="AY65" s="22"/>
      <c r="AZ65" s="22"/>
      <c r="BA65" s="5"/>
    </row>
    <row r="66" spans="1:53" ht="26.5" thickBot="1" x14ac:dyDescent="0.4">
      <c r="A66" s="16" t="s">
        <v>535</v>
      </c>
      <c r="B66" s="16" t="s">
        <v>535</v>
      </c>
      <c r="C66" s="16" t="s">
        <v>535</v>
      </c>
      <c r="D66" s="16" t="s">
        <v>535</v>
      </c>
      <c r="E66" s="16" t="s">
        <v>535</v>
      </c>
      <c r="F66" s="16" t="s">
        <v>243</v>
      </c>
      <c r="G66" s="16" t="s">
        <v>243</v>
      </c>
      <c r="H66" s="16" t="s">
        <v>535</v>
      </c>
      <c r="I66" s="16" t="s">
        <v>535</v>
      </c>
      <c r="J66" s="5" t="s">
        <v>529</v>
      </c>
      <c r="K66" s="5" t="s">
        <v>620</v>
      </c>
      <c r="L66" s="5" t="s">
        <v>647</v>
      </c>
      <c r="M66" s="5" t="s">
        <v>618</v>
      </c>
      <c r="N66" s="5" t="s">
        <v>629</v>
      </c>
      <c r="O66" s="5">
        <v>1.609</v>
      </c>
      <c r="P66" s="45"/>
      <c r="Q66" s="45"/>
      <c r="R66" s="179">
        <v>4.3589999999999997E-2</v>
      </c>
      <c r="S66" s="179">
        <v>3.8600000000000001E-3</v>
      </c>
      <c r="T66" s="179">
        <v>1.0489999999999999E-2</v>
      </c>
      <c r="U66" s="45"/>
      <c r="V66" s="53">
        <f t="shared" si="0"/>
        <v>5.7939999999999998E-2</v>
      </c>
      <c r="W66" s="22"/>
      <c r="X66" s="22"/>
      <c r="Y66" s="22"/>
      <c r="Z66" s="22"/>
      <c r="AA66" s="22"/>
      <c r="AB66" s="22"/>
      <c r="AC66" s="22"/>
      <c r="AD66" s="22"/>
      <c r="AE66" s="22"/>
      <c r="AF66" s="22"/>
      <c r="AG66" s="22"/>
      <c r="AH66" s="22"/>
      <c r="AI66" s="22"/>
      <c r="AJ66" s="22"/>
      <c r="AK66" s="22"/>
      <c r="AL66" s="22"/>
      <c r="AM66" s="22"/>
      <c r="AN66" s="22" t="s">
        <v>243</v>
      </c>
      <c r="AO66" s="22" t="s">
        <v>243</v>
      </c>
      <c r="AP66" s="22"/>
      <c r="AQ66" s="22"/>
      <c r="AR66" s="22"/>
      <c r="AS66" s="22"/>
      <c r="AT66" s="22"/>
      <c r="AU66" s="22"/>
      <c r="AV66" s="22"/>
      <c r="AW66" s="22"/>
      <c r="AX66" s="22"/>
      <c r="AY66" s="22"/>
      <c r="AZ66" s="22"/>
      <c r="BA66" s="5"/>
    </row>
    <row r="67" spans="1:53" ht="15" thickBot="1" x14ac:dyDescent="0.4">
      <c r="A67" s="16" t="s">
        <v>535</v>
      </c>
      <c r="B67" s="16" t="s">
        <v>535</v>
      </c>
      <c r="C67" s="16" t="s">
        <v>535</v>
      </c>
      <c r="D67" s="16" t="s">
        <v>535</v>
      </c>
      <c r="E67" s="16" t="s">
        <v>535</v>
      </c>
      <c r="F67" s="16" t="s">
        <v>243</v>
      </c>
      <c r="G67" s="16" t="s">
        <v>243</v>
      </c>
      <c r="H67" s="16" t="s">
        <v>535</v>
      </c>
      <c r="I67" s="16" t="s">
        <v>535</v>
      </c>
      <c r="J67" s="5" t="s">
        <v>529</v>
      </c>
      <c r="K67" s="5" t="s">
        <v>619</v>
      </c>
      <c r="L67" s="5" t="s">
        <v>658</v>
      </c>
      <c r="M67" s="5" t="s">
        <v>618</v>
      </c>
      <c r="N67" s="5" t="s">
        <v>629</v>
      </c>
      <c r="O67" s="5">
        <v>1.609</v>
      </c>
      <c r="P67" s="45"/>
      <c r="Q67" s="45"/>
      <c r="R67" s="179">
        <v>0.14262</v>
      </c>
      <c r="S67" s="45"/>
      <c r="T67" s="179">
        <v>3.8359999999999998E-2</v>
      </c>
      <c r="U67" s="45"/>
      <c r="V67" s="53">
        <f t="shared" si="0"/>
        <v>0.18098</v>
      </c>
      <c r="W67" s="22"/>
      <c r="X67" s="22"/>
      <c r="Y67" s="22"/>
      <c r="Z67" s="22"/>
      <c r="AA67" s="22"/>
      <c r="AB67" s="22"/>
      <c r="AC67" s="22"/>
      <c r="AD67" s="22"/>
      <c r="AE67" s="22"/>
      <c r="AF67" s="22"/>
      <c r="AG67" s="22"/>
      <c r="AH67" s="22"/>
      <c r="AI67" s="22"/>
      <c r="AJ67" s="22"/>
      <c r="AK67" s="22"/>
      <c r="AL67" s="22"/>
      <c r="AM67" s="22"/>
      <c r="AN67" s="22" t="s">
        <v>243</v>
      </c>
      <c r="AO67" s="22" t="s">
        <v>243</v>
      </c>
      <c r="AP67" s="22"/>
      <c r="AQ67" s="22"/>
      <c r="AR67" s="22"/>
      <c r="AS67" s="22"/>
      <c r="AT67" s="22"/>
      <c r="AU67" s="22"/>
      <c r="AV67" s="22"/>
      <c r="AW67" s="22"/>
      <c r="AX67" s="22"/>
      <c r="AY67" s="22"/>
      <c r="AZ67" s="22"/>
      <c r="BA67" s="5"/>
    </row>
    <row r="68" spans="1:53" ht="15" thickBot="1" x14ac:dyDescent="0.4">
      <c r="A68" s="16" t="s">
        <v>535</v>
      </c>
      <c r="B68" s="16" t="s">
        <v>535</v>
      </c>
      <c r="C68" s="16" t="s">
        <v>535</v>
      </c>
      <c r="D68" s="16" t="s">
        <v>535</v>
      </c>
      <c r="E68" s="16" t="s">
        <v>535</v>
      </c>
      <c r="F68" s="16" t="s">
        <v>243</v>
      </c>
      <c r="G68" s="16" t="s">
        <v>243</v>
      </c>
      <c r="H68" s="16" t="s">
        <v>535</v>
      </c>
      <c r="I68" s="16" t="s">
        <v>535</v>
      </c>
      <c r="J68" s="5" t="s">
        <v>529</v>
      </c>
      <c r="K68" s="5" t="s">
        <v>630</v>
      </c>
      <c r="L68" s="5" t="s">
        <v>658</v>
      </c>
      <c r="M68" s="5" t="s">
        <v>618</v>
      </c>
      <c r="N68" s="5" t="s">
        <v>629</v>
      </c>
      <c r="O68" s="5">
        <v>1.609</v>
      </c>
      <c r="P68" s="45"/>
      <c r="Q68" s="45"/>
      <c r="R68" s="179">
        <v>0.17255999999999999</v>
      </c>
      <c r="S68" s="45"/>
      <c r="T68" s="179">
        <v>4.5179999999999998E-2</v>
      </c>
      <c r="U68" s="45"/>
      <c r="V68" s="53">
        <f t="shared" ref="V68:V116" si="1">SUM(P68:U68)</f>
        <v>0.21773999999999999</v>
      </c>
      <c r="W68" s="22"/>
      <c r="X68" s="22"/>
      <c r="Y68" s="22"/>
      <c r="Z68" s="22"/>
      <c r="AA68" s="22"/>
      <c r="AB68" s="22"/>
      <c r="AC68" s="22"/>
      <c r="AD68" s="22"/>
      <c r="AE68" s="22"/>
      <c r="AF68" s="22"/>
      <c r="AG68" s="22"/>
      <c r="AH68" s="22"/>
      <c r="AI68" s="22"/>
      <c r="AJ68" s="22"/>
      <c r="AK68" s="22"/>
      <c r="AL68" s="22"/>
      <c r="AM68" s="22"/>
      <c r="AN68" s="22" t="s">
        <v>243</v>
      </c>
      <c r="AO68" s="22" t="s">
        <v>243</v>
      </c>
      <c r="AP68" s="22"/>
      <c r="AQ68" s="22"/>
      <c r="AR68" s="22"/>
      <c r="AS68" s="22"/>
      <c r="AT68" s="22"/>
      <c r="AU68" s="22"/>
      <c r="AV68" s="22"/>
      <c r="AW68" s="22"/>
      <c r="AX68" s="22"/>
      <c r="AY68" s="22"/>
      <c r="AZ68" s="22"/>
      <c r="BA68" s="5"/>
    </row>
    <row r="69" spans="1:53" ht="15" thickBot="1" x14ac:dyDescent="0.4">
      <c r="A69" s="16" t="s">
        <v>535</v>
      </c>
      <c r="B69" s="16" t="s">
        <v>535</v>
      </c>
      <c r="C69" s="16" t="s">
        <v>535</v>
      </c>
      <c r="D69" s="16" t="s">
        <v>535</v>
      </c>
      <c r="E69" s="16" t="s">
        <v>535</v>
      </c>
      <c r="F69" s="16" t="s">
        <v>243</v>
      </c>
      <c r="G69" s="16" t="s">
        <v>243</v>
      </c>
      <c r="H69" s="16" t="s">
        <v>535</v>
      </c>
      <c r="I69" s="16" t="s">
        <v>535</v>
      </c>
      <c r="J69" s="5" t="s">
        <v>529</v>
      </c>
      <c r="K69" s="5" t="s">
        <v>639</v>
      </c>
      <c r="L69" s="5" t="s">
        <v>658</v>
      </c>
      <c r="M69" s="5" t="s">
        <v>618</v>
      </c>
      <c r="N69" s="5" t="s">
        <v>629</v>
      </c>
      <c r="O69" s="5">
        <v>1.609</v>
      </c>
      <c r="P69" s="45"/>
      <c r="Q69" s="45"/>
      <c r="R69" s="179">
        <v>0.22472</v>
      </c>
      <c r="S69" s="45"/>
      <c r="T69" s="179">
        <v>5.7639999999999997E-2</v>
      </c>
      <c r="U69" s="45"/>
      <c r="V69" s="53">
        <f t="shared" si="1"/>
        <v>0.28236</v>
      </c>
      <c r="W69" s="22"/>
      <c r="X69" s="22"/>
      <c r="Y69" s="22"/>
      <c r="Z69" s="22"/>
      <c r="AA69" s="22"/>
      <c r="AB69" s="22"/>
      <c r="AC69" s="22"/>
      <c r="AD69" s="22"/>
      <c r="AE69" s="22"/>
      <c r="AF69" s="22"/>
      <c r="AG69" s="22"/>
      <c r="AH69" s="22"/>
      <c r="AI69" s="22"/>
      <c r="AJ69" s="22"/>
      <c r="AK69" s="22"/>
      <c r="AL69" s="22"/>
      <c r="AM69" s="22"/>
      <c r="AN69" s="22" t="s">
        <v>243</v>
      </c>
      <c r="AO69" s="22" t="s">
        <v>243</v>
      </c>
      <c r="AP69" s="22"/>
      <c r="AQ69" s="22"/>
      <c r="AR69" s="22"/>
      <c r="AS69" s="22"/>
      <c r="AT69" s="22"/>
      <c r="AU69" s="22"/>
      <c r="AV69" s="22"/>
      <c r="AW69" s="22"/>
      <c r="AX69" s="22"/>
      <c r="AY69" s="22"/>
      <c r="AZ69" s="22"/>
      <c r="BA69" s="5"/>
    </row>
    <row r="70" spans="1:53" ht="15" thickBot="1" x14ac:dyDescent="0.4">
      <c r="A70" s="16" t="s">
        <v>535</v>
      </c>
      <c r="B70" s="16" t="s">
        <v>535</v>
      </c>
      <c r="C70" s="16" t="s">
        <v>535</v>
      </c>
      <c r="D70" s="16" t="s">
        <v>535</v>
      </c>
      <c r="E70" s="16" t="s">
        <v>535</v>
      </c>
      <c r="F70" s="16" t="s">
        <v>243</v>
      </c>
      <c r="G70" s="16" t="s">
        <v>243</v>
      </c>
      <c r="H70" s="16" t="s">
        <v>535</v>
      </c>
      <c r="I70" s="16" t="s">
        <v>535</v>
      </c>
      <c r="J70" s="5" t="s">
        <v>529</v>
      </c>
      <c r="K70" s="5" t="s">
        <v>620</v>
      </c>
      <c r="L70" s="5" t="s">
        <v>658</v>
      </c>
      <c r="M70" s="5" t="s">
        <v>618</v>
      </c>
      <c r="N70" s="5" t="s">
        <v>629</v>
      </c>
      <c r="O70" s="5">
        <v>1.609</v>
      </c>
      <c r="P70" s="45"/>
      <c r="Q70" s="45"/>
      <c r="R70" s="179">
        <v>0.16691</v>
      </c>
      <c r="S70" s="45"/>
      <c r="T70" s="179">
        <v>4.3990000000000001E-2</v>
      </c>
      <c r="U70" s="45"/>
      <c r="V70" s="53">
        <f t="shared" si="1"/>
        <v>0.2109</v>
      </c>
      <c r="W70" s="22"/>
      <c r="X70" s="22"/>
      <c r="Y70" s="22"/>
      <c r="Z70" s="22"/>
      <c r="AA70" s="22"/>
      <c r="AB70" s="22"/>
      <c r="AC70" s="22"/>
      <c r="AD70" s="22"/>
      <c r="AE70" s="22"/>
      <c r="AF70" s="22"/>
      <c r="AG70" s="22"/>
      <c r="AH70" s="22"/>
      <c r="AI70" s="22"/>
      <c r="AJ70" s="22"/>
      <c r="AK70" s="22"/>
      <c r="AL70" s="22"/>
      <c r="AM70" s="22"/>
      <c r="AN70" s="22" t="s">
        <v>243</v>
      </c>
      <c r="AO70" s="22" t="s">
        <v>243</v>
      </c>
      <c r="AP70" s="22"/>
      <c r="AQ70" s="22"/>
      <c r="AR70" s="22"/>
      <c r="AS70" s="22"/>
      <c r="AT70" s="22"/>
      <c r="AU70" s="22"/>
      <c r="AV70" s="22"/>
      <c r="AW70" s="22"/>
      <c r="AX70" s="22"/>
      <c r="AY70" s="22"/>
      <c r="AZ70" s="22"/>
      <c r="BA70" s="5"/>
    </row>
    <row r="71" spans="1:53" ht="15" thickBot="1" x14ac:dyDescent="0.4">
      <c r="A71" s="16" t="s">
        <v>535</v>
      </c>
      <c r="B71" s="16" t="s">
        <v>535</v>
      </c>
      <c r="C71" s="16" t="s">
        <v>535</v>
      </c>
      <c r="D71" s="16" t="s">
        <v>535</v>
      </c>
      <c r="E71" s="16" t="s">
        <v>535</v>
      </c>
      <c r="F71" s="16" t="s">
        <v>243</v>
      </c>
      <c r="G71" s="16" t="s">
        <v>243</v>
      </c>
      <c r="H71" s="16" t="s">
        <v>535</v>
      </c>
      <c r="I71" s="16" t="s">
        <v>535</v>
      </c>
      <c r="J71" s="5" t="s">
        <v>545</v>
      </c>
      <c r="K71" s="5" t="s">
        <v>619</v>
      </c>
      <c r="L71" s="5" t="s">
        <v>581</v>
      </c>
      <c r="M71" s="5" t="s">
        <v>618</v>
      </c>
      <c r="N71" s="5" t="s">
        <v>629</v>
      </c>
      <c r="O71" s="5">
        <v>1.609</v>
      </c>
      <c r="P71" s="45"/>
      <c r="Q71" s="45"/>
      <c r="R71" s="179">
        <v>0.13994000000000001</v>
      </c>
      <c r="S71" s="45"/>
      <c r="T71" s="179">
        <v>3.4090000000000002E-2</v>
      </c>
      <c r="U71" s="45"/>
      <c r="V71" s="53">
        <f t="shared" si="1"/>
        <v>0.17403000000000002</v>
      </c>
      <c r="W71" s="22"/>
      <c r="X71" s="22"/>
      <c r="Y71" s="22"/>
      <c r="Z71" s="22"/>
      <c r="AA71" s="22"/>
      <c r="AB71" s="22"/>
      <c r="AC71" s="22"/>
      <c r="AD71" s="22"/>
      <c r="AE71" s="22"/>
      <c r="AF71" s="22"/>
      <c r="AG71" s="22"/>
      <c r="AH71" s="22"/>
      <c r="AI71" s="22"/>
      <c r="AJ71" s="22"/>
      <c r="AK71" s="22"/>
      <c r="AL71" s="22"/>
      <c r="AM71" s="22"/>
      <c r="AN71" s="22" t="s">
        <v>243</v>
      </c>
      <c r="AO71" s="22" t="s">
        <v>243</v>
      </c>
      <c r="AP71" s="22"/>
      <c r="AQ71" s="22"/>
      <c r="AR71" s="22"/>
      <c r="AS71" s="22"/>
      <c r="AT71" s="22"/>
      <c r="AU71" s="22"/>
      <c r="AV71" s="22"/>
      <c r="AW71" s="22"/>
      <c r="AX71" s="22"/>
      <c r="AY71" s="22"/>
      <c r="AZ71" s="22"/>
      <c r="BA71" s="5"/>
    </row>
    <row r="72" spans="1:53" ht="15" thickBot="1" x14ac:dyDescent="0.4">
      <c r="A72" s="16" t="s">
        <v>535</v>
      </c>
      <c r="B72" s="16" t="s">
        <v>535</v>
      </c>
      <c r="C72" s="16" t="s">
        <v>535</v>
      </c>
      <c r="D72" s="16" t="s">
        <v>535</v>
      </c>
      <c r="E72" s="16" t="s">
        <v>535</v>
      </c>
      <c r="F72" s="16" t="s">
        <v>243</v>
      </c>
      <c r="G72" s="16" t="s">
        <v>243</v>
      </c>
      <c r="H72" s="16" t="s">
        <v>535</v>
      </c>
      <c r="I72" s="16" t="s">
        <v>535</v>
      </c>
      <c r="J72" s="5" t="s">
        <v>545</v>
      </c>
      <c r="K72" s="5" t="s">
        <v>630</v>
      </c>
      <c r="L72" s="5" t="s">
        <v>581</v>
      </c>
      <c r="M72" s="5" t="s">
        <v>618</v>
      </c>
      <c r="N72" s="5" t="s">
        <v>629</v>
      </c>
      <c r="O72" s="5">
        <v>1.609</v>
      </c>
      <c r="P72" s="45"/>
      <c r="Q72" s="45"/>
      <c r="R72" s="179">
        <v>0.16807</v>
      </c>
      <c r="S72" s="45"/>
      <c r="T72" s="179">
        <v>4.1029999999999997E-2</v>
      </c>
      <c r="U72" s="45"/>
      <c r="V72" s="53">
        <f t="shared" si="1"/>
        <v>0.20910000000000001</v>
      </c>
      <c r="W72" s="22"/>
      <c r="X72" s="22"/>
      <c r="Y72" s="22"/>
      <c r="Z72" s="22"/>
      <c r="AA72" s="22"/>
      <c r="AB72" s="22"/>
      <c r="AC72" s="22"/>
      <c r="AD72" s="22"/>
      <c r="AE72" s="22"/>
      <c r="AF72" s="22"/>
      <c r="AG72" s="22"/>
      <c r="AH72" s="22"/>
      <c r="AI72" s="22"/>
      <c r="AJ72" s="22"/>
      <c r="AK72" s="22"/>
      <c r="AL72" s="22"/>
      <c r="AM72" s="22"/>
      <c r="AN72" s="22" t="s">
        <v>243</v>
      </c>
      <c r="AO72" s="22" t="s">
        <v>243</v>
      </c>
      <c r="AP72" s="22"/>
      <c r="AQ72" s="22"/>
      <c r="AR72" s="22"/>
      <c r="AS72" s="22"/>
      <c r="AT72" s="22"/>
      <c r="AU72" s="22"/>
      <c r="AV72" s="22"/>
      <c r="AW72" s="22"/>
      <c r="AX72" s="22"/>
      <c r="AY72" s="22"/>
      <c r="AZ72" s="22"/>
      <c r="BA72" s="5"/>
    </row>
    <row r="73" spans="1:53" ht="15" thickBot="1" x14ac:dyDescent="0.4">
      <c r="A73" s="16" t="s">
        <v>535</v>
      </c>
      <c r="B73" s="16" t="s">
        <v>535</v>
      </c>
      <c r="C73" s="16" t="s">
        <v>535</v>
      </c>
      <c r="D73" s="16" t="s">
        <v>535</v>
      </c>
      <c r="E73" s="16" t="s">
        <v>535</v>
      </c>
      <c r="F73" s="16" t="s">
        <v>243</v>
      </c>
      <c r="G73" s="16" t="s">
        <v>243</v>
      </c>
      <c r="H73" s="16" t="s">
        <v>535</v>
      </c>
      <c r="I73" s="16" t="s">
        <v>535</v>
      </c>
      <c r="J73" s="5" t="s">
        <v>545</v>
      </c>
      <c r="K73" s="5" t="s">
        <v>639</v>
      </c>
      <c r="L73" s="5" t="s">
        <v>581</v>
      </c>
      <c r="M73" s="5" t="s">
        <v>618</v>
      </c>
      <c r="N73" s="5" t="s">
        <v>629</v>
      </c>
      <c r="O73" s="5">
        <v>1.609</v>
      </c>
      <c r="P73" s="45"/>
      <c r="Q73" s="45"/>
      <c r="R73" s="179">
        <v>0.20729</v>
      </c>
      <c r="S73" s="45"/>
      <c r="T73" s="179">
        <v>5.0700000000000002E-2</v>
      </c>
      <c r="U73" s="45"/>
      <c r="V73" s="53">
        <f t="shared" si="1"/>
        <v>0.25799</v>
      </c>
      <c r="W73" s="22"/>
      <c r="X73" s="22"/>
      <c r="Y73" s="22"/>
      <c r="Z73" s="22"/>
      <c r="AA73" s="22"/>
      <c r="AB73" s="22"/>
      <c r="AC73" s="22"/>
      <c r="AD73" s="22"/>
      <c r="AE73" s="22"/>
      <c r="AF73" s="22"/>
      <c r="AG73" s="22"/>
      <c r="AH73" s="22"/>
      <c r="AI73" s="22"/>
      <c r="AJ73" s="22"/>
      <c r="AK73" s="22"/>
      <c r="AL73" s="22"/>
      <c r="AM73" s="22"/>
      <c r="AN73" s="22" t="s">
        <v>243</v>
      </c>
      <c r="AO73" s="22" t="s">
        <v>243</v>
      </c>
      <c r="AP73" s="22"/>
      <c r="AQ73" s="22"/>
      <c r="AR73" s="22"/>
      <c r="AS73" s="22"/>
      <c r="AT73" s="22"/>
      <c r="AU73" s="22"/>
      <c r="AV73" s="22"/>
      <c r="AW73" s="22"/>
      <c r="AX73" s="22"/>
      <c r="AY73" s="22"/>
      <c r="AZ73" s="22"/>
      <c r="BA73" s="5"/>
    </row>
    <row r="74" spans="1:53" ht="15" thickBot="1" x14ac:dyDescent="0.4">
      <c r="A74" s="16" t="s">
        <v>535</v>
      </c>
      <c r="B74" s="16" t="s">
        <v>535</v>
      </c>
      <c r="C74" s="16" t="s">
        <v>535</v>
      </c>
      <c r="D74" s="16" t="s">
        <v>535</v>
      </c>
      <c r="E74" s="16" t="s">
        <v>535</v>
      </c>
      <c r="F74" s="16" t="s">
        <v>243</v>
      </c>
      <c r="G74" s="16" t="s">
        <v>243</v>
      </c>
      <c r="H74" s="16" t="s">
        <v>535</v>
      </c>
      <c r="I74" s="16" t="s">
        <v>535</v>
      </c>
      <c r="J74" s="5" t="s">
        <v>545</v>
      </c>
      <c r="K74" s="5" t="s">
        <v>620</v>
      </c>
      <c r="L74" s="5" t="s">
        <v>581</v>
      </c>
      <c r="M74" s="5" t="s">
        <v>618</v>
      </c>
      <c r="N74" s="5" t="s">
        <v>629</v>
      </c>
      <c r="O74" s="5">
        <v>1.609</v>
      </c>
      <c r="P74" s="45"/>
      <c r="Q74" s="45"/>
      <c r="R74" s="179">
        <v>0.16983999999999999</v>
      </c>
      <c r="S74" s="45"/>
      <c r="T74" s="179">
        <v>4.1459999999999997E-2</v>
      </c>
      <c r="U74" s="45"/>
      <c r="V74" s="53">
        <f t="shared" si="1"/>
        <v>0.21129999999999999</v>
      </c>
      <c r="W74" s="22"/>
      <c r="X74" s="22"/>
      <c r="Y74" s="22"/>
      <c r="Z74" s="22"/>
      <c r="AA74" s="22"/>
      <c r="AB74" s="22"/>
      <c r="AC74" s="22"/>
      <c r="AD74" s="22"/>
      <c r="AE74" s="22"/>
      <c r="AF74" s="22"/>
      <c r="AG74" s="22"/>
      <c r="AH74" s="22"/>
      <c r="AI74" s="22"/>
      <c r="AJ74" s="22"/>
      <c r="AK74" s="22"/>
      <c r="AL74" s="22"/>
      <c r="AM74" s="22"/>
      <c r="AN74" s="22" t="s">
        <v>243</v>
      </c>
      <c r="AO74" s="22" t="s">
        <v>243</v>
      </c>
      <c r="AP74" s="22"/>
      <c r="AQ74" s="22"/>
      <c r="AR74" s="22"/>
      <c r="AS74" s="22"/>
      <c r="AT74" s="22"/>
      <c r="AU74" s="22"/>
      <c r="AV74" s="22"/>
      <c r="AW74" s="22"/>
      <c r="AX74" s="22"/>
      <c r="AY74" s="22"/>
      <c r="AZ74" s="22"/>
      <c r="BA74" s="5"/>
    </row>
    <row r="75" spans="1:53" ht="15" thickBot="1" x14ac:dyDescent="0.4">
      <c r="A75" s="16" t="s">
        <v>535</v>
      </c>
      <c r="B75" s="16" t="s">
        <v>535</v>
      </c>
      <c r="C75" s="16" t="s">
        <v>535</v>
      </c>
      <c r="D75" s="16" t="s">
        <v>535</v>
      </c>
      <c r="E75" s="16" t="s">
        <v>535</v>
      </c>
      <c r="F75" s="16" t="s">
        <v>243</v>
      </c>
      <c r="G75" s="16" t="s">
        <v>243</v>
      </c>
      <c r="H75" s="16" t="s">
        <v>535</v>
      </c>
      <c r="I75" s="16" t="s">
        <v>535</v>
      </c>
      <c r="J75" s="5" t="s">
        <v>545</v>
      </c>
      <c r="K75" s="5" t="s">
        <v>619</v>
      </c>
      <c r="L75" s="5" t="s">
        <v>590</v>
      </c>
      <c r="M75" s="5" t="s">
        <v>618</v>
      </c>
      <c r="N75" s="5" t="s">
        <v>629</v>
      </c>
      <c r="O75" s="5">
        <v>1.609</v>
      </c>
      <c r="P75" s="45"/>
      <c r="Q75" s="45"/>
      <c r="R75" s="179">
        <v>0.14369999999999999</v>
      </c>
      <c r="S75" s="45"/>
      <c r="T75" s="179">
        <v>4.0149999999999998E-2</v>
      </c>
      <c r="U75" s="45"/>
      <c r="V75" s="53">
        <f t="shared" si="1"/>
        <v>0.18384999999999999</v>
      </c>
      <c r="W75" s="22"/>
      <c r="X75" s="22"/>
      <c r="Y75" s="22"/>
      <c r="Z75" s="22"/>
      <c r="AA75" s="22"/>
      <c r="AB75" s="22"/>
      <c r="AC75" s="22"/>
      <c r="AD75" s="22"/>
      <c r="AE75" s="22"/>
      <c r="AF75" s="22"/>
      <c r="AG75" s="22"/>
      <c r="AH75" s="22"/>
      <c r="AI75" s="22"/>
      <c r="AJ75" s="22"/>
      <c r="AK75" s="22"/>
      <c r="AL75" s="22"/>
      <c r="AM75" s="22"/>
      <c r="AN75" s="22" t="s">
        <v>243</v>
      </c>
      <c r="AO75" s="22" t="s">
        <v>243</v>
      </c>
      <c r="AP75" s="22"/>
      <c r="AQ75" s="22"/>
      <c r="AR75" s="22"/>
      <c r="AS75" s="22"/>
      <c r="AT75" s="22"/>
      <c r="AU75" s="22"/>
      <c r="AV75" s="22"/>
      <c r="AW75" s="22"/>
      <c r="AX75" s="22"/>
      <c r="AY75" s="22"/>
      <c r="AZ75" s="22"/>
      <c r="BA75" s="5"/>
    </row>
    <row r="76" spans="1:53" ht="15" thickBot="1" x14ac:dyDescent="0.4">
      <c r="A76" s="16" t="s">
        <v>535</v>
      </c>
      <c r="B76" s="16" t="s">
        <v>535</v>
      </c>
      <c r="C76" s="16" t="s">
        <v>535</v>
      </c>
      <c r="D76" s="16" t="s">
        <v>535</v>
      </c>
      <c r="E76" s="16" t="s">
        <v>535</v>
      </c>
      <c r="F76" s="16" t="s">
        <v>243</v>
      </c>
      <c r="G76" s="16" t="s">
        <v>243</v>
      </c>
      <c r="H76" s="16" t="s">
        <v>535</v>
      </c>
      <c r="I76" s="16" t="s">
        <v>535</v>
      </c>
      <c r="J76" s="5" t="s">
        <v>545</v>
      </c>
      <c r="K76" s="5" t="s">
        <v>630</v>
      </c>
      <c r="L76" s="5" t="s">
        <v>590</v>
      </c>
      <c r="M76" s="5" t="s">
        <v>618</v>
      </c>
      <c r="N76" s="5" t="s">
        <v>629</v>
      </c>
      <c r="O76" s="5">
        <v>1.609</v>
      </c>
      <c r="P76" s="45"/>
      <c r="Q76" s="45"/>
      <c r="R76" s="179">
        <v>0.17726</v>
      </c>
      <c r="S76" s="45"/>
      <c r="T76" s="179">
        <v>4.9570000000000003E-2</v>
      </c>
      <c r="U76" s="45"/>
      <c r="V76" s="53">
        <f t="shared" si="1"/>
        <v>0.22683</v>
      </c>
      <c r="W76" s="22"/>
      <c r="X76" s="22"/>
      <c r="Y76" s="22"/>
      <c r="Z76" s="22"/>
      <c r="AA76" s="22"/>
      <c r="AB76" s="22"/>
      <c r="AC76" s="22"/>
      <c r="AD76" s="22"/>
      <c r="AE76" s="22"/>
      <c r="AF76" s="22"/>
      <c r="AG76" s="22"/>
      <c r="AH76" s="22"/>
      <c r="AI76" s="22"/>
      <c r="AJ76" s="22"/>
      <c r="AK76" s="22"/>
      <c r="AL76" s="22"/>
      <c r="AM76" s="22"/>
      <c r="AN76" s="22" t="s">
        <v>243</v>
      </c>
      <c r="AO76" s="22" t="s">
        <v>243</v>
      </c>
      <c r="AP76" s="22"/>
      <c r="AQ76" s="22"/>
      <c r="AR76" s="22"/>
      <c r="AS76" s="22"/>
      <c r="AT76" s="22"/>
      <c r="AU76" s="22"/>
      <c r="AV76" s="22"/>
      <c r="AW76" s="22"/>
      <c r="AX76" s="22"/>
      <c r="AY76" s="22"/>
      <c r="AZ76" s="22"/>
      <c r="BA76" s="5"/>
    </row>
    <row r="77" spans="1:53" ht="15" thickBot="1" x14ac:dyDescent="0.4">
      <c r="A77" s="16" t="s">
        <v>535</v>
      </c>
      <c r="B77" s="16" t="s">
        <v>535</v>
      </c>
      <c r="C77" s="16" t="s">
        <v>535</v>
      </c>
      <c r="D77" s="16" t="s">
        <v>535</v>
      </c>
      <c r="E77" s="16" t="s">
        <v>535</v>
      </c>
      <c r="F77" s="16" t="s">
        <v>243</v>
      </c>
      <c r="G77" s="16" t="s">
        <v>243</v>
      </c>
      <c r="H77" s="16" t="s">
        <v>535</v>
      </c>
      <c r="I77" s="16" t="s">
        <v>535</v>
      </c>
      <c r="J77" s="5" t="s">
        <v>545</v>
      </c>
      <c r="K77" s="5" t="s">
        <v>639</v>
      </c>
      <c r="L77" s="5" t="s">
        <v>590</v>
      </c>
      <c r="M77" s="5" t="s">
        <v>618</v>
      </c>
      <c r="N77" s="5" t="s">
        <v>629</v>
      </c>
      <c r="O77" s="5">
        <v>1.609</v>
      </c>
      <c r="P77" s="45"/>
      <c r="Q77" s="45"/>
      <c r="R77" s="179">
        <v>0.26884999999999998</v>
      </c>
      <c r="S77" s="45"/>
      <c r="T77" s="179">
        <v>7.528E-2</v>
      </c>
      <c r="U77" s="45"/>
      <c r="V77" s="53">
        <f t="shared" si="1"/>
        <v>0.34412999999999999</v>
      </c>
      <c r="W77" s="22"/>
      <c r="X77" s="22"/>
      <c r="Y77" s="22"/>
      <c r="Z77" s="22"/>
      <c r="AA77" s="22"/>
      <c r="AB77" s="22"/>
      <c r="AC77" s="22"/>
      <c r="AD77" s="22"/>
      <c r="AE77" s="22"/>
      <c r="AF77" s="22"/>
      <c r="AG77" s="22"/>
      <c r="AH77" s="22"/>
      <c r="AI77" s="22"/>
      <c r="AJ77" s="22"/>
      <c r="AK77" s="22"/>
      <c r="AL77" s="22"/>
      <c r="AM77" s="22"/>
      <c r="AN77" s="22" t="s">
        <v>243</v>
      </c>
      <c r="AO77" s="22" t="s">
        <v>243</v>
      </c>
      <c r="AP77" s="22"/>
      <c r="AQ77" s="22"/>
      <c r="AR77" s="22"/>
      <c r="AS77" s="22"/>
      <c r="AT77" s="22"/>
      <c r="AU77" s="22"/>
      <c r="AV77" s="22"/>
      <c r="AW77" s="22"/>
      <c r="AX77" s="22"/>
      <c r="AY77" s="22"/>
      <c r="AZ77" s="22"/>
      <c r="BA77" s="5"/>
    </row>
    <row r="78" spans="1:53" ht="15" thickBot="1" x14ac:dyDescent="0.4">
      <c r="A78" s="16" t="s">
        <v>535</v>
      </c>
      <c r="B78" s="16" t="s">
        <v>535</v>
      </c>
      <c r="C78" s="16" t="s">
        <v>535</v>
      </c>
      <c r="D78" s="16" t="s">
        <v>535</v>
      </c>
      <c r="E78" s="16" t="s">
        <v>535</v>
      </c>
      <c r="F78" s="16" t="s">
        <v>243</v>
      </c>
      <c r="G78" s="16" t="s">
        <v>243</v>
      </c>
      <c r="H78" s="16" t="s">
        <v>535</v>
      </c>
      <c r="I78" s="16" t="s">
        <v>535</v>
      </c>
      <c r="J78" s="5" t="s">
        <v>545</v>
      </c>
      <c r="K78" s="5" t="s">
        <v>620</v>
      </c>
      <c r="L78" s="5" t="s">
        <v>590</v>
      </c>
      <c r="M78" s="5" t="s">
        <v>618</v>
      </c>
      <c r="N78" s="5" t="s">
        <v>629</v>
      </c>
      <c r="O78" s="5">
        <v>1.609</v>
      </c>
      <c r="P78" s="45"/>
      <c r="Q78" s="45"/>
      <c r="R78" s="179">
        <v>0.16450000000000001</v>
      </c>
      <c r="S78" s="45"/>
      <c r="T78" s="179">
        <v>4.5990000000000003E-2</v>
      </c>
      <c r="U78" s="45"/>
      <c r="V78" s="53">
        <f t="shared" si="1"/>
        <v>0.21049000000000001</v>
      </c>
      <c r="W78" s="22"/>
      <c r="X78" s="22"/>
      <c r="Y78" s="22"/>
      <c r="Z78" s="22"/>
      <c r="AA78" s="22"/>
      <c r="AB78" s="22"/>
      <c r="AC78" s="22"/>
      <c r="AD78" s="22"/>
      <c r="AE78" s="22"/>
      <c r="AF78" s="22"/>
      <c r="AG78" s="22"/>
      <c r="AH78" s="22"/>
      <c r="AI78" s="22"/>
      <c r="AJ78" s="22"/>
      <c r="AK78" s="22"/>
      <c r="AL78" s="22"/>
      <c r="AM78" s="22"/>
      <c r="AN78" s="22" t="s">
        <v>243</v>
      </c>
      <c r="AO78" s="22" t="s">
        <v>243</v>
      </c>
      <c r="AP78" s="22"/>
      <c r="AQ78" s="22"/>
      <c r="AR78" s="22"/>
      <c r="AS78" s="22"/>
      <c r="AT78" s="22"/>
      <c r="AU78" s="22"/>
      <c r="AV78" s="22"/>
      <c r="AW78" s="22"/>
      <c r="AX78" s="22"/>
      <c r="AY78" s="22"/>
      <c r="AZ78" s="22"/>
      <c r="BA78" s="5"/>
    </row>
    <row r="79" spans="1:53" ht="15" thickBot="1" x14ac:dyDescent="0.4">
      <c r="A79" s="16" t="s">
        <v>535</v>
      </c>
      <c r="B79" s="16" t="s">
        <v>535</v>
      </c>
      <c r="C79" s="16" t="s">
        <v>535</v>
      </c>
      <c r="D79" s="16" t="s">
        <v>535</v>
      </c>
      <c r="E79" s="16" t="s">
        <v>535</v>
      </c>
      <c r="F79" s="16" t="s">
        <v>243</v>
      </c>
      <c r="G79" s="16" t="s">
        <v>243</v>
      </c>
      <c r="H79" s="16" t="s">
        <v>535</v>
      </c>
      <c r="I79" s="16" t="s">
        <v>535</v>
      </c>
      <c r="J79" s="5" t="s">
        <v>545</v>
      </c>
      <c r="K79" s="5" t="s">
        <v>619</v>
      </c>
      <c r="L79" s="5" t="s">
        <v>640</v>
      </c>
      <c r="M79" s="5" t="s">
        <v>618</v>
      </c>
      <c r="N79" s="5" t="s">
        <v>629</v>
      </c>
      <c r="O79" s="5">
        <v>1.609</v>
      </c>
      <c r="P79" s="45"/>
      <c r="Q79" s="45"/>
      <c r="R79" s="179">
        <v>0.11274000000000001</v>
      </c>
      <c r="S79" s="45"/>
      <c r="T79" s="179">
        <v>3.0259999999999999E-2</v>
      </c>
      <c r="U79" s="45"/>
      <c r="V79" s="53">
        <f t="shared" si="1"/>
        <v>0.14300000000000002</v>
      </c>
      <c r="W79" s="22"/>
      <c r="X79" s="22"/>
      <c r="Y79" s="22"/>
      <c r="Z79" s="22"/>
      <c r="AA79" s="22"/>
      <c r="AB79" s="22"/>
      <c r="AC79" s="22"/>
      <c r="AD79" s="22"/>
      <c r="AE79" s="22"/>
      <c r="AF79" s="22"/>
      <c r="AG79" s="22"/>
      <c r="AH79" s="22"/>
      <c r="AI79" s="22"/>
      <c r="AJ79" s="22"/>
      <c r="AK79" s="22"/>
      <c r="AL79" s="22"/>
      <c r="AM79" s="22"/>
      <c r="AN79" s="22" t="s">
        <v>243</v>
      </c>
      <c r="AO79" s="22" t="s">
        <v>243</v>
      </c>
      <c r="AP79" s="22"/>
      <c r="AQ79" s="22"/>
      <c r="AR79" s="22"/>
      <c r="AS79" s="22"/>
      <c r="AT79" s="22"/>
      <c r="AU79" s="22"/>
      <c r="AV79" s="22"/>
      <c r="AW79" s="22"/>
      <c r="AX79" s="22"/>
      <c r="AY79" s="22"/>
      <c r="AZ79" s="22"/>
      <c r="BA79" s="5"/>
    </row>
    <row r="80" spans="1:53" ht="15" thickBot="1" x14ac:dyDescent="0.4">
      <c r="A80" s="16" t="s">
        <v>535</v>
      </c>
      <c r="B80" s="16" t="s">
        <v>535</v>
      </c>
      <c r="C80" s="16" t="s">
        <v>535</v>
      </c>
      <c r="D80" s="16" t="s">
        <v>535</v>
      </c>
      <c r="E80" s="16" t="s">
        <v>535</v>
      </c>
      <c r="F80" s="16" t="s">
        <v>243</v>
      </c>
      <c r="G80" s="16" t="s">
        <v>243</v>
      </c>
      <c r="H80" s="16" t="s">
        <v>535</v>
      </c>
      <c r="I80" s="16" t="s">
        <v>535</v>
      </c>
      <c r="J80" s="5" t="s">
        <v>545</v>
      </c>
      <c r="K80" s="5" t="s">
        <v>630</v>
      </c>
      <c r="L80" s="5" t="s">
        <v>640</v>
      </c>
      <c r="M80" s="5" t="s">
        <v>618</v>
      </c>
      <c r="N80" s="5" t="s">
        <v>629</v>
      </c>
      <c r="O80" s="5">
        <v>1.609</v>
      </c>
      <c r="P80" s="45"/>
      <c r="Q80" s="45"/>
      <c r="R80" s="179">
        <v>0.1149</v>
      </c>
      <c r="S80" s="45"/>
      <c r="T80" s="179">
        <v>2.998E-2</v>
      </c>
      <c r="U80" s="45"/>
      <c r="V80" s="53">
        <f t="shared" si="1"/>
        <v>0.14488000000000001</v>
      </c>
      <c r="W80" s="22"/>
      <c r="X80" s="22"/>
      <c r="Y80" s="22"/>
      <c r="Z80" s="22"/>
      <c r="AA80" s="22"/>
      <c r="AB80" s="22"/>
      <c r="AC80" s="22"/>
      <c r="AD80" s="22"/>
      <c r="AE80" s="22"/>
      <c r="AF80" s="22"/>
      <c r="AG80" s="22"/>
      <c r="AH80" s="22"/>
      <c r="AI80" s="22"/>
      <c r="AJ80" s="22"/>
      <c r="AK80" s="22"/>
      <c r="AL80" s="22"/>
      <c r="AM80" s="22"/>
      <c r="AN80" s="22" t="s">
        <v>243</v>
      </c>
      <c r="AO80" s="22" t="s">
        <v>243</v>
      </c>
      <c r="AP80" s="22"/>
      <c r="AQ80" s="22"/>
      <c r="AR80" s="22"/>
      <c r="AS80" s="22"/>
      <c r="AT80" s="22"/>
      <c r="AU80" s="22"/>
      <c r="AV80" s="22"/>
      <c r="AW80" s="22"/>
      <c r="AX80" s="22"/>
      <c r="AY80" s="22"/>
      <c r="AZ80" s="22"/>
      <c r="BA80" s="5"/>
    </row>
    <row r="81" spans="1:53" ht="15" thickBot="1" x14ac:dyDescent="0.4">
      <c r="A81" s="16" t="s">
        <v>535</v>
      </c>
      <c r="B81" s="16" t="s">
        <v>535</v>
      </c>
      <c r="C81" s="16" t="s">
        <v>535</v>
      </c>
      <c r="D81" s="16" t="s">
        <v>535</v>
      </c>
      <c r="E81" s="16" t="s">
        <v>535</v>
      </c>
      <c r="F81" s="16" t="s">
        <v>243</v>
      </c>
      <c r="G81" s="16" t="s">
        <v>243</v>
      </c>
      <c r="H81" s="16" t="s">
        <v>535</v>
      </c>
      <c r="I81" s="16" t="s">
        <v>535</v>
      </c>
      <c r="J81" s="5" t="s">
        <v>545</v>
      </c>
      <c r="K81" s="5" t="s">
        <v>639</v>
      </c>
      <c r="L81" s="5" t="s">
        <v>640</v>
      </c>
      <c r="M81" s="5" t="s">
        <v>618</v>
      </c>
      <c r="N81" s="5" t="s">
        <v>629</v>
      </c>
      <c r="O81" s="5">
        <v>1.609</v>
      </c>
      <c r="P81" s="45"/>
      <c r="Q81" s="45"/>
      <c r="R81" s="179">
        <v>0.15486</v>
      </c>
      <c r="S81" s="45"/>
      <c r="T81" s="179">
        <v>3.9609999999999999E-2</v>
      </c>
      <c r="U81" s="45"/>
      <c r="V81" s="53">
        <f t="shared" si="1"/>
        <v>0.19447</v>
      </c>
      <c r="W81" s="22"/>
      <c r="X81" s="22"/>
      <c r="Y81" s="22"/>
      <c r="Z81" s="22"/>
      <c r="AA81" s="22"/>
      <c r="AB81" s="22"/>
      <c r="AC81" s="22"/>
      <c r="AD81" s="22"/>
      <c r="AE81" s="22"/>
      <c r="AF81" s="22"/>
      <c r="AG81" s="22"/>
      <c r="AH81" s="22"/>
      <c r="AI81" s="22"/>
      <c r="AJ81" s="22"/>
      <c r="AK81" s="22"/>
      <c r="AL81" s="22"/>
      <c r="AM81" s="22"/>
      <c r="AN81" s="22" t="s">
        <v>243</v>
      </c>
      <c r="AO81" s="22" t="s">
        <v>243</v>
      </c>
      <c r="AP81" s="22"/>
      <c r="AQ81" s="22"/>
      <c r="AR81" s="22"/>
      <c r="AS81" s="22"/>
      <c r="AT81" s="22"/>
      <c r="AU81" s="22"/>
      <c r="AV81" s="22"/>
      <c r="AW81" s="22"/>
      <c r="AX81" s="22"/>
      <c r="AY81" s="22"/>
      <c r="AZ81" s="22"/>
      <c r="BA81" s="5"/>
    </row>
    <row r="82" spans="1:53" ht="15" thickBot="1" x14ac:dyDescent="0.4">
      <c r="A82" s="16" t="s">
        <v>535</v>
      </c>
      <c r="B82" s="16" t="s">
        <v>535</v>
      </c>
      <c r="C82" s="16" t="s">
        <v>535</v>
      </c>
      <c r="D82" s="16" t="s">
        <v>535</v>
      </c>
      <c r="E82" s="16" t="s">
        <v>535</v>
      </c>
      <c r="F82" s="16" t="s">
        <v>243</v>
      </c>
      <c r="G82" s="16" t="s">
        <v>243</v>
      </c>
      <c r="H82" s="16" t="s">
        <v>535</v>
      </c>
      <c r="I82" s="16" t="s">
        <v>535</v>
      </c>
      <c r="J82" s="5" t="s">
        <v>545</v>
      </c>
      <c r="K82" s="5" t="s">
        <v>620</v>
      </c>
      <c r="L82" s="5" t="s">
        <v>640</v>
      </c>
      <c r="M82" s="5" t="s">
        <v>618</v>
      </c>
      <c r="N82" s="5" t="s">
        <v>629</v>
      </c>
      <c r="O82" s="5">
        <v>1.609</v>
      </c>
      <c r="P82" s="45"/>
      <c r="Q82" s="45"/>
      <c r="R82" s="179">
        <v>0.12606999999999999</v>
      </c>
      <c r="S82" s="45"/>
      <c r="T82" s="179">
        <v>3.3149999999999999E-2</v>
      </c>
      <c r="U82" s="45"/>
      <c r="V82" s="53">
        <f t="shared" si="1"/>
        <v>0.15921999999999997</v>
      </c>
      <c r="W82" s="22"/>
      <c r="X82" s="22"/>
      <c r="Y82" s="22"/>
      <c r="Z82" s="22"/>
      <c r="AA82" s="22"/>
      <c r="AB82" s="22"/>
      <c r="AC82" s="22"/>
      <c r="AD82" s="22"/>
      <c r="AE82" s="22"/>
      <c r="AF82" s="22"/>
      <c r="AG82" s="22"/>
      <c r="AH82" s="22"/>
      <c r="AI82" s="22"/>
      <c r="AJ82" s="22"/>
      <c r="AK82" s="22"/>
      <c r="AL82" s="22"/>
      <c r="AM82" s="22"/>
      <c r="AN82" s="22" t="s">
        <v>243</v>
      </c>
      <c r="AO82" s="22" t="s">
        <v>243</v>
      </c>
      <c r="AP82" s="22"/>
      <c r="AQ82" s="22"/>
      <c r="AR82" s="22"/>
      <c r="AS82" s="22"/>
      <c r="AT82" s="22"/>
      <c r="AU82" s="22"/>
      <c r="AV82" s="22"/>
      <c r="AW82" s="22"/>
      <c r="AX82" s="22"/>
      <c r="AY82" s="22"/>
      <c r="AZ82" s="22"/>
      <c r="BA82" s="5"/>
    </row>
    <row r="83" spans="1:53" ht="26.5" thickBot="1" x14ac:dyDescent="0.4">
      <c r="A83" s="16" t="s">
        <v>535</v>
      </c>
      <c r="B83" s="16" t="s">
        <v>535</v>
      </c>
      <c r="C83" s="16" t="s">
        <v>535</v>
      </c>
      <c r="D83" s="16" t="s">
        <v>535</v>
      </c>
      <c r="E83" s="16" t="s">
        <v>535</v>
      </c>
      <c r="F83" s="16" t="s">
        <v>243</v>
      </c>
      <c r="G83" s="16" t="s">
        <v>243</v>
      </c>
      <c r="H83" s="16" t="s">
        <v>535</v>
      </c>
      <c r="I83" s="16" t="s">
        <v>535</v>
      </c>
      <c r="J83" s="5" t="s">
        <v>545</v>
      </c>
      <c r="K83" s="5" t="s">
        <v>619</v>
      </c>
      <c r="L83" s="5" t="s">
        <v>646</v>
      </c>
      <c r="M83" s="5" t="s">
        <v>618</v>
      </c>
      <c r="N83" s="5" t="s">
        <v>629</v>
      </c>
      <c r="O83" s="5">
        <v>1.609</v>
      </c>
      <c r="P83" s="45"/>
      <c r="Q83" s="45"/>
      <c r="R83" s="179">
        <v>5.8290000000000002E-2</v>
      </c>
      <c r="S83" s="179">
        <v>2.49E-3</v>
      </c>
      <c r="T83" s="179">
        <v>1.52E-2</v>
      </c>
      <c r="U83" s="45"/>
      <c r="V83" s="53">
        <f t="shared" si="1"/>
        <v>7.5980000000000006E-2</v>
      </c>
      <c r="W83" s="22"/>
      <c r="X83" s="22"/>
      <c r="Y83" s="22"/>
      <c r="Z83" s="22"/>
      <c r="AA83" s="22"/>
      <c r="AB83" s="22"/>
      <c r="AC83" s="22"/>
      <c r="AD83" s="22"/>
      <c r="AE83" s="22"/>
      <c r="AF83" s="22"/>
      <c r="AG83" s="22"/>
      <c r="AH83" s="22"/>
      <c r="AI83" s="22"/>
      <c r="AJ83" s="22"/>
      <c r="AK83" s="22"/>
      <c r="AL83" s="22"/>
      <c r="AM83" s="22"/>
      <c r="AN83" s="22" t="s">
        <v>243</v>
      </c>
      <c r="AO83" s="22" t="s">
        <v>243</v>
      </c>
      <c r="AP83" s="22"/>
      <c r="AQ83" s="22"/>
      <c r="AR83" s="22"/>
      <c r="AS83" s="22"/>
      <c r="AT83" s="22"/>
      <c r="AU83" s="22"/>
      <c r="AV83" s="22"/>
      <c r="AW83" s="22"/>
      <c r="AX83" s="22"/>
      <c r="AY83" s="22"/>
      <c r="AZ83" s="22"/>
      <c r="BA83" s="5"/>
    </row>
    <row r="84" spans="1:53" ht="26.5" thickBot="1" x14ac:dyDescent="0.4">
      <c r="A84" s="16" t="s">
        <v>535</v>
      </c>
      <c r="B84" s="16" t="s">
        <v>535</v>
      </c>
      <c r="C84" s="16" t="s">
        <v>535</v>
      </c>
      <c r="D84" s="16" t="s">
        <v>535</v>
      </c>
      <c r="E84" s="16" t="s">
        <v>535</v>
      </c>
      <c r="F84" s="16" t="s">
        <v>243</v>
      </c>
      <c r="G84" s="16" t="s">
        <v>243</v>
      </c>
      <c r="H84" s="16" t="s">
        <v>535</v>
      </c>
      <c r="I84" s="16" t="s">
        <v>535</v>
      </c>
      <c r="J84" s="5" t="s">
        <v>545</v>
      </c>
      <c r="K84" s="5" t="s">
        <v>630</v>
      </c>
      <c r="L84" s="5" t="s">
        <v>646</v>
      </c>
      <c r="M84" s="5" t="s">
        <v>618</v>
      </c>
      <c r="N84" s="5" t="s">
        <v>629</v>
      </c>
      <c r="O84" s="5">
        <v>1.609</v>
      </c>
      <c r="P84" s="45"/>
      <c r="Q84" s="45"/>
      <c r="R84" s="179">
        <v>9.2149999999999996E-2</v>
      </c>
      <c r="S84" s="179">
        <v>9.7000000000000005E-4</v>
      </c>
      <c r="T84" s="179">
        <v>2.5239999999999999E-2</v>
      </c>
      <c r="U84" s="45"/>
      <c r="V84" s="53">
        <f t="shared" si="1"/>
        <v>0.11835999999999999</v>
      </c>
      <c r="W84" s="22"/>
      <c r="X84" s="22"/>
      <c r="Y84" s="22"/>
      <c r="Z84" s="22"/>
      <c r="AA84" s="22"/>
      <c r="AB84" s="22"/>
      <c r="AC84" s="22"/>
      <c r="AD84" s="22"/>
      <c r="AE84" s="22"/>
      <c r="AF84" s="22"/>
      <c r="AG84" s="22"/>
      <c r="AH84" s="22"/>
      <c r="AI84" s="22"/>
      <c r="AJ84" s="22"/>
      <c r="AK84" s="22"/>
      <c r="AL84" s="22"/>
      <c r="AM84" s="22"/>
      <c r="AN84" s="22" t="s">
        <v>243</v>
      </c>
      <c r="AO84" s="22" t="s">
        <v>243</v>
      </c>
      <c r="AP84" s="22"/>
      <c r="AQ84" s="22"/>
      <c r="AR84" s="22"/>
      <c r="AS84" s="22"/>
      <c r="AT84" s="22"/>
      <c r="AU84" s="22"/>
      <c r="AV84" s="22"/>
      <c r="AW84" s="22"/>
      <c r="AX84" s="22"/>
      <c r="AY84" s="22"/>
      <c r="AZ84" s="22"/>
      <c r="BA84" s="5"/>
    </row>
    <row r="85" spans="1:53" ht="26.5" thickBot="1" x14ac:dyDescent="0.4">
      <c r="A85" s="16" t="s">
        <v>535</v>
      </c>
      <c r="B85" s="16" t="s">
        <v>535</v>
      </c>
      <c r="C85" s="16" t="s">
        <v>535</v>
      </c>
      <c r="D85" s="16" t="s">
        <v>535</v>
      </c>
      <c r="E85" s="16" t="s">
        <v>535</v>
      </c>
      <c r="F85" s="16" t="s">
        <v>243</v>
      </c>
      <c r="G85" s="16" t="s">
        <v>243</v>
      </c>
      <c r="H85" s="16" t="s">
        <v>535</v>
      </c>
      <c r="I85" s="16" t="s">
        <v>535</v>
      </c>
      <c r="J85" s="5" t="s">
        <v>545</v>
      </c>
      <c r="K85" s="5" t="s">
        <v>639</v>
      </c>
      <c r="L85" s="5" t="s">
        <v>646</v>
      </c>
      <c r="M85" s="5" t="s">
        <v>618</v>
      </c>
      <c r="N85" s="5" t="s">
        <v>629</v>
      </c>
      <c r="O85" s="5">
        <v>1.609</v>
      </c>
      <c r="P85" s="45"/>
      <c r="Q85" s="45"/>
      <c r="R85" s="179">
        <v>0.11792</v>
      </c>
      <c r="S85" s="179">
        <v>1.31E-3</v>
      </c>
      <c r="T85" s="179">
        <v>3.2210000000000003E-2</v>
      </c>
      <c r="U85" s="45"/>
      <c r="V85" s="53">
        <f t="shared" si="1"/>
        <v>0.15144000000000002</v>
      </c>
      <c r="W85" s="22"/>
      <c r="X85" s="22"/>
      <c r="Y85" s="22"/>
      <c r="Z85" s="22"/>
      <c r="AA85" s="22"/>
      <c r="AB85" s="22"/>
      <c r="AC85" s="22"/>
      <c r="AD85" s="22"/>
      <c r="AE85" s="22"/>
      <c r="AF85" s="22"/>
      <c r="AG85" s="22"/>
      <c r="AH85" s="22"/>
      <c r="AI85" s="22"/>
      <c r="AJ85" s="22"/>
      <c r="AK85" s="22"/>
      <c r="AL85" s="22"/>
      <c r="AM85" s="22"/>
      <c r="AN85" s="22" t="s">
        <v>243</v>
      </c>
      <c r="AO85" s="22" t="s">
        <v>243</v>
      </c>
      <c r="AP85" s="22"/>
      <c r="AQ85" s="22"/>
      <c r="AR85" s="22"/>
      <c r="AS85" s="22"/>
      <c r="AT85" s="22"/>
      <c r="AU85" s="22"/>
      <c r="AV85" s="22"/>
      <c r="AW85" s="22"/>
      <c r="AX85" s="22"/>
      <c r="AY85" s="22"/>
      <c r="AZ85" s="22"/>
      <c r="BA85" s="5"/>
    </row>
    <row r="86" spans="1:53" ht="26.5" thickBot="1" x14ac:dyDescent="0.4">
      <c r="A86" s="16" t="s">
        <v>535</v>
      </c>
      <c r="B86" s="16" t="s">
        <v>535</v>
      </c>
      <c r="C86" s="16" t="s">
        <v>535</v>
      </c>
      <c r="D86" s="16" t="s">
        <v>535</v>
      </c>
      <c r="E86" s="16" t="s">
        <v>535</v>
      </c>
      <c r="F86" s="16" t="s">
        <v>243</v>
      </c>
      <c r="G86" s="16" t="s">
        <v>243</v>
      </c>
      <c r="H86" s="16" t="s">
        <v>535</v>
      </c>
      <c r="I86" s="16" t="s">
        <v>535</v>
      </c>
      <c r="J86" s="5" t="s">
        <v>545</v>
      </c>
      <c r="K86" s="5" t="s">
        <v>620</v>
      </c>
      <c r="L86" s="5" t="s">
        <v>646</v>
      </c>
      <c r="M86" s="5" t="s">
        <v>618</v>
      </c>
      <c r="N86" s="5" t="s">
        <v>629</v>
      </c>
      <c r="O86" s="5">
        <v>1.609</v>
      </c>
      <c r="P86" s="45"/>
      <c r="Q86" s="45"/>
      <c r="R86" s="179">
        <v>0.10732</v>
      </c>
      <c r="S86" s="179">
        <v>1.2099999999999999E-3</v>
      </c>
      <c r="T86" s="179">
        <v>2.9340000000000001E-2</v>
      </c>
      <c r="U86" s="45"/>
      <c r="V86" s="53">
        <f t="shared" si="1"/>
        <v>0.13786999999999999</v>
      </c>
      <c r="W86" s="22"/>
      <c r="X86" s="22"/>
      <c r="Y86" s="22"/>
      <c r="Z86" s="22"/>
      <c r="AA86" s="22"/>
      <c r="AB86" s="22"/>
      <c r="AC86" s="22"/>
      <c r="AD86" s="22"/>
      <c r="AE86" s="22"/>
      <c r="AF86" s="22"/>
      <c r="AG86" s="22"/>
      <c r="AH86" s="22"/>
      <c r="AI86" s="22"/>
      <c r="AJ86" s="22"/>
      <c r="AK86" s="22"/>
      <c r="AL86" s="22"/>
      <c r="AM86" s="22"/>
      <c r="AN86" s="22" t="s">
        <v>243</v>
      </c>
      <c r="AO86" s="22" t="s">
        <v>243</v>
      </c>
      <c r="AP86" s="22"/>
      <c r="AQ86" s="22"/>
      <c r="AR86" s="22"/>
      <c r="AS86" s="22"/>
      <c r="AT86" s="22"/>
      <c r="AU86" s="22"/>
      <c r="AV86" s="22"/>
      <c r="AW86" s="22"/>
      <c r="AX86" s="22"/>
      <c r="AY86" s="22"/>
      <c r="AZ86" s="22"/>
      <c r="BA86" s="5"/>
    </row>
    <row r="87" spans="1:53" ht="26.5" thickBot="1" x14ac:dyDescent="0.4">
      <c r="A87" s="16" t="s">
        <v>535</v>
      </c>
      <c r="B87" s="16" t="s">
        <v>535</v>
      </c>
      <c r="C87" s="16" t="s">
        <v>535</v>
      </c>
      <c r="D87" s="16" t="s">
        <v>535</v>
      </c>
      <c r="E87" s="16" t="s">
        <v>535</v>
      </c>
      <c r="F87" s="16" t="s">
        <v>243</v>
      </c>
      <c r="G87" s="16" t="s">
        <v>243</v>
      </c>
      <c r="H87" s="16" t="s">
        <v>535</v>
      </c>
      <c r="I87" s="16" t="s">
        <v>535</v>
      </c>
      <c r="J87" s="5" t="s">
        <v>545</v>
      </c>
      <c r="K87" s="5" t="s">
        <v>619</v>
      </c>
      <c r="L87" s="5" t="s">
        <v>647</v>
      </c>
      <c r="M87" s="5" t="s">
        <v>618</v>
      </c>
      <c r="N87" s="5" t="s">
        <v>629</v>
      </c>
      <c r="O87" s="5">
        <v>1.609</v>
      </c>
      <c r="P87" s="45"/>
      <c r="Q87" s="45"/>
      <c r="R87" s="179">
        <v>3.9370000000000002E-2</v>
      </c>
      <c r="S87" s="179">
        <v>3.47E-3</v>
      </c>
      <c r="T87" s="179">
        <v>9.4800000000000006E-3</v>
      </c>
      <c r="U87" s="45"/>
      <c r="V87" s="53">
        <f t="shared" si="1"/>
        <v>5.2320000000000005E-2</v>
      </c>
      <c r="W87" s="22"/>
      <c r="X87" s="22"/>
      <c r="Y87" s="22"/>
      <c r="Z87" s="22"/>
      <c r="AA87" s="22"/>
      <c r="AB87" s="22"/>
      <c r="AC87" s="22"/>
      <c r="AD87" s="22"/>
      <c r="AE87" s="22"/>
      <c r="AF87" s="22"/>
      <c r="AG87" s="22"/>
      <c r="AH87" s="22"/>
      <c r="AI87" s="22"/>
      <c r="AJ87" s="22"/>
      <c r="AK87" s="22"/>
      <c r="AL87" s="22"/>
      <c r="AM87" s="22"/>
      <c r="AN87" s="22" t="s">
        <v>243</v>
      </c>
      <c r="AO87" s="22" t="s">
        <v>243</v>
      </c>
      <c r="AP87" s="22"/>
      <c r="AQ87" s="22"/>
      <c r="AR87" s="22"/>
      <c r="AS87" s="22"/>
      <c r="AT87" s="22"/>
      <c r="AU87" s="22"/>
      <c r="AV87" s="22"/>
      <c r="AW87" s="22"/>
      <c r="AX87" s="22"/>
      <c r="AY87" s="22"/>
      <c r="AZ87" s="22"/>
      <c r="BA87" s="5"/>
    </row>
    <row r="88" spans="1:53" ht="26.5" thickBot="1" x14ac:dyDescent="0.4">
      <c r="A88" s="16" t="s">
        <v>535</v>
      </c>
      <c r="B88" s="16" t="s">
        <v>535</v>
      </c>
      <c r="C88" s="16" t="s">
        <v>535</v>
      </c>
      <c r="D88" s="16" t="s">
        <v>535</v>
      </c>
      <c r="E88" s="16" t="s">
        <v>535</v>
      </c>
      <c r="F88" s="16" t="s">
        <v>243</v>
      </c>
      <c r="G88" s="16" t="s">
        <v>243</v>
      </c>
      <c r="H88" s="16" t="s">
        <v>535</v>
      </c>
      <c r="I88" s="16" t="s">
        <v>535</v>
      </c>
      <c r="J88" s="5" t="s">
        <v>545</v>
      </c>
      <c r="K88" s="5" t="s">
        <v>630</v>
      </c>
      <c r="L88" s="5" t="s">
        <v>647</v>
      </c>
      <c r="M88" s="5" t="s">
        <v>618</v>
      </c>
      <c r="N88" s="5" t="s">
        <v>629</v>
      </c>
      <c r="O88" s="5">
        <v>1.609</v>
      </c>
      <c r="P88" s="45"/>
      <c r="Q88" s="45"/>
      <c r="R88" s="179">
        <v>4.249E-2</v>
      </c>
      <c r="S88" s="179">
        <v>3.7599999999999999E-3</v>
      </c>
      <c r="T88" s="179">
        <v>1.022E-2</v>
      </c>
      <c r="U88" s="45"/>
      <c r="V88" s="53">
        <f t="shared" si="1"/>
        <v>5.6469999999999999E-2</v>
      </c>
      <c r="W88" s="22"/>
      <c r="X88" s="22"/>
      <c r="Y88" s="22"/>
      <c r="Z88" s="22"/>
      <c r="AA88" s="22"/>
      <c r="AB88" s="22"/>
      <c r="AC88" s="22"/>
      <c r="AD88" s="22"/>
      <c r="AE88" s="22"/>
      <c r="AF88" s="22"/>
      <c r="AG88" s="22"/>
      <c r="AH88" s="22"/>
      <c r="AI88" s="22"/>
      <c r="AJ88" s="22"/>
      <c r="AK88" s="22"/>
      <c r="AL88" s="22"/>
      <c r="AM88" s="22"/>
      <c r="AN88" s="22" t="s">
        <v>243</v>
      </c>
      <c r="AO88" s="22" t="s">
        <v>243</v>
      </c>
      <c r="AP88" s="22"/>
      <c r="AQ88" s="22"/>
      <c r="AR88" s="22"/>
      <c r="AS88" s="22"/>
      <c r="AT88" s="22"/>
      <c r="AU88" s="22"/>
      <c r="AV88" s="22"/>
      <c r="AW88" s="22"/>
      <c r="AX88" s="22"/>
      <c r="AY88" s="22"/>
      <c r="AZ88" s="22"/>
      <c r="BA88" s="5"/>
    </row>
    <row r="89" spans="1:53" ht="26.5" thickBot="1" x14ac:dyDescent="0.4">
      <c r="A89" s="16" t="s">
        <v>535</v>
      </c>
      <c r="B89" s="16" t="s">
        <v>535</v>
      </c>
      <c r="C89" s="16" t="s">
        <v>535</v>
      </c>
      <c r="D89" s="16" t="s">
        <v>535</v>
      </c>
      <c r="E89" s="16" t="s">
        <v>535</v>
      </c>
      <c r="F89" s="16" t="s">
        <v>243</v>
      </c>
      <c r="G89" s="16" t="s">
        <v>243</v>
      </c>
      <c r="H89" s="16" t="s">
        <v>535</v>
      </c>
      <c r="I89" s="16" t="s">
        <v>535</v>
      </c>
      <c r="J89" s="5" t="s">
        <v>545</v>
      </c>
      <c r="K89" s="5" t="s">
        <v>639</v>
      </c>
      <c r="L89" s="5" t="s">
        <v>647</v>
      </c>
      <c r="M89" s="5" t="s">
        <v>618</v>
      </c>
      <c r="N89" s="5" t="s">
        <v>629</v>
      </c>
      <c r="O89" s="5">
        <v>1.609</v>
      </c>
      <c r="P89" s="45"/>
      <c r="Q89" s="45"/>
      <c r="R89" s="179">
        <v>4.5249999999999999E-2</v>
      </c>
      <c r="S89" s="179">
        <v>4.0000000000000001E-3</v>
      </c>
      <c r="T89" s="179">
        <v>1.0880000000000001E-2</v>
      </c>
      <c r="U89" s="45"/>
      <c r="V89" s="53">
        <f t="shared" si="1"/>
        <v>6.0130000000000003E-2</v>
      </c>
      <c r="W89" s="22"/>
      <c r="X89" s="22"/>
      <c r="Y89" s="22"/>
      <c r="Z89" s="22"/>
      <c r="AA89" s="22"/>
      <c r="AB89" s="22"/>
      <c r="AC89" s="22"/>
      <c r="AD89" s="22"/>
      <c r="AE89" s="22"/>
      <c r="AF89" s="22"/>
      <c r="AG89" s="22"/>
      <c r="AH89" s="22"/>
      <c r="AI89" s="22"/>
      <c r="AJ89" s="22"/>
      <c r="AK89" s="22"/>
      <c r="AL89" s="22"/>
      <c r="AM89" s="22"/>
      <c r="AN89" s="22" t="s">
        <v>243</v>
      </c>
      <c r="AO89" s="22" t="s">
        <v>243</v>
      </c>
      <c r="AP89" s="22"/>
      <c r="AQ89" s="22"/>
      <c r="AR89" s="22"/>
      <c r="AS89" s="22"/>
      <c r="AT89" s="22"/>
      <c r="AU89" s="22"/>
      <c r="AV89" s="22"/>
      <c r="AW89" s="22"/>
      <c r="AX89" s="22"/>
      <c r="AY89" s="22"/>
      <c r="AZ89" s="22"/>
      <c r="BA89" s="5"/>
    </row>
    <row r="90" spans="1:53" ht="26.5" thickBot="1" x14ac:dyDescent="0.4">
      <c r="A90" s="16" t="s">
        <v>535</v>
      </c>
      <c r="B90" s="16" t="s">
        <v>535</v>
      </c>
      <c r="C90" s="16" t="s">
        <v>535</v>
      </c>
      <c r="D90" s="16" t="s">
        <v>535</v>
      </c>
      <c r="E90" s="16" t="s">
        <v>535</v>
      </c>
      <c r="F90" s="16" t="s">
        <v>243</v>
      </c>
      <c r="G90" s="16" t="s">
        <v>243</v>
      </c>
      <c r="H90" s="16" t="s">
        <v>535</v>
      </c>
      <c r="I90" s="16" t="s">
        <v>535</v>
      </c>
      <c r="J90" s="5" t="s">
        <v>545</v>
      </c>
      <c r="K90" s="5" t="s">
        <v>620</v>
      </c>
      <c r="L90" s="5" t="s">
        <v>647</v>
      </c>
      <c r="M90" s="5" t="s">
        <v>618</v>
      </c>
      <c r="N90" s="5" t="s">
        <v>629</v>
      </c>
      <c r="O90" s="5">
        <v>1.609</v>
      </c>
      <c r="P90" s="45"/>
      <c r="Q90" s="45"/>
      <c r="R90" s="179">
        <v>4.3589999999999997E-2</v>
      </c>
      <c r="S90" s="179">
        <v>3.8600000000000001E-3</v>
      </c>
      <c r="T90" s="179">
        <v>1.0489999999999999E-2</v>
      </c>
      <c r="U90" s="45"/>
      <c r="V90" s="53">
        <f t="shared" si="1"/>
        <v>5.7939999999999998E-2</v>
      </c>
      <c r="W90" s="22"/>
      <c r="X90" s="22"/>
      <c r="Y90" s="22"/>
      <c r="Z90" s="22"/>
      <c r="AA90" s="22"/>
      <c r="AB90" s="22"/>
      <c r="AC90" s="22"/>
      <c r="AD90" s="22"/>
      <c r="AE90" s="22"/>
      <c r="AF90" s="22"/>
      <c r="AG90" s="22"/>
      <c r="AH90" s="22"/>
      <c r="AI90" s="22"/>
      <c r="AJ90" s="22"/>
      <c r="AK90" s="22"/>
      <c r="AL90" s="22"/>
      <c r="AM90" s="22"/>
      <c r="AN90" s="22" t="s">
        <v>243</v>
      </c>
      <c r="AO90" s="22" t="s">
        <v>243</v>
      </c>
      <c r="AP90" s="22"/>
      <c r="AQ90" s="22"/>
      <c r="AR90" s="22"/>
      <c r="AS90" s="22"/>
      <c r="AT90" s="22"/>
      <c r="AU90" s="22"/>
      <c r="AV90" s="22"/>
      <c r="AW90" s="22"/>
      <c r="AX90" s="22"/>
      <c r="AY90" s="22"/>
      <c r="AZ90" s="22"/>
      <c r="BA90" s="5"/>
    </row>
    <row r="91" spans="1:53" ht="15" thickBot="1" x14ac:dyDescent="0.4">
      <c r="A91" s="16" t="s">
        <v>535</v>
      </c>
      <c r="B91" s="16" t="s">
        <v>535</v>
      </c>
      <c r="C91" s="16" t="s">
        <v>535</v>
      </c>
      <c r="D91" s="16" t="s">
        <v>535</v>
      </c>
      <c r="E91" s="16" t="s">
        <v>535</v>
      </c>
      <c r="F91" s="16" t="s">
        <v>243</v>
      </c>
      <c r="G91" s="16" t="s">
        <v>243</v>
      </c>
      <c r="H91" s="16" t="s">
        <v>535</v>
      </c>
      <c r="I91" s="16" t="s">
        <v>535</v>
      </c>
      <c r="J91" s="5" t="s">
        <v>545</v>
      </c>
      <c r="K91" s="5" t="s">
        <v>619</v>
      </c>
      <c r="L91" s="5" t="s">
        <v>658</v>
      </c>
      <c r="M91" s="5" t="s">
        <v>618</v>
      </c>
      <c r="N91" s="5" t="s">
        <v>629</v>
      </c>
      <c r="O91" s="5">
        <v>1.609</v>
      </c>
      <c r="P91" s="45"/>
      <c r="Q91" s="45"/>
      <c r="R91" s="179">
        <v>0.14262</v>
      </c>
      <c r="S91" s="45"/>
      <c r="T91" s="179">
        <v>3.8359999999999998E-2</v>
      </c>
      <c r="U91" s="45"/>
      <c r="V91" s="53">
        <f t="shared" si="1"/>
        <v>0.18098</v>
      </c>
      <c r="W91" s="22"/>
      <c r="X91" s="22"/>
      <c r="Y91" s="22"/>
      <c r="Z91" s="22"/>
      <c r="AA91" s="22"/>
      <c r="AB91" s="22"/>
      <c r="AC91" s="22"/>
      <c r="AD91" s="22"/>
      <c r="AE91" s="22"/>
      <c r="AF91" s="22"/>
      <c r="AG91" s="22"/>
      <c r="AH91" s="22"/>
      <c r="AI91" s="22"/>
      <c r="AJ91" s="22"/>
      <c r="AK91" s="22"/>
      <c r="AL91" s="22"/>
      <c r="AM91" s="22"/>
      <c r="AN91" s="22" t="s">
        <v>243</v>
      </c>
      <c r="AO91" s="22" t="s">
        <v>243</v>
      </c>
      <c r="AP91" s="22"/>
      <c r="AQ91" s="22"/>
      <c r="AR91" s="22"/>
      <c r="AS91" s="22"/>
      <c r="AT91" s="22"/>
      <c r="AU91" s="22"/>
      <c r="AV91" s="22"/>
      <c r="AW91" s="22"/>
      <c r="AX91" s="22"/>
      <c r="AY91" s="22"/>
      <c r="AZ91" s="22"/>
      <c r="BA91" s="5"/>
    </row>
    <row r="92" spans="1:53" ht="15" thickBot="1" x14ac:dyDescent="0.4">
      <c r="A92" s="16" t="s">
        <v>535</v>
      </c>
      <c r="B92" s="16" t="s">
        <v>535</v>
      </c>
      <c r="C92" s="16" t="s">
        <v>535</v>
      </c>
      <c r="D92" s="16" t="s">
        <v>535</v>
      </c>
      <c r="E92" s="16" t="s">
        <v>535</v>
      </c>
      <c r="F92" s="16" t="s">
        <v>243</v>
      </c>
      <c r="G92" s="16" t="s">
        <v>243</v>
      </c>
      <c r="H92" s="16" t="s">
        <v>535</v>
      </c>
      <c r="I92" s="16" t="s">
        <v>535</v>
      </c>
      <c r="J92" s="5" t="s">
        <v>545</v>
      </c>
      <c r="K92" s="5" t="s">
        <v>630</v>
      </c>
      <c r="L92" s="5" t="s">
        <v>658</v>
      </c>
      <c r="M92" s="5" t="s">
        <v>618</v>
      </c>
      <c r="N92" s="5" t="s">
        <v>629</v>
      </c>
      <c r="O92" s="5">
        <v>1.609</v>
      </c>
      <c r="P92" s="45"/>
      <c r="Q92" s="45"/>
      <c r="R92" s="179">
        <v>0.17255999999999999</v>
      </c>
      <c r="S92" s="45"/>
      <c r="T92" s="179">
        <v>4.5179999999999998E-2</v>
      </c>
      <c r="U92" s="45"/>
      <c r="V92" s="53">
        <f t="shared" si="1"/>
        <v>0.21773999999999999</v>
      </c>
      <c r="W92" s="22"/>
      <c r="X92" s="22"/>
      <c r="Y92" s="22"/>
      <c r="Z92" s="22"/>
      <c r="AA92" s="22"/>
      <c r="AB92" s="22"/>
      <c r="AC92" s="22"/>
      <c r="AD92" s="22"/>
      <c r="AE92" s="22"/>
      <c r="AF92" s="22"/>
      <c r="AG92" s="22"/>
      <c r="AH92" s="22"/>
      <c r="AI92" s="22"/>
      <c r="AJ92" s="22"/>
      <c r="AK92" s="22"/>
      <c r="AL92" s="22"/>
      <c r="AM92" s="22"/>
      <c r="AN92" s="22" t="s">
        <v>243</v>
      </c>
      <c r="AO92" s="22" t="s">
        <v>243</v>
      </c>
      <c r="AP92" s="22"/>
      <c r="AQ92" s="22"/>
      <c r="AR92" s="22"/>
      <c r="AS92" s="22"/>
      <c r="AT92" s="22"/>
      <c r="AU92" s="22"/>
      <c r="AV92" s="22"/>
      <c r="AW92" s="22"/>
      <c r="AX92" s="22"/>
      <c r="AY92" s="22"/>
      <c r="AZ92" s="22"/>
      <c r="BA92" s="5"/>
    </row>
    <row r="93" spans="1:53" ht="15" thickBot="1" x14ac:dyDescent="0.4">
      <c r="A93" s="16" t="s">
        <v>535</v>
      </c>
      <c r="B93" s="16" t="s">
        <v>535</v>
      </c>
      <c r="C93" s="16" t="s">
        <v>535</v>
      </c>
      <c r="D93" s="16" t="s">
        <v>535</v>
      </c>
      <c r="E93" s="16" t="s">
        <v>535</v>
      </c>
      <c r="F93" s="16" t="s">
        <v>243</v>
      </c>
      <c r="G93" s="16" t="s">
        <v>243</v>
      </c>
      <c r="H93" s="16" t="s">
        <v>535</v>
      </c>
      <c r="I93" s="16" t="s">
        <v>535</v>
      </c>
      <c r="J93" s="5" t="s">
        <v>545</v>
      </c>
      <c r="K93" s="5" t="s">
        <v>639</v>
      </c>
      <c r="L93" s="5" t="s">
        <v>658</v>
      </c>
      <c r="M93" s="5" t="s">
        <v>618</v>
      </c>
      <c r="N93" s="5" t="s">
        <v>629</v>
      </c>
      <c r="O93" s="5">
        <v>1.609</v>
      </c>
      <c r="P93" s="45"/>
      <c r="Q93" s="45"/>
      <c r="R93" s="179">
        <v>0.22472</v>
      </c>
      <c r="S93" s="45"/>
      <c r="T93" s="179">
        <v>5.7639999999999997E-2</v>
      </c>
      <c r="U93" s="45"/>
      <c r="V93" s="53">
        <f t="shared" si="1"/>
        <v>0.28236</v>
      </c>
      <c r="W93" s="22"/>
      <c r="X93" s="22"/>
      <c r="Y93" s="22"/>
      <c r="Z93" s="22"/>
      <c r="AA93" s="22"/>
      <c r="AB93" s="22"/>
      <c r="AC93" s="22"/>
      <c r="AD93" s="22"/>
      <c r="AE93" s="22"/>
      <c r="AF93" s="22"/>
      <c r="AG93" s="22"/>
      <c r="AH93" s="22"/>
      <c r="AI93" s="22"/>
      <c r="AJ93" s="22"/>
      <c r="AK93" s="22"/>
      <c r="AL93" s="22"/>
      <c r="AM93" s="22"/>
      <c r="AN93" s="22" t="s">
        <v>243</v>
      </c>
      <c r="AO93" s="22" t="s">
        <v>243</v>
      </c>
      <c r="AP93" s="22"/>
      <c r="AQ93" s="22"/>
      <c r="AR93" s="22"/>
      <c r="AS93" s="22"/>
      <c r="AT93" s="22"/>
      <c r="AU93" s="22"/>
      <c r="AV93" s="22"/>
      <c r="AW93" s="22"/>
      <c r="AX93" s="22"/>
      <c r="AY93" s="22"/>
      <c r="AZ93" s="22"/>
      <c r="BA93" s="5"/>
    </row>
    <row r="94" spans="1:53" ht="15" thickBot="1" x14ac:dyDescent="0.4">
      <c r="A94" s="16" t="s">
        <v>535</v>
      </c>
      <c r="B94" s="16" t="s">
        <v>535</v>
      </c>
      <c r="C94" s="16" t="s">
        <v>535</v>
      </c>
      <c r="D94" s="16" t="s">
        <v>535</v>
      </c>
      <c r="E94" s="16" t="s">
        <v>535</v>
      </c>
      <c r="F94" s="16" t="s">
        <v>243</v>
      </c>
      <c r="G94" s="16" t="s">
        <v>243</v>
      </c>
      <c r="H94" s="16" t="s">
        <v>535</v>
      </c>
      <c r="I94" s="16" t="s">
        <v>535</v>
      </c>
      <c r="J94" s="5" t="s">
        <v>545</v>
      </c>
      <c r="K94" s="5" t="s">
        <v>620</v>
      </c>
      <c r="L94" s="5" t="s">
        <v>658</v>
      </c>
      <c r="M94" s="5" t="s">
        <v>618</v>
      </c>
      <c r="N94" s="5" t="s">
        <v>629</v>
      </c>
      <c r="O94" s="5">
        <v>1.609</v>
      </c>
      <c r="P94" s="45"/>
      <c r="Q94" s="45"/>
      <c r="R94" s="179">
        <v>0.16691</v>
      </c>
      <c r="S94" s="45"/>
      <c r="T94" s="179">
        <v>4.3990000000000001E-2</v>
      </c>
      <c r="U94" s="45"/>
      <c r="V94" s="53">
        <f t="shared" si="1"/>
        <v>0.2109</v>
      </c>
      <c r="W94" s="22"/>
      <c r="X94" s="22"/>
      <c r="Y94" s="22"/>
      <c r="Z94" s="22"/>
      <c r="AA94" s="22"/>
      <c r="AB94" s="22"/>
      <c r="AC94" s="22"/>
      <c r="AD94" s="22"/>
      <c r="AE94" s="22"/>
      <c r="AF94" s="22"/>
      <c r="AG94" s="22"/>
      <c r="AH94" s="22"/>
      <c r="AI94" s="22"/>
      <c r="AJ94" s="22"/>
      <c r="AK94" s="22"/>
      <c r="AL94" s="22"/>
      <c r="AM94" s="22"/>
      <c r="AN94" s="22" t="s">
        <v>243</v>
      </c>
      <c r="AO94" s="22" t="s">
        <v>243</v>
      </c>
      <c r="AP94" s="22"/>
      <c r="AQ94" s="22"/>
      <c r="AR94" s="22"/>
      <c r="AS94" s="22"/>
      <c r="AT94" s="22"/>
      <c r="AU94" s="22"/>
      <c r="AV94" s="22"/>
      <c r="AW94" s="22"/>
      <c r="AX94" s="22"/>
      <c r="AY94" s="22"/>
      <c r="AZ94" s="22"/>
      <c r="BA94" s="5"/>
    </row>
    <row r="95" spans="1:53" ht="15" thickBot="1" x14ac:dyDescent="0.4">
      <c r="A95" s="16" t="s">
        <v>535</v>
      </c>
      <c r="B95" s="16" t="s">
        <v>535</v>
      </c>
      <c r="C95" s="16" t="s">
        <v>535</v>
      </c>
      <c r="D95" s="16" t="s">
        <v>535</v>
      </c>
      <c r="E95" s="16" t="s">
        <v>535</v>
      </c>
      <c r="F95" s="16" t="s">
        <v>243</v>
      </c>
      <c r="G95" s="16" t="s">
        <v>243</v>
      </c>
      <c r="H95" s="16" t="s">
        <v>535</v>
      </c>
      <c r="I95" s="16" t="s">
        <v>535</v>
      </c>
      <c r="J95" s="5" t="s">
        <v>546</v>
      </c>
      <c r="K95" s="5" t="s">
        <v>619</v>
      </c>
      <c r="L95" s="5" t="s">
        <v>590</v>
      </c>
      <c r="M95" s="5" t="s">
        <v>618</v>
      </c>
      <c r="N95" s="5" t="s">
        <v>629</v>
      </c>
      <c r="O95" s="5">
        <v>1.609</v>
      </c>
      <c r="P95" s="45"/>
      <c r="Q95" s="45"/>
      <c r="R95" s="179">
        <v>8.319E-2</v>
      </c>
      <c r="S95" s="45"/>
      <c r="T95" s="179">
        <v>2.1479999999999999E-2</v>
      </c>
      <c r="U95" s="45"/>
      <c r="V95" s="53">
        <f t="shared" si="1"/>
        <v>0.10467</v>
      </c>
      <c r="W95" s="22"/>
      <c r="X95" s="22"/>
      <c r="Y95" s="22"/>
      <c r="Z95" s="22"/>
      <c r="AA95" s="22"/>
      <c r="AB95" s="22"/>
      <c r="AC95" s="22"/>
      <c r="AD95" s="22"/>
      <c r="AE95" s="22"/>
      <c r="AF95" s="22"/>
      <c r="AG95" s="22"/>
      <c r="AH95" s="22"/>
      <c r="AI95" s="22"/>
      <c r="AJ95" s="22"/>
      <c r="AK95" s="22"/>
      <c r="AL95" s="22"/>
      <c r="AM95" s="22"/>
      <c r="AN95" s="22" t="s">
        <v>243</v>
      </c>
      <c r="AO95" s="22" t="s">
        <v>243</v>
      </c>
      <c r="AP95" s="22"/>
      <c r="AQ95" s="22"/>
      <c r="AR95" s="22"/>
      <c r="AS95" s="22"/>
      <c r="AT95" s="22"/>
      <c r="AU95" s="22"/>
      <c r="AV95" s="22"/>
      <c r="AW95" s="22"/>
      <c r="AX95" s="22"/>
      <c r="AY95" s="22"/>
      <c r="AZ95" s="22"/>
      <c r="BA95" s="5"/>
    </row>
    <row r="96" spans="1:53" ht="15" thickBot="1" x14ac:dyDescent="0.4">
      <c r="A96" s="16" t="s">
        <v>535</v>
      </c>
      <c r="B96" s="16" t="s">
        <v>535</v>
      </c>
      <c r="C96" s="16" t="s">
        <v>535</v>
      </c>
      <c r="D96" s="16" t="s">
        <v>535</v>
      </c>
      <c r="E96" s="16" t="s">
        <v>535</v>
      </c>
      <c r="F96" s="16" t="s">
        <v>243</v>
      </c>
      <c r="G96" s="16" t="s">
        <v>243</v>
      </c>
      <c r="H96" s="16" t="s">
        <v>535</v>
      </c>
      <c r="I96" s="16" t="s">
        <v>535</v>
      </c>
      <c r="J96" s="5" t="s">
        <v>546</v>
      </c>
      <c r="K96" s="5" t="s">
        <v>630</v>
      </c>
      <c r="L96" s="5" t="s">
        <v>590</v>
      </c>
      <c r="M96" s="5" t="s">
        <v>618</v>
      </c>
      <c r="N96" s="5" t="s">
        <v>629</v>
      </c>
      <c r="O96" s="5">
        <v>1.609</v>
      </c>
      <c r="P96" s="45"/>
      <c r="Q96" s="45"/>
      <c r="R96" s="179">
        <v>0.10106999999999999</v>
      </c>
      <c r="S96" s="45"/>
      <c r="T96" s="179">
        <v>2.6079999999999999E-2</v>
      </c>
      <c r="U96" s="45"/>
      <c r="V96" s="53">
        <f t="shared" si="1"/>
        <v>0.12714999999999999</v>
      </c>
      <c r="W96" s="22"/>
      <c r="X96" s="22"/>
      <c r="Y96" s="22"/>
      <c r="Z96" s="22"/>
      <c r="AA96" s="22"/>
      <c r="AB96" s="22"/>
      <c r="AC96" s="22"/>
      <c r="AD96" s="22"/>
      <c r="AE96" s="22"/>
      <c r="AF96" s="22"/>
      <c r="AG96" s="22"/>
      <c r="AH96" s="22"/>
      <c r="AI96" s="22"/>
      <c r="AJ96" s="22"/>
      <c r="AK96" s="22"/>
      <c r="AL96" s="22"/>
      <c r="AM96" s="22"/>
      <c r="AN96" s="22" t="s">
        <v>243</v>
      </c>
      <c r="AO96" s="22" t="s">
        <v>243</v>
      </c>
      <c r="AP96" s="22"/>
      <c r="AQ96" s="22"/>
      <c r="AR96" s="22"/>
      <c r="AS96" s="22"/>
      <c r="AT96" s="22"/>
      <c r="AU96" s="22"/>
      <c r="AV96" s="22"/>
      <c r="AW96" s="22"/>
      <c r="AX96" s="22"/>
      <c r="AY96" s="22"/>
      <c r="AZ96" s="22"/>
      <c r="BA96" s="5"/>
    </row>
    <row r="97" spans="1:53" ht="15" thickBot="1" x14ac:dyDescent="0.4">
      <c r="A97" s="16" t="s">
        <v>535</v>
      </c>
      <c r="B97" s="16" t="s">
        <v>535</v>
      </c>
      <c r="C97" s="16" t="s">
        <v>535</v>
      </c>
      <c r="D97" s="16" t="s">
        <v>535</v>
      </c>
      <c r="E97" s="16" t="s">
        <v>535</v>
      </c>
      <c r="F97" s="16" t="s">
        <v>243</v>
      </c>
      <c r="G97" s="16" t="s">
        <v>243</v>
      </c>
      <c r="H97" s="16" t="s">
        <v>535</v>
      </c>
      <c r="I97" s="16" t="s">
        <v>535</v>
      </c>
      <c r="J97" s="5" t="s">
        <v>546</v>
      </c>
      <c r="K97" s="5" t="s">
        <v>639</v>
      </c>
      <c r="L97" s="5" t="s">
        <v>590</v>
      </c>
      <c r="M97" s="5" t="s">
        <v>618</v>
      </c>
      <c r="N97" s="5" t="s">
        <v>629</v>
      </c>
      <c r="O97" s="5">
        <v>1.609</v>
      </c>
      <c r="P97" s="45"/>
      <c r="Q97" s="45"/>
      <c r="R97" s="179">
        <v>0.13252</v>
      </c>
      <c r="S97" s="45"/>
      <c r="T97" s="179">
        <v>3.4689999999999999E-2</v>
      </c>
      <c r="U97" s="45"/>
      <c r="V97" s="53">
        <f t="shared" si="1"/>
        <v>0.16721</v>
      </c>
      <c r="W97" s="22"/>
      <c r="X97" s="22"/>
      <c r="Y97" s="22"/>
      <c r="Z97" s="22"/>
      <c r="AA97" s="22"/>
      <c r="AB97" s="22"/>
      <c r="AC97" s="22"/>
      <c r="AD97" s="22"/>
      <c r="AE97" s="22"/>
      <c r="AF97" s="22"/>
      <c r="AG97" s="22"/>
      <c r="AH97" s="22"/>
      <c r="AI97" s="22"/>
      <c r="AJ97" s="22"/>
      <c r="AK97" s="22"/>
      <c r="AL97" s="22"/>
      <c r="AM97" s="22"/>
      <c r="AN97" s="22" t="s">
        <v>243</v>
      </c>
      <c r="AO97" s="22" t="s">
        <v>243</v>
      </c>
      <c r="AP97" s="22"/>
      <c r="AQ97" s="22"/>
      <c r="AR97" s="22"/>
      <c r="AS97" s="22"/>
      <c r="AT97" s="22"/>
      <c r="AU97" s="22"/>
      <c r="AV97" s="22"/>
      <c r="AW97" s="22"/>
      <c r="AX97" s="22"/>
      <c r="AY97" s="22"/>
      <c r="AZ97" s="22"/>
      <c r="BA97" s="5"/>
    </row>
    <row r="98" spans="1:53" ht="15" thickBot="1" x14ac:dyDescent="0.4">
      <c r="A98" s="16" t="s">
        <v>535</v>
      </c>
      <c r="B98" s="16" t="s">
        <v>535</v>
      </c>
      <c r="C98" s="16" t="s">
        <v>535</v>
      </c>
      <c r="D98" s="16" t="s">
        <v>535</v>
      </c>
      <c r="E98" s="16" t="s">
        <v>535</v>
      </c>
      <c r="F98" s="16" t="s">
        <v>243</v>
      </c>
      <c r="G98" s="16" t="s">
        <v>243</v>
      </c>
      <c r="H98" s="16" t="s">
        <v>535</v>
      </c>
      <c r="I98" s="16" t="s">
        <v>535</v>
      </c>
      <c r="J98" s="5" t="s">
        <v>546</v>
      </c>
      <c r="K98" s="5" t="s">
        <v>620</v>
      </c>
      <c r="L98" s="5" t="s">
        <v>590</v>
      </c>
      <c r="M98" s="5" t="s">
        <v>618</v>
      </c>
      <c r="N98" s="5" t="s">
        <v>629</v>
      </c>
      <c r="O98" s="5">
        <v>1.609</v>
      </c>
      <c r="P98" s="45"/>
      <c r="Q98" s="45"/>
      <c r="R98" s="179">
        <v>0.11366999999999999</v>
      </c>
      <c r="S98" s="45"/>
      <c r="T98" s="179">
        <v>2.9559999999999999E-2</v>
      </c>
      <c r="U98" s="45"/>
      <c r="V98" s="53">
        <f t="shared" si="1"/>
        <v>0.14323</v>
      </c>
      <c r="W98" s="22"/>
      <c r="X98" s="22"/>
      <c r="Y98" s="22"/>
      <c r="Z98" s="22"/>
      <c r="AA98" s="22"/>
      <c r="AB98" s="22"/>
      <c r="AC98" s="22"/>
      <c r="AD98" s="22"/>
      <c r="AE98" s="22"/>
      <c r="AF98" s="22"/>
      <c r="AG98" s="22"/>
      <c r="AH98" s="22"/>
      <c r="AI98" s="22"/>
      <c r="AJ98" s="22"/>
      <c r="AK98" s="22"/>
      <c r="AL98" s="22"/>
      <c r="AM98" s="22"/>
      <c r="AN98" s="22" t="s">
        <v>243</v>
      </c>
      <c r="AO98" s="22" t="s">
        <v>243</v>
      </c>
      <c r="AP98" s="22"/>
      <c r="AQ98" s="22"/>
      <c r="AR98" s="22"/>
      <c r="AS98" s="22"/>
      <c r="AT98" s="22"/>
      <c r="AU98" s="22"/>
      <c r="AV98" s="22"/>
      <c r="AW98" s="22"/>
      <c r="AX98" s="22"/>
      <c r="AY98" s="22"/>
      <c r="AZ98" s="22"/>
      <c r="BA98" s="5"/>
    </row>
    <row r="99" spans="1:53" ht="15" thickBot="1" x14ac:dyDescent="0.4">
      <c r="A99" s="16" t="s">
        <v>535</v>
      </c>
      <c r="B99" s="16" t="s">
        <v>535</v>
      </c>
      <c r="C99" s="16" t="s">
        <v>535</v>
      </c>
      <c r="D99" s="16" t="s">
        <v>535</v>
      </c>
      <c r="E99" s="16" t="s">
        <v>535</v>
      </c>
      <c r="F99" s="16" t="s">
        <v>243</v>
      </c>
      <c r="G99" s="16" t="s">
        <v>243</v>
      </c>
      <c r="H99" s="16" t="s">
        <v>535</v>
      </c>
      <c r="I99" s="16" t="s">
        <v>535</v>
      </c>
      <c r="J99" s="5" t="s">
        <v>1246</v>
      </c>
      <c r="K99" s="5" t="s">
        <v>736</v>
      </c>
      <c r="L99" s="5" t="s">
        <v>737</v>
      </c>
      <c r="M99" s="5" t="s">
        <v>735</v>
      </c>
      <c r="N99" s="5" t="s">
        <v>746</v>
      </c>
      <c r="O99" s="5">
        <v>1.609</v>
      </c>
      <c r="P99" s="45"/>
      <c r="Q99" s="45"/>
      <c r="R99" s="179">
        <v>0.20805000000000001</v>
      </c>
      <c r="S99" s="45"/>
      <c r="T99" s="179">
        <v>5.176E-2</v>
      </c>
      <c r="U99" s="45"/>
      <c r="V99" s="53">
        <f t="shared" si="1"/>
        <v>0.25980999999999999</v>
      </c>
      <c r="W99" s="22"/>
      <c r="X99" s="22"/>
      <c r="Y99" s="22"/>
      <c r="Z99" s="22"/>
      <c r="AA99" s="22"/>
      <c r="AB99" s="22"/>
      <c r="AC99" s="22"/>
      <c r="AD99" s="22"/>
      <c r="AE99" s="22"/>
      <c r="AF99" s="22"/>
      <c r="AG99" s="22"/>
      <c r="AH99" s="22"/>
      <c r="AI99" s="22"/>
      <c r="AJ99" s="22"/>
      <c r="AK99" s="22"/>
      <c r="AL99" s="22"/>
      <c r="AM99" s="22"/>
      <c r="AN99" s="22" t="s">
        <v>243</v>
      </c>
      <c r="AO99" s="22" t="s">
        <v>243</v>
      </c>
      <c r="AP99" s="22"/>
      <c r="AQ99" s="22"/>
      <c r="AR99" s="22"/>
      <c r="AS99" s="22"/>
      <c r="AT99" s="22"/>
      <c r="AU99" s="22"/>
      <c r="AV99" s="22"/>
      <c r="AW99" s="22"/>
      <c r="AX99" s="22"/>
      <c r="AY99" s="22"/>
      <c r="AZ99" s="22"/>
      <c r="BA99" s="5"/>
    </row>
    <row r="100" spans="1:53" ht="15" thickBot="1" x14ac:dyDescent="0.4">
      <c r="A100" s="16" t="s">
        <v>535</v>
      </c>
      <c r="B100" s="16" t="s">
        <v>535</v>
      </c>
      <c r="C100" s="16" t="s">
        <v>535</v>
      </c>
      <c r="D100" s="16" t="s">
        <v>535</v>
      </c>
      <c r="E100" s="16" t="s">
        <v>535</v>
      </c>
      <c r="F100" s="16" t="s">
        <v>243</v>
      </c>
      <c r="G100" s="16" t="s">
        <v>243</v>
      </c>
      <c r="H100" s="16" t="s">
        <v>535</v>
      </c>
      <c r="I100" s="16" t="s">
        <v>535</v>
      </c>
      <c r="J100" s="5" t="s">
        <v>1246</v>
      </c>
      <c r="K100" s="5" t="s">
        <v>736</v>
      </c>
      <c r="L100" s="5" t="s">
        <v>748</v>
      </c>
      <c r="M100" s="5" t="s">
        <v>735</v>
      </c>
      <c r="N100" s="5" t="s">
        <v>746</v>
      </c>
      <c r="O100" s="5">
        <v>1.609</v>
      </c>
      <c r="P100" s="45"/>
      <c r="Q100" s="45"/>
      <c r="R100" s="179">
        <v>0.30603000000000002</v>
      </c>
      <c r="S100" s="45"/>
      <c r="T100" s="179">
        <v>7.6340000000000005E-2</v>
      </c>
      <c r="U100" s="45"/>
      <c r="V100" s="53">
        <f t="shared" si="1"/>
        <v>0.38237000000000004</v>
      </c>
      <c r="W100" s="22"/>
      <c r="X100" s="22"/>
      <c r="Y100" s="22"/>
      <c r="Z100" s="22"/>
      <c r="AA100" s="22"/>
      <c r="AB100" s="22"/>
      <c r="AC100" s="22"/>
      <c r="AD100" s="22"/>
      <c r="AE100" s="22"/>
      <c r="AF100" s="22"/>
      <c r="AG100" s="22"/>
      <c r="AH100" s="22"/>
      <c r="AI100" s="22"/>
      <c r="AJ100" s="22"/>
      <c r="AK100" s="22"/>
      <c r="AL100" s="22"/>
      <c r="AM100" s="22"/>
      <c r="AN100" s="22" t="s">
        <v>243</v>
      </c>
      <c r="AO100" s="22" t="s">
        <v>243</v>
      </c>
      <c r="AP100" s="22"/>
      <c r="AQ100" s="22"/>
      <c r="AR100" s="22"/>
      <c r="AS100" s="22"/>
      <c r="AT100" s="22"/>
      <c r="AU100" s="22"/>
      <c r="AV100" s="22"/>
      <c r="AW100" s="22"/>
      <c r="AX100" s="22"/>
      <c r="AY100" s="22"/>
      <c r="AZ100" s="22"/>
      <c r="BA100" s="5"/>
    </row>
    <row r="101" spans="1:53" ht="26.5" thickBot="1" x14ac:dyDescent="0.4">
      <c r="A101" s="16" t="s">
        <v>535</v>
      </c>
      <c r="B101" s="16" t="s">
        <v>535</v>
      </c>
      <c r="C101" s="16" t="s">
        <v>535</v>
      </c>
      <c r="D101" s="16" t="s">
        <v>535</v>
      </c>
      <c r="E101" s="16" t="s">
        <v>535</v>
      </c>
      <c r="F101" s="16" t="s">
        <v>243</v>
      </c>
      <c r="G101" s="16" t="s">
        <v>243</v>
      </c>
      <c r="H101" s="16" t="s">
        <v>535</v>
      </c>
      <c r="I101" s="16" t="s">
        <v>535</v>
      </c>
      <c r="J101" s="5" t="s">
        <v>1246</v>
      </c>
      <c r="K101" s="5" t="s">
        <v>747</v>
      </c>
      <c r="L101" s="5" t="s">
        <v>738</v>
      </c>
      <c r="M101" s="5" t="s">
        <v>735</v>
      </c>
      <c r="N101" s="5" t="s">
        <v>746</v>
      </c>
      <c r="O101" s="5">
        <v>1.609</v>
      </c>
      <c r="P101" s="45"/>
      <c r="Q101" s="45"/>
      <c r="R101" s="179">
        <v>0.10846</v>
      </c>
      <c r="S101" s="45"/>
      <c r="T101" s="179">
        <v>2.649E-2</v>
      </c>
      <c r="U101" s="45"/>
      <c r="V101" s="53">
        <f t="shared" si="1"/>
        <v>0.13495000000000001</v>
      </c>
      <c r="W101" s="22"/>
      <c r="X101" s="22"/>
      <c r="Y101" s="22"/>
      <c r="Z101" s="22"/>
      <c r="AA101" s="22"/>
      <c r="AB101" s="22"/>
      <c r="AC101" s="22"/>
      <c r="AD101" s="22"/>
      <c r="AE101" s="22"/>
      <c r="AF101" s="22"/>
      <c r="AG101" s="22"/>
      <c r="AH101" s="22"/>
      <c r="AI101" s="22"/>
      <c r="AJ101" s="22"/>
      <c r="AK101" s="22"/>
      <c r="AL101" s="22"/>
      <c r="AM101" s="22"/>
      <c r="AN101" s="22" t="s">
        <v>243</v>
      </c>
      <c r="AO101" s="22" t="s">
        <v>243</v>
      </c>
      <c r="AP101" s="22"/>
      <c r="AQ101" s="22"/>
      <c r="AR101" s="22"/>
      <c r="AS101" s="22"/>
      <c r="AT101" s="22"/>
      <c r="AU101" s="22"/>
      <c r="AV101" s="22"/>
      <c r="AW101" s="22"/>
      <c r="AX101" s="22"/>
      <c r="AY101" s="22"/>
      <c r="AZ101" s="22"/>
      <c r="BA101" s="5"/>
    </row>
    <row r="102" spans="1:53" ht="15" thickBot="1" x14ac:dyDescent="0.4">
      <c r="A102" s="16" t="s">
        <v>535</v>
      </c>
      <c r="B102" s="16" t="s">
        <v>535</v>
      </c>
      <c r="C102" s="16" t="s">
        <v>535</v>
      </c>
      <c r="D102" s="16" t="s">
        <v>535</v>
      </c>
      <c r="E102" s="16" t="s">
        <v>535</v>
      </c>
      <c r="F102" s="16" t="s">
        <v>243</v>
      </c>
      <c r="G102" s="16" t="s">
        <v>243</v>
      </c>
      <c r="H102" s="16" t="s">
        <v>535</v>
      </c>
      <c r="I102" s="16" t="s">
        <v>535</v>
      </c>
      <c r="J102" s="5" t="s">
        <v>1246</v>
      </c>
      <c r="K102" s="5" t="s">
        <v>747</v>
      </c>
      <c r="L102" s="5" t="s">
        <v>749</v>
      </c>
      <c r="M102" s="5" t="s">
        <v>735</v>
      </c>
      <c r="N102" s="5" t="s">
        <v>746</v>
      </c>
      <c r="O102" s="5">
        <v>1.609</v>
      </c>
      <c r="P102" s="45"/>
      <c r="Q102" s="45"/>
      <c r="R102" s="179">
        <v>2.717E-2</v>
      </c>
      <c r="S102" s="45"/>
      <c r="T102" s="179">
        <v>6.5599999999999999E-3</v>
      </c>
      <c r="U102" s="45"/>
      <c r="V102" s="53">
        <f t="shared" si="1"/>
        <v>3.3729999999999996E-2</v>
      </c>
      <c r="W102" s="22"/>
      <c r="X102" s="22"/>
      <c r="Y102" s="22"/>
      <c r="Z102" s="22"/>
      <c r="AA102" s="22"/>
      <c r="AB102" s="22"/>
      <c r="AC102" s="22"/>
      <c r="AD102" s="22"/>
      <c r="AE102" s="22"/>
      <c r="AF102" s="22"/>
      <c r="AG102" s="22"/>
      <c r="AH102" s="22"/>
      <c r="AI102" s="22"/>
      <c r="AJ102" s="22"/>
      <c r="AK102" s="22"/>
      <c r="AL102" s="22"/>
      <c r="AM102" s="22"/>
      <c r="AN102" s="22" t="s">
        <v>243</v>
      </c>
      <c r="AO102" s="22" t="s">
        <v>243</v>
      </c>
      <c r="AP102" s="22"/>
      <c r="AQ102" s="22"/>
      <c r="AR102" s="22"/>
      <c r="AS102" s="22"/>
      <c r="AT102" s="22"/>
      <c r="AU102" s="22"/>
      <c r="AV102" s="22"/>
      <c r="AW102" s="22"/>
      <c r="AX102" s="22"/>
      <c r="AY102" s="22"/>
      <c r="AZ102" s="22"/>
      <c r="BA102" s="5"/>
    </row>
    <row r="103" spans="1:53" ht="15" thickBot="1" x14ac:dyDescent="0.4">
      <c r="A103" s="16" t="s">
        <v>535</v>
      </c>
      <c r="B103" s="16" t="s">
        <v>535</v>
      </c>
      <c r="C103" s="16" t="s">
        <v>535</v>
      </c>
      <c r="D103" s="16" t="s">
        <v>535</v>
      </c>
      <c r="E103" s="16" t="s">
        <v>535</v>
      </c>
      <c r="F103" s="16" t="s">
        <v>243</v>
      </c>
      <c r="G103" s="16" t="s">
        <v>243</v>
      </c>
      <c r="H103" s="16" t="s">
        <v>535</v>
      </c>
      <c r="I103" s="16" t="s">
        <v>535</v>
      </c>
      <c r="J103" s="5" t="s">
        <v>1246</v>
      </c>
      <c r="K103" s="5" t="s">
        <v>756</v>
      </c>
      <c r="L103" s="5" t="s">
        <v>739</v>
      </c>
      <c r="M103" s="5" t="s">
        <v>735</v>
      </c>
      <c r="N103" s="5" t="s">
        <v>746</v>
      </c>
      <c r="O103" s="5">
        <v>1.609</v>
      </c>
      <c r="P103" s="45"/>
      <c r="Q103" s="45"/>
      <c r="R103" s="179">
        <v>3.5459999999999998E-2</v>
      </c>
      <c r="S103" s="45"/>
      <c r="T103" s="179">
        <v>8.9700000000000005E-3</v>
      </c>
      <c r="U103" s="45"/>
      <c r="V103" s="53">
        <f t="shared" si="1"/>
        <v>4.4429999999999997E-2</v>
      </c>
      <c r="W103" s="22"/>
      <c r="X103" s="22"/>
      <c r="Y103" s="22"/>
      <c r="Z103" s="22"/>
      <c r="AA103" s="22"/>
      <c r="AB103" s="22"/>
      <c r="AC103" s="22"/>
      <c r="AD103" s="22"/>
      <c r="AE103" s="22"/>
      <c r="AF103" s="22"/>
      <c r="AG103" s="22"/>
      <c r="AH103" s="22"/>
      <c r="AI103" s="22"/>
      <c r="AJ103" s="22"/>
      <c r="AK103" s="22"/>
      <c r="AL103" s="22"/>
      <c r="AM103" s="22"/>
      <c r="AN103" s="22" t="s">
        <v>243</v>
      </c>
      <c r="AO103" s="22" t="s">
        <v>243</v>
      </c>
      <c r="AP103" s="22"/>
      <c r="AQ103" s="22"/>
      <c r="AR103" s="22"/>
      <c r="AS103" s="22"/>
      <c r="AT103" s="22"/>
      <c r="AU103" s="22"/>
      <c r="AV103" s="22"/>
      <c r="AW103" s="22"/>
      <c r="AX103" s="22"/>
      <c r="AY103" s="22"/>
      <c r="AZ103" s="22"/>
      <c r="BA103" s="5"/>
    </row>
    <row r="104" spans="1:53" ht="15" thickBot="1" x14ac:dyDescent="0.4">
      <c r="A104" s="16" t="s">
        <v>535</v>
      </c>
      <c r="B104" s="16" t="s">
        <v>535</v>
      </c>
      <c r="C104" s="16" t="s">
        <v>535</v>
      </c>
      <c r="D104" s="16" t="s">
        <v>535</v>
      </c>
      <c r="E104" s="16" t="s">
        <v>535</v>
      </c>
      <c r="F104" s="16" t="s">
        <v>243</v>
      </c>
      <c r="G104" s="16" t="s">
        <v>243</v>
      </c>
      <c r="H104" s="16" t="s">
        <v>535</v>
      </c>
      <c r="I104" s="16" t="s">
        <v>535</v>
      </c>
      <c r="J104" s="5" t="s">
        <v>1246</v>
      </c>
      <c r="K104" s="5" t="s">
        <v>756</v>
      </c>
      <c r="L104" s="5" t="s">
        <v>750</v>
      </c>
      <c r="M104" s="5" t="s">
        <v>735</v>
      </c>
      <c r="N104" s="5" t="s">
        <v>746</v>
      </c>
      <c r="O104" s="5">
        <v>1.609</v>
      </c>
      <c r="P104" s="45"/>
      <c r="Q104" s="45"/>
      <c r="R104" s="179">
        <v>4.4600000000000004E-3</v>
      </c>
      <c r="S104" s="45"/>
      <c r="T104" s="179">
        <v>1.17E-3</v>
      </c>
      <c r="U104" s="45"/>
      <c r="V104" s="53">
        <f t="shared" si="1"/>
        <v>5.6300000000000005E-3</v>
      </c>
      <c r="W104" s="22"/>
      <c r="X104" s="22"/>
      <c r="Y104" s="22"/>
      <c r="Z104" s="22"/>
      <c r="AA104" s="22"/>
      <c r="AB104" s="22"/>
      <c r="AC104" s="22"/>
      <c r="AD104" s="22"/>
      <c r="AE104" s="22"/>
      <c r="AF104" s="22"/>
      <c r="AG104" s="22"/>
      <c r="AH104" s="22"/>
      <c r="AI104" s="22"/>
      <c r="AJ104" s="22"/>
      <c r="AK104" s="22"/>
      <c r="AL104" s="22"/>
      <c r="AM104" s="22"/>
      <c r="AN104" s="22" t="s">
        <v>243</v>
      </c>
      <c r="AO104" s="22" t="s">
        <v>243</v>
      </c>
      <c r="AP104" s="22"/>
      <c r="AQ104" s="22"/>
      <c r="AR104" s="22"/>
      <c r="AS104" s="22"/>
      <c r="AT104" s="22"/>
      <c r="AU104" s="22"/>
      <c r="AV104" s="22"/>
      <c r="AW104" s="22"/>
      <c r="AX104" s="22"/>
      <c r="AY104" s="22"/>
      <c r="AZ104" s="22"/>
      <c r="BA104" s="5"/>
    </row>
    <row r="105" spans="1:53" ht="26.5" thickBot="1" x14ac:dyDescent="0.4">
      <c r="A105" s="16" t="s">
        <v>535</v>
      </c>
      <c r="B105" s="16" t="s">
        <v>535</v>
      </c>
      <c r="C105" s="16" t="s">
        <v>535</v>
      </c>
      <c r="D105" s="16" t="s">
        <v>535</v>
      </c>
      <c r="E105" s="16" t="s">
        <v>535</v>
      </c>
      <c r="F105" s="16" t="s">
        <v>243</v>
      </c>
      <c r="G105" s="16" t="s">
        <v>243</v>
      </c>
      <c r="H105" s="16" t="s">
        <v>535</v>
      </c>
      <c r="I105" s="16" t="s">
        <v>535</v>
      </c>
      <c r="J105" s="5" t="s">
        <v>1246</v>
      </c>
      <c r="K105" s="5" t="s">
        <v>756</v>
      </c>
      <c r="L105" s="5" t="s">
        <v>757</v>
      </c>
      <c r="M105" s="5" t="s">
        <v>735</v>
      </c>
      <c r="N105" s="5" t="s">
        <v>746</v>
      </c>
      <c r="O105" s="5">
        <v>1.609</v>
      </c>
      <c r="P105" s="45"/>
      <c r="Q105" s="45"/>
      <c r="R105" s="179">
        <v>2.86E-2</v>
      </c>
      <c r="S105" s="45"/>
      <c r="T105" s="179">
        <v>7.4900000000000001E-3</v>
      </c>
      <c r="U105" s="45"/>
      <c r="V105" s="53">
        <f t="shared" si="1"/>
        <v>3.6089999999999997E-2</v>
      </c>
      <c r="W105" s="22"/>
      <c r="X105" s="22"/>
      <c r="Y105" s="22"/>
      <c r="Z105" s="22"/>
      <c r="AA105" s="22"/>
      <c r="AB105" s="22"/>
      <c r="AC105" s="22"/>
      <c r="AD105" s="22"/>
      <c r="AE105" s="22"/>
      <c r="AF105" s="22"/>
      <c r="AG105" s="22"/>
      <c r="AH105" s="22"/>
      <c r="AI105" s="22"/>
      <c r="AJ105" s="22"/>
      <c r="AK105" s="22"/>
      <c r="AL105" s="22"/>
      <c r="AM105" s="22"/>
      <c r="AN105" s="22" t="s">
        <v>243</v>
      </c>
      <c r="AO105" s="22" t="s">
        <v>243</v>
      </c>
      <c r="AP105" s="22"/>
      <c r="AQ105" s="22"/>
      <c r="AR105" s="22"/>
      <c r="AS105" s="22"/>
      <c r="AT105" s="22"/>
      <c r="AU105" s="22"/>
      <c r="AV105" s="22"/>
      <c r="AW105" s="22"/>
      <c r="AX105" s="22"/>
      <c r="AY105" s="22"/>
      <c r="AZ105" s="22"/>
      <c r="BA105" s="5"/>
    </row>
    <row r="106" spans="1:53" ht="26.5" thickBot="1" x14ac:dyDescent="0.4">
      <c r="A106" s="16" t="s">
        <v>535</v>
      </c>
      <c r="B106" s="16" t="s">
        <v>535</v>
      </c>
      <c r="C106" s="16" t="s">
        <v>535</v>
      </c>
      <c r="D106" s="16" t="s">
        <v>535</v>
      </c>
      <c r="E106" s="16" t="s">
        <v>535</v>
      </c>
      <c r="F106" s="16" t="s">
        <v>243</v>
      </c>
      <c r="G106" s="16" t="s">
        <v>243</v>
      </c>
      <c r="H106" s="16" t="s">
        <v>535</v>
      </c>
      <c r="I106" s="16" t="s">
        <v>535</v>
      </c>
      <c r="J106" s="5" t="s">
        <v>1246</v>
      </c>
      <c r="K106" s="5" t="s">
        <v>756</v>
      </c>
      <c r="L106" s="5" t="s">
        <v>762</v>
      </c>
      <c r="M106" s="5" t="s">
        <v>735</v>
      </c>
      <c r="N106" s="5" t="s">
        <v>746</v>
      </c>
      <c r="O106" s="5">
        <v>1.609</v>
      </c>
      <c r="P106" s="45"/>
      <c r="Q106" s="45"/>
      <c r="R106" s="179">
        <v>2.7799999999999998E-2</v>
      </c>
      <c r="S106" s="45"/>
      <c r="T106" s="179">
        <v>7.28E-3</v>
      </c>
      <c r="U106" s="45"/>
      <c r="V106" s="53">
        <f t="shared" si="1"/>
        <v>3.508E-2</v>
      </c>
      <c r="W106" s="22"/>
      <c r="X106" s="22"/>
      <c r="Y106" s="22"/>
      <c r="Z106" s="22"/>
      <c r="AA106" s="22"/>
      <c r="AB106" s="22"/>
      <c r="AC106" s="22"/>
      <c r="AD106" s="22"/>
      <c r="AE106" s="22"/>
      <c r="AF106" s="22"/>
      <c r="AG106" s="22"/>
      <c r="AH106" s="22"/>
      <c r="AI106" s="22"/>
      <c r="AJ106" s="22"/>
      <c r="AK106" s="22"/>
      <c r="AL106" s="22"/>
      <c r="AM106" s="22"/>
      <c r="AN106" s="22" t="s">
        <v>243</v>
      </c>
      <c r="AO106" s="22" t="s">
        <v>243</v>
      </c>
      <c r="AP106" s="22"/>
      <c r="AQ106" s="22"/>
      <c r="AR106" s="22"/>
      <c r="AS106" s="22"/>
      <c r="AT106" s="22"/>
      <c r="AU106" s="22"/>
      <c r="AV106" s="22"/>
      <c r="AW106" s="22"/>
      <c r="AX106" s="22"/>
      <c r="AY106" s="22"/>
      <c r="AZ106" s="22"/>
      <c r="BA106" s="5"/>
    </row>
    <row r="107" spans="1:53" ht="26.5" thickBot="1" x14ac:dyDescent="0.4">
      <c r="A107" s="16" t="s">
        <v>535</v>
      </c>
      <c r="B107" s="16" t="s">
        <v>535</v>
      </c>
      <c r="C107" s="16" t="s">
        <v>535</v>
      </c>
      <c r="D107" s="16" t="s">
        <v>535</v>
      </c>
      <c r="E107" s="16" t="s">
        <v>535</v>
      </c>
      <c r="F107" s="16" t="s">
        <v>243</v>
      </c>
      <c r="G107" s="16" t="s">
        <v>243</v>
      </c>
      <c r="H107" s="16" t="s">
        <v>535</v>
      </c>
      <c r="I107" s="16" t="s">
        <v>535</v>
      </c>
      <c r="J107" s="5" t="s">
        <v>1246</v>
      </c>
      <c r="K107" s="5" t="s">
        <v>761</v>
      </c>
      <c r="L107" s="5" t="s">
        <v>740</v>
      </c>
      <c r="M107" s="5" t="s">
        <v>735</v>
      </c>
      <c r="N107" s="5" t="s">
        <v>746</v>
      </c>
      <c r="O107" s="5">
        <v>1.609</v>
      </c>
      <c r="P107" s="45"/>
      <c r="Q107" s="45"/>
      <c r="R107" s="179">
        <v>1.8710000000000001E-2</v>
      </c>
      <c r="S107" s="45"/>
      <c r="T107" s="179">
        <v>4.2399999999999998E-3</v>
      </c>
      <c r="U107" s="45"/>
      <c r="V107" s="53">
        <f t="shared" si="1"/>
        <v>2.2950000000000002E-2</v>
      </c>
      <c r="W107" s="22"/>
      <c r="X107" s="22"/>
      <c r="Y107" s="22"/>
      <c r="Z107" s="22"/>
      <c r="AA107" s="22"/>
      <c r="AB107" s="22"/>
      <c r="AC107" s="22"/>
      <c r="AD107" s="22"/>
      <c r="AE107" s="22"/>
      <c r="AF107" s="22"/>
      <c r="AG107" s="22"/>
      <c r="AH107" s="22"/>
      <c r="AI107" s="22"/>
      <c r="AJ107" s="22"/>
      <c r="AK107" s="22"/>
      <c r="AL107" s="22" t="s">
        <v>243</v>
      </c>
      <c r="AM107" s="22" t="s">
        <v>243</v>
      </c>
      <c r="AN107" s="22"/>
      <c r="AO107" s="22"/>
      <c r="AP107" s="22"/>
      <c r="AQ107" s="22"/>
      <c r="AR107" s="22"/>
      <c r="AS107" s="22"/>
      <c r="AT107" s="22"/>
      <c r="AU107" s="22"/>
      <c r="AV107" s="22"/>
      <c r="AW107" s="22"/>
      <c r="AX107" s="22"/>
      <c r="AY107" s="22"/>
      <c r="AZ107" s="22"/>
      <c r="BA107" s="5"/>
    </row>
    <row r="108" spans="1:53" ht="26.5" thickBot="1" x14ac:dyDescent="0.4">
      <c r="A108" s="16" t="s">
        <v>535</v>
      </c>
      <c r="B108" s="16" t="s">
        <v>535</v>
      </c>
      <c r="C108" s="16" t="s">
        <v>535</v>
      </c>
      <c r="D108" s="16" t="s">
        <v>535</v>
      </c>
      <c r="E108" s="16" t="s">
        <v>535</v>
      </c>
      <c r="F108" s="16" t="s">
        <v>243</v>
      </c>
      <c r="G108" s="16" t="s">
        <v>243</v>
      </c>
      <c r="H108" s="16" t="s">
        <v>535</v>
      </c>
      <c r="I108" s="16" t="s">
        <v>535</v>
      </c>
      <c r="J108" s="5" t="s">
        <v>1246</v>
      </c>
      <c r="K108" s="5" t="s">
        <v>761</v>
      </c>
      <c r="L108" s="5" t="s">
        <v>751</v>
      </c>
      <c r="M108" s="5" t="s">
        <v>735</v>
      </c>
      <c r="N108" s="5" t="s">
        <v>746</v>
      </c>
      <c r="O108" s="5">
        <v>1.609</v>
      </c>
      <c r="P108" s="45"/>
      <c r="Q108" s="45"/>
      <c r="R108" s="179">
        <v>0.12933</v>
      </c>
      <c r="S108" s="45"/>
      <c r="T108" s="179">
        <v>2.9319999999999999E-2</v>
      </c>
      <c r="U108" s="45"/>
      <c r="V108" s="53">
        <f t="shared" si="1"/>
        <v>0.15865000000000001</v>
      </c>
      <c r="W108" s="22"/>
      <c r="X108" s="22"/>
      <c r="Y108" s="22"/>
      <c r="Z108" s="22"/>
      <c r="AA108" s="22"/>
      <c r="AB108" s="22"/>
      <c r="AC108" s="22"/>
      <c r="AD108" s="22"/>
      <c r="AE108" s="22"/>
      <c r="AF108" s="22"/>
      <c r="AG108" s="22"/>
      <c r="AH108" s="22"/>
      <c r="AI108" s="22"/>
      <c r="AJ108" s="22"/>
      <c r="AK108" s="22"/>
      <c r="AL108" s="22" t="s">
        <v>243</v>
      </c>
      <c r="AM108" s="22" t="s">
        <v>243</v>
      </c>
      <c r="AN108" s="22"/>
      <c r="AO108" s="22"/>
      <c r="AP108" s="22"/>
      <c r="AQ108" s="22"/>
      <c r="AR108" s="22"/>
      <c r="AS108" s="22"/>
      <c r="AT108" s="22"/>
      <c r="AU108" s="22"/>
      <c r="AV108" s="22"/>
      <c r="AW108" s="22"/>
      <c r="AX108" s="22"/>
      <c r="AY108" s="22"/>
      <c r="AZ108" s="22"/>
      <c r="BA108" s="5"/>
    </row>
    <row r="109" spans="1:53" ht="15" thickBot="1" x14ac:dyDescent="0.4">
      <c r="A109" s="16" t="s">
        <v>535</v>
      </c>
      <c r="B109" s="16" t="s">
        <v>535</v>
      </c>
      <c r="C109" s="16" t="s">
        <v>535</v>
      </c>
      <c r="D109" s="16" t="s">
        <v>535</v>
      </c>
      <c r="E109" s="16" t="s">
        <v>535</v>
      </c>
      <c r="F109" s="16" t="s">
        <v>243</v>
      </c>
      <c r="G109" s="16" t="s">
        <v>535</v>
      </c>
      <c r="H109" s="16" t="s">
        <v>535</v>
      </c>
      <c r="I109" s="16" t="s">
        <v>535</v>
      </c>
      <c r="J109" s="5" t="s">
        <v>578</v>
      </c>
      <c r="K109" s="5" t="s">
        <v>793</v>
      </c>
      <c r="L109" s="5" t="s">
        <v>620</v>
      </c>
      <c r="M109" s="5" t="s">
        <v>735</v>
      </c>
      <c r="N109" s="5" t="s">
        <v>746</v>
      </c>
      <c r="O109" s="5">
        <v>1.609</v>
      </c>
      <c r="P109" s="45"/>
      <c r="Q109" s="45"/>
      <c r="R109" s="179">
        <v>0.27256999999999998</v>
      </c>
      <c r="S109" s="45"/>
      <c r="T109" s="179">
        <v>3.3500000000000002E-2</v>
      </c>
      <c r="U109" s="45"/>
      <c r="V109" s="53">
        <f t="shared" si="1"/>
        <v>0.30606999999999995</v>
      </c>
      <c r="W109" s="22"/>
      <c r="X109" s="22"/>
      <c r="Y109" s="22"/>
      <c r="Z109" s="22"/>
      <c r="AA109" s="22"/>
      <c r="AB109" s="22"/>
      <c r="AC109" s="22"/>
      <c r="AD109" s="22"/>
      <c r="AE109" s="22"/>
      <c r="AF109" s="22"/>
      <c r="AG109" s="22"/>
      <c r="AH109" s="22"/>
      <c r="AI109" s="22"/>
      <c r="AJ109" s="22" t="s">
        <v>243</v>
      </c>
      <c r="AK109" s="22" t="s">
        <v>243</v>
      </c>
      <c r="AL109" s="22"/>
      <c r="AM109" s="22"/>
      <c r="AN109" s="22"/>
      <c r="AO109" s="22"/>
      <c r="AP109" s="22"/>
      <c r="AQ109" s="22"/>
      <c r="AR109" s="22"/>
      <c r="AS109" s="22"/>
      <c r="AT109" s="22"/>
      <c r="AU109" s="22"/>
      <c r="AV109" s="22"/>
      <c r="AW109" s="22"/>
      <c r="AX109" s="22"/>
      <c r="AY109" s="22"/>
      <c r="AZ109" s="22"/>
      <c r="BA109" s="5"/>
    </row>
    <row r="110" spans="1:53" ht="15" thickBot="1" x14ac:dyDescent="0.4">
      <c r="A110" s="16" t="s">
        <v>535</v>
      </c>
      <c r="B110" s="16" t="s">
        <v>535</v>
      </c>
      <c r="C110" s="16" t="s">
        <v>535</v>
      </c>
      <c r="D110" s="16" t="s">
        <v>535</v>
      </c>
      <c r="E110" s="16" t="s">
        <v>535</v>
      </c>
      <c r="F110" s="16" t="s">
        <v>243</v>
      </c>
      <c r="G110" s="16" t="s">
        <v>535</v>
      </c>
      <c r="H110" s="16" t="s">
        <v>535</v>
      </c>
      <c r="I110" s="16" t="s">
        <v>535</v>
      </c>
      <c r="J110" s="5" t="s">
        <v>578</v>
      </c>
      <c r="K110" s="5" t="s">
        <v>796</v>
      </c>
      <c r="L110" s="5" t="s">
        <v>620</v>
      </c>
      <c r="M110" s="5" t="s">
        <v>735</v>
      </c>
      <c r="N110" s="5" t="s">
        <v>746</v>
      </c>
      <c r="O110" s="5">
        <v>1.609</v>
      </c>
      <c r="P110" s="45"/>
      <c r="Q110" s="45"/>
      <c r="R110" s="179">
        <v>0.18592</v>
      </c>
      <c r="S110" s="45"/>
      <c r="T110" s="179">
        <v>2.2859999999999998E-2</v>
      </c>
      <c r="U110" s="45"/>
      <c r="V110" s="53">
        <f t="shared" si="1"/>
        <v>0.20877999999999999</v>
      </c>
      <c r="W110" s="22"/>
      <c r="X110" s="22"/>
      <c r="Y110" s="22"/>
      <c r="Z110" s="22"/>
      <c r="AA110" s="22"/>
      <c r="AB110" s="22"/>
      <c r="AC110" s="22"/>
      <c r="AD110" s="22"/>
      <c r="AE110" s="22"/>
      <c r="AF110" s="22"/>
      <c r="AG110" s="22"/>
      <c r="AH110" s="22"/>
      <c r="AI110" s="22"/>
      <c r="AJ110" s="22" t="s">
        <v>243</v>
      </c>
      <c r="AK110" s="22" t="s">
        <v>243</v>
      </c>
      <c r="AL110" s="22"/>
      <c r="AM110" s="22"/>
      <c r="AN110" s="22"/>
      <c r="AO110" s="22"/>
      <c r="AP110" s="22"/>
      <c r="AQ110" s="22"/>
      <c r="AR110" s="22"/>
      <c r="AS110" s="22"/>
      <c r="AT110" s="22"/>
      <c r="AU110" s="22"/>
      <c r="AV110" s="22"/>
      <c r="AW110" s="22"/>
      <c r="AX110" s="22"/>
      <c r="AY110" s="22"/>
      <c r="AZ110" s="22"/>
      <c r="BA110" s="5"/>
    </row>
    <row r="111" spans="1:53" ht="15" thickBot="1" x14ac:dyDescent="0.4">
      <c r="A111" s="16" t="s">
        <v>535</v>
      </c>
      <c r="B111" s="16" t="s">
        <v>535</v>
      </c>
      <c r="C111" s="16" t="s">
        <v>535</v>
      </c>
      <c r="D111" s="16" t="s">
        <v>535</v>
      </c>
      <c r="E111" s="16" t="s">
        <v>535</v>
      </c>
      <c r="F111" s="16" t="s">
        <v>243</v>
      </c>
      <c r="G111" s="16" t="s">
        <v>535</v>
      </c>
      <c r="H111" s="16" t="s">
        <v>535</v>
      </c>
      <c r="I111" s="16" t="s">
        <v>535</v>
      </c>
      <c r="J111" s="5" t="s">
        <v>578</v>
      </c>
      <c r="K111" s="5" t="s">
        <v>796</v>
      </c>
      <c r="L111" s="5" t="s">
        <v>797</v>
      </c>
      <c r="M111" s="5" t="s">
        <v>735</v>
      </c>
      <c r="N111" s="5" t="s">
        <v>746</v>
      </c>
      <c r="O111" s="5">
        <v>1.609</v>
      </c>
      <c r="P111" s="45"/>
      <c r="Q111" s="45"/>
      <c r="R111" s="179">
        <v>0.18287</v>
      </c>
      <c r="S111" s="45"/>
      <c r="T111" s="179">
        <v>2.249E-2</v>
      </c>
      <c r="U111" s="45"/>
      <c r="V111" s="53">
        <f t="shared" si="1"/>
        <v>0.20536000000000001</v>
      </c>
      <c r="W111" s="22"/>
      <c r="X111" s="22"/>
      <c r="Y111" s="22"/>
      <c r="Z111" s="22"/>
      <c r="AA111" s="22"/>
      <c r="AB111" s="22"/>
      <c r="AC111" s="22"/>
      <c r="AD111" s="22"/>
      <c r="AE111" s="22"/>
      <c r="AF111" s="22"/>
      <c r="AG111" s="22"/>
      <c r="AH111" s="22"/>
      <c r="AI111" s="22"/>
      <c r="AJ111" s="22" t="s">
        <v>243</v>
      </c>
      <c r="AK111" s="22" t="s">
        <v>243</v>
      </c>
      <c r="AL111" s="22"/>
      <c r="AM111" s="22"/>
      <c r="AN111" s="22"/>
      <c r="AO111" s="22"/>
      <c r="AP111" s="22"/>
      <c r="AQ111" s="22"/>
      <c r="AR111" s="22"/>
      <c r="AS111" s="22"/>
      <c r="AT111" s="22"/>
      <c r="AU111" s="22"/>
      <c r="AV111" s="22"/>
      <c r="AW111" s="22"/>
      <c r="AX111" s="22"/>
      <c r="AY111" s="22"/>
      <c r="AZ111" s="22"/>
      <c r="BA111" s="5"/>
    </row>
    <row r="112" spans="1:53" ht="15" thickBot="1" x14ac:dyDescent="0.4">
      <c r="A112" s="16" t="s">
        <v>535</v>
      </c>
      <c r="B112" s="16" t="s">
        <v>535</v>
      </c>
      <c r="C112" s="16" t="s">
        <v>535</v>
      </c>
      <c r="D112" s="16" t="s">
        <v>535</v>
      </c>
      <c r="E112" s="16" t="s">
        <v>535</v>
      </c>
      <c r="F112" s="16" t="s">
        <v>243</v>
      </c>
      <c r="G112" s="16" t="s">
        <v>535</v>
      </c>
      <c r="H112" s="16" t="s">
        <v>535</v>
      </c>
      <c r="I112" s="16" t="s">
        <v>535</v>
      </c>
      <c r="J112" s="5" t="s">
        <v>578</v>
      </c>
      <c r="K112" s="5" t="s">
        <v>796</v>
      </c>
      <c r="L112" s="5" t="s">
        <v>802</v>
      </c>
      <c r="M112" s="5" t="s">
        <v>735</v>
      </c>
      <c r="N112" s="5" t="s">
        <v>746</v>
      </c>
      <c r="O112" s="5">
        <v>1.609</v>
      </c>
      <c r="P112" s="45"/>
      <c r="Q112" s="45"/>
      <c r="R112" s="179">
        <v>0.27429999999999999</v>
      </c>
      <c r="S112" s="45"/>
      <c r="T112" s="179">
        <v>3.3730000000000003E-2</v>
      </c>
      <c r="U112" s="45"/>
      <c r="V112" s="53">
        <f t="shared" si="1"/>
        <v>0.30802999999999997</v>
      </c>
      <c r="W112" s="22"/>
      <c r="X112" s="22"/>
      <c r="Y112" s="22"/>
      <c r="Z112" s="22"/>
      <c r="AA112" s="22"/>
      <c r="AB112" s="22"/>
      <c r="AC112" s="22"/>
      <c r="AD112" s="22"/>
      <c r="AE112" s="22"/>
      <c r="AF112" s="22"/>
      <c r="AG112" s="22"/>
      <c r="AH112" s="22"/>
      <c r="AI112" s="22"/>
      <c r="AJ112" s="22" t="s">
        <v>243</v>
      </c>
      <c r="AK112" s="22" t="s">
        <v>243</v>
      </c>
      <c r="AL112" s="22"/>
      <c r="AM112" s="22"/>
      <c r="AN112" s="22"/>
      <c r="AO112" s="22"/>
      <c r="AP112" s="22"/>
      <c r="AQ112" s="22"/>
      <c r="AR112" s="22"/>
      <c r="AS112" s="22"/>
      <c r="AT112" s="22"/>
      <c r="AU112" s="22"/>
      <c r="AV112" s="22"/>
      <c r="AW112" s="22"/>
      <c r="AX112" s="22"/>
      <c r="AY112" s="22"/>
      <c r="AZ112" s="22"/>
      <c r="BA112" s="5"/>
    </row>
    <row r="113" spans="1:53" ht="15" thickBot="1" x14ac:dyDescent="0.4">
      <c r="A113" s="16" t="s">
        <v>535</v>
      </c>
      <c r="B113" s="16" t="s">
        <v>535</v>
      </c>
      <c r="C113" s="16" t="s">
        <v>535</v>
      </c>
      <c r="D113" s="16" t="s">
        <v>535</v>
      </c>
      <c r="E113" s="16" t="s">
        <v>535</v>
      </c>
      <c r="F113" s="16" t="s">
        <v>243</v>
      </c>
      <c r="G113" s="16" t="s">
        <v>535</v>
      </c>
      <c r="H113" s="16" t="s">
        <v>535</v>
      </c>
      <c r="I113" s="16" t="s">
        <v>535</v>
      </c>
      <c r="J113" s="5" t="s">
        <v>578</v>
      </c>
      <c r="K113" s="5" t="s">
        <v>801</v>
      </c>
      <c r="L113" s="5" t="s">
        <v>620</v>
      </c>
      <c r="M113" s="5" t="s">
        <v>735</v>
      </c>
      <c r="N113" s="5" t="s">
        <v>746</v>
      </c>
      <c r="O113" s="5">
        <v>1.609</v>
      </c>
      <c r="P113" s="45"/>
      <c r="Q113" s="45"/>
      <c r="R113" s="179">
        <v>0.26128000000000001</v>
      </c>
      <c r="S113" s="45"/>
      <c r="T113" s="179">
        <v>3.2129999999999999E-2</v>
      </c>
      <c r="U113" s="45"/>
      <c r="V113" s="53">
        <f t="shared" si="1"/>
        <v>0.29341</v>
      </c>
      <c r="W113" s="22"/>
      <c r="X113" s="22"/>
      <c r="Y113" s="22"/>
      <c r="Z113" s="22"/>
      <c r="AA113" s="22"/>
      <c r="AB113" s="22"/>
      <c r="AC113" s="22"/>
      <c r="AD113" s="22"/>
      <c r="AE113" s="22"/>
      <c r="AF113" s="22"/>
      <c r="AG113" s="22"/>
      <c r="AH113" s="22"/>
      <c r="AI113" s="22"/>
      <c r="AJ113" s="22" t="s">
        <v>243</v>
      </c>
      <c r="AK113" s="22" t="s">
        <v>243</v>
      </c>
      <c r="AL113" s="22"/>
      <c r="AM113" s="22"/>
      <c r="AN113" s="22"/>
      <c r="AO113" s="22"/>
      <c r="AP113" s="22"/>
      <c r="AQ113" s="22"/>
      <c r="AR113" s="22"/>
      <c r="AS113" s="22"/>
      <c r="AT113" s="22"/>
      <c r="AU113" s="22"/>
      <c r="AV113" s="22"/>
      <c r="AW113" s="22"/>
      <c r="AX113" s="22"/>
      <c r="AY113" s="22"/>
      <c r="AZ113" s="22"/>
      <c r="BA113" s="5"/>
    </row>
    <row r="114" spans="1:53" ht="15" thickBot="1" x14ac:dyDescent="0.4">
      <c r="A114" s="16" t="s">
        <v>535</v>
      </c>
      <c r="B114" s="16" t="s">
        <v>535</v>
      </c>
      <c r="C114" s="16" t="s">
        <v>535</v>
      </c>
      <c r="D114" s="16" t="s">
        <v>535</v>
      </c>
      <c r="E114" s="16" t="s">
        <v>535</v>
      </c>
      <c r="F114" s="16" t="s">
        <v>243</v>
      </c>
      <c r="G114" s="16" t="s">
        <v>535</v>
      </c>
      <c r="H114" s="16" t="s">
        <v>535</v>
      </c>
      <c r="I114" s="16" t="s">
        <v>535</v>
      </c>
      <c r="J114" s="5" t="s">
        <v>578</v>
      </c>
      <c r="K114" s="5" t="s">
        <v>801</v>
      </c>
      <c r="L114" s="5" t="s">
        <v>797</v>
      </c>
      <c r="M114" s="5" t="s">
        <v>735</v>
      </c>
      <c r="N114" s="5" t="s">
        <v>746</v>
      </c>
      <c r="O114" s="5">
        <v>1.609</v>
      </c>
      <c r="P114" s="45"/>
      <c r="Q114" s="45"/>
      <c r="R114" s="179">
        <v>0.20011000000000001</v>
      </c>
      <c r="S114" s="45"/>
      <c r="T114" s="179">
        <v>2.461E-2</v>
      </c>
      <c r="U114" s="45"/>
      <c r="V114" s="53">
        <f t="shared" si="1"/>
        <v>0.22472</v>
      </c>
      <c r="W114" s="22"/>
      <c r="X114" s="22"/>
      <c r="Y114" s="22"/>
      <c r="Z114" s="22"/>
      <c r="AA114" s="22"/>
      <c r="AB114" s="22"/>
      <c r="AC114" s="22"/>
      <c r="AD114" s="22"/>
      <c r="AE114" s="22"/>
      <c r="AF114" s="22"/>
      <c r="AG114" s="22"/>
      <c r="AH114" s="22"/>
      <c r="AI114" s="22"/>
      <c r="AJ114" s="22" t="s">
        <v>243</v>
      </c>
      <c r="AK114" s="22" t="s">
        <v>243</v>
      </c>
      <c r="AL114" s="22"/>
      <c r="AM114" s="22"/>
      <c r="AN114" s="22"/>
      <c r="AO114" s="22"/>
      <c r="AP114" s="22"/>
      <c r="AQ114" s="22"/>
      <c r="AR114" s="22"/>
      <c r="AS114" s="22"/>
      <c r="AT114" s="22"/>
      <c r="AU114" s="22"/>
      <c r="AV114" s="22"/>
      <c r="AW114" s="22"/>
      <c r="AX114" s="22"/>
      <c r="AY114" s="22"/>
      <c r="AZ114" s="22"/>
      <c r="BA114" s="5"/>
    </row>
    <row r="115" spans="1:53" ht="15" thickBot="1" x14ac:dyDescent="0.4">
      <c r="A115" s="16" t="s">
        <v>535</v>
      </c>
      <c r="B115" s="16" t="s">
        <v>535</v>
      </c>
      <c r="C115" s="16" t="s">
        <v>535</v>
      </c>
      <c r="D115" s="16" t="s">
        <v>535</v>
      </c>
      <c r="E115" s="16" t="s">
        <v>535</v>
      </c>
      <c r="F115" s="16" t="s">
        <v>243</v>
      </c>
      <c r="G115" s="16" t="s">
        <v>535</v>
      </c>
      <c r="H115" s="16" t="s">
        <v>535</v>
      </c>
      <c r="I115" s="16" t="s">
        <v>535</v>
      </c>
      <c r="J115" s="5" t="s">
        <v>578</v>
      </c>
      <c r="K115" s="5" t="s">
        <v>801</v>
      </c>
      <c r="L115" s="5" t="s">
        <v>802</v>
      </c>
      <c r="M115" s="5" t="s">
        <v>735</v>
      </c>
      <c r="N115" s="5" t="s">
        <v>746</v>
      </c>
      <c r="O115" s="5">
        <v>1.609</v>
      </c>
      <c r="P115" s="45"/>
      <c r="Q115" s="45"/>
      <c r="R115" s="179">
        <v>0.58028000000000002</v>
      </c>
      <c r="S115" s="45"/>
      <c r="T115" s="179">
        <v>7.1370000000000003E-2</v>
      </c>
      <c r="U115" s="45"/>
      <c r="V115" s="53">
        <f t="shared" si="1"/>
        <v>0.65165000000000006</v>
      </c>
      <c r="W115" s="22"/>
      <c r="X115" s="22"/>
      <c r="Y115" s="22"/>
      <c r="Z115" s="22"/>
      <c r="AA115" s="22"/>
      <c r="AB115" s="22"/>
      <c r="AC115" s="22"/>
      <c r="AD115" s="22"/>
      <c r="AE115" s="22"/>
      <c r="AF115" s="22"/>
      <c r="AG115" s="22"/>
      <c r="AH115" s="22"/>
      <c r="AI115" s="22"/>
      <c r="AJ115" s="22" t="s">
        <v>243</v>
      </c>
      <c r="AK115" s="22" t="s">
        <v>243</v>
      </c>
      <c r="AL115" s="22"/>
      <c r="AM115" s="22"/>
      <c r="AN115" s="22"/>
      <c r="AO115" s="22"/>
      <c r="AP115" s="22"/>
      <c r="AQ115" s="22"/>
      <c r="AR115" s="22"/>
      <c r="AS115" s="22"/>
      <c r="AT115" s="22"/>
      <c r="AU115" s="22"/>
      <c r="AV115" s="22"/>
      <c r="AW115" s="22"/>
      <c r="AX115" s="22"/>
      <c r="AY115" s="22"/>
      <c r="AZ115" s="22"/>
      <c r="BA115" s="5"/>
    </row>
    <row r="116" spans="1:53" ht="26.5" thickBot="1" x14ac:dyDescent="0.4">
      <c r="A116" s="16" t="s">
        <v>535</v>
      </c>
      <c r="B116" s="16" t="s">
        <v>535</v>
      </c>
      <c r="C116" s="16" t="s">
        <v>535</v>
      </c>
      <c r="D116" s="16" t="s">
        <v>535</v>
      </c>
      <c r="E116" s="16" t="s">
        <v>535</v>
      </c>
      <c r="F116" s="16" t="s">
        <v>535</v>
      </c>
      <c r="G116" s="16" t="s">
        <v>535</v>
      </c>
      <c r="H116" s="16" t="s">
        <v>243</v>
      </c>
      <c r="I116" s="16" t="s">
        <v>535</v>
      </c>
      <c r="J116" s="5" t="s">
        <v>111</v>
      </c>
      <c r="K116" s="142" t="s">
        <v>1247</v>
      </c>
      <c r="L116" s="5"/>
      <c r="M116" s="5" t="s">
        <v>1248</v>
      </c>
      <c r="N116" s="5"/>
      <c r="O116" s="5"/>
      <c r="P116" s="45"/>
      <c r="Q116" s="45"/>
      <c r="R116" s="183">
        <v>580.77719999999999</v>
      </c>
      <c r="S116" s="45"/>
      <c r="T116" s="45"/>
      <c r="U116" s="45"/>
      <c r="V116" s="53">
        <f t="shared" si="1"/>
        <v>580.77719999999999</v>
      </c>
      <c r="W116" s="22"/>
      <c r="X116" s="22"/>
      <c r="Y116" s="22"/>
      <c r="Z116" s="22"/>
      <c r="AA116" s="22"/>
      <c r="AB116" s="22"/>
      <c r="AC116" s="22"/>
      <c r="AD116" s="22"/>
      <c r="AE116" s="22"/>
      <c r="AF116" s="22"/>
      <c r="AG116" s="22"/>
      <c r="AH116" s="22"/>
      <c r="AI116" s="22"/>
      <c r="AJ116" s="22"/>
      <c r="AK116" s="22"/>
      <c r="AL116" s="22"/>
      <c r="AM116" s="22"/>
      <c r="AN116" s="22"/>
      <c r="AO116" s="22"/>
      <c r="AP116" s="22"/>
      <c r="AQ116" s="22"/>
      <c r="AR116" s="22"/>
      <c r="AS116" s="22"/>
      <c r="AT116" s="22" t="s">
        <v>243</v>
      </c>
      <c r="AU116" s="22"/>
      <c r="AV116" s="22"/>
      <c r="AW116" s="22"/>
      <c r="AX116" s="22"/>
      <c r="AY116" s="22"/>
      <c r="AZ116" s="22"/>
      <c r="BA116" s="5" t="s">
        <v>1249</v>
      </c>
    </row>
    <row r="117" spans="1:53" ht="15" thickBot="1" x14ac:dyDescent="0.4">
      <c r="A117" s="16" t="s">
        <v>535</v>
      </c>
      <c r="B117" s="16" t="s">
        <v>535</v>
      </c>
      <c r="C117" s="16" t="s">
        <v>535</v>
      </c>
      <c r="D117" s="16" t="s">
        <v>535</v>
      </c>
      <c r="E117" s="16" t="s">
        <v>243</v>
      </c>
      <c r="F117" s="16" t="s">
        <v>535</v>
      </c>
      <c r="G117" s="16" t="s">
        <v>535</v>
      </c>
      <c r="H117" s="16" t="s">
        <v>535</v>
      </c>
      <c r="I117" s="16" t="s">
        <v>535</v>
      </c>
      <c r="J117" s="5" t="s">
        <v>113</v>
      </c>
      <c r="K117" s="5" t="s">
        <v>528</v>
      </c>
      <c r="L117" s="5" t="s">
        <v>691</v>
      </c>
      <c r="M117" s="5" t="s">
        <v>241</v>
      </c>
      <c r="N117" s="5" t="s">
        <v>207</v>
      </c>
      <c r="O117" s="5">
        <v>1E-3</v>
      </c>
      <c r="P117" s="45"/>
      <c r="Q117" s="45"/>
      <c r="R117" s="179">
        <v>0.98485</v>
      </c>
      <c r="S117" s="45"/>
      <c r="T117" s="45"/>
      <c r="U117" s="45"/>
      <c r="V117" s="53">
        <f>ROUND(SUM(P117:U117),3)</f>
        <v>0.98499999999999999</v>
      </c>
      <c r="W117" s="22"/>
      <c r="X117" s="22"/>
      <c r="Y117" s="22"/>
      <c r="Z117" s="22"/>
      <c r="AA117" s="22"/>
      <c r="AB117" s="22"/>
      <c r="AC117" s="22"/>
      <c r="AD117" s="22"/>
      <c r="AE117" s="22"/>
      <c r="AF117" s="22"/>
      <c r="AG117" s="22"/>
      <c r="AH117" s="22"/>
      <c r="AI117" s="22" t="s">
        <v>243</v>
      </c>
      <c r="AJ117" s="22"/>
      <c r="AK117" s="22"/>
      <c r="AL117" s="22"/>
      <c r="AM117" s="22"/>
      <c r="AN117" s="22"/>
      <c r="AO117" s="22"/>
      <c r="AP117" s="22"/>
      <c r="AQ117" s="22"/>
      <c r="AR117" s="22"/>
      <c r="AS117" s="22"/>
      <c r="AT117" s="22"/>
      <c r="AU117" s="22"/>
      <c r="AV117" s="22"/>
      <c r="AW117" s="22"/>
      <c r="AX117" s="22"/>
      <c r="AY117" s="22"/>
      <c r="AZ117" s="22"/>
      <c r="BA117" s="5"/>
    </row>
    <row r="118" spans="1:53" ht="15" thickBot="1" x14ac:dyDescent="0.4">
      <c r="A118" s="16" t="s">
        <v>535</v>
      </c>
      <c r="B118" s="16" t="s">
        <v>535</v>
      </c>
      <c r="C118" s="16" t="s">
        <v>535</v>
      </c>
      <c r="D118" s="16" t="s">
        <v>535</v>
      </c>
      <c r="E118" s="16" t="s">
        <v>243</v>
      </c>
      <c r="F118" s="16" t="s">
        <v>535</v>
      </c>
      <c r="G118" s="16" t="s">
        <v>535</v>
      </c>
      <c r="H118" s="16" t="s">
        <v>535</v>
      </c>
      <c r="I118" s="16" t="s">
        <v>535</v>
      </c>
      <c r="J118" s="5" t="s">
        <v>113</v>
      </c>
      <c r="K118" s="5" t="s">
        <v>528</v>
      </c>
      <c r="L118" s="5" t="s">
        <v>240</v>
      </c>
      <c r="M118" s="5" t="s">
        <v>241</v>
      </c>
      <c r="N118" s="5" t="s">
        <v>207</v>
      </c>
      <c r="O118" s="5">
        <v>1E-3</v>
      </c>
      <c r="P118" s="45"/>
      <c r="Q118" s="45"/>
      <c r="R118" s="179">
        <v>1.23393</v>
      </c>
      <c r="S118" s="45"/>
      <c r="T118" s="45"/>
      <c r="U118" s="45"/>
      <c r="V118" s="53">
        <f t="shared" ref="V118:V164" si="2">ROUND(SUM(P118:U118),3)</f>
        <v>1.234</v>
      </c>
      <c r="W118" s="22"/>
      <c r="X118" s="22"/>
      <c r="Y118" s="22"/>
      <c r="Z118" s="22"/>
      <c r="AA118" s="22"/>
      <c r="AB118" s="22"/>
      <c r="AC118" s="22"/>
      <c r="AD118" s="22"/>
      <c r="AE118" s="22"/>
      <c r="AF118" s="22"/>
      <c r="AG118" s="22"/>
      <c r="AH118" s="22"/>
      <c r="AI118" s="22" t="s">
        <v>243</v>
      </c>
      <c r="AJ118" s="22"/>
      <c r="AK118" s="22"/>
      <c r="AL118" s="22"/>
      <c r="AM118" s="22"/>
      <c r="AN118" s="22"/>
      <c r="AO118" s="22"/>
      <c r="AP118" s="22"/>
      <c r="AQ118" s="22"/>
      <c r="AR118" s="22"/>
      <c r="AS118" s="22"/>
      <c r="AT118" s="22"/>
      <c r="AU118" s="22"/>
      <c r="AV118" s="22"/>
      <c r="AW118" s="22"/>
      <c r="AX118" s="22"/>
      <c r="AY118" s="22"/>
      <c r="AZ118" s="22"/>
      <c r="BA118" s="5"/>
    </row>
    <row r="119" spans="1:53" ht="15" thickBot="1" x14ac:dyDescent="0.4">
      <c r="A119" s="16" t="s">
        <v>535</v>
      </c>
      <c r="B119" s="16" t="s">
        <v>535</v>
      </c>
      <c r="C119" s="16" t="s">
        <v>535</v>
      </c>
      <c r="D119" s="16" t="s">
        <v>535</v>
      </c>
      <c r="E119" s="16" t="s">
        <v>243</v>
      </c>
      <c r="F119" s="16" t="s">
        <v>535</v>
      </c>
      <c r="G119" s="16" t="s">
        <v>535</v>
      </c>
      <c r="H119" s="16" t="s">
        <v>535</v>
      </c>
      <c r="I119" s="16" t="s">
        <v>535</v>
      </c>
      <c r="J119" s="5" t="s">
        <v>113</v>
      </c>
      <c r="K119" s="5" t="s">
        <v>544</v>
      </c>
      <c r="L119" s="5" t="s">
        <v>691</v>
      </c>
      <c r="M119" s="5" t="s">
        <v>241</v>
      </c>
      <c r="N119" s="5" t="s">
        <v>207</v>
      </c>
      <c r="O119" s="5">
        <v>1E-3</v>
      </c>
      <c r="P119" s="45"/>
      <c r="Q119" s="45"/>
      <c r="R119" s="179">
        <v>0.98485</v>
      </c>
      <c r="S119" s="45"/>
      <c r="T119" s="45"/>
      <c r="U119" s="45"/>
      <c r="V119" s="53">
        <f t="shared" si="2"/>
        <v>0.98499999999999999</v>
      </c>
      <c r="W119" s="22"/>
      <c r="X119" s="22"/>
      <c r="Y119" s="22"/>
      <c r="Z119" s="22"/>
      <c r="AA119" s="22"/>
      <c r="AB119" s="22"/>
      <c r="AC119" s="22"/>
      <c r="AD119" s="22"/>
      <c r="AE119" s="22"/>
      <c r="AF119" s="22"/>
      <c r="AG119" s="22"/>
      <c r="AH119" s="22"/>
      <c r="AI119" s="22" t="s">
        <v>243</v>
      </c>
      <c r="AJ119" s="22"/>
      <c r="AK119" s="22"/>
      <c r="AL119" s="22"/>
      <c r="AM119" s="22"/>
      <c r="AN119" s="22"/>
      <c r="AO119" s="22"/>
      <c r="AP119" s="22"/>
      <c r="AQ119" s="22"/>
      <c r="AR119" s="22"/>
      <c r="AS119" s="22"/>
      <c r="AT119" s="22"/>
      <c r="AU119" s="22"/>
      <c r="AV119" s="22"/>
      <c r="AW119" s="22"/>
      <c r="AX119" s="22"/>
      <c r="AY119" s="22"/>
      <c r="AZ119" s="22"/>
      <c r="BA119" s="5"/>
    </row>
    <row r="120" spans="1:53" ht="15" thickBot="1" x14ac:dyDescent="0.4">
      <c r="A120" s="16" t="s">
        <v>535</v>
      </c>
      <c r="B120" s="16" t="s">
        <v>535</v>
      </c>
      <c r="C120" s="16" t="s">
        <v>535</v>
      </c>
      <c r="D120" s="16" t="s">
        <v>535</v>
      </c>
      <c r="E120" s="16" t="s">
        <v>243</v>
      </c>
      <c r="F120" s="16" t="s">
        <v>535</v>
      </c>
      <c r="G120" s="16" t="s">
        <v>535</v>
      </c>
      <c r="H120" s="16" t="s">
        <v>535</v>
      </c>
      <c r="I120" s="16" t="s">
        <v>535</v>
      </c>
      <c r="J120" s="5" t="s">
        <v>113</v>
      </c>
      <c r="K120" s="5" t="s">
        <v>557</v>
      </c>
      <c r="L120" s="5" t="s">
        <v>240</v>
      </c>
      <c r="M120" s="5" t="s">
        <v>241</v>
      </c>
      <c r="N120" s="5" t="s">
        <v>207</v>
      </c>
      <c r="O120" s="5">
        <v>1E-3</v>
      </c>
      <c r="P120" s="45"/>
      <c r="Q120" s="45"/>
      <c r="R120" s="179">
        <v>5.9132499999999997</v>
      </c>
      <c r="S120" s="45"/>
      <c r="T120" s="45"/>
      <c r="U120" s="45"/>
      <c r="V120" s="53">
        <f t="shared" si="2"/>
        <v>5.9130000000000003</v>
      </c>
      <c r="W120" s="22"/>
      <c r="X120" s="22"/>
      <c r="Y120" s="22"/>
      <c r="Z120" s="22"/>
      <c r="AA120" s="22"/>
      <c r="AB120" s="22"/>
      <c r="AC120" s="22"/>
      <c r="AD120" s="22"/>
      <c r="AE120" s="22"/>
      <c r="AF120" s="22"/>
      <c r="AG120" s="22"/>
      <c r="AH120" s="22"/>
      <c r="AI120" s="22" t="s">
        <v>243</v>
      </c>
      <c r="AJ120" s="22"/>
      <c r="AK120" s="22"/>
      <c r="AL120" s="22"/>
      <c r="AM120" s="22"/>
      <c r="AN120" s="22"/>
      <c r="AO120" s="22"/>
      <c r="AP120" s="22"/>
      <c r="AQ120" s="22"/>
      <c r="AR120" s="22"/>
      <c r="AS120" s="22"/>
      <c r="AT120" s="22"/>
      <c r="AU120" s="22"/>
      <c r="AV120" s="22"/>
      <c r="AW120" s="22"/>
      <c r="AX120" s="22"/>
      <c r="AY120" s="22"/>
      <c r="AZ120" s="22"/>
      <c r="BA120" s="5"/>
    </row>
    <row r="121" spans="1:53" ht="15" thickBot="1" x14ac:dyDescent="0.4">
      <c r="A121" s="16" t="s">
        <v>535</v>
      </c>
      <c r="B121" s="16" t="s">
        <v>535</v>
      </c>
      <c r="C121" s="16" t="s">
        <v>535</v>
      </c>
      <c r="D121" s="16" t="s">
        <v>535</v>
      </c>
      <c r="E121" s="16" t="s">
        <v>243</v>
      </c>
      <c r="F121" s="16" t="s">
        <v>535</v>
      </c>
      <c r="G121" s="16" t="s">
        <v>535</v>
      </c>
      <c r="H121" s="16" t="s">
        <v>535</v>
      </c>
      <c r="I121" s="16" t="s">
        <v>535</v>
      </c>
      <c r="J121" s="5" t="s">
        <v>113</v>
      </c>
      <c r="K121" s="5" t="s">
        <v>567</v>
      </c>
      <c r="L121" s="5" t="s">
        <v>691</v>
      </c>
      <c r="M121" s="5" t="s">
        <v>241</v>
      </c>
      <c r="N121" s="5" t="s">
        <v>207</v>
      </c>
      <c r="O121" s="5">
        <v>1E-3</v>
      </c>
      <c r="P121" s="45"/>
      <c r="Q121" s="45"/>
      <c r="R121" s="179">
        <v>0.98485</v>
      </c>
      <c r="S121" s="45"/>
      <c r="T121" s="45"/>
      <c r="U121" s="45"/>
      <c r="V121" s="53">
        <f t="shared" si="2"/>
        <v>0.98499999999999999</v>
      </c>
      <c r="W121" s="22"/>
      <c r="X121" s="22"/>
      <c r="Y121" s="22"/>
      <c r="Z121" s="22"/>
      <c r="AA121" s="22"/>
      <c r="AB121" s="22"/>
      <c r="AC121" s="22"/>
      <c r="AD121" s="22"/>
      <c r="AE121" s="22"/>
      <c r="AF121" s="22"/>
      <c r="AG121" s="22"/>
      <c r="AH121" s="22"/>
      <c r="AI121" s="22" t="s">
        <v>243</v>
      </c>
      <c r="AJ121" s="22"/>
      <c r="AK121" s="22"/>
      <c r="AL121" s="22"/>
      <c r="AM121" s="22"/>
      <c r="AN121" s="22"/>
      <c r="AO121" s="22"/>
      <c r="AP121" s="22"/>
      <c r="AQ121" s="22"/>
      <c r="AR121" s="22"/>
      <c r="AS121" s="22"/>
      <c r="AT121" s="22"/>
      <c r="AU121" s="22"/>
      <c r="AV121" s="22"/>
      <c r="AW121" s="22"/>
      <c r="AX121" s="22"/>
      <c r="AY121" s="22"/>
      <c r="AZ121" s="22"/>
      <c r="BA121" s="5"/>
    </row>
    <row r="122" spans="1:53" ht="15" thickBot="1" x14ac:dyDescent="0.4">
      <c r="A122" s="16" t="s">
        <v>535</v>
      </c>
      <c r="B122" s="16" t="s">
        <v>535</v>
      </c>
      <c r="C122" s="16" t="s">
        <v>535</v>
      </c>
      <c r="D122" s="16" t="s">
        <v>535</v>
      </c>
      <c r="E122" s="16" t="s">
        <v>243</v>
      </c>
      <c r="F122" s="16" t="s">
        <v>535</v>
      </c>
      <c r="G122" s="16" t="s">
        <v>535</v>
      </c>
      <c r="H122" s="16" t="s">
        <v>535</v>
      </c>
      <c r="I122" s="16" t="s">
        <v>535</v>
      </c>
      <c r="J122" s="5" t="s">
        <v>113</v>
      </c>
      <c r="K122" s="5" t="s">
        <v>567</v>
      </c>
      <c r="L122" s="5" t="s">
        <v>240</v>
      </c>
      <c r="M122" s="5" t="s">
        <v>241</v>
      </c>
      <c r="N122" s="5" t="s">
        <v>207</v>
      </c>
      <c r="O122" s="5">
        <v>1E-3</v>
      </c>
      <c r="P122" s="45"/>
      <c r="Q122" s="45"/>
      <c r="R122" s="179">
        <v>1.23393</v>
      </c>
      <c r="S122" s="45"/>
      <c r="T122" s="45"/>
      <c r="U122" s="45"/>
      <c r="V122" s="53">
        <f t="shared" si="2"/>
        <v>1.234</v>
      </c>
      <c r="W122" s="22"/>
      <c r="X122" s="22"/>
      <c r="Y122" s="22"/>
      <c r="Z122" s="22"/>
      <c r="AA122" s="22"/>
      <c r="AB122" s="22"/>
      <c r="AC122" s="22"/>
      <c r="AD122" s="22"/>
      <c r="AE122" s="22"/>
      <c r="AF122" s="22"/>
      <c r="AG122" s="22"/>
      <c r="AH122" s="22"/>
      <c r="AI122" s="22" t="s">
        <v>243</v>
      </c>
      <c r="AJ122" s="22"/>
      <c r="AK122" s="22"/>
      <c r="AL122" s="22"/>
      <c r="AM122" s="22"/>
      <c r="AN122" s="22"/>
      <c r="AO122" s="22"/>
      <c r="AP122" s="22"/>
      <c r="AQ122" s="22"/>
      <c r="AR122" s="22"/>
      <c r="AS122" s="22"/>
      <c r="AT122" s="22"/>
      <c r="AU122" s="22"/>
      <c r="AV122" s="22"/>
      <c r="AW122" s="22"/>
      <c r="AX122" s="22"/>
      <c r="AY122" s="22"/>
      <c r="AZ122" s="22"/>
      <c r="BA122" s="5"/>
    </row>
    <row r="123" spans="1:53" ht="15" thickBot="1" x14ac:dyDescent="0.4">
      <c r="A123" s="16" t="s">
        <v>535</v>
      </c>
      <c r="B123" s="16" t="s">
        <v>535</v>
      </c>
      <c r="C123" s="16" t="s">
        <v>535</v>
      </c>
      <c r="D123" s="16" t="s">
        <v>535</v>
      </c>
      <c r="E123" s="16" t="s">
        <v>243</v>
      </c>
      <c r="F123" s="16" t="s">
        <v>535</v>
      </c>
      <c r="G123" s="16" t="s">
        <v>535</v>
      </c>
      <c r="H123" s="16" t="s">
        <v>535</v>
      </c>
      <c r="I123" s="16" t="s">
        <v>535</v>
      </c>
      <c r="J123" s="5" t="s">
        <v>113</v>
      </c>
      <c r="K123" s="5" t="s">
        <v>577</v>
      </c>
      <c r="L123" s="5" t="s">
        <v>691</v>
      </c>
      <c r="M123" s="5" t="s">
        <v>241</v>
      </c>
      <c r="N123" s="5" t="s">
        <v>207</v>
      </c>
      <c r="O123" s="5">
        <v>1E-3</v>
      </c>
      <c r="P123" s="45"/>
      <c r="Q123" s="45"/>
      <c r="R123" s="179">
        <v>0.98485</v>
      </c>
      <c r="S123" s="45"/>
      <c r="T123" s="45"/>
      <c r="U123" s="45"/>
      <c r="V123" s="53">
        <f t="shared" si="2"/>
        <v>0.98499999999999999</v>
      </c>
      <c r="W123" s="22"/>
      <c r="X123" s="22"/>
      <c r="Y123" s="22"/>
      <c r="Z123" s="22"/>
      <c r="AA123" s="22"/>
      <c r="AB123" s="22"/>
      <c r="AC123" s="22"/>
      <c r="AD123" s="22"/>
      <c r="AE123" s="22"/>
      <c r="AF123" s="22"/>
      <c r="AG123" s="22"/>
      <c r="AH123" s="22"/>
      <c r="AI123" s="22" t="s">
        <v>243</v>
      </c>
      <c r="AJ123" s="22"/>
      <c r="AK123" s="22"/>
      <c r="AL123" s="22"/>
      <c r="AM123" s="22"/>
      <c r="AN123" s="22"/>
      <c r="AO123" s="22"/>
      <c r="AP123" s="22"/>
      <c r="AQ123" s="22"/>
      <c r="AR123" s="22"/>
      <c r="AS123" s="22"/>
      <c r="AT123" s="22"/>
      <c r="AU123" s="22"/>
      <c r="AV123" s="22"/>
      <c r="AW123" s="22"/>
      <c r="AX123" s="22"/>
      <c r="AY123" s="22"/>
      <c r="AZ123" s="22"/>
      <c r="BA123" s="5"/>
    </row>
    <row r="124" spans="1:53" ht="15" thickBot="1" x14ac:dyDescent="0.4">
      <c r="A124" s="16" t="s">
        <v>535</v>
      </c>
      <c r="B124" s="16" t="s">
        <v>535</v>
      </c>
      <c r="C124" s="16" t="s">
        <v>535</v>
      </c>
      <c r="D124" s="16" t="s">
        <v>535</v>
      </c>
      <c r="E124" s="16" t="s">
        <v>243</v>
      </c>
      <c r="F124" s="16" t="s">
        <v>535</v>
      </c>
      <c r="G124" s="16" t="s">
        <v>535</v>
      </c>
      <c r="H124" s="16" t="s">
        <v>535</v>
      </c>
      <c r="I124" s="16" t="s">
        <v>535</v>
      </c>
      <c r="J124" s="5" t="s">
        <v>113</v>
      </c>
      <c r="K124" s="5" t="s">
        <v>577</v>
      </c>
      <c r="L124" s="5" t="s">
        <v>240</v>
      </c>
      <c r="M124" s="5" t="s">
        <v>241</v>
      </c>
      <c r="N124" s="5" t="s">
        <v>207</v>
      </c>
      <c r="O124" s="5">
        <v>1E-3</v>
      </c>
      <c r="P124" s="45"/>
      <c r="Q124" s="45"/>
      <c r="R124" s="179">
        <v>1.23393</v>
      </c>
      <c r="S124" s="45"/>
      <c r="T124" s="45"/>
      <c r="U124" s="45"/>
      <c r="V124" s="53">
        <f t="shared" si="2"/>
        <v>1.234</v>
      </c>
      <c r="W124" s="22"/>
      <c r="X124" s="22"/>
      <c r="Y124" s="22"/>
      <c r="Z124" s="22"/>
      <c r="AA124" s="22"/>
      <c r="AB124" s="22"/>
      <c r="AC124" s="22"/>
      <c r="AD124" s="22"/>
      <c r="AE124" s="22"/>
      <c r="AF124" s="22"/>
      <c r="AG124" s="22"/>
      <c r="AH124" s="22"/>
      <c r="AI124" s="22" t="s">
        <v>243</v>
      </c>
      <c r="AJ124" s="22"/>
      <c r="AK124" s="22"/>
      <c r="AL124" s="22"/>
      <c r="AM124" s="22"/>
      <c r="AN124" s="22"/>
      <c r="AO124" s="22"/>
      <c r="AP124" s="22"/>
      <c r="AQ124" s="22"/>
      <c r="AR124" s="22"/>
      <c r="AS124" s="22"/>
      <c r="AT124" s="22"/>
      <c r="AU124" s="22"/>
      <c r="AV124" s="22"/>
      <c r="AW124" s="22"/>
      <c r="AX124" s="22"/>
      <c r="AY124" s="22"/>
      <c r="AZ124" s="22"/>
      <c r="BA124" s="5"/>
    </row>
    <row r="125" spans="1:53" ht="15" thickBot="1" x14ac:dyDescent="0.4">
      <c r="A125" s="16" t="s">
        <v>535</v>
      </c>
      <c r="B125" s="16" t="s">
        <v>535</v>
      </c>
      <c r="C125" s="16" t="s">
        <v>535</v>
      </c>
      <c r="D125" s="16" t="s">
        <v>535</v>
      </c>
      <c r="E125" s="16" t="s">
        <v>243</v>
      </c>
      <c r="F125" s="16" t="s">
        <v>535</v>
      </c>
      <c r="G125" s="16" t="s">
        <v>535</v>
      </c>
      <c r="H125" s="16" t="s">
        <v>535</v>
      </c>
      <c r="I125" s="16" t="s">
        <v>535</v>
      </c>
      <c r="J125" s="5" t="s">
        <v>113</v>
      </c>
      <c r="K125" s="5" t="s">
        <v>587</v>
      </c>
      <c r="L125" s="5" t="s">
        <v>691</v>
      </c>
      <c r="M125" s="5" t="s">
        <v>241</v>
      </c>
      <c r="N125" s="5" t="s">
        <v>207</v>
      </c>
      <c r="O125" s="5">
        <v>1E-3</v>
      </c>
      <c r="P125" s="45"/>
      <c r="Q125" s="45"/>
      <c r="R125" s="179">
        <v>0.98485</v>
      </c>
      <c r="S125" s="45"/>
      <c r="T125" s="45"/>
      <c r="U125" s="45"/>
      <c r="V125" s="53">
        <f t="shared" si="2"/>
        <v>0.98499999999999999</v>
      </c>
      <c r="W125" s="22"/>
      <c r="X125" s="22"/>
      <c r="Y125" s="22"/>
      <c r="Z125" s="22"/>
      <c r="AA125" s="22"/>
      <c r="AB125" s="22"/>
      <c r="AC125" s="22"/>
      <c r="AD125" s="22"/>
      <c r="AE125" s="22"/>
      <c r="AF125" s="22"/>
      <c r="AG125" s="22"/>
      <c r="AH125" s="22"/>
      <c r="AI125" s="22" t="s">
        <v>243</v>
      </c>
      <c r="AJ125" s="22"/>
      <c r="AK125" s="22"/>
      <c r="AL125" s="22"/>
      <c r="AM125" s="22"/>
      <c r="AN125" s="22"/>
      <c r="AO125" s="22"/>
      <c r="AP125" s="22"/>
      <c r="AQ125" s="22"/>
      <c r="AR125" s="22"/>
      <c r="AS125" s="22"/>
      <c r="AT125" s="22"/>
      <c r="AU125" s="22"/>
      <c r="AV125" s="22"/>
      <c r="AW125" s="22"/>
      <c r="AX125" s="22"/>
      <c r="AY125" s="22"/>
      <c r="AZ125" s="22"/>
      <c r="BA125" s="5"/>
    </row>
    <row r="126" spans="1:53" ht="15" thickBot="1" x14ac:dyDescent="0.4">
      <c r="A126" s="16" t="s">
        <v>535</v>
      </c>
      <c r="B126" s="16" t="s">
        <v>535</v>
      </c>
      <c r="C126" s="16" t="s">
        <v>535</v>
      </c>
      <c r="D126" s="16" t="s">
        <v>535</v>
      </c>
      <c r="E126" s="16" t="s">
        <v>243</v>
      </c>
      <c r="F126" s="16" t="s">
        <v>535</v>
      </c>
      <c r="G126" s="16" t="s">
        <v>535</v>
      </c>
      <c r="H126" s="16" t="s">
        <v>535</v>
      </c>
      <c r="I126" s="16" t="s">
        <v>535</v>
      </c>
      <c r="J126" s="5" t="s">
        <v>113</v>
      </c>
      <c r="K126" s="5" t="s">
        <v>587</v>
      </c>
      <c r="L126" s="5" t="s">
        <v>240</v>
      </c>
      <c r="M126" s="5" t="s">
        <v>241</v>
      </c>
      <c r="N126" s="5" t="s">
        <v>207</v>
      </c>
      <c r="O126" s="5">
        <v>1E-3</v>
      </c>
      <c r="P126" s="45"/>
      <c r="Q126" s="45"/>
      <c r="R126" s="179">
        <v>1.23393</v>
      </c>
      <c r="S126" s="45"/>
      <c r="T126" s="45"/>
      <c r="U126" s="45"/>
      <c r="V126" s="53">
        <f t="shared" si="2"/>
        <v>1.234</v>
      </c>
      <c r="W126" s="22"/>
      <c r="X126" s="22"/>
      <c r="Y126" s="22"/>
      <c r="Z126" s="22"/>
      <c r="AA126" s="22"/>
      <c r="AB126" s="22"/>
      <c r="AC126" s="22"/>
      <c r="AD126" s="22"/>
      <c r="AE126" s="22"/>
      <c r="AF126" s="22"/>
      <c r="AG126" s="22"/>
      <c r="AH126" s="22"/>
      <c r="AI126" s="22" t="s">
        <v>243</v>
      </c>
      <c r="AJ126" s="22"/>
      <c r="AK126" s="22"/>
      <c r="AL126" s="22"/>
      <c r="AM126" s="22"/>
      <c r="AN126" s="22"/>
      <c r="AO126" s="22"/>
      <c r="AP126" s="22"/>
      <c r="AQ126" s="22"/>
      <c r="AR126" s="22"/>
      <c r="AS126" s="22"/>
      <c r="AT126" s="22"/>
      <c r="AU126" s="22"/>
      <c r="AV126" s="22"/>
      <c r="AW126" s="22"/>
      <c r="AX126" s="22"/>
      <c r="AY126" s="22"/>
      <c r="AZ126" s="22"/>
      <c r="BA126" s="5"/>
    </row>
    <row r="127" spans="1:53" ht="15" thickBot="1" x14ac:dyDescent="0.4">
      <c r="A127" s="16" t="s">
        <v>535</v>
      </c>
      <c r="B127" s="16" t="s">
        <v>535</v>
      </c>
      <c r="C127" s="16" t="s">
        <v>535</v>
      </c>
      <c r="D127" s="16" t="s">
        <v>535</v>
      </c>
      <c r="E127" s="16" t="s">
        <v>243</v>
      </c>
      <c r="F127" s="16" t="s">
        <v>535</v>
      </c>
      <c r="G127" s="16" t="s">
        <v>535</v>
      </c>
      <c r="H127" s="16" t="s">
        <v>535</v>
      </c>
      <c r="I127" s="16" t="s">
        <v>535</v>
      </c>
      <c r="J127" s="5" t="s">
        <v>113</v>
      </c>
      <c r="K127" s="5" t="s">
        <v>594</v>
      </c>
      <c r="L127" s="5" t="s">
        <v>691</v>
      </c>
      <c r="M127" s="5" t="s">
        <v>241</v>
      </c>
      <c r="N127" s="5" t="s">
        <v>207</v>
      </c>
      <c r="O127" s="5">
        <v>1E-3</v>
      </c>
      <c r="P127" s="45"/>
      <c r="Q127" s="45"/>
      <c r="R127" s="179">
        <v>0.98485</v>
      </c>
      <c r="S127" s="45"/>
      <c r="T127" s="45"/>
      <c r="U127" s="45"/>
      <c r="V127" s="53">
        <f t="shared" si="2"/>
        <v>0.98499999999999999</v>
      </c>
      <c r="W127" s="22"/>
      <c r="X127" s="22"/>
      <c r="Y127" s="22"/>
      <c r="Z127" s="22"/>
      <c r="AA127" s="22"/>
      <c r="AB127" s="22"/>
      <c r="AC127" s="22"/>
      <c r="AD127" s="22"/>
      <c r="AE127" s="22"/>
      <c r="AF127" s="22"/>
      <c r="AG127" s="22"/>
      <c r="AH127" s="22"/>
      <c r="AI127" s="22" t="s">
        <v>243</v>
      </c>
      <c r="AJ127" s="22"/>
      <c r="AK127" s="22"/>
      <c r="AL127" s="22"/>
      <c r="AM127" s="22"/>
      <c r="AN127" s="22"/>
      <c r="AO127" s="22"/>
      <c r="AP127" s="22"/>
      <c r="AQ127" s="22"/>
      <c r="AR127" s="22"/>
      <c r="AS127" s="22"/>
      <c r="AT127" s="22"/>
      <c r="AU127" s="22"/>
      <c r="AV127" s="22"/>
      <c r="AW127" s="22"/>
      <c r="AX127" s="22"/>
      <c r="AY127" s="22"/>
      <c r="AZ127" s="22"/>
      <c r="BA127" s="5"/>
    </row>
    <row r="128" spans="1:53" ht="15" thickBot="1" x14ac:dyDescent="0.4">
      <c r="A128" s="16" t="s">
        <v>535</v>
      </c>
      <c r="B128" s="16" t="s">
        <v>535</v>
      </c>
      <c r="C128" s="16" t="s">
        <v>535</v>
      </c>
      <c r="D128" s="16" t="s">
        <v>535</v>
      </c>
      <c r="E128" s="16" t="s">
        <v>243</v>
      </c>
      <c r="F128" s="16" t="s">
        <v>535</v>
      </c>
      <c r="G128" s="16" t="s">
        <v>535</v>
      </c>
      <c r="H128" s="16" t="s">
        <v>535</v>
      </c>
      <c r="I128" s="16" t="s">
        <v>535</v>
      </c>
      <c r="J128" s="5" t="s">
        <v>113</v>
      </c>
      <c r="K128" s="5" t="s">
        <v>594</v>
      </c>
      <c r="L128" s="5" t="s">
        <v>240</v>
      </c>
      <c r="M128" s="5" t="s">
        <v>241</v>
      </c>
      <c r="N128" s="5" t="s">
        <v>207</v>
      </c>
      <c r="O128" s="5">
        <v>1E-3</v>
      </c>
      <c r="P128" s="45"/>
      <c r="Q128" s="45"/>
      <c r="R128" s="179">
        <v>1.23393</v>
      </c>
      <c r="S128" s="45"/>
      <c r="T128" s="45"/>
      <c r="U128" s="45"/>
      <c r="V128" s="53">
        <f t="shared" si="2"/>
        <v>1.234</v>
      </c>
      <c r="W128" s="22"/>
      <c r="X128" s="22"/>
      <c r="Y128" s="22"/>
      <c r="Z128" s="22"/>
      <c r="AA128" s="22"/>
      <c r="AB128" s="22"/>
      <c r="AC128" s="22"/>
      <c r="AD128" s="22"/>
      <c r="AE128" s="22"/>
      <c r="AF128" s="22"/>
      <c r="AG128" s="22"/>
      <c r="AH128" s="22"/>
      <c r="AI128" s="22" t="s">
        <v>243</v>
      </c>
      <c r="AJ128" s="22"/>
      <c r="AK128" s="22"/>
      <c r="AL128" s="22"/>
      <c r="AM128" s="22"/>
      <c r="AN128" s="22"/>
      <c r="AO128" s="22"/>
      <c r="AP128" s="22"/>
      <c r="AQ128" s="22"/>
      <c r="AR128" s="22"/>
      <c r="AS128" s="22"/>
      <c r="AT128" s="22"/>
      <c r="AU128" s="22"/>
      <c r="AV128" s="22"/>
      <c r="AW128" s="22"/>
      <c r="AX128" s="22"/>
      <c r="AY128" s="22"/>
      <c r="AZ128" s="22"/>
      <c r="BA128" s="5"/>
    </row>
    <row r="129" spans="1:53" ht="15" thickBot="1" x14ac:dyDescent="0.4">
      <c r="A129" s="16" t="s">
        <v>535</v>
      </c>
      <c r="B129" s="16" t="s">
        <v>535</v>
      </c>
      <c r="C129" s="16" t="s">
        <v>535</v>
      </c>
      <c r="D129" s="16" t="s">
        <v>535</v>
      </c>
      <c r="E129" s="16" t="s">
        <v>243</v>
      </c>
      <c r="F129" s="16" t="s">
        <v>535</v>
      </c>
      <c r="G129" s="16" t="s">
        <v>535</v>
      </c>
      <c r="H129" s="16" t="s">
        <v>535</v>
      </c>
      <c r="I129" s="16" t="s">
        <v>535</v>
      </c>
      <c r="J129" s="5" t="s">
        <v>113</v>
      </c>
      <c r="K129" s="5" t="s">
        <v>601</v>
      </c>
      <c r="L129" s="5" t="s">
        <v>691</v>
      </c>
      <c r="M129" s="5" t="s">
        <v>241</v>
      </c>
      <c r="N129" s="5" t="s">
        <v>207</v>
      </c>
      <c r="O129" s="5">
        <v>1E-3</v>
      </c>
      <c r="P129" s="45"/>
      <c r="Q129" s="45"/>
      <c r="R129" s="179">
        <v>0.98485</v>
      </c>
      <c r="S129" s="45"/>
      <c r="T129" s="45"/>
      <c r="U129" s="45"/>
      <c r="V129" s="53">
        <f t="shared" si="2"/>
        <v>0.98499999999999999</v>
      </c>
      <c r="W129" s="22"/>
      <c r="X129" s="22"/>
      <c r="Y129" s="22"/>
      <c r="Z129" s="22"/>
      <c r="AA129" s="22"/>
      <c r="AB129" s="22"/>
      <c r="AC129" s="22"/>
      <c r="AD129" s="22"/>
      <c r="AE129" s="22"/>
      <c r="AF129" s="22"/>
      <c r="AG129" s="22"/>
      <c r="AH129" s="22"/>
      <c r="AI129" s="22" t="s">
        <v>243</v>
      </c>
      <c r="AJ129" s="22"/>
      <c r="AK129" s="22"/>
      <c r="AL129" s="22"/>
      <c r="AM129" s="22"/>
      <c r="AN129" s="22"/>
      <c r="AO129" s="22"/>
      <c r="AP129" s="22"/>
      <c r="AQ129" s="22"/>
      <c r="AR129" s="22"/>
      <c r="AS129" s="22"/>
      <c r="AT129" s="22"/>
      <c r="AU129" s="22"/>
      <c r="AV129" s="22"/>
      <c r="AW129" s="22"/>
      <c r="AX129" s="22"/>
      <c r="AY129" s="22"/>
      <c r="AZ129" s="22"/>
      <c r="BA129" s="5"/>
    </row>
    <row r="130" spans="1:53" ht="15" thickBot="1" x14ac:dyDescent="0.4">
      <c r="A130" s="16" t="s">
        <v>535</v>
      </c>
      <c r="B130" s="16" t="s">
        <v>535</v>
      </c>
      <c r="C130" s="16" t="s">
        <v>535</v>
      </c>
      <c r="D130" s="16" t="s">
        <v>535</v>
      </c>
      <c r="E130" s="16" t="s">
        <v>243</v>
      </c>
      <c r="F130" s="16" t="s">
        <v>535</v>
      </c>
      <c r="G130" s="16" t="s">
        <v>535</v>
      </c>
      <c r="H130" s="16" t="s">
        <v>535</v>
      </c>
      <c r="I130" s="16" t="s">
        <v>535</v>
      </c>
      <c r="J130" s="5" t="s">
        <v>113</v>
      </c>
      <c r="K130" s="5" t="s">
        <v>601</v>
      </c>
      <c r="L130" s="5" t="s">
        <v>240</v>
      </c>
      <c r="M130" s="5" t="s">
        <v>241</v>
      </c>
      <c r="N130" s="5" t="s">
        <v>207</v>
      </c>
      <c r="O130" s="5">
        <v>1E-3</v>
      </c>
      <c r="P130" s="45"/>
      <c r="Q130" s="45"/>
      <c r="R130" s="179">
        <v>0.98485</v>
      </c>
      <c r="S130" s="45"/>
      <c r="T130" s="45"/>
      <c r="U130" s="45"/>
      <c r="V130" s="53">
        <f t="shared" si="2"/>
        <v>0.98499999999999999</v>
      </c>
      <c r="W130" s="22"/>
      <c r="X130" s="22"/>
      <c r="Y130" s="22"/>
      <c r="Z130" s="22"/>
      <c r="AA130" s="22"/>
      <c r="AB130" s="22"/>
      <c r="AC130" s="22"/>
      <c r="AD130" s="22"/>
      <c r="AE130" s="22"/>
      <c r="AF130" s="22"/>
      <c r="AG130" s="22"/>
      <c r="AH130" s="22"/>
      <c r="AI130" s="22" t="s">
        <v>243</v>
      </c>
      <c r="AJ130" s="22"/>
      <c r="AK130" s="22"/>
      <c r="AL130" s="22"/>
      <c r="AM130" s="22"/>
      <c r="AN130" s="22"/>
      <c r="AO130" s="22"/>
      <c r="AP130" s="22"/>
      <c r="AQ130" s="22"/>
      <c r="AR130" s="22"/>
      <c r="AS130" s="22"/>
      <c r="AT130" s="22"/>
      <c r="AU130" s="22"/>
      <c r="AV130" s="22"/>
      <c r="AW130" s="22"/>
      <c r="AX130" s="22"/>
      <c r="AY130" s="22"/>
      <c r="AZ130" s="22"/>
      <c r="BA130" s="5"/>
    </row>
    <row r="131" spans="1:53" ht="15" thickBot="1" x14ac:dyDescent="0.4">
      <c r="A131" s="16" t="s">
        <v>535</v>
      </c>
      <c r="B131" s="16" t="s">
        <v>535</v>
      </c>
      <c r="C131" s="16" t="s">
        <v>535</v>
      </c>
      <c r="D131" s="16" t="s">
        <v>535</v>
      </c>
      <c r="E131" s="16" t="s">
        <v>243</v>
      </c>
      <c r="F131" s="16" t="s">
        <v>535</v>
      </c>
      <c r="G131" s="16" t="s">
        <v>535</v>
      </c>
      <c r="H131" s="16" t="s">
        <v>535</v>
      </c>
      <c r="I131" s="16" t="s">
        <v>535</v>
      </c>
      <c r="J131" s="5" t="s">
        <v>113</v>
      </c>
      <c r="K131" s="5" t="s">
        <v>607</v>
      </c>
      <c r="L131" s="5" t="s">
        <v>691</v>
      </c>
      <c r="M131" s="5" t="s">
        <v>241</v>
      </c>
      <c r="N131" s="5" t="s">
        <v>207</v>
      </c>
      <c r="O131" s="5">
        <v>1E-3</v>
      </c>
      <c r="P131" s="45"/>
      <c r="Q131" s="45"/>
      <c r="R131" s="179">
        <v>0.98485</v>
      </c>
      <c r="S131" s="45"/>
      <c r="T131" s="45"/>
      <c r="U131" s="45"/>
      <c r="V131" s="53">
        <f t="shared" si="2"/>
        <v>0.98499999999999999</v>
      </c>
      <c r="W131" s="22"/>
      <c r="X131" s="22"/>
      <c r="Y131" s="22"/>
      <c r="Z131" s="22"/>
      <c r="AA131" s="22"/>
      <c r="AB131" s="22"/>
      <c r="AC131" s="22"/>
      <c r="AD131" s="22"/>
      <c r="AE131" s="22"/>
      <c r="AF131" s="22"/>
      <c r="AG131" s="22"/>
      <c r="AH131" s="22"/>
      <c r="AI131" s="22" t="s">
        <v>243</v>
      </c>
      <c r="AJ131" s="22"/>
      <c r="AK131" s="22"/>
      <c r="AL131" s="22"/>
      <c r="AM131" s="22"/>
      <c r="AN131" s="22"/>
      <c r="AO131" s="22"/>
      <c r="AP131" s="22"/>
      <c r="AQ131" s="22"/>
      <c r="AR131" s="22"/>
      <c r="AS131" s="22"/>
      <c r="AT131" s="22"/>
      <c r="AU131" s="22"/>
      <c r="AV131" s="22"/>
      <c r="AW131" s="22"/>
      <c r="AX131" s="22"/>
      <c r="AY131" s="22"/>
      <c r="AZ131" s="22"/>
      <c r="BA131" s="5"/>
    </row>
    <row r="132" spans="1:53" ht="15" thickBot="1" x14ac:dyDescent="0.4">
      <c r="A132" s="16" t="s">
        <v>535</v>
      </c>
      <c r="B132" s="16" t="s">
        <v>535</v>
      </c>
      <c r="C132" s="16" t="s">
        <v>535</v>
      </c>
      <c r="D132" s="16" t="s">
        <v>535</v>
      </c>
      <c r="E132" s="16" t="s">
        <v>243</v>
      </c>
      <c r="F132" s="16" t="s">
        <v>535</v>
      </c>
      <c r="G132" s="16" t="s">
        <v>535</v>
      </c>
      <c r="H132" s="16" t="s">
        <v>535</v>
      </c>
      <c r="I132" s="16" t="s">
        <v>535</v>
      </c>
      <c r="J132" s="5" t="s">
        <v>113</v>
      </c>
      <c r="K132" s="5" t="s">
        <v>607</v>
      </c>
      <c r="L132" s="5" t="s">
        <v>240</v>
      </c>
      <c r="M132" s="5" t="s">
        <v>241</v>
      </c>
      <c r="N132" s="5" t="s">
        <v>207</v>
      </c>
      <c r="O132" s="5">
        <v>1E-3</v>
      </c>
      <c r="P132" s="45"/>
      <c r="Q132" s="45"/>
      <c r="R132" s="179">
        <v>19.51726</v>
      </c>
      <c r="S132" s="45"/>
      <c r="T132" s="45"/>
      <c r="U132" s="45"/>
      <c r="V132" s="53">
        <f t="shared" si="2"/>
        <v>19.516999999999999</v>
      </c>
      <c r="W132" s="22"/>
      <c r="X132" s="22"/>
      <c r="Y132" s="22"/>
      <c r="Z132" s="22"/>
      <c r="AA132" s="22"/>
      <c r="AB132" s="22"/>
      <c r="AC132" s="22"/>
      <c r="AD132" s="22"/>
      <c r="AE132" s="22"/>
      <c r="AF132" s="22"/>
      <c r="AG132" s="22"/>
      <c r="AH132" s="22"/>
      <c r="AI132" s="22" t="s">
        <v>243</v>
      </c>
      <c r="AJ132" s="22"/>
      <c r="AK132" s="22"/>
      <c r="AL132" s="22"/>
      <c r="AM132" s="22"/>
      <c r="AN132" s="22"/>
      <c r="AO132" s="22"/>
      <c r="AP132" s="22"/>
      <c r="AQ132" s="22"/>
      <c r="AR132" s="22"/>
      <c r="AS132" s="22"/>
      <c r="AT132" s="22"/>
      <c r="AU132" s="22"/>
      <c r="AV132" s="22"/>
      <c r="AW132" s="22"/>
      <c r="AX132" s="22"/>
      <c r="AY132" s="22"/>
      <c r="AZ132" s="22"/>
      <c r="BA132" s="5"/>
    </row>
    <row r="133" spans="1:53" ht="15" thickBot="1" x14ac:dyDescent="0.4">
      <c r="A133" s="16" t="s">
        <v>535</v>
      </c>
      <c r="B133" s="16" t="s">
        <v>535</v>
      </c>
      <c r="C133" s="16" t="s">
        <v>535</v>
      </c>
      <c r="D133" s="16" t="s">
        <v>535</v>
      </c>
      <c r="E133" s="16" t="s">
        <v>243</v>
      </c>
      <c r="F133" s="16" t="s">
        <v>535</v>
      </c>
      <c r="G133" s="16" t="s">
        <v>535</v>
      </c>
      <c r="H133" s="16" t="s">
        <v>535</v>
      </c>
      <c r="I133" s="16" t="s">
        <v>535</v>
      </c>
      <c r="J133" s="5" t="s">
        <v>113</v>
      </c>
      <c r="K133" s="5" t="s">
        <v>617</v>
      </c>
      <c r="L133" s="5" t="s">
        <v>691</v>
      </c>
      <c r="M133" s="5" t="s">
        <v>241</v>
      </c>
      <c r="N133" s="5" t="s">
        <v>207</v>
      </c>
      <c r="O133" s="5">
        <v>1E-3</v>
      </c>
      <c r="P133" s="45"/>
      <c r="Q133" s="45"/>
      <c r="R133" s="179">
        <v>6.4106100000000001</v>
      </c>
      <c r="S133" s="45"/>
      <c r="T133" s="45"/>
      <c r="U133" s="45"/>
      <c r="V133" s="53">
        <f t="shared" si="2"/>
        <v>6.4109999999999996</v>
      </c>
      <c r="W133" s="22"/>
      <c r="X133" s="22"/>
      <c r="Y133" s="22"/>
      <c r="Z133" s="22"/>
      <c r="AA133" s="22"/>
      <c r="AB133" s="22"/>
      <c r="AC133" s="22"/>
      <c r="AD133" s="22"/>
      <c r="AE133" s="22"/>
      <c r="AF133" s="22"/>
      <c r="AG133" s="22"/>
      <c r="AH133" s="22"/>
      <c r="AI133" s="22" t="s">
        <v>243</v>
      </c>
      <c r="AJ133" s="22"/>
      <c r="AK133" s="22"/>
      <c r="AL133" s="22"/>
      <c r="AM133" s="22"/>
      <c r="AN133" s="22"/>
      <c r="AO133" s="22"/>
      <c r="AP133" s="22"/>
      <c r="AQ133" s="22"/>
      <c r="AR133" s="22"/>
      <c r="AS133" s="22"/>
      <c r="AT133" s="22"/>
      <c r="AU133" s="22"/>
      <c r="AV133" s="22"/>
      <c r="AW133" s="22"/>
      <c r="AX133" s="22"/>
      <c r="AY133" s="22"/>
      <c r="AZ133" s="22"/>
      <c r="BA133" s="5"/>
    </row>
    <row r="134" spans="1:53" ht="15" thickBot="1" x14ac:dyDescent="0.4">
      <c r="A134" s="16" t="s">
        <v>535</v>
      </c>
      <c r="B134" s="16" t="s">
        <v>535</v>
      </c>
      <c r="C134" s="16" t="s">
        <v>535</v>
      </c>
      <c r="D134" s="16" t="s">
        <v>535</v>
      </c>
      <c r="E134" s="16" t="s">
        <v>243</v>
      </c>
      <c r="F134" s="16" t="s">
        <v>535</v>
      </c>
      <c r="G134" s="16" t="s">
        <v>535</v>
      </c>
      <c r="H134" s="16" t="s">
        <v>535</v>
      </c>
      <c r="I134" s="16" t="s">
        <v>535</v>
      </c>
      <c r="J134" s="5" t="s">
        <v>113</v>
      </c>
      <c r="K134" s="5" t="s">
        <v>617</v>
      </c>
      <c r="L134" s="5" t="s">
        <v>724</v>
      </c>
      <c r="M134" s="5" t="s">
        <v>241</v>
      </c>
      <c r="N134" s="5" t="s">
        <v>207</v>
      </c>
      <c r="O134" s="5">
        <v>1E-3</v>
      </c>
      <c r="P134" s="45"/>
      <c r="Q134" s="45"/>
      <c r="R134" s="179">
        <v>6.4106100000000001</v>
      </c>
      <c r="S134" s="45"/>
      <c r="T134" s="45"/>
      <c r="U134" s="45"/>
      <c r="V134" s="53">
        <f t="shared" si="2"/>
        <v>6.4109999999999996</v>
      </c>
      <c r="W134" s="22"/>
      <c r="X134" s="22"/>
      <c r="Y134" s="22"/>
      <c r="Z134" s="22"/>
      <c r="AA134" s="22"/>
      <c r="AB134" s="22"/>
      <c r="AC134" s="22"/>
      <c r="AD134" s="22"/>
      <c r="AE134" s="22"/>
      <c r="AF134" s="22"/>
      <c r="AG134" s="22"/>
      <c r="AH134" s="22"/>
      <c r="AI134" s="22" t="s">
        <v>243</v>
      </c>
      <c r="AJ134" s="22"/>
      <c r="AK134" s="22"/>
      <c r="AL134" s="22"/>
      <c r="AM134" s="22"/>
      <c r="AN134" s="22"/>
      <c r="AO134" s="22"/>
      <c r="AP134" s="22"/>
      <c r="AQ134" s="22"/>
      <c r="AR134" s="22"/>
      <c r="AS134" s="22"/>
      <c r="AT134" s="22"/>
      <c r="AU134" s="22"/>
      <c r="AV134" s="22"/>
      <c r="AW134" s="22"/>
      <c r="AX134" s="22"/>
      <c r="AY134" s="22"/>
      <c r="AZ134" s="22"/>
      <c r="BA134" s="5"/>
    </row>
    <row r="135" spans="1:53" ht="15" thickBot="1" x14ac:dyDescent="0.4">
      <c r="A135" s="16" t="s">
        <v>535</v>
      </c>
      <c r="B135" s="16" t="s">
        <v>535</v>
      </c>
      <c r="C135" s="16" t="s">
        <v>535</v>
      </c>
      <c r="D135" s="16" t="s">
        <v>535</v>
      </c>
      <c r="E135" s="16" t="s">
        <v>243</v>
      </c>
      <c r="F135" s="16" t="s">
        <v>535</v>
      </c>
      <c r="G135" s="16" t="s">
        <v>535</v>
      </c>
      <c r="H135" s="16" t="s">
        <v>535</v>
      </c>
      <c r="I135" s="16" t="s">
        <v>535</v>
      </c>
      <c r="J135" s="5" t="s">
        <v>113</v>
      </c>
      <c r="K135" s="5" t="s">
        <v>628</v>
      </c>
      <c r="L135" s="5" t="s">
        <v>691</v>
      </c>
      <c r="M135" s="5" t="s">
        <v>241</v>
      </c>
      <c r="N135" s="5" t="s">
        <v>207</v>
      </c>
      <c r="O135" s="5">
        <v>1E-3</v>
      </c>
      <c r="P135" s="45"/>
      <c r="Q135" s="45"/>
      <c r="R135" s="179">
        <v>6.4106100000000001</v>
      </c>
      <c r="S135" s="45"/>
      <c r="T135" s="45"/>
      <c r="U135" s="45"/>
      <c r="V135" s="53">
        <f t="shared" si="2"/>
        <v>6.4109999999999996</v>
      </c>
      <c r="W135" s="22"/>
      <c r="X135" s="22"/>
      <c r="Y135" s="22"/>
      <c r="Z135" s="22"/>
      <c r="AA135" s="22"/>
      <c r="AB135" s="22"/>
      <c r="AC135" s="22"/>
      <c r="AD135" s="22"/>
      <c r="AE135" s="22"/>
      <c r="AF135" s="22"/>
      <c r="AG135" s="22"/>
      <c r="AH135" s="22"/>
      <c r="AI135" s="22" t="s">
        <v>243</v>
      </c>
      <c r="AJ135" s="22"/>
      <c r="AK135" s="22"/>
      <c r="AL135" s="22"/>
      <c r="AM135" s="22"/>
      <c r="AN135" s="22"/>
      <c r="AO135" s="22"/>
      <c r="AP135" s="22"/>
      <c r="AQ135" s="22"/>
      <c r="AR135" s="22"/>
      <c r="AS135" s="22"/>
      <c r="AT135" s="22"/>
      <c r="AU135" s="22"/>
      <c r="AV135" s="22"/>
      <c r="AW135" s="22"/>
      <c r="AX135" s="22"/>
      <c r="AY135" s="22"/>
      <c r="AZ135" s="22"/>
      <c r="BA135" s="5"/>
    </row>
    <row r="136" spans="1:53" ht="15" thickBot="1" x14ac:dyDescent="0.4">
      <c r="A136" s="16" t="s">
        <v>535</v>
      </c>
      <c r="B136" s="16" t="s">
        <v>535</v>
      </c>
      <c r="C136" s="16" t="s">
        <v>535</v>
      </c>
      <c r="D136" s="16" t="s">
        <v>535</v>
      </c>
      <c r="E136" s="16" t="s">
        <v>243</v>
      </c>
      <c r="F136" s="16" t="s">
        <v>535</v>
      </c>
      <c r="G136" s="16" t="s">
        <v>535</v>
      </c>
      <c r="H136" s="16" t="s">
        <v>535</v>
      </c>
      <c r="I136" s="16" t="s">
        <v>535</v>
      </c>
      <c r="J136" s="5" t="s">
        <v>113</v>
      </c>
      <c r="K136" s="5" t="s">
        <v>628</v>
      </c>
      <c r="L136" s="5" t="s">
        <v>240</v>
      </c>
      <c r="M136" s="5" t="s">
        <v>241</v>
      </c>
      <c r="N136" s="5" t="s">
        <v>207</v>
      </c>
      <c r="O136" s="5">
        <v>1E-3</v>
      </c>
      <c r="P136" s="45"/>
      <c r="Q136" s="45"/>
      <c r="R136" s="179">
        <v>71.95</v>
      </c>
      <c r="S136" s="45"/>
      <c r="T136" s="45"/>
      <c r="U136" s="45"/>
      <c r="V136" s="53">
        <f t="shared" si="2"/>
        <v>71.95</v>
      </c>
      <c r="W136" s="22"/>
      <c r="X136" s="22"/>
      <c r="Y136" s="22"/>
      <c r="Z136" s="22"/>
      <c r="AA136" s="22"/>
      <c r="AB136" s="22"/>
      <c r="AC136" s="22"/>
      <c r="AD136" s="22"/>
      <c r="AE136" s="22"/>
      <c r="AF136" s="22"/>
      <c r="AG136" s="22"/>
      <c r="AH136" s="22"/>
      <c r="AI136" s="22" t="s">
        <v>243</v>
      </c>
      <c r="AJ136" s="22"/>
      <c r="AK136" s="22"/>
      <c r="AL136" s="22"/>
      <c r="AM136" s="22"/>
      <c r="AN136" s="22"/>
      <c r="AO136" s="22"/>
      <c r="AP136" s="22"/>
      <c r="AQ136" s="22"/>
      <c r="AR136" s="22"/>
      <c r="AS136" s="22"/>
      <c r="AT136" s="22"/>
      <c r="AU136" s="22"/>
      <c r="AV136" s="22"/>
      <c r="AW136" s="22"/>
      <c r="AX136" s="22"/>
      <c r="AY136" s="22"/>
      <c r="AZ136" s="22"/>
      <c r="BA136" s="5"/>
    </row>
    <row r="137" spans="1:53" ht="15" thickBot="1" x14ac:dyDescent="0.4">
      <c r="A137" s="16" t="s">
        <v>535</v>
      </c>
      <c r="B137" s="16" t="s">
        <v>535</v>
      </c>
      <c r="C137" s="16" t="s">
        <v>535</v>
      </c>
      <c r="D137" s="16" t="s">
        <v>535</v>
      </c>
      <c r="E137" s="16" t="s">
        <v>243</v>
      </c>
      <c r="F137" s="16" t="s">
        <v>535</v>
      </c>
      <c r="G137" s="16" t="s">
        <v>535</v>
      </c>
      <c r="H137" s="16" t="s">
        <v>535</v>
      </c>
      <c r="I137" s="16" t="s">
        <v>535</v>
      </c>
      <c r="J137" s="5" t="s">
        <v>113</v>
      </c>
      <c r="K137" s="5" t="s">
        <v>638</v>
      </c>
      <c r="L137" s="5" t="s">
        <v>691</v>
      </c>
      <c r="M137" s="5" t="s">
        <v>241</v>
      </c>
      <c r="N137" s="5" t="s">
        <v>207</v>
      </c>
      <c r="O137" s="5">
        <v>1E-3</v>
      </c>
      <c r="P137" s="45"/>
      <c r="Q137" s="45"/>
      <c r="R137" s="179">
        <v>6.4106100000000001</v>
      </c>
      <c r="S137" s="45"/>
      <c r="T137" s="45"/>
      <c r="U137" s="45"/>
      <c r="V137" s="53">
        <f t="shared" si="2"/>
        <v>6.4109999999999996</v>
      </c>
      <c r="W137" s="22"/>
      <c r="X137" s="22"/>
      <c r="Y137" s="22"/>
      <c r="Z137" s="22"/>
      <c r="AA137" s="22"/>
      <c r="AB137" s="22"/>
      <c r="AC137" s="22"/>
      <c r="AD137" s="22"/>
      <c r="AE137" s="22"/>
      <c r="AF137" s="22"/>
      <c r="AG137" s="22"/>
      <c r="AH137" s="22"/>
      <c r="AI137" s="22" t="s">
        <v>243</v>
      </c>
      <c r="AJ137" s="22"/>
      <c r="AK137" s="22"/>
      <c r="AL137" s="22"/>
      <c r="AM137" s="22"/>
      <c r="AN137" s="22"/>
      <c r="AO137" s="22"/>
      <c r="AP137" s="22"/>
      <c r="AQ137" s="22"/>
      <c r="AR137" s="22"/>
      <c r="AS137" s="22"/>
      <c r="AT137" s="22"/>
      <c r="AU137" s="22"/>
      <c r="AV137" s="22"/>
      <c r="AW137" s="22"/>
      <c r="AX137" s="22"/>
      <c r="AY137" s="22"/>
      <c r="AZ137" s="22"/>
      <c r="BA137" s="5"/>
    </row>
    <row r="138" spans="1:53" ht="15" thickBot="1" x14ac:dyDescent="0.4">
      <c r="A138" s="16" t="s">
        <v>535</v>
      </c>
      <c r="B138" s="16" t="s">
        <v>535</v>
      </c>
      <c r="C138" s="16" t="s">
        <v>535</v>
      </c>
      <c r="D138" s="16" t="s">
        <v>535</v>
      </c>
      <c r="E138" s="16" t="s">
        <v>243</v>
      </c>
      <c r="F138" s="16" t="s">
        <v>535</v>
      </c>
      <c r="G138" s="16" t="s">
        <v>535</v>
      </c>
      <c r="H138" s="16" t="s">
        <v>535</v>
      </c>
      <c r="I138" s="16" t="s">
        <v>535</v>
      </c>
      <c r="J138" s="5" t="s">
        <v>113</v>
      </c>
      <c r="K138" s="5" t="s">
        <v>645</v>
      </c>
      <c r="L138" s="5" t="s">
        <v>691</v>
      </c>
      <c r="M138" s="5" t="s">
        <v>241</v>
      </c>
      <c r="N138" s="5" t="s">
        <v>207</v>
      </c>
      <c r="O138" s="5">
        <v>1E-3</v>
      </c>
      <c r="P138" s="45"/>
      <c r="Q138" s="45"/>
      <c r="R138" s="179">
        <v>6.4106100000000001</v>
      </c>
      <c r="S138" s="45"/>
      <c r="T138" s="45"/>
      <c r="U138" s="45"/>
      <c r="V138" s="53">
        <f t="shared" si="2"/>
        <v>6.4109999999999996</v>
      </c>
      <c r="W138" s="22"/>
      <c r="X138" s="22"/>
      <c r="Y138" s="22"/>
      <c r="Z138" s="22"/>
      <c r="AA138" s="22"/>
      <c r="AB138" s="22"/>
      <c r="AC138" s="22"/>
      <c r="AD138" s="22"/>
      <c r="AE138" s="22"/>
      <c r="AF138" s="22"/>
      <c r="AG138" s="22"/>
      <c r="AH138" s="22"/>
      <c r="AI138" s="22" t="s">
        <v>243</v>
      </c>
      <c r="AJ138" s="22"/>
      <c r="AK138" s="22"/>
      <c r="AL138" s="22"/>
      <c r="AM138" s="22"/>
      <c r="AN138" s="22"/>
      <c r="AO138" s="22"/>
      <c r="AP138" s="22"/>
      <c r="AQ138" s="22"/>
      <c r="AR138" s="22"/>
      <c r="AS138" s="22"/>
      <c r="AT138" s="22"/>
      <c r="AU138" s="22"/>
      <c r="AV138" s="22"/>
      <c r="AW138" s="22"/>
      <c r="AX138" s="22"/>
      <c r="AY138" s="22"/>
      <c r="AZ138" s="22"/>
      <c r="BA138" s="5"/>
    </row>
    <row r="139" spans="1:53" ht="15" thickBot="1" x14ac:dyDescent="0.4">
      <c r="A139" s="16" t="s">
        <v>535</v>
      </c>
      <c r="B139" s="16" t="s">
        <v>535</v>
      </c>
      <c r="C139" s="16" t="s">
        <v>535</v>
      </c>
      <c r="D139" s="16" t="s">
        <v>535</v>
      </c>
      <c r="E139" s="16" t="s">
        <v>243</v>
      </c>
      <c r="F139" s="16" t="s">
        <v>535</v>
      </c>
      <c r="G139" s="16" t="s">
        <v>535</v>
      </c>
      <c r="H139" s="16" t="s">
        <v>535</v>
      </c>
      <c r="I139" s="16" t="s">
        <v>535</v>
      </c>
      <c r="J139" s="5" t="s">
        <v>113</v>
      </c>
      <c r="K139" s="5" t="s">
        <v>645</v>
      </c>
      <c r="L139" s="5" t="s">
        <v>724</v>
      </c>
      <c r="M139" s="5" t="s">
        <v>241</v>
      </c>
      <c r="N139" s="5" t="s">
        <v>207</v>
      </c>
      <c r="O139" s="5">
        <v>1E-3</v>
      </c>
      <c r="P139" s="45"/>
      <c r="Q139" s="45"/>
      <c r="R139" s="179">
        <v>6.4106100000000001</v>
      </c>
      <c r="S139" s="45"/>
      <c r="T139" s="45"/>
      <c r="U139" s="45"/>
      <c r="V139" s="53">
        <f t="shared" si="2"/>
        <v>6.4109999999999996</v>
      </c>
      <c r="W139" s="22"/>
      <c r="X139" s="22"/>
      <c r="Y139" s="22"/>
      <c r="Z139" s="22"/>
      <c r="AA139" s="22"/>
      <c r="AB139" s="22"/>
      <c r="AC139" s="22"/>
      <c r="AD139" s="22"/>
      <c r="AE139" s="22"/>
      <c r="AF139" s="22"/>
      <c r="AG139" s="22"/>
      <c r="AH139" s="22"/>
      <c r="AI139" s="22" t="s">
        <v>243</v>
      </c>
      <c r="AJ139" s="22"/>
      <c r="AK139" s="22"/>
      <c r="AL139" s="22"/>
      <c r="AM139" s="22"/>
      <c r="AN139" s="22"/>
      <c r="AO139" s="22"/>
      <c r="AP139" s="22"/>
      <c r="AQ139" s="22"/>
      <c r="AR139" s="22"/>
      <c r="AS139" s="22"/>
      <c r="AT139" s="22"/>
      <c r="AU139" s="22"/>
      <c r="AV139" s="22"/>
      <c r="AW139" s="22"/>
      <c r="AX139" s="22"/>
      <c r="AY139" s="22"/>
      <c r="AZ139" s="22"/>
      <c r="BA139" s="5"/>
    </row>
    <row r="140" spans="1:53" ht="15" thickBot="1" x14ac:dyDescent="0.4">
      <c r="A140" s="16" t="s">
        <v>535</v>
      </c>
      <c r="B140" s="16" t="s">
        <v>535</v>
      </c>
      <c r="C140" s="16" t="s">
        <v>535</v>
      </c>
      <c r="D140" s="16" t="s">
        <v>535</v>
      </c>
      <c r="E140" s="16" t="s">
        <v>243</v>
      </c>
      <c r="F140" s="16" t="s">
        <v>535</v>
      </c>
      <c r="G140" s="16" t="s">
        <v>535</v>
      </c>
      <c r="H140" s="16" t="s">
        <v>535</v>
      </c>
      <c r="I140" s="16" t="s">
        <v>535</v>
      </c>
      <c r="J140" s="5" t="s">
        <v>113</v>
      </c>
      <c r="K140" s="5" t="s">
        <v>645</v>
      </c>
      <c r="L140" s="5" t="s">
        <v>778</v>
      </c>
      <c r="M140" s="5" t="s">
        <v>241</v>
      </c>
      <c r="N140" s="5" t="s">
        <v>207</v>
      </c>
      <c r="O140" s="5">
        <v>1E-3</v>
      </c>
      <c r="P140" s="45"/>
      <c r="Q140" s="45"/>
      <c r="R140" s="179">
        <v>8.8838600000000003</v>
      </c>
      <c r="S140" s="45"/>
      <c r="T140" s="45"/>
      <c r="U140" s="45"/>
      <c r="V140" s="53">
        <f t="shared" si="2"/>
        <v>8.8840000000000003</v>
      </c>
      <c r="W140" s="22"/>
      <c r="X140" s="22"/>
      <c r="Y140" s="22"/>
      <c r="Z140" s="22"/>
      <c r="AA140" s="22"/>
      <c r="AB140" s="22"/>
      <c r="AC140" s="22"/>
      <c r="AD140" s="22"/>
      <c r="AE140" s="22"/>
      <c r="AF140" s="22"/>
      <c r="AG140" s="22"/>
      <c r="AH140" s="22"/>
      <c r="AI140" s="22" t="s">
        <v>243</v>
      </c>
      <c r="AJ140" s="22"/>
      <c r="AK140" s="22"/>
      <c r="AL140" s="22"/>
      <c r="AM140" s="22"/>
      <c r="AN140" s="22"/>
      <c r="AO140" s="22"/>
      <c r="AP140" s="22"/>
      <c r="AQ140" s="22"/>
      <c r="AR140" s="22"/>
      <c r="AS140" s="22"/>
      <c r="AT140" s="22"/>
      <c r="AU140" s="22"/>
      <c r="AV140" s="22"/>
      <c r="AW140" s="22"/>
      <c r="AX140" s="22"/>
      <c r="AY140" s="22"/>
      <c r="AZ140" s="22"/>
      <c r="BA140" s="5"/>
    </row>
    <row r="141" spans="1:53" ht="15" thickBot="1" x14ac:dyDescent="0.4">
      <c r="A141" s="16" t="s">
        <v>535</v>
      </c>
      <c r="B141" s="16" t="s">
        <v>535</v>
      </c>
      <c r="C141" s="16" t="s">
        <v>535</v>
      </c>
      <c r="D141" s="16" t="s">
        <v>535</v>
      </c>
      <c r="E141" s="16" t="s">
        <v>243</v>
      </c>
      <c r="F141" s="16" t="s">
        <v>535</v>
      </c>
      <c r="G141" s="16" t="s">
        <v>535</v>
      </c>
      <c r="H141" s="16" t="s">
        <v>535</v>
      </c>
      <c r="I141" s="16" t="s">
        <v>535</v>
      </c>
      <c r="J141" s="5" t="s">
        <v>113</v>
      </c>
      <c r="K141" s="5" t="s">
        <v>645</v>
      </c>
      <c r="L141" s="5" t="s">
        <v>240</v>
      </c>
      <c r="M141" s="5" t="s">
        <v>241</v>
      </c>
      <c r="N141" s="5" t="s">
        <v>207</v>
      </c>
      <c r="O141" s="5">
        <v>1E-3</v>
      </c>
      <c r="P141" s="45"/>
      <c r="Q141" s="45"/>
      <c r="R141" s="179">
        <v>925.24423000000002</v>
      </c>
      <c r="S141" s="45"/>
      <c r="T141" s="45"/>
      <c r="U141" s="45"/>
      <c r="V141" s="53">
        <f t="shared" si="2"/>
        <v>925.24400000000003</v>
      </c>
      <c r="W141" s="22"/>
      <c r="X141" s="22"/>
      <c r="Y141" s="22"/>
      <c r="Z141" s="22"/>
      <c r="AA141" s="22"/>
      <c r="AB141" s="22"/>
      <c r="AC141" s="22"/>
      <c r="AD141" s="22"/>
      <c r="AE141" s="22"/>
      <c r="AF141" s="22"/>
      <c r="AG141" s="22"/>
      <c r="AH141" s="22"/>
      <c r="AI141" s="22" t="s">
        <v>243</v>
      </c>
      <c r="AJ141" s="22"/>
      <c r="AK141" s="22"/>
      <c r="AL141" s="22"/>
      <c r="AM141" s="22"/>
      <c r="AN141" s="22"/>
      <c r="AO141" s="22"/>
      <c r="AP141" s="22"/>
      <c r="AQ141" s="22"/>
      <c r="AR141" s="22"/>
      <c r="AS141" s="22"/>
      <c r="AT141" s="22"/>
      <c r="AU141" s="22"/>
      <c r="AV141" s="22"/>
      <c r="AW141" s="22"/>
      <c r="AX141" s="22"/>
      <c r="AY141" s="22"/>
      <c r="AZ141" s="22"/>
      <c r="BA141" s="5"/>
    </row>
    <row r="142" spans="1:53" ht="15" thickBot="1" x14ac:dyDescent="0.4">
      <c r="A142" s="16" t="s">
        <v>535</v>
      </c>
      <c r="B142" s="16" t="s">
        <v>535</v>
      </c>
      <c r="C142" s="16" t="s">
        <v>535</v>
      </c>
      <c r="D142" s="16" t="s">
        <v>535</v>
      </c>
      <c r="E142" s="16" t="s">
        <v>243</v>
      </c>
      <c r="F142" s="16" t="s">
        <v>535</v>
      </c>
      <c r="G142" s="16" t="s">
        <v>535</v>
      </c>
      <c r="H142" s="16" t="s">
        <v>535</v>
      </c>
      <c r="I142" s="16" t="s">
        <v>535</v>
      </c>
      <c r="J142" s="5" t="s">
        <v>113</v>
      </c>
      <c r="K142" s="5" t="s">
        <v>527</v>
      </c>
      <c r="L142" s="5" t="s">
        <v>724</v>
      </c>
      <c r="M142" s="5" t="s">
        <v>241</v>
      </c>
      <c r="N142" s="5" t="s">
        <v>207</v>
      </c>
      <c r="O142" s="5">
        <v>1E-3</v>
      </c>
      <c r="P142" s="45"/>
      <c r="Q142" s="45"/>
      <c r="R142" s="179">
        <v>6.4106100000000001</v>
      </c>
      <c r="S142" s="45"/>
      <c r="T142" s="45"/>
      <c r="U142" s="45"/>
      <c r="V142" s="53">
        <f t="shared" si="2"/>
        <v>6.4109999999999996</v>
      </c>
      <c r="W142" s="22"/>
      <c r="X142" s="22"/>
      <c r="Y142" s="22"/>
      <c r="Z142" s="22"/>
      <c r="AA142" s="22"/>
      <c r="AB142" s="22"/>
      <c r="AC142" s="22"/>
      <c r="AD142" s="22"/>
      <c r="AE142" s="22"/>
      <c r="AF142" s="22"/>
      <c r="AG142" s="22"/>
      <c r="AH142" s="22"/>
      <c r="AI142" s="22" t="s">
        <v>243</v>
      </c>
      <c r="AJ142" s="22"/>
      <c r="AK142" s="22"/>
      <c r="AL142" s="22"/>
      <c r="AM142" s="22"/>
      <c r="AN142" s="22"/>
      <c r="AO142" s="22"/>
      <c r="AP142" s="22"/>
      <c r="AQ142" s="22"/>
      <c r="AR142" s="22"/>
      <c r="AS142" s="22"/>
      <c r="AT142" s="22"/>
      <c r="AU142" s="22"/>
      <c r="AV142" s="22"/>
      <c r="AW142" s="22"/>
      <c r="AX142" s="22"/>
      <c r="AY142" s="22"/>
      <c r="AZ142" s="22"/>
      <c r="BA142" s="5"/>
    </row>
    <row r="143" spans="1:53" ht="15" thickBot="1" x14ac:dyDescent="0.4">
      <c r="A143" s="16" t="s">
        <v>535</v>
      </c>
      <c r="B143" s="16" t="s">
        <v>535</v>
      </c>
      <c r="C143" s="16" t="s">
        <v>535</v>
      </c>
      <c r="D143" s="16" t="s">
        <v>535</v>
      </c>
      <c r="E143" s="16" t="s">
        <v>243</v>
      </c>
      <c r="F143" s="16" t="s">
        <v>535</v>
      </c>
      <c r="G143" s="16" t="s">
        <v>535</v>
      </c>
      <c r="H143" s="16" t="s">
        <v>535</v>
      </c>
      <c r="I143" s="16" t="s">
        <v>535</v>
      </c>
      <c r="J143" s="5" t="s">
        <v>113</v>
      </c>
      <c r="K143" s="5" t="s">
        <v>527</v>
      </c>
      <c r="L143" s="5" t="s">
        <v>240</v>
      </c>
      <c r="M143" s="5" t="s">
        <v>241</v>
      </c>
      <c r="N143" s="5" t="s">
        <v>207</v>
      </c>
      <c r="O143" s="5">
        <v>1E-3</v>
      </c>
      <c r="P143" s="45"/>
      <c r="Q143" s="45"/>
      <c r="R143" s="179">
        <v>497.04415999999998</v>
      </c>
      <c r="S143" s="45"/>
      <c r="T143" s="45"/>
      <c r="U143" s="45"/>
      <c r="V143" s="53">
        <f t="shared" si="2"/>
        <v>497.04399999999998</v>
      </c>
      <c r="W143" s="22"/>
      <c r="X143" s="22"/>
      <c r="Y143" s="22"/>
      <c r="Z143" s="22"/>
      <c r="AA143" s="22"/>
      <c r="AB143" s="22"/>
      <c r="AC143" s="22"/>
      <c r="AD143" s="22"/>
      <c r="AE143" s="22"/>
      <c r="AF143" s="22"/>
      <c r="AG143" s="22"/>
      <c r="AH143" s="22"/>
      <c r="AI143" s="22" t="s">
        <v>243</v>
      </c>
      <c r="AJ143" s="22"/>
      <c r="AK143" s="22"/>
      <c r="AL143" s="22"/>
      <c r="AM143" s="22"/>
      <c r="AN143" s="22"/>
      <c r="AO143" s="22"/>
      <c r="AP143" s="22"/>
      <c r="AQ143" s="22"/>
      <c r="AR143" s="22"/>
      <c r="AS143" s="22"/>
      <c r="AT143" s="22"/>
      <c r="AU143" s="22"/>
      <c r="AV143" s="22"/>
      <c r="AW143" s="22"/>
      <c r="AX143" s="22"/>
      <c r="AY143" s="22"/>
      <c r="AZ143" s="22"/>
      <c r="BA143" s="5"/>
    </row>
    <row r="144" spans="1:53" ht="15" thickBot="1" x14ac:dyDescent="0.4">
      <c r="A144" s="16" t="s">
        <v>535</v>
      </c>
      <c r="B144" s="16" t="s">
        <v>535</v>
      </c>
      <c r="C144" s="16" t="s">
        <v>535</v>
      </c>
      <c r="D144" s="16" t="s">
        <v>535</v>
      </c>
      <c r="E144" s="16" t="s">
        <v>243</v>
      </c>
      <c r="F144" s="16" t="s">
        <v>535</v>
      </c>
      <c r="G144" s="16" t="s">
        <v>535</v>
      </c>
      <c r="H144" s="16" t="s">
        <v>535</v>
      </c>
      <c r="I144" s="16" t="s">
        <v>535</v>
      </c>
      <c r="J144" s="5" t="s">
        <v>555</v>
      </c>
      <c r="K144" s="142" t="s">
        <v>1250</v>
      </c>
      <c r="L144" s="5" t="s">
        <v>1251</v>
      </c>
      <c r="M144" s="5" t="s">
        <v>1252</v>
      </c>
      <c r="N144" s="5"/>
      <c r="O144" s="5"/>
      <c r="P144" s="179">
        <v>0.11926</v>
      </c>
      <c r="Q144" s="45"/>
      <c r="R144" s="45"/>
      <c r="S144" s="45"/>
      <c r="T144" s="45"/>
      <c r="U144" s="45"/>
      <c r="V144" s="45"/>
      <c r="W144" s="22"/>
      <c r="X144" s="22"/>
      <c r="Y144" s="22"/>
      <c r="Z144" s="22"/>
      <c r="AA144" s="22"/>
      <c r="AB144" s="22"/>
      <c r="AC144" s="22"/>
      <c r="AD144" s="22"/>
      <c r="AE144" s="22"/>
      <c r="AF144" s="22"/>
      <c r="AG144" s="22"/>
      <c r="AH144" s="22"/>
      <c r="AI144" s="22"/>
      <c r="AJ144" s="22"/>
      <c r="AK144" s="22"/>
      <c r="AL144" s="22"/>
      <c r="AM144" s="22"/>
      <c r="AN144" s="22"/>
      <c r="AO144" s="22"/>
      <c r="AP144" s="22"/>
      <c r="AQ144" s="22"/>
      <c r="AR144" s="22" t="s">
        <v>243</v>
      </c>
      <c r="AS144" s="22"/>
      <c r="AT144" s="22"/>
      <c r="AU144" s="22"/>
      <c r="AV144" s="22"/>
      <c r="AW144" s="22"/>
      <c r="AX144" s="22"/>
      <c r="AY144" s="22"/>
      <c r="AZ144" s="22"/>
      <c r="BA144" s="5" t="s">
        <v>1253</v>
      </c>
    </row>
    <row r="145" spans="1:53" ht="15" thickBot="1" x14ac:dyDescent="0.4">
      <c r="A145" s="16" t="s">
        <v>535</v>
      </c>
      <c r="B145" s="16" t="s">
        <v>535</v>
      </c>
      <c r="C145" s="16" t="s">
        <v>535</v>
      </c>
      <c r="D145" s="16" t="s">
        <v>535</v>
      </c>
      <c r="E145" s="16" t="s">
        <v>243</v>
      </c>
      <c r="F145" s="16" t="s">
        <v>535</v>
      </c>
      <c r="G145" s="16" t="s">
        <v>535</v>
      </c>
      <c r="H145" s="16" t="s">
        <v>535</v>
      </c>
      <c r="I145" s="16" t="s">
        <v>535</v>
      </c>
      <c r="J145" s="5" t="s">
        <v>555</v>
      </c>
      <c r="K145" s="142" t="s">
        <v>1250</v>
      </c>
      <c r="L145" s="142" t="s">
        <v>1254</v>
      </c>
      <c r="M145" s="5" t="s">
        <v>1252</v>
      </c>
      <c r="N145" s="5"/>
      <c r="O145" s="5"/>
      <c r="P145" s="179">
        <v>0.20077</v>
      </c>
      <c r="Q145" s="45"/>
      <c r="R145" s="45"/>
      <c r="S145" s="45"/>
      <c r="T145" s="45"/>
      <c r="U145" s="45"/>
      <c r="V145" s="45"/>
      <c r="W145" s="22"/>
      <c r="X145" s="22"/>
      <c r="Y145" s="22"/>
      <c r="Z145" s="22"/>
      <c r="AA145" s="22"/>
      <c r="AB145" s="22"/>
      <c r="AC145" s="22"/>
      <c r="AD145" s="22"/>
      <c r="AE145" s="22"/>
      <c r="AF145" s="22"/>
      <c r="AG145" s="22"/>
      <c r="AH145" s="22"/>
      <c r="AI145" s="22"/>
      <c r="AJ145" s="22"/>
      <c r="AK145" s="22"/>
      <c r="AL145" s="22"/>
      <c r="AM145" s="22"/>
      <c r="AN145" s="22"/>
      <c r="AO145" s="22"/>
      <c r="AP145" s="22"/>
      <c r="AQ145" s="22"/>
      <c r="AR145" s="22" t="s">
        <v>243</v>
      </c>
      <c r="AS145" s="22"/>
      <c r="AT145" s="22"/>
      <c r="AU145" s="22"/>
      <c r="AV145" s="22"/>
      <c r="AW145" s="22"/>
      <c r="AX145" s="22"/>
      <c r="AY145" s="22"/>
      <c r="AZ145" s="22"/>
      <c r="BA145" s="5" t="s">
        <v>1253</v>
      </c>
    </row>
    <row r="146" spans="1:53" ht="39" x14ac:dyDescent="0.35">
      <c r="A146" s="16" t="s">
        <v>535</v>
      </c>
      <c r="B146" s="16" t="s">
        <v>535</v>
      </c>
      <c r="C146" s="16" t="s">
        <v>535</v>
      </c>
      <c r="D146" s="16" t="s">
        <v>535</v>
      </c>
      <c r="E146" s="16" t="s">
        <v>243</v>
      </c>
      <c r="F146" s="16" t="s">
        <v>535</v>
      </c>
      <c r="G146" s="16" t="s">
        <v>535</v>
      </c>
      <c r="H146" s="16" t="s">
        <v>535</v>
      </c>
      <c r="I146" s="16" t="s">
        <v>535</v>
      </c>
      <c r="J146" s="142" t="s">
        <v>1255</v>
      </c>
      <c r="K146" s="5" t="s">
        <v>527</v>
      </c>
      <c r="L146" s="5" t="s">
        <v>724</v>
      </c>
      <c r="M146" s="5" t="s">
        <v>241</v>
      </c>
      <c r="N146" s="5" t="s">
        <v>207</v>
      </c>
      <c r="O146" s="5">
        <v>1E-3</v>
      </c>
      <c r="P146" s="45"/>
      <c r="Q146" s="45"/>
      <c r="R146" s="179">
        <v>0</v>
      </c>
      <c r="S146" s="45"/>
      <c r="T146" s="45"/>
      <c r="U146" s="45"/>
      <c r="V146" s="53">
        <f t="shared" si="2"/>
        <v>0</v>
      </c>
      <c r="W146" s="22"/>
      <c r="X146" s="22"/>
      <c r="Y146" s="22"/>
      <c r="Z146" s="22"/>
      <c r="AA146" s="22"/>
      <c r="AB146" s="22"/>
      <c r="AC146" s="22"/>
      <c r="AD146" s="22"/>
      <c r="AE146" s="22"/>
      <c r="AF146" s="22"/>
      <c r="AG146" s="22"/>
      <c r="AH146" s="22"/>
      <c r="AI146" s="22" t="s">
        <v>243</v>
      </c>
      <c r="AJ146" s="22"/>
      <c r="AK146" s="22"/>
      <c r="AL146" s="22"/>
      <c r="AM146" s="22"/>
      <c r="AN146" s="22"/>
      <c r="AO146" s="22"/>
      <c r="AP146" s="22"/>
      <c r="AQ146" s="22"/>
      <c r="AR146" s="22" t="s">
        <v>243</v>
      </c>
      <c r="AS146" s="22"/>
      <c r="AT146" s="22"/>
      <c r="AU146" s="22"/>
      <c r="AV146" s="22"/>
      <c r="AW146" s="22"/>
      <c r="AX146" s="22"/>
      <c r="AY146" s="22"/>
      <c r="AZ146" s="22"/>
      <c r="BA146" s="5" t="s">
        <v>1392</v>
      </c>
    </row>
    <row r="147" spans="1:53" ht="52.5" thickBot="1" x14ac:dyDescent="0.4">
      <c r="A147" s="16" t="s">
        <v>535</v>
      </c>
      <c r="B147" s="16" t="s">
        <v>535</v>
      </c>
      <c r="C147" s="16" t="s">
        <v>535</v>
      </c>
      <c r="D147" s="16" t="s">
        <v>535</v>
      </c>
      <c r="E147" s="16" t="s">
        <v>243</v>
      </c>
      <c r="F147" s="16" t="s">
        <v>535</v>
      </c>
      <c r="G147" s="16" t="s">
        <v>535</v>
      </c>
      <c r="H147" s="16" t="s">
        <v>535</v>
      </c>
      <c r="I147" s="16" t="s">
        <v>535</v>
      </c>
      <c r="J147" s="142" t="s">
        <v>1255</v>
      </c>
      <c r="K147" s="5" t="s">
        <v>527</v>
      </c>
      <c r="L147" s="5" t="s">
        <v>240</v>
      </c>
      <c r="M147" s="5" t="s">
        <v>241</v>
      </c>
      <c r="N147" s="5" t="s">
        <v>207</v>
      </c>
      <c r="O147" s="5">
        <v>1E-3</v>
      </c>
      <c r="P147" s="45"/>
      <c r="Q147" s="45"/>
      <c r="R147" s="179">
        <f>R143-(10*2*P145)</f>
        <v>493.02875999999998</v>
      </c>
      <c r="S147" s="45"/>
      <c r="T147" s="45"/>
      <c r="U147" s="45"/>
      <c r="V147" s="53">
        <f t="shared" si="2"/>
        <v>493.029</v>
      </c>
      <c r="W147" s="22"/>
      <c r="X147" s="22"/>
      <c r="Y147" s="22"/>
      <c r="Z147" s="22"/>
      <c r="AA147" s="22"/>
      <c r="AB147" s="22"/>
      <c r="AC147" s="22"/>
      <c r="AD147" s="22"/>
      <c r="AE147" s="22"/>
      <c r="AF147" s="22"/>
      <c r="AG147" s="22"/>
      <c r="AH147" s="22"/>
      <c r="AI147" s="22" t="s">
        <v>243</v>
      </c>
      <c r="AJ147" s="22"/>
      <c r="AK147" s="22"/>
      <c r="AL147" s="22"/>
      <c r="AM147" s="22"/>
      <c r="AN147" s="22"/>
      <c r="AO147" s="22"/>
      <c r="AP147" s="22"/>
      <c r="AQ147" s="22"/>
      <c r="AR147" s="22" t="s">
        <v>243</v>
      </c>
      <c r="AS147" s="22"/>
      <c r="AT147" s="22"/>
      <c r="AU147" s="22"/>
      <c r="AV147" s="22"/>
      <c r="AW147" s="22"/>
      <c r="AX147" s="22"/>
      <c r="AY147" s="22"/>
      <c r="AZ147" s="22"/>
      <c r="BA147" s="5" t="s">
        <v>1393</v>
      </c>
    </row>
    <row r="148" spans="1:53" ht="26.5" thickBot="1" x14ac:dyDescent="0.4">
      <c r="A148" s="16" t="s">
        <v>535</v>
      </c>
      <c r="B148" s="16" t="s">
        <v>535</v>
      </c>
      <c r="C148" s="16" t="s">
        <v>535</v>
      </c>
      <c r="D148" s="16" t="s">
        <v>535</v>
      </c>
      <c r="E148" s="16" t="s">
        <v>243</v>
      </c>
      <c r="F148" s="16" t="s">
        <v>535</v>
      </c>
      <c r="G148" s="16" t="s">
        <v>535</v>
      </c>
      <c r="H148" s="16" t="s">
        <v>535</v>
      </c>
      <c r="I148" s="16" t="s">
        <v>535</v>
      </c>
      <c r="J148" s="5" t="s">
        <v>113</v>
      </c>
      <c r="K148" s="5" t="s">
        <v>526</v>
      </c>
      <c r="L148" s="5" t="s">
        <v>691</v>
      </c>
      <c r="M148" s="5" t="s">
        <v>241</v>
      </c>
      <c r="N148" s="5" t="s">
        <v>207</v>
      </c>
      <c r="O148" s="5">
        <v>1E-3</v>
      </c>
      <c r="P148" s="45"/>
      <c r="Q148" s="45"/>
      <c r="R148" s="179">
        <v>6.4106100000000001</v>
      </c>
      <c r="S148" s="45"/>
      <c r="T148" s="45"/>
      <c r="U148" s="45"/>
      <c r="V148" s="53">
        <f t="shared" si="2"/>
        <v>6.4109999999999996</v>
      </c>
      <c r="W148" s="22"/>
      <c r="X148" s="22"/>
      <c r="Y148" s="22"/>
      <c r="Z148" s="22"/>
      <c r="AA148" s="22"/>
      <c r="AB148" s="22"/>
      <c r="AC148" s="22"/>
      <c r="AD148" s="22"/>
      <c r="AE148" s="22"/>
      <c r="AF148" s="22"/>
      <c r="AG148" s="22"/>
      <c r="AH148" s="22"/>
      <c r="AI148" s="22" t="s">
        <v>243</v>
      </c>
      <c r="AJ148" s="22"/>
      <c r="AK148" s="22"/>
      <c r="AL148" s="22"/>
      <c r="AM148" s="22"/>
      <c r="AN148" s="22"/>
      <c r="AO148" s="22"/>
      <c r="AP148" s="22"/>
      <c r="AQ148" s="22"/>
      <c r="AR148" s="22"/>
      <c r="AS148" s="22"/>
      <c r="AT148" s="22"/>
      <c r="AU148" s="22"/>
      <c r="AV148" s="22"/>
      <c r="AW148" s="22"/>
      <c r="AX148" s="22"/>
      <c r="AY148" s="22"/>
      <c r="AZ148" s="22"/>
      <c r="BA148" s="5"/>
    </row>
    <row r="149" spans="1:53" ht="26.5" thickBot="1" x14ac:dyDescent="0.4">
      <c r="A149" s="16" t="s">
        <v>535</v>
      </c>
      <c r="B149" s="16" t="s">
        <v>535</v>
      </c>
      <c r="C149" s="16" t="s">
        <v>535</v>
      </c>
      <c r="D149" s="16" t="s">
        <v>535</v>
      </c>
      <c r="E149" s="16" t="s">
        <v>243</v>
      </c>
      <c r="F149" s="16" t="s">
        <v>535</v>
      </c>
      <c r="G149" s="16" t="s">
        <v>535</v>
      </c>
      <c r="H149" s="16" t="s">
        <v>535</v>
      </c>
      <c r="I149" s="16" t="s">
        <v>535</v>
      </c>
      <c r="J149" s="5" t="s">
        <v>113</v>
      </c>
      <c r="K149" s="5" t="s">
        <v>526</v>
      </c>
      <c r="L149" s="5" t="s">
        <v>724</v>
      </c>
      <c r="M149" s="5" t="s">
        <v>241</v>
      </c>
      <c r="N149" s="5" t="s">
        <v>207</v>
      </c>
      <c r="O149" s="5">
        <v>1E-3</v>
      </c>
      <c r="P149" s="45"/>
      <c r="Q149" s="45"/>
      <c r="R149" s="179">
        <v>6.4106100000000001</v>
      </c>
      <c r="S149" s="45"/>
      <c r="T149" s="45"/>
      <c r="U149" s="45"/>
      <c r="V149" s="53">
        <f t="shared" si="2"/>
        <v>6.4109999999999996</v>
      </c>
      <c r="W149" s="22"/>
      <c r="X149" s="22"/>
      <c r="Y149" s="22"/>
      <c r="Z149" s="22"/>
      <c r="AA149" s="22"/>
      <c r="AB149" s="22"/>
      <c r="AC149" s="22"/>
      <c r="AD149" s="22"/>
      <c r="AE149" s="22"/>
      <c r="AF149" s="22"/>
      <c r="AG149" s="22"/>
      <c r="AH149" s="22"/>
      <c r="AI149" s="22" t="s">
        <v>243</v>
      </c>
      <c r="AJ149" s="22"/>
      <c r="AK149" s="22"/>
      <c r="AL149" s="22"/>
      <c r="AM149" s="22"/>
      <c r="AN149" s="22"/>
      <c r="AO149" s="22"/>
      <c r="AP149" s="22"/>
      <c r="AQ149" s="22"/>
      <c r="AR149" s="22"/>
      <c r="AS149" s="22"/>
      <c r="AT149" s="22"/>
      <c r="AU149" s="22"/>
      <c r="AV149" s="22"/>
      <c r="AW149" s="22"/>
      <c r="AX149" s="22"/>
      <c r="AY149" s="22"/>
      <c r="AZ149" s="22"/>
      <c r="BA149" s="5"/>
    </row>
    <row r="150" spans="1:53" ht="26.5" thickBot="1" x14ac:dyDescent="0.4">
      <c r="A150" s="16" t="s">
        <v>535</v>
      </c>
      <c r="B150" s="16" t="s">
        <v>535</v>
      </c>
      <c r="C150" s="16" t="s">
        <v>535</v>
      </c>
      <c r="D150" s="16" t="s">
        <v>535</v>
      </c>
      <c r="E150" s="16" t="s">
        <v>243</v>
      </c>
      <c r="F150" s="16" t="s">
        <v>535</v>
      </c>
      <c r="G150" s="16" t="s">
        <v>535</v>
      </c>
      <c r="H150" s="16" t="s">
        <v>535</v>
      </c>
      <c r="I150" s="16" t="s">
        <v>535</v>
      </c>
      <c r="J150" s="5" t="s">
        <v>113</v>
      </c>
      <c r="K150" s="5" t="s">
        <v>526</v>
      </c>
      <c r="L150" s="5" t="s">
        <v>240</v>
      </c>
      <c r="M150" s="5" t="s">
        <v>241</v>
      </c>
      <c r="N150" s="5" t="s">
        <v>207</v>
      </c>
      <c r="O150" s="5">
        <v>1E-3</v>
      </c>
      <c r="P150" s="45"/>
      <c r="Q150" s="45"/>
      <c r="R150" s="179">
        <v>520.33420000000001</v>
      </c>
      <c r="S150" s="45"/>
      <c r="T150" s="45"/>
      <c r="U150" s="45"/>
      <c r="V150" s="53">
        <f t="shared" si="2"/>
        <v>520.33399999999995</v>
      </c>
      <c r="W150" s="22"/>
      <c r="X150" s="22"/>
      <c r="Y150" s="22"/>
      <c r="Z150" s="22"/>
      <c r="AA150" s="22"/>
      <c r="AB150" s="22"/>
      <c r="AC150" s="22"/>
      <c r="AD150" s="22"/>
      <c r="AE150" s="22"/>
      <c r="AF150" s="22"/>
      <c r="AG150" s="22"/>
      <c r="AH150" s="22"/>
      <c r="AI150" s="22" t="s">
        <v>243</v>
      </c>
      <c r="AJ150" s="22"/>
      <c r="AK150" s="22"/>
      <c r="AL150" s="22"/>
      <c r="AM150" s="22"/>
      <c r="AN150" s="22"/>
      <c r="AO150" s="22"/>
      <c r="AP150" s="22"/>
      <c r="AQ150" s="22"/>
      <c r="AR150" s="22"/>
      <c r="AS150" s="22"/>
      <c r="AT150" s="22"/>
      <c r="AU150" s="22"/>
      <c r="AV150" s="22"/>
      <c r="AW150" s="22"/>
      <c r="AX150" s="22"/>
      <c r="AY150" s="22"/>
      <c r="AZ150" s="22"/>
      <c r="BA150" s="5"/>
    </row>
    <row r="151" spans="1:53" ht="39.5" thickBot="1" x14ac:dyDescent="0.4">
      <c r="A151" s="16" t="s">
        <v>535</v>
      </c>
      <c r="B151" s="16" t="s">
        <v>535</v>
      </c>
      <c r="C151" s="16" t="s">
        <v>535</v>
      </c>
      <c r="D151" s="16" t="s">
        <v>535</v>
      </c>
      <c r="E151" s="16" t="s">
        <v>243</v>
      </c>
      <c r="F151" s="16" t="s">
        <v>535</v>
      </c>
      <c r="G151" s="16" t="s">
        <v>535</v>
      </c>
      <c r="H151" s="16" t="s">
        <v>535</v>
      </c>
      <c r="I151" s="16" t="s">
        <v>535</v>
      </c>
      <c r="J151" s="142" t="s">
        <v>1255</v>
      </c>
      <c r="K151" s="5" t="s">
        <v>526</v>
      </c>
      <c r="L151" s="5" t="s">
        <v>691</v>
      </c>
      <c r="M151" s="5" t="s">
        <v>241</v>
      </c>
      <c r="N151" s="5" t="s">
        <v>207</v>
      </c>
      <c r="O151" s="5">
        <v>1E-3</v>
      </c>
      <c r="P151" s="45"/>
      <c r="Q151" s="45"/>
      <c r="R151" s="179">
        <v>0</v>
      </c>
      <c r="S151" s="45"/>
      <c r="T151" s="45"/>
      <c r="U151" s="45"/>
      <c r="V151" s="53">
        <f t="shared" si="2"/>
        <v>0</v>
      </c>
      <c r="W151" s="22"/>
      <c r="X151" s="22"/>
      <c r="Y151" s="22"/>
      <c r="Z151" s="22"/>
      <c r="AA151" s="22"/>
      <c r="AB151" s="22"/>
      <c r="AC151" s="22"/>
      <c r="AD151" s="22"/>
      <c r="AE151" s="22"/>
      <c r="AF151" s="22"/>
      <c r="AG151" s="22"/>
      <c r="AH151" s="22"/>
      <c r="AI151" s="22" t="s">
        <v>243</v>
      </c>
      <c r="AJ151" s="22"/>
      <c r="AK151" s="22"/>
      <c r="AL151" s="22"/>
      <c r="AM151" s="22"/>
      <c r="AN151" s="22"/>
      <c r="AO151" s="22"/>
      <c r="AP151" s="22"/>
      <c r="AQ151" s="22"/>
      <c r="AR151" s="22" t="s">
        <v>243</v>
      </c>
      <c r="AS151" s="22"/>
      <c r="AT151" s="22"/>
      <c r="AU151" s="22"/>
      <c r="AV151" s="22"/>
      <c r="AW151" s="22"/>
      <c r="AX151" s="22"/>
      <c r="AY151" s="22"/>
      <c r="AZ151" s="22"/>
      <c r="BA151" s="5" t="s">
        <v>1392</v>
      </c>
    </row>
    <row r="152" spans="1:53" ht="39.5" thickBot="1" x14ac:dyDescent="0.4">
      <c r="A152" s="16" t="s">
        <v>535</v>
      </c>
      <c r="B152" s="16" t="s">
        <v>535</v>
      </c>
      <c r="C152" s="16" t="s">
        <v>535</v>
      </c>
      <c r="D152" s="16" t="s">
        <v>535</v>
      </c>
      <c r="E152" s="16" t="s">
        <v>243</v>
      </c>
      <c r="F152" s="16" t="s">
        <v>535</v>
      </c>
      <c r="G152" s="16" t="s">
        <v>535</v>
      </c>
      <c r="H152" s="16" t="s">
        <v>535</v>
      </c>
      <c r="I152" s="16" t="s">
        <v>535</v>
      </c>
      <c r="J152" s="142" t="s">
        <v>1255</v>
      </c>
      <c r="K152" s="5" t="s">
        <v>526</v>
      </c>
      <c r="L152" s="5" t="s">
        <v>724</v>
      </c>
      <c r="M152" s="5" t="s">
        <v>241</v>
      </c>
      <c r="N152" s="5" t="s">
        <v>207</v>
      </c>
      <c r="O152" s="5">
        <v>1E-3</v>
      </c>
      <c r="P152" s="45"/>
      <c r="Q152" s="45"/>
      <c r="R152" s="179">
        <v>0</v>
      </c>
      <c r="S152" s="45"/>
      <c r="T152" s="45"/>
      <c r="U152" s="45"/>
      <c r="V152" s="53">
        <f t="shared" si="2"/>
        <v>0</v>
      </c>
      <c r="W152" s="22"/>
      <c r="X152" s="22"/>
      <c r="Y152" s="22"/>
      <c r="Z152" s="22"/>
      <c r="AA152" s="22"/>
      <c r="AB152" s="22"/>
      <c r="AC152" s="22"/>
      <c r="AD152" s="22"/>
      <c r="AE152" s="22"/>
      <c r="AF152" s="22"/>
      <c r="AG152" s="22"/>
      <c r="AH152" s="22"/>
      <c r="AI152" s="22" t="s">
        <v>243</v>
      </c>
      <c r="AJ152" s="22"/>
      <c r="AK152" s="22"/>
      <c r="AL152" s="22"/>
      <c r="AM152" s="22"/>
      <c r="AN152" s="22"/>
      <c r="AO152" s="22"/>
      <c r="AP152" s="22"/>
      <c r="AQ152" s="22"/>
      <c r="AR152" s="22" t="s">
        <v>243</v>
      </c>
      <c r="AS152" s="22"/>
      <c r="AT152" s="22"/>
      <c r="AU152" s="22"/>
      <c r="AV152" s="22"/>
      <c r="AW152" s="22"/>
      <c r="AX152" s="22"/>
      <c r="AY152" s="22"/>
      <c r="AZ152" s="22"/>
      <c r="BA152" s="5" t="s">
        <v>1392</v>
      </c>
    </row>
    <row r="153" spans="1:53" ht="52.5" thickBot="1" x14ac:dyDescent="0.4">
      <c r="A153" s="16" t="s">
        <v>535</v>
      </c>
      <c r="B153" s="16" t="s">
        <v>535</v>
      </c>
      <c r="C153" s="16" t="s">
        <v>535</v>
      </c>
      <c r="D153" s="16" t="s">
        <v>535</v>
      </c>
      <c r="E153" s="16" t="s">
        <v>243</v>
      </c>
      <c r="F153" s="16" t="s">
        <v>535</v>
      </c>
      <c r="G153" s="16" t="s">
        <v>535</v>
      </c>
      <c r="H153" s="16" t="s">
        <v>535</v>
      </c>
      <c r="I153" s="16" t="s">
        <v>535</v>
      </c>
      <c r="J153" s="142" t="s">
        <v>1255</v>
      </c>
      <c r="K153" s="5" t="s">
        <v>526</v>
      </c>
      <c r="L153" s="5" t="s">
        <v>240</v>
      </c>
      <c r="M153" s="5" t="s">
        <v>241</v>
      </c>
      <c r="N153" s="5" t="s">
        <v>207</v>
      </c>
      <c r="O153" s="5">
        <v>1E-3</v>
      </c>
      <c r="P153" s="45"/>
      <c r="Q153" s="45"/>
      <c r="R153" s="179">
        <f>R150-(10*2*P145)</f>
        <v>516.31880000000001</v>
      </c>
      <c r="S153" s="45"/>
      <c r="T153" s="45"/>
      <c r="U153" s="45"/>
      <c r="V153" s="53">
        <f t="shared" si="2"/>
        <v>516.31899999999996</v>
      </c>
      <c r="W153" s="22"/>
      <c r="X153" s="22"/>
      <c r="Y153" s="22"/>
      <c r="Z153" s="22"/>
      <c r="AA153" s="22"/>
      <c r="AB153" s="22"/>
      <c r="AC153" s="22"/>
      <c r="AD153" s="22"/>
      <c r="AE153" s="22"/>
      <c r="AF153" s="22"/>
      <c r="AG153" s="22"/>
      <c r="AH153" s="22"/>
      <c r="AI153" s="22" t="s">
        <v>243</v>
      </c>
      <c r="AJ153" s="22"/>
      <c r="AK153" s="22"/>
      <c r="AL153" s="22"/>
      <c r="AM153" s="22"/>
      <c r="AN153" s="22"/>
      <c r="AO153" s="22"/>
      <c r="AP153" s="22"/>
      <c r="AQ153" s="22"/>
      <c r="AR153" s="22" t="s">
        <v>243</v>
      </c>
      <c r="AS153" s="22"/>
      <c r="AT153" s="22"/>
      <c r="AU153" s="22"/>
      <c r="AV153" s="22"/>
      <c r="AW153" s="22"/>
      <c r="AX153" s="22"/>
      <c r="AY153" s="22"/>
      <c r="AZ153" s="22"/>
      <c r="BA153" s="5" t="s">
        <v>1393</v>
      </c>
    </row>
    <row r="154" spans="1:53" ht="15" thickBot="1" x14ac:dyDescent="0.4">
      <c r="A154" s="16" t="s">
        <v>535</v>
      </c>
      <c r="B154" s="16" t="s">
        <v>535</v>
      </c>
      <c r="C154" s="16" t="s">
        <v>535</v>
      </c>
      <c r="D154" s="16" t="s">
        <v>535</v>
      </c>
      <c r="E154" s="16" t="s">
        <v>243</v>
      </c>
      <c r="F154" s="16" t="s">
        <v>535</v>
      </c>
      <c r="G154" s="16" t="s">
        <v>535</v>
      </c>
      <c r="H154" s="16" t="s">
        <v>535</v>
      </c>
      <c r="I154" s="16" t="s">
        <v>535</v>
      </c>
      <c r="J154" s="5" t="s">
        <v>113</v>
      </c>
      <c r="K154" s="5" t="s">
        <v>576</v>
      </c>
      <c r="L154" s="5" t="s">
        <v>691</v>
      </c>
      <c r="M154" s="5" t="s">
        <v>241</v>
      </c>
      <c r="N154" s="5" t="s">
        <v>207</v>
      </c>
      <c r="O154" s="5">
        <v>1E-3</v>
      </c>
      <c r="P154" s="45"/>
      <c r="Q154" s="45"/>
      <c r="R154" s="179">
        <v>6.4106100000000001</v>
      </c>
      <c r="S154" s="45"/>
      <c r="T154" s="45"/>
      <c r="U154" s="45"/>
      <c r="V154" s="53">
        <f t="shared" si="2"/>
        <v>6.4109999999999996</v>
      </c>
      <c r="W154" s="22"/>
      <c r="X154" s="22"/>
      <c r="Y154" s="22"/>
      <c r="Z154" s="22"/>
      <c r="AA154" s="22"/>
      <c r="AB154" s="22"/>
      <c r="AC154" s="22"/>
      <c r="AD154" s="22"/>
      <c r="AE154" s="22"/>
      <c r="AF154" s="22"/>
      <c r="AG154" s="22"/>
      <c r="AH154" s="22"/>
      <c r="AI154" s="22" t="s">
        <v>243</v>
      </c>
      <c r="AJ154" s="22"/>
      <c r="AK154" s="22"/>
      <c r="AL154" s="22"/>
      <c r="AM154" s="22"/>
      <c r="AN154" s="22"/>
      <c r="AO154" s="22"/>
      <c r="AP154" s="22"/>
      <c r="AQ154" s="22"/>
      <c r="AR154" s="22"/>
      <c r="AS154" s="22"/>
      <c r="AT154" s="22"/>
      <c r="AU154" s="22"/>
      <c r="AV154" s="22"/>
      <c r="AW154" s="22"/>
      <c r="AX154" s="22"/>
      <c r="AY154" s="22"/>
      <c r="AZ154" s="22"/>
      <c r="BA154" s="5"/>
    </row>
    <row r="155" spans="1:53" ht="15" thickBot="1" x14ac:dyDescent="0.4">
      <c r="A155" s="16" t="s">
        <v>535</v>
      </c>
      <c r="B155" s="16" t="s">
        <v>535</v>
      </c>
      <c r="C155" s="16" t="s">
        <v>535</v>
      </c>
      <c r="D155" s="16" t="s">
        <v>535</v>
      </c>
      <c r="E155" s="16" t="s">
        <v>243</v>
      </c>
      <c r="F155" s="16" t="s">
        <v>535</v>
      </c>
      <c r="G155" s="16" t="s">
        <v>535</v>
      </c>
      <c r="H155" s="16" t="s">
        <v>535</v>
      </c>
      <c r="I155" s="16" t="s">
        <v>535</v>
      </c>
      <c r="J155" s="5" t="s">
        <v>113</v>
      </c>
      <c r="K155" s="151" t="s">
        <v>576</v>
      </c>
      <c r="L155" s="151" t="s">
        <v>724</v>
      </c>
      <c r="M155" s="5" t="s">
        <v>241</v>
      </c>
      <c r="N155" s="5" t="s">
        <v>207</v>
      </c>
      <c r="O155" s="5">
        <v>1E-3</v>
      </c>
      <c r="P155" s="45"/>
      <c r="Q155" s="45"/>
      <c r="R155" s="179">
        <v>6.4106100000000001</v>
      </c>
      <c r="S155" s="45"/>
      <c r="T155" s="45"/>
      <c r="U155" s="45"/>
      <c r="V155" s="53">
        <f t="shared" si="2"/>
        <v>6.4109999999999996</v>
      </c>
      <c r="W155" s="22"/>
      <c r="X155" s="22"/>
      <c r="Y155" s="22"/>
      <c r="Z155" s="22"/>
      <c r="AA155" s="22"/>
      <c r="AB155" s="22"/>
      <c r="AC155" s="22"/>
      <c r="AD155" s="22"/>
      <c r="AE155" s="22"/>
      <c r="AF155" s="22"/>
      <c r="AG155" s="22"/>
      <c r="AH155" s="22"/>
      <c r="AI155" s="22" t="s">
        <v>243</v>
      </c>
      <c r="AJ155" s="22"/>
      <c r="AK155" s="22"/>
      <c r="AL155" s="22"/>
      <c r="AM155" s="22"/>
      <c r="AN155" s="22"/>
      <c r="AO155" s="22"/>
      <c r="AP155" s="22"/>
      <c r="AQ155" s="22"/>
      <c r="AR155" s="22"/>
      <c r="AS155" s="22"/>
      <c r="AT155" s="22"/>
      <c r="AU155" s="22"/>
      <c r="AV155" s="22"/>
      <c r="AW155" s="22"/>
      <c r="AX155" s="22"/>
      <c r="AY155" s="22"/>
      <c r="AZ155" s="22"/>
      <c r="BA155" s="5"/>
    </row>
    <row r="156" spans="1:53" ht="15" thickBot="1" x14ac:dyDescent="0.4">
      <c r="A156" s="16" t="s">
        <v>535</v>
      </c>
      <c r="B156" s="16" t="s">
        <v>535</v>
      </c>
      <c r="C156" s="16" t="s">
        <v>535</v>
      </c>
      <c r="D156" s="16" t="s">
        <v>535</v>
      </c>
      <c r="E156" s="16" t="s">
        <v>243</v>
      </c>
      <c r="F156" s="16" t="s">
        <v>535</v>
      </c>
      <c r="G156" s="16" t="s">
        <v>535</v>
      </c>
      <c r="H156" s="16" t="s">
        <v>535</v>
      </c>
      <c r="I156" s="16" t="s">
        <v>535</v>
      </c>
      <c r="J156" s="5" t="s">
        <v>113</v>
      </c>
      <c r="K156" s="151" t="s">
        <v>576</v>
      </c>
      <c r="L156" s="151" t="s">
        <v>240</v>
      </c>
      <c r="M156" s="5" t="s">
        <v>241</v>
      </c>
      <c r="N156" s="5" t="s">
        <v>207</v>
      </c>
      <c r="O156" s="5">
        <v>1E-3</v>
      </c>
      <c r="P156" s="45"/>
      <c r="Q156" s="45"/>
      <c r="R156" s="179">
        <v>8.8838600000000003</v>
      </c>
      <c r="S156" s="45"/>
      <c r="T156" s="45"/>
      <c r="U156" s="45"/>
      <c r="V156" s="53">
        <f t="shared" si="2"/>
        <v>8.8840000000000003</v>
      </c>
      <c r="W156" s="22"/>
      <c r="X156" s="22"/>
      <c r="Y156" s="22"/>
      <c r="Z156" s="22"/>
      <c r="AA156" s="22"/>
      <c r="AB156" s="22"/>
      <c r="AC156" s="22"/>
      <c r="AD156" s="22"/>
      <c r="AE156" s="22"/>
      <c r="AF156" s="22"/>
      <c r="AG156" s="22"/>
      <c r="AH156" s="22"/>
      <c r="AI156" s="22" t="s">
        <v>243</v>
      </c>
      <c r="AJ156" s="22"/>
      <c r="AK156" s="22"/>
      <c r="AL156" s="22"/>
      <c r="AM156" s="22"/>
      <c r="AN156" s="22"/>
      <c r="AO156" s="22"/>
      <c r="AP156" s="22"/>
      <c r="AQ156" s="22"/>
      <c r="AR156" s="22"/>
      <c r="AS156" s="22"/>
      <c r="AT156" s="22"/>
      <c r="AU156" s="22"/>
      <c r="AV156" s="22"/>
      <c r="AW156" s="22"/>
      <c r="AX156" s="22"/>
      <c r="AY156" s="22"/>
      <c r="AZ156" s="22"/>
      <c r="BA156" s="5"/>
    </row>
    <row r="157" spans="1:53" ht="39.5" thickBot="1" x14ac:dyDescent="0.4">
      <c r="A157" s="16" t="s">
        <v>535</v>
      </c>
      <c r="B157" s="16" t="s">
        <v>535</v>
      </c>
      <c r="C157" s="16" t="s">
        <v>535</v>
      </c>
      <c r="D157" s="16" t="s">
        <v>535</v>
      </c>
      <c r="E157" s="16" t="s">
        <v>243</v>
      </c>
      <c r="F157" s="16" t="s">
        <v>535</v>
      </c>
      <c r="G157" s="16" t="s">
        <v>535</v>
      </c>
      <c r="H157" s="16" t="s">
        <v>535</v>
      </c>
      <c r="I157" s="16" t="s">
        <v>535</v>
      </c>
      <c r="J157" s="142" t="s">
        <v>1255</v>
      </c>
      <c r="K157" s="5" t="s">
        <v>576</v>
      </c>
      <c r="L157" s="5" t="s">
        <v>691</v>
      </c>
      <c r="M157" s="5" t="s">
        <v>241</v>
      </c>
      <c r="N157" s="5" t="s">
        <v>207</v>
      </c>
      <c r="O157" s="5">
        <v>1E-3</v>
      </c>
      <c r="P157" s="45"/>
      <c r="Q157" s="45"/>
      <c r="R157" s="179">
        <v>0</v>
      </c>
      <c r="S157" s="45"/>
      <c r="T157" s="45"/>
      <c r="U157" s="45"/>
      <c r="V157" s="53">
        <f t="shared" si="2"/>
        <v>0</v>
      </c>
      <c r="W157" s="22"/>
      <c r="X157" s="22"/>
      <c r="Y157" s="22"/>
      <c r="Z157" s="22"/>
      <c r="AA157" s="22"/>
      <c r="AB157" s="22"/>
      <c r="AC157" s="22"/>
      <c r="AD157" s="22"/>
      <c r="AE157" s="22"/>
      <c r="AF157" s="22"/>
      <c r="AG157" s="22"/>
      <c r="AH157" s="22"/>
      <c r="AI157" s="22" t="s">
        <v>243</v>
      </c>
      <c r="AJ157" s="22"/>
      <c r="AK157" s="22"/>
      <c r="AL157" s="22"/>
      <c r="AM157" s="22"/>
      <c r="AN157" s="22"/>
      <c r="AO157" s="22"/>
      <c r="AP157" s="22"/>
      <c r="AQ157" s="22"/>
      <c r="AR157" s="22" t="s">
        <v>243</v>
      </c>
      <c r="AS157" s="22"/>
      <c r="AT157" s="22"/>
      <c r="AU157" s="22"/>
      <c r="AV157" s="22"/>
      <c r="AW157" s="22"/>
      <c r="AX157" s="22"/>
      <c r="AY157" s="22"/>
      <c r="AZ157" s="22"/>
      <c r="BA157" s="5" t="s">
        <v>1392</v>
      </c>
    </row>
    <row r="158" spans="1:53" ht="39.5" thickBot="1" x14ac:dyDescent="0.4">
      <c r="A158" s="16" t="s">
        <v>535</v>
      </c>
      <c r="B158" s="16" t="s">
        <v>535</v>
      </c>
      <c r="C158" s="16" t="s">
        <v>535</v>
      </c>
      <c r="D158" s="16" t="s">
        <v>535</v>
      </c>
      <c r="E158" s="16" t="s">
        <v>243</v>
      </c>
      <c r="F158" s="16" t="s">
        <v>535</v>
      </c>
      <c r="G158" s="16" t="s">
        <v>535</v>
      </c>
      <c r="H158" s="16" t="s">
        <v>535</v>
      </c>
      <c r="I158" s="16" t="s">
        <v>535</v>
      </c>
      <c r="J158" s="142" t="s">
        <v>1255</v>
      </c>
      <c r="K158" s="5" t="s">
        <v>576</v>
      </c>
      <c r="L158" s="5" t="s">
        <v>724</v>
      </c>
      <c r="M158" s="5" t="s">
        <v>241</v>
      </c>
      <c r="N158" s="5" t="s">
        <v>207</v>
      </c>
      <c r="O158" s="5">
        <v>1E-3</v>
      </c>
      <c r="P158" s="45"/>
      <c r="Q158" s="45"/>
      <c r="R158" s="179">
        <v>0</v>
      </c>
      <c r="S158" s="45"/>
      <c r="T158" s="45"/>
      <c r="U158" s="45"/>
      <c r="V158" s="53">
        <f t="shared" si="2"/>
        <v>0</v>
      </c>
      <c r="W158" s="22"/>
      <c r="X158" s="22"/>
      <c r="Y158" s="22"/>
      <c r="Z158" s="22"/>
      <c r="AA158" s="22"/>
      <c r="AB158" s="22"/>
      <c r="AC158" s="22"/>
      <c r="AD158" s="22"/>
      <c r="AE158" s="22"/>
      <c r="AF158" s="22"/>
      <c r="AG158" s="22"/>
      <c r="AH158" s="22"/>
      <c r="AI158" s="22" t="s">
        <v>243</v>
      </c>
      <c r="AJ158" s="22"/>
      <c r="AK158" s="22"/>
      <c r="AL158" s="22"/>
      <c r="AM158" s="22"/>
      <c r="AN158" s="22"/>
      <c r="AO158" s="22"/>
      <c r="AP158" s="22"/>
      <c r="AQ158" s="22"/>
      <c r="AR158" s="22" t="s">
        <v>243</v>
      </c>
      <c r="AS158" s="22"/>
      <c r="AT158" s="22"/>
      <c r="AU158" s="22"/>
      <c r="AV158" s="22"/>
      <c r="AW158" s="22"/>
      <c r="AX158" s="22"/>
      <c r="AY158" s="22"/>
      <c r="AZ158" s="22"/>
      <c r="BA158" s="5" t="s">
        <v>1392</v>
      </c>
    </row>
    <row r="159" spans="1:53" ht="52.5" thickBot="1" x14ac:dyDescent="0.4">
      <c r="A159" s="16" t="s">
        <v>535</v>
      </c>
      <c r="B159" s="16" t="s">
        <v>535</v>
      </c>
      <c r="C159" s="16" t="s">
        <v>535</v>
      </c>
      <c r="D159" s="16" t="s">
        <v>535</v>
      </c>
      <c r="E159" s="16" t="s">
        <v>243</v>
      </c>
      <c r="F159" s="16" t="s">
        <v>535</v>
      </c>
      <c r="G159" s="16" t="s">
        <v>535</v>
      </c>
      <c r="H159" s="16" t="s">
        <v>535</v>
      </c>
      <c r="I159" s="16" t="s">
        <v>535</v>
      </c>
      <c r="J159" s="142" t="s">
        <v>1255</v>
      </c>
      <c r="K159" s="5" t="s">
        <v>576</v>
      </c>
      <c r="L159" s="5" t="s">
        <v>240</v>
      </c>
      <c r="M159" s="5" t="s">
        <v>241</v>
      </c>
      <c r="N159" s="5" t="s">
        <v>207</v>
      </c>
      <c r="O159" s="5">
        <v>1E-3</v>
      </c>
      <c r="P159" s="45"/>
      <c r="Q159" s="45"/>
      <c r="R159" s="179">
        <f>R156-(10*2*P145)</f>
        <v>4.8684600000000007</v>
      </c>
      <c r="S159" s="45"/>
      <c r="T159" s="45"/>
      <c r="U159" s="45"/>
      <c r="V159" s="53">
        <f t="shared" si="2"/>
        <v>4.8680000000000003</v>
      </c>
      <c r="W159" s="22"/>
      <c r="X159" s="22"/>
      <c r="Y159" s="22"/>
      <c r="Z159" s="22"/>
      <c r="AA159" s="22"/>
      <c r="AB159" s="22"/>
      <c r="AC159" s="22"/>
      <c r="AD159" s="22"/>
      <c r="AE159" s="22"/>
      <c r="AF159" s="22"/>
      <c r="AG159" s="22"/>
      <c r="AH159" s="22"/>
      <c r="AI159" s="22" t="s">
        <v>243</v>
      </c>
      <c r="AJ159" s="22"/>
      <c r="AK159" s="22"/>
      <c r="AL159" s="22"/>
      <c r="AM159" s="22"/>
      <c r="AN159" s="22"/>
      <c r="AO159" s="22"/>
      <c r="AP159" s="22"/>
      <c r="AQ159" s="22"/>
      <c r="AR159" s="22" t="s">
        <v>243</v>
      </c>
      <c r="AS159" s="22"/>
      <c r="AT159" s="22"/>
      <c r="AU159" s="22"/>
      <c r="AV159" s="22"/>
      <c r="AW159" s="22"/>
      <c r="AX159" s="22"/>
      <c r="AY159" s="22"/>
      <c r="AZ159" s="22"/>
      <c r="BA159" s="5" t="s">
        <v>1393</v>
      </c>
    </row>
    <row r="160" spans="1:53" ht="15" thickBot="1" x14ac:dyDescent="0.4">
      <c r="A160" s="16" t="s">
        <v>535</v>
      </c>
      <c r="B160" s="16" t="s">
        <v>535</v>
      </c>
      <c r="C160" s="16" t="s">
        <v>535</v>
      </c>
      <c r="D160" s="16" t="s">
        <v>535</v>
      </c>
      <c r="E160" s="16" t="s">
        <v>243</v>
      </c>
      <c r="F160" s="16" t="s">
        <v>535</v>
      </c>
      <c r="G160" s="16" t="s">
        <v>535</v>
      </c>
      <c r="H160" s="16" t="s">
        <v>535</v>
      </c>
      <c r="I160" s="16" t="s">
        <v>535</v>
      </c>
      <c r="J160" s="5" t="s">
        <v>113</v>
      </c>
      <c r="K160" s="5" t="s">
        <v>586</v>
      </c>
      <c r="L160" s="5" t="s">
        <v>691</v>
      </c>
      <c r="M160" s="5" t="s">
        <v>241</v>
      </c>
      <c r="N160" s="5" t="s">
        <v>207</v>
      </c>
      <c r="O160" s="5">
        <v>1E-3</v>
      </c>
      <c r="P160" s="45"/>
      <c r="Q160" s="45"/>
      <c r="R160" s="179">
        <v>6.4106100000000001</v>
      </c>
      <c r="S160" s="45"/>
      <c r="T160" s="45"/>
      <c r="U160" s="45"/>
      <c r="V160" s="53">
        <f t="shared" si="2"/>
        <v>6.4109999999999996</v>
      </c>
      <c r="W160" s="22"/>
      <c r="X160" s="22"/>
      <c r="Y160" s="22"/>
      <c r="Z160" s="22"/>
      <c r="AA160" s="22"/>
      <c r="AB160" s="22"/>
      <c r="AC160" s="22"/>
      <c r="AD160" s="22"/>
      <c r="AE160" s="22"/>
      <c r="AF160" s="22"/>
      <c r="AG160" s="22"/>
      <c r="AH160" s="22"/>
      <c r="AI160" s="22" t="s">
        <v>243</v>
      </c>
      <c r="AJ160" s="22"/>
      <c r="AK160" s="22"/>
      <c r="AL160" s="22"/>
      <c r="AM160" s="22"/>
      <c r="AN160" s="22"/>
      <c r="AO160" s="22"/>
      <c r="AP160" s="22"/>
      <c r="AQ160" s="22"/>
      <c r="AR160" s="22"/>
      <c r="AS160" s="22"/>
      <c r="AT160" s="22"/>
      <c r="AU160" s="22"/>
      <c r="AV160" s="22"/>
      <c r="AW160" s="22"/>
      <c r="AX160" s="22"/>
      <c r="AY160" s="22"/>
      <c r="AZ160" s="22"/>
      <c r="BA160" s="5"/>
    </row>
    <row r="161" spans="1:53" ht="39.5" thickBot="1" x14ac:dyDescent="0.4">
      <c r="A161" s="16" t="s">
        <v>535</v>
      </c>
      <c r="B161" s="16" t="s">
        <v>535</v>
      </c>
      <c r="C161" s="16" t="s">
        <v>535</v>
      </c>
      <c r="D161" s="16" t="s">
        <v>535</v>
      </c>
      <c r="E161" s="16" t="s">
        <v>243</v>
      </c>
      <c r="F161" s="16" t="s">
        <v>535</v>
      </c>
      <c r="G161" s="16" t="s">
        <v>535</v>
      </c>
      <c r="H161" s="16" t="s">
        <v>535</v>
      </c>
      <c r="I161" s="16" t="s">
        <v>535</v>
      </c>
      <c r="J161" s="142" t="s">
        <v>1255</v>
      </c>
      <c r="K161" s="5" t="s">
        <v>586</v>
      </c>
      <c r="L161" s="5" t="s">
        <v>691</v>
      </c>
      <c r="M161" s="5" t="s">
        <v>241</v>
      </c>
      <c r="N161" s="5" t="s">
        <v>207</v>
      </c>
      <c r="O161" s="5">
        <v>1E-3</v>
      </c>
      <c r="P161" s="45"/>
      <c r="Q161" s="45"/>
      <c r="R161" s="179">
        <v>0</v>
      </c>
      <c r="S161" s="45"/>
      <c r="T161" s="45"/>
      <c r="U161" s="45"/>
      <c r="V161" s="53">
        <f t="shared" si="2"/>
        <v>0</v>
      </c>
      <c r="W161" s="22"/>
      <c r="X161" s="22"/>
      <c r="Y161" s="22"/>
      <c r="Z161" s="22"/>
      <c r="AA161" s="22"/>
      <c r="AB161" s="22"/>
      <c r="AC161" s="22"/>
      <c r="AD161" s="22"/>
      <c r="AE161" s="22"/>
      <c r="AF161" s="22"/>
      <c r="AG161" s="22"/>
      <c r="AH161" s="22"/>
      <c r="AI161" s="22" t="s">
        <v>243</v>
      </c>
      <c r="AJ161" s="22"/>
      <c r="AK161" s="22"/>
      <c r="AL161" s="22"/>
      <c r="AM161" s="22"/>
      <c r="AN161" s="22"/>
      <c r="AO161" s="22"/>
      <c r="AP161" s="22"/>
      <c r="AQ161" s="22"/>
      <c r="AR161" s="22" t="s">
        <v>243</v>
      </c>
      <c r="AS161" s="22"/>
      <c r="AT161" s="22"/>
      <c r="AU161" s="22"/>
      <c r="AV161" s="22"/>
      <c r="AW161" s="22"/>
      <c r="AX161" s="22"/>
      <c r="AY161" s="22"/>
      <c r="AZ161" s="22"/>
      <c r="BA161" s="5" t="s">
        <v>1392</v>
      </c>
    </row>
    <row r="162" spans="1:53" ht="15" thickBot="1" x14ac:dyDescent="0.4">
      <c r="A162" s="16" t="s">
        <v>535</v>
      </c>
      <c r="B162" s="16" t="s">
        <v>535</v>
      </c>
      <c r="C162" s="16" t="s">
        <v>535</v>
      </c>
      <c r="D162" s="16" t="s">
        <v>535</v>
      </c>
      <c r="E162" s="16" t="s">
        <v>243</v>
      </c>
      <c r="F162" s="16" t="s">
        <v>535</v>
      </c>
      <c r="G162" s="16" t="s">
        <v>535</v>
      </c>
      <c r="H162" s="16" t="s">
        <v>535</v>
      </c>
      <c r="I162" s="16" t="s">
        <v>535</v>
      </c>
      <c r="J162" s="142" t="s">
        <v>113</v>
      </c>
      <c r="K162" s="5" t="s">
        <v>593</v>
      </c>
      <c r="L162" s="5" t="s">
        <v>691</v>
      </c>
      <c r="M162" s="5" t="s">
        <v>241</v>
      </c>
      <c r="N162" s="5" t="s">
        <v>207</v>
      </c>
      <c r="O162" s="5">
        <v>1E-3</v>
      </c>
      <c r="P162" s="45"/>
      <c r="Q162" s="45"/>
      <c r="R162" s="179">
        <v>6.4106100000000001</v>
      </c>
      <c r="S162" s="45"/>
      <c r="T162" s="45"/>
      <c r="U162" s="45"/>
      <c r="V162" s="53">
        <f t="shared" si="2"/>
        <v>6.4109999999999996</v>
      </c>
      <c r="W162" s="22"/>
      <c r="X162" s="22"/>
      <c r="Y162" s="22"/>
      <c r="Z162" s="22"/>
      <c r="AA162" s="22"/>
      <c r="AB162" s="22"/>
      <c r="AC162" s="22"/>
      <c r="AD162" s="22"/>
      <c r="AE162" s="22"/>
      <c r="AF162" s="22"/>
      <c r="AG162" s="22"/>
      <c r="AH162" s="22"/>
      <c r="AI162" s="22" t="s">
        <v>243</v>
      </c>
      <c r="AJ162" s="22"/>
      <c r="AK162" s="22"/>
      <c r="AL162" s="22"/>
      <c r="AM162" s="22"/>
      <c r="AN162" s="22"/>
      <c r="AO162" s="22"/>
      <c r="AP162" s="22"/>
      <c r="AQ162" s="22"/>
      <c r="AR162" s="22"/>
      <c r="AS162" s="22"/>
      <c r="AT162" s="22"/>
      <c r="AU162" s="22"/>
      <c r="AV162" s="22"/>
      <c r="AW162" s="22"/>
      <c r="AX162" s="22"/>
      <c r="AY162" s="22"/>
      <c r="AZ162" s="22"/>
      <c r="BA162" s="5"/>
    </row>
    <row r="163" spans="1:53" ht="39.5" thickBot="1" x14ac:dyDescent="0.4">
      <c r="A163" s="16" t="s">
        <v>535</v>
      </c>
      <c r="B163" s="16" t="s">
        <v>535</v>
      </c>
      <c r="C163" s="16" t="s">
        <v>535</v>
      </c>
      <c r="D163" s="16" t="s">
        <v>535</v>
      </c>
      <c r="E163" s="16" t="s">
        <v>243</v>
      </c>
      <c r="F163" s="16" t="s">
        <v>535</v>
      </c>
      <c r="G163" s="16" t="s">
        <v>535</v>
      </c>
      <c r="H163" s="16" t="s">
        <v>535</v>
      </c>
      <c r="I163" s="16" t="s">
        <v>535</v>
      </c>
      <c r="J163" s="142" t="s">
        <v>1255</v>
      </c>
      <c r="K163" s="5" t="s">
        <v>593</v>
      </c>
      <c r="L163" s="5" t="s">
        <v>691</v>
      </c>
      <c r="M163" s="5" t="s">
        <v>241</v>
      </c>
      <c r="N163" s="5" t="s">
        <v>207</v>
      </c>
      <c r="O163" s="5">
        <v>1E-3</v>
      </c>
      <c r="P163" s="45"/>
      <c r="Q163" s="45"/>
      <c r="R163" s="179">
        <v>0</v>
      </c>
      <c r="S163" s="45"/>
      <c r="T163" s="45"/>
      <c r="U163" s="45"/>
      <c r="V163" s="53">
        <f t="shared" si="2"/>
        <v>0</v>
      </c>
      <c r="W163" s="22"/>
      <c r="X163" s="22"/>
      <c r="Y163" s="22"/>
      <c r="Z163" s="22"/>
      <c r="AA163" s="22"/>
      <c r="AB163" s="22"/>
      <c r="AC163" s="22"/>
      <c r="AD163" s="22"/>
      <c r="AE163" s="22"/>
      <c r="AF163" s="22"/>
      <c r="AG163" s="22"/>
      <c r="AH163" s="22"/>
      <c r="AI163" s="22" t="s">
        <v>243</v>
      </c>
      <c r="AJ163" s="22"/>
      <c r="AK163" s="22"/>
      <c r="AL163" s="22"/>
      <c r="AM163" s="22"/>
      <c r="AN163" s="22"/>
      <c r="AO163" s="22"/>
      <c r="AP163" s="22"/>
      <c r="AQ163" s="22"/>
      <c r="AR163" s="22" t="s">
        <v>243</v>
      </c>
      <c r="AS163" s="22"/>
      <c r="AT163" s="22"/>
      <c r="AU163" s="22"/>
      <c r="AV163" s="22"/>
      <c r="AW163" s="22"/>
      <c r="AX163" s="22"/>
      <c r="AY163" s="22"/>
      <c r="AZ163" s="22"/>
      <c r="BA163" s="5" t="s">
        <v>1392</v>
      </c>
    </row>
    <row r="164" spans="1:53" ht="15" thickBot="1" x14ac:dyDescent="0.4">
      <c r="A164" s="16" t="s">
        <v>535</v>
      </c>
      <c r="B164" s="16" t="s">
        <v>535</v>
      </c>
      <c r="C164" s="16" t="s">
        <v>535</v>
      </c>
      <c r="D164" s="16" t="s">
        <v>535</v>
      </c>
      <c r="E164" s="16" t="s">
        <v>243</v>
      </c>
      <c r="F164" s="16" t="s">
        <v>535</v>
      </c>
      <c r="G164" s="16" t="s">
        <v>535</v>
      </c>
      <c r="H164" s="16" t="s">
        <v>535</v>
      </c>
      <c r="I164" s="16" t="s">
        <v>535</v>
      </c>
      <c r="J164" s="5" t="s">
        <v>113</v>
      </c>
      <c r="K164" s="5" t="s">
        <v>606</v>
      </c>
      <c r="L164" s="5" t="s">
        <v>691</v>
      </c>
      <c r="M164" s="5" t="s">
        <v>241</v>
      </c>
      <c r="N164" s="5" t="s">
        <v>207</v>
      </c>
      <c r="O164" s="5">
        <v>1E-3</v>
      </c>
      <c r="P164" s="45"/>
      <c r="Q164" s="45"/>
      <c r="R164" s="179">
        <v>6.4106100000000001</v>
      </c>
      <c r="S164" s="45"/>
      <c r="T164" s="45"/>
      <c r="U164" s="45"/>
      <c r="V164" s="53">
        <f t="shared" si="2"/>
        <v>6.4109999999999996</v>
      </c>
      <c r="W164" s="22"/>
      <c r="X164" s="22"/>
      <c r="Y164" s="22"/>
      <c r="Z164" s="22"/>
      <c r="AA164" s="22"/>
      <c r="AB164" s="22"/>
      <c r="AC164" s="22"/>
      <c r="AD164" s="22"/>
      <c r="AE164" s="22"/>
      <c r="AF164" s="22"/>
      <c r="AG164" s="22"/>
      <c r="AH164" s="22"/>
      <c r="AI164" s="22" t="s">
        <v>243</v>
      </c>
      <c r="AJ164" s="22"/>
      <c r="AK164" s="22"/>
      <c r="AL164" s="22"/>
      <c r="AM164" s="22"/>
      <c r="AN164" s="22"/>
      <c r="AO164" s="22"/>
      <c r="AP164" s="22"/>
      <c r="AQ164" s="22"/>
      <c r="AR164" s="22"/>
      <c r="AS164" s="22"/>
      <c r="AT164" s="22"/>
      <c r="AU164" s="22"/>
      <c r="AV164" s="22"/>
      <c r="AW164" s="22"/>
      <c r="AX164" s="22"/>
      <c r="AY164" s="22"/>
      <c r="AZ164" s="22"/>
      <c r="BA164" s="5"/>
    </row>
    <row r="165" spans="1:53" ht="39.5" thickBot="1" x14ac:dyDescent="0.4">
      <c r="A165" s="16" t="s">
        <v>535</v>
      </c>
      <c r="B165" s="16" t="s">
        <v>535</v>
      </c>
      <c r="C165" s="16" t="s">
        <v>535</v>
      </c>
      <c r="D165" s="16" t="s">
        <v>535</v>
      </c>
      <c r="E165" s="16" t="s">
        <v>243</v>
      </c>
      <c r="F165" s="16" t="s">
        <v>535</v>
      </c>
      <c r="G165" s="16" t="s">
        <v>535</v>
      </c>
      <c r="H165" s="16" t="s">
        <v>535</v>
      </c>
      <c r="I165" s="16" t="s">
        <v>535</v>
      </c>
      <c r="J165" s="142" t="s">
        <v>1255</v>
      </c>
      <c r="K165" s="5" t="s">
        <v>606</v>
      </c>
      <c r="L165" s="5" t="s">
        <v>691</v>
      </c>
      <c r="M165" s="5" t="s">
        <v>241</v>
      </c>
      <c r="N165" s="5" t="s">
        <v>207</v>
      </c>
      <c r="O165" s="5">
        <v>1E-3</v>
      </c>
      <c r="P165" s="45"/>
      <c r="Q165" s="45"/>
      <c r="R165" s="179">
        <v>0</v>
      </c>
      <c r="S165" s="45"/>
      <c r="T165" s="45"/>
      <c r="U165" s="45"/>
      <c r="V165" s="53">
        <f t="shared" ref="V165:V212" si="3">ROUND(SUM(P165:U165),3)</f>
        <v>0</v>
      </c>
      <c r="W165" s="22"/>
      <c r="X165" s="22"/>
      <c r="Y165" s="22"/>
      <c r="Z165" s="22"/>
      <c r="AA165" s="22"/>
      <c r="AB165" s="22"/>
      <c r="AC165" s="22"/>
      <c r="AD165" s="22"/>
      <c r="AE165" s="22"/>
      <c r="AF165" s="22"/>
      <c r="AG165" s="22"/>
      <c r="AH165" s="22"/>
      <c r="AI165" s="22" t="s">
        <v>243</v>
      </c>
      <c r="AJ165" s="22"/>
      <c r="AK165" s="22"/>
      <c r="AL165" s="22"/>
      <c r="AM165" s="22"/>
      <c r="AN165" s="22"/>
      <c r="AO165" s="22"/>
      <c r="AP165" s="22"/>
      <c r="AQ165" s="22"/>
      <c r="AR165" s="22" t="s">
        <v>243</v>
      </c>
      <c r="AS165" s="22"/>
      <c r="AT165" s="22"/>
      <c r="AU165" s="22"/>
      <c r="AV165" s="22"/>
      <c r="AW165" s="22"/>
      <c r="AX165" s="22"/>
      <c r="AY165" s="22"/>
      <c r="AZ165" s="22"/>
      <c r="BA165" s="5" t="s">
        <v>1392</v>
      </c>
    </row>
    <row r="166" spans="1:53" ht="15" thickBot="1" x14ac:dyDescent="0.4">
      <c r="A166" s="16" t="s">
        <v>535</v>
      </c>
      <c r="B166" s="16" t="s">
        <v>535</v>
      </c>
      <c r="C166" s="16" t="s">
        <v>535</v>
      </c>
      <c r="D166" s="16" t="s">
        <v>535</v>
      </c>
      <c r="E166" s="16" t="s">
        <v>243</v>
      </c>
      <c r="F166" s="16" t="s">
        <v>535</v>
      </c>
      <c r="G166" s="16" t="s">
        <v>535</v>
      </c>
      <c r="H166" s="16" t="s">
        <v>535</v>
      </c>
      <c r="I166" s="16" t="s">
        <v>535</v>
      </c>
      <c r="J166" s="5" t="s">
        <v>113</v>
      </c>
      <c r="K166" s="5" t="s">
        <v>600</v>
      </c>
      <c r="L166" s="5" t="s">
        <v>691</v>
      </c>
      <c r="M166" s="5" t="s">
        <v>241</v>
      </c>
      <c r="N166" s="5" t="s">
        <v>207</v>
      </c>
      <c r="O166" s="5">
        <v>1E-3</v>
      </c>
      <c r="P166" s="45"/>
      <c r="Q166" s="45"/>
      <c r="R166" s="179">
        <v>6.4106100000000001</v>
      </c>
      <c r="S166" s="45"/>
      <c r="T166" s="45"/>
      <c r="U166" s="45"/>
      <c r="V166" s="53">
        <f t="shared" si="3"/>
        <v>6.4109999999999996</v>
      </c>
      <c r="W166" s="22"/>
      <c r="X166" s="22"/>
      <c r="Y166" s="22"/>
      <c r="Z166" s="22"/>
      <c r="AA166" s="22"/>
      <c r="AB166" s="22"/>
      <c r="AC166" s="22"/>
      <c r="AD166" s="22"/>
      <c r="AE166" s="22"/>
      <c r="AF166" s="22"/>
      <c r="AG166" s="22"/>
      <c r="AH166" s="22"/>
      <c r="AI166" s="22" t="s">
        <v>243</v>
      </c>
      <c r="AJ166" s="22"/>
      <c r="AK166" s="22"/>
      <c r="AL166" s="22"/>
      <c r="AM166" s="22"/>
      <c r="AN166" s="22"/>
      <c r="AO166" s="22"/>
      <c r="AP166" s="22"/>
      <c r="AQ166" s="22"/>
      <c r="AR166" s="22"/>
      <c r="AS166" s="22"/>
      <c r="AT166" s="22"/>
      <c r="AU166" s="22"/>
      <c r="AV166" s="22"/>
      <c r="AW166" s="22"/>
      <c r="AX166" s="22"/>
      <c r="AY166" s="22"/>
      <c r="AZ166" s="22"/>
      <c r="BA166" s="5"/>
    </row>
    <row r="167" spans="1:53" ht="15" thickBot="1" x14ac:dyDescent="0.4">
      <c r="A167" s="16" t="s">
        <v>535</v>
      </c>
      <c r="B167" s="16" t="s">
        <v>535</v>
      </c>
      <c r="C167" s="16" t="s">
        <v>535</v>
      </c>
      <c r="D167" s="16" t="s">
        <v>535</v>
      </c>
      <c r="E167" s="16" t="s">
        <v>243</v>
      </c>
      <c r="F167" s="16" t="s">
        <v>535</v>
      </c>
      <c r="G167" s="16" t="s">
        <v>535</v>
      </c>
      <c r="H167" s="16" t="s">
        <v>535</v>
      </c>
      <c r="I167" s="16" t="s">
        <v>535</v>
      </c>
      <c r="J167" s="5" t="s">
        <v>113</v>
      </c>
      <c r="K167" s="5" t="s">
        <v>600</v>
      </c>
      <c r="L167" s="5" t="s">
        <v>778</v>
      </c>
      <c r="M167" s="5" t="s">
        <v>241</v>
      </c>
      <c r="N167" s="5" t="s">
        <v>207</v>
      </c>
      <c r="O167" s="5">
        <v>1E-3</v>
      </c>
      <c r="P167" s="45"/>
      <c r="Q167" s="45"/>
      <c r="R167" s="179">
        <v>8.8838600000000003</v>
      </c>
      <c r="S167" s="45"/>
      <c r="T167" s="45"/>
      <c r="U167" s="45"/>
      <c r="V167" s="53">
        <f t="shared" si="3"/>
        <v>8.8840000000000003</v>
      </c>
      <c r="W167" s="22"/>
      <c r="X167" s="22"/>
      <c r="Y167" s="22"/>
      <c r="Z167" s="22"/>
      <c r="AA167" s="22"/>
      <c r="AB167" s="22"/>
      <c r="AC167" s="22"/>
      <c r="AD167" s="22"/>
      <c r="AE167" s="22"/>
      <c r="AF167" s="22"/>
      <c r="AG167" s="22"/>
      <c r="AH167" s="22"/>
      <c r="AI167" s="22" t="s">
        <v>243</v>
      </c>
      <c r="AJ167" s="22"/>
      <c r="AK167" s="22"/>
      <c r="AL167" s="22"/>
      <c r="AM167" s="22"/>
      <c r="AN167" s="22"/>
      <c r="AO167" s="22"/>
      <c r="AP167" s="22"/>
      <c r="AQ167" s="22"/>
      <c r="AR167" s="22"/>
      <c r="AS167" s="22"/>
      <c r="AT167" s="22"/>
      <c r="AU167" s="22"/>
      <c r="AV167" s="22"/>
      <c r="AW167" s="22"/>
      <c r="AX167" s="22"/>
      <c r="AY167" s="22"/>
      <c r="AZ167" s="22"/>
      <c r="BA167" s="5"/>
    </row>
    <row r="168" spans="1:53" ht="39.5" thickBot="1" x14ac:dyDescent="0.4">
      <c r="A168" s="16" t="s">
        <v>535</v>
      </c>
      <c r="B168" s="16" t="s">
        <v>535</v>
      </c>
      <c r="C168" s="16" t="s">
        <v>535</v>
      </c>
      <c r="D168" s="16" t="s">
        <v>535</v>
      </c>
      <c r="E168" s="16" t="s">
        <v>243</v>
      </c>
      <c r="F168" s="16" t="s">
        <v>535</v>
      </c>
      <c r="G168" s="16" t="s">
        <v>535</v>
      </c>
      <c r="H168" s="16" t="s">
        <v>535</v>
      </c>
      <c r="I168" s="16" t="s">
        <v>535</v>
      </c>
      <c r="J168" s="142" t="s">
        <v>1255</v>
      </c>
      <c r="K168" s="5" t="s">
        <v>600</v>
      </c>
      <c r="L168" s="5" t="s">
        <v>691</v>
      </c>
      <c r="M168" s="5" t="s">
        <v>241</v>
      </c>
      <c r="N168" s="5" t="s">
        <v>207</v>
      </c>
      <c r="O168" s="5">
        <v>1E-3</v>
      </c>
      <c r="P168" s="45"/>
      <c r="Q168" s="45"/>
      <c r="R168" s="179">
        <v>0</v>
      </c>
      <c r="S168" s="45"/>
      <c r="T168" s="45"/>
      <c r="U168" s="45"/>
      <c r="V168" s="53">
        <f t="shared" si="3"/>
        <v>0</v>
      </c>
      <c r="W168" s="22"/>
      <c r="X168" s="22"/>
      <c r="Y168" s="22"/>
      <c r="Z168" s="22"/>
      <c r="AA168" s="22"/>
      <c r="AB168" s="22"/>
      <c r="AC168" s="22"/>
      <c r="AD168" s="22"/>
      <c r="AE168" s="22"/>
      <c r="AF168" s="22"/>
      <c r="AG168" s="22"/>
      <c r="AH168" s="22"/>
      <c r="AI168" s="22" t="s">
        <v>243</v>
      </c>
      <c r="AJ168" s="22"/>
      <c r="AK168" s="22"/>
      <c r="AL168" s="22"/>
      <c r="AM168" s="22"/>
      <c r="AN168" s="22"/>
      <c r="AO168" s="22"/>
      <c r="AP168" s="22"/>
      <c r="AQ168" s="22"/>
      <c r="AR168" s="22" t="s">
        <v>243</v>
      </c>
      <c r="AS168" s="22"/>
      <c r="AT168" s="22"/>
      <c r="AU168" s="22"/>
      <c r="AV168" s="22"/>
      <c r="AW168" s="22"/>
      <c r="AX168" s="22"/>
      <c r="AY168" s="22"/>
      <c r="AZ168" s="22"/>
      <c r="BA168" s="5" t="s">
        <v>1392</v>
      </c>
    </row>
    <row r="169" spans="1:53" ht="39.5" thickBot="1" x14ac:dyDescent="0.4">
      <c r="A169" s="16" t="s">
        <v>535</v>
      </c>
      <c r="B169" s="16" t="s">
        <v>535</v>
      </c>
      <c r="C169" s="16" t="s">
        <v>535</v>
      </c>
      <c r="D169" s="16" t="s">
        <v>535</v>
      </c>
      <c r="E169" s="16" t="s">
        <v>243</v>
      </c>
      <c r="F169" s="16" t="s">
        <v>535</v>
      </c>
      <c r="G169" s="16" t="s">
        <v>535</v>
      </c>
      <c r="H169" s="16" t="s">
        <v>535</v>
      </c>
      <c r="I169" s="16" t="s">
        <v>535</v>
      </c>
      <c r="J169" s="142" t="s">
        <v>1255</v>
      </c>
      <c r="K169" s="5" t="s">
        <v>600</v>
      </c>
      <c r="L169" s="5" t="s">
        <v>778</v>
      </c>
      <c r="M169" s="5" t="s">
        <v>241</v>
      </c>
      <c r="N169" s="5" t="s">
        <v>207</v>
      </c>
      <c r="O169" s="5">
        <v>1E-3</v>
      </c>
      <c r="P169" s="45"/>
      <c r="Q169" s="45"/>
      <c r="R169" s="179">
        <v>0</v>
      </c>
      <c r="S169" s="45"/>
      <c r="T169" s="45"/>
      <c r="U169" s="45"/>
      <c r="V169" s="53">
        <f t="shared" si="3"/>
        <v>0</v>
      </c>
      <c r="W169" s="22"/>
      <c r="X169" s="22"/>
      <c r="Y169" s="22"/>
      <c r="Z169" s="22"/>
      <c r="AA169" s="22"/>
      <c r="AB169" s="22"/>
      <c r="AC169" s="22"/>
      <c r="AD169" s="22"/>
      <c r="AE169" s="22"/>
      <c r="AF169" s="22"/>
      <c r="AG169" s="22"/>
      <c r="AH169" s="22"/>
      <c r="AI169" s="22" t="s">
        <v>243</v>
      </c>
      <c r="AJ169" s="22"/>
      <c r="AK169" s="22"/>
      <c r="AL169" s="22"/>
      <c r="AM169" s="22"/>
      <c r="AN169" s="22"/>
      <c r="AO169" s="22"/>
      <c r="AP169" s="22"/>
      <c r="AQ169" s="22"/>
      <c r="AR169" s="22" t="s">
        <v>243</v>
      </c>
      <c r="AS169" s="22"/>
      <c r="AT169" s="22"/>
      <c r="AU169" s="22"/>
      <c r="AV169" s="22"/>
      <c r="AW169" s="22"/>
      <c r="AX169" s="22"/>
      <c r="AY169" s="22"/>
      <c r="AZ169" s="22"/>
      <c r="BA169" s="5" t="s">
        <v>1392</v>
      </c>
    </row>
    <row r="170" spans="1:53" ht="26.5" thickBot="1" x14ac:dyDescent="0.4">
      <c r="A170" s="16" t="s">
        <v>535</v>
      </c>
      <c r="B170" s="16" t="s">
        <v>535</v>
      </c>
      <c r="C170" s="16" t="s">
        <v>535</v>
      </c>
      <c r="D170" s="16" t="s">
        <v>535</v>
      </c>
      <c r="E170" s="16" t="s">
        <v>243</v>
      </c>
      <c r="F170" s="16" t="s">
        <v>535</v>
      </c>
      <c r="G170" s="16" t="s">
        <v>535</v>
      </c>
      <c r="H170" s="16" t="s">
        <v>535</v>
      </c>
      <c r="I170" s="16" t="s">
        <v>535</v>
      </c>
      <c r="J170" s="142" t="s">
        <v>113</v>
      </c>
      <c r="K170" s="5" t="s">
        <v>616</v>
      </c>
      <c r="L170" s="5" t="s">
        <v>691</v>
      </c>
      <c r="M170" s="5" t="s">
        <v>241</v>
      </c>
      <c r="N170" s="5" t="s">
        <v>207</v>
      </c>
      <c r="O170" s="5">
        <v>1E-3</v>
      </c>
      <c r="P170" s="45"/>
      <c r="Q170" s="45"/>
      <c r="R170" s="179">
        <v>6.4106100000000001</v>
      </c>
      <c r="S170" s="45"/>
      <c r="T170" s="45"/>
      <c r="U170" s="45"/>
      <c r="V170" s="53">
        <f t="shared" si="3"/>
        <v>6.4109999999999996</v>
      </c>
      <c r="W170" s="22"/>
      <c r="X170" s="22"/>
      <c r="Y170" s="22"/>
      <c r="Z170" s="22"/>
      <c r="AA170" s="22"/>
      <c r="AB170" s="22"/>
      <c r="AC170" s="22"/>
      <c r="AD170" s="22"/>
      <c r="AE170" s="22"/>
      <c r="AF170" s="22"/>
      <c r="AG170" s="22"/>
      <c r="AH170" s="22"/>
      <c r="AI170" s="22" t="s">
        <v>535</v>
      </c>
      <c r="AJ170" s="22"/>
      <c r="AK170" s="22"/>
      <c r="AL170" s="22"/>
      <c r="AM170" s="22"/>
      <c r="AN170" s="22"/>
      <c r="AO170" s="22"/>
      <c r="AP170" s="22"/>
      <c r="AQ170" s="22"/>
      <c r="AR170" s="22"/>
      <c r="AS170" s="22"/>
      <c r="AT170" s="22"/>
      <c r="AU170" s="22"/>
      <c r="AV170" s="22"/>
      <c r="AW170" s="22"/>
      <c r="AX170" s="22"/>
      <c r="AY170" s="22"/>
      <c r="AZ170" s="22"/>
      <c r="BA170" s="5" t="s">
        <v>1392</v>
      </c>
    </row>
    <row r="171" spans="1:53" ht="39.5" thickBot="1" x14ac:dyDescent="0.4">
      <c r="A171" s="16" t="s">
        <v>535</v>
      </c>
      <c r="B171" s="16" t="s">
        <v>535</v>
      </c>
      <c r="C171" s="16" t="s">
        <v>535</v>
      </c>
      <c r="D171" s="16" t="s">
        <v>535</v>
      </c>
      <c r="E171" s="16" t="s">
        <v>243</v>
      </c>
      <c r="F171" s="16" t="s">
        <v>535</v>
      </c>
      <c r="G171" s="16" t="s">
        <v>535</v>
      </c>
      <c r="H171" s="16" t="s">
        <v>535</v>
      </c>
      <c r="I171" s="16" t="s">
        <v>535</v>
      </c>
      <c r="J171" s="5" t="s">
        <v>1255</v>
      </c>
      <c r="K171" s="5" t="s">
        <v>616</v>
      </c>
      <c r="L171" s="5" t="s">
        <v>691</v>
      </c>
      <c r="M171" s="5" t="s">
        <v>241</v>
      </c>
      <c r="N171" s="5" t="s">
        <v>207</v>
      </c>
      <c r="O171" s="5">
        <v>1E-3</v>
      </c>
      <c r="P171" s="45"/>
      <c r="Q171" s="45"/>
      <c r="R171" s="179">
        <v>0</v>
      </c>
      <c r="S171" s="45"/>
      <c r="T171" s="45"/>
      <c r="U171" s="45"/>
      <c r="V171" s="53">
        <f t="shared" si="3"/>
        <v>0</v>
      </c>
      <c r="W171" s="22"/>
      <c r="X171" s="22"/>
      <c r="Y171" s="22"/>
      <c r="Z171" s="22"/>
      <c r="AA171" s="22"/>
      <c r="AB171" s="22"/>
      <c r="AC171" s="22"/>
      <c r="AD171" s="22"/>
      <c r="AE171" s="22"/>
      <c r="AF171" s="22"/>
      <c r="AG171" s="22"/>
      <c r="AH171" s="22"/>
      <c r="AI171" s="22" t="s">
        <v>535</v>
      </c>
      <c r="AJ171" s="22"/>
      <c r="AK171" s="22"/>
      <c r="AL171" s="22"/>
      <c r="AM171" s="22"/>
      <c r="AN171" s="22"/>
      <c r="AO171" s="22"/>
      <c r="AP171" s="22"/>
      <c r="AQ171" s="22"/>
      <c r="AR171" s="22" t="s">
        <v>243</v>
      </c>
      <c r="AS171" s="22"/>
      <c r="AT171" s="22"/>
      <c r="AU171" s="22"/>
      <c r="AV171" s="22"/>
      <c r="AW171" s="22"/>
      <c r="AX171" s="22"/>
      <c r="AY171" s="22"/>
      <c r="AZ171" s="22"/>
      <c r="BA171" s="5" t="s">
        <v>1392</v>
      </c>
    </row>
    <row r="172" spans="1:53" ht="15" thickBot="1" x14ac:dyDescent="0.4">
      <c r="A172" s="16" t="s">
        <v>535</v>
      </c>
      <c r="B172" s="16" t="s">
        <v>535</v>
      </c>
      <c r="C172" s="16" t="s">
        <v>535</v>
      </c>
      <c r="D172" s="16" t="s">
        <v>535</v>
      </c>
      <c r="E172" s="16" t="s">
        <v>243</v>
      </c>
      <c r="F172" s="16" t="s">
        <v>535</v>
      </c>
      <c r="G172" s="16" t="s">
        <v>535</v>
      </c>
      <c r="H172" s="16" t="s">
        <v>535</v>
      </c>
      <c r="I172" s="16" t="s">
        <v>535</v>
      </c>
      <c r="J172" s="5" t="s">
        <v>113</v>
      </c>
      <c r="K172" s="5" t="s">
        <v>627</v>
      </c>
      <c r="L172" s="5" t="s">
        <v>691</v>
      </c>
      <c r="M172" s="5" t="s">
        <v>241</v>
      </c>
      <c r="N172" s="5" t="s">
        <v>207</v>
      </c>
      <c r="O172" s="5">
        <v>1E-3</v>
      </c>
      <c r="P172" s="45"/>
      <c r="Q172" s="45"/>
      <c r="R172" s="179">
        <v>6.4106100000000001</v>
      </c>
      <c r="S172" s="45"/>
      <c r="T172" s="45"/>
      <c r="U172" s="45"/>
      <c r="V172" s="53">
        <f t="shared" si="3"/>
        <v>6.4109999999999996</v>
      </c>
      <c r="W172" s="22"/>
      <c r="X172" s="22"/>
      <c r="Y172" s="22"/>
      <c r="Z172" s="22"/>
      <c r="AA172" s="22"/>
      <c r="AB172" s="22"/>
      <c r="AC172" s="22"/>
      <c r="AD172" s="22"/>
      <c r="AE172" s="22"/>
      <c r="AF172" s="22"/>
      <c r="AG172" s="22"/>
      <c r="AH172" s="22"/>
      <c r="AI172" s="22" t="s">
        <v>243</v>
      </c>
      <c r="AJ172" s="22"/>
      <c r="AK172" s="22"/>
      <c r="AL172" s="22"/>
      <c r="AM172" s="22"/>
      <c r="AN172" s="22"/>
      <c r="AO172" s="22"/>
      <c r="AP172" s="22"/>
      <c r="AQ172" s="22"/>
      <c r="AR172" s="22"/>
      <c r="AS172" s="22"/>
      <c r="AT172" s="22"/>
      <c r="AU172" s="22"/>
      <c r="AV172" s="22"/>
      <c r="AW172" s="22"/>
      <c r="AX172" s="22"/>
      <c r="AY172" s="22"/>
      <c r="AZ172" s="22"/>
      <c r="BA172" s="5"/>
    </row>
    <row r="173" spans="1:53" ht="15" thickBot="1" x14ac:dyDescent="0.4">
      <c r="A173" s="16" t="s">
        <v>535</v>
      </c>
      <c r="B173" s="16" t="s">
        <v>535</v>
      </c>
      <c r="C173" s="16" t="s">
        <v>535</v>
      </c>
      <c r="D173" s="16" t="s">
        <v>535</v>
      </c>
      <c r="E173" s="16" t="s">
        <v>243</v>
      </c>
      <c r="F173" s="16" t="s">
        <v>535</v>
      </c>
      <c r="G173" s="16" t="s">
        <v>535</v>
      </c>
      <c r="H173" s="16" t="s">
        <v>535</v>
      </c>
      <c r="I173" s="16" t="s">
        <v>535</v>
      </c>
      <c r="J173" s="5" t="s">
        <v>113</v>
      </c>
      <c r="K173" s="5" t="s">
        <v>627</v>
      </c>
      <c r="L173" s="5" t="s">
        <v>240</v>
      </c>
      <c r="M173" s="5" t="s">
        <v>241</v>
      </c>
      <c r="N173" s="5" t="s">
        <v>207</v>
      </c>
      <c r="O173" s="5">
        <v>1E-3</v>
      </c>
      <c r="P173" s="45"/>
      <c r="Q173" s="45"/>
      <c r="R173" s="179">
        <v>8.8838600000000003</v>
      </c>
      <c r="S173" s="45"/>
      <c r="T173" s="45"/>
      <c r="U173" s="45"/>
      <c r="V173" s="53">
        <f t="shared" si="3"/>
        <v>8.8840000000000003</v>
      </c>
      <c r="W173" s="22"/>
      <c r="X173" s="22"/>
      <c r="Y173" s="22"/>
      <c r="Z173" s="22"/>
      <c r="AA173" s="22"/>
      <c r="AB173" s="22"/>
      <c r="AC173" s="22"/>
      <c r="AD173" s="22"/>
      <c r="AE173" s="22"/>
      <c r="AF173" s="22"/>
      <c r="AG173" s="22"/>
      <c r="AH173" s="22"/>
      <c r="AI173" s="22" t="s">
        <v>243</v>
      </c>
      <c r="AJ173" s="22"/>
      <c r="AK173" s="22"/>
      <c r="AL173" s="22"/>
      <c r="AM173" s="22"/>
      <c r="AN173" s="22"/>
      <c r="AO173" s="22"/>
      <c r="AP173" s="22"/>
      <c r="AQ173" s="22"/>
      <c r="AR173" s="22"/>
      <c r="AS173" s="22"/>
      <c r="AT173" s="22"/>
      <c r="AU173" s="22"/>
      <c r="AV173" s="22"/>
      <c r="AW173" s="22"/>
      <c r="AX173" s="22"/>
      <c r="AY173" s="22"/>
      <c r="AZ173" s="22"/>
      <c r="BA173" s="5"/>
    </row>
    <row r="174" spans="1:53" ht="39.5" thickBot="1" x14ac:dyDescent="0.4">
      <c r="A174" s="16" t="s">
        <v>535</v>
      </c>
      <c r="B174" s="16" t="s">
        <v>535</v>
      </c>
      <c r="C174" s="16" t="s">
        <v>535</v>
      </c>
      <c r="D174" s="16" t="s">
        <v>535</v>
      </c>
      <c r="E174" s="16" t="s">
        <v>243</v>
      </c>
      <c r="F174" s="16" t="s">
        <v>535</v>
      </c>
      <c r="G174" s="16" t="s">
        <v>535</v>
      </c>
      <c r="H174" s="16" t="s">
        <v>535</v>
      </c>
      <c r="I174" s="16" t="s">
        <v>535</v>
      </c>
      <c r="J174" s="5" t="s">
        <v>1255</v>
      </c>
      <c r="K174" s="5" t="s">
        <v>627</v>
      </c>
      <c r="L174" s="5" t="s">
        <v>691</v>
      </c>
      <c r="M174" s="5" t="s">
        <v>241</v>
      </c>
      <c r="N174" s="5" t="s">
        <v>207</v>
      </c>
      <c r="O174" s="5">
        <v>1E-3</v>
      </c>
      <c r="P174" s="45"/>
      <c r="Q174" s="45"/>
      <c r="R174" s="179">
        <v>0</v>
      </c>
      <c r="S174" s="45"/>
      <c r="T174" s="45"/>
      <c r="U174" s="45"/>
      <c r="V174" s="53">
        <f t="shared" si="3"/>
        <v>0</v>
      </c>
      <c r="W174" s="22"/>
      <c r="X174" s="22"/>
      <c r="Y174" s="22"/>
      <c r="Z174" s="22"/>
      <c r="AA174" s="22"/>
      <c r="AB174" s="22"/>
      <c r="AC174" s="22"/>
      <c r="AD174" s="22"/>
      <c r="AE174" s="22"/>
      <c r="AF174" s="22"/>
      <c r="AG174" s="22"/>
      <c r="AH174" s="22"/>
      <c r="AI174" s="22" t="s">
        <v>243</v>
      </c>
      <c r="AJ174" s="22"/>
      <c r="AK174" s="22"/>
      <c r="AL174" s="22"/>
      <c r="AM174" s="22"/>
      <c r="AN174" s="22"/>
      <c r="AO174" s="22"/>
      <c r="AP174" s="22"/>
      <c r="AQ174" s="22"/>
      <c r="AR174" s="22" t="s">
        <v>243</v>
      </c>
      <c r="AS174" s="22"/>
      <c r="AT174" s="22"/>
      <c r="AU174" s="22"/>
      <c r="AV174" s="22"/>
      <c r="AW174" s="22"/>
      <c r="AX174" s="22"/>
      <c r="AY174" s="22"/>
      <c r="AZ174" s="22"/>
      <c r="BA174" s="5" t="s">
        <v>1392</v>
      </c>
    </row>
    <row r="175" spans="1:53" ht="52.5" thickBot="1" x14ac:dyDescent="0.4">
      <c r="A175" s="16" t="s">
        <v>535</v>
      </c>
      <c r="B175" s="16" t="s">
        <v>535</v>
      </c>
      <c r="C175" s="16" t="s">
        <v>535</v>
      </c>
      <c r="D175" s="16" t="s">
        <v>535</v>
      </c>
      <c r="E175" s="16" t="s">
        <v>243</v>
      </c>
      <c r="F175" s="16" t="s">
        <v>535</v>
      </c>
      <c r="G175" s="16" t="s">
        <v>535</v>
      </c>
      <c r="H175" s="16" t="s">
        <v>535</v>
      </c>
      <c r="I175" s="16" t="s">
        <v>535</v>
      </c>
      <c r="J175" s="5" t="s">
        <v>1255</v>
      </c>
      <c r="K175" s="5" t="s">
        <v>627</v>
      </c>
      <c r="L175" s="5" t="s">
        <v>240</v>
      </c>
      <c r="M175" s="5" t="s">
        <v>241</v>
      </c>
      <c r="N175" s="5" t="s">
        <v>207</v>
      </c>
      <c r="O175" s="5">
        <v>1E-3</v>
      </c>
      <c r="P175" s="45"/>
      <c r="Q175" s="45"/>
      <c r="R175" s="179">
        <f>R173-(10*2*P145)</f>
        <v>4.8684600000000007</v>
      </c>
      <c r="S175" s="45"/>
      <c r="T175" s="45"/>
      <c r="U175" s="45"/>
      <c r="V175" s="53">
        <f t="shared" si="3"/>
        <v>4.8680000000000003</v>
      </c>
      <c r="W175" s="22"/>
      <c r="X175" s="22"/>
      <c r="Y175" s="22"/>
      <c r="Z175" s="22"/>
      <c r="AA175" s="22"/>
      <c r="AB175" s="22"/>
      <c r="AC175" s="22"/>
      <c r="AD175" s="22"/>
      <c r="AE175" s="22"/>
      <c r="AF175" s="22"/>
      <c r="AG175" s="22"/>
      <c r="AH175" s="22"/>
      <c r="AI175" s="22" t="s">
        <v>243</v>
      </c>
      <c r="AJ175" s="22"/>
      <c r="AK175" s="22"/>
      <c r="AL175" s="22"/>
      <c r="AM175" s="22"/>
      <c r="AN175" s="22"/>
      <c r="AO175" s="22"/>
      <c r="AP175" s="22"/>
      <c r="AQ175" s="22"/>
      <c r="AR175" s="22" t="s">
        <v>243</v>
      </c>
      <c r="AS175" s="22"/>
      <c r="AT175" s="22"/>
      <c r="AU175" s="22"/>
      <c r="AV175" s="22"/>
      <c r="AW175" s="22"/>
      <c r="AX175" s="22"/>
      <c r="AY175" s="22"/>
      <c r="AZ175" s="22"/>
      <c r="BA175" s="5" t="s">
        <v>1393</v>
      </c>
    </row>
    <row r="176" spans="1:53" ht="15" thickBot="1" x14ac:dyDescent="0.4">
      <c r="A176" s="16" t="s">
        <v>535</v>
      </c>
      <c r="B176" s="16" t="s">
        <v>535</v>
      </c>
      <c r="C176" s="16" t="s">
        <v>535</v>
      </c>
      <c r="D176" s="16" t="s">
        <v>535</v>
      </c>
      <c r="E176" s="16" t="s">
        <v>243</v>
      </c>
      <c r="F176" s="16" t="s">
        <v>535</v>
      </c>
      <c r="G176" s="16" t="s">
        <v>535</v>
      </c>
      <c r="H176" s="16" t="s">
        <v>535</v>
      </c>
      <c r="I176" s="16" t="s">
        <v>535</v>
      </c>
      <c r="J176" s="5" t="s">
        <v>113</v>
      </c>
      <c r="K176" s="5" t="s">
        <v>637</v>
      </c>
      <c r="L176" s="5" t="s">
        <v>691</v>
      </c>
      <c r="M176" s="5" t="s">
        <v>241</v>
      </c>
      <c r="N176" s="5" t="s">
        <v>207</v>
      </c>
      <c r="O176" s="5">
        <v>1E-3</v>
      </c>
      <c r="P176" s="45"/>
      <c r="Q176" s="45"/>
      <c r="R176" s="179">
        <v>6.4106100000000001</v>
      </c>
      <c r="S176" s="45"/>
      <c r="T176" s="45"/>
      <c r="U176" s="45"/>
      <c r="V176" s="53">
        <f t="shared" si="3"/>
        <v>6.4109999999999996</v>
      </c>
      <c r="W176" s="22"/>
      <c r="X176" s="22"/>
      <c r="Y176" s="22"/>
      <c r="Z176" s="22"/>
      <c r="AA176" s="22"/>
      <c r="AB176" s="22"/>
      <c r="AC176" s="22"/>
      <c r="AD176" s="22"/>
      <c r="AE176" s="22"/>
      <c r="AF176" s="22"/>
      <c r="AG176" s="22"/>
      <c r="AH176" s="22"/>
      <c r="AI176" s="22" t="s">
        <v>243</v>
      </c>
      <c r="AJ176" s="22"/>
      <c r="AK176" s="22"/>
      <c r="AL176" s="22"/>
      <c r="AM176" s="22"/>
      <c r="AN176" s="22"/>
      <c r="AO176" s="22"/>
      <c r="AP176" s="22"/>
      <c r="AQ176" s="22"/>
      <c r="AR176" s="22"/>
      <c r="AS176" s="22"/>
      <c r="AT176" s="22"/>
      <c r="AU176" s="22"/>
      <c r="AV176" s="22"/>
      <c r="AW176" s="22"/>
      <c r="AX176" s="22"/>
      <c r="AY176" s="22"/>
      <c r="AZ176" s="22"/>
      <c r="BA176" s="5"/>
    </row>
    <row r="177" spans="1:53" ht="15" thickBot="1" x14ac:dyDescent="0.4">
      <c r="A177" s="16" t="s">
        <v>535</v>
      </c>
      <c r="B177" s="16" t="s">
        <v>535</v>
      </c>
      <c r="C177" s="16" t="s">
        <v>535</v>
      </c>
      <c r="D177" s="16" t="s">
        <v>535</v>
      </c>
      <c r="E177" s="16" t="s">
        <v>243</v>
      </c>
      <c r="F177" s="16" t="s">
        <v>535</v>
      </c>
      <c r="G177" s="16" t="s">
        <v>535</v>
      </c>
      <c r="H177" s="16" t="s">
        <v>535</v>
      </c>
      <c r="I177" s="16" t="s">
        <v>535</v>
      </c>
      <c r="J177" s="5" t="s">
        <v>113</v>
      </c>
      <c r="K177" s="5" t="s">
        <v>637</v>
      </c>
      <c r="L177" s="5" t="s">
        <v>724</v>
      </c>
      <c r="M177" s="5" t="s">
        <v>241</v>
      </c>
      <c r="N177" s="5" t="s">
        <v>207</v>
      </c>
      <c r="O177" s="5">
        <v>1E-3</v>
      </c>
      <c r="P177" s="45"/>
      <c r="Q177" s="45"/>
      <c r="R177" s="179">
        <v>6.4106100000000001</v>
      </c>
      <c r="S177" s="45"/>
      <c r="T177" s="45"/>
      <c r="U177" s="45"/>
      <c r="V177" s="53">
        <f t="shared" si="3"/>
        <v>6.4109999999999996</v>
      </c>
      <c r="W177" s="22"/>
      <c r="X177" s="22"/>
      <c r="Y177" s="22"/>
      <c r="Z177" s="22"/>
      <c r="AA177" s="22"/>
      <c r="AB177" s="22"/>
      <c r="AC177" s="22"/>
      <c r="AD177" s="22"/>
      <c r="AE177" s="22"/>
      <c r="AF177" s="22"/>
      <c r="AG177" s="22"/>
      <c r="AH177" s="22"/>
      <c r="AI177" s="22" t="s">
        <v>243</v>
      </c>
      <c r="AJ177" s="22"/>
      <c r="AK177" s="22"/>
      <c r="AL177" s="22"/>
      <c r="AM177" s="22"/>
      <c r="AN177" s="22"/>
      <c r="AO177" s="22"/>
      <c r="AP177" s="22"/>
      <c r="AQ177" s="22"/>
      <c r="AR177" s="22"/>
      <c r="AS177" s="22"/>
      <c r="AT177" s="22"/>
      <c r="AU177" s="22"/>
      <c r="AV177" s="22"/>
      <c r="AW177" s="22"/>
      <c r="AX177" s="22"/>
      <c r="AY177" s="22"/>
      <c r="AZ177" s="22"/>
      <c r="BA177" s="5"/>
    </row>
    <row r="178" spans="1:53" ht="15" thickBot="1" x14ac:dyDescent="0.4">
      <c r="A178" s="16" t="s">
        <v>535</v>
      </c>
      <c r="B178" s="16" t="s">
        <v>535</v>
      </c>
      <c r="C178" s="16" t="s">
        <v>535</v>
      </c>
      <c r="D178" s="16" t="s">
        <v>535</v>
      </c>
      <c r="E178" s="16" t="s">
        <v>243</v>
      </c>
      <c r="F178" s="16" t="s">
        <v>535</v>
      </c>
      <c r="G178" s="16" t="s">
        <v>535</v>
      </c>
      <c r="H178" s="16" t="s">
        <v>535</v>
      </c>
      <c r="I178" s="16" t="s">
        <v>535</v>
      </c>
      <c r="J178" s="5" t="s">
        <v>113</v>
      </c>
      <c r="K178" s="5" t="s">
        <v>637</v>
      </c>
      <c r="L178" s="5" t="s">
        <v>240</v>
      </c>
      <c r="M178" s="5" t="s">
        <v>241</v>
      </c>
      <c r="N178" s="5" t="s">
        <v>207</v>
      </c>
      <c r="O178" s="5">
        <v>1E-3</v>
      </c>
      <c r="P178" s="45"/>
      <c r="Q178" s="45"/>
      <c r="R178" s="179">
        <v>496.68302999999997</v>
      </c>
      <c r="S178" s="45"/>
      <c r="T178" s="45"/>
      <c r="U178" s="45"/>
      <c r="V178" s="53">
        <f t="shared" si="3"/>
        <v>496.68299999999999</v>
      </c>
      <c r="W178" s="22"/>
      <c r="X178" s="22"/>
      <c r="Y178" s="22"/>
      <c r="Z178" s="22"/>
      <c r="AA178" s="22"/>
      <c r="AB178" s="22"/>
      <c r="AC178" s="22"/>
      <c r="AD178" s="22"/>
      <c r="AE178" s="22"/>
      <c r="AF178" s="22"/>
      <c r="AG178" s="22"/>
      <c r="AH178" s="22"/>
      <c r="AI178" s="22" t="s">
        <v>243</v>
      </c>
      <c r="AJ178" s="22"/>
      <c r="AK178" s="22"/>
      <c r="AL178" s="22"/>
      <c r="AM178" s="22"/>
      <c r="AN178" s="22"/>
      <c r="AO178" s="22"/>
      <c r="AP178" s="22"/>
      <c r="AQ178" s="22"/>
      <c r="AR178" s="22"/>
      <c r="AS178" s="22"/>
      <c r="AT178" s="22"/>
      <c r="AU178" s="22"/>
      <c r="AV178" s="22"/>
      <c r="AW178" s="22"/>
      <c r="AX178" s="22"/>
      <c r="AY178" s="22"/>
      <c r="AZ178" s="22"/>
      <c r="BA178" s="5"/>
    </row>
    <row r="179" spans="1:53" ht="39.5" thickBot="1" x14ac:dyDescent="0.4">
      <c r="A179" s="16" t="s">
        <v>535</v>
      </c>
      <c r="B179" s="16" t="s">
        <v>535</v>
      </c>
      <c r="C179" s="16" t="s">
        <v>535</v>
      </c>
      <c r="D179" s="16" t="s">
        <v>535</v>
      </c>
      <c r="E179" s="16" t="s">
        <v>243</v>
      </c>
      <c r="F179" s="16" t="s">
        <v>535</v>
      </c>
      <c r="G179" s="16" t="s">
        <v>535</v>
      </c>
      <c r="H179" s="16" t="s">
        <v>535</v>
      </c>
      <c r="I179" s="16" t="s">
        <v>535</v>
      </c>
      <c r="J179" s="5" t="s">
        <v>1255</v>
      </c>
      <c r="K179" s="5" t="s">
        <v>637</v>
      </c>
      <c r="L179" s="5" t="s">
        <v>691</v>
      </c>
      <c r="M179" s="5" t="s">
        <v>241</v>
      </c>
      <c r="N179" s="5" t="s">
        <v>207</v>
      </c>
      <c r="O179" s="5">
        <v>1E-3</v>
      </c>
      <c r="P179" s="45"/>
      <c r="Q179" s="45"/>
      <c r="R179" s="179">
        <v>0</v>
      </c>
      <c r="S179" s="45"/>
      <c r="T179" s="45"/>
      <c r="U179" s="45"/>
      <c r="V179" s="53">
        <f t="shared" si="3"/>
        <v>0</v>
      </c>
      <c r="W179" s="22"/>
      <c r="X179" s="22"/>
      <c r="Y179" s="22"/>
      <c r="Z179" s="22"/>
      <c r="AA179" s="22"/>
      <c r="AB179" s="22"/>
      <c r="AC179" s="22"/>
      <c r="AD179" s="22"/>
      <c r="AE179" s="22"/>
      <c r="AF179" s="22"/>
      <c r="AG179" s="22"/>
      <c r="AH179" s="22"/>
      <c r="AI179" s="22" t="s">
        <v>243</v>
      </c>
      <c r="AJ179" s="22"/>
      <c r="AK179" s="22"/>
      <c r="AL179" s="22"/>
      <c r="AM179" s="22"/>
      <c r="AN179" s="22"/>
      <c r="AO179" s="22"/>
      <c r="AP179" s="22"/>
      <c r="AQ179" s="22"/>
      <c r="AR179" s="22" t="s">
        <v>243</v>
      </c>
      <c r="AS179" s="22"/>
      <c r="AT179" s="22"/>
      <c r="AU179" s="22"/>
      <c r="AV179" s="22"/>
      <c r="AW179" s="22"/>
      <c r="AX179" s="22"/>
      <c r="AY179" s="22"/>
      <c r="AZ179" s="22"/>
      <c r="BA179" s="5" t="s">
        <v>1392</v>
      </c>
    </row>
    <row r="180" spans="1:53" ht="39.5" thickBot="1" x14ac:dyDescent="0.4">
      <c r="A180" s="16" t="s">
        <v>535</v>
      </c>
      <c r="B180" s="16" t="s">
        <v>535</v>
      </c>
      <c r="C180" s="16" t="s">
        <v>535</v>
      </c>
      <c r="D180" s="16" t="s">
        <v>535</v>
      </c>
      <c r="E180" s="16" t="s">
        <v>243</v>
      </c>
      <c r="F180" s="16" t="s">
        <v>535</v>
      </c>
      <c r="G180" s="16" t="s">
        <v>535</v>
      </c>
      <c r="H180" s="16" t="s">
        <v>535</v>
      </c>
      <c r="I180" s="16" t="s">
        <v>535</v>
      </c>
      <c r="J180" s="5" t="s">
        <v>1255</v>
      </c>
      <c r="K180" s="5" t="s">
        <v>637</v>
      </c>
      <c r="L180" s="5" t="s">
        <v>724</v>
      </c>
      <c r="M180" s="5" t="s">
        <v>241</v>
      </c>
      <c r="N180" s="5" t="s">
        <v>207</v>
      </c>
      <c r="O180" s="5">
        <v>1E-3</v>
      </c>
      <c r="P180" s="45"/>
      <c r="Q180" s="45"/>
      <c r="R180" s="179">
        <v>0</v>
      </c>
      <c r="S180" s="45"/>
      <c r="T180" s="45"/>
      <c r="U180" s="45"/>
      <c r="V180" s="53">
        <f t="shared" si="3"/>
        <v>0</v>
      </c>
      <c r="W180" s="22"/>
      <c r="X180" s="22"/>
      <c r="Y180" s="22"/>
      <c r="Z180" s="22"/>
      <c r="AA180" s="22"/>
      <c r="AB180" s="22"/>
      <c r="AC180" s="22"/>
      <c r="AD180" s="22"/>
      <c r="AE180" s="22"/>
      <c r="AF180" s="22"/>
      <c r="AG180" s="22"/>
      <c r="AH180" s="22"/>
      <c r="AI180" s="22" t="s">
        <v>243</v>
      </c>
      <c r="AJ180" s="22"/>
      <c r="AK180" s="22"/>
      <c r="AL180" s="22"/>
      <c r="AM180" s="22"/>
      <c r="AN180" s="22"/>
      <c r="AO180" s="22"/>
      <c r="AP180" s="22"/>
      <c r="AQ180" s="22"/>
      <c r="AR180" s="22" t="s">
        <v>243</v>
      </c>
      <c r="AS180" s="22"/>
      <c r="AT180" s="22"/>
      <c r="AU180" s="22"/>
      <c r="AV180" s="22"/>
      <c r="AW180" s="22"/>
      <c r="AX180" s="22"/>
      <c r="AY180" s="22"/>
      <c r="AZ180" s="22"/>
      <c r="BA180" s="5" t="s">
        <v>1392</v>
      </c>
    </row>
    <row r="181" spans="1:53" ht="52.5" thickBot="1" x14ac:dyDescent="0.4">
      <c r="A181" s="16" t="s">
        <v>535</v>
      </c>
      <c r="B181" s="16" t="s">
        <v>535</v>
      </c>
      <c r="C181" s="16" t="s">
        <v>535</v>
      </c>
      <c r="D181" s="16" t="s">
        <v>535</v>
      </c>
      <c r="E181" s="16" t="s">
        <v>243</v>
      </c>
      <c r="F181" s="16" t="s">
        <v>535</v>
      </c>
      <c r="G181" s="16" t="s">
        <v>535</v>
      </c>
      <c r="H181" s="16" t="s">
        <v>535</v>
      </c>
      <c r="I181" s="16" t="s">
        <v>535</v>
      </c>
      <c r="J181" s="5" t="s">
        <v>1255</v>
      </c>
      <c r="K181" s="5" t="s">
        <v>637</v>
      </c>
      <c r="L181" s="5" t="s">
        <v>240</v>
      </c>
      <c r="M181" s="5" t="s">
        <v>241</v>
      </c>
      <c r="N181" s="5" t="s">
        <v>207</v>
      </c>
      <c r="O181" s="5">
        <v>1E-3</v>
      </c>
      <c r="P181" s="45"/>
      <c r="Q181" s="45"/>
      <c r="R181" s="179">
        <f>R178-(10*2*P145)</f>
        <v>492.66762999999997</v>
      </c>
      <c r="S181" s="45"/>
      <c r="T181" s="45"/>
      <c r="U181" s="45"/>
      <c r="V181" s="53">
        <f t="shared" si="3"/>
        <v>492.66800000000001</v>
      </c>
      <c r="W181" s="22"/>
      <c r="X181" s="22"/>
      <c r="Y181" s="22"/>
      <c r="Z181" s="22"/>
      <c r="AA181" s="22"/>
      <c r="AB181" s="22"/>
      <c r="AC181" s="22"/>
      <c r="AD181" s="22"/>
      <c r="AE181" s="22"/>
      <c r="AF181" s="22"/>
      <c r="AG181" s="22"/>
      <c r="AH181" s="22"/>
      <c r="AI181" s="22" t="s">
        <v>243</v>
      </c>
      <c r="AJ181" s="22"/>
      <c r="AK181" s="22"/>
      <c r="AL181" s="22"/>
      <c r="AM181" s="22"/>
      <c r="AN181" s="22"/>
      <c r="AO181" s="22"/>
      <c r="AP181" s="22"/>
      <c r="AQ181" s="22"/>
      <c r="AR181" s="22" t="s">
        <v>243</v>
      </c>
      <c r="AS181" s="22"/>
      <c r="AT181" s="22"/>
      <c r="AU181" s="22"/>
      <c r="AV181" s="22"/>
      <c r="AW181" s="22"/>
      <c r="AX181" s="22"/>
      <c r="AY181" s="22"/>
      <c r="AZ181" s="22"/>
      <c r="BA181" s="5" t="s">
        <v>1393</v>
      </c>
    </row>
    <row r="182" spans="1:53" ht="15" thickBot="1" x14ac:dyDescent="0.4">
      <c r="A182" s="16" t="s">
        <v>535</v>
      </c>
      <c r="B182" s="16" t="s">
        <v>535</v>
      </c>
      <c r="C182" s="16" t="s">
        <v>535</v>
      </c>
      <c r="D182" s="16" t="s">
        <v>535</v>
      </c>
      <c r="E182" s="16" t="s">
        <v>243</v>
      </c>
      <c r="F182" s="16" t="s">
        <v>535</v>
      </c>
      <c r="G182" s="16" t="s">
        <v>535</v>
      </c>
      <c r="H182" s="16" t="s">
        <v>535</v>
      </c>
      <c r="I182" s="16" t="s">
        <v>535</v>
      </c>
      <c r="J182" s="5" t="s">
        <v>113</v>
      </c>
      <c r="K182" s="5" t="s">
        <v>556</v>
      </c>
      <c r="L182" s="5" t="s">
        <v>724</v>
      </c>
      <c r="M182" s="5" t="s">
        <v>241</v>
      </c>
      <c r="N182" s="5" t="s">
        <v>207</v>
      </c>
      <c r="O182" s="5">
        <v>1E-3</v>
      </c>
      <c r="P182" s="45"/>
      <c r="Q182" s="45"/>
      <c r="R182" s="179">
        <v>6.4106100000000001</v>
      </c>
      <c r="S182" s="45"/>
      <c r="T182" s="45"/>
      <c r="U182" s="45"/>
      <c r="V182" s="53">
        <f t="shared" si="3"/>
        <v>6.4109999999999996</v>
      </c>
      <c r="W182" s="22"/>
      <c r="X182" s="22"/>
      <c r="Y182" s="22"/>
      <c r="Z182" s="22"/>
      <c r="AA182" s="22"/>
      <c r="AB182" s="22"/>
      <c r="AC182" s="22"/>
      <c r="AD182" s="22"/>
      <c r="AE182" s="22"/>
      <c r="AF182" s="22"/>
      <c r="AG182" s="22"/>
      <c r="AH182" s="22"/>
      <c r="AI182" s="22" t="s">
        <v>243</v>
      </c>
      <c r="AJ182" s="22"/>
      <c r="AK182" s="22"/>
      <c r="AL182" s="22"/>
      <c r="AM182" s="22"/>
      <c r="AN182" s="22"/>
      <c r="AO182" s="22"/>
      <c r="AP182" s="22"/>
      <c r="AQ182" s="22"/>
      <c r="AR182" s="22"/>
      <c r="AS182" s="22"/>
      <c r="AT182" s="22"/>
      <c r="AU182" s="22"/>
      <c r="AV182" s="22"/>
      <c r="AW182" s="22"/>
      <c r="AX182" s="22"/>
      <c r="AY182" s="22"/>
      <c r="AZ182" s="22"/>
      <c r="BA182" s="5"/>
    </row>
    <row r="183" spans="1:53" ht="15" thickBot="1" x14ac:dyDescent="0.4">
      <c r="A183" s="16" t="s">
        <v>535</v>
      </c>
      <c r="B183" s="16" t="s">
        <v>535</v>
      </c>
      <c r="C183" s="16" t="s">
        <v>535</v>
      </c>
      <c r="D183" s="16" t="s">
        <v>535</v>
      </c>
      <c r="E183" s="16" t="s">
        <v>243</v>
      </c>
      <c r="F183" s="16" t="s">
        <v>535</v>
      </c>
      <c r="G183" s="16" t="s">
        <v>535</v>
      </c>
      <c r="H183" s="16" t="s">
        <v>535</v>
      </c>
      <c r="I183" s="16" t="s">
        <v>535</v>
      </c>
      <c r="J183" s="5" t="s">
        <v>113</v>
      </c>
      <c r="K183" s="5" t="s">
        <v>556</v>
      </c>
      <c r="L183" s="5" t="s">
        <v>778</v>
      </c>
      <c r="M183" s="5" t="s">
        <v>241</v>
      </c>
      <c r="N183" s="5" t="s">
        <v>207</v>
      </c>
      <c r="O183" s="5">
        <v>1E-3</v>
      </c>
      <c r="P183" s="45"/>
      <c r="Q183" s="45"/>
      <c r="R183" s="179">
        <v>8.8838600000000003</v>
      </c>
      <c r="S183" s="45"/>
      <c r="T183" s="45"/>
      <c r="U183" s="45"/>
      <c r="V183" s="53">
        <f t="shared" si="3"/>
        <v>8.8840000000000003</v>
      </c>
      <c r="W183" s="22"/>
      <c r="X183" s="22"/>
      <c r="Y183" s="22"/>
      <c r="Z183" s="22"/>
      <c r="AA183" s="22"/>
      <c r="AB183" s="22"/>
      <c r="AC183" s="22"/>
      <c r="AD183" s="22"/>
      <c r="AE183" s="22"/>
      <c r="AF183" s="22"/>
      <c r="AG183" s="22"/>
      <c r="AH183" s="22"/>
      <c r="AI183" s="22" t="s">
        <v>243</v>
      </c>
      <c r="AJ183" s="22"/>
      <c r="AK183" s="22"/>
      <c r="AL183" s="22"/>
      <c r="AM183" s="22"/>
      <c r="AN183" s="22"/>
      <c r="AO183" s="22"/>
      <c r="AP183" s="22"/>
      <c r="AQ183" s="22"/>
      <c r="AR183" s="22"/>
      <c r="AS183" s="22"/>
      <c r="AT183" s="22"/>
      <c r="AU183" s="22"/>
      <c r="AV183" s="22"/>
      <c r="AW183" s="22"/>
      <c r="AX183" s="22"/>
      <c r="AY183" s="22"/>
      <c r="AZ183" s="22"/>
      <c r="BA183" s="5"/>
    </row>
    <row r="184" spans="1:53" ht="15" thickBot="1" x14ac:dyDescent="0.4">
      <c r="A184" s="16" t="s">
        <v>535</v>
      </c>
      <c r="B184" s="16" t="s">
        <v>535</v>
      </c>
      <c r="C184" s="16" t="s">
        <v>535</v>
      </c>
      <c r="D184" s="16" t="s">
        <v>535</v>
      </c>
      <c r="E184" s="16" t="s">
        <v>243</v>
      </c>
      <c r="F184" s="16" t="s">
        <v>535</v>
      </c>
      <c r="G184" s="16" t="s">
        <v>535</v>
      </c>
      <c r="H184" s="16" t="s">
        <v>535</v>
      </c>
      <c r="I184" s="16" t="s">
        <v>535</v>
      </c>
      <c r="J184" s="5" t="s">
        <v>113</v>
      </c>
      <c r="K184" s="5" t="s">
        <v>556</v>
      </c>
      <c r="L184" s="5" t="s">
        <v>240</v>
      </c>
      <c r="M184" s="5" t="s">
        <v>241</v>
      </c>
      <c r="N184" s="5" t="s">
        <v>207</v>
      </c>
      <c r="O184" s="5">
        <v>1E-3</v>
      </c>
      <c r="P184" s="45"/>
      <c r="Q184" s="45"/>
      <c r="R184" s="179">
        <v>700.20961</v>
      </c>
      <c r="S184" s="45"/>
      <c r="T184" s="45"/>
      <c r="U184" s="45"/>
      <c r="V184" s="53">
        <f t="shared" si="3"/>
        <v>700.21</v>
      </c>
      <c r="W184" s="22"/>
      <c r="X184" s="22"/>
      <c r="Y184" s="22"/>
      <c r="Z184" s="22"/>
      <c r="AA184" s="22"/>
      <c r="AB184" s="22"/>
      <c r="AC184" s="22"/>
      <c r="AD184" s="22"/>
      <c r="AE184" s="22"/>
      <c r="AF184" s="22"/>
      <c r="AG184" s="22"/>
      <c r="AH184" s="22"/>
      <c r="AI184" s="22" t="s">
        <v>243</v>
      </c>
      <c r="AJ184" s="22"/>
      <c r="AK184" s="22"/>
      <c r="AL184" s="22"/>
      <c r="AM184" s="22"/>
      <c r="AN184" s="22"/>
      <c r="AO184" s="22"/>
      <c r="AP184" s="22"/>
      <c r="AQ184" s="22"/>
      <c r="AR184" s="22"/>
      <c r="AS184" s="22"/>
      <c r="AT184" s="22"/>
      <c r="AU184" s="22"/>
      <c r="AV184" s="22"/>
      <c r="AW184" s="22"/>
      <c r="AX184" s="22"/>
      <c r="AY184" s="22"/>
      <c r="AZ184" s="22"/>
      <c r="BA184" s="5"/>
    </row>
    <row r="185" spans="1:53" ht="26.5" thickBot="1" x14ac:dyDescent="0.4">
      <c r="A185" s="16" t="s">
        <v>535</v>
      </c>
      <c r="B185" s="16" t="s">
        <v>535</v>
      </c>
      <c r="C185" s="16" t="s">
        <v>535</v>
      </c>
      <c r="D185" s="16" t="s">
        <v>535</v>
      </c>
      <c r="E185" s="16" t="s">
        <v>243</v>
      </c>
      <c r="F185" s="16" t="s">
        <v>535</v>
      </c>
      <c r="G185" s="16" t="s">
        <v>535</v>
      </c>
      <c r="H185" s="16" t="s">
        <v>535</v>
      </c>
      <c r="I185" s="16" t="s">
        <v>535</v>
      </c>
      <c r="J185" s="5" t="s">
        <v>113</v>
      </c>
      <c r="K185" s="5" t="s">
        <v>556</v>
      </c>
      <c r="L185" s="5" t="s">
        <v>792</v>
      </c>
      <c r="M185" s="5" t="s">
        <v>241</v>
      </c>
      <c r="N185" s="5" t="s">
        <v>207</v>
      </c>
      <c r="O185" s="5">
        <v>1E-3</v>
      </c>
      <c r="P185" s="45"/>
      <c r="Q185" s="45"/>
      <c r="R185" s="179">
        <v>8.8838600000000003</v>
      </c>
      <c r="S185" s="45"/>
      <c r="T185" s="45"/>
      <c r="U185" s="45"/>
      <c r="V185" s="53">
        <f t="shared" si="3"/>
        <v>8.8840000000000003</v>
      </c>
      <c r="W185" s="22"/>
      <c r="X185" s="22"/>
      <c r="Y185" s="22"/>
      <c r="Z185" s="22"/>
      <c r="AA185" s="22"/>
      <c r="AB185" s="22"/>
      <c r="AC185" s="22"/>
      <c r="AD185" s="22"/>
      <c r="AE185" s="22"/>
      <c r="AF185" s="22"/>
      <c r="AG185" s="22"/>
      <c r="AH185" s="22"/>
      <c r="AI185" s="22" t="s">
        <v>243</v>
      </c>
      <c r="AJ185" s="22"/>
      <c r="AK185" s="22"/>
      <c r="AL185" s="22"/>
      <c r="AM185" s="22"/>
      <c r="AN185" s="22"/>
      <c r="AO185" s="22"/>
      <c r="AP185" s="22"/>
      <c r="AQ185" s="22"/>
      <c r="AR185" s="22"/>
      <c r="AS185" s="22"/>
      <c r="AT185" s="22"/>
      <c r="AU185" s="22"/>
      <c r="AV185" s="22"/>
      <c r="AW185" s="22"/>
      <c r="AX185" s="22"/>
      <c r="AY185" s="22"/>
      <c r="AZ185" s="22"/>
      <c r="BA185" s="5"/>
    </row>
    <row r="186" spans="1:53" ht="39.5" thickBot="1" x14ac:dyDescent="0.4">
      <c r="A186" s="16" t="s">
        <v>535</v>
      </c>
      <c r="B186" s="16" t="s">
        <v>535</v>
      </c>
      <c r="C186" s="16" t="s">
        <v>535</v>
      </c>
      <c r="D186" s="16" t="s">
        <v>535</v>
      </c>
      <c r="E186" s="16" t="s">
        <v>243</v>
      </c>
      <c r="F186" s="16" t="s">
        <v>535</v>
      </c>
      <c r="G186" s="16" t="s">
        <v>535</v>
      </c>
      <c r="H186" s="16" t="s">
        <v>535</v>
      </c>
      <c r="I186" s="16" t="s">
        <v>535</v>
      </c>
      <c r="J186" s="5" t="s">
        <v>1255</v>
      </c>
      <c r="K186" s="5" t="s">
        <v>556</v>
      </c>
      <c r="L186" s="5" t="s">
        <v>724</v>
      </c>
      <c r="M186" s="5" t="s">
        <v>241</v>
      </c>
      <c r="N186" s="5" t="s">
        <v>207</v>
      </c>
      <c r="O186" s="5">
        <v>1E-3</v>
      </c>
      <c r="P186" s="45"/>
      <c r="Q186" s="45"/>
      <c r="R186" s="179">
        <v>0</v>
      </c>
      <c r="S186" s="45"/>
      <c r="T186" s="45"/>
      <c r="U186" s="45"/>
      <c r="V186" s="53">
        <f t="shared" si="3"/>
        <v>0</v>
      </c>
      <c r="W186" s="22"/>
      <c r="X186" s="22"/>
      <c r="Y186" s="22"/>
      <c r="Z186" s="22"/>
      <c r="AA186" s="22"/>
      <c r="AB186" s="22"/>
      <c r="AC186" s="22"/>
      <c r="AD186" s="22"/>
      <c r="AE186" s="22"/>
      <c r="AF186" s="22"/>
      <c r="AG186" s="22"/>
      <c r="AH186" s="22"/>
      <c r="AI186" s="22" t="s">
        <v>243</v>
      </c>
      <c r="AJ186" s="22"/>
      <c r="AK186" s="22"/>
      <c r="AL186" s="22"/>
      <c r="AM186" s="22"/>
      <c r="AN186" s="22"/>
      <c r="AO186" s="22"/>
      <c r="AP186" s="22"/>
      <c r="AQ186" s="22"/>
      <c r="AR186" s="22" t="s">
        <v>243</v>
      </c>
      <c r="AS186" s="22"/>
      <c r="AT186" s="22"/>
      <c r="AU186" s="22"/>
      <c r="AV186" s="22"/>
      <c r="AW186" s="22"/>
      <c r="AX186" s="22"/>
      <c r="AY186" s="22"/>
      <c r="AZ186" s="22"/>
      <c r="BA186" s="5" t="s">
        <v>1392</v>
      </c>
    </row>
    <row r="187" spans="1:53" ht="39.5" thickBot="1" x14ac:dyDescent="0.4">
      <c r="A187" s="16" t="s">
        <v>535</v>
      </c>
      <c r="B187" s="16" t="s">
        <v>535</v>
      </c>
      <c r="C187" s="16" t="s">
        <v>535</v>
      </c>
      <c r="D187" s="16" t="s">
        <v>535</v>
      </c>
      <c r="E187" s="16" t="s">
        <v>243</v>
      </c>
      <c r="F187" s="16" t="s">
        <v>535</v>
      </c>
      <c r="G187" s="16" t="s">
        <v>535</v>
      </c>
      <c r="H187" s="16" t="s">
        <v>535</v>
      </c>
      <c r="I187" s="16" t="s">
        <v>535</v>
      </c>
      <c r="J187" s="5" t="s">
        <v>1255</v>
      </c>
      <c r="K187" s="5" t="s">
        <v>556</v>
      </c>
      <c r="L187" s="5" t="s">
        <v>778</v>
      </c>
      <c r="M187" s="5" t="s">
        <v>241</v>
      </c>
      <c r="N187" s="5" t="s">
        <v>207</v>
      </c>
      <c r="O187" s="5">
        <v>1E-3</v>
      </c>
      <c r="P187" s="45"/>
      <c r="Q187" s="45"/>
      <c r="R187" s="179">
        <v>0</v>
      </c>
      <c r="S187" s="45"/>
      <c r="T187" s="45"/>
      <c r="U187" s="45"/>
      <c r="V187" s="53">
        <f t="shared" si="3"/>
        <v>0</v>
      </c>
      <c r="W187" s="22"/>
      <c r="X187" s="22"/>
      <c r="Y187" s="22"/>
      <c r="Z187" s="22"/>
      <c r="AA187" s="22"/>
      <c r="AB187" s="22"/>
      <c r="AC187" s="22"/>
      <c r="AD187" s="22"/>
      <c r="AE187" s="22"/>
      <c r="AF187" s="22"/>
      <c r="AG187" s="22"/>
      <c r="AH187" s="22"/>
      <c r="AI187" s="22" t="s">
        <v>243</v>
      </c>
      <c r="AJ187" s="22"/>
      <c r="AK187" s="22"/>
      <c r="AL187" s="22"/>
      <c r="AM187" s="22"/>
      <c r="AN187" s="22"/>
      <c r="AO187" s="22"/>
      <c r="AP187" s="22"/>
      <c r="AQ187" s="22"/>
      <c r="AR187" s="22" t="s">
        <v>243</v>
      </c>
      <c r="AS187" s="22"/>
      <c r="AT187" s="22"/>
      <c r="AU187" s="22"/>
      <c r="AV187" s="22"/>
      <c r="AW187" s="22"/>
      <c r="AX187" s="22"/>
      <c r="AY187" s="22"/>
      <c r="AZ187" s="22"/>
      <c r="BA187" s="5" t="s">
        <v>1392</v>
      </c>
    </row>
    <row r="188" spans="1:53" ht="52.5" thickBot="1" x14ac:dyDescent="0.4">
      <c r="A188" s="16" t="s">
        <v>535</v>
      </c>
      <c r="B188" s="16" t="s">
        <v>535</v>
      </c>
      <c r="C188" s="16" t="s">
        <v>535</v>
      </c>
      <c r="D188" s="16" t="s">
        <v>535</v>
      </c>
      <c r="E188" s="16" t="s">
        <v>243</v>
      </c>
      <c r="F188" s="16" t="s">
        <v>535</v>
      </c>
      <c r="G188" s="16" t="s">
        <v>535</v>
      </c>
      <c r="H188" s="16" t="s">
        <v>535</v>
      </c>
      <c r="I188" s="16" t="s">
        <v>535</v>
      </c>
      <c r="J188" s="5" t="s">
        <v>1255</v>
      </c>
      <c r="K188" s="5" t="s">
        <v>556</v>
      </c>
      <c r="L188" s="5" t="s">
        <v>240</v>
      </c>
      <c r="M188" s="5" t="s">
        <v>241</v>
      </c>
      <c r="N188" s="5" t="s">
        <v>207</v>
      </c>
      <c r="O188" s="5">
        <v>1E-3</v>
      </c>
      <c r="P188" s="45"/>
      <c r="Q188" s="45"/>
      <c r="R188" s="179">
        <f>R184-(10*2*P145)</f>
        <v>696.19421</v>
      </c>
      <c r="S188" s="45"/>
      <c r="T188" s="45"/>
      <c r="U188" s="45"/>
      <c r="V188" s="53">
        <f t="shared" si="3"/>
        <v>696.19399999999996</v>
      </c>
      <c r="W188" s="22"/>
      <c r="X188" s="22"/>
      <c r="Y188" s="22"/>
      <c r="Z188" s="22"/>
      <c r="AA188" s="22"/>
      <c r="AB188" s="22"/>
      <c r="AC188" s="22"/>
      <c r="AD188" s="22"/>
      <c r="AE188" s="22"/>
      <c r="AF188" s="22"/>
      <c r="AG188" s="22"/>
      <c r="AH188" s="22"/>
      <c r="AI188" s="22" t="s">
        <v>243</v>
      </c>
      <c r="AJ188" s="22"/>
      <c r="AK188" s="22"/>
      <c r="AL188" s="22"/>
      <c r="AM188" s="22"/>
      <c r="AN188" s="22"/>
      <c r="AO188" s="22"/>
      <c r="AP188" s="22"/>
      <c r="AQ188" s="22"/>
      <c r="AR188" s="22" t="s">
        <v>243</v>
      </c>
      <c r="AS188" s="22"/>
      <c r="AT188" s="22"/>
      <c r="AU188" s="22"/>
      <c r="AV188" s="22"/>
      <c r="AW188" s="22"/>
      <c r="AX188" s="22"/>
      <c r="AY188" s="22"/>
      <c r="AZ188" s="22"/>
      <c r="BA188" s="5" t="s">
        <v>1393</v>
      </c>
    </row>
    <row r="189" spans="1:53" ht="39.5" thickBot="1" x14ac:dyDescent="0.4">
      <c r="A189" s="16" t="s">
        <v>535</v>
      </c>
      <c r="B189" s="16" t="s">
        <v>535</v>
      </c>
      <c r="C189" s="16" t="s">
        <v>535</v>
      </c>
      <c r="D189" s="16" t="s">
        <v>535</v>
      </c>
      <c r="E189" s="16" t="s">
        <v>243</v>
      </c>
      <c r="F189" s="16" t="s">
        <v>535</v>
      </c>
      <c r="G189" s="16" t="s">
        <v>535</v>
      </c>
      <c r="H189" s="16" t="s">
        <v>535</v>
      </c>
      <c r="I189" s="16" t="s">
        <v>535</v>
      </c>
      <c r="J189" s="5" t="s">
        <v>1255</v>
      </c>
      <c r="K189" s="5" t="s">
        <v>556</v>
      </c>
      <c r="L189" s="5" t="s">
        <v>792</v>
      </c>
      <c r="M189" s="5" t="s">
        <v>241</v>
      </c>
      <c r="N189" s="5" t="s">
        <v>207</v>
      </c>
      <c r="O189" s="5">
        <v>1E-3</v>
      </c>
      <c r="P189" s="45"/>
      <c r="Q189" s="45"/>
      <c r="R189" s="179">
        <v>0</v>
      </c>
      <c r="S189" s="45"/>
      <c r="T189" s="45"/>
      <c r="U189" s="45"/>
      <c r="V189" s="53">
        <f t="shared" si="3"/>
        <v>0</v>
      </c>
      <c r="W189" s="22"/>
      <c r="X189" s="22"/>
      <c r="Y189" s="22"/>
      <c r="Z189" s="22"/>
      <c r="AA189" s="22"/>
      <c r="AB189" s="22"/>
      <c r="AC189" s="22"/>
      <c r="AD189" s="22"/>
      <c r="AE189" s="22"/>
      <c r="AF189" s="22"/>
      <c r="AG189" s="22"/>
      <c r="AH189" s="22"/>
      <c r="AI189" s="22" t="s">
        <v>243</v>
      </c>
      <c r="AJ189" s="22"/>
      <c r="AK189" s="22"/>
      <c r="AL189" s="22"/>
      <c r="AM189" s="22"/>
      <c r="AN189" s="22"/>
      <c r="AO189" s="22"/>
      <c r="AP189" s="22"/>
      <c r="AQ189" s="22"/>
      <c r="AR189" s="22" t="s">
        <v>243</v>
      </c>
      <c r="AS189" s="22"/>
      <c r="AT189" s="22"/>
      <c r="AU189" s="22"/>
      <c r="AV189" s="22"/>
      <c r="AW189" s="22"/>
      <c r="AX189" s="22"/>
      <c r="AY189" s="22"/>
      <c r="AZ189" s="22"/>
      <c r="BA189" s="5" t="s">
        <v>1392</v>
      </c>
    </row>
    <row r="190" spans="1:53" ht="15" thickBot="1" x14ac:dyDescent="0.4">
      <c r="A190" s="16" t="s">
        <v>535</v>
      </c>
      <c r="B190" s="16" t="s">
        <v>535</v>
      </c>
      <c r="C190" s="16" t="s">
        <v>535</v>
      </c>
      <c r="D190" s="16" t="s">
        <v>535</v>
      </c>
      <c r="E190" s="16" t="s">
        <v>243</v>
      </c>
      <c r="F190" s="16" t="s">
        <v>535</v>
      </c>
      <c r="G190" s="16" t="s">
        <v>535</v>
      </c>
      <c r="H190" s="16" t="s">
        <v>535</v>
      </c>
      <c r="I190" s="16" t="s">
        <v>535</v>
      </c>
      <c r="J190" s="5" t="s">
        <v>113</v>
      </c>
      <c r="K190" s="5" t="s">
        <v>566</v>
      </c>
      <c r="L190" s="5" t="s">
        <v>724</v>
      </c>
      <c r="M190" s="5" t="s">
        <v>241</v>
      </c>
      <c r="N190" s="5" t="s">
        <v>207</v>
      </c>
      <c r="O190" s="5">
        <v>1E-3</v>
      </c>
      <c r="P190" s="45"/>
      <c r="Q190" s="45"/>
      <c r="R190" s="179">
        <v>6.4106100000000001</v>
      </c>
      <c r="S190" s="45"/>
      <c r="T190" s="45"/>
      <c r="U190" s="45"/>
      <c r="V190" s="53">
        <f t="shared" si="3"/>
        <v>6.4109999999999996</v>
      </c>
      <c r="W190" s="22"/>
      <c r="X190" s="22"/>
      <c r="Y190" s="22"/>
      <c r="Z190" s="22"/>
      <c r="AA190" s="22"/>
      <c r="AB190" s="22"/>
      <c r="AC190" s="22"/>
      <c r="AD190" s="22"/>
      <c r="AE190" s="22"/>
      <c r="AF190" s="22"/>
      <c r="AG190" s="22"/>
      <c r="AH190" s="22"/>
      <c r="AI190" s="22" t="s">
        <v>243</v>
      </c>
      <c r="AJ190" s="22"/>
      <c r="AK190" s="22"/>
      <c r="AL190" s="22"/>
      <c r="AM190" s="22"/>
      <c r="AN190" s="22"/>
      <c r="AO190" s="22"/>
      <c r="AP190" s="22"/>
      <c r="AQ190" s="22"/>
      <c r="AR190" s="22"/>
      <c r="AS190" s="22"/>
      <c r="AT190" s="22"/>
      <c r="AU190" s="22"/>
      <c r="AV190" s="22"/>
      <c r="AW190" s="22"/>
      <c r="AX190" s="22"/>
      <c r="AY190" s="22"/>
      <c r="AZ190" s="22"/>
      <c r="BA190" s="5"/>
    </row>
    <row r="191" spans="1:53" ht="15" thickBot="1" x14ac:dyDescent="0.4">
      <c r="A191" s="16" t="s">
        <v>535</v>
      </c>
      <c r="B191" s="16" t="s">
        <v>535</v>
      </c>
      <c r="C191" s="16" t="s">
        <v>535</v>
      </c>
      <c r="D191" s="16" t="s">
        <v>535</v>
      </c>
      <c r="E191" s="16" t="s">
        <v>243</v>
      </c>
      <c r="F191" s="16" t="s">
        <v>535</v>
      </c>
      <c r="G191" s="16" t="s">
        <v>535</v>
      </c>
      <c r="H191" s="16" t="s">
        <v>535</v>
      </c>
      <c r="I191" s="16" t="s">
        <v>535</v>
      </c>
      <c r="J191" s="5" t="s">
        <v>113</v>
      </c>
      <c r="K191" s="5" t="s">
        <v>566</v>
      </c>
      <c r="L191" s="5" t="s">
        <v>778</v>
      </c>
      <c r="M191" s="5" t="s">
        <v>241</v>
      </c>
      <c r="N191" s="5" t="s">
        <v>207</v>
      </c>
      <c r="O191" s="5">
        <v>1E-3</v>
      </c>
      <c r="P191" s="45"/>
      <c r="Q191" s="45"/>
      <c r="R191" s="179">
        <v>8.8838600000000003</v>
      </c>
      <c r="S191" s="45"/>
      <c r="T191" s="45"/>
      <c r="U191" s="45"/>
      <c r="V191" s="53">
        <f t="shared" si="3"/>
        <v>8.8840000000000003</v>
      </c>
      <c r="W191" s="22"/>
      <c r="X191" s="22"/>
      <c r="Y191" s="22"/>
      <c r="Z191" s="22"/>
      <c r="AA191" s="22"/>
      <c r="AB191" s="22"/>
      <c r="AC191" s="22"/>
      <c r="AD191" s="22"/>
      <c r="AE191" s="22"/>
      <c r="AF191" s="22"/>
      <c r="AG191" s="22"/>
      <c r="AH191" s="22"/>
      <c r="AI191" s="22" t="s">
        <v>243</v>
      </c>
      <c r="AJ191" s="22"/>
      <c r="AK191" s="22"/>
      <c r="AL191" s="22"/>
      <c r="AM191" s="22"/>
      <c r="AN191" s="22"/>
      <c r="AO191" s="22"/>
      <c r="AP191" s="22"/>
      <c r="AQ191" s="22"/>
      <c r="AR191" s="22"/>
      <c r="AS191" s="22"/>
      <c r="AT191" s="22"/>
      <c r="AU191" s="22"/>
      <c r="AV191" s="22"/>
      <c r="AW191" s="22"/>
      <c r="AX191" s="22"/>
      <c r="AY191" s="22"/>
      <c r="AZ191" s="22"/>
      <c r="BA191" s="5"/>
    </row>
    <row r="192" spans="1:53" ht="15" thickBot="1" x14ac:dyDescent="0.4">
      <c r="A192" s="16" t="s">
        <v>535</v>
      </c>
      <c r="B192" s="16" t="s">
        <v>535</v>
      </c>
      <c r="C192" s="16" t="s">
        <v>535</v>
      </c>
      <c r="D192" s="16" t="s">
        <v>535</v>
      </c>
      <c r="E192" s="16" t="s">
        <v>243</v>
      </c>
      <c r="F192" s="16" t="s">
        <v>535</v>
      </c>
      <c r="G192" s="16" t="s">
        <v>535</v>
      </c>
      <c r="H192" s="16" t="s">
        <v>535</v>
      </c>
      <c r="I192" s="16" t="s">
        <v>535</v>
      </c>
      <c r="J192" s="5" t="s">
        <v>113</v>
      </c>
      <c r="K192" s="5" t="s">
        <v>566</v>
      </c>
      <c r="L192" s="5" t="s">
        <v>240</v>
      </c>
      <c r="M192" s="5" t="s">
        <v>241</v>
      </c>
      <c r="N192" s="5" t="s">
        <v>207</v>
      </c>
      <c r="O192" s="5">
        <v>1E-3</v>
      </c>
      <c r="P192" s="45"/>
      <c r="Q192" s="45"/>
      <c r="R192" s="179">
        <v>646.60631999999998</v>
      </c>
      <c r="S192" s="45"/>
      <c r="T192" s="45"/>
      <c r="U192" s="45"/>
      <c r="V192" s="53">
        <f t="shared" si="3"/>
        <v>646.60599999999999</v>
      </c>
      <c r="W192" s="22"/>
      <c r="X192" s="22"/>
      <c r="Y192" s="22"/>
      <c r="Z192" s="22"/>
      <c r="AA192" s="22"/>
      <c r="AB192" s="22"/>
      <c r="AC192" s="22"/>
      <c r="AD192" s="22"/>
      <c r="AE192" s="22"/>
      <c r="AF192" s="22"/>
      <c r="AG192" s="22"/>
      <c r="AH192" s="22"/>
      <c r="AI192" s="22" t="s">
        <v>243</v>
      </c>
      <c r="AJ192" s="22"/>
      <c r="AK192" s="22"/>
      <c r="AL192" s="22"/>
      <c r="AM192" s="22"/>
      <c r="AN192" s="22"/>
      <c r="AO192" s="22"/>
      <c r="AP192" s="22"/>
      <c r="AQ192" s="22"/>
      <c r="AR192" s="22"/>
      <c r="AS192" s="22"/>
      <c r="AT192" s="22"/>
      <c r="AU192" s="22"/>
      <c r="AV192" s="22"/>
      <c r="AW192" s="22"/>
      <c r="AX192" s="22"/>
      <c r="AY192" s="22"/>
      <c r="AZ192" s="22"/>
      <c r="BA192" s="5"/>
    </row>
    <row r="193" spans="1:53" ht="26.5" thickBot="1" x14ac:dyDescent="0.4">
      <c r="A193" s="16" t="s">
        <v>535</v>
      </c>
      <c r="B193" s="16" t="s">
        <v>535</v>
      </c>
      <c r="C193" s="16" t="s">
        <v>535</v>
      </c>
      <c r="D193" s="16" t="s">
        <v>535</v>
      </c>
      <c r="E193" s="16" t="s">
        <v>243</v>
      </c>
      <c r="F193" s="16" t="s">
        <v>535</v>
      </c>
      <c r="G193" s="16" t="s">
        <v>535</v>
      </c>
      <c r="H193" s="16" t="s">
        <v>535</v>
      </c>
      <c r="I193" s="16" t="s">
        <v>535</v>
      </c>
      <c r="J193" s="5" t="s">
        <v>113</v>
      </c>
      <c r="K193" s="5" t="s">
        <v>566</v>
      </c>
      <c r="L193" s="5" t="s">
        <v>792</v>
      </c>
      <c r="M193" s="5" t="s">
        <v>241</v>
      </c>
      <c r="N193" s="5" t="s">
        <v>207</v>
      </c>
      <c r="O193" s="5">
        <v>1E-3</v>
      </c>
      <c r="P193" s="45"/>
      <c r="Q193" s="45"/>
      <c r="R193" s="179">
        <v>8.8838600000000003</v>
      </c>
      <c r="S193" s="45"/>
      <c r="T193" s="45"/>
      <c r="U193" s="45"/>
      <c r="V193" s="53">
        <f t="shared" si="3"/>
        <v>8.8840000000000003</v>
      </c>
      <c r="W193" s="22"/>
      <c r="X193" s="22"/>
      <c r="Y193" s="22"/>
      <c r="Z193" s="22"/>
      <c r="AA193" s="22"/>
      <c r="AB193" s="22"/>
      <c r="AC193" s="22"/>
      <c r="AD193" s="22"/>
      <c r="AE193" s="22"/>
      <c r="AF193" s="22"/>
      <c r="AG193" s="22"/>
      <c r="AH193" s="22"/>
      <c r="AI193" s="22" t="s">
        <v>243</v>
      </c>
      <c r="AJ193" s="22"/>
      <c r="AK193" s="22"/>
      <c r="AL193" s="22"/>
      <c r="AM193" s="22"/>
      <c r="AN193" s="22"/>
      <c r="AO193" s="22"/>
      <c r="AP193" s="22"/>
      <c r="AQ193" s="22"/>
      <c r="AR193" s="22"/>
      <c r="AS193" s="22"/>
      <c r="AT193" s="22"/>
      <c r="AU193" s="22"/>
      <c r="AV193" s="22"/>
      <c r="AW193" s="22"/>
      <c r="AX193" s="22"/>
      <c r="AY193" s="22"/>
      <c r="AZ193" s="22"/>
      <c r="BA193" s="5"/>
    </row>
    <row r="194" spans="1:53" ht="39.5" thickBot="1" x14ac:dyDescent="0.4">
      <c r="A194" s="16" t="s">
        <v>535</v>
      </c>
      <c r="B194" s="16" t="s">
        <v>535</v>
      </c>
      <c r="C194" s="16" t="s">
        <v>535</v>
      </c>
      <c r="D194" s="16" t="s">
        <v>535</v>
      </c>
      <c r="E194" s="16" t="s">
        <v>243</v>
      </c>
      <c r="F194" s="16" t="s">
        <v>535</v>
      </c>
      <c r="G194" s="16" t="s">
        <v>535</v>
      </c>
      <c r="H194" s="16" t="s">
        <v>535</v>
      </c>
      <c r="I194" s="16" t="s">
        <v>535</v>
      </c>
      <c r="J194" s="5" t="s">
        <v>1255</v>
      </c>
      <c r="K194" s="5" t="s">
        <v>566</v>
      </c>
      <c r="L194" s="5" t="s">
        <v>724</v>
      </c>
      <c r="M194" s="5" t="s">
        <v>241</v>
      </c>
      <c r="N194" s="5" t="s">
        <v>207</v>
      </c>
      <c r="O194" s="5">
        <v>1E-3</v>
      </c>
      <c r="P194" s="45"/>
      <c r="Q194" s="45"/>
      <c r="R194" s="179">
        <v>0</v>
      </c>
      <c r="S194" s="45"/>
      <c r="T194" s="45"/>
      <c r="U194" s="45"/>
      <c r="V194" s="53">
        <f t="shared" si="3"/>
        <v>0</v>
      </c>
      <c r="W194" s="22"/>
      <c r="X194" s="22"/>
      <c r="Y194" s="22"/>
      <c r="Z194" s="22"/>
      <c r="AA194" s="22"/>
      <c r="AB194" s="22"/>
      <c r="AC194" s="22"/>
      <c r="AD194" s="22"/>
      <c r="AE194" s="22"/>
      <c r="AF194" s="22"/>
      <c r="AG194" s="22"/>
      <c r="AH194" s="22"/>
      <c r="AI194" s="22" t="s">
        <v>243</v>
      </c>
      <c r="AJ194" s="22"/>
      <c r="AK194" s="22"/>
      <c r="AL194" s="22"/>
      <c r="AM194" s="22"/>
      <c r="AN194" s="22"/>
      <c r="AO194" s="22"/>
      <c r="AP194" s="22"/>
      <c r="AQ194" s="22"/>
      <c r="AR194" s="22" t="s">
        <v>243</v>
      </c>
      <c r="AS194" s="22"/>
      <c r="AT194" s="22"/>
      <c r="AU194" s="22"/>
      <c r="AV194" s="22"/>
      <c r="AW194" s="22"/>
      <c r="AX194" s="22"/>
      <c r="AY194" s="22"/>
      <c r="AZ194" s="22"/>
      <c r="BA194" s="5" t="s">
        <v>1392</v>
      </c>
    </row>
    <row r="195" spans="1:53" ht="39.5" thickBot="1" x14ac:dyDescent="0.4">
      <c r="A195" s="16" t="s">
        <v>535</v>
      </c>
      <c r="B195" s="16" t="s">
        <v>535</v>
      </c>
      <c r="C195" s="16" t="s">
        <v>535</v>
      </c>
      <c r="D195" s="16" t="s">
        <v>535</v>
      </c>
      <c r="E195" s="16" t="s">
        <v>243</v>
      </c>
      <c r="F195" s="16" t="s">
        <v>535</v>
      </c>
      <c r="G195" s="16" t="s">
        <v>535</v>
      </c>
      <c r="H195" s="16" t="s">
        <v>535</v>
      </c>
      <c r="I195" s="16" t="s">
        <v>535</v>
      </c>
      <c r="J195" s="5" t="s">
        <v>1255</v>
      </c>
      <c r="K195" s="5" t="s">
        <v>566</v>
      </c>
      <c r="L195" s="5" t="s">
        <v>778</v>
      </c>
      <c r="M195" s="5" t="s">
        <v>241</v>
      </c>
      <c r="N195" s="5" t="s">
        <v>207</v>
      </c>
      <c r="O195" s="5">
        <v>1E-3</v>
      </c>
      <c r="P195" s="45"/>
      <c r="Q195" s="45"/>
      <c r="R195" s="179">
        <v>0</v>
      </c>
      <c r="S195" s="45"/>
      <c r="T195" s="45"/>
      <c r="U195" s="45"/>
      <c r="V195" s="53">
        <f t="shared" si="3"/>
        <v>0</v>
      </c>
      <c r="W195" s="22"/>
      <c r="X195" s="22"/>
      <c r="Y195" s="22"/>
      <c r="Z195" s="22"/>
      <c r="AA195" s="22"/>
      <c r="AB195" s="22"/>
      <c r="AC195" s="22"/>
      <c r="AD195" s="22"/>
      <c r="AE195" s="22"/>
      <c r="AF195" s="22"/>
      <c r="AG195" s="22"/>
      <c r="AH195" s="22"/>
      <c r="AI195" s="22" t="s">
        <v>243</v>
      </c>
      <c r="AJ195" s="22"/>
      <c r="AK195" s="22"/>
      <c r="AL195" s="22"/>
      <c r="AM195" s="22"/>
      <c r="AN195" s="22"/>
      <c r="AO195" s="22"/>
      <c r="AP195" s="22"/>
      <c r="AQ195" s="22"/>
      <c r="AR195" s="22" t="s">
        <v>243</v>
      </c>
      <c r="AS195" s="22"/>
      <c r="AT195" s="22"/>
      <c r="AU195" s="22"/>
      <c r="AV195" s="22"/>
      <c r="AW195" s="22"/>
      <c r="AX195" s="22"/>
      <c r="AY195" s="22"/>
      <c r="AZ195" s="22"/>
      <c r="BA195" s="5" t="s">
        <v>1392</v>
      </c>
    </row>
    <row r="196" spans="1:53" ht="52.5" thickBot="1" x14ac:dyDescent="0.4">
      <c r="A196" s="16" t="s">
        <v>535</v>
      </c>
      <c r="B196" s="16" t="s">
        <v>535</v>
      </c>
      <c r="C196" s="16" t="s">
        <v>535</v>
      </c>
      <c r="D196" s="16" t="s">
        <v>535</v>
      </c>
      <c r="E196" s="16" t="s">
        <v>243</v>
      </c>
      <c r="F196" s="16" t="s">
        <v>535</v>
      </c>
      <c r="G196" s="16" t="s">
        <v>535</v>
      </c>
      <c r="H196" s="16" t="s">
        <v>535</v>
      </c>
      <c r="I196" s="16" t="s">
        <v>535</v>
      </c>
      <c r="J196" s="5" t="s">
        <v>1255</v>
      </c>
      <c r="K196" s="5" t="s">
        <v>566</v>
      </c>
      <c r="L196" s="5" t="s">
        <v>240</v>
      </c>
      <c r="M196" s="5" t="s">
        <v>241</v>
      </c>
      <c r="N196" s="5" t="s">
        <v>207</v>
      </c>
      <c r="O196" s="5">
        <v>1E-3</v>
      </c>
      <c r="P196" s="45"/>
      <c r="Q196" s="45"/>
      <c r="R196" s="179">
        <f>R192-(25*2*P145)</f>
        <v>636.56781999999998</v>
      </c>
      <c r="S196" s="45"/>
      <c r="T196" s="45"/>
      <c r="U196" s="45"/>
      <c r="V196" s="53">
        <f t="shared" si="3"/>
        <v>636.56799999999998</v>
      </c>
      <c r="W196" s="22"/>
      <c r="X196" s="22"/>
      <c r="Y196" s="22"/>
      <c r="Z196" s="22"/>
      <c r="AA196" s="22"/>
      <c r="AB196" s="22"/>
      <c r="AC196" s="22"/>
      <c r="AD196" s="22"/>
      <c r="AE196" s="22"/>
      <c r="AF196" s="22"/>
      <c r="AG196" s="22"/>
      <c r="AH196" s="22"/>
      <c r="AI196" s="22" t="s">
        <v>243</v>
      </c>
      <c r="AJ196" s="22"/>
      <c r="AK196" s="22"/>
      <c r="AL196" s="22"/>
      <c r="AM196" s="22"/>
      <c r="AN196" s="22"/>
      <c r="AO196" s="22"/>
      <c r="AP196" s="22"/>
      <c r="AQ196" s="22"/>
      <c r="AR196" s="22" t="s">
        <v>243</v>
      </c>
      <c r="AS196" s="22"/>
      <c r="AT196" s="22"/>
      <c r="AU196" s="22"/>
      <c r="AV196" s="22"/>
      <c r="AW196" s="22"/>
      <c r="AX196" s="22"/>
      <c r="AY196" s="22"/>
      <c r="AZ196" s="22"/>
      <c r="BA196" s="5" t="s">
        <v>1393</v>
      </c>
    </row>
    <row r="197" spans="1:53" ht="39.5" thickBot="1" x14ac:dyDescent="0.4">
      <c r="A197" s="16" t="s">
        <v>535</v>
      </c>
      <c r="B197" s="16" t="s">
        <v>535</v>
      </c>
      <c r="C197" s="16" t="s">
        <v>535</v>
      </c>
      <c r="D197" s="16" t="s">
        <v>535</v>
      </c>
      <c r="E197" s="16" t="s">
        <v>243</v>
      </c>
      <c r="F197" s="16" t="s">
        <v>535</v>
      </c>
      <c r="G197" s="16" t="s">
        <v>535</v>
      </c>
      <c r="H197" s="16" t="s">
        <v>535</v>
      </c>
      <c r="I197" s="16" t="s">
        <v>535</v>
      </c>
      <c r="J197" s="5" t="s">
        <v>1255</v>
      </c>
      <c r="K197" s="5" t="s">
        <v>566</v>
      </c>
      <c r="L197" s="5" t="s">
        <v>792</v>
      </c>
      <c r="M197" s="5" t="s">
        <v>241</v>
      </c>
      <c r="N197" s="5" t="s">
        <v>207</v>
      </c>
      <c r="O197" s="5">
        <v>1E-3</v>
      </c>
      <c r="P197" s="45"/>
      <c r="Q197" s="45"/>
      <c r="R197" s="179">
        <v>0</v>
      </c>
      <c r="S197" s="45"/>
      <c r="T197" s="45"/>
      <c r="U197" s="45"/>
      <c r="V197" s="53">
        <f t="shared" si="3"/>
        <v>0</v>
      </c>
      <c r="W197" s="22"/>
      <c r="X197" s="22"/>
      <c r="Y197" s="22"/>
      <c r="Z197" s="22"/>
      <c r="AA197" s="22"/>
      <c r="AB197" s="22"/>
      <c r="AC197" s="22"/>
      <c r="AD197" s="22"/>
      <c r="AE197" s="22"/>
      <c r="AF197" s="22"/>
      <c r="AG197" s="22"/>
      <c r="AH197" s="22"/>
      <c r="AI197" s="22" t="s">
        <v>243</v>
      </c>
      <c r="AJ197" s="22"/>
      <c r="AK197" s="22"/>
      <c r="AL197" s="22"/>
      <c r="AM197" s="22"/>
      <c r="AN197" s="22"/>
      <c r="AO197" s="22"/>
      <c r="AP197" s="22"/>
      <c r="AQ197" s="22"/>
      <c r="AR197" s="22" t="s">
        <v>243</v>
      </c>
      <c r="AS197" s="22"/>
      <c r="AT197" s="22"/>
      <c r="AU197" s="22"/>
      <c r="AV197" s="22"/>
      <c r="AW197" s="22"/>
      <c r="AX197" s="22"/>
      <c r="AY197" s="22"/>
      <c r="AZ197" s="22"/>
      <c r="BA197" s="5" t="s">
        <v>1392</v>
      </c>
    </row>
    <row r="198" spans="1:53" ht="15" thickBot="1" x14ac:dyDescent="0.4">
      <c r="A198" s="16" t="s">
        <v>535</v>
      </c>
      <c r="B198" s="16" t="s">
        <v>535</v>
      </c>
      <c r="C198" s="16" t="s">
        <v>535</v>
      </c>
      <c r="D198" s="16" t="s">
        <v>535</v>
      </c>
      <c r="E198" s="16" t="s">
        <v>243</v>
      </c>
      <c r="F198" s="16" t="s">
        <v>535</v>
      </c>
      <c r="G198" s="16" t="s">
        <v>535</v>
      </c>
      <c r="H198" s="16" t="s">
        <v>535</v>
      </c>
      <c r="I198" s="16" t="s">
        <v>535</v>
      </c>
      <c r="J198" s="5" t="s">
        <v>113</v>
      </c>
      <c r="K198" s="5" t="s">
        <v>239</v>
      </c>
      <c r="L198" s="5" t="s">
        <v>724</v>
      </c>
      <c r="M198" s="5" t="s">
        <v>241</v>
      </c>
      <c r="N198" s="5" t="s">
        <v>207</v>
      </c>
      <c r="O198" s="5">
        <v>1E-3</v>
      </c>
      <c r="P198" s="45"/>
      <c r="Q198" s="146"/>
      <c r="R198" s="179">
        <v>6.4106100000000001</v>
      </c>
      <c r="S198" s="45"/>
      <c r="T198" s="45"/>
      <c r="U198" s="45"/>
      <c r="V198" s="53">
        <f t="shared" si="3"/>
        <v>6.4109999999999996</v>
      </c>
      <c r="W198" s="22"/>
      <c r="X198" s="22"/>
      <c r="Y198" s="22"/>
      <c r="Z198" s="22"/>
      <c r="AA198" s="22"/>
      <c r="AB198" s="22"/>
      <c r="AC198" s="22"/>
      <c r="AD198" s="22"/>
      <c r="AE198" s="22"/>
      <c r="AF198" s="22"/>
      <c r="AG198" s="22"/>
      <c r="AH198" s="22"/>
      <c r="AI198" s="22" t="s">
        <v>243</v>
      </c>
      <c r="AJ198" s="22"/>
      <c r="AK198" s="22"/>
      <c r="AL198" s="22"/>
      <c r="AM198" s="22"/>
      <c r="AN198" s="22"/>
      <c r="AO198" s="22"/>
      <c r="AP198" s="22"/>
      <c r="AQ198" s="22"/>
      <c r="AR198" s="22"/>
      <c r="AS198" s="22"/>
      <c r="AT198" s="22"/>
      <c r="AU198" s="22"/>
      <c r="AV198" s="22"/>
      <c r="AW198" s="22"/>
      <c r="AX198" s="22"/>
      <c r="AY198" s="22"/>
      <c r="AZ198" s="22"/>
      <c r="BA198" s="5"/>
    </row>
    <row r="199" spans="1:53" ht="15" thickBot="1" x14ac:dyDescent="0.4">
      <c r="A199" s="16" t="s">
        <v>535</v>
      </c>
      <c r="B199" s="16" t="s">
        <v>535</v>
      </c>
      <c r="C199" s="16" t="s">
        <v>535</v>
      </c>
      <c r="D199" s="16" t="s">
        <v>535</v>
      </c>
      <c r="E199" s="16" t="s">
        <v>243</v>
      </c>
      <c r="F199" s="16" t="s">
        <v>535</v>
      </c>
      <c r="G199" s="16" t="s">
        <v>535</v>
      </c>
      <c r="H199" s="16" t="s">
        <v>535</v>
      </c>
      <c r="I199" s="16" t="s">
        <v>535</v>
      </c>
      <c r="J199" s="5" t="s">
        <v>113</v>
      </c>
      <c r="K199" s="5" t="s">
        <v>239</v>
      </c>
      <c r="L199" s="5" t="s">
        <v>778</v>
      </c>
      <c r="M199" s="5" t="s">
        <v>241</v>
      </c>
      <c r="N199" s="5" t="s">
        <v>207</v>
      </c>
      <c r="O199" s="5">
        <v>1E-3</v>
      </c>
      <c r="P199" s="45"/>
      <c r="Q199" s="146"/>
      <c r="R199" s="179">
        <v>8.8838600000000003</v>
      </c>
      <c r="S199" s="45"/>
      <c r="T199" s="45"/>
      <c r="U199" s="45"/>
      <c r="V199" s="53">
        <f t="shared" si="3"/>
        <v>8.8840000000000003</v>
      </c>
      <c r="W199" s="22"/>
      <c r="X199" s="22"/>
      <c r="Y199" s="22"/>
      <c r="Z199" s="22"/>
      <c r="AA199" s="22"/>
      <c r="AB199" s="22"/>
      <c r="AC199" s="22"/>
      <c r="AD199" s="22"/>
      <c r="AE199" s="22"/>
      <c r="AF199" s="22"/>
      <c r="AG199" s="22"/>
      <c r="AH199" s="22"/>
      <c r="AI199" s="22" t="s">
        <v>243</v>
      </c>
      <c r="AJ199" s="22"/>
      <c r="AK199" s="22"/>
      <c r="AL199" s="22"/>
      <c r="AM199" s="22"/>
      <c r="AN199" s="22"/>
      <c r="AO199" s="22"/>
      <c r="AP199" s="22"/>
      <c r="AQ199" s="22"/>
      <c r="AR199" s="22"/>
      <c r="AS199" s="22"/>
      <c r="AT199" s="22"/>
      <c r="AU199" s="22"/>
      <c r="AV199" s="22"/>
      <c r="AW199" s="22"/>
      <c r="AX199" s="22"/>
      <c r="AY199" s="22"/>
      <c r="AZ199" s="22"/>
      <c r="BA199" s="5"/>
    </row>
    <row r="200" spans="1:53" ht="15" thickBot="1" x14ac:dyDescent="0.4">
      <c r="A200" s="16" t="s">
        <v>535</v>
      </c>
      <c r="B200" s="16" t="s">
        <v>535</v>
      </c>
      <c r="C200" s="16" t="s">
        <v>535</v>
      </c>
      <c r="D200" s="16" t="s">
        <v>535</v>
      </c>
      <c r="E200" s="16" t="s">
        <v>243</v>
      </c>
      <c r="F200" s="16" t="s">
        <v>535</v>
      </c>
      <c r="G200" s="16" t="s">
        <v>535</v>
      </c>
      <c r="H200" s="16" t="s">
        <v>535</v>
      </c>
      <c r="I200" s="16" t="s">
        <v>535</v>
      </c>
      <c r="J200" s="5" t="s">
        <v>113</v>
      </c>
      <c r="K200" s="5" t="s">
        <v>239</v>
      </c>
      <c r="L200" s="5" t="s">
        <v>240</v>
      </c>
      <c r="M200" s="5" t="s">
        <v>241</v>
      </c>
      <c r="N200" s="5" t="s">
        <v>207</v>
      </c>
      <c r="O200" s="5">
        <v>1E-3</v>
      </c>
      <c r="P200" s="45"/>
      <c r="Q200" s="146"/>
      <c r="R200" s="179">
        <v>655.98689999999999</v>
      </c>
      <c r="S200" s="45"/>
      <c r="T200" s="45"/>
      <c r="U200" s="45"/>
      <c r="V200" s="53">
        <f t="shared" si="3"/>
        <v>655.98699999999997</v>
      </c>
      <c r="W200" s="22"/>
      <c r="X200" s="22"/>
      <c r="Y200" s="22"/>
      <c r="Z200" s="22"/>
      <c r="AA200" s="22"/>
      <c r="AB200" s="22"/>
      <c r="AC200" s="22"/>
      <c r="AD200" s="22"/>
      <c r="AE200" s="22"/>
      <c r="AF200" s="22"/>
      <c r="AG200" s="22"/>
      <c r="AH200" s="22"/>
      <c r="AI200" s="22" t="s">
        <v>243</v>
      </c>
      <c r="AJ200" s="22"/>
      <c r="AK200" s="22"/>
      <c r="AL200" s="22"/>
      <c r="AM200" s="22"/>
      <c r="AN200" s="22"/>
      <c r="AO200" s="22"/>
      <c r="AP200" s="22"/>
      <c r="AQ200" s="22"/>
      <c r="AR200" s="22"/>
      <c r="AS200" s="22"/>
      <c r="AT200" s="22"/>
      <c r="AU200" s="22"/>
      <c r="AV200" s="22"/>
      <c r="AW200" s="22"/>
      <c r="AX200" s="22"/>
      <c r="AY200" s="22"/>
      <c r="AZ200" s="22"/>
      <c r="BA200" s="5"/>
    </row>
    <row r="201" spans="1:53" ht="26.5" thickBot="1" x14ac:dyDescent="0.4">
      <c r="A201" s="16" t="s">
        <v>535</v>
      </c>
      <c r="B201" s="16" t="s">
        <v>535</v>
      </c>
      <c r="C201" s="16" t="s">
        <v>535</v>
      </c>
      <c r="D201" s="16" t="s">
        <v>535</v>
      </c>
      <c r="E201" s="16" t="s">
        <v>243</v>
      </c>
      <c r="F201" s="16" t="s">
        <v>535</v>
      </c>
      <c r="G201" s="16" t="s">
        <v>535</v>
      </c>
      <c r="H201" s="16" t="s">
        <v>535</v>
      </c>
      <c r="I201" s="16" t="s">
        <v>535</v>
      </c>
      <c r="J201" s="5" t="s">
        <v>113</v>
      </c>
      <c r="K201" s="5" t="s">
        <v>239</v>
      </c>
      <c r="L201" s="5" t="s">
        <v>792</v>
      </c>
      <c r="M201" s="5" t="s">
        <v>241</v>
      </c>
      <c r="N201" s="5" t="s">
        <v>207</v>
      </c>
      <c r="O201" s="5">
        <v>1E-3</v>
      </c>
      <c r="P201" s="45"/>
      <c r="Q201" s="146"/>
      <c r="R201" s="179">
        <v>8.8838600000000003</v>
      </c>
      <c r="S201" s="45"/>
      <c r="T201" s="45"/>
      <c r="U201" s="45"/>
      <c r="V201" s="53">
        <f t="shared" si="3"/>
        <v>8.8840000000000003</v>
      </c>
      <c r="W201" s="22"/>
      <c r="X201" s="22"/>
      <c r="Y201" s="22"/>
      <c r="Z201" s="22"/>
      <c r="AA201" s="22"/>
      <c r="AB201" s="22"/>
      <c r="AC201" s="22"/>
      <c r="AD201" s="22"/>
      <c r="AE201" s="22"/>
      <c r="AF201" s="22"/>
      <c r="AG201" s="22"/>
      <c r="AH201" s="22"/>
      <c r="AI201" s="22" t="s">
        <v>243</v>
      </c>
      <c r="AJ201" s="22"/>
      <c r="AK201" s="22"/>
      <c r="AL201" s="22"/>
      <c r="AM201" s="22"/>
      <c r="AN201" s="22"/>
      <c r="AO201" s="22"/>
      <c r="AP201" s="22"/>
      <c r="AQ201" s="22"/>
      <c r="AR201" s="22"/>
      <c r="AS201" s="22"/>
      <c r="AT201" s="22"/>
      <c r="AU201" s="22"/>
      <c r="AV201" s="22"/>
      <c r="AW201" s="22"/>
      <c r="AX201" s="22"/>
      <c r="AY201" s="22"/>
      <c r="AZ201" s="22"/>
      <c r="BA201" s="5"/>
    </row>
    <row r="202" spans="1:53" ht="39.5" thickBot="1" x14ac:dyDescent="0.4">
      <c r="A202" s="16" t="s">
        <v>535</v>
      </c>
      <c r="B202" s="16" t="s">
        <v>535</v>
      </c>
      <c r="C202" s="16" t="s">
        <v>535</v>
      </c>
      <c r="D202" s="16" t="s">
        <v>535</v>
      </c>
      <c r="E202" s="16" t="s">
        <v>243</v>
      </c>
      <c r="F202" s="16" t="s">
        <v>535</v>
      </c>
      <c r="G202" s="16" t="s">
        <v>535</v>
      </c>
      <c r="H202" s="16" t="s">
        <v>535</v>
      </c>
      <c r="I202" s="16" t="s">
        <v>535</v>
      </c>
      <c r="J202" s="5" t="s">
        <v>1255</v>
      </c>
      <c r="K202" s="5" t="s">
        <v>239</v>
      </c>
      <c r="L202" s="5" t="s">
        <v>724</v>
      </c>
      <c r="M202" s="5" t="s">
        <v>241</v>
      </c>
      <c r="N202" s="5" t="s">
        <v>207</v>
      </c>
      <c r="O202" s="5">
        <v>1E-3</v>
      </c>
      <c r="P202" s="45"/>
      <c r="Q202" s="45"/>
      <c r="R202" s="179">
        <v>0</v>
      </c>
      <c r="S202" s="45"/>
      <c r="T202" s="45"/>
      <c r="U202" s="45"/>
      <c r="V202" s="53">
        <f t="shared" si="3"/>
        <v>0</v>
      </c>
      <c r="W202" s="22"/>
      <c r="X202" s="22"/>
      <c r="Y202" s="22"/>
      <c r="Z202" s="22"/>
      <c r="AA202" s="22"/>
      <c r="AB202" s="22"/>
      <c r="AC202" s="22"/>
      <c r="AD202" s="22"/>
      <c r="AE202" s="22"/>
      <c r="AF202" s="22"/>
      <c r="AG202" s="22"/>
      <c r="AH202" s="22"/>
      <c r="AI202" s="22" t="s">
        <v>243</v>
      </c>
      <c r="AJ202" s="22"/>
      <c r="AK202" s="22"/>
      <c r="AL202" s="22"/>
      <c r="AM202" s="22"/>
      <c r="AN202" s="22"/>
      <c r="AO202" s="22"/>
      <c r="AP202" s="22"/>
      <c r="AQ202" s="22"/>
      <c r="AR202" s="22" t="s">
        <v>243</v>
      </c>
      <c r="AS202" s="22"/>
      <c r="AT202" s="22"/>
      <c r="AU202" s="22"/>
      <c r="AV202" s="22"/>
      <c r="AW202" s="22"/>
      <c r="AX202" s="22"/>
      <c r="AY202" s="22"/>
      <c r="AZ202" s="22"/>
      <c r="BA202" s="5" t="s">
        <v>1392</v>
      </c>
    </row>
    <row r="203" spans="1:53" ht="39.5" thickBot="1" x14ac:dyDescent="0.4">
      <c r="A203" s="16" t="s">
        <v>535</v>
      </c>
      <c r="B203" s="16" t="s">
        <v>535</v>
      </c>
      <c r="C203" s="16" t="s">
        <v>535</v>
      </c>
      <c r="D203" s="16" t="s">
        <v>535</v>
      </c>
      <c r="E203" s="16" t="s">
        <v>243</v>
      </c>
      <c r="F203" s="16" t="s">
        <v>535</v>
      </c>
      <c r="G203" s="16" t="s">
        <v>535</v>
      </c>
      <c r="H203" s="16" t="s">
        <v>535</v>
      </c>
      <c r="I203" s="16" t="s">
        <v>535</v>
      </c>
      <c r="J203" s="5" t="s">
        <v>1255</v>
      </c>
      <c r="K203" s="5" t="s">
        <v>239</v>
      </c>
      <c r="L203" s="5" t="s">
        <v>778</v>
      </c>
      <c r="M203" s="5" t="s">
        <v>241</v>
      </c>
      <c r="N203" s="5" t="s">
        <v>207</v>
      </c>
      <c r="O203" s="5">
        <v>1E-3</v>
      </c>
      <c r="P203" s="145"/>
      <c r="Q203" s="45"/>
      <c r="R203" s="179">
        <v>0</v>
      </c>
      <c r="S203" s="45"/>
      <c r="T203" s="45"/>
      <c r="U203" s="45"/>
      <c r="V203" s="53">
        <f t="shared" si="3"/>
        <v>0</v>
      </c>
      <c r="W203" s="22"/>
      <c r="X203" s="22"/>
      <c r="Y203" s="22"/>
      <c r="Z203" s="22"/>
      <c r="AA203" s="22"/>
      <c r="AB203" s="22"/>
      <c r="AC203" s="22"/>
      <c r="AD203" s="22"/>
      <c r="AE203" s="22"/>
      <c r="AF203" s="22"/>
      <c r="AG203" s="22"/>
      <c r="AH203" s="22"/>
      <c r="AI203" s="22" t="s">
        <v>243</v>
      </c>
      <c r="AJ203" s="22"/>
      <c r="AK203" s="22"/>
      <c r="AL203" s="22"/>
      <c r="AM203" s="22"/>
      <c r="AN203" s="22"/>
      <c r="AO203" s="22"/>
      <c r="AP203" s="22"/>
      <c r="AQ203" s="22"/>
      <c r="AR203" s="22" t="s">
        <v>243</v>
      </c>
      <c r="AS203" s="22"/>
      <c r="AT203" s="22"/>
      <c r="AU203" s="22"/>
      <c r="AV203" s="22"/>
      <c r="AW203" s="22"/>
      <c r="AX203" s="22"/>
      <c r="AY203" s="22"/>
      <c r="AZ203" s="22"/>
      <c r="BA203" s="5" t="s">
        <v>1392</v>
      </c>
    </row>
    <row r="204" spans="1:53" ht="52.5" thickBot="1" x14ac:dyDescent="0.4">
      <c r="A204" s="16" t="s">
        <v>535</v>
      </c>
      <c r="B204" s="16" t="s">
        <v>535</v>
      </c>
      <c r="C204" s="16" t="s">
        <v>535</v>
      </c>
      <c r="D204" s="16" t="s">
        <v>535</v>
      </c>
      <c r="E204" s="16" t="s">
        <v>243</v>
      </c>
      <c r="F204" s="16" t="s">
        <v>535</v>
      </c>
      <c r="G204" s="16" t="s">
        <v>535</v>
      </c>
      <c r="H204" s="16" t="s">
        <v>535</v>
      </c>
      <c r="I204" s="16" t="s">
        <v>535</v>
      </c>
      <c r="J204" s="5" t="s">
        <v>1255</v>
      </c>
      <c r="K204" s="5" t="s">
        <v>239</v>
      </c>
      <c r="L204" s="5" t="s">
        <v>240</v>
      </c>
      <c r="M204" s="5" t="s">
        <v>241</v>
      </c>
      <c r="N204" s="5" t="s">
        <v>207</v>
      </c>
      <c r="O204" s="5">
        <v>1E-3</v>
      </c>
      <c r="P204" s="45"/>
      <c r="Q204" s="45"/>
      <c r="R204" s="179">
        <f>R200-(25*2*P145)</f>
        <v>645.94839999999999</v>
      </c>
      <c r="S204" s="45"/>
      <c r="T204" s="45"/>
      <c r="U204" s="45"/>
      <c r="V204" s="53">
        <f t="shared" si="3"/>
        <v>645.94799999999998</v>
      </c>
      <c r="W204" s="22"/>
      <c r="X204" s="22"/>
      <c r="Y204" s="22"/>
      <c r="Z204" s="22"/>
      <c r="AA204" s="22"/>
      <c r="AB204" s="22"/>
      <c r="AC204" s="22"/>
      <c r="AD204" s="22"/>
      <c r="AE204" s="22"/>
      <c r="AF204" s="22"/>
      <c r="AG204" s="22"/>
      <c r="AH204" s="22"/>
      <c r="AI204" s="22" t="s">
        <v>243</v>
      </c>
      <c r="AJ204" s="22"/>
      <c r="AK204" s="22"/>
      <c r="AL204" s="22"/>
      <c r="AM204" s="22"/>
      <c r="AN204" s="22"/>
      <c r="AO204" s="22"/>
      <c r="AP204" s="22"/>
      <c r="AQ204" s="22"/>
      <c r="AR204" s="22" t="s">
        <v>243</v>
      </c>
      <c r="AS204" s="22"/>
      <c r="AT204" s="22"/>
      <c r="AU204" s="22"/>
      <c r="AV204" s="22"/>
      <c r="AW204" s="22"/>
      <c r="AX204" s="22"/>
      <c r="AY204" s="22"/>
      <c r="AZ204" s="22"/>
      <c r="BA204" s="5" t="s">
        <v>1393</v>
      </c>
    </row>
    <row r="205" spans="1:53" ht="39.5" thickBot="1" x14ac:dyDescent="0.4">
      <c r="A205" s="16" t="s">
        <v>535</v>
      </c>
      <c r="B205" s="16" t="s">
        <v>535</v>
      </c>
      <c r="C205" s="16" t="s">
        <v>535</v>
      </c>
      <c r="D205" s="16" t="s">
        <v>535</v>
      </c>
      <c r="E205" s="16" t="s">
        <v>243</v>
      </c>
      <c r="F205" s="16" t="s">
        <v>535</v>
      </c>
      <c r="G205" s="16" t="s">
        <v>535</v>
      </c>
      <c r="H205" s="16" t="s">
        <v>535</v>
      </c>
      <c r="I205" s="16" t="s">
        <v>535</v>
      </c>
      <c r="J205" s="5" t="s">
        <v>1255</v>
      </c>
      <c r="K205" s="5" t="s">
        <v>239</v>
      </c>
      <c r="L205" s="5" t="s">
        <v>792</v>
      </c>
      <c r="M205" s="5" t="s">
        <v>241</v>
      </c>
      <c r="N205" s="5" t="s">
        <v>207</v>
      </c>
      <c r="O205" s="5">
        <v>1E-3</v>
      </c>
      <c r="P205" s="45"/>
      <c r="Q205" s="45"/>
      <c r="R205" s="179">
        <v>0</v>
      </c>
      <c r="S205" s="45"/>
      <c r="T205" s="45"/>
      <c r="U205" s="45"/>
      <c r="V205" s="53">
        <f t="shared" si="3"/>
        <v>0</v>
      </c>
      <c r="W205" s="22"/>
      <c r="X205" s="22"/>
      <c r="Y205" s="22"/>
      <c r="Z205" s="22"/>
      <c r="AA205" s="22"/>
      <c r="AB205" s="22"/>
      <c r="AC205" s="22"/>
      <c r="AD205" s="22"/>
      <c r="AE205" s="22"/>
      <c r="AF205" s="22"/>
      <c r="AG205" s="22"/>
      <c r="AH205" s="22"/>
      <c r="AI205" s="22" t="s">
        <v>243</v>
      </c>
      <c r="AJ205" s="22"/>
      <c r="AK205" s="22"/>
      <c r="AL205" s="22"/>
      <c r="AM205" s="22"/>
      <c r="AN205" s="22"/>
      <c r="AO205" s="22"/>
      <c r="AP205" s="22"/>
      <c r="AQ205" s="22"/>
      <c r="AR205" s="22" t="s">
        <v>243</v>
      </c>
      <c r="AS205" s="22"/>
      <c r="AT205" s="22"/>
      <c r="AU205" s="22"/>
      <c r="AV205" s="22"/>
      <c r="AW205" s="22"/>
      <c r="AX205" s="22"/>
      <c r="AY205" s="22"/>
      <c r="AZ205" s="22"/>
      <c r="BA205" s="5" t="s">
        <v>1392</v>
      </c>
    </row>
    <row r="206" spans="1:53" ht="26.5" thickBot="1" x14ac:dyDescent="0.4">
      <c r="A206" s="16" t="s">
        <v>535</v>
      </c>
      <c r="B206" s="16" t="s">
        <v>535</v>
      </c>
      <c r="C206" s="16" t="s">
        <v>535</v>
      </c>
      <c r="D206" s="16" t="s">
        <v>535</v>
      </c>
      <c r="E206" s="16" t="s">
        <v>243</v>
      </c>
      <c r="F206" s="16" t="s">
        <v>535</v>
      </c>
      <c r="G206" s="16" t="s">
        <v>535</v>
      </c>
      <c r="H206" s="16" t="s">
        <v>535</v>
      </c>
      <c r="I206" s="16" t="s">
        <v>535</v>
      </c>
      <c r="J206" s="5" t="s">
        <v>113</v>
      </c>
      <c r="K206" s="5" t="s">
        <v>652</v>
      </c>
      <c r="L206" s="5" t="s">
        <v>724</v>
      </c>
      <c r="M206" s="5" t="s">
        <v>241</v>
      </c>
      <c r="N206" s="5" t="s">
        <v>207</v>
      </c>
      <c r="O206" s="5">
        <v>1E-3</v>
      </c>
      <c r="P206" s="45"/>
      <c r="Q206" s="45"/>
      <c r="R206" s="152">
        <v>82</v>
      </c>
      <c r="S206" s="45"/>
      <c r="T206" s="45"/>
      <c r="U206" s="45"/>
      <c r="V206" s="53">
        <f t="shared" si="3"/>
        <v>82</v>
      </c>
      <c r="W206" s="22"/>
      <c r="X206" s="22"/>
      <c r="Y206" s="22"/>
      <c r="Z206" s="22"/>
      <c r="AA206" s="22"/>
      <c r="AB206" s="22"/>
      <c r="AC206" s="22"/>
      <c r="AD206" s="22"/>
      <c r="AE206" s="22"/>
      <c r="AF206" s="22"/>
      <c r="AG206" s="22"/>
      <c r="AH206" s="22"/>
      <c r="AI206" s="22"/>
      <c r="AJ206" s="22"/>
      <c r="AK206" s="22"/>
      <c r="AL206" s="22"/>
      <c r="AM206" s="22"/>
      <c r="AN206" s="22"/>
      <c r="AO206" s="22"/>
      <c r="AP206" s="22"/>
      <c r="AQ206" s="22"/>
      <c r="AR206" s="22"/>
      <c r="AS206" s="22"/>
      <c r="AT206" s="22"/>
      <c r="AU206" s="22"/>
      <c r="AV206" s="22" t="s">
        <v>243</v>
      </c>
      <c r="AW206" s="22"/>
      <c r="AX206" s="22"/>
      <c r="AY206" s="22"/>
      <c r="AZ206" s="22"/>
      <c r="BA206" s="5"/>
    </row>
    <row r="207" spans="1:53" ht="39.5" thickBot="1" x14ac:dyDescent="0.4">
      <c r="A207" s="16" t="s">
        <v>535</v>
      </c>
      <c r="B207" s="16" t="s">
        <v>535</v>
      </c>
      <c r="C207" s="16" t="s">
        <v>535</v>
      </c>
      <c r="D207" s="16" t="s">
        <v>535</v>
      </c>
      <c r="E207" s="16" t="s">
        <v>243</v>
      </c>
      <c r="F207" s="16" t="s">
        <v>535</v>
      </c>
      <c r="G207" s="16" t="s">
        <v>535</v>
      </c>
      <c r="H207" s="16" t="s">
        <v>535</v>
      </c>
      <c r="I207" s="16" t="s">
        <v>535</v>
      </c>
      <c r="J207" s="5" t="s">
        <v>1255</v>
      </c>
      <c r="K207" s="5" t="s">
        <v>652</v>
      </c>
      <c r="L207" s="5" t="s">
        <v>724</v>
      </c>
      <c r="M207" s="5" t="s">
        <v>241</v>
      </c>
      <c r="N207" s="5" t="s">
        <v>207</v>
      </c>
      <c r="O207" s="5">
        <v>1E-3</v>
      </c>
      <c r="P207" s="45"/>
      <c r="Q207" s="45"/>
      <c r="R207" s="152">
        <v>0</v>
      </c>
      <c r="S207" s="45"/>
      <c r="T207" s="45"/>
      <c r="U207" s="45"/>
      <c r="V207" s="53">
        <f t="shared" si="3"/>
        <v>0</v>
      </c>
      <c r="W207" s="22"/>
      <c r="X207" s="22"/>
      <c r="Y207" s="22"/>
      <c r="Z207" s="22"/>
      <c r="AA207" s="22"/>
      <c r="AB207" s="22"/>
      <c r="AC207" s="22"/>
      <c r="AD207" s="22"/>
      <c r="AE207" s="22"/>
      <c r="AF207" s="22"/>
      <c r="AG207" s="22"/>
      <c r="AH207" s="22"/>
      <c r="AI207" s="22"/>
      <c r="AJ207" s="22"/>
      <c r="AK207" s="22"/>
      <c r="AL207" s="22"/>
      <c r="AM207" s="22"/>
      <c r="AN207" s="22"/>
      <c r="AO207" s="22"/>
      <c r="AP207" s="22"/>
      <c r="AQ207" s="22"/>
      <c r="AR207" s="22" t="s">
        <v>243</v>
      </c>
      <c r="AS207" s="22"/>
      <c r="AT207" s="22"/>
      <c r="AU207" s="22"/>
      <c r="AV207" s="22" t="s">
        <v>243</v>
      </c>
      <c r="AW207" s="22"/>
      <c r="AX207" s="22"/>
      <c r="AY207" s="22"/>
      <c r="AZ207" s="22"/>
      <c r="BA207" s="5" t="s">
        <v>1392</v>
      </c>
    </row>
    <row r="208" spans="1:53" ht="39.5" thickBot="1" x14ac:dyDescent="0.4">
      <c r="A208" s="16" t="s">
        <v>535</v>
      </c>
      <c r="B208" s="16" t="s">
        <v>535</v>
      </c>
      <c r="C208" s="16" t="s">
        <v>535</v>
      </c>
      <c r="D208" s="16" t="s">
        <v>535</v>
      </c>
      <c r="E208" s="16" t="s">
        <v>243</v>
      </c>
      <c r="F208" s="16" t="s">
        <v>535</v>
      </c>
      <c r="G208" s="16" t="s">
        <v>535</v>
      </c>
      <c r="H208" s="16" t="s">
        <v>535</v>
      </c>
      <c r="I208" s="16" t="s">
        <v>535</v>
      </c>
      <c r="J208" s="5" t="s">
        <v>113</v>
      </c>
      <c r="K208" s="5" t="s">
        <v>657</v>
      </c>
      <c r="L208" s="5" t="s">
        <v>755</v>
      </c>
      <c r="M208" s="5" t="s">
        <v>241</v>
      </c>
      <c r="N208" s="5" t="s">
        <v>207</v>
      </c>
      <c r="O208" s="5">
        <v>1E-3</v>
      </c>
      <c r="P208" s="45"/>
      <c r="Q208" s="45"/>
      <c r="R208" s="152">
        <v>402</v>
      </c>
      <c r="S208" s="45"/>
      <c r="T208" s="45"/>
      <c r="U208" s="45"/>
      <c r="V208" s="53">
        <f t="shared" si="3"/>
        <v>402</v>
      </c>
      <c r="W208" s="22"/>
      <c r="X208" s="22"/>
      <c r="Y208" s="22"/>
      <c r="Z208" s="22"/>
      <c r="AA208" s="22"/>
      <c r="AB208" s="22"/>
      <c r="AC208" s="22"/>
      <c r="AD208" s="22"/>
      <c r="AE208" s="22"/>
      <c r="AF208" s="22"/>
      <c r="AG208" s="22"/>
      <c r="AH208" s="22"/>
      <c r="AI208" s="22"/>
      <c r="AJ208" s="22"/>
      <c r="AK208" s="22"/>
      <c r="AL208" s="22"/>
      <c r="AM208" s="22"/>
      <c r="AN208" s="22"/>
      <c r="AO208" s="22"/>
      <c r="AP208" s="22"/>
      <c r="AQ208" s="22"/>
      <c r="AR208" s="22"/>
      <c r="AS208" s="22"/>
      <c r="AT208" s="22"/>
      <c r="AU208" s="22"/>
      <c r="AV208" s="22" t="s">
        <v>243</v>
      </c>
      <c r="AW208" s="22" t="s">
        <v>243</v>
      </c>
      <c r="AX208" s="22"/>
      <c r="AY208" s="22"/>
      <c r="AZ208" s="22"/>
      <c r="BA208" s="5"/>
    </row>
    <row r="209" spans="1:53" ht="39.5" thickBot="1" x14ac:dyDescent="0.4">
      <c r="A209" s="16" t="s">
        <v>535</v>
      </c>
      <c r="B209" s="16" t="s">
        <v>535</v>
      </c>
      <c r="C209" s="16" t="s">
        <v>535</v>
      </c>
      <c r="D209" s="16" t="s">
        <v>535</v>
      </c>
      <c r="E209" s="16" t="s">
        <v>243</v>
      </c>
      <c r="F209" s="16" t="s">
        <v>535</v>
      </c>
      <c r="G209" s="16" t="s">
        <v>535</v>
      </c>
      <c r="H209" s="16" t="s">
        <v>535</v>
      </c>
      <c r="I209" s="16" t="s">
        <v>535</v>
      </c>
      <c r="J209" s="5" t="s">
        <v>113</v>
      </c>
      <c r="K209" s="5" t="s">
        <v>661</v>
      </c>
      <c r="L209" s="5" t="s">
        <v>695</v>
      </c>
      <c r="M209" s="5" t="s">
        <v>241</v>
      </c>
      <c r="N209" s="5" t="s">
        <v>207</v>
      </c>
      <c r="O209" s="5">
        <v>1E-3</v>
      </c>
      <c r="P209" s="45"/>
      <c r="Q209" s="45"/>
      <c r="R209" s="152">
        <v>1074</v>
      </c>
      <c r="S209" s="45"/>
      <c r="T209" s="45"/>
      <c r="U209" s="45"/>
      <c r="V209" s="53">
        <f t="shared" si="3"/>
        <v>1074</v>
      </c>
      <c r="W209" s="22"/>
      <c r="X209" s="22"/>
      <c r="Y209" s="22"/>
      <c r="Z209" s="22"/>
      <c r="AA209" s="22"/>
      <c r="AB209" s="22"/>
      <c r="AC209" s="22"/>
      <c r="AD209" s="22"/>
      <c r="AE209" s="22"/>
      <c r="AF209" s="22"/>
      <c r="AG209" s="22"/>
      <c r="AH209" s="22"/>
      <c r="AI209" s="22"/>
      <c r="AJ209" s="22"/>
      <c r="AK209" s="22"/>
      <c r="AL209" s="22"/>
      <c r="AM209" s="22"/>
      <c r="AN209" s="22"/>
      <c r="AO209" s="22"/>
      <c r="AP209" s="22"/>
      <c r="AQ209" s="22"/>
      <c r="AR209" s="22"/>
      <c r="AS209" s="22"/>
      <c r="AT209" s="22"/>
      <c r="AU209" s="22"/>
      <c r="AV209" s="22" t="s">
        <v>243</v>
      </c>
      <c r="AW209" s="22" t="s">
        <v>243</v>
      </c>
      <c r="AX209" s="22" t="s">
        <v>243</v>
      </c>
      <c r="AY209" s="22"/>
      <c r="AZ209" s="22"/>
      <c r="BA209" s="5"/>
    </row>
    <row r="210" spans="1:53" ht="39.5" thickBot="1" x14ac:dyDescent="0.4">
      <c r="A210" s="16" t="s">
        <v>535</v>
      </c>
      <c r="B210" s="16" t="s">
        <v>535</v>
      </c>
      <c r="C210" s="16" t="s">
        <v>535</v>
      </c>
      <c r="D210" s="16" t="s">
        <v>535</v>
      </c>
      <c r="E210" s="16" t="s">
        <v>243</v>
      </c>
      <c r="F210" s="16" t="s">
        <v>535</v>
      </c>
      <c r="G210" s="16" t="s">
        <v>535</v>
      </c>
      <c r="H210" s="16" t="s">
        <v>535</v>
      </c>
      <c r="I210" s="16" t="s">
        <v>535</v>
      </c>
      <c r="J210" s="5" t="s">
        <v>113</v>
      </c>
      <c r="K210" s="5" t="s">
        <v>664</v>
      </c>
      <c r="L210" s="5" t="s">
        <v>695</v>
      </c>
      <c r="M210" s="5" t="s">
        <v>241</v>
      </c>
      <c r="N210" s="5" t="s">
        <v>207</v>
      </c>
      <c r="O210" s="5">
        <v>1E-3</v>
      </c>
      <c r="P210" s="45"/>
      <c r="Q210" s="45"/>
      <c r="R210" s="152">
        <v>1074</v>
      </c>
      <c r="S210" s="45"/>
      <c r="T210" s="45"/>
      <c r="U210" s="45"/>
      <c r="V210" s="53">
        <f t="shared" si="3"/>
        <v>1074</v>
      </c>
      <c r="W210" s="22"/>
      <c r="X210" s="22"/>
      <c r="Y210" s="22"/>
      <c r="Z210" s="22"/>
      <c r="AA210" s="22"/>
      <c r="AB210" s="22"/>
      <c r="AC210" s="22"/>
      <c r="AD210" s="22"/>
      <c r="AE210" s="22"/>
      <c r="AF210" s="22"/>
      <c r="AG210" s="22"/>
      <c r="AH210" s="22"/>
      <c r="AI210" s="22"/>
      <c r="AJ210" s="22"/>
      <c r="AK210" s="22"/>
      <c r="AL210" s="22"/>
      <c r="AM210" s="22"/>
      <c r="AN210" s="22"/>
      <c r="AO210" s="22"/>
      <c r="AP210" s="22"/>
      <c r="AQ210" s="22"/>
      <c r="AR210" s="22"/>
      <c r="AS210" s="22"/>
      <c r="AT210" s="22"/>
      <c r="AU210" s="22"/>
      <c r="AV210" s="22" t="s">
        <v>243</v>
      </c>
      <c r="AW210" s="22" t="s">
        <v>243</v>
      </c>
      <c r="AX210" s="22" t="s">
        <v>243</v>
      </c>
      <c r="AY210" s="22"/>
      <c r="AZ210" s="22"/>
      <c r="BA210" s="5"/>
    </row>
    <row r="211" spans="1:53" ht="39.5" thickBot="1" x14ac:dyDescent="0.4">
      <c r="A211" s="16" t="s">
        <v>535</v>
      </c>
      <c r="B211" s="16" t="s">
        <v>535</v>
      </c>
      <c r="C211" s="16" t="s">
        <v>535</v>
      </c>
      <c r="D211" s="16" t="s">
        <v>535</v>
      </c>
      <c r="E211" s="16" t="s">
        <v>243</v>
      </c>
      <c r="F211" s="16" t="s">
        <v>535</v>
      </c>
      <c r="G211" s="16" t="s">
        <v>535</v>
      </c>
      <c r="H211" s="16" t="s">
        <v>535</v>
      </c>
      <c r="I211" s="16" t="s">
        <v>535</v>
      </c>
      <c r="J211" s="5" t="s">
        <v>113</v>
      </c>
      <c r="K211" s="5" t="s">
        <v>673</v>
      </c>
      <c r="L211" s="5" t="s">
        <v>695</v>
      </c>
      <c r="M211" s="5" t="s">
        <v>241</v>
      </c>
      <c r="N211" s="5" t="s">
        <v>207</v>
      </c>
      <c r="O211" s="5">
        <v>1E-3</v>
      </c>
      <c r="P211" s="45"/>
      <c r="Q211" s="45"/>
      <c r="R211" s="152">
        <v>1074</v>
      </c>
      <c r="S211" s="45"/>
      <c r="T211" s="45"/>
      <c r="U211" s="45"/>
      <c r="V211" s="53">
        <f t="shared" si="3"/>
        <v>1074</v>
      </c>
      <c r="W211" s="22"/>
      <c r="X211" s="22"/>
      <c r="Y211" s="22"/>
      <c r="Z211" s="22"/>
      <c r="AA211" s="22"/>
      <c r="AB211" s="22"/>
      <c r="AC211" s="22"/>
      <c r="AD211" s="22"/>
      <c r="AE211" s="22"/>
      <c r="AF211" s="22"/>
      <c r="AG211" s="22"/>
      <c r="AH211" s="22"/>
      <c r="AI211" s="22"/>
      <c r="AJ211" s="22"/>
      <c r="AK211" s="22"/>
      <c r="AL211" s="22"/>
      <c r="AM211" s="22"/>
      <c r="AN211" s="22"/>
      <c r="AO211" s="22"/>
      <c r="AP211" s="22"/>
      <c r="AQ211" s="22"/>
      <c r="AR211" s="22"/>
      <c r="AS211" s="22"/>
      <c r="AT211" s="22"/>
      <c r="AU211" s="22"/>
      <c r="AV211" s="22" t="s">
        <v>243</v>
      </c>
      <c r="AW211" s="22" t="s">
        <v>243</v>
      </c>
      <c r="AX211" s="22" t="s">
        <v>243</v>
      </c>
      <c r="AY211" s="22"/>
      <c r="AZ211" s="22"/>
      <c r="BA211" s="5"/>
    </row>
    <row r="212" spans="1:53" ht="39.5" thickBot="1" x14ac:dyDescent="0.4">
      <c r="A212" s="16" t="s">
        <v>535</v>
      </c>
      <c r="B212" s="16" t="s">
        <v>535</v>
      </c>
      <c r="C212" s="16" t="s">
        <v>535</v>
      </c>
      <c r="D212" s="16" t="s">
        <v>535</v>
      </c>
      <c r="E212" s="16" t="s">
        <v>243</v>
      </c>
      <c r="F212" s="16" t="s">
        <v>535</v>
      </c>
      <c r="G212" s="16" t="s">
        <v>535</v>
      </c>
      <c r="H212" s="16" t="s">
        <v>535</v>
      </c>
      <c r="I212" s="16" t="s">
        <v>535</v>
      </c>
      <c r="J212" s="14" t="s">
        <v>113</v>
      </c>
      <c r="K212" s="5" t="s">
        <v>678</v>
      </c>
      <c r="L212" s="5" t="s">
        <v>695</v>
      </c>
      <c r="M212" s="5" t="s">
        <v>241</v>
      </c>
      <c r="N212" s="5" t="s">
        <v>207</v>
      </c>
      <c r="O212" s="5">
        <v>1E-3</v>
      </c>
      <c r="P212" s="143"/>
      <c r="Q212" s="45"/>
      <c r="R212" s="152">
        <v>1074</v>
      </c>
      <c r="S212" s="45"/>
      <c r="T212" s="45"/>
      <c r="U212" s="45"/>
      <c r="V212" s="53">
        <f t="shared" si="3"/>
        <v>1074</v>
      </c>
      <c r="W212" s="22"/>
      <c r="X212" s="22"/>
      <c r="Y212" s="22"/>
      <c r="Z212" s="22"/>
      <c r="AA212" s="22"/>
      <c r="AB212" s="22"/>
      <c r="AC212" s="22"/>
      <c r="AD212" s="22"/>
      <c r="AE212" s="22"/>
      <c r="AF212" s="22"/>
      <c r="AG212" s="22"/>
      <c r="AH212" s="22"/>
      <c r="AI212" s="22"/>
      <c r="AJ212" s="22"/>
      <c r="AK212" s="22"/>
      <c r="AL212" s="22"/>
      <c r="AM212" s="22"/>
      <c r="AN212" s="22"/>
      <c r="AO212" s="22"/>
      <c r="AP212" s="22"/>
      <c r="AQ212" s="22"/>
      <c r="AR212" s="22"/>
      <c r="AS212" s="22"/>
      <c r="AT212" s="22"/>
      <c r="AU212" s="22"/>
      <c r="AV212" s="22" t="s">
        <v>243</v>
      </c>
      <c r="AW212" s="22" t="s">
        <v>243</v>
      </c>
      <c r="AX212" s="22" t="s">
        <v>243</v>
      </c>
      <c r="AY212" s="22"/>
      <c r="AZ212" s="22"/>
      <c r="BA212" s="5"/>
    </row>
    <row r="213" spans="1:53" ht="15" thickBot="1" x14ac:dyDescent="0.4">
      <c r="A213" s="16" t="s">
        <v>243</v>
      </c>
      <c r="B213" s="16" t="s">
        <v>535</v>
      </c>
      <c r="C213" s="16" t="s">
        <v>535</v>
      </c>
      <c r="D213" s="16" t="s">
        <v>535</v>
      </c>
      <c r="E213" s="16" t="s">
        <v>535</v>
      </c>
      <c r="F213" s="16" t="s">
        <v>535</v>
      </c>
      <c r="G213" s="16" t="s">
        <v>535</v>
      </c>
      <c r="H213" s="16" t="s">
        <v>535</v>
      </c>
      <c r="I213" s="140" t="s">
        <v>535</v>
      </c>
      <c r="J213" s="141" t="s">
        <v>204</v>
      </c>
      <c r="K213" s="5" t="s">
        <v>875</v>
      </c>
      <c r="L213" s="5"/>
      <c r="M213" s="5" t="s">
        <v>207</v>
      </c>
      <c r="N213" s="5"/>
      <c r="O213" s="144"/>
      <c r="P213" s="485">
        <v>12400</v>
      </c>
      <c r="Q213" s="45"/>
      <c r="R213" s="45"/>
      <c r="S213" s="45"/>
      <c r="T213" s="45"/>
      <c r="U213" s="45"/>
      <c r="V213" s="53">
        <f t="shared" ref="V213:V276" si="4">ROUND(SUM(P213:U213),3)</f>
        <v>12400</v>
      </c>
      <c r="W213" s="22"/>
      <c r="X213" s="22" t="s">
        <v>243</v>
      </c>
      <c r="Y213" s="22"/>
      <c r="Z213" s="22"/>
      <c r="AA213" s="22"/>
      <c r="AB213" s="22"/>
      <c r="AC213" s="22"/>
      <c r="AD213" s="22"/>
      <c r="AE213" s="22"/>
      <c r="AF213" s="22"/>
      <c r="AG213" s="22"/>
      <c r="AH213" s="22"/>
      <c r="AI213" s="22"/>
      <c r="AJ213" s="22"/>
      <c r="AK213" s="22"/>
      <c r="AL213" s="22"/>
      <c r="AM213" s="22"/>
      <c r="AN213" s="22"/>
      <c r="AO213" s="22"/>
      <c r="AP213" s="22"/>
      <c r="AQ213" s="22"/>
      <c r="AR213" s="22"/>
      <c r="AS213" s="22"/>
      <c r="AT213" s="22"/>
      <c r="AU213" s="22"/>
      <c r="AV213" s="22"/>
      <c r="AW213" s="22"/>
      <c r="AX213" s="22"/>
      <c r="AY213" s="22"/>
      <c r="AZ213" s="22"/>
      <c r="BA213" s="5"/>
    </row>
    <row r="214" spans="1:53" ht="15" thickBot="1" x14ac:dyDescent="0.4">
      <c r="A214" s="16" t="s">
        <v>243</v>
      </c>
      <c r="B214" s="16" t="s">
        <v>535</v>
      </c>
      <c r="C214" s="16" t="s">
        <v>535</v>
      </c>
      <c r="D214" s="16" t="s">
        <v>535</v>
      </c>
      <c r="E214" s="16" t="s">
        <v>535</v>
      </c>
      <c r="F214" s="16" t="s">
        <v>535</v>
      </c>
      <c r="G214" s="16" t="s">
        <v>535</v>
      </c>
      <c r="H214" s="16" t="s">
        <v>535</v>
      </c>
      <c r="I214" s="140" t="s">
        <v>535</v>
      </c>
      <c r="J214" s="141" t="s">
        <v>204</v>
      </c>
      <c r="K214" s="5" t="s">
        <v>205</v>
      </c>
      <c r="L214" s="5"/>
      <c r="M214" s="5" t="s">
        <v>207</v>
      </c>
      <c r="N214" s="5"/>
      <c r="O214" s="144"/>
      <c r="P214" s="486">
        <v>677</v>
      </c>
      <c r="Q214" s="45"/>
      <c r="R214" s="45"/>
      <c r="S214" s="45"/>
      <c r="T214" s="45"/>
      <c r="U214" s="45"/>
      <c r="V214" s="53">
        <f t="shared" si="4"/>
        <v>677</v>
      </c>
      <c r="W214" s="22"/>
      <c r="X214" s="22" t="s">
        <v>243</v>
      </c>
      <c r="Y214" s="22"/>
      <c r="Z214" s="22"/>
      <c r="AA214" s="22"/>
      <c r="AB214" s="22"/>
      <c r="AC214" s="22"/>
      <c r="AD214" s="22"/>
      <c r="AE214" s="22"/>
      <c r="AF214" s="22"/>
      <c r="AG214" s="22"/>
      <c r="AH214" s="22"/>
      <c r="AI214" s="22"/>
      <c r="AJ214" s="22"/>
      <c r="AK214" s="22"/>
      <c r="AL214" s="22"/>
      <c r="AM214" s="22"/>
      <c r="AN214" s="22"/>
      <c r="AO214" s="22"/>
      <c r="AP214" s="22"/>
      <c r="AQ214" s="22"/>
      <c r="AR214" s="22"/>
      <c r="AS214" s="22"/>
      <c r="AT214" s="22"/>
      <c r="AU214" s="22"/>
      <c r="AV214" s="22"/>
      <c r="AW214" s="22"/>
      <c r="AX214" s="22"/>
      <c r="AY214" s="22"/>
      <c r="AZ214" s="22"/>
      <c r="BA214" s="5"/>
    </row>
    <row r="215" spans="1:53" ht="15" thickBot="1" x14ac:dyDescent="0.4">
      <c r="A215" s="16" t="s">
        <v>243</v>
      </c>
      <c r="B215" s="16" t="s">
        <v>535</v>
      </c>
      <c r="C215" s="16" t="s">
        <v>535</v>
      </c>
      <c r="D215" s="16" t="s">
        <v>535</v>
      </c>
      <c r="E215" s="16" t="s">
        <v>535</v>
      </c>
      <c r="F215" s="16" t="s">
        <v>535</v>
      </c>
      <c r="G215" s="16" t="s">
        <v>535</v>
      </c>
      <c r="H215" s="16" t="s">
        <v>535</v>
      </c>
      <c r="I215" s="140" t="s">
        <v>535</v>
      </c>
      <c r="J215" s="141" t="s">
        <v>204</v>
      </c>
      <c r="K215" s="5" t="s">
        <v>878</v>
      </c>
      <c r="L215" s="5"/>
      <c r="M215" s="5" t="s">
        <v>207</v>
      </c>
      <c r="N215" s="5"/>
      <c r="O215" s="144"/>
      <c r="P215" s="486">
        <v>116</v>
      </c>
      <c r="Q215" s="45"/>
      <c r="R215" s="45"/>
      <c r="S215" s="45"/>
      <c r="T215" s="45"/>
      <c r="U215" s="45"/>
      <c r="V215" s="53">
        <f t="shared" si="4"/>
        <v>116</v>
      </c>
      <c r="W215" s="22"/>
      <c r="X215" s="22" t="s">
        <v>243</v>
      </c>
      <c r="Y215" s="22"/>
      <c r="Z215" s="22"/>
      <c r="AA215" s="22"/>
      <c r="AB215" s="22"/>
      <c r="AC215" s="22"/>
      <c r="AD215" s="22"/>
      <c r="AE215" s="22"/>
      <c r="AF215" s="22"/>
      <c r="AG215" s="22"/>
      <c r="AH215" s="22"/>
      <c r="AI215" s="22"/>
      <c r="AJ215" s="22"/>
      <c r="AK215" s="22"/>
      <c r="AL215" s="22"/>
      <c r="AM215" s="22"/>
      <c r="AN215" s="22"/>
      <c r="AO215" s="22"/>
      <c r="AP215" s="22"/>
      <c r="AQ215" s="22"/>
      <c r="AR215" s="22"/>
      <c r="AS215" s="22"/>
      <c r="AT215" s="22"/>
      <c r="AU215" s="22"/>
      <c r="AV215" s="22"/>
      <c r="AW215" s="22"/>
      <c r="AX215" s="22"/>
      <c r="AY215" s="22"/>
      <c r="AZ215" s="22"/>
      <c r="BA215" s="5"/>
    </row>
    <row r="216" spans="1:53" ht="15" thickBot="1" x14ac:dyDescent="0.4">
      <c r="A216" s="16" t="s">
        <v>243</v>
      </c>
      <c r="B216" s="16" t="s">
        <v>535</v>
      </c>
      <c r="C216" s="16" t="s">
        <v>535</v>
      </c>
      <c r="D216" s="16" t="s">
        <v>535</v>
      </c>
      <c r="E216" s="16" t="s">
        <v>535</v>
      </c>
      <c r="F216" s="16" t="s">
        <v>535</v>
      </c>
      <c r="G216" s="16" t="s">
        <v>535</v>
      </c>
      <c r="H216" s="16" t="s">
        <v>535</v>
      </c>
      <c r="I216" s="140" t="s">
        <v>535</v>
      </c>
      <c r="J216" s="141" t="s">
        <v>204</v>
      </c>
      <c r="K216" s="5" t="s">
        <v>880</v>
      </c>
      <c r="L216" s="5"/>
      <c r="M216" s="5" t="s">
        <v>207</v>
      </c>
      <c r="N216" s="5"/>
      <c r="O216" s="144"/>
      <c r="P216" s="486">
        <v>3170</v>
      </c>
      <c r="Q216" s="45"/>
      <c r="R216" s="45"/>
      <c r="S216" s="45"/>
      <c r="T216" s="45"/>
      <c r="U216" s="45"/>
      <c r="V216" s="53">
        <f t="shared" si="4"/>
        <v>3170</v>
      </c>
      <c r="W216" s="22"/>
      <c r="X216" s="22" t="s">
        <v>243</v>
      </c>
      <c r="Y216" s="22"/>
      <c r="Z216" s="22"/>
      <c r="AA216" s="22"/>
      <c r="AB216" s="22"/>
      <c r="AC216" s="22"/>
      <c r="AD216" s="22"/>
      <c r="AE216" s="22"/>
      <c r="AF216" s="22"/>
      <c r="AG216" s="22"/>
      <c r="AH216" s="22"/>
      <c r="AI216" s="22"/>
      <c r="AJ216" s="22"/>
      <c r="AK216" s="22"/>
      <c r="AL216" s="22"/>
      <c r="AM216" s="22"/>
      <c r="AN216" s="22"/>
      <c r="AO216" s="22"/>
      <c r="AP216" s="22"/>
      <c r="AQ216" s="22"/>
      <c r="AR216" s="22"/>
      <c r="AS216" s="22"/>
      <c r="AT216" s="22"/>
      <c r="AU216" s="22"/>
      <c r="AV216" s="22"/>
      <c r="AW216" s="22"/>
      <c r="AX216" s="22"/>
      <c r="AY216" s="22"/>
      <c r="AZ216" s="22"/>
      <c r="BA216" s="5"/>
    </row>
    <row r="217" spans="1:53" ht="15" thickBot="1" x14ac:dyDescent="0.4">
      <c r="A217" s="16" t="s">
        <v>243</v>
      </c>
      <c r="B217" s="16" t="s">
        <v>535</v>
      </c>
      <c r="C217" s="16" t="s">
        <v>535</v>
      </c>
      <c r="D217" s="16" t="s">
        <v>535</v>
      </c>
      <c r="E217" s="16" t="s">
        <v>535</v>
      </c>
      <c r="F217" s="16" t="s">
        <v>535</v>
      </c>
      <c r="G217" s="16" t="s">
        <v>535</v>
      </c>
      <c r="H217" s="16" t="s">
        <v>535</v>
      </c>
      <c r="I217" s="140" t="s">
        <v>535</v>
      </c>
      <c r="J217" s="141" t="s">
        <v>204</v>
      </c>
      <c r="K217" s="5" t="s">
        <v>882</v>
      </c>
      <c r="L217" s="5"/>
      <c r="M217" s="5" t="s">
        <v>207</v>
      </c>
      <c r="N217" s="5"/>
      <c r="O217" s="144"/>
      <c r="P217" s="486">
        <v>1120</v>
      </c>
      <c r="Q217" s="45"/>
      <c r="R217" s="45"/>
      <c r="S217" s="45"/>
      <c r="T217" s="45"/>
      <c r="U217" s="45"/>
      <c r="V217" s="53">
        <f t="shared" si="4"/>
        <v>1120</v>
      </c>
      <c r="W217" s="22"/>
      <c r="X217" s="22" t="s">
        <v>243</v>
      </c>
      <c r="Y217" s="22"/>
      <c r="Z217" s="22"/>
      <c r="AA217" s="22"/>
      <c r="AB217" s="22"/>
      <c r="AC217" s="22"/>
      <c r="AD217" s="22"/>
      <c r="AE217" s="22"/>
      <c r="AF217" s="22"/>
      <c r="AG217" s="22"/>
      <c r="AH217" s="22"/>
      <c r="AI217" s="22"/>
      <c r="AJ217" s="22"/>
      <c r="AK217" s="22"/>
      <c r="AL217" s="22"/>
      <c r="AM217" s="22"/>
      <c r="AN217" s="22"/>
      <c r="AO217" s="22"/>
      <c r="AP217" s="22"/>
      <c r="AQ217" s="22"/>
      <c r="AR217" s="22"/>
      <c r="AS217" s="22"/>
      <c r="AT217" s="22"/>
      <c r="AU217" s="22"/>
      <c r="AV217" s="22"/>
      <c r="AW217" s="22"/>
      <c r="AX217" s="22"/>
      <c r="AY217" s="22"/>
      <c r="AZ217" s="22"/>
      <c r="BA217" s="5"/>
    </row>
    <row r="218" spans="1:53" ht="15" thickBot="1" x14ac:dyDescent="0.4">
      <c r="A218" s="16" t="s">
        <v>243</v>
      </c>
      <c r="B218" s="16" t="s">
        <v>535</v>
      </c>
      <c r="C218" s="16" t="s">
        <v>535</v>
      </c>
      <c r="D218" s="16" t="s">
        <v>535</v>
      </c>
      <c r="E218" s="16" t="s">
        <v>535</v>
      </c>
      <c r="F218" s="16" t="s">
        <v>535</v>
      </c>
      <c r="G218" s="16" t="s">
        <v>535</v>
      </c>
      <c r="H218" s="16" t="s">
        <v>535</v>
      </c>
      <c r="I218" s="140" t="s">
        <v>535</v>
      </c>
      <c r="J218" s="141" t="s">
        <v>204</v>
      </c>
      <c r="K218" s="5" t="s">
        <v>885</v>
      </c>
      <c r="L218" s="5"/>
      <c r="M218" s="5" t="s">
        <v>207</v>
      </c>
      <c r="N218" s="5"/>
      <c r="O218" s="144"/>
      <c r="P218" s="486">
        <v>1300</v>
      </c>
      <c r="Q218" s="45"/>
      <c r="R218" s="45"/>
      <c r="S218" s="45"/>
      <c r="T218" s="45"/>
      <c r="U218" s="45"/>
      <c r="V218" s="53">
        <f t="shared" si="4"/>
        <v>1300</v>
      </c>
      <c r="W218" s="22"/>
      <c r="X218" s="22" t="s">
        <v>243</v>
      </c>
      <c r="Y218" s="22"/>
      <c r="Z218" s="22"/>
      <c r="AA218" s="22"/>
      <c r="AB218" s="22"/>
      <c r="AC218" s="22"/>
      <c r="AD218" s="22"/>
      <c r="AE218" s="22"/>
      <c r="AF218" s="22"/>
      <c r="AG218" s="22"/>
      <c r="AH218" s="22"/>
      <c r="AI218" s="22"/>
      <c r="AJ218" s="22"/>
      <c r="AK218" s="22"/>
      <c r="AL218" s="22"/>
      <c r="AM218" s="22"/>
      <c r="AN218" s="22"/>
      <c r="AO218" s="22"/>
      <c r="AP218" s="22"/>
      <c r="AQ218" s="22"/>
      <c r="AR218" s="22"/>
      <c r="AS218" s="22"/>
      <c r="AT218" s="22"/>
      <c r="AU218" s="22"/>
      <c r="AV218" s="22"/>
      <c r="AW218" s="22"/>
      <c r="AX218" s="22"/>
      <c r="AY218" s="22"/>
      <c r="AZ218" s="22"/>
      <c r="BA218" s="5"/>
    </row>
    <row r="219" spans="1:53" ht="15" thickBot="1" x14ac:dyDescent="0.4">
      <c r="A219" s="16" t="s">
        <v>243</v>
      </c>
      <c r="B219" s="16" t="s">
        <v>535</v>
      </c>
      <c r="C219" s="16" t="s">
        <v>535</v>
      </c>
      <c r="D219" s="16" t="s">
        <v>535</v>
      </c>
      <c r="E219" s="16" t="s">
        <v>535</v>
      </c>
      <c r="F219" s="16" t="s">
        <v>535</v>
      </c>
      <c r="G219" s="16" t="s">
        <v>535</v>
      </c>
      <c r="H219" s="16" t="s">
        <v>535</v>
      </c>
      <c r="I219" s="140" t="s">
        <v>535</v>
      </c>
      <c r="J219" s="141" t="s">
        <v>204</v>
      </c>
      <c r="K219" s="5" t="s">
        <v>888</v>
      </c>
      <c r="L219" s="5"/>
      <c r="M219" s="5" t="s">
        <v>207</v>
      </c>
      <c r="N219" s="5"/>
      <c r="O219" s="144"/>
      <c r="P219" s="486">
        <v>328</v>
      </c>
      <c r="Q219" s="45"/>
      <c r="R219" s="45"/>
      <c r="S219" s="45"/>
      <c r="T219" s="45"/>
      <c r="U219" s="45"/>
      <c r="V219" s="53">
        <f t="shared" si="4"/>
        <v>328</v>
      </c>
      <c r="W219" s="22"/>
      <c r="X219" s="22" t="s">
        <v>243</v>
      </c>
      <c r="Y219" s="22"/>
      <c r="Z219" s="22"/>
      <c r="AA219" s="22"/>
      <c r="AB219" s="22"/>
      <c r="AC219" s="22"/>
      <c r="AD219" s="22"/>
      <c r="AE219" s="22"/>
      <c r="AF219" s="22"/>
      <c r="AG219" s="22"/>
      <c r="AH219" s="22"/>
      <c r="AI219" s="22"/>
      <c r="AJ219" s="22"/>
      <c r="AK219" s="22"/>
      <c r="AL219" s="22"/>
      <c r="AM219" s="22"/>
      <c r="AN219" s="22"/>
      <c r="AO219" s="22"/>
      <c r="AP219" s="22"/>
      <c r="AQ219" s="22"/>
      <c r="AR219" s="22"/>
      <c r="AS219" s="22"/>
      <c r="AT219" s="22"/>
      <c r="AU219" s="22"/>
      <c r="AV219" s="22"/>
      <c r="AW219" s="22"/>
      <c r="AX219" s="22"/>
      <c r="AY219" s="22"/>
      <c r="AZ219" s="22"/>
      <c r="BA219" s="5"/>
    </row>
    <row r="220" spans="1:53" ht="15" thickBot="1" x14ac:dyDescent="0.4">
      <c r="A220" s="16" t="s">
        <v>243</v>
      </c>
      <c r="B220" s="16" t="s">
        <v>535</v>
      </c>
      <c r="C220" s="16" t="s">
        <v>535</v>
      </c>
      <c r="D220" s="16" t="s">
        <v>535</v>
      </c>
      <c r="E220" s="16" t="s">
        <v>535</v>
      </c>
      <c r="F220" s="16" t="s">
        <v>535</v>
      </c>
      <c r="G220" s="16" t="s">
        <v>535</v>
      </c>
      <c r="H220" s="16" t="s">
        <v>535</v>
      </c>
      <c r="I220" s="140" t="s">
        <v>535</v>
      </c>
      <c r="J220" s="141" t="s">
        <v>204</v>
      </c>
      <c r="K220" s="5" t="s">
        <v>891</v>
      </c>
      <c r="L220" s="5"/>
      <c r="M220" s="5" t="s">
        <v>207</v>
      </c>
      <c r="N220" s="5"/>
      <c r="O220" s="144"/>
      <c r="P220" s="486">
        <v>4800</v>
      </c>
      <c r="Q220" s="45"/>
      <c r="R220" s="45"/>
      <c r="S220" s="45"/>
      <c r="T220" s="45"/>
      <c r="U220" s="45"/>
      <c r="V220" s="53">
        <f t="shared" si="4"/>
        <v>4800</v>
      </c>
      <c r="W220" s="22"/>
      <c r="X220" s="22" t="s">
        <v>243</v>
      </c>
      <c r="Y220" s="22"/>
      <c r="Z220" s="22"/>
      <c r="AA220" s="22"/>
      <c r="AB220" s="22"/>
      <c r="AC220" s="22"/>
      <c r="AD220" s="22"/>
      <c r="AE220" s="22"/>
      <c r="AF220" s="22"/>
      <c r="AG220" s="22"/>
      <c r="AH220" s="22"/>
      <c r="AI220" s="22"/>
      <c r="AJ220" s="22"/>
      <c r="AK220" s="22"/>
      <c r="AL220" s="22"/>
      <c r="AM220" s="22"/>
      <c r="AN220" s="22"/>
      <c r="AO220" s="22"/>
      <c r="AP220" s="22"/>
      <c r="AQ220" s="22"/>
      <c r="AR220" s="22"/>
      <c r="AS220" s="22"/>
      <c r="AT220" s="22"/>
      <c r="AU220" s="22"/>
      <c r="AV220" s="22"/>
      <c r="AW220" s="22"/>
      <c r="AX220" s="22"/>
      <c r="AY220" s="22"/>
      <c r="AZ220" s="22"/>
      <c r="BA220" s="5"/>
    </row>
    <row r="221" spans="1:53" ht="15" thickBot="1" x14ac:dyDescent="0.4">
      <c r="A221" s="16" t="s">
        <v>243</v>
      </c>
      <c r="B221" s="16" t="s">
        <v>535</v>
      </c>
      <c r="C221" s="16" t="s">
        <v>535</v>
      </c>
      <c r="D221" s="16" t="s">
        <v>535</v>
      </c>
      <c r="E221" s="16" t="s">
        <v>535</v>
      </c>
      <c r="F221" s="16" t="s">
        <v>535</v>
      </c>
      <c r="G221" s="16" t="s">
        <v>535</v>
      </c>
      <c r="H221" s="16" t="s">
        <v>535</v>
      </c>
      <c r="I221" s="140" t="s">
        <v>535</v>
      </c>
      <c r="J221" s="141" t="s">
        <v>204</v>
      </c>
      <c r="K221" s="5" t="s">
        <v>894</v>
      </c>
      <c r="L221" s="5"/>
      <c r="M221" s="5" t="s">
        <v>207</v>
      </c>
      <c r="N221" s="5"/>
      <c r="O221" s="144"/>
      <c r="P221" s="486">
        <v>138</v>
      </c>
      <c r="Q221" s="45"/>
      <c r="R221" s="45"/>
      <c r="S221" s="45"/>
      <c r="T221" s="45"/>
      <c r="U221" s="45"/>
      <c r="V221" s="53">
        <f t="shared" si="4"/>
        <v>138</v>
      </c>
      <c r="W221" s="22"/>
      <c r="X221" s="22" t="s">
        <v>243</v>
      </c>
      <c r="Y221" s="22"/>
      <c r="Z221" s="22"/>
      <c r="AA221" s="22"/>
      <c r="AB221" s="22"/>
      <c r="AC221" s="22"/>
      <c r="AD221" s="22"/>
      <c r="AE221" s="22"/>
      <c r="AF221" s="22"/>
      <c r="AG221" s="22"/>
      <c r="AH221" s="22"/>
      <c r="AI221" s="22"/>
      <c r="AJ221" s="22"/>
      <c r="AK221" s="22"/>
      <c r="AL221" s="22"/>
      <c r="AM221" s="22"/>
      <c r="AN221" s="22"/>
      <c r="AO221" s="22"/>
      <c r="AP221" s="22"/>
      <c r="AQ221" s="22"/>
      <c r="AR221" s="22"/>
      <c r="AS221" s="22"/>
      <c r="AT221" s="22"/>
      <c r="AU221" s="22"/>
      <c r="AV221" s="22"/>
      <c r="AW221" s="22"/>
      <c r="AX221" s="22"/>
      <c r="AY221" s="22"/>
      <c r="AZ221" s="22"/>
      <c r="BA221" s="5"/>
    </row>
    <row r="222" spans="1:53" ht="15" thickBot="1" x14ac:dyDescent="0.4">
      <c r="A222" s="16" t="s">
        <v>243</v>
      </c>
      <c r="B222" s="16" t="s">
        <v>535</v>
      </c>
      <c r="C222" s="16" t="s">
        <v>535</v>
      </c>
      <c r="D222" s="16" t="s">
        <v>535</v>
      </c>
      <c r="E222" s="16" t="s">
        <v>535</v>
      </c>
      <c r="F222" s="16" t="s">
        <v>535</v>
      </c>
      <c r="G222" s="16" t="s">
        <v>535</v>
      </c>
      <c r="H222" s="16" t="s">
        <v>535</v>
      </c>
      <c r="I222" s="140" t="s">
        <v>535</v>
      </c>
      <c r="J222" s="141" t="s">
        <v>204</v>
      </c>
      <c r="K222" s="5" t="s">
        <v>897</v>
      </c>
      <c r="L222" s="5"/>
      <c r="M222" s="5" t="s">
        <v>207</v>
      </c>
      <c r="N222" s="5"/>
      <c r="O222" s="144"/>
      <c r="P222" s="486">
        <v>3350</v>
      </c>
      <c r="Q222" s="45"/>
      <c r="R222" s="45"/>
      <c r="S222" s="45"/>
      <c r="T222" s="45"/>
      <c r="U222" s="45"/>
      <c r="V222" s="53">
        <f t="shared" si="4"/>
        <v>3350</v>
      </c>
      <c r="W222" s="22"/>
      <c r="X222" s="22" t="s">
        <v>243</v>
      </c>
      <c r="Y222" s="22"/>
      <c r="Z222" s="22"/>
      <c r="AA222" s="22"/>
      <c r="AB222" s="22"/>
      <c r="AC222" s="22"/>
      <c r="AD222" s="22"/>
      <c r="AE222" s="22"/>
      <c r="AF222" s="22"/>
      <c r="AG222" s="22"/>
      <c r="AH222" s="22"/>
      <c r="AI222" s="22"/>
      <c r="AJ222" s="22"/>
      <c r="AK222" s="22"/>
      <c r="AL222" s="22"/>
      <c r="AM222" s="22"/>
      <c r="AN222" s="22"/>
      <c r="AO222" s="22"/>
      <c r="AP222" s="22"/>
      <c r="AQ222" s="22"/>
      <c r="AR222" s="22"/>
      <c r="AS222" s="22"/>
      <c r="AT222" s="22"/>
      <c r="AU222" s="22"/>
      <c r="AV222" s="22"/>
      <c r="AW222" s="22"/>
      <c r="AX222" s="22"/>
      <c r="AY222" s="22"/>
      <c r="AZ222" s="22"/>
      <c r="BA222" s="5"/>
    </row>
    <row r="223" spans="1:53" ht="15" thickBot="1" x14ac:dyDescent="0.4">
      <c r="A223" s="16" t="s">
        <v>243</v>
      </c>
      <c r="B223" s="16" t="s">
        <v>535</v>
      </c>
      <c r="C223" s="16" t="s">
        <v>535</v>
      </c>
      <c r="D223" s="16" t="s">
        <v>535</v>
      </c>
      <c r="E223" s="16" t="s">
        <v>535</v>
      </c>
      <c r="F223" s="16" t="s">
        <v>535</v>
      </c>
      <c r="G223" s="16" t="s">
        <v>535</v>
      </c>
      <c r="H223" s="16" t="s">
        <v>535</v>
      </c>
      <c r="I223" s="140" t="s">
        <v>535</v>
      </c>
      <c r="J223" s="141" t="s">
        <v>204</v>
      </c>
      <c r="K223" s="5" t="s">
        <v>900</v>
      </c>
      <c r="L223" s="5"/>
      <c r="M223" s="5" t="s">
        <v>207</v>
      </c>
      <c r="N223" s="5"/>
      <c r="O223" s="144"/>
      <c r="P223" s="486">
        <v>8060</v>
      </c>
      <c r="Q223" s="45"/>
      <c r="R223" s="45"/>
      <c r="S223" s="45"/>
      <c r="T223" s="45"/>
      <c r="U223" s="45"/>
      <c r="V223" s="53">
        <f t="shared" si="4"/>
        <v>8060</v>
      </c>
      <c r="W223" s="22"/>
      <c r="X223" s="22" t="s">
        <v>243</v>
      </c>
      <c r="Y223" s="22"/>
      <c r="Z223" s="22"/>
      <c r="AA223" s="22"/>
      <c r="AB223" s="22"/>
      <c r="AC223" s="22"/>
      <c r="AD223" s="22"/>
      <c r="AE223" s="22"/>
      <c r="AF223" s="22"/>
      <c r="AG223" s="22"/>
      <c r="AH223" s="22"/>
      <c r="AI223" s="22"/>
      <c r="AJ223" s="22"/>
      <c r="AK223" s="22"/>
      <c r="AL223" s="22"/>
      <c r="AM223" s="22"/>
      <c r="AN223" s="22"/>
      <c r="AO223" s="22"/>
      <c r="AP223" s="22"/>
      <c r="AQ223" s="22"/>
      <c r="AR223" s="22"/>
      <c r="AS223" s="22"/>
      <c r="AT223" s="22"/>
      <c r="AU223" s="22"/>
      <c r="AV223" s="22"/>
      <c r="AW223" s="22"/>
      <c r="AX223" s="22"/>
      <c r="AY223" s="22"/>
      <c r="AZ223" s="22"/>
      <c r="BA223" s="5"/>
    </row>
    <row r="224" spans="1:53" ht="15" thickBot="1" x14ac:dyDescent="0.4">
      <c r="A224" s="16" t="s">
        <v>243</v>
      </c>
      <c r="B224" s="16" t="s">
        <v>535</v>
      </c>
      <c r="C224" s="16" t="s">
        <v>535</v>
      </c>
      <c r="D224" s="16" t="s">
        <v>535</v>
      </c>
      <c r="E224" s="16" t="s">
        <v>535</v>
      </c>
      <c r="F224" s="16" t="s">
        <v>535</v>
      </c>
      <c r="G224" s="16" t="s">
        <v>535</v>
      </c>
      <c r="H224" s="16" t="s">
        <v>535</v>
      </c>
      <c r="I224" s="140" t="s">
        <v>535</v>
      </c>
      <c r="J224" s="141" t="s">
        <v>204</v>
      </c>
      <c r="K224" s="5" t="s">
        <v>902</v>
      </c>
      <c r="L224" s="5"/>
      <c r="M224" s="5" t="s">
        <v>207</v>
      </c>
      <c r="N224" s="5"/>
      <c r="O224" s="144"/>
      <c r="P224" s="486">
        <v>858</v>
      </c>
      <c r="Q224" s="45"/>
      <c r="R224" s="45"/>
      <c r="S224" s="45"/>
      <c r="T224" s="45"/>
      <c r="U224" s="45"/>
      <c r="V224" s="53">
        <f t="shared" si="4"/>
        <v>858</v>
      </c>
      <c r="W224" s="22"/>
      <c r="X224" s="22" t="s">
        <v>243</v>
      </c>
      <c r="Y224" s="22"/>
      <c r="Z224" s="22"/>
      <c r="AA224" s="22"/>
      <c r="AB224" s="22"/>
      <c r="AC224" s="22"/>
      <c r="AD224" s="22"/>
      <c r="AE224" s="22"/>
      <c r="AF224" s="22"/>
      <c r="AG224" s="22"/>
      <c r="AH224" s="22"/>
      <c r="AI224" s="22"/>
      <c r="AJ224" s="22"/>
      <c r="AK224" s="22"/>
      <c r="AL224" s="22"/>
      <c r="AM224" s="22"/>
      <c r="AN224" s="22"/>
      <c r="AO224" s="22"/>
      <c r="AP224" s="22"/>
      <c r="AQ224" s="22"/>
      <c r="AR224" s="22"/>
      <c r="AS224" s="22"/>
      <c r="AT224" s="22"/>
      <c r="AU224" s="22"/>
      <c r="AV224" s="22"/>
      <c r="AW224" s="22"/>
      <c r="AX224" s="22"/>
      <c r="AY224" s="22"/>
      <c r="AZ224" s="22"/>
      <c r="BA224" s="5"/>
    </row>
    <row r="225" spans="1:53" ht="15" thickBot="1" x14ac:dyDescent="0.4">
      <c r="A225" s="16" t="s">
        <v>243</v>
      </c>
      <c r="B225" s="16" t="s">
        <v>535</v>
      </c>
      <c r="C225" s="16" t="s">
        <v>535</v>
      </c>
      <c r="D225" s="16" t="s">
        <v>535</v>
      </c>
      <c r="E225" s="16" t="s">
        <v>535</v>
      </c>
      <c r="F225" s="16" t="s">
        <v>535</v>
      </c>
      <c r="G225" s="16" t="s">
        <v>535</v>
      </c>
      <c r="H225" s="16" t="s">
        <v>535</v>
      </c>
      <c r="I225" s="140" t="s">
        <v>535</v>
      </c>
      <c r="J225" s="141" t="s">
        <v>204</v>
      </c>
      <c r="K225" s="5" t="s">
        <v>905</v>
      </c>
      <c r="L225" s="5"/>
      <c r="M225" s="5" t="s">
        <v>207</v>
      </c>
      <c r="N225" s="5"/>
      <c r="O225" s="144"/>
      <c r="P225" s="486">
        <v>1650</v>
      </c>
      <c r="Q225" s="45"/>
      <c r="R225" s="45"/>
      <c r="S225" s="45"/>
      <c r="T225" s="45"/>
      <c r="U225" s="45"/>
      <c r="V225" s="53">
        <f t="shared" si="4"/>
        <v>1650</v>
      </c>
      <c r="W225" s="22"/>
      <c r="X225" s="22" t="s">
        <v>243</v>
      </c>
      <c r="Y225" s="22"/>
      <c r="Z225" s="22"/>
      <c r="AA225" s="22"/>
      <c r="AB225" s="22"/>
      <c r="AC225" s="22"/>
      <c r="AD225" s="22"/>
      <c r="AE225" s="22"/>
      <c r="AF225" s="22"/>
      <c r="AG225" s="22"/>
      <c r="AH225" s="22"/>
      <c r="AI225" s="22"/>
      <c r="AJ225" s="22"/>
      <c r="AK225" s="22"/>
      <c r="AL225" s="22"/>
      <c r="AM225" s="22"/>
      <c r="AN225" s="22"/>
      <c r="AO225" s="22"/>
      <c r="AP225" s="22"/>
      <c r="AQ225" s="22"/>
      <c r="AR225" s="22"/>
      <c r="AS225" s="22"/>
      <c r="AT225" s="22"/>
      <c r="AU225" s="22"/>
      <c r="AV225" s="22"/>
      <c r="AW225" s="22"/>
      <c r="AX225" s="22"/>
      <c r="AY225" s="22"/>
      <c r="AZ225" s="22"/>
      <c r="BA225" s="5"/>
    </row>
    <row r="226" spans="1:53" ht="15" thickBot="1" x14ac:dyDescent="0.4">
      <c r="A226" s="16" t="s">
        <v>243</v>
      </c>
      <c r="B226" s="16" t="s">
        <v>535</v>
      </c>
      <c r="C226" s="16" t="s">
        <v>535</v>
      </c>
      <c r="D226" s="16" t="s">
        <v>535</v>
      </c>
      <c r="E226" s="16" t="s">
        <v>535</v>
      </c>
      <c r="F226" s="16" t="s">
        <v>535</v>
      </c>
      <c r="G226" s="16" t="s">
        <v>535</v>
      </c>
      <c r="H226" s="16" t="s">
        <v>535</v>
      </c>
      <c r="I226" s="140" t="s">
        <v>535</v>
      </c>
      <c r="J226" s="141" t="s">
        <v>204</v>
      </c>
      <c r="K226" s="5" t="s">
        <v>908</v>
      </c>
      <c r="L226" s="5"/>
      <c r="M226" s="5" t="s">
        <v>207</v>
      </c>
      <c r="N226" s="5"/>
      <c r="O226" s="144"/>
      <c r="P226" s="486">
        <v>6630</v>
      </c>
      <c r="Q226" s="45"/>
      <c r="R226" s="45"/>
      <c r="S226" s="45"/>
      <c r="T226" s="45"/>
      <c r="U226" s="45"/>
      <c r="V226" s="53">
        <f t="shared" si="4"/>
        <v>6630</v>
      </c>
      <c r="W226" s="22"/>
      <c r="X226" s="22" t="s">
        <v>243</v>
      </c>
      <c r="Y226" s="22"/>
      <c r="Z226" s="22"/>
      <c r="AA226" s="22"/>
      <c r="AB226" s="22"/>
      <c r="AC226" s="22"/>
      <c r="AD226" s="22"/>
      <c r="AE226" s="22"/>
      <c r="AF226" s="22"/>
      <c r="AG226" s="22"/>
      <c r="AH226" s="22"/>
      <c r="AI226" s="22"/>
      <c r="AJ226" s="22"/>
      <c r="AK226" s="22"/>
      <c r="AL226" s="22"/>
      <c r="AM226" s="22"/>
      <c r="AN226" s="22"/>
      <c r="AO226" s="22"/>
      <c r="AP226" s="22"/>
      <c r="AQ226" s="22"/>
      <c r="AR226" s="22"/>
      <c r="AS226" s="22"/>
      <c r="AT226" s="22"/>
      <c r="AU226" s="22"/>
      <c r="AV226" s="22"/>
      <c r="AW226" s="22"/>
      <c r="AX226" s="22"/>
      <c r="AY226" s="22"/>
      <c r="AZ226" s="22"/>
      <c r="BA226" s="5"/>
    </row>
    <row r="227" spans="1:53" ht="15" thickBot="1" x14ac:dyDescent="0.4">
      <c r="A227" s="16" t="s">
        <v>243</v>
      </c>
      <c r="B227" s="16" t="s">
        <v>535</v>
      </c>
      <c r="C227" s="16" t="s">
        <v>535</v>
      </c>
      <c r="D227" s="16" t="s">
        <v>535</v>
      </c>
      <c r="E227" s="16" t="s">
        <v>535</v>
      </c>
      <c r="F227" s="16" t="s">
        <v>535</v>
      </c>
      <c r="G227" s="16" t="s">
        <v>535</v>
      </c>
      <c r="H227" s="16" t="s">
        <v>535</v>
      </c>
      <c r="I227" s="140" t="s">
        <v>535</v>
      </c>
      <c r="J227" s="141" t="s">
        <v>204</v>
      </c>
      <c r="K227" s="5" t="s">
        <v>910</v>
      </c>
      <c r="L227" s="5"/>
      <c r="M227" s="5" t="s">
        <v>207</v>
      </c>
      <c r="N227" s="5"/>
      <c r="O227" s="144"/>
      <c r="P227" s="486">
        <v>11100</v>
      </c>
      <c r="Q227" s="45"/>
      <c r="R227" s="45"/>
      <c r="S227" s="45"/>
      <c r="T227" s="45"/>
      <c r="U227" s="45"/>
      <c r="V227" s="53">
        <f t="shared" si="4"/>
        <v>11100</v>
      </c>
      <c r="W227" s="22"/>
      <c r="X227" s="22" t="s">
        <v>243</v>
      </c>
      <c r="Y227" s="22"/>
      <c r="Z227" s="22"/>
      <c r="AA227" s="22"/>
      <c r="AB227" s="22"/>
      <c r="AC227" s="22"/>
      <c r="AD227" s="22"/>
      <c r="AE227" s="22"/>
      <c r="AF227" s="22"/>
      <c r="AG227" s="22"/>
      <c r="AH227" s="22"/>
      <c r="AI227" s="22"/>
      <c r="AJ227" s="22"/>
      <c r="AK227" s="22"/>
      <c r="AL227" s="22"/>
      <c r="AM227" s="22"/>
      <c r="AN227" s="22"/>
      <c r="AO227" s="22"/>
      <c r="AP227" s="22"/>
      <c r="AQ227" s="22"/>
      <c r="AR227" s="22"/>
      <c r="AS227" s="22"/>
      <c r="AT227" s="22"/>
      <c r="AU227" s="22"/>
      <c r="AV227" s="22"/>
      <c r="AW227" s="22"/>
      <c r="AX227" s="22"/>
      <c r="AY227" s="22"/>
      <c r="AZ227" s="22"/>
      <c r="BA227" s="5"/>
    </row>
    <row r="228" spans="1:53" ht="15" thickBot="1" x14ac:dyDescent="0.4">
      <c r="A228" s="16" t="s">
        <v>243</v>
      </c>
      <c r="B228" s="16" t="s">
        <v>535</v>
      </c>
      <c r="C228" s="16" t="s">
        <v>535</v>
      </c>
      <c r="D228" s="16" t="s">
        <v>535</v>
      </c>
      <c r="E228" s="16" t="s">
        <v>535</v>
      </c>
      <c r="F228" s="16" t="s">
        <v>535</v>
      </c>
      <c r="G228" s="16" t="s">
        <v>535</v>
      </c>
      <c r="H228" s="16" t="s">
        <v>535</v>
      </c>
      <c r="I228" s="140" t="s">
        <v>535</v>
      </c>
      <c r="J228" s="141" t="s">
        <v>204</v>
      </c>
      <c r="K228" s="5" t="s">
        <v>912</v>
      </c>
      <c r="L228" s="5"/>
      <c r="M228" s="5" t="s">
        <v>207</v>
      </c>
      <c r="N228" s="5"/>
      <c r="O228" s="144"/>
      <c r="P228" s="486">
        <v>8900</v>
      </c>
      <c r="Q228" s="45"/>
      <c r="R228" s="45"/>
      <c r="S228" s="45"/>
      <c r="T228" s="45"/>
      <c r="U228" s="45"/>
      <c r="V228" s="53">
        <f t="shared" si="4"/>
        <v>8900</v>
      </c>
      <c r="W228" s="22"/>
      <c r="X228" s="22" t="s">
        <v>243</v>
      </c>
      <c r="Y228" s="22"/>
      <c r="Z228" s="22"/>
      <c r="AA228" s="22"/>
      <c r="AB228" s="22"/>
      <c r="AC228" s="22"/>
      <c r="AD228" s="22"/>
      <c r="AE228" s="22"/>
      <c r="AF228" s="22"/>
      <c r="AG228" s="22"/>
      <c r="AH228" s="22"/>
      <c r="AI228" s="22"/>
      <c r="AJ228" s="22"/>
      <c r="AK228" s="22"/>
      <c r="AL228" s="22"/>
      <c r="AM228" s="22"/>
      <c r="AN228" s="22"/>
      <c r="AO228" s="22"/>
      <c r="AP228" s="22"/>
      <c r="AQ228" s="22"/>
      <c r="AR228" s="22"/>
      <c r="AS228" s="22"/>
      <c r="AT228" s="22"/>
      <c r="AU228" s="22"/>
      <c r="AV228" s="22"/>
      <c r="AW228" s="22"/>
      <c r="AX228" s="22"/>
      <c r="AY228" s="22"/>
      <c r="AZ228" s="22"/>
      <c r="BA228" s="5"/>
    </row>
    <row r="229" spans="1:53" ht="26.5" thickBot="1" x14ac:dyDescent="0.4">
      <c r="A229" s="16" t="s">
        <v>243</v>
      </c>
      <c r="B229" s="16" t="s">
        <v>535</v>
      </c>
      <c r="C229" s="16" t="s">
        <v>535</v>
      </c>
      <c r="D229" s="16" t="s">
        <v>535</v>
      </c>
      <c r="E229" s="16" t="s">
        <v>535</v>
      </c>
      <c r="F229" s="16" t="s">
        <v>535</v>
      </c>
      <c r="G229" s="16" t="s">
        <v>535</v>
      </c>
      <c r="H229" s="16" t="s">
        <v>535</v>
      </c>
      <c r="I229" s="140" t="s">
        <v>535</v>
      </c>
      <c r="J229" s="141" t="s">
        <v>204</v>
      </c>
      <c r="K229" s="5" t="s">
        <v>914</v>
      </c>
      <c r="L229" s="5"/>
      <c r="M229" s="5" t="s">
        <v>207</v>
      </c>
      <c r="N229" s="5"/>
      <c r="O229" s="144"/>
      <c r="P229" s="486">
        <v>9540</v>
      </c>
      <c r="Q229" s="45"/>
      <c r="R229" s="45"/>
      <c r="S229" s="45"/>
      <c r="T229" s="45"/>
      <c r="U229" s="45"/>
      <c r="V229" s="53">
        <f t="shared" si="4"/>
        <v>9540</v>
      </c>
      <c r="W229" s="22"/>
      <c r="X229" s="22" t="s">
        <v>243</v>
      </c>
      <c r="Y229" s="22"/>
      <c r="Z229" s="22"/>
      <c r="AA229" s="22"/>
      <c r="AB229" s="22"/>
      <c r="AC229" s="22"/>
      <c r="AD229" s="22"/>
      <c r="AE229" s="22"/>
      <c r="AF229" s="22"/>
      <c r="AG229" s="22"/>
      <c r="AH229" s="22"/>
      <c r="AI229" s="22"/>
      <c r="AJ229" s="22"/>
      <c r="AK229" s="22"/>
      <c r="AL229" s="22"/>
      <c r="AM229" s="22"/>
      <c r="AN229" s="22"/>
      <c r="AO229" s="22"/>
      <c r="AP229" s="22"/>
      <c r="AQ229" s="22"/>
      <c r="AR229" s="22"/>
      <c r="AS229" s="22"/>
      <c r="AT229" s="22"/>
      <c r="AU229" s="22"/>
      <c r="AV229" s="22"/>
      <c r="AW229" s="22"/>
      <c r="AX229" s="22"/>
      <c r="AY229" s="22"/>
      <c r="AZ229" s="22"/>
      <c r="BA229" s="5"/>
    </row>
    <row r="230" spans="1:53" ht="26.5" thickBot="1" x14ac:dyDescent="0.4">
      <c r="A230" s="16" t="s">
        <v>243</v>
      </c>
      <c r="B230" s="16" t="s">
        <v>535</v>
      </c>
      <c r="C230" s="16" t="s">
        <v>535</v>
      </c>
      <c r="D230" s="16" t="s">
        <v>535</v>
      </c>
      <c r="E230" s="16" t="s">
        <v>535</v>
      </c>
      <c r="F230" s="16" t="s">
        <v>535</v>
      </c>
      <c r="G230" s="16" t="s">
        <v>535</v>
      </c>
      <c r="H230" s="16" t="s">
        <v>535</v>
      </c>
      <c r="I230" s="140" t="s">
        <v>535</v>
      </c>
      <c r="J230" s="141" t="s">
        <v>204</v>
      </c>
      <c r="K230" s="5" t="s">
        <v>916</v>
      </c>
      <c r="L230" s="5"/>
      <c r="M230" s="5" t="s">
        <v>207</v>
      </c>
      <c r="N230" s="5"/>
      <c r="O230" s="144"/>
      <c r="P230" s="486">
        <v>9200</v>
      </c>
      <c r="Q230" s="45"/>
      <c r="R230" s="45"/>
      <c r="S230" s="45"/>
      <c r="T230" s="45"/>
      <c r="U230" s="45"/>
      <c r="V230" s="53">
        <f t="shared" si="4"/>
        <v>9200</v>
      </c>
      <c r="W230" s="22"/>
      <c r="X230" s="22" t="s">
        <v>243</v>
      </c>
      <c r="Y230" s="22"/>
      <c r="Z230" s="22"/>
      <c r="AA230" s="22"/>
      <c r="AB230" s="22"/>
      <c r="AC230" s="22"/>
      <c r="AD230" s="22"/>
      <c r="AE230" s="22"/>
      <c r="AF230" s="22"/>
      <c r="AG230" s="22"/>
      <c r="AH230" s="22"/>
      <c r="AI230" s="22"/>
      <c r="AJ230" s="22"/>
      <c r="AK230" s="22"/>
      <c r="AL230" s="22"/>
      <c r="AM230" s="22"/>
      <c r="AN230" s="22"/>
      <c r="AO230" s="22"/>
      <c r="AP230" s="22"/>
      <c r="AQ230" s="22"/>
      <c r="AR230" s="22"/>
      <c r="AS230" s="22"/>
      <c r="AT230" s="22"/>
      <c r="AU230" s="22"/>
      <c r="AV230" s="22"/>
      <c r="AW230" s="22"/>
      <c r="AX230" s="22"/>
      <c r="AY230" s="22"/>
      <c r="AZ230" s="22"/>
      <c r="BA230" s="5"/>
    </row>
    <row r="231" spans="1:53" ht="26.5" thickBot="1" x14ac:dyDescent="0.4">
      <c r="A231" s="16" t="s">
        <v>243</v>
      </c>
      <c r="B231" s="16" t="s">
        <v>535</v>
      </c>
      <c r="C231" s="16" t="s">
        <v>535</v>
      </c>
      <c r="D231" s="16" t="s">
        <v>535</v>
      </c>
      <c r="E231" s="16" t="s">
        <v>535</v>
      </c>
      <c r="F231" s="16" t="s">
        <v>535</v>
      </c>
      <c r="G231" s="16" t="s">
        <v>535</v>
      </c>
      <c r="H231" s="16" t="s">
        <v>535</v>
      </c>
      <c r="I231" s="140" t="s">
        <v>535</v>
      </c>
      <c r="J231" s="141" t="s">
        <v>204</v>
      </c>
      <c r="K231" s="5" t="s">
        <v>918</v>
      </c>
      <c r="L231" s="5"/>
      <c r="M231" s="5" t="s">
        <v>207</v>
      </c>
      <c r="N231" s="5"/>
      <c r="O231" s="144"/>
      <c r="P231" s="486">
        <v>8550</v>
      </c>
      <c r="Q231" s="45"/>
      <c r="R231" s="45"/>
      <c r="S231" s="45"/>
      <c r="T231" s="45"/>
      <c r="U231" s="45"/>
      <c r="V231" s="53">
        <f t="shared" si="4"/>
        <v>8550</v>
      </c>
      <c r="W231" s="22"/>
      <c r="X231" s="22" t="s">
        <v>243</v>
      </c>
      <c r="Y231" s="22"/>
      <c r="Z231" s="22"/>
      <c r="AA231" s="22"/>
      <c r="AB231" s="22"/>
      <c r="AC231" s="22"/>
      <c r="AD231" s="22"/>
      <c r="AE231" s="22"/>
      <c r="AF231" s="22"/>
      <c r="AG231" s="22"/>
      <c r="AH231" s="22"/>
      <c r="AI231" s="22"/>
      <c r="AJ231" s="22"/>
      <c r="AK231" s="22"/>
      <c r="AL231" s="22"/>
      <c r="AM231" s="22"/>
      <c r="AN231" s="22"/>
      <c r="AO231" s="22"/>
      <c r="AP231" s="22"/>
      <c r="AQ231" s="22"/>
      <c r="AR231" s="22"/>
      <c r="AS231" s="22"/>
      <c r="AT231" s="22"/>
      <c r="AU231" s="22"/>
      <c r="AV231" s="22"/>
      <c r="AW231" s="22"/>
      <c r="AX231" s="22"/>
      <c r="AY231" s="22"/>
      <c r="AZ231" s="22"/>
      <c r="BA231" s="5"/>
    </row>
    <row r="232" spans="1:53" ht="26.5" thickBot="1" x14ac:dyDescent="0.4">
      <c r="A232" s="16" t="s">
        <v>243</v>
      </c>
      <c r="B232" s="16" t="s">
        <v>535</v>
      </c>
      <c r="C232" s="16" t="s">
        <v>535</v>
      </c>
      <c r="D232" s="16" t="s">
        <v>535</v>
      </c>
      <c r="E232" s="16" t="s">
        <v>535</v>
      </c>
      <c r="F232" s="16" t="s">
        <v>535</v>
      </c>
      <c r="G232" s="16" t="s">
        <v>535</v>
      </c>
      <c r="H232" s="16" t="s">
        <v>535</v>
      </c>
      <c r="I232" s="140" t="s">
        <v>535</v>
      </c>
      <c r="J232" s="141" t="s">
        <v>204</v>
      </c>
      <c r="K232" s="5" t="s">
        <v>919</v>
      </c>
      <c r="L232" s="5"/>
      <c r="M232" s="5" t="s">
        <v>207</v>
      </c>
      <c r="N232" s="5"/>
      <c r="O232" s="144"/>
      <c r="P232" s="486">
        <v>7910</v>
      </c>
      <c r="Q232" s="45"/>
      <c r="R232" s="45"/>
      <c r="S232" s="45"/>
      <c r="T232" s="45"/>
      <c r="U232" s="45"/>
      <c r="V232" s="53">
        <f t="shared" si="4"/>
        <v>7910</v>
      </c>
      <c r="W232" s="22"/>
      <c r="X232" s="22" t="s">
        <v>243</v>
      </c>
      <c r="Y232" s="22"/>
      <c r="Z232" s="22"/>
      <c r="AA232" s="22"/>
      <c r="AB232" s="22"/>
      <c r="AC232" s="22"/>
      <c r="AD232" s="22"/>
      <c r="AE232" s="22"/>
      <c r="AF232" s="22"/>
      <c r="AG232" s="22"/>
      <c r="AH232" s="22"/>
      <c r="AI232" s="22"/>
      <c r="AJ232" s="22"/>
      <c r="AK232" s="22"/>
      <c r="AL232" s="22"/>
      <c r="AM232" s="22"/>
      <c r="AN232" s="22"/>
      <c r="AO232" s="22"/>
      <c r="AP232" s="22"/>
      <c r="AQ232" s="22"/>
      <c r="AR232" s="22"/>
      <c r="AS232" s="22"/>
      <c r="AT232" s="22"/>
      <c r="AU232" s="22"/>
      <c r="AV232" s="22"/>
      <c r="AW232" s="22"/>
      <c r="AX232" s="22"/>
      <c r="AY232" s="22"/>
      <c r="AZ232" s="22"/>
      <c r="BA232" s="5"/>
    </row>
    <row r="233" spans="1:53" ht="15" thickBot="1" x14ac:dyDescent="0.4">
      <c r="A233" s="16" t="s">
        <v>243</v>
      </c>
      <c r="B233" s="16" t="s">
        <v>535</v>
      </c>
      <c r="C233" s="16" t="s">
        <v>535</v>
      </c>
      <c r="D233" s="16" t="s">
        <v>535</v>
      </c>
      <c r="E233" s="16" t="s">
        <v>535</v>
      </c>
      <c r="F233" s="16" t="s">
        <v>535</v>
      </c>
      <c r="G233" s="16" t="s">
        <v>535</v>
      </c>
      <c r="H233" s="16" t="s">
        <v>535</v>
      </c>
      <c r="I233" s="140" t="s">
        <v>535</v>
      </c>
      <c r="J233" s="141" t="s">
        <v>204</v>
      </c>
      <c r="K233" s="5" t="s">
        <v>920</v>
      </c>
      <c r="L233" s="5"/>
      <c r="M233" s="5" t="s">
        <v>207</v>
      </c>
      <c r="N233" s="5"/>
      <c r="O233" s="144"/>
      <c r="P233" s="486">
        <v>7190</v>
      </c>
      <c r="Q233" s="45"/>
      <c r="R233" s="45"/>
      <c r="S233" s="45"/>
      <c r="T233" s="45"/>
      <c r="U233" s="45"/>
      <c r="V233" s="53">
        <f t="shared" si="4"/>
        <v>7190</v>
      </c>
      <c r="W233" s="22"/>
      <c r="X233" s="22" t="s">
        <v>243</v>
      </c>
      <c r="Y233" s="22"/>
      <c r="Z233" s="22"/>
      <c r="AA233" s="22"/>
      <c r="AB233" s="22"/>
      <c r="AC233" s="22"/>
      <c r="AD233" s="22"/>
      <c r="AE233" s="22"/>
      <c r="AF233" s="22"/>
      <c r="AG233" s="22"/>
      <c r="AH233" s="22"/>
      <c r="AI233" s="22"/>
      <c r="AJ233" s="22"/>
      <c r="AK233" s="22"/>
      <c r="AL233" s="22"/>
      <c r="AM233" s="22"/>
      <c r="AN233" s="22"/>
      <c r="AO233" s="22"/>
      <c r="AP233" s="22"/>
      <c r="AQ233" s="22"/>
      <c r="AR233" s="22"/>
      <c r="AS233" s="22"/>
      <c r="AT233" s="22"/>
      <c r="AU233" s="22"/>
      <c r="AV233" s="22"/>
      <c r="AW233" s="22"/>
      <c r="AX233" s="22"/>
      <c r="AY233" s="22"/>
      <c r="AZ233" s="22"/>
      <c r="BA233" s="5"/>
    </row>
    <row r="234" spans="1:53" ht="15" thickBot="1" x14ac:dyDescent="0.4">
      <c r="A234" s="16" t="s">
        <v>243</v>
      </c>
      <c r="B234" s="16" t="s">
        <v>535</v>
      </c>
      <c r="C234" s="16" t="s">
        <v>535</v>
      </c>
      <c r="D234" s="16" t="s">
        <v>535</v>
      </c>
      <c r="E234" s="16" t="s">
        <v>535</v>
      </c>
      <c r="F234" s="16" t="s">
        <v>535</v>
      </c>
      <c r="G234" s="16" t="s">
        <v>535</v>
      </c>
      <c r="H234" s="16" t="s">
        <v>535</v>
      </c>
      <c r="I234" s="140" t="s">
        <v>535</v>
      </c>
      <c r="J234" s="141" t="s">
        <v>204</v>
      </c>
      <c r="K234" s="5" t="s">
        <v>921</v>
      </c>
      <c r="L234" s="5"/>
      <c r="M234" s="5" t="s">
        <v>207</v>
      </c>
      <c r="N234" s="5"/>
      <c r="O234" s="144"/>
      <c r="P234" s="486">
        <v>9200</v>
      </c>
      <c r="Q234" s="45"/>
      <c r="R234" s="45"/>
      <c r="S234" s="45"/>
      <c r="T234" s="45"/>
      <c r="U234" s="45"/>
      <c r="V234" s="53">
        <f t="shared" si="4"/>
        <v>9200</v>
      </c>
      <c r="W234" s="22"/>
      <c r="X234" s="22" t="s">
        <v>243</v>
      </c>
      <c r="Y234" s="22"/>
      <c r="Z234" s="22"/>
      <c r="AA234" s="22"/>
      <c r="AB234" s="22"/>
      <c r="AC234" s="22"/>
      <c r="AD234" s="22"/>
      <c r="AE234" s="22"/>
      <c r="AF234" s="22"/>
      <c r="AG234" s="22"/>
      <c r="AH234" s="22"/>
      <c r="AI234" s="22"/>
      <c r="AJ234" s="22"/>
      <c r="AK234" s="22"/>
      <c r="AL234" s="22"/>
      <c r="AM234" s="22"/>
      <c r="AN234" s="22"/>
      <c r="AO234" s="22"/>
      <c r="AP234" s="22"/>
      <c r="AQ234" s="22"/>
      <c r="AR234" s="22"/>
      <c r="AS234" s="22"/>
      <c r="AT234" s="22"/>
      <c r="AU234" s="22"/>
      <c r="AV234" s="22"/>
      <c r="AW234" s="22"/>
      <c r="AX234" s="22"/>
      <c r="AY234" s="22"/>
      <c r="AZ234" s="22"/>
      <c r="BA234" s="5"/>
    </row>
    <row r="235" spans="1:53" ht="15" thickBot="1" x14ac:dyDescent="0.4">
      <c r="A235" s="16" t="s">
        <v>243</v>
      </c>
      <c r="B235" s="16" t="s">
        <v>535</v>
      </c>
      <c r="C235" s="16" t="s">
        <v>535</v>
      </c>
      <c r="D235" s="16" t="s">
        <v>535</v>
      </c>
      <c r="E235" s="16" t="s">
        <v>535</v>
      </c>
      <c r="F235" s="16" t="s">
        <v>535</v>
      </c>
      <c r="G235" s="16" t="s">
        <v>535</v>
      </c>
      <c r="H235" s="16" t="s">
        <v>535</v>
      </c>
      <c r="I235" s="140" t="s">
        <v>535</v>
      </c>
      <c r="J235" s="141" t="s">
        <v>204</v>
      </c>
      <c r="K235" s="5" t="s">
        <v>922</v>
      </c>
      <c r="L235" s="5"/>
      <c r="M235" s="5" t="s">
        <v>207</v>
      </c>
      <c r="N235" s="5"/>
      <c r="O235" s="144"/>
      <c r="P235" s="486">
        <v>23500</v>
      </c>
      <c r="Q235" s="45"/>
      <c r="R235" s="45"/>
      <c r="S235" s="45"/>
      <c r="T235" s="45"/>
      <c r="U235" s="45"/>
      <c r="V235" s="53">
        <f t="shared" si="4"/>
        <v>23500</v>
      </c>
      <c r="W235" s="22"/>
      <c r="X235" s="22" t="s">
        <v>243</v>
      </c>
      <c r="Y235" s="22"/>
      <c r="Z235" s="22"/>
      <c r="AA235" s="22"/>
      <c r="AB235" s="22"/>
      <c r="AC235" s="22"/>
      <c r="AD235" s="22"/>
      <c r="AE235" s="22"/>
      <c r="AF235" s="22"/>
      <c r="AG235" s="22"/>
      <c r="AH235" s="22"/>
      <c r="AI235" s="22"/>
      <c r="AJ235" s="22"/>
      <c r="AK235" s="22"/>
      <c r="AL235" s="22"/>
      <c r="AM235" s="22"/>
      <c r="AN235" s="22"/>
      <c r="AO235" s="22"/>
      <c r="AP235" s="22"/>
      <c r="AQ235" s="22"/>
      <c r="AR235" s="22"/>
      <c r="AS235" s="22"/>
      <c r="AT235" s="22"/>
      <c r="AU235" s="22"/>
      <c r="AV235" s="22"/>
      <c r="AW235" s="22"/>
      <c r="AX235" s="22"/>
      <c r="AY235" s="22"/>
      <c r="AZ235" s="22"/>
      <c r="BA235" s="5"/>
    </row>
    <row r="236" spans="1:53" ht="15" thickBot="1" x14ac:dyDescent="0.4">
      <c r="A236" s="16" t="s">
        <v>243</v>
      </c>
      <c r="B236" s="16" t="s">
        <v>535</v>
      </c>
      <c r="C236" s="16" t="s">
        <v>535</v>
      </c>
      <c r="D236" s="16" t="s">
        <v>535</v>
      </c>
      <c r="E236" s="16" t="s">
        <v>535</v>
      </c>
      <c r="F236" s="16" t="s">
        <v>535</v>
      </c>
      <c r="G236" s="16" t="s">
        <v>535</v>
      </c>
      <c r="H236" s="16" t="s">
        <v>535</v>
      </c>
      <c r="I236" s="140" t="s">
        <v>535</v>
      </c>
      <c r="J236" s="141" t="s">
        <v>204</v>
      </c>
      <c r="K236" s="5" t="s">
        <v>923</v>
      </c>
      <c r="L236" s="5"/>
      <c r="M236" s="5" t="s">
        <v>207</v>
      </c>
      <c r="N236" s="5"/>
      <c r="O236" s="144"/>
      <c r="P236" s="486">
        <v>16</v>
      </c>
      <c r="Q236" s="45"/>
      <c r="R236" s="45"/>
      <c r="S236" s="45"/>
      <c r="T236" s="45"/>
      <c r="U236" s="45"/>
      <c r="V236" s="53">
        <f t="shared" si="4"/>
        <v>16</v>
      </c>
      <c r="W236" s="22"/>
      <c r="X236" s="22" t="s">
        <v>243</v>
      </c>
      <c r="Y236" s="22"/>
      <c r="Z236" s="22"/>
      <c r="AA236" s="22"/>
      <c r="AB236" s="22"/>
      <c r="AC236" s="22"/>
      <c r="AD236" s="22"/>
      <c r="AE236" s="22"/>
      <c r="AF236" s="22"/>
      <c r="AG236" s="22"/>
      <c r="AH236" s="22"/>
      <c r="AI236" s="22"/>
      <c r="AJ236" s="22"/>
      <c r="AK236" s="22"/>
      <c r="AL236" s="22"/>
      <c r="AM236" s="22"/>
      <c r="AN236" s="22"/>
      <c r="AO236" s="22"/>
      <c r="AP236" s="22"/>
      <c r="AQ236" s="22"/>
      <c r="AR236" s="22"/>
      <c r="AS236" s="22"/>
      <c r="AT236" s="22"/>
      <c r="AU236" s="22"/>
      <c r="AV236" s="22"/>
      <c r="AW236" s="22"/>
      <c r="AX236" s="22"/>
      <c r="AY236" s="22"/>
      <c r="AZ236" s="22"/>
      <c r="BA236" s="5"/>
    </row>
    <row r="237" spans="1:53" ht="15" thickBot="1" x14ac:dyDescent="0.4">
      <c r="A237" s="16" t="s">
        <v>243</v>
      </c>
      <c r="B237" s="16" t="s">
        <v>535</v>
      </c>
      <c r="C237" s="16" t="s">
        <v>535</v>
      </c>
      <c r="D237" s="16" t="s">
        <v>535</v>
      </c>
      <c r="E237" s="16" t="s">
        <v>535</v>
      </c>
      <c r="F237" s="16" t="s">
        <v>535</v>
      </c>
      <c r="G237" s="16" t="s">
        <v>535</v>
      </c>
      <c r="H237" s="16" t="s">
        <v>535</v>
      </c>
      <c r="I237" s="140" t="s">
        <v>535</v>
      </c>
      <c r="J237" s="141" t="s">
        <v>204</v>
      </c>
      <c r="K237" s="5" t="s">
        <v>924</v>
      </c>
      <c r="L237" s="5"/>
      <c r="M237" s="5" t="s">
        <v>207</v>
      </c>
      <c r="N237" s="5"/>
      <c r="O237" s="144"/>
      <c r="P237" s="486">
        <v>4</v>
      </c>
      <c r="Q237" s="45"/>
      <c r="R237" s="45"/>
      <c r="S237" s="45"/>
      <c r="T237" s="45"/>
      <c r="U237" s="45"/>
      <c r="V237" s="53">
        <f t="shared" si="4"/>
        <v>4</v>
      </c>
      <c r="W237" s="22"/>
      <c r="X237" s="22" t="s">
        <v>243</v>
      </c>
      <c r="Y237" s="22"/>
      <c r="Z237" s="22"/>
      <c r="AA237" s="22"/>
      <c r="AB237" s="22"/>
      <c r="AC237" s="22"/>
      <c r="AD237" s="22"/>
      <c r="AE237" s="22"/>
      <c r="AF237" s="22"/>
      <c r="AG237" s="22"/>
      <c r="AH237" s="22"/>
      <c r="AI237" s="22"/>
      <c r="AJ237" s="22"/>
      <c r="AK237" s="22"/>
      <c r="AL237" s="22"/>
      <c r="AM237" s="22"/>
      <c r="AN237" s="22"/>
      <c r="AO237" s="22"/>
      <c r="AP237" s="22"/>
      <c r="AQ237" s="22"/>
      <c r="AR237" s="22"/>
      <c r="AS237" s="22"/>
      <c r="AT237" s="22"/>
      <c r="AU237" s="22"/>
      <c r="AV237" s="22"/>
      <c r="AW237" s="22"/>
      <c r="AX237" s="22"/>
      <c r="AY237" s="22"/>
      <c r="AZ237" s="22"/>
      <c r="BA237" s="5"/>
    </row>
    <row r="238" spans="1:53" ht="15" thickBot="1" x14ac:dyDescent="0.4">
      <c r="A238" s="16" t="s">
        <v>243</v>
      </c>
      <c r="B238" s="16" t="s">
        <v>535</v>
      </c>
      <c r="C238" s="16" t="s">
        <v>535</v>
      </c>
      <c r="D238" s="16" t="s">
        <v>535</v>
      </c>
      <c r="E238" s="16" t="s">
        <v>535</v>
      </c>
      <c r="F238" s="16" t="s">
        <v>535</v>
      </c>
      <c r="G238" s="16" t="s">
        <v>535</v>
      </c>
      <c r="H238" s="16" t="s">
        <v>535</v>
      </c>
      <c r="I238" s="140" t="s">
        <v>535</v>
      </c>
      <c r="J238" s="141" t="s">
        <v>204</v>
      </c>
      <c r="K238" s="5" t="s">
        <v>925</v>
      </c>
      <c r="L238" s="5"/>
      <c r="M238" s="5" t="s">
        <v>207</v>
      </c>
      <c r="N238" s="5"/>
      <c r="O238" s="144"/>
      <c r="P238" s="486">
        <v>1210</v>
      </c>
      <c r="Q238" s="45"/>
      <c r="R238" s="45"/>
      <c r="S238" s="45"/>
      <c r="T238" s="45"/>
      <c r="U238" s="45"/>
      <c r="V238" s="53">
        <f t="shared" si="4"/>
        <v>1210</v>
      </c>
      <c r="W238" s="22"/>
      <c r="X238" s="22" t="s">
        <v>243</v>
      </c>
      <c r="Y238" s="22"/>
      <c r="Z238" s="22"/>
      <c r="AA238" s="22"/>
      <c r="AB238" s="22"/>
      <c r="AC238" s="22"/>
      <c r="AD238" s="22"/>
      <c r="AE238" s="22"/>
      <c r="AF238" s="22"/>
      <c r="AG238" s="22"/>
      <c r="AH238" s="22"/>
      <c r="AI238" s="22"/>
      <c r="AJ238" s="22"/>
      <c r="AK238" s="22"/>
      <c r="AL238" s="22"/>
      <c r="AM238" s="22"/>
      <c r="AN238" s="22"/>
      <c r="AO238" s="22"/>
      <c r="AP238" s="22"/>
      <c r="AQ238" s="22"/>
      <c r="AR238" s="22"/>
      <c r="AS238" s="22"/>
      <c r="AT238" s="22"/>
      <c r="AU238" s="22"/>
      <c r="AV238" s="22"/>
      <c r="AW238" s="22"/>
      <c r="AX238" s="22"/>
      <c r="AY238" s="22"/>
      <c r="AZ238" s="22"/>
      <c r="BA238" s="5"/>
    </row>
    <row r="239" spans="1:53" ht="15" thickBot="1" x14ac:dyDescent="0.4">
      <c r="A239" s="16" t="s">
        <v>243</v>
      </c>
      <c r="B239" s="16" t="s">
        <v>535</v>
      </c>
      <c r="C239" s="16" t="s">
        <v>535</v>
      </c>
      <c r="D239" s="16" t="s">
        <v>535</v>
      </c>
      <c r="E239" s="16" t="s">
        <v>535</v>
      </c>
      <c r="F239" s="16" t="s">
        <v>535</v>
      </c>
      <c r="G239" s="16" t="s">
        <v>535</v>
      </c>
      <c r="H239" s="16" t="s">
        <v>535</v>
      </c>
      <c r="I239" s="140" t="s">
        <v>535</v>
      </c>
      <c r="J239" s="141" t="s">
        <v>204</v>
      </c>
      <c r="K239" s="5" t="s">
        <v>926</v>
      </c>
      <c r="L239" s="5"/>
      <c r="M239" s="5" t="s">
        <v>207</v>
      </c>
      <c r="N239" s="5"/>
      <c r="O239" s="144"/>
      <c r="P239" s="486">
        <v>1330</v>
      </c>
      <c r="Q239" s="45"/>
      <c r="R239" s="45"/>
      <c r="S239" s="45"/>
      <c r="T239" s="45"/>
      <c r="U239" s="45"/>
      <c r="V239" s="53">
        <f t="shared" si="4"/>
        <v>1330</v>
      </c>
      <c r="W239" s="22"/>
      <c r="X239" s="22" t="s">
        <v>243</v>
      </c>
      <c r="Y239" s="22"/>
      <c r="Z239" s="22"/>
      <c r="AA239" s="22"/>
      <c r="AB239" s="22"/>
      <c r="AC239" s="22"/>
      <c r="AD239" s="22"/>
      <c r="AE239" s="22"/>
      <c r="AF239" s="22"/>
      <c r="AG239" s="22"/>
      <c r="AH239" s="22"/>
      <c r="AI239" s="22"/>
      <c r="AJ239" s="22"/>
      <c r="AK239" s="22"/>
      <c r="AL239" s="22"/>
      <c r="AM239" s="22"/>
      <c r="AN239" s="22"/>
      <c r="AO239" s="22"/>
      <c r="AP239" s="22"/>
      <c r="AQ239" s="22"/>
      <c r="AR239" s="22"/>
      <c r="AS239" s="22"/>
      <c r="AT239" s="22"/>
      <c r="AU239" s="22"/>
      <c r="AV239" s="22"/>
      <c r="AW239" s="22"/>
      <c r="AX239" s="22"/>
      <c r="AY239" s="22"/>
      <c r="AZ239" s="22"/>
      <c r="BA239" s="5"/>
    </row>
    <row r="240" spans="1:53" ht="15" thickBot="1" x14ac:dyDescent="0.4">
      <c r="A240" s="16" t="s">
        <v>243</v>
      </c>
      <c r="B240" s="16" t="s">
        <v>535</v>
      </c>
      <c r="C240" s="16" t="s">
        <v>535</v>
      </c>
      <c r="D240" s="16" t="s">
        <v>535</v>
      </c>
      <c r="E240" s="16" t="s">
        <v>535</v>
      </c>
      <c r="F240" s="16" t="s">
        <v>535</v>
      </c>
      <c r="G240" s="16" t="s">
        <v>535</v>
      </c>
      <c r="H240" s="16" t="s">
        <v>535</v>
      </c>
      <c r="I240" s="140" t="s">
        <v>535</v>
      </c>
      <c r="J240" s="141" t="s">
        <v>204</v>
      </c>
      <c r="K240" s="5" t="s">
        <v>927</v>
      </c>
      <c r="L240" s="5"/>
      <c r="M240" s="5" t="s">
        <v>207</v>
      </c>
      <c r="N240" s="5"/>
      <c r="O240" s="144"/>
      <c r="P240" s="486">
        <v>716</v>
      </c>
      <c r="Q240" s="45"/>
      <c r="R240" s="45"/>
      <c r="S240" s="45"/>
      <c r="T240" s="45"/>
      <c r="U240" s="45"/>
      <c r="V240" s="53">
        <f t="shared" si="4"/>
        <v>716</v>
      </c>
      <c r="W240" s="22"/>
      <c r="X240" s="22" t="s">
        <v>243</v>
      </c>
      <c r="Y240" s="22"/>
      <c r="Z240" s="22"/>
      <c r="AA240" s="22"/>
      <c r="AB240" s="22"/>
      <c r="AC240" s="22"/>
      <c r="AD240" s="22"/>
      <c r="AE240" s="22"/>
      <c r="AF240" s="22"/>
      <c r="AG240" s="22"/>
      <c r="AH240" s="22"/>
      <c r="AI240" s="22"/>
      <c r="AJ240" s="22"/>
      <c r="AK240" s="22"/>
      <c r="AL240" s="22"/>
      <c r="AM240" s="22"/>
      <c r="AN240" s="22"/>
      <c r="AO240" s="22"/>
      <c r="AP240" s="22"/>
      <c r="AQ240" s="22"/>
      <c r="AR240" s="22"/>
      <c r="AS240" s="22"/>
      <c r="AT240" s="22"/>
      <c r="AU240" s="22"/>
      <c r="AV240" s="22"/>
      <c r="AW240" s="22"/>
      <c r="AX240" s="22"/>
      <c r="AY240" s="22"/>
      <c r="AZ240" s="22"/>
      <c r="BA240" s="5"/>
    </row>
    <row r="241" spans="1:53" ht="15" thickBot="1" x14ac:dyDescent="0.4">
      <c r="A241" s="16" t="s">
        <v>243</v>
      </c>
      <c r="B241" s="16" t="s">
        <v>535</v>
      </c>
      <c r="C241" s="16" t="s">
        <v>535</v>
      </c>
      <c r="D241" s="16" t="s">
        <v>535</v>
      </c>
      <c r="E241" s="16" t="s">
        <v>535</v>
      </c>
      <c r="F241" s="16" t="s">
        <v>535</v>
      </c>
      <c r="G241" s="16" t="s">
        <v>535</v>
      </c>
      <c r="H241" s="16" t="s">
        <v>535</v>
      </c>
      <c r="I241" s="140" t="s">
        <v>535</v>
      </c>
      <c r="J241" s="141" t="s">
        <v>204</v>
      </c>
      <c r="K241" s="5" t="s">
        <v>928</v>
      </c>
      <c r="L241" s="5"/>
      <c r="M241" s="5" t="s">
        <v>207</v>
      </c>
      <c r="N241" s="5"/>
      <c r="O241" s="144"/>
      <c r="P241" s="486">
        <v>804</v>
      </c>
      <c r="Q241" s="45"/>
      <c r="R241" s="45"/>
      <c r="S241" s="45"/>
      <c r="T241" s="45"/>
      <c r="U241" s="45"/>
      <c r="V241" s="53">
        <f t="shared" si="4"/>
        <v>804</v>
      </c>
      <c r="W241" s="22"/>
      <c r="X241" s="22" t="s">
        <v>243</v>
      </c>
      <c r="Y241" s="22"/>
      <c r="Z241" s="22"/>
      <c r="AA241" s="22"/>
      <c r="AB241" s="22"/>
      <c r="AC241" s="22"/>
      <c r="AD241" s="22"/>
      <c r="AE241" s="22"/>
      <c r="AF241" s="22"/>
      <c r="AG241" s="22"/>
      <c r="AH241" s="22"/>
      <c r="AI241" s="22"/>
      <c r="AJ241" s="22"/>
      <c r="AK241" s="22"/>
      <c r="AL241" s="22"/>
      <c r="AM241" s="22"/>
      <c r="AN241" s="22"/>
      <c r="AO241" s="22"/>
      <c r="AP241" s="22"/>
      <c r="AQ241" s="22"/>
      <c r="AR241" s="22"/>
      <c r="AS241" s="22"/>
      <c r="AT241" s="22"/>
      <c r="AU241" s="22"/>
      <c r="AV241" s="22"/>
      <c r="AW241" s="22"/>
      <c r="AX241" s="22"/>
      <c r="AY241" s="22"/>
      <c r="AZ241" s="22"/>
      <c r="BA241" s="5"/>
    </row>
    <row r="242" spans="1:53" ht="15" thickBot="1" x14ac:dyDescent="0.4">
      <c r="A242" s="16" t="s">
        <v>243</v>
      </c>
      <c r="B242" s="16" t="s">
        <v>535</v>
      </c>
      <c r="C242" s="16" t="s">
        <v>535</v>
      </c>
      <c r="D242" s="16" t="s">
        <v>535</v>
      </c>
      <c r="E242" s="16" t="s">
        <v>535</v>
      </c>
      <c r="F242" s="16" t="s">
        <v>535</v>
      </c>
      <c r="G242" s="16" t="s">
        <v>535</v>
      </c>
      <c r="H242" s="16" t="s">
        <v>535</v>
      </c>
      <c r="I242" s="140" t="s">
        <v>535</v>
      </c>
      <c r="J242" s="141" t="s">
        <v>204</v>
      </c>
      <c r="K242" s="5" t="s">
        <v>929</v>
      </c>
      <c r="L242" s="5"/>
      <c r="M242" s="5" t="s">
        <v>207</v>
      </c>
      <c r="N242" s="5"/>
      <c r="O242" s="144"/>
      <c r="P242" s="487">
        <v>16100</v>
      </c>
      <c r="Q242" s="45"/>
      <c r="R242" s="45"/>
      <c r="S242" s="45"/>
      <c r="T242" s="45"/>
      <c r="U242" s="45"/>
      <c r="V242" s="53">
        <f t="shared" si="4"/>
        <v>16100</v>
      </c>
      <c r="W242" s="22"/>
      <c r="X242" s="22" t="s">
        <v>243</v>
      </c>
      <c r="Y242" s="22"/>
      <c r="Z242" s="22"/>
      <c r="AA242" s="22"/>
      <c r="AB242" s="22"/>
      <c r="AC242" s="22"/>
      <c r="AD242" s="22"/>
      <c r="AE242" s="22"/>
      <c r="AF242" s="22"/>
      <c r="AG242" s="22"/>
      <c r="AH242" s="22"/>
      <c r="AI242" s="22"/>
      <c r="AJ242" s="22"/>
      <c r="AK242" s="22"/>
      <c r="AL242" s="22"/>
      <c r="AM242" s="22"/>
      <c r="AN242" s="22"/>
      <c r="AO242" s="22"/>
      <c r="AP242" s="22"/>
      <c r="AQ242" s="22"/>
      <c r="AR242" s="22"/>
      <c r="AS242" s="22"/>
      <c r="AT242" s="22"/>
      <c r="AU242" s="22"/>
      <c r="AV242" s="22"/>
      <c r="AW242" s="22"/>
      <c r="AX242" s="22"/>
      <c r="AY242" s="22"/>
      <c r="AZ242" s="22"/>
      <c r="BA242" s="5"/>
    </row>
    <row r="243" spans="1:53" ht="15" thickBot="1" x14ac:dyDescent="0.4">
      <c r="A243" s="16" t="s">
        <v>243</v>
      </c>
      <c r="B243" s="16" t="s">
        <v>535</v>
      </c>
      <c r="C243" s="16" t="s">
        <v>535</v>
      </c>
      <c r="D243" s="16" t="s">
        <v>535</v>
      </c>
      <c r="E243" s="16" t="s">
        <v>535</v>
      </c>
      <c r="F243" s="16" t="s">
        <v>535</v>
      </c>
      <c r="G243" s="16" t="s">
        <v>535</v>
      </c>
      <c r="H243" s="16" t="s">
        <v>535</v>
      </c>
      <c r="I243" s="140" t="s">
        <v>535</v>
      </c>
      <c r="J243" s="141" t="s">
        <v>204</v>
      </c>
      <c r="K243" s="5" t="s">
        <v>930</v>
      </c>
      <c r="L243" s="5"/>
      <c r="M243" s="5" t="s">
        <v>207</v>
      </c>
      <c r="N243" s="5"/>
      <c r="O243" s="5"/>
      <c r="P243" s="184">
        <v>1130</v>
      </c>
      <c r="Q243" s="45"/>
      <c r="R243" s="45"/>
      <c r="S243" s="45"/>
      <c r="T243" s="45"/>
      <c r="U243" s="45"/>
      <c r="V243" s="53">
        <f t="shared" si="4"/>
        <v>1130</v>
      </c>
      <c r="W243" s="22"/>
      <c r="X243" s="22" t="s">
        <v>243</v>
      </c>
      <c r="Y243" s="22"/>
      <c r="Z243" s="22"/>
      <c r="AA243" s="22"/>
      <c r="AB243" s="22"/>
      <c r="AC243" s="22"/>
      <c r="AD243" s="22"/>
      <c r="AE243" s="22"/>
      <c r="AF243" s="22"/>
      <c r="AG243" s="22"/>
      <c r="AH243" s="22"/>
      <c r="AI243" s="22"/>
      <c r="AJ243" s="22"/>
      <c r="AK243" s="22"/>
      <c r="AL243" s="22"/>
      <c r="AM243" s="22"/>
      <c r="AN243" s="22"/>
      <c r="AO243" s="22"/>
      <c r="AP243" s="22"/>
      <c r="AQ243" s="22"/>
      <c r="AR243" s="22"/>
      <c r="AS243" s="22"/>
      <c r="AT243" s="22"/>
      <c r="AU243" s="22"/>
      <c r="AV243" s="22"/>
      <c r="AW243" s="22"/>
      <c r="AX243" s="22"/>
      <c r="AY243" s="22"/>
      <c r="AZ243" s="22"/>
      <c r="BA243" s="5"/>
    </row>
    <row r="244" spans="1:53" ht="15" thickBot="1" x14ac:dyDescent="0.4">
      <c r="A244" s="16" t="s">
        <v>243</v>
      </c>
      <c r="B244" s="16" t="s">
        <v>535</v>
      </c>
      <c r="C244" s="16" t="s">
        <v>535</v>
      </c>
      <c r="D244" s="16" t="s">
        <v>535</v>
      </c>
      <c r="E244" s="16" t="s">
        <v>535</v>
      </c>
      <c r="F244" s="16" t="s">
        <v>535</v>
      </c>
      <c r="G244" s="16" t="s">
        <v>535</v>
      </c>
      <c r="H244" s="16" t="s">
        <v>535</v>
      </c>
      <c r="I244" s="140" t="s">
        <v>535</v>
      </c>
      <c r="J244" s="141" t="s">
        <v>204</v>
      </c>
      <c r="K244" s="5" t="s">
        <v>931</v>
      </c>
      <c r="L244" s="5"/>
      <c r="M244" s="5" t="s">
        <v>207</v>
      </c>
      <c r="N244" s="5"/>
      <c r="O244" s="5"/>
      <c r="P244" s="184">
        <v>1236</v>
      </c>
      <c r="Q244" s="45"/>
      <c r="R244" s="45"/>
      <c r="S244" s="45"/>
      <c r="T244" s="45"/>
      <c r="U244" s="45"/>
      <c r="V244" s="53">
        <f t="shared" si="4"/>
        <v>1236</v>
      </c>
      <c r="W244" s="22"/>
      <c r="X244" s="22" t="s">
        <v>243</v>
      </c>
      <c r="Y244" s="22"/>
      <c r="Z244" s="22"/>
      <c r="AA244" s="22"/>
      <c r="AB244" s="22"/>
      <c r="AC244" s="22"/>
      <c r="AD244" s="22"/>
      <c r="AE244" s="22"/>
      <c r="AF244" s="22"/>
      <c r="AG244" s="22"/>
      <c r="AH244" s="22"/>
      <c r="AI244" s="22"/>
      <c r="AJ244" s="22"/>
      <c r="AK244" s="22"/>
      <c r="AL244" s="22"/>
      <c r="AM244" s="22"/>
      <c r="AN244" s="22"/>
      <c r="AO244" s="22"/>
      <c r="AP244" s="22"/>
      <c r="AQ244" s="22"/>
      <c r="AR244" s="22"/>
      <c r="AS244" s="22"/>
      <c r="AT244" s="22"/>
      <c r="AU244" s="22"/>
      <c r="AV244" s="22"/>
      <c r="AW244" s="22"/>
      <c r="AX244" s="22"/>
      <c r="AY244" s="22"/>
      <c r="AZ244" s="22"/>
      <c r="BA244" s="5"/>
    </row>
    <row r="245" spans="1:53" ht="15" thickBot="1" x14ac:dyDescent="0.4">
      <c r="A245" s="16" t="s">
        <v>243</v>
      </c>
      <c r="B245" s="16" t="s">
        <v>535</v>
      </c>
      <c r="C245" s="16" t="s">
        <v>535</v>
      </c>
      <c r="D245" s="16" t="s">
        <v>535</v>
      </c>
      <c r="E245" s="16" t="s">
        <v>535</v>
      </c>
      <c r="F245" s="16" t="s">
        <v>535</v>
      </c>
      <c r="G245" s="16" t="s">
        <v>535</v>
      </c>
      <c r="H245" s="16" t="s">
        <v>535</v>
      </c>
      <c r="I245" s="140" t="s">
        <v>535</v>
      </c>
      <c r="J245" s="141" t="s">
        <v>204</v>
      </c>
      <c r="K245" s="5" t="s">
        <v>932</v>
      </c>
      <c r="L245" s="5"/>
      <c r="M245" s="5" t="s">
        <v>207</v>
      </c>
      <c r="N245" s="5"/>
      <c r="O245" s="5"/>
      <c r="P245" s="184">
        <v>876</v>
      </c>
      <c r="Q245" s="45"/>
      <c r="R245" s="45"/>
      <c r="S245" s="45"/>
      <c r="T245" s="45"/>
      <c r="U245" s="45"/>
      <c r="V245" s="53">
        <f t="shared" si="4"/>
        <v>876</v>
      </c>
      <c r="W245" s="22"/>
      <c r="X245" s="22" t="s">
        <v>243</v>
      </c>
      <c r="Y245" s="22"/>
      <c r="Z245" s="22"/>
      <c r="AA245" s="22"/>
      <c r="AB245" s="22"/>
      <c r="AC245" s="22"/>
      <c r="AD245" s="22"/>
      <c r="AE245" s="22"/>
      <c r="AF245" s="22"/>
      <c r="AG245" s="22"/>
      <c r="AH245" s="22"/>
      <c r="AI245" s="22"/>
      <c r="AJ245" s="22"/>
      <c r="AK245" s="22"/>
      <c r="AL245" s="22"/>
      <c r="AM245" s="22"/>
      <c r="AN245" s="22"/>
      <c r="AO245" s="22"/>
      <c r="AP245" s="22"/>
      <c r="AQ245" s="22"/>
      <c r="AR245" s="22"/>
      <c r="AS245" s="22"/>
      <c r="AT245" s="22"/>
      <c r="AU245" s="22"/>
      <c r="AV245" s="22"/>
      <c r="AW245" s="22"/>
      <c r="AX245" s="22"/>
      <c r="AY245" s="22"/>
      <c r="AZ245" s="22"/>
      <c r="BA245" s="5"/>
    </row>
    <row r="246" spans="1:53" ht="15" thickBot="1" x14ac:dyDescent="0.4">
      <c r="A246" s="16" t="s">
        <v>243</v>
      </c>
      <c r="B246" s="16" t="s">
        <v>535</v>
      </c>
      <c r="C246" s="16" t="s">
        <v>535</v>
      </c>
      <c r="D246" s="16" t="s">
        <v>535</v>
      </c>
      <c r="E246" s="16" t="s">
        <v>535</v>
      </c>
      <c r="F246" s="16" t="s">
        <v>535</v>
      </c>
      <c r="G246" s="16" t="s">
        <v>535</v>
      </c>
      <c r="H246" s="16" t="s">
        <v>535</v>
      </c>
      <c r="I246" s="140" t="s">
        <v>535</v>
      </c>
      <c r="J246" s="141" t="s">
        <v>204</v>
      </c>
      <c r="K246" s="5" t="s">
        <v>933</v>
      </c>
      <c r="L246" s="5"/>
      <c r="M246" s="5" t="s">
        <v>207</v>
      </c>
      <c r="N246" s="5"/>
      <c r="O246" s="5"/>
      <c r="P246" s="184">
        <v>2571</v>
      </c>
      <c r="Q246" s="45"/>
      <c r="R246" s="45"/>
      <c r="S246" s="45"/>
      <c r="T246" s="45"/>
      <c r="U246" s="45"/>
      <c r="V246" s="53">
        <f t="shared" si="4"/>
        <v>2571</v>
      </c>
      <c r="W246" s="22"/>
      <c r="X246" s="22" t="s">
        <v>243</v>
      </c>
      <c r="Y246" s="22"/>
      <c r="Z246" s="22"/>
      <c r="AA246" s="22"/>
      <c r="AB246" s="22"/>
      <c r="AC246" s="22"/>
      <c r="AD246" s="22"/>
      <c r="AE246" s="22"/>
      <c r="AF246" s="22"/>
      <c r="AG246" s="22"/>
      <c r="AH246" s="22"/>
      <c r="AI246" s="22"/>
      <c r="AJ246" s="22"/>
      <c r="AK246" s="22"/>
      <c r="AL246" s="22"/>
      <c r="AM246" s="22"/>
      <c r="AN246" s="22"/>
      <c r="AO246" s="22"/>
      <c r="AP246" s="22"/>
      <c r="AQ246" s="22"/>
      <c r="AR246" s="22"/>
      <c r="AS246" s="22"/>
      <c r="AT246" s="22"/>
      <c r="AU246" s="22"/>
      <c r="AV246" s="22"/>
      <c r="AW246" s="22"/>
      <c r="AX246" s="22"/>
      <c r="AY246" s="22"/>
      <c r="AZ246" s="22"/>
      <c r="BA246" s="5"/>
    </row>
    <row r="247" spans="1:53" ht="15" thickBot="1" x14ac:dyDescent="0.4">
      <c r="A247" s="16" t="s">
        <v>243</v>
      </c>
      <c r="B247" s="16" t="s">
        <v>535</v>
      </c>
      <c r="C247" s="16" t="s">
        <v>535</v>
      </c>
      <c r="D247" s="16" t="s">
        <v>535</v>
      </c>
      <c r="E247" s="16" t="s">
        <v>535</v>
      </c>
      <c r="F247" s="16" t="s">
        <v>535</v>
      </c>
      <c r="G247" s="16" t="s">
        <v>535</v>
      </c>
      <c r="H247" s="16" t="s">
        <v>535</v>
      </c>
      <c r="I247" s="140" t="s">
        <v>535</v>
      </c>
      <c r="J247" s="141" t="s">
        <v>204</v>
      </c>
      <c r="K247" s="5" t="s">
        <v>934</v>
      </c>
      <c r="L247" s="5"/>
      <c r="M247" s="5" t="s">
        <v>207</v>
      </c>
      <c r="N247" s="5"/>
      <c r="O247" s="5"/>
      <c r="P247" s="184">
        <v>2261</v>
      </c>
      <c r="Q247" s="45"/>
      <c r="R247" s="45"/>
      <c r="S247" s="45"/>
      <c r="T247" s="45"/>
      <c r="U247" s="45"/>
      <c r="V247" s="53">
        <f t="shared" si="4"/>
        <v>2261</v>
      </c>
      <c r="W247" s="22"/>
      <c r="X247" s="22" t="s">
        <v>243</v>
      </c>
      <c r="Y247" s="22"/>
      <c r="Z247" s="22"/>
      <c r="AA247" s="22"/>
      <c r="AB247" s="22"/>
      <c r="AC247" s="22"/>
      <c r="AD247" s="22"/>
      <c r="AE247" s="22"/>
      <c r="AF247" s="22"/>
      <c r="AG247" s="22"/>
      <c r="AH247" s="22"/>
      <c r="AI247" s="22"/>
      <c r="AJ247" s="22"/>
      <c r="AK247" s="22"/>
      <c r="AL247" s="22"/>
      <c r="AM247" s="22"/>
      <c r="AN247" s="22"/>
      <c r="AO247" s="22"/>
      <c r="AP247" s="22"/>
      <c r="AQ247" s="22"/>
      <c r="AR247" s="22"/>
      <c r="AS247" s="22"/>
      <c r="AT247" s="22"/>
      <c r="AU247" s="22"/>
      <c r="AV247" s="22"/>
      <c r="AW247" s="22"/>
      <c r="AX247" s="22"/>
      <c r="AY247" s="22"/>
      <c r="AZ247" s="22"/>
      <c r="BA247" s="5"/>
    </row>
    <row r="248" spans="1:53" ht="15" thickBot="1" x14ac:dyDescent="0.4">
      <c r="A248" s="16" t="s">
        <v>243</v>
      </c>
      <c r="B248" s="16" t="s">
        <v>535</v>
      </c>
      <c r="C248" s="16" t="s">
        <v>535</v>
      </c>
      <c r="D248" s="16" t="s">
        <v>535</v>
      </c>
      <c r="E248" s="16" t="s">
        <v>535</v>
      </c>
      <c r="F248" s="16" t="s">
        <v>535</v>
      </c>
      <c r="G248" s="16" t="s">
        <v>535</v>
      </c>
      <c r="H248" s="16" t="s">
        <v>535</v>
      </c>
      <c r="I248" s="140" t="s">
        <v>535</v>
      </c>
      <c r="J248" s="141" t="s">
        <v>204</v>
      </c>
      <c r="K248" s="5" t="s">
        <v>935</v>
      </c>
      <c r="L248" s="5"/>
      <c r="M248" s="5" t="s">
        <v>207</v>
      </c>
      <c r="N248" s="5"/>
      <c r="O248" s="5"/>
      <c r="P248" s="184">
        <v>3100</v>
      </c>
      <c r="Q248" s="45"/>
      <c r="R248" s="45"/>
      <c r="S248" s="45"/>
      <c r="T248" s="45"/>
      <c r="U248" s="45"/>
      <c r="V248" s="53">
        <f t="shared" si="4"/>
        <v>3100</v>
      </c>
      <c r="W248" s="22"/>
      <c r="X248" s="22" t="s">
        <v>243</v>
      </c>
      <c r="Y248" s="22"/>
      <c r="Z248" s="22"/>
      <c r="AA248" s="22"/>
      <c r="AB248" s="22"/>
      <c r="AC248" s="22"/>
      <c r="AD248" s="22"/>
      <c r="AE248" s="22"/>
      <c r="AF248" s="22"/>
      <c r="AG248" s="22"/>
      <c r="AH248" s="22"/>
      <c r="AI248" s="22"/>
      <c r="AJ248" s="22"/>
      <c r="AK248" s="22"/>
      <c r="AL248" s="22"/>
      <c r="AM248" s="22"/>
      <c r="AN248" s="22"/>
      <c r="AO248" s="22"/>
      <c r="AP248" s="22"/>
      <c r="AQ248" s="22"/>
      <c r="AR248" s="22"/>
      <c r="AS248" s="22"/>
      <c r="AT248" s="22"/>
      <c r="AU248" s="22"/>
      <c r="AV248" s="22"/>
      <c r="AW248" s="22"/>
      <c r="AX248" s="22"/>
      <c r="AY248" s="22"/>
      <c r="AZ248" s="22"/>
      <c r="BA248" s="5"/>
    </row>
    <row r="249" spans="1:53" ht="15" thickBot="1" x14ac:dyDescent="0.4">
      <c r="A249" s="16" t="s">
        <v>243</v>
      </c>
      <c r="B249" s="16" t="s">
        <v>535</v>
      </c>
      <c r="C249" s="16" t="s">
        <v>535</v>
      </c>
      <c r="D249" s="16" t="s">
        <v>535</v>
      </c>
      <c r="E249" s="16" t="s">
        <v>535</v>
      </c>
      <c r="F249" s="16" t="s">
        <v>535</v>
      </c>
      <c r="G249" s="16" t="s">
        <v>535</v>
      </c>
      <c r="H249" s="16" t="s">
        <v>535</v>
      </c>
      <c r="I249" s="140" t="s">
        <v>535</v>
      </c>
      <c r="J249" s="141" t="s">
        <v>204</v>
      </c>
      <c r="K249" s="5" t="s">
        <v>936</v>
      </c>
      <c r="L249" s="5"/>
      <c r="M249" s="5" t="s">
        <v>207</v>
      </c>
      <c r="N249" s="5"/>
      <c r="O249" s="5"/>
      <c r="P249" s="184">
        <v>4457</v>
      </c>
      <c r="Q249" s="45"/>
      <c r="R249" s="45"/>
      <c r="S249" s="45"/>
      <c r="T249" s="45"/>
      <c r="U249" s="45"/>
      <c r="V249" s="53">
        <f t="shared" si="4"/>
        <v>4457</v>
      </c>
      <c r="W249" s="22"/>
      <c r="X249" s="22" t="s">
        <v>243</v>
      </c>
      <c r="Y249" s="22"/>
      <c r="Z249" s="22"/>
      <c r="AA249" s="22"/>
      <c r="AB249" s="22"/>
      <c r="AC249" s="22"/>
      <c r="AD249" s="22"/>
      <c r="AE249" s="22"/>
      <c r="AF249" s="22"/>
      <c r="AG249" s="22"/>
      <c r="AH249" s="22"/>
      <c r="AI249" s="22"/>
      <c r="AJ249" s="22"/>
      <c r="AK249" s="22"/>
      <c r="AL249" s="22"/>
      <c r="AM249" s="22"/>
      <c r="AN249" s="22"/>
      <c r="AO249" s="22"/>
      <c r="AP249" s="22"/>
      <c r="AQ249" s="22"/>
      <c r="AR249" s="22"/>
      <c r="AS249" s="22"/>
      <c r="AT249" s="22"/>
      <c r="AU249" s="22"/>
      <c r="AV249" s="22"/>
      <c r="AW249" s="22"/>
      <c r="AX249" s="22"/>
      <c r="AY249" s="22"/>
      <c r="AZ249" s="22"/>
      <c r="BA249" s="5"/>
    </row>
    <row r="250" spans="1:53" ht="15" thickBot="1" x14ac:dyDescent="0.4">
      <c r="A250" s="16" t="s">
        <v>243</v>
      </c>
      <c r="B250" s="16" t="s">
        <v>535</v>
      </c>
      <c r="C250" s="16" t="s">
        <v>535</v>
      </c>
      <c r="D250" s="16" t="s">
        <v>535</v>
      </c>
      <c r="E250" s="16" t="s">
        <v>535</v>
      </c>
      <c r="F250" s="16" t="s">
        <v>535</v>
      </c>
      <c r="G250" s="16" t="s">
        <v>535</v>
      </c>
      <c r="H250" s="16" t="s">
        <v>535</v>
      </c>
      <c r="I250" s="140" t="s">
        <v>535</v>
      </c>
      <c r="J250" s="141" t="s">
        <v>204</v>
      </c>
      <c r="K250" s="5" t="s">
        <v>937</v>
      </c>
      <c r="L250" s="5"/>
      <c r="M250" s="5" t="s">
        <v>207</v>
      </c>
      <c r="N250" s="5"/>
      <c r="O250" s="5"/>
      <c r="P250" s="184">
        <v>3943</v>
      </c>
      <c r="Q250" s="45"/>
      <c r="R250" s="45"/>
      <c r="S250" s="45"/>
      <c r="T250" s="45"/>
      <c r="U250" s="45"/>
      <c r="V250" s="53">
        <f t="shared" si="4"/>
        <v>3943</v>
      </c>
      <c r="W250" s="22"/>
      <c r="X250" s="22" t="s">
        <v>243</v>
      </c>
      <c r="Y250" s="22"/>
      <c r="Z250" s="22"/>
      <c r="AA250" s="22"/>
      <c r="AB250" s="22"/>
      <c r="AC250" s="22"/>
      <c r="AD250" s="22"/>
      <c r="AE250" s="22"/>
      <c r="AF250" s="22"/>
      <c r="AG250" s="22"/>
      <c r="AH250" s="22"/>
      <c r="AI250" s="22"/>
      <c r="AJ250" s="22"/>
      <c r="AK250" s="22"/>
      <c r="AL250" s="22"/>
      <c r="AM250" s="22"/>
      <c r="AN250" s="22"/>
      <c r="AO250" s="22"/>
      <c r="AP250" s="22"/>
      <c r="AQ250" s="22"/>
      <c r="AR250" s="22"/>
      <c r="AS250" s="22"/>
      <c r="AT250" s="22"/>
      <c r="AU250" s="22"/>
      <c r="AV250" s="22"/>
      <c r="AW250" s="22"/>
      <c r="AX250" s="22"/>
      <c r="AY250" s="22"/>
      <c r="AZ250" s="22"/>
      <c r="BA250" s="5"/>
    </row>
    <row r="251" spans="1:53" ht="15" thickBot="1" x14ac:dyDescent="0.4">
      <c r="A251" s="16" t="s">
        <v>243</v>
      </c>
      <c r="B251" s="16" t="s">
        <v>535</v>
      </c>
      <c r="C251" s="16" t="s">
        <v>535</v>
      </c>
      <c r="D251" s="16" t="s">
        <v>535</v>
      </c>
      <c r="E251" s="16" t="s">
        <v>535</v>
      </c>
      <c r="F251" s="16" t="s">
        <v>535</v>
      </c>
      <c r="G251" s="16" t="s">
        <v>535</v>
      </c>
      <c r="H251" s="16" t="s">
        <v>535</v>
      </c>
      <c r="I251" s="140" t="s">
        <v>535</v>
      </c>
      <c r="J251" s="141" t="s">
        <v>204</v>
      </c>
      <c r="K251" s="5" t="s">
        <v>938</v>
      </c>
      <c r="L251" s="5"/>
      <c r="M251" s="5" t="s">
        <v>207</v>
      </c>
      <c r="N251" s="5"/>
      <c r="O251" s="5"/>
      <c r="P251" s="184">
        <v>4821</v>
      </c>
      <c r="Q251" s="45"/>
      <c r="R251" s="45"/>
      <c r="S251" s="45"/>
      <c r="T251" s="45"/>
      <c r="U251" s="45"/>
      <c r="V251" s="53">
        <f t="shared" si="4"/>
        <v>4821</v>
      </c>
      <c r="W251" s="22"/>
      <c r="X251" s="22" t="s">
        <v>243</v>
      </c>
      <c r="Y251" s="22"/>
      <c r="Z251" s="22"/>
      <c r="AA251" s="22"/>
      <c r="AB251" s="22"/>
      <c r="AC251" s="22"/>
      <c r="AD251" s="22"/>
      <c r="AE251" s="22"/>
      <c r="AF251" s="22"/>
      <c r="AG251" s="22"/>
      <c r="AH251" s="22"/>
      <c r="AI251" s="22"/>
      <c r="AJ251" s="22"/>
      <c r="AK251" s="22"/>
      <c r="AL251" s="22"/>
      <c r="AM251" s="22"/>
      <c r="AN251" s="22"/>
      <c r="AO251" s="22"/>
      <c r="AP251" s="22"/>
      <c r="AQ251" s="22"/>
      <c r="AR251" s="22"/>
      <c r="AS251" s="22"/>
      <c r="AT251" s="22"/>
      <c r="AU251" s="22"/>
      <c r="AV251" s="22"/>
      <c r="AW251" s="22"/>
      <c r="AX251" s="22"/>
      <c r="AY251" s="22"/>
      <c r="AZ251" s="22"/>
      <c r="BA251" s="5"/>
    </row>
    <row r="252" spans="1:53" ht="15" thickBot="1" x14ac:dyDescent="0.4">
      <c r="A252" s="16" t="s">
        <v>243</v>
      </c>
      <c r="B252" s="16" t="s">
        <v>535</v>
      </c>
      <c r="C252" s="16" t="s">
        <v>535</v>
      </c>
      <c r="D252" s="16" t="s">
        <v>535</v>
      </c>
      <c r="E252" s="16" t="s">
        <v>535</v>
      </c>
      <c r="F252" s="16" t="s">
        <v>535</v>
      </c>
      <c r="G252" s="16" t="s">
        <v>535</v>
      </c>
      <c r="H252" s="16" t="s">
        <v>535</v>
      </c>
      <c r="I252" s="140" t="s">
        <v>535</v>
      </c>
      <c r="J252" s="141" t="s">
        <v>204</v>
      </c>
      <c r="K252" s="5" t="s">
        <v>939</v>
      </c>
      <c r="L252" s="5"/>
      <c r="M252" s="5" t="s">
        <v>207</v>
      </c>
      <c r="N252" s="5"/>
      <c r="O252" s="5"/>
      <c r="P252" s="184">
        <v>1780</v>
      </c>
      <c r="Q252" s="45"/>
      <c r="R252" s="45"/>
      <c r="S252" s="45"/>
      <c r="T252" s="45"/>
      <c r="U252" s="45"/>
      <c r="V252" s="53">
        <f t="shared" si="4"/>
        <v>1780</v>
      </c>
      <c r="W252" s="22"/>
      <c r="X252" s="22" t="s">
        <v>243</v>
      </c>
      <c r="Y252" s="22"/>
      <c r="Z252" s="22"/>
      <c r="AA252" s="22"/>
      <c r="AB252" s="22"/>
      <c r="AC252" s="22"/>
      <c r="AD252" s="22"/>
      <c r="AE252" s="22"/>
      <c r="AF252" s="22"/>
      <c r="AG252" s="22"/>
      <c r="AH252" s="22"/>
      <c r="AI252" s="22"/>
      <c r="AJ252" s="22"/>
      <c r="AK252" s="22"/>
      <c r="AL252" s="22"/>
      <c r="AM252" s="22"/>
      <c r="AN252" s="22"/>
      <c r="AO252" s="22"/>
      <c r="AP252" s="22"/>
      <c r="AQ252" s="22"/>
      <c r="AR252" s="22"/>
      <c r="AS252" s="22"/>
      <c r="AT252" s="22"/>
      <c r="AU252" s="22"/>
      <c r="AV252" s="22"/>
      <c r="AW252" s="22"/>
      <c r="AX252" s="22"/>
      <c r="AY252" s="22"/>
      <c r="AZ252" s="22"/>
      <c r="BA252" s="5"/>
    </row>
    <row r="253" spans="1:53" ht="15" thickBot="1" x14ac:dyDescent="0.4">
      <c r="A253" s="16" t="s">
        <v>243</v>
      </c>
      <c r="B253" s="16" t="s">
        <v>535</v>
      </c>
      <c r="C253" s="16" t="s">
        <v>535</v>
      </c>
      <c r="D253" s="16" t="s">
        <v>535</v>
      </c>
      <c r="E253" s="16" t="s">
        <v>535</v>
      </c>
      <c r="F253" s="16" t="s">
        <v>535</v>
      </c>
      <c r="G253" s="16" t="s">
        <v>535</v>
      </c>
      <c r="H253" s="16" t="s">
        <v>535</v>
      </c>
      <c r="I253" s="140" t="s">
        <v>535</v>
      </c>
      <c r="J253" s="141" t="s">
        <v>204</v>
      </c>
      <c r="K253" s="5" t="s">
        <v>940</v>
      </c>
      <c r="L253" s="5"/>
      <c r="M253" s="5" t="s">
        <v>207</v>
      </c>
      <c r="N253" s="5"/>
      <c r="O253" s="5"/>
      <c r="P253" s="184">
        <v>1923</v>
      </c>
      <c r="Q253" s="45"/>
      <c r="R253" s="45"/>
      <c r="S253" s="45"/>
      <c r="T253" s="45"/>
      <c r="U253" s="45"/>
      <c r="V253" s="53">
        <f t="shared" si="4"/>
        <v>1923</v>
      </c>
      <c r="W253" s="22"/>
      <c r="X253" s="22" t="s">
        <v>243</v>
      </c>
      <c r="Y253" s="22"/>
      <c r="Z253" s="22"/>
      <c r="AA253" s="22"/>
      <c r="AB253" s="22"/>
      <c r="AC253" s="22"/>
      <c r="AD253" s="22"/>
      <c r="AE253" s="22"/>
      <c r="AF253" s="22"/>
      <c r="AG253" s="22"/>
      <c r="AH253" s="22"/>
      <c r="AI253" s="22"/>
      <c r="AJ253" s="22"/>
      <c r="AK253" s="22"/>
      <c r="AL253" s="22"/>
      <c r="AM253" s="22"/>
      <c r="AN253" s="22"/>
      <c r="AO253" s="22"/>
      <c r="AP253" s="22"/>
      <c r="AQ253" s="22"/>
      <c r="AR253" s="22"/>
      <c r="AS253" s="22"/>
      <c r="AT253" s="22"/>
      <c r="AU253" s="22"/>
      <c r="AV253" s="22"/>
      <c r="AW253" s="22"/>
      <c r="AX253" s="22"/>
      <c r="AY253" s="22"/>
      <c r="AZ253" s="22"/>
      <c r="BA253" s="5"/>
    </row>
    <row r="254" spans="1:53" ht="25.25" customHeight="1" thickBot="1" x14ac:dyDescent="0.4">
      <c r="A254" s="16" t="s">
        <v>243</v>
      </c>
      <c r="B254" s="16" t="s">
        <v>535</v>
      </c>
      <c r="C254" s="16" t="s">
        <v>535</v>
      </c>
      <c r="D254" s="16" t="s">
        <v>535</v>
      </c>
      <c r="E254" s="16" t="s">
        <v>535</v>
      </c>
      <c r="F254" s="16" t="s">
        <v>535</v>
      </c>
      <c r="G254" s="16" t="s">
        <v>535</v>
      </c>
      <c r="H254" s="16" t="s">
        <v>535</v>
      </c>
      <c r="I254" s="140" t="s">
        <v>535</v>
      </c>
      <c r="J254" s="141" t="s">
        <v>204</v>
      </c>
      <c r="K254" s="5" t="s">
        <v>941</v>
      </c>
      <c r="L254" s="5"/>
      <c r="M254" s="5" t="s">
        <v>207</v>
      </c>
      <c r="N254" s="5"/>
      <c r="O254" s="5"/>
      <c r="P254" s="184">
        <v>2547</v>
      </c>
      <c r="Q254" s="45"/>
      <c r="R254" s="45"/>
      <c r="S254" s="45"/>
      <c r="T254" s="45"/>
      <c r="U254" s="45"/>
      <c r="V254" s="53">
        <f t="shared" si="4"/>
        <v>2547</v>
      </c>
      <c r="W254" s="22"/>
      <c r="X254" s="22" t="s">
        <v>243</v>
      </c>
      <c r="Y254" s="22"/>
      <c r="Z254" s="22"/>
      <c r="AA254" s="22"/>
      <c r="AB254" s="22"/>
      <c r="AC254" s="22"/>
      <c r="AD254" s="22"/>
      <c r="AE254" s="22"/>
      <c r="AF254" s="22"/>
      <c r="AG254" s="22"/>
      <c r="AH254" s="22"/>
      <c r="AI254" s="22"/>
      <c r="AJ254" s="22"/>
      <c r="AK254" s="22"/>
      <c r="AL254" s="22"/>
      <c r="AM254" s="22"/>
      <c r="AN254" s="22"/>
      <c r="AO254" s="22"/>
      <c r="AP254" s="22"/>
      <c r="AQ254" s="22"/>
      <c r="AR254" s="22"/>
      <c r="AS254" s="22"/>
      <c r="AT254" s="22"/>
      <c r="AU254" s="22"/>
      <c r="AV254" s="22"/>
      <c r="AW254" s="22"/>
      <c r="AX254" s="22"/>
      <c r="AY254" s="22"/>
      <c r="AZ254" s="22"/>
      <c r="BA254" s="5"/>
    </row>
    <row r="255" spans="1:53" ht="28.5" customHeight="1" thickBot="1" x14ac:dyDescent="0.4">
      <c r="A255" s="16" t="s">
        <v>243</v>
      </c>
      <c r="B255" s="16" t="s">
        <v>535</v>
      </c>
      <c r="C255" s="16" t="s">
        <v>535</v>
      </c>
      <c r="D255" s="16" t="s">
        <v>535</v>
      </c>
      <c r="E255" s="16" t="s">
        <v>535</v>
      </c>
      <c r="F255" s="16" t="s">
        <v>535</v>
      </c>
      <c r="G255" s="16" t="s">
        <v>535</v>
      </c>
      <c r="H255" s="16" t="s">
        <v>535</v>
      </c>
      <c r="I255" s="140" t="s">
        <v>535</v>
      </c>
      <c r="J255" s="141" t="s">
        <v>204</v>
      </c>
      <c r="K255" s="5" t="s">
        <v>942</v>
      </c>
      <c r="L255" s="5"/>
      <c r="M255" s="5" t="s">
        <v>207</v>
      </c>
      <c r="N255" s="5"/>
      <c r="O255" s="5"/>
      <c r="P255" s="184">
        <v>1624</v>
      </c>
      <c r="Q255" s="45"/>
      <c r="R255" s="45"/>
      <c r="S255" s="45"/>
      <c r="T255" s="45"/>
      <c r="U255" s="45"/>
      <c r="V255" s="53">
        <f t="shared" si="4"/>
        <v>1624</v>
      </c>
      <c r="W255" s="22"/>
      <c r="X255" s="22" t="s">
        <v>243</v>
      </c>
      <c r="Y255" s="22"/>
      <c r="Z255" s="22"/>
      <c r="AA255" s="22"/>
      <c r="AB255" s="22"/>
      <c r="AC255" s="22"/>
      <c r="AD255" s="22"/>
      <c r="AE255" s="22"/>
      <c r="AF255" s="22"/>
      <c r="AG255" s="22"/>
      <c r="AH255" s="22"/>
      <c r="AI255" s="22"/>
      <c r="AJ255" s="22"/>
      <c r="AK255" s="22"/>
      <c r="AL255" s="22"/>
      <c r="AM255" s="22"/>
      <c r="AN255" s="22"/>
      <c r="AO255" s="22"/>
      <c r="AP255" s="22"/>
      <c r="AQ255" s="22"/>
      <c r="AR255" s="22"/>
      <c r="AS255" s="22"/>
      <c r="AT255" s="22"/>
      <c r="AU255" s="22"/>
      <c r="AV255" s="22"/>
      <c r="AW255" s="22"/>
      <c r="AX255" s="22"/>
      <c r="AY255" s="22"/>
      <c r="AZ255" s="22"/>
      <c r="BA255" s="5"/>
    </row>
    <row r="256" spans="1:53" ht="27" customHeight="1" thickBot="1" x14ac:dyDescent="0.4">
      <c r="A256" s="16" t="s">
        <v>243</v>
      </c>
      <c r="B256" s="16" t="s">
        <v>535</v>
      </c>
      <c r="C256" s="16" t="s">
        <v>535</v>
      </c>
      <c r="D256" s="16" t="s">
        <v>535</v>
      </c>
      <c r="E256" s="16" t="s">
        <v>535</v>
      </c>
      <c r="F256" s="16" t="s">
        <v>535</v>
      </c>
      <c r="G256" s="16" t="s">
        <v>535</v>
      </c>
      <c r="H256" s="16" t="s">
        <v>535</v>
      </c>
      <c r="I256" s="140" t="s">
        <v>535</v>
      </c>
      <c r="J256" s="141" t="s">
        <v>204</v>
      </c>
      <c r="K256" s="5" t="s">
        <v>943</v>
      </c>
      <c r="L256" s="5"/>
      <c r="M256" s="5" t="s">
        <v>207</v>
      </c>
      <c r="N256" s="5"/>
      <c r="O256" s="5"/>
      <c r="P256" s="184">
        <v>1487</v>
      </c>
      <c r="Q256" s="45"/>
      <c r="R256" s="45"/>
      <c r="S256" s="45"/>
      <c r="T256" s="45"/>
      <c r="U256" s="45"/>
      <c r="V256" s="53">
        <f t="shared" si="4"/>
        <v>1487</v>
      </c>
      <c r="W256" s="22"/>
      <c r="X256" s="22" t="s">
        <v>243</v>
      </c>
      <c r="Y256" s="22"/>
      <c r="Z256" s="22"/>
      <c r="AA256" s="22"/>
      <c r="AB256" s="22"/>
      <c r="AC256" s="22"/>
      <c r="AD256" s="22"/>
      <c r="AE256" s="22"/>
      <c r="AF256" s="22"/>
      <c r="AG256" s="22"/>
      <c r="AH256" s="22"/>
      <c r="AI256" s="22"/>
      <c r="AJ256" s="22"/>
      <c r="AK256" s="22"/>
      <c r="AL256" s="22"/>
      <c r="AM256" s="22"/>
      <c r="AN256" s="22"/>
      <c r="AO256" s="22"/>
      <c r="AP256" s="22"/>
      <c r="AQ256" s="22"/>
      <c r="AR256" s="22"/>
      <c r="AS256" s="22"/>
      <c r="AT256" s="22"/>
      <c r="AU256" s="22"/>
      <c r="AV256" s="22"/>
      <c r="AW256" s="22"/>
      <c r="AX256" s="22"/>
      <c r="AY256" s="22"/>
      <c r="AZ256" s="22"/>
      <c r="BA256" s="5"/>
    </row>
    <row r="257" spans="1:53" ht="15" thickBot="1" x14ac:dyDescent="0.4">
      <c r="A257" s="16" t="s">
        <v>243</v>
      </c>
      <c r="B257" s="16" t="s">
        <v>535</v>
      </c>
      <c r="C257" s="16" t="s">
        <v>535</v>
      </c>
      <c r="D257" s="16" t="s">
        <v>535</v>
      </c>
      <c r="E257" s="16" t="s">
        <v>535</v>
      </c>
      <c r="F257" s="16" t="s">
        <v>535</v>
      </c>
      <c r="G257" s="16" t="s">
        <v>535</v>
      </c>
      <c r="H257" s="16" t="s">
        <v>535</v>
      </c>
      <c r="I257" s="140" t="s">
        <v>535</v>
      </c>
      <c r="J257" s="141" t="s">
        <v>204</v>
      </c>
      <c r="K257" s="5" t="s">
        <v>944</v>
      </c>
      <c r="L257" s="5"/>
      <c r="M257" s="5" t="s">
        <v>207</v>
      </c>
      <c r="N257" s="5"/>
      <c r="O257" s="5"/>
      <c r="P257" s="184">
        <v>1425</v>
      </c>
      <c r="Q257" s="45"/>
      <c r="R257" s="45"/>
      <c r="S257" s="45"/>
      <c r="T257" s="45"/>
      <c r="U257" s="45"/>
      <c r="V257" s="53">
        <f t="shared" si="4"/>
        <v>1425</v>
      </c>
      <c r="W257" s="22"/>
      <c r="X257" s="22" t="s">
        <v>243</v>
      </c>
      <c r="Y257" s="22"/>
      <c r="Z257" s="22"/>
      <c r="AA257" s="22"/>
      <c r="AB257" s="22"/>
      <c r="AC257" s="22"/>
      <c r="AD257" s="22"/>
      <c r="AE257" s="22"/>
      <c r="AF257" s="22"/>
      <c r="AG257" s="22"/>
      <c r="AH257" s="22"/>
      <c r="AI257" s="22"/>
      <c r="AJ257" s="22"/>
      <c r="AK257" s="22"/>
      <c r="AL257" s="22"/>
      <c r="AM257" s="22"/>
      <c r="AN257" s="22"/>
      <c r="AO257" s="22"/>
      <c r="AP257" s="22"/>
      <c r="AQ257" s="22"/>
      <c r="AR257" s="22"/>
      <c r="AS257" s="22"/>
      <c r="AT257" s="22"/>
      <c r="AU257" s="22"/>
      <c r="AV257" s="22"/>
      <c r="AW257" s="22"/>
      <c r="AX257" s="22"/>
      <c r="AY257" s="22"/>
      <c r="AZ257" s="22"/>
      <c r="BA257" s="5"/>
    </row>
    <row r="258" spans="1:53" ht="15" thickBot="1" x14ac:dyDescent="0.4">
      <c r="A258" s="16" t="s">
        <v>243</v>
      </c>
      <c r="B258" s="16" t="s">
        <v>535</v>
      </c>
      <c r="C258" s="16" t="s">
        <v>535</v>
      </c>
      <c r="D258" s="16" t="s">
        <v>535</v>
      </c>
      <c r="E258" s="16" t="s">
        <v>535</v>
      </c>
      <c r="F258" s="16" t="s">
        <v>535</v>
      </c>
      <c r="G258" s="16" t="s">
        <v>535</v>
      </c>
      <c r="H258" s="16" t="s">
        <v>535</v>
      </c>
      <c r="I258" s="140" t="s">
        <v>535</v>
      </c>
      <c r="J258" s="141" t="s">
        <v>204</v>
      </c>
      <c r="K258" s="5" t="s">
        <v>945</v>
      </c>
      <c r="L258" s="5"/>
      <c r="M258" s="5" t="s">
        <v>207</v>
      </c>
      <c r="N258" s="5"/>
      <c r="O258" s="5"/>
      <c r="P258" s="184">
        <v>1674</v>
      </c>
      <c r="Q258" s="45"/>
      <c r="R258" s="45"/>
      <c r="S258" s="45"/>
      <c r="T258" s="45"/>
      <c r="U258" s="45"/>
      <c r="V258" s="53">
        <f t="shared" si="4"/>
        <v>1674</v>
      </c>
      <c r="W258" s="22"/>
      <c r="X258" s="22" t="s">
        <v>243</v>
      </c>
      <c r="Y258" s="22"/>
      <c r="Z258" s="22"/>
      <c r="AA258" s="22"/>
      <c r="AB258" s="22"/>
      <c r="AC258" s="22"/>
      <c r="AD258" s="22"/>
      <c r="AE258" s="22"/>
      <c r="AF258" s="22"/>
      <c r="AG258" s="22"/>
      <c r="AH258" s="22"/>
      <c r="AI258" s="22"/>
      <c r="AJ258" s="22"/>
      <c r="AK258" s="22"/>
      <c r="AL258" s="22"/>
      <c r="AM258" s="22"/>
      <c r="AN258" s="22"/>
      <c r="AO258" s="22"/>
      <c r="AP258" s="22"/>
      <c r="AQ258" s="22"/>
      <c r="AR258" s="22"/>
      <c r="AS258" s="22"/>
      <c r="AT258" s="22"/>
      <c r="AU258" s="22"/>
      <c r="AV258" s="22"/>
      <c r="AW258" s="22"/>
      <c r="AX258" s="22"/>
      <c r="AY258" s="22"/>
      <c r="AZ258" s="22"/>
      <c r="BA258" s="5"/>
    </row>
    <row r="259" spans="1:53" ht="15" thickBot="1" x14ac:dyDescent="0.4">
      <c r="A259" s="16" t="s">
        <v>243</v>
      </c>
      <c r="B259" s="16" t="s">
        <v>535</v>
      </c>
      <c r="C259" s="16" t="s">
        <v>535</v>
      </c>
      <c r="D259" s="16" t="s">
        <v>535</v>
      </c>
      <c r="E259" s="16" t="s">
        <v>535</v>
      </c>
      <c r="F259" s="16" t="s">
        <v>535</v>
      </c>
      <c r="G259" s="16" t="s">
        <v>535</v>
      </c>
      <c r="H259" s="16" t="s">
        <v>535</v>
      </c>
      <c r="I259" s="140" t="s">
        <v>535</v>
      </c>
      <c r="J259" s="141" t="s">
        <v>204</v>
      </c>
      <c r="K259" s="5" t="s">
        <v>946</v>
      </c>
      <c r="L259" s="5"/>
      <c r="M259" s="5" t="s">
        <v>207</v>
      </c>
      <c r="N259" s="5"/>
      <c r="O259" s="5"/>
      <c r="P259" s="184">
        <v>3257</v>
      </c>
      <c r="Q259" s="45"/>
      <c r="R259" s="45"/>
      <c r="S259" s="45"/>
      <c r="T259" s="45"/>
      <c r="U259" s="45"/>
      <c r="V259" s="53">
        <f t="shared" si="4"/>
        <v>3257</v>
      </c>
      <c r="W259" s="22"/>
      <c r="X259" s="22" t="s">
        <v>243</v>
      </c>
      <c r="Y259" s="22"/>
      <c r="Z259" s="22"/>
      <c r="AA259" s="22"/>
      <c r="AB259" s="22"/>
      <c r="AC259" s="22"/>
      <c r="AD259" s="22"/>
      <c r="AE259" s="22"/>
      <c r="AF259" s="22"/>
      <c r="AG259" s="22"/>
      <c r="AH259" s="22"/>
      <c r="AI259" s="22"/>
      <c r="AJ259" s="22"/>
      <c r="AK259" s="22"/>
      <c r="AL259" s="22"/>
      <c r="AM259" s="22"/>
      <c r="AN259" s="22"/>
      <c r="AO259" s="22"/>
      <c r="AP259" s="22"/>
      <c r="AQ259" s="22"/>
      <c r="AR259" s="22"/>
      <c r="AS259" s="22"/>
      <c r="AT259" s="22"/>
      <c r="AU259" s="22"/>
      <c r="AV259" s="22"/>
      <c r="AW259" s="22"/>
      <c r="AX259" s="22"/>
      <c r="AY259" s="22"/>
      <c r="AZ259" s="22"/>
      <c r="BA259" s="5"/>
    </row>
    <row r="260" spans="1:53" ht="15" thickBot="1" x14ac:dyDescent="0.4">
      <c r="A260" s="16" t="s">
        <v>243</v>
      </c>
      <c r="B260" s="16" t="s">
        <v>535</v>
      </c>
      <c r="C260" s="16" t="s">
        <v>535</v>
      </c>
      <c r="D260" s="16" t="s">
        <v>535</v>
      </c>
      <c r="E260" s="16" t="s">
        <v>535</v>
      </c>
      <c r="F260" s="16" t="s">
        <v>535</v>
      </c>
      <c r="G260" s="16" t="s">
        <v>535</v>
      </c>
      <c r="H260" s="16" t="s">
        <v>535</v>
      </c>
      <c r="I260" s="140" t="s">
        <v>535</v>
      </c>
      <c r="J260" s="141" t="s">
        <v>204</v>
      </c>
      <c r="K260" s="5" t="s">
        <v>947</v>
      </c>
      <c r="L260" s="5"/>
      <c r="M260" s="5" t="s">
        <v>207</v>
      </c>
      <c r="N260" s="5"/>
      <c r="O260" s="5"/>
      <c r="P260" s="184">
        <v>1485</v>
      </c>
      <c r="Q260" s="45"/>
      <c r="R260" s="45"/>
      <c r="S260" s="45"/>
      <c r="T260" s="45"/>
      <c r="U260" s="45"/>
      <c r="V260" s="53">
        <f t="shared" si="4"/>
        <v>1485</v>
      </c>
      <c r="W260" s="22"/>
      <c r="X260" s="22" t="s">
        <v>243</v>
      </c>
      <c r="Y260" s="22"/>
      <c r="Z260" s="22"/>
      <c r="AA260" s="22"/>
      <c r="AB260" s="22"/>
      <c r="AC260" s="22"/>
      <c r="AD260" s="22"/>
      <c r="AE260" s="22"/>
      <c r="AF260" s="22"/>
      <c r="AG260" s="22"/>
      <c r="AH260" s="22"/>
      <c r="AI260" s="22"/>
      <c r="AJ260" s="22"/>
      <c r="AK260" s="22"/>
      <c r="AL260" s="22"/>
      <c r="AM260" s="22"/>
      <c r="AN260" s="22"/>
      <c r="AO260" s="22"/>
      <c r="AP260" s="22"/>
      <c r="AQ260" s="22"/>
      <c r="AR260" s="22"/>
      <c r="AS260" s="22"/>
      <c r="AT260" s="22"/>
      <c r="AU260" s="22"/>
      <c r="AV260" s="22"/>
      <c r="AW260" s="22"/>
      <c r="AX260" s="22"/>
      <c r="AY260" s="22"/>
      <c r="AZ260" s="22"/>
      <c r="BA260" s="5"/>
    </row>
    <row r="261" spans="1:53" ht="15" thickBot="1" x14ac:dyDescent="0.4">
      <c r="A261" s="16" t="s">
        <v>243</v>
      </c>
      <c r="B261" s="16" t="s">
        <v>535</v>
      </c>
      <c r="C261" s="16" t="s">
        <v>535</v>
      </c>
      <c r="D261" s="16" t="s">
        <v>535</v>
      </c>
      <c r="E261" s="16" t="s">
        <v>535</v>
      </c>
      <c r="F261" s="16" t="s">
        <v>535</v>
      </c>
      <c r="G261" s="16" t="s">
        <v>535</v>
      </c>
      <c r="H261" s="16" t="s">
        <v>535</v>
      </c>
      <c r="I261" s="140" t="s">
        <v>535</v>
      </c>
      <c r="J261" s="141" t="s">
        <v>204</v>
      </c>
      <c r="K261" s="5" t="s">
        <v>948</v>
      </c>
      <c r="L261" s="5"/>
      <c r="M261" s="5" t="s">
        <v>207</v>
      </c>
      <c r="N261" s="5"/>
      <c r="O261" s="5"/>
      <c r="P261" s="184">
        <v>1474</v>
      </c>
      <c r="Q261" s="45"/>
      <c r="R261" s="45"/>
      <c r="S261" s="45"/>
      <c r="T261" s="45"/>
      <c r="U261" s="45"/>
      <c r="V261" s="53">
        <f t="shared" si="4"/>
        <v>1474</v>
      </c>
      <c r="W261" s="22"/>
      <c r="X261" s="22" t="s">
        <v>243</v>
      </c>
      <c r="Y261" s="22"/>
      <c r="Z261" s="22"/>
      <c r="AA261" s="22"/>
      <c r="AB261" s="22"/>
      <c r="AC261" s="22"/>
      <c r="AD261" s="22"/>
      <c r="AE261" s="22"/>
      <c r="AF261" s="22"/>
      <c r="AG261" s="22"/>
      <c r="AH261" s="22"/>
      <c r="AI261" s="22"/>
      <c r="AJ261" s="22"/>
      <c r="AK261" s="22"/>
      <c r="AL261" s="22"/>
      <c r="AM261" s="22"/>
      <c r="AN261" s="22"/>
      <c r="AO261" s="22"/>
      <c r="AP261" s="22"/>
      <c r="AQ261" s="22"/>
      <c r="AR261" s="22"/>
      <c r="AS261" s="22"/>
      <c r="AT261" s="22"/>
      <c r="AU261" s="22"/>
      <c r="AV261" s="22"/>
      <c r="AW261" s="22"/>
      <c r="AX261" s="22"/>
      <c r="AY261" s="22"/>
      <c r="AZ261" s="22"/>
      <c r="BA261" s="5"/>
    </row>
    <row r="262" spans="1:53" ht="15" thickBot="1" x14ac:dyDescent="0.4">
      <c r="A262" s="16" t="s">
        <v>243</v>
      </c>
      <c r="B262" s="16" t="s">
        <v>535</v>
      </c>
      <c r="C262" s="16" t="s">
        <v>535</v>
      </c>
      <c r="D262" s="16" t="s">
        <v>535</v>
      </c>
      <c r="E262" s="16" t="s">
        <v>535</v>
      </c>
      <c r="F262" s="16" t="s">
        <v>535</v>
      </c>
      <c r="G262" s="16" t="s">
        <v>535</v>
      </c>
      <c r="H262" s="16" t="s">
        <v>535</v>
      </c>
      <c r="I262" s="140" t="s">
        <v>535</v>
      </c>
      <c r="J262" s="141" t="s">
        <v>204</v>
      </c>
      <c r="K262" s="5" t="s">
        <v>949</v>
      </c>
      <c r="L262" s="5"/>
      <c r="M262" s="5" t="s">
        <v>207</v>
      </c>
      <c r="N262" s="5"/>
      <c r="O262" s="5"/>
      <c r="P262" s="184">
        <v>1924</v>
      </c>
      <c r="Q262" s="45"/>
      <c r="R262" s="45"/>
      <c r="S262" s="45"/>
      <c r="T262" s="45"/>
      <c r="U262" s="45"/>
      <c r="V262" s="53">
        <f t="shared" si="4"/>
        <v>1924</v>
      </c>
      <c r="W262" s="22"/>
      <c r="X262" s="22" t="s">
        <v>243</v>
      </c>
      <c r="Y262" s="22"/>
      <c r="Z262" s="22"/>
      <c r="AA262" s="22"/>
      <c r="AB262" s="22"/>
      <c r="AC262" s="22"/>
      <c r="AD262" s="22"/>
      <c r="AE262" s="22"/>
      <c r="AF262" s="22"/>
      <c r="AG262" s="22"/>
      <c r="AH262" s="22"/>
      <c r="AI262" s="22"/>
      <c r="AJ262" s="22"/>
      <c r="AK262" s="22"/>
      <c r="AL262" s="22"/>
      <c r="AM262" s="22"/>
      <c r="AN262" s="22"/>
      <c r="AO262" s="22"/>
      <c r="AP262" s="22"/>
      <c r="AQ262" s="22"/>
      <c r="AR262" s="22"/>
      <c r="AS262" s="22"/>
      <c r="AT262" s="22"/>
      <c r="AU262" s="22"/>
      <c r="AV262" s="22"/>
      <c r="AW262" s="22"/>
      <c r="AX262" s="22"/>
      <c r="AY262" s="22"/>
      <c r="AZ262" s="22"/>
      <c r="BA262" s="5"/>
    </row>
    <row r="263" spans="1:53" ht="15" thickBot="1" x14ac:dyDescent="0.4">
      <c r="A263" s="16" t="s">
        <v>243</v>
      </c>
      <c r="B263" s="16" t="s">
        <v>535</v>
      </c>
      <c r="C263" s="16" t="s">
        <v>535</v>
      </c>
      <c r="D263" s="16" t="s">
        <v>535</v>
      </c>
      <c r="E263" s="16" t="s">
        <v>535</v>
      </c>
      <c r="F263" s="16" t="s">
        <v>535</v>
      </c>
      <c r="G263" s="16" t="s">
        <v>535</v>
      </c>
      <c r="H263" s="16" t="s">
        <v>535</v>
      </c>
      <c r="I263" s="140" t="s">
        <v>535</v>
      </c>
      <c r="J263" s="141" t="s">
        <v>204</v>
      </c>
      <c r="K263" s="5" t="s">
        <v>950</v>
      </c>
      <c r="L263" s="5"/>
      <c r="M263" s="5" t="s">
        <v>207</v>
      </c>
      <c r="N263" s="5"/>
      <c r="O263" s="5"/>
      <c r="P263" s="184">
        <v>2048</v>
      </c>
      <c r="Q263" s="45"/>
      <c r="R263" s="45"/>
      <c r="S263" s="45"/>
      <c r="T263" s="45"/>
      <c r="U263" s="45"/>
      <c r="V263" s="53">
        <f t="shared" si="4"/>
        <v>2048</v>
      </c>
      <c r="W263" s="22"/>
      <c r="X263" s="22" t="s">
        <v>243</v>
      </c>
      <c r="Y263" s="22"/>
      <c r="Z263" s="22"/>
      <c r="AA263" s="22"/>
      <c r="AB263" s="22"/>
      <c r="AC263" s="22"/>
      <c r="AD263" s="22"/>
      <c r="AE263" s="22"/>
      <c r="AF263" s="22"/>
      <c r="AG263" s="22"/>
      <c r="AH263" s="22"/>
      <c r="AI263" s="22"/>
      <c r="AJ263" s="22"/>
      <c r="AK263" s="22"/>
      <c r="AL263" s="22"/>
      <c r="AM263" s="22"/>
      <c r="AN263" s="22"/>
      <c r="AO263" s="22"/>
      <c r="AP263" s="22"/>
      <c r="AQ263" s="22"/>
      <c r="AR263" s="22"/>
      <c r="AS263" s="22"/>
      <c r="AT263" s="22"/>
      <c r="AU263" s="22"/>
      <c r="AV263" s="22"/>
      <c r="AW263" s="22"/>
      <c r="AX263" s="22"/>
      <c r="AY263" s="22"/>
      <c r="AZ263" s="22"/>
      <c r="BA263" s="5"/>
    </row>
    <row r="264" spans="1:53" ht="15" thickBot="1" x14ac:dyDescent="0.4">
      <c r="A264" s="16" t="s">
        <v>243</v>
      </c>
      <c r="B264" s="16" t="s">
        <v>535</v>
      </c>
      <c r="C264" s="16" t="s">
        <v>535</v>
      </c>
      <c r="D264" s="16" t="s">
        <v>535</v>
      </c>
      <c r="E264" s="16" t="s">
        <v>535</v>
      </c>
      <c r="F264" s="16" t="s">
        <v>535</v>
      </c>
      <c r="G264" s="16" t="s">
        <v>535</v>
      </c>
      <c r="H264" s="16" t="s">
        <v>535</v>
      </c>
      <c r="I264" s="140" t="s">
        <v>535</v>
      </c>
      <c r="J264" s="141" t="s">
        <v>204</v>
      </c>
      <c r="K264" s="5" t="s">
        <v>951</v>
      </c>
      <c r="L264" s="5"/>
      <c r="M264" s="5" t="s">
        <v>207</v>
      </c>
      <c r="N264" s="5"/>
      <c r="O264" s="5"/>
      <c r="P264" s="184">
        <v>1555</v>
      </c>
      <c r="Q264" s="45"/>
      <c r="R264" s="45"/>
      <c r="S264" s="45"/>
      <c r="T264" s="45"/>
      <c r="U264" s="45"/>
      <c r="V264" s="53">
        <f t="shared" si="4"/>
        <v>1555</v>
      </c>
      <c r="W264" s="22"/>
      <c r="X264" s="22" t="s">
        <v>243</v>
      </c>
      <c r="Y264" s="22"/>
      <c r="Z264" s="22"/>
      <c r="AA264" s="22"/>
      <c r="AB264" s="22"/>
      <c r="AC264" s="22"/>
      <c r="AD264" s="22"/>
      <c r="AE264" s="22"/>
      <c r="AF264" s="22"/>
      <c r="AG264" s="22"/>
      <c r="AH264" s="22"/>
      <c r="AI264" s="22"/>
      <c r="AJ264" s="22"/>
      <c r="AK264" s="22"/>
      <c r="AL264" s="22"/>
      <c r="AM264" s="22"/>
      <c r="AN264" s="22"/>
      <c r="AO264" s="22"/>
      <c r="AP264" s="22"/>
      <c r="AQ264" s="22"/>
      <c r="AR264" s="22"/>
      <c r="AS264" s="22"/>
      <c r="AT264" s="22"/>
      <c r="AU264" s="22"/>
      <c r="AV264" s="22"/>
      <c r="AW264" s="22"/>
      <c r="AX264" s="22"/>
      <c r="AY264" s="22"/>
      <c r="AZ264" s="22"/>
      <c r="BA264" s="5"/>
    </row>
    <row r="265" spans="1:53" ht="15" thickBot="1" x14ac:dyDescent="0.4">
      <c r="A265" s="16" t="s">
        <v>243</v>
      </c>
      <c r="B265" s="16" t="s">
        <v>535</v>
      </c>
      <c r="C265" s="16" t="s">
        <v>535</v>
      </c>
      <c r="D265" s="16" t="s">
        <v>535</v>
      </c>
      <c r="E265" s="16" t="s">
        <v>535</v>
      </c>
      <c r="F265" s="16" t="s">
        <v>535</v>
      </c>
      <c r="G265" s="16" t="s">
        <v>535</v>
      </c>
      <c r="H265" s="16" t="s">
        <v>535</v>
      </c>
      <c r="I265" s="140" t="s">
        <v>535</v>
      </c>
      <c r="J265" s="141" t="s">
        <v>204</v>
      </c>
      <c r="K265" s="5" t="s">
        <v>952</v>
      </c>
      <c r="L265" s="5"/>
      <c r="M265" s="5" t="s">
        <v>207</v>
      </c>
      <c r="N265" s="5"/>
      <c r="O265" s="5"/>
      <c r="P265" s="184">
        <v>1659</v>
      </c>
      <c r="Q265" s="45"/>
      <c r="R265" s="45"/>
      <c r="S265" s="45"/>
      <c r="T265" s="45"/>
      <c r="U265" s="45"/>
      <c r="V265" s="53">
        <f t="shared" si="4"/>
        <v>1659</v>
      </c>
      <c r="W265" s="22"/>
      <c r="X265" s="22" t="s">
        <v>243</v>
      </c>
      <c r="Y265" s="22"/>
      <c r="Z265" s="22"/>
      <c r="AA265" s="22"/>
      <c r="AB265" s="22"/>
      <c r="AC265" s="22"/>
      <c r="AD265" s="22"/>
      <c r="AE265" s="22"/>
      <c r="AF265" s="22"/>
      <c r="AG265" s="22"/>
      <c r="AH265" s="22"/>
      <c r="AI265" s="22"/>
      <c r="AJ265" s="22"/>
      <c r="AK265" s="22"/>
      <c r="AL265" s="22"/>
      <c r="AM265" s="22"/>
      <c r="AN265" s="22"/>
      <c r="AO265" s="22"/>
      <c r="AP265" s="22"/>
      <c r="AQ265" s="22"/>
      <c r="AR265" s="22"/>
      <c r="AS265" s="22"/>
      <c r="AT265" s="22"/>
      <c r="AU265" s="22"/>
      <c r="AV265" s="22"/>
      <c r="AW265" s="22"/>
      <c r="AX265" s="22"/>
      <c r="AY265" s="22"/>
      <c r="AZ265" s="22"/>
      <c r="BA265" s="5"/>
    </row>
    <row r="266" spans="1:53" ht="15" thickBot="1" x14ac:dyDescent="0.4">
      <c r="A266" s="16" t="s">
        <v>243</v>
      </c>
      <c r="B266" s="16" t="s">
        <v>535</v>
      </c>
      <c r="C266" s="16" t="s">
        <v>535</v>
      </c>
      <c r="D266" s="16" t="s">
        <v>535</v>
      </c>
      <c r="E266" s="16" t="s">
        <v>535</v>
      </c>
      <c r="F266" s="16" t="s">
        <v>535</v>
      </c>
      <c r="G266" s="16" t="s">
        <v>535</v>
      </c>
      <c r="H266" s="16" t="s">
        <v>535</v>
      </c>
      <c r="I266" s="140" t="s">
        <v>535</v>
      </c>
      <c r="J266" s="141" t="s">
        <v>204</v>
      </c>
      <c r="K266" s="5" t="s">
        <v>953</v>
      </c>
      <c r="L266" s="5"/>
      <c r="M266" s="5" t="s">
        <v>207</v>
      </c>
      <c r="N266" s="5"/>
      <c r="O266" s="5"/>
      <c r="P266" s="184">
        <v>2172</v>
      </c>
      <c r="Q266" s="45"/>
      <c r="R266" s="45"/>
      <c r="S266" s="45"/>
      <c r="T266" s="45"/>
      <c r="U266" s="45"/>
      <c r="V266" s="53">
        <f t="shared" si="4"/>
        <v>2172</v>
      </c>
      <c r="W266" s="22"/>
      <c r="X266" s="22" t="s">
        <v>243</v>
      </c>
      <c r="Y266" s="22"/>
      <c r="Z266" s="22"/>
      <c r="AA266" s="22"/>
      <c r="AB266" s="22"/>
      <c r="AC266" s="22"/>
      <c r="AD266" s="22"/>
      <c r="AE266" s="22"/>
      <c r="AF266" s="22"/>
      <c r="AG266" s="22"/>
      <c r="AH266" s="22"/>
      <c r="AI266" s="22"/>
      <c r="AJ266" s="22"/>
      <c r="AK266" s="22"/>
      <c r="AL266" s="22"/>
      <c r="AM266" s="22"/>
      <c r="AN266" s="22"/>
      <c r="AO266" s="22"/>
      <c r="AP266" s="22"/>
      <c r="AQ266" s="22"/>
      <c r="AR266" s="22"/>
      <c r="AS266" s="22"/>
      <c r="AT266" s="22"/>
      <c r="AU266" s="22"/>
      <c r="AV266" s="22"/>
      <c r="AW266" s="22"/>
      <c r="AX266" s="22"/>
      <c r="AY266" s="22"/>
      <c r="AZ266" s="22"/>
      <c r="BA266" s="5"/>
    </row>
    <row r="267" spans="1:53" ht="15" thickBot="1" x14ac:dyDescent="0.4">
      <c r="A267" s="16" t="s">
        <v>243</v>
      </c>
      <c r="B267" s="16" t="s">
        <v>535</v>
      </c>
      <c r="C267" s="16" t="s">
        <v>535</v>
      </c>
      <c r="D267" s="16" t="s">
        <v>535</v>
      </c>
      <c r="E267" s="16" t="s">
        <v>535</v>
      </c>
      <c r="F267" s="16" t="s">
        <v>535</v>
      </c>
      <c r="G267" s="16" t="s">
        <v>535</v>
      </c>
      <c r="H267" s="16" t="s">
        <v>535</v>
      </c>
      <c r="I267" s="140" t="s">
        <v>535</v>
      </c>
      <c r="J267" s="141" t="s">
        <v>204</v>
      </c>
      <c r="K267" s="5" t="s">
        <v>954</v>
      </c>
      <c r="L267" s="5"/>
      <c r="M267" s="5" t="s">
        <v>207</v>
      </c>
      <c r="N267" s="5"/>
      <c r="O267" s="5"/>
      <c r="P267" s="184">
        <v>1945</v>
      </c>
      <c r="Q267" s="45"/>
      <c r="R267" s="45"/>
      <c r="S267" s="45"/>
      <c r="T267" s="45"/>
      <c r="U267" s="45"/>
      <c r="V267" s="53">
        <f t="shared" si="4"/>
        <v>1945</v>
      </c>
      <c r="W267" s="22"/>
      <c r="X267" s="22" t="s">
        <v>243</v>
      </c>
      <c r="Y267" s="22"/>
      <c r="Z267" s="22"/>
      <c r="AA267" s="22"/>
      <c r="AB267" s="22"/>
      <c r="AC267" s="22"/>
      <c r="AD267" s="22"/>
      <c r="AE267" s="22"/>
      <c r="AF267" s="22"/>
      <c r="AG267" s="22"/>
      <c r="AH267" s="22"/>
      <c r="AI267" s="22"/>
      <c r="AJ267" s="22"/>
      <c r="AK267" s="22"/>
      <c r="AL267" s="22"/>
      <c r="AM267" s="22"/>
      <c r="AN267" s="22"/>
      <c r="AO267" s="22"/>
      <c r="AP267" s="22"/>
      <c r="AQ267" s="22"/>
      <c r="AR267" s="22"/>
      <c r="AS267" s="22"/>
      <c r="AT267" s="22"/>
      <c r="AU267" s="22"/>
      <c r="AV267" s="22"/>
      <c r="AW267" s="22"/>
      <c r="AX267" s="22"/>
      <c r="AY267" s="22"/>
      <c r="AZ267" s="22"/>
      <c r="BA267" s="5"/>
    </row>
    <row r="268" spans="1:53" ht="15" thickBot="1" x14ac:dyDescent="0.4">
      <c r="A268" s="16" t="s">
        <v>243</v>
      </c>
      <c r="B268" s="16" t="s">
        <v>535</v>
      </c>
      <c r="C268" s="16" t="s">
        <v>535</v>
      </c>
      <c r="D268" s="16" t="s">
        <v>535</v>
      </c>
      <c r="E268" s="16" t="s">
        <v>535</v>
      </c>
      <c r="F268" s="16" t="s">
        <v>535</v>
      </c>
      <c r="G268" s="16" t="s">
        <v>535</v>
      </c>
      <c r="H268" s="16" t="s">
        <v>535</v>
      </c>
      <c r="I268" s="140" t="s">
        <v>535</v>
      </c>
      <c r="J268" s="141" t="s">
        <v>204</v>
      </c>
      <c r="K268" s="5" t="s">
        <v>955</v>
      </c>
      <c r="L268" s="5"/>
      <c r="M268" s="5" t="s">
        <v>207</v>
      </c>
      <c r="N268" s="5"/>
      <c r="O268" s="5"/>
      <c r="P268" s="184">
        <v>1375</v>
      </c>
      <c r="Q268" s="45"/>
      <c r="R268" s="45"/>
      <c r="S268" s="45"/>
      <c r="T268" s="45"/>
      <c r="U268" s="45"/>
      <c r="V268" s="53">
        <f t="shared" si="4"/>
        <v>1375</v>
      </c>
      <c r="W268" s="22"/>
      <c r="X268" s="22" t="s">
        <v>243</v>
      </c>
      <c r="Y268" s="22"/>
      <c r="Z268" s="22"/>
      <c r="AA268" s="22"/>
      <c r="AB268" s="22"/>
      <c r="AC268" s="22"/>
      <c r="AD268" s="22"/>
      <c r="AE268" s="22"/>
      <c r="AF268" s="22"/>
      <c r="AG268" s="22"/>
      <c r="AH268" s="22"/>
      <c r="AI268" s="22"/>
      <c r="AJ268" s="22"/>
      <c r="AK268" s="22"/>
      <c r="AL268" s="22"/>
      <c r="AM268" s="22"/>
      <c r="AN268" s="22"/>
      <c r="AO268" s="22"/>
      <c r="AP268" s="22"/>
      <c r="AQ268" s="22"/>
      <c r="AR268" s="22"/>
      <c r="AS268" s="22"/>
      <c r="AT268" s="22"/>
      <c r="AU268" s="22"/>
      <c r="AV268" s="22"/>
      <c r="AW268" s="22"/>
      <c r="AX268" s="22"/>
      <c r="AY268" s="22"/>
      <c r="AZ268" s="22"/>
      <c r="BA268" s="5"/>
    </row>
    <row r="269" spans="1:53" ht="15" thickBot="1" x14ac:dyDescent="0.4">
      <c r="A269" s="16" t="s">
        <v>243</v>
      </c>
      <c r="B269" s="16" t="s">
        <v>535</v>
      </c>
      <c r="C269" s="16" t="s">
        <v>535</v>
      </c>
      <c r="D269" s="16" t="s">
        <v>535</v>
      </c>
      <c r="E269" s="16" t="s">
        <v>535</v>
      </c>
      <c r="F269" s="16" t="s">
        <v>535</v>
      </c>
      <c r="G269" s="16" t="s">
        <v>535</v>
      </c>
      <c r="H269" s="16" t="s">
        <v>535</v>
      </c>
      <c r="I269" s="140" t="s">
        <v>535</v>
      </c>
      <c r="J269" s="141" t="s">
        <v>204</v>
      </c>
      <c r="K269" s="5" t="s">
        <v>956</v>
      </c>
      <c r="L269" s="5"/>
      <c r="M269" s="5" t="s">
        <v>207</v>
      </c>
      <c r="N269" s="5"/>
      <c r="O269" s="5"/>
      <c r="P269" s="184">
        <v>1274</v>
      </c>
      <c r="Q269" s="45"/>
      <c r="R269" s="45"/>
      <c r="S269" s="45"/>
      <c r="T269" s="45"/>
      <c r="U269" s="45"/>
      <c r="V269" s="53">
        <f t="shared" si="4"/>
        <v>1274</v>
      </c>
      <c r="W269" s="22"/>
      <c r="X269" s="22" t="s">
        <v>243</v>
      </c>
      <c r="Y269" s="22"/>
      <c r="Z269" s="22"/>
      <c r="AA269" s="22"/>
      <c r="AB269" s="22"/>
      <c r="AC269" s="22"/>
      <c r="AD269" s="22"/>
      <c r="AE269" s="22"/>
      <c r="AF269" s="22"/>
      <c r="AG269" s="22"/>
      <c r="AH269" s="22"/>
      <c r="AI269" s="22"/>
      <c r="AJ269" s="22"/>
      <c r="AK269" s="22"/>
      <c r="AL269" s="22"/>
      <c r="AM269" s="22"/>
      <c r="AN269" s="22"/>
      <c r="AO269" s="22"/>
      <c r="AP269" s="22"/>
      <c r="AQ269" s="22"/>
      <c r="AR269" s="22"/>
      <c r="AS269" s="22"/>
      <c r="AT269" s="22"/>
      <c r="AU269" s="22"/>
      <c r="AV269" s="22"/>
      <c r="AW269" s="22"/>
      <c r="AX269" s="22"/>
      <c r="AY269" s="22"/>
      <c r="AZ269" s="22"/>
      <c r="BA269" s="5"/>
    </row>
    <row r="270" spans="1:53" ht="15" thickBot="1" x14ac:dyDescent="0.4">
      <c r="A270" s="16" t="s">
        <v>243</v>
      </c>
      <c r="B270" s="16" t="s">
        <v>535</v>
      </c>
      <c r="C270" s="16" t="s">
        <v>535</v>
      </c>
      <c r="D270" s="16" t="s">
        <v>535</v>
      </c>
      <c r="E270" s="16" t="s">
        <v>535</v>
      </c>
      <c r="F270" s="16" t="s">
        <v>535</v>
      </c>
      <c r="G270" s="16" t="s">
        <v>535</v>
      </c>
      <c r="H270" s="16" t="s">
        <v>535</v>
      </c>
      <c r="I270" s="140" t="s">
        <v>535</v>
      </c>
      <c r="J270" s="141" t="s">
        <v>204</v>
      </c>
      <c r="K270" s="5" t="s">
        <v>957</v>
      </c>
      <c r="L270" s="5"/>
      <c r="M270" s="5" t="s">
        <v>207</v>
      </c>
      <c r="N270" s="5"/>
      <c r="O270" s="5"/>
      <c r="P270" s="184">
        <v>1468</v>
      </c>
      <c r="Q270" s="45"/>
      <c r="R270" s="45"/>
      <c r="S270" s="45"/>
      <c r="T270" s="45"/>
      <c r="U270" s="45"/>
      <c r="V270" s="53">
        <f t="shared" si="4"/>
        <v>1468</v>
      </c>
      <c r="W270" s="22"/>
      <c r="X270" s="22" t="s">
        <v>243</v>
      </c>
      <c r="Y270" s="22"/>
      <c r="Z270" s="22"/>
      <c r="AA270" s="22"/>
      <c r="AB270" s="22"/>
      <c r="AC270" s="22"/>
      <c r="AD270" s="22"/>
      <c r="AE270" s="22"/>
      <c r="AF270" s="22"/>
      <c r="AG270" s="22"/>
      <c r="AH270" s="22"/>
      <c r="AI270" s="22"/>
      <c r="AJ270" s="22"/>
      <c r="AK270" s="22"/>
      <c r="AL270" s="22"/>
      <c r="AM270" s="22"/>
      <c r="AN270" s="22"/>
      <c r="AO270" s="22"/>
      <c r="AP270" s="22"/>
      <c r="AQ270" s="22"/>
      <c r="AR270" s="22"/>
      <c r="AS270" s="22"/>
      <c r="AT270" s="22"/>
      <c r="AU270" s="22"/>
      <c r="AV270" s="22"/>
      <c r="AW270" s="22"/>
      <c r="AX270" s="22"/>
      <c r="AY270" s="22"/>
      <c r="AZ270" s="22"/>
      <c r="BA270" s="5"/>
    </row>
    <row r="271" spans="1:53" ht="15" thickBot="1" x14ac:dyDescent="0.4">
      <c r="A271" s="16" t="s">
        <v>243</v>
      </c>
      <c r="B271" s="16" t="s">
        <v>535</v>
      </c>
      <c r="C271" s="16" t="s">
        <v>535</v>
      </c>
      <c r="D271" s="16" t="s">
        <v>535</v>
      </c>
      <c r="E271" s="16" t="s">
        <v>535</v>
      </c>
      <c r="F271" s="16" t="s">
        <v>535</v>
      </c>
      <c r="G271" s="16" t="s">
        <v>535</v>
      </c>
      <c r="H271" s="16" t="s">
        <v>535</v>
      </c>
      <c r="I271" s="140" t="s">
        <v>535</v>
      </c>
      <c r="J271" s="141" t="s">
        <v>204</v>
      </c>
      <c r="K271" s="5" t="s">
        <v>958</v>
      </c>
      <c r="L271" s="5"/>
      <c r="M271" s="5" t="s">
        <v>207</v>
      </c>
      <c r="N271" s="5"/>
      <c r="O271" s="5"/>
      <c r="P271" s="184">
        <v>544</v>
      </c>
      <c r="Q271" s="45"/>
      <c r="R271" s="45"/>
      <c r="S271" s="45"/>
      <c r="T271" s="45"/>
      <c r="U271" s="45"/>
      <c r="V271" s="53">
        <f t="shared" si="4"/>
        <v>544</v>
      </c>
      <c r="W271" s="22"/>
      <c r="X271" s="22" t="s">
        <v>243</v>
      </c>
      <c r="Y271" s="22"/>
      <c r="Z271" s="22"/>
      <c r="AA271" s="22"/>
      <c r="AB271" s="22"/>
      <c r="AC271" s="22"/>
      <c r="AD271" s="22"/>
      <c r="AE271" s="22"/>
      <c r="AF271" s="22"/>
      <c r="AG271" s="22"/>
      <c r="AH271" s="22"/>
      <c r="AI271" s="22"/>
      <c r="AJ271" s="22"/>
      <c r="AK271" s="22"/>
      <c r="AL271" s="22"/>
      <c r="AM271" s="22"/>
      <c r="AN271" s="22"/>
      <c r="AO271" s="22"/>
      <c r="AP271" s="22"/>
      <c r="AQ271" s="22"/>
      <c r="AR271" s="22"/>
      <c r="AS271" s="22"/>
      <c r="AT271" s="22"/>
      <c r="AU271" s="22"/>
      <c r="AV271" s="22"/>
      <c r="AW271" s="22"/>
      <c r="AX271" s="22"/>
      <c r="AY271" s="22"/>
      <c r="AZ271" s="22"/>
      <c r="BA271" s="5"/>
    </row>
    <row r="272" spans="1:53" ht="15" thickBot="1" x14ac:dyDescent="0.4">
      <c r="A272" s="16" t="s">
        <v>243</v>
      </c>
      <c r="B272" s="16" t="s">
        <v>535</v>
      </c>
      <c r="C272" s="16" t="s">
        <v>535</v>
      </c>
      <c r="D272" s="16" t="s">
        <v>535</v>
      </c>
      <c r="E272" s="16" t="s">
        <v>535</v>
      </c>
      <c r="F272" s="16" t="s">
        <v>535</v>
      </c>
      <c r="G272" s="16" t="s">
        <v>535</v>
      </c>
      <c r="H272" s="16" t="s">
        <v>535</v>
      </c>
      <c r="I272" s="140" t="s">
        <v>535</v>
      </c>
      <c r="J272" s="141" t="s">
        <v>204</v>
      </c>
      <c r="K272" s="5" t="s">
        <v>959</v>
      </c>
      <c r="L272" s="5"/>
      <c r="M272" s="5" t="s">
        <v>207</v>
      </c>
      <c r="N272" s="5"/>
      <c r="O272" s="5"/>
      <c r="P272" s="184">
        <v>975</v>
      </c>
      <c r="Q272" s="45"/>
      <c r="R272" s="45"/>
      <c r="S272" s="45"/>
      <c r="T272" s="45"/>
      <c r="U272" s="45"/>
      <c r="V272" s="53">
        <f t="shared" si="4"/>
        <v>975</v>
      </c>
      <c r="W272" s="22"/>
      <c r="X272" s="22" t="s">
        <v>243</v>
      </c>
      <c r="Y272" s="22"/>
      <c r="Z272" s="22"/>
      <c r="AA272" s="22"/>
      <c r="AB272" s="22"/>
      <c r="AC272" s="22"/>
      <c r="AD272" s="22"/>
      <c r="AE272" s="22"/>
      <c r="AF272" s="22"/>
      <c r="AG272" s="22"/>
      <c r="AH272" s="22"/>
      <c r="AI272" s="22"/>
      <c r="AJ272" s="22"/>
      <c r="AK272" s="22"/>
      <c r="AL272" s="22"/>
      <c r="AM272" s="22"/>
      <c r="AN272" s="22"/>
      <c r="AO272" s="22"/>
      <c r="AP272" s="22"/>
      <c r="AQ272" s="22"/>
      <c r="AR272" s="22"/>
      <c r="AS272" s="22"/>
      <c r="AT272" s="22"/>
      <c r="AU272" s="22"/>
      <c r="AV272" s="22"/>
      <c r="AW272" s="22"/>
      <c r="AX272" s="22"/>
      <c r="AY272" s="22"/>
      <c r="AZ272" s="22"/>
      <c r="BA272" s="5"/>
    </row>
    <row r="273" spans="1:53" ht="15" thickBot="1" x14ac:dyDescent="0.4">
      <c r="A273" s="16" t="s">
        <v>243</v>
      </c>
      <c r="B273" s="16" t="s">
        <v>535</v>
      </c>
      <c r="C273" s="16" t="s">
        <v>535</v>
      </c>
      <c r="D273" s="16" t="s">
        <v>535</v>
      </c>
      <c r="E273" s="16" t="s">
        <v>535</v>
      </c>
      <c r="F273" s="16" t="s">
        <v>535</v>
      </c>
      <c r="G273" s="16" t="s">
        <v>535</v>
      </c>
      <c r="H273" s="16" t="s">
        <v>535</v>
      </c>
      <c r="I273" s="140" t="s">
        <v>535</v>
      </c>
      <c r="J273" s="141" t="s">
        <v>204</v>
      </c>
      <c r="K273" s="5" t="s">
        <v>960</v>
      </c>
      <c r="L273" s="5"/>
      <c r="M273" s="5" t="s">
        <v>207</v>
      </c>
      <c r="N273" s="5"/>
      <c r="O273" s="5"/>
      <c r="P273" s="184">
        <v>2127</v>
      </c>
      <c r="Q273" s="45"/>
      <c r="R273" s="45"/>
      <c r="S273" s="45"/>
      <c r="T273" s="45"/>
      <c r="U273" s="45"/>
      <c r="V273" s="53">
        <f t="shared" si="4"/>
        <v>2127</v>
      </c>
      <c r="W273" s="22"/>
      <c r="X273" s="22" t="s">
        <v>243</v>
      </c>
      <c r="Y273" s="22"/>
      <c r="Z273" s="22"/>
      <c r="AA273" s="22"/>
      <c r="AB273" s="22"/>
      <c r="AC273" s="22"/>
      <c r="AD273" s="22"/>
      <c r="AE273" s="22"/>
      <c r="AF273" s="22"/>
      <c r="AG273" s="22"/>
      <c r="AH273" s="22"/>
      <c r="AI273" s="22"/>
      <c r="AJ273" s="22"/>
      <c r="AK273" s="22"/>
      <c r="AL273" s="22"/>
      <c r="AM273" s="22"/>
      <c r="AN273" s="22"/>
      <c r="AO273" s="22"/>
      <c r="AP273" s="22"/>
      <c r="AQ273" s="22"/>
      <c r="AR273" s="22"/>
      <c r="AS273" s="22"/>
      <c r="AT273" s="22"/>
      <c r="AU273" s="22"/>
      <c r="AV273" s="22"/>
      <c r="AW273" s="22"/>
      <c r="AX273" s="22"/>
      <c r="AY273" s="22"/>
      <c r="AZ273" s="22"/>
      <c r="BA273" s="5"/>
    </row>
    <row r="274" spans="1:53" ht="15" thickBot="1" x14ac:dyDescent="0.4">
      <c r="A274" s="16" t="s">
        <v>243</v>
      </c>
      <c r="B274" s="16" t="s">
        <v>535</v>
      </c>
      <c r="C274" s="16" t="s">
        <v>535</v>
      </c>
      <c r="D274" s="16" t="s">
        <v>535</v>
      </c>
      <c r="E274" s="16" t="s">
        <v>535</v>
      </c>
      <c r="F274" s="16" t="s">
        <v>535</v>
      </c>
      <c r="G274" s="16" t="s">
        <v>535</v>
      </c>
      <c r="H274" s="16" t="s">
        <v>535</v>
      </c>
      <c r="I274" s="140" t="s">
        <v>535</v>
      </c>
      <c r="J274" s="141" t="s">
        <v>204</v>
      </c>
      <c r="K274" s="5" t="s">
        <v>961</v>
      </c>
      <c r="L274" s="5"/>
      <c r="M274" s="5" t="s">
        <v>207</v>
      </c>
      <c r="N274" s="5"/>
      <c r="O274" s="5"/>
      <c r="P274" s="184">
        <v>2742</v>
      </c>
      <c r="Q274" s="45"/>
      <c r="R274" s="45"/>
      <c r="S274" s="45"/>
      <c r="T274" s="45"/>
      <c r="U274" s="45"/>
      <c r="V274" s="53">
        <f t="shared" si="4"/>
        <v>2742</v>
      </c>
      <c r="W274" s="22"/>
      <c r="X274" s="22" t="s">
        <v>243</v>
      </c>
      <c r="Y274" s="22"/>
      <c r="Z274" s="22"/>
      <c r="AA274" s="22"/>
      <c r="AB274" s="22"/>
      <c r="AC274" s="22"/>
      <c r="AD274" s="22"/>
      <c r="AE274" s="22"/>
      <c r="AF274" s="22"/>
      <c r="AG274" s="22"/>
      <c r="AH274" s="22"/>
      <c r="AI274" s="22"/>
      <c r="AJ274" s="22"/>
      <c r="AK274" s="22"/>
      <c r="AL274" s="22"/>
      <c r="AM274" s="22"/>
      <c r="AN274" s="22"/>
      <c r="AO274" s="22"/>
      <c r="AP274" s="22"/>
      <c r="AQ274" s="22"/>
      <c r="AR274" s="22"/>
      <c r="AS274" s="22"/>
      <c r="AT274" s="22"/>
      <c r="AU274" s="22"/>
      <c r="AV274" s="22"/>
      <c r="AW274" s="22"/>
      <c r="AX274" s="22"/>
      <c r="AY274" s="22"/>
      <c r="AZ274" s="22"/>
      <c r="BA274" s="5"/>
    </row>
    <row r="275" spans="1:53" ht="15" thickBot="1" x14ac:dyDescent="0.4">
      <c r="A275" s="16" t="s">
        <v>243</v>
      </c>
      <c r="B275" s="16" t="s">
        <v>535</v>
      </c>
      <c r="C275" s="16" t="s">
        <v>535</v>
      </c>
      <c r="D275" s="16" t="s">
        <v>535</v>
      </c>
      <c r="E275" s="16" t="s">
        <v>535</v>
      </c>
      <c r="F275" s="16" t="s">
        <v>535</v>
      </c>
      <c r="G275" s="16" t="s">
        <v>535</v>
      </c>
      <c r="H275" s="16" t="s">
        <v>535</v>
      </c>
      <c r="I275" s="140" t="s">
        <v>535</v>
      </c>
      <c r="J275" s="141" t="s">
        <v>204</v>
      </c>
      <c r="K275" s="5" t="s">
        <v>962</v>
      </c>
      <c r="L275" s="5"/>
      <c r="M275" s="5" t="s">
        <v>207</v>
      </c>
      <c r="N275" s="5"/>
      <c r="O275" s="5"/>
      <c r="P275" s="184">
        <v>1643</v>
      </c>
      <c r="Q275" s="45"/>
      <c r="R275" s="45"/>
      <c r="S275" s="45"/>
      <c r="T275" s="45"/>
      <c r="U275" s="45"/>
      <c r="V275" s="53">
        <f t="shared" si="4"/>
        <v>1643</v>
      </c>
      <c r="W275" s="22"/>
      <c r="X275" s="22" t="s">
        <v>243</v>
      </c>
      <c r="Y275" s="22"/>
      <c r="Z275" s="22"/>
      <c r="AA275" s="22"/>
      <c r="AB275" s="22"/>
      <c r="AC275" s="22"/>
      <c r="AD275" s="22"/>
      <c r="AE275" s="22"/>
      <c r="AF275" s="22"/>
      <c r="AG275" s="22"/>
      <c r="AH275" s="22"/>
      <c r="AI275" s="22"/>
      <c r="AJ275" s="22"/>
      <c r="AK275" s="22"/>
      <c r="AL275" s="22"/>
      <c r="AM275" s="22"/>
      <c r="AN275" s="22"/>
      <c r="AO275" s="22"/>
      <c r="AP275" s="22"/>
      <c r="AQ275" s="22"/>
      <c r="AR275" s="22"/>
      <c r="AS275" s="22"/>
      <c r="AT275" s="22"/>
      <c r="AU275" s="22"/>
      <c r="AV275" s="22"/>
      <c r="AW275" s="22"/>
      <c r="AX275" s="22"/>
      <c r="AY275" s="22"/>
      <c r="AZ275" s="22"/>
      <c r="BA275" s="5"/>
    </row>
    <row r="276" spans="1:53" ht="15" thickBot="1" x14ac:dyDescent="0.4">
      <c r="A276" s="16" t="s">
        <v>243</v>
      </c>
      <c r="B276" s="16" t="s">
        <v>535</v>
      </c>
      <c r="C276" s="16" t="s">
        <v>535</v>
      </c>
      <c r="D276" s="16" t="s">
        <v>535</v>
      </c>
      <c r="E276" s="16" t="s">
        <v>535</v>
      </c>
      <c r="F276" s="16" t="s">
        <v>535</v>
      </c>
      <c r="G276" s="16" t="s">
        <v>535</v>
      </c>
      <c r="H276" s="16" t="s">
        <v>535</v>
      </c>
      <c r="I276" s="140" t="s">
        <v>535</v>
      </c>
      <c r="J276" s="141" t="s">
        <v>204</v>
      </c>
      <c r="K276" s="5" t="s">
        <v>963</v>
      </c>
      <c r="L276" s="5"/>
      <c r="M276" s="5" t="s">
        <v>207</v>
      </c>
      <c r="N276" s="5"/>
      <c r="O276" s="5"/>
      <c r="P276" s="184">
        <v>1693</v>
      </c>
      <c r="Q276" s="45"/>
      <c r="R276" s="45"/>
      <c r="S276" s="45"/>
      <c r="T276" s="45"/>
      <c r="U276" s="45"/>
      <c r="V276" s="53">
        <f t="shared" si="4"/>
        <v>1693</v>
      </c>
      <c r="W276" s="22"/>
      <c r="X276" s="22" t="s">
        <v>243</v>
      </c>
      <c r="Y276" s="22"/>
      <c r="Z276" s="22"/>
      <c r="AA276" s="22"/>
      <c r="AB276" s="22"/>
      <c r="AC276" s="22"/>
      <c r="AD276" s="22"/>
      <c r="AE276" s="22"/>
      <c r="AF276" s="22"/>
      <c r="AG276" s="22"/>
      <c r="AH276" s="22"/>
      <c r="AI276" s="22"/>
      <c r="AJ276" s="22"/>
      <c r="AK276" s="22"/>
      <c r="AL276" s="22"/>
      <c r="AM276" s="22"/>
      <c r="AN276" s="22"/>
      <c r="AO276" s="22"/>
      <c r="AP276" s="22"/>
      <c r="AQ276" s="22"/>
      <c r="AR276" s="22"/>
      <c r="AS276" s="22"/>
      <c r="AT276" s="22"/>
      <c r="AU276" s="22"/>
      <c r="AV276" s="22"/>
      <c r="AW276" s="22"/>
      <c r="AX276" s="22"/>
      <c r="AY276" s="22"/>
      <c r="AZ276" s="22"/>
      <c r="BA276" s="5"/>
    </row>
    <row r="277" spans="1:53" ht="15" thickBot="1" x14ac:dyDescent="0.4">
      <c r="A277" s="16" t="s">
        <v>243</v>
      </c>
      <c r="B277" s="16" t="s">
        <v>535</v>
      </c>
      <c r="C277" s="16" t="s">
        <v>535</v>
      </c>
      <c r="D277" s="16" t="s">
        <v>535</v>
      </c>
      <c r="E277" s="16" t="s">
        <v>535</v>
      </c>
      <c r="F277" s="16" t="s">
        <v>535</v>
      </c>
      <c r="G277" s="16" t="s">
        <v>535</v>
      </c>
      <c r="H277" s="16" t="s">
        <v>535</v>
      </c>
      <c r="I277" s="140" t="s">
        <v>535</v>
      </c>
      <c r="J277" s="141" t="s">
        <v>204</v>
      </c>
      <c r="K277" s="5" t="s">
        <v>964</v>
      </c>
      <c r="L277" s="5"/>
      <c r="M277" s="5" t="s">
        <v>207</v>
      </c>
      <c r="N277" s="5"/>
      <c r="O277" s="5"/>
      <c r="P277" s="184">
        <v>2688</v>
      </c>
      <c r="Q277" s="45"/>
      <c r="R277" s="45"/>
      <c r="S277" s="45"/>
      <c r="T277" s="45"/>
      <c r="U277" s="45"/>
      <c r="V277" s="53">
        <f t="shared" ref="V277:V340" si="5">ROUND(SUM(P277:U277),3)</f>
        <v>2688</v>
      </c>
      <c r="W277" s="22"/>
      <c r="X277" s="22" t="s">
        <v>243</v>
      </c>
      <c r="Y277" s="22"/>
      <c r="Z277" s="22"/>
      <c r="AA277" s="22"/>
      <c r="AB277" s="22"/>
      <c r="AC277" s="22"/>
      <c r="AD277" s="22"/>
      <c r="AE277" s="22"/>
      <c r="AF277" s="22"/>
      <c r="AG277" s="22"/>
      <c r="AH277" s="22"/>
      <c r="AI277" s="22"/>
      <c r="AJ277" s="22"/>
      <c r="AK277" s="22"/>
      <c r="AL277" s="22"/>
      <c r="AM277" s="22"/>
      <c r="AN277" s="22"/>
      <c r="AO277" s="22"/>
      <c r="AP277" s="22"/>
      <c r="AQ277" s="22"/>
      <c r="AR277" s="22"/>
      <c r="AS277" s="22"/>
      <c r="AT277" s="22"/>
      <c r="AU277" s="22"/>
      <c r="AV277" s="22"/>
      <c r="AW277" s="22"/>
      <c r="AX277" s="22"/>
      <c r="AY277" s="22"/>
      <c r="AZ277" s="22"/>
      <c r="BA277" s="5"/>
    </row>
    <row r="278" spans="1:53" ht="15" thickBot="1" x14ac:dyDescent="0.4">
      <c r="A278" s="16" t="s">
        <v>243</v>
      </c>
      <c r="B278" s="16" t="s">
        <v>535</v>
      </c>
      <c r="C278" s="16" t="s">
        <v>535</v>
      </c>
      <c r="D278" s="16" t="s">
        <v>535</v>
      </c>
      <c r="E278" s="16" t="s">
        <v>535</v>
      </c>
      <c r="F278" s="16" t="s">
        <v>535</v>
      </c>
      <c r="G278" s="16" t="s">
        <v>535</v>
      </c>
      <c r="H278" s="16" t="s">
        <v>535</v>
      </c>
      <c r="I278" s="140" t="s">
        <v>535</v>
      </c>
      <c r="J278" s="141" t="s">
        <v>204</v>
      </c>
      <c r="K278" s="5" t="s">
        <v>965</v>
      </c>
      <c r="L278" s="5"/>
      <c r="M278" s="5" t="s">
        <v>207</v>
      </c>
      <c r="N278" s="5"/>
      <c r="O278" s="5"/>
      <c r="P278" s="184">
        <v>2161</v>
      </c>
      <c r="Q278" s="45"/>
      <c r="R278" s="45"/>
      <c r="S278" s="45"/>
      <c r="T278" s="45"/>
      <c r="U278" s="45"/>
      <c r="V278" s="53">
        <f t="shared" si="5"/>
        <v>2161</v>
      </c>
      <c r="W278" s="22"/>
      <c r="X278" s="22" t="s">
        <v>243</v>
      </c>
      <c r="Y278" s="22"/>
      <c r="Z278" s="22"/>
      <c r="AA278" s="22"/>
      <c r="AB278" s="22"/>
      <c r="AC278" s="22"/>
      <c r="AD278" s="22"/>
      <c r="AE278" s="22"/>
      <c r="AF278" s="22"/>
      <c r="AG278" s="22"/>
      <c r="AH278" s="22"/>
      <c r="AI278" s="22"/>
      <c r="AJ278" s="22"/>
      <c r="AK278" s="22"/>
      <c r="AL278" s="22"/>
      <c r="AM278" s="22"/>
      <c r="AN278" s="22"/>
      <c r="AO278" s="22"/>
      <c r="AP278" s="22"/>
      <c r="AQ278" s="22"/>
      <c r="AR278" s="22"/>
      <c r="AS278" s="22"/>
      <c r="AT278" s="22"/>
      <c r="AU278" s="22"/>
      <c r="AV278" s="22"/>
      <c r="AW278" s="22"/>
      <c r="AX278" s="22"/>
      <c r="AY278" s="22"/>
      <c r="AZ278" s="22"/>
      <c r="BA278" s="5"/>
    </row>
    <row r="279" spans="1:53" ht="15" thickBot="1" x14ac:dyDescent="0.4">
      <c r="A279" s="16" t="s">
        <v>243</v>
      </c>
      <c r="B279" s="16" t="s">
        <v>535</v>
      </c>
      <c r="C279" s="16" t="s">
        <v>535</v>
      </c>
      <c r="D279" s="16" t="s">
        <v>535</v>
      </c>
      <c r="E279" s="16" t="s">
        <v>535</v>
      </c>
      <c r="F279" s="16" t="s">
        <v>535</v>
      </c>
      <c r="G279" s="16" t="s">
        <v>535</v>
      </c>
      <c r="H279" s="16" t="s">
        <v>535</v>
      </c>
      <c r="I279" s="140" t="s">
        <v>535</v>
      </c>
      <c r="J279" s="141" t="s">
        <v>204</v>
      </c>
      <c r="K279" s="5" t="s">
        <v>966</v>
      </c>
      <c r="L279" s="5"/>
      <c r="M279" s="5" t="s">
        <v>207</v>
      </c>
      <c r="N279" s="5"/>
      <c r="O279" s="5"/>
      <c r="P279" s="184">
        <v>1382</v>
      </c>
      <c r="Q279" s="45"/>
      <c r="R279" s="45"/>
      <c r="S279" s="45"/>
      <c r="T279" s="45"/>
      <c r="U279" s="45"/>
      <c r="V279" s="53">
        <f t="shared" si="5"/>
        <v>1382</v>
      </c>
      <c r="W279" s="22"/>
      <c r="X279" s="22" t="s">
        <v>243</v>
      </c>
      <c r="Y279" s="22"/>
      <c r="Z279" s="22"/>
      <c r="AA279" s="22"/>
      <c r="AB279" s="22"/>
      <c r="AC279" s="22"/>
      <c r="AD279" s="22"/>
      <c r="AE279" s="22"/>
      <c r="AF279" s="22"/>
      <c r="AG279" s="22"/>
      <c r="AH279" s="22"/>
      <c r="AI279" s="22"/>
      <c r="AJ279" s="22"/>
      <c r="AK279" s="22"/>
      <c r="AL279" s="22"/>
      <c r="AM279" s="22"/>
      <c r="AN279" s="22"/>
      <c r="AO279" s="22"/>
      <c r="AP279" s="22"/>
      <c r="AQ279" s="22"/>
      <c r="AR279" s="22"/>
      <c r="AS279" s="22"/>
      <c r="AT279" s="22"/>
      <c r="AU279" s="22"/>
      <c r="AV279" s="22"/>
      <c r="AW279" s="22"/>
      <c r="AX279" s="22"/>
      <c r="AY279" s="22"/>
      <c r="AZ279" s="22"/>
      <c r="BA279" s="5"/>
    </row>
    <row r="280" spans="1:53" ht="15" thickBot="1" x14ac:dyDescent="0.4">
      <c r="A280" s="16" t="s">
        <v>243</v>
      </c>
      <c r="B280" s="16" t="s">
        <v>535</v>
      </c>
      <c r="C280" s="16" t="s">
        <v>535</v>
      </c>
      <c r="D280" s="16" t="s">
        <v>535</v>
      </c>
      <c r="E280" s="16" t="s">
        <v>535</v>
      </c>
      <c r="F280" s="16" t="s">
        <v>535</v>
      </c>
      <c r="G280" s="16" t="s">
        <v>535</v>
      </c>
      <c r="H280" s="16" t="s">
        <v>535</v>
      </c>
      <c r="I280" s="140" t="s">
        <v>535</v>
      </c>
      <c r="J280" s="141" t="s">
        <v>204</v>
      </c>
      <c r="K280" s="5" t="s">
        <v>967</v>
      </c>
      <c r="L280" s="5"/>
      <c r="M280" s="5" t="s">
        <v>207</v>
      </c>
      <c r="N280" s="5"/>
      <c r="O280" s="5"/>
      <c r="P280" s="184">
        <v>2385</v>
      </c>
      <c r="Q280" s="45"/>
      <c r="R280" s="45"/>
      <c r="S280" s="45"/>
      <c r="T280" s="45"/>
      <c r="U280" s="45"/>
      <c r="V280" s="53">
        <f t="shared" si="5"/>
        <v>2385</v>
      </c>
      <c r="W280" s="22"/>
      <c r="X280" s="22" t="s">
        <v>243</v>
      </c>
      <c r="Y280" s="22"/>
      <c r="Z280" s="22"/>
      <c r="AA280" s="22"/>
      <c r="AB280" s="22"/>
      <c r="AC280" s="22"/>
      <c r="AD280" s="22"/>
      <c r="AE280" s="22"/>
      <c r="AF280" s="22"/>
      <c r="AG280" s="22"/>
      <c r="AH280" s="22"/>
      <c r="AI280" s="22"/>
      <c r="AJ280" s="22"/>
      <c r="AK280" s="22"/>
      <c r="AL280" s="22"/>
      <c r="AM280" s="22"/>
      <c r="AN280" s="22"/>
      <c r="AO280" s="22"/>
      <c r="AP280" s="22"/>
      <c r="AQ280" s="22"/>
      <c r="AR280" s="22"/>
      <c r="AS280" s="22"/>
      <c r="AT280" s="22"/>
      <c r="AU280" s="22"/>
      <c r="AV280" s="22"/>
      <c r="AW280" s="22"/>
      <c r="AX280" s="22"/>
      <c r="AY280" s="22"/>
      <c r="AZ280" s="22"/>
      <c r="BA280" s="5"/>
    </row>
    <row r="281" spans="1:53" ht="15" thickBot="1" x14ac:dyDescent="0.4">
      <c r="A281" s="16" t="s">
        <v>243</v>
      </c>
      <c r="B281" s="16" t="s">
        <v>535</v>
      </c>
      <c r="C281" s="16" t="s">
        <v>535</v>
      </c>
      <c r="D281" s="16" t="s">
        <v>535</v>
      </c>
      <c r="E281" s="16" t="s">
        <v>535</v>
      </c>
      <c r="F281" s="16" t="s">
        <v>535</v>
      </c>
      <c r="G281" s="16" t="s">
        <v>535</v>
      </c>
      <c r="H281" s="16" t="s">
        <v>535</v>
      </c>
      <c r="I281" s="140" t="s">
        <v>535</v>
      </c>
      <c r="J281" s="141" t="s">
        <v>204</v>
      </c>
      <c r="K281" s="5" t="s">
        <v>968</v>
      </c>
      <c r="L281" s="5"/>
      <c r="M281" s="5" t="s">
        <v>207</v>
      </c>
      <c r="N281" s="5"/>
      <c r="O281" s="5"/>
      <c r="P281" s="184">
        <v>2890</v>
      </c>
      <c r="Q281" s="45"/>
      <c r="R281" s="45"/>
      <c r="S281" s="45"/>
      <c r="T281" s="45"/>
      <c r="U281" s="45"/>
      <c r="V281" s="53">
        <f t="shared" si="5"/>
        <v>2890</v>
      </c>
      <c r="W281" s="22"/>
      <c r="X281" s="22" t="s">
        <v>243</v>
      </c>
      <c r="Y281" s="22"/>
      <c r="Z281" s="22"/>
      <c r="AA281" s="22"/>
      <c r="AB281" s="22"/>
      <c r="AC281" s="22"/>
      <c r="AD281" s="22"/>
      <c r="AE281" s="22"/>
      <c r="AF281" s="22"/>
      <c r="AG281" s="22"/>
      <c r="AH281" s="22"/>
      <c r="AI281" s="22"/>
      <c r="AJ281" s="22"/>
      <c r="AK281" s="22"/>
      <c r="AL281" s="22"/>
      <c r="AM281" s="22"/>
      <c r="AN281" s="22"/>
      <c r="AO281" s="22"/>
      <c r="AP281" s="22"/>
      <c r="AQ281" s="22"/>
      <c r="AR281" s="22"/>
      <c r="AS281" s="22"/>
      <c r="AT281" s="22"/>
      <c r="AU281" s="22"/>
      <c r="AV281" s="22"/>
      <c r="AW281" s="22"/>
      <c r="AX281" s="22"/>
      <c r="AY281" s="22"/>
      <c r="AZ281" s="22"/>
      <c r="BA281" s="5"/>
    </row>
    <row r="282" spans="1:53" ht="15" thickBot="1" x14ac:dyDescent="0.4">
      <c r="A282" s="16" t="s">
        <v>243</v>
      </c>
      <c r="B282" s="16" t="s">
        <v>535</v>
      </c>
      <c r="C282" s="16" t="s">
        <v>535</v>
      </c>
      <c r="D282" s="16" t="s">
        <v>535</v>
      </c>
      <c r="E282" s="16" t="s">
        <v>535</v>
      </c>
      <c r="F282" s="16" t="s">
        <v>535</v>
      </c>
      <c r="G282" s="16" t="s">
        <v>535</v>
      </c>
      <c r="H282" s="16" t="s">
        <v>535</v>
      </c>
      <c r="I282" s="140" t="s">
        <v>535</v>
      </c>
      <c r="J282" s="141" t="s">
        <v>204</v>
      </c>
      <c r="K282" s="5" t="s">
        <v>969</v>
      </c>
      <c r="L282" s="5"/>
      <c r="M282" s="5" t="s">
        <v>207</v>
      </c>
      <c r="N282" s="5"/>
      <c r="O282" s="5"/>
      <c r="P282" s="184">
        <v>2847</v>
      </c>
      <c r="Q282" s="45"/>
      <c r="R282" s="45"/>
      <c r="S282" s="45"/>
      <c r="T282" s="45"/>
      <c r="U282" s="45"/>
      <c r="V282" s="53">
        <f t="shared" si="5"/>
        <v>2847</v>
      </c>
      <c r="W282" s="22"/>
      <c r="X282" s="22" t="s">
        <v>243</v>
      </c>
      <c r="Y282" s="22"/>
      <c r="Z282" s="22"/>
      <c r="AA282" s="22"/>
      <c r="AB282" s="22"/>
      <c r="AC282" s="22"/>
      <c r="AD282" s="22"/>
      <c r="AE282" s="22"/>
      <c r="AF282" s="22"/>
      <c r="AG282" s="22"/>
      <c r="AH282" s="22"/>
      <c r="AI282" s="22"/>
      <c r="AJ282" s="22"/>
      <c r="AK282" s="22"/>
      <c r="AL282" s="22"/>
      <c r="AM282" s="22"/>
      <c r="AN282" s="22"/>
      <c r="AO282" s="22"/>
      <c r="AP282" s="22"/>
      <c r="AQ282" s="22"/>
      <c r="AR282" s="22"/>
      <c r="AS282" s="22"/>
      <c r="AT282" s="22"/>
      <c r="AU282" s="22"/>
      <c r="AV282" s="22"/>
      <c r="AW282" s="22"/>
      <c r="AX282" s="22"/>
      <c r="AY282" s="22"/>
      <c r="AZ282" s="22"/>
      <c r="BA282" s="5"/>
    </row>
    <row r="283" spans="1:53" ht="15" thickBot="1" x14ac:dyDescent="0.4">
      <c r="A283" s="16" t="s">
        <v>243</v>
      </c>
      <c r="B283" s="16" t="s">
        <v>535</v>
      </c>
      <c r="C283" s="16" t="s">
        <v>535</v>
      </c>
      <c r="D283" s="16" t="s">
        <v>535</v>
      </c>
      <c r="E283" s="16" t="s">
        <v>535</v>
      </c>
      <c r="F283" s="16" t="s">
        <v>535</v>
      </c>
      <c r="G283" s="16" t="s">
        <v>535</v>
      </c>
      <c r="H283" s="16" t="s">
        <v>535</v>
      </c>
      <c r="I283" s="140" t="s">
        <v>535</v>
      </c>
      <c r="J283" s="141" t="s">
        <v>204</v>
      </c>
      <c r="K283" s="5" t="s">
        <v>970</v>
      </c>
      <c r="L283" s="5"/>
      <c r="M283" s="5" t="s">
        <v>207</v>
      </c>
      <c r="N283" s="5"/>
      <c r="O283" s="5"/>
      <c r="P283" s="184">
        <v>2290</v>
      </c>
      <c r="Q283" s="45"/>
      <c r="R283" s="45"/>
      <c r="S283" s="45"/>
      <c r="T283" s="45"/>
      <c r="U283" s="45"/>
      <c r="V283" s="53">
        <f t="shared" si="5"/>
        <v>2290</v>
      </c>
      <c r="W283" s="22"/>
      <c r="X283" s="22" t="s">
        <v>243</v>
      </c>
      <c r="Y283" s="22"/>
      <c r="Z283" s="22"/>
      <c r="AA283" s="22"/>
      <c r="AB283" s="22"/>
      <c r="AC283" s="22"/>
      <c r="AD283" s="22"/>
      <c r="AE283" s="22"/>
      <c r="AF283" s="22"/>
      <c r="AG283" s="22"/>
      <c r="AH283" s="22"/>
      <c r="AI283" s="22"/>
      <c r="AJ283" s="22"/>
      <c r="AK283" s="22"/>
      <c r="AL283" s="22"/>
      <c r="AM283" s="22"/>
      <c r="AN283" s="22"/>
      <c r="AO283" s="22"/>
      <c r="AP283" s="22"/>
      <c r="AQ283" s="22"/>
      <c r="AR283" s="22"/>
      <c r="AS283" s="22"/>
      <c r="AT283" s="22"/>
      <c r="AU283" s="22"/>
      <c r="AV283" s="22"/>
      <c r="AW283" s="22"/>
      <c r="AX283" s="22"/>
      <c r="AY283" s="22"/>
      <c r="AZ283" s="22"/>
      <c r="BA283" s="5"/>
    </row>
    <row r="284" spans="1:53" ht="15" thickBot="1" x14ac:dyDescent="0.4">
      <c r="A284" s="16" t="s">
        <v>243</v>
      </c>
      <c r="B284" s="16" t="s">
        <v>535</v>
      </c>
      <c r="C284" s="16" t="s">
        <v>535</v>
      </c>
      <c r="D284" s="16" t="s">
        <v>535</v>
      </c>
      <c r="E284" s="16" t="s">
        <v>535</v>
      </c>
      <c r="F284" s="16" t="s">
        <v>535</v>
      </c>
      <c r="G284" s="16" t="s">
        <v>535</v>
      </c>
      <c r="H284" s="16" t="s">
        <v>535</v>
      </c>
      <c r="I284" s="140" t="s">
        <v>535</v>
      </c>
      <c r="J284" s="141" t="s">
        <v>204</v>
      </c>
      <c r="K284" s="5" t="s">
        <v>971</v>
      </c>
      <c r="L284" s="5"/>
      <c r="M284" s="5" t="s">
        <v>207</v>
      </c>
      <c r="N284" s="5"/>
      <c r="O284" s="5"/>
      <c r="P284" s="184">
        <v>2794</v>
      </c>
      <c r="Q284" s="45"/>
      <c r="R284" s="45"/>
      <c r="S284" s="45"/>
      <c r="T284" s="45"/>
      <c r="U284" s="45"/>
      <c r="V284" s="53">
        <f t="shared" si="5"/>
        <v>2794</v>
      </c>
      <c r="W284" s="22"/>
      <c r="X284" s="22" t="s">
        <v>243</v>
      </c>
      <c r="Y284" s="22"/>
      <c r="Z284" s="22"/>
      <c r="AA284" s="22"/>
      <c r="AB284" s="22"/>
      <c r="AC284" s="22"/>
      <c r="AD284" s="22"/>
      <c r="AE284" s="22"/>
      <c r="AF284" s="22"/>
      <c r="AG284" s="22"/>
      <c r="AH284" s="22"/>
      <c r="AI284" s="22"/>
      <c r="AJ284" s="22"/>
      <c r="AK284" s="22"/>
      <c r="AL284" s="22"/>
      <c r="AM284" s="22"/>
      <c r="AN284" s="22"/>
      <c r="AO284" s="22"/>
      <c r="AP284" s="22"/>
      <c r="AQ284" s="22"/>
      <c r="AR284" s="22"/>
      <c r="AS284" s="22"/>
      <c r="AT284" s="22"/>
      <c r="AU284" s="22"/>
      <c r="AV284" s="22"/>
      <c r="AW284" s="22"/>
      <c r="AX284" s="22"/>
      <c r="AY284" s="22"/>
      <c r="AZ284" s="22"/>
      <c r="BA284" s="5"/>
    </row>
    <row r="285" spans="1:53" ht="15" thickBot="1" x14ac:dyDescent="0.4">
      <c r="A285" s="16" t="s">
        <v>243</v>
      </c>
      <c r="B285" s="16" t="s">
        <v>535</v>
      </c>
      <c r="C285" s="16" t="s">
        <v>535</v>
      </c>
      <c r="D285" s="16" t="s">
        <v>535</v>
      </c>
      <c r="E285" s="16" t="s">
        <v>535</v>
      </c>
      <c r="F285" s="16" t="s">
        <v>535</v>
      </c>
      <c r="G285" s="16" t="s">
        <v>535</v>
      </c>
      <c r="H285" s="16" t="s">
        <v>535</v>
      </c>
      <c r="I285" s="140" t="s">
        <v>535</v>
      </c>
      <c r="J285" s="141" t="s">
        <v>204</v>
      </c>
      <c r="K285" s="5" t="s">
        <v>972</v>
      </c>
      <c r="L285" s="5"/>
      <c r="M285" s="5" t="s">
        <v>207</v>
      </c>
      <c r="N285" s="5"/>
      <c r="O285" s="5"/>
      <c r="P285" s="184">
        <v>2473</v>
      </c>
      <c r="Q285" s="45"/>
      <c r="R285" s="45"/>
      <c r="S285" s="45"/>
      <c r="T285" s="45"/>
      <c r="U285" s="45"/>
      <c r="V285" s="53">
        <f t="shared" si="5"/>
        <v>2473</v>
      </c>
      <c r="W285" s="22"/>
      <c r="X285" s="22" t="s">
        <v>243</v>
      </c>
      <c r="Y285" s="22"/>
      <c r="Z285" s="22"/>
      <c r="AA285" s="22"/>
      <c r="AB285" s="22"/>
      <c r="AC285" s="22"/>
      <c r="AD285" s="22"/>
      <c r="AE285" s="22"/>
      <c r="AF285" s="22"/>
      <c r="AG285" s="22"/>
      <c r="AH285" s="22"/>
      <c r="AI285" s="22"/>
      <c r="AJ285" s="22"/>
      <c r="AK285" s="22"/>
      <c r="AL285" s="22"/>
      <c r="AM285" s="22"/>
      <c r="AN285" s="22"/>
      <c r="AO285" s="22"/>
      <c r="AP285" s="22"/>
      <c r="AQ285" s="22"/>
      <c r="AR285" s="22"/>
      <c r="AS285" s="22"/>
      <c r="AT285" s="22"/>
      <c r="AU285" s="22"/>
      <c r="AV285" s="22"/>
      <c r="AW285" s="22"/>
      <c r="AX285" s="22"/>
      <c r="AY285" s="22"/>
      <c r="AZ285" s="22"/>
      <c r="BA285" s="5"/>
    </row>
    <row r="286" spans="1:53" ht="15" thickBot="1" x14ac:dyDescent="0.4">
      <c r="A286" s="16" t="s">
        <v>243</v>
      </c>
      <c r="B286" s="16" t="s">
        <v>535</v>
      </c>
      <c r="C286" s="16" t="s">
        <v>535</v>
      </c>
      <c r="D286" s="16" t="s">
        <v>535</v>
      </c>
      <c r="E286" s="16" t="s">
        <v>535</v>
      </c>
      <c r="F286" s="16" t="s">
        <v>535</v>
      </c>
      <c r="G286" s="16" t="s">
        <v>535</v>
      </c>
      <c r="H286" s="16" t="s">
        <v>535</v>
      </c>
      <c r="I286" s="140" t="s">
        <v>535</v>
      </c>
      <c r="J286" s="141" t="s">
        <v>204</v>
      </c>
      <c r="K286" s="5" t="s">
        <v>973</v>
      </c>
      <c r="L286" s="5"/>
      <c r="M286" s="5" t="s">
        <v>207</v>
      </c>
      <c r="N286" s="5"/>
      <c r="O286" s="5"/>
      <c r="P286" s="184">
        <v>2350</v>
      </c>
      <c r="Q286" s="45"/>
      <c r="R286" s="45"/>
      <c r="S286" s="45"/>
      <c r="T286" s="45"/>
      <c r="U286" s="45"/>
      <c r="V286" s="53">
        <f t="shared" si="5"/>
        <v>2350</v>
      </c>
      <c r="W286" s="22"/>
      <c r="X286" s="22" t="s">
        <v>243</v>
      </c>
      <c r="Y286" s="22"/>
      <c r="Z286" s="22"/>
      <c r="AA286" s="22"/>
      <c r="AB286" s="22"/>
      <c r="AC286" s="22"/>
      <c r="AD286" s="22"/>
      <c r="AE286" s="22"/>
      <c r="AF286" s="22"/>
      <c r="AG286" s="22"/>
      <c r="AH286" s="22"/>
      <c r="AI286" s="22"/>
      <c r="AJ286" s="22"/>
      <c r="AK286" s="22"/>
      <c r="AL286" s="22"/>
      <c r="AM286" s="22"/>
      <c r="AN286" s="22"/>
      <c r="AO286" s="22"/>
      <c r="AP286" s="22"/>
      <c r="AQ286" s="22"/>
      <c r="AR286" s="22"/>
      <c r="AS286" s="22"/>
      <c r="AT286" s="22"/>
      <c r="AU286" s="22"/>
      <c r="AV286" s="22"/>
      <c r="AW286" s="22"/>
      <c r="AX286" s="22"/>
      <c r="AY286" s="22"/>
      <c r="AZ286" s="22"/>
      <c r="BA286" s="5"/>
    </row>
    <row r="287" spans="1:53" ht="15" thickBot="1" x14ac:dyDescent="0.4">
      <c r="A287" s="16" t="s">
        <v>243</v>
      </c>
      <c r="B287" s="16" t="s">
        <v>535</v>
      </c>
      <c r="C287" s="16" t="s">
        <v>535</v>
      </c>
      <c r="D287" s="16" t="s">
        <v>535</v>
      </c>
      <c r="E287" s="16" t="s">
        <v>535</v>
      </c>
      <c r="F287" s="16" t="s">
        <v>535</v>
      </c>
      <c r="G287" s="16" t="s">
        <v>535</v>
      </c>
      <c r="H287" s="16" t="s">
        <v>535</v>
      </c>
      <c r="I287" s="140" t="s">
        <v>535</v>
      </c>
      <c r="J287" s="141" t="s">
        <v>204</v>
      </c>
      <c r="K287" s="5" t="s">
        <v>974</v>
      </c>
      <c r="L287" s="5"/>
      <c r="M287" s="5" t="s">
        <v>207</v>
      </c>
      <c r="N287" s="5"/>
      <c r="O287" s="5"/>
      <c r="P287" s="184">
        <v>2274</v>
      </c>
      <c r="Q287" s="45"/>
      <c r="R287" s="45"/>
      <c r="S287" s="45"/>
      <c r="T287" s="45"/>
      <c r="U287" s="45"/>
      <c r="V287" s="53">
        <f t="shared" si="5"/>
        <v>2274</v>
      </c>
      <c r="W287" s="22"/>
      <c r="X287" s="22" t="s">
        <v>243</v>
      </c>
      <c r="Y287" s="22"/>
      <c r="Z287" s="22"/>
      <c r="AA287" s="22"/>
      <c r="AB287" s="22"/>
      <c r="AC287" s="22"/>
      <c r="AD287" s="22"/>
      <c r="AE287" s="22"/>
      <c r="AF287" s="22"/>
      <c r="AG287" s="22"/>
      <c r="AH287" s="22"/>
      <c r="AI287" s="22"/>
      <c r="AJ287" s="22"/>
      <c r="AK287" s="22"/>
      <c r="AL287" s="22"/>
      <c r="AM287" s="22"/>
      <c r="AN287" s="22"/>
      <c r="AO287" s="22"/>
      <c r="AP287" s="22"/>
      <c r="AQ287" s="22"/>
      <c r="AR287" s="22"/>
      <c r="AS287" s="22"/>
      <c r="AT287" s="22"/>
      <c r="AU287" s="22"/>
      <c r="AV287" s="22"/>
      <c r="AW287" s="22"/>
      <c r="AX287" s="22"/>
      <c r="AY287" s="22"/>
      <c r="AZ287" s="22"/>
      <c r="BA287" s="5"/>
    </row>
    <row r="288" spans="1:53" ht="15" thickBot="1" x14ac:dyDescent="0.4">
      <c r="A288" s="16" t="s">
        <v>243</v>
      </c>
      <c r="B288" s="16" t="s">
        <v>535</v>
      </c>
      <c r="C288" s="16" t="s">
        <v>535</v>
      </c>
      <c r="D288" s="16" t="s">
        <v>535</v>
      </c>
      <c r="E288" s="16" t="s">
        <v>535</v>
      </c>
      <c r="F288" s="16" t="s">
        <v>535</v>
      </c>
      <c r="G288" s="16" t="s">
        <v>535</v>
      </c>
      <c r="H288" s="16" t="s">
        <v>535</v>
      </c>
      <c r="I288" s="140" t="s">
        <v>535</v>
      </c>
      <c r="J288" s="141" t="s">
        <v>204</v>
      </c>
      <c r="K288" s="5" t="s">
        <v>975</v>
      </c>
      <c r="L288" s="5"/>
      <c r="M288" s="5" t="s">
        <v>207</v>
      </c>
      <c r="N288" s="5"/>
      <c r="O288" s="5"/>
      <c r="P288" s="184">
        <v>2212</v>
      </c>
      <c r="Q288" s="45"/>
      <c r="R288" s="45"/>
      <c r="S288" s="45"/>
      <c r="T288" s="45"/>
      <c r="U288" s="45"/>
      <c r="V288" s="53">
        <f t="shared" si="5"/>
        <v>2212</v>
      </c>
      <c r="W288" s="22"/>
      <c r="X288" s="22" t="s">
        <v>243</v>
      </c>
      <c r="Y288" s="22"/>
      <c r="Z288" s="22"/>
      <c r="AA288" s="22"/>
      <c r="AB288" s="22"/>
      <c r="AC288" s="22"/>
      <c r="AD288" s="22"/>
      <c r="AE288" s="22"/>
      <c r="AF288" s="22"/>
      <c r="AG288" s="22"/>
      <c r="AH288" s="22"/>
      <c r="AI288" s="22"/>
      <c r="AJ288" s="22"/>
      <c r="AK288" s="22"/>
      <c r="AL288" s="22"/>
      <c r="AM288" s="22"/>
      <c r="AN288" s="22"/>
      <c r="AO288" s="22"/>
      <c r="AP288" s="22"/>
      <c r="AQ288" s="22"/>
      <c r="AR288" s="22"/>
      <c r="AS288" s="22"/>
      <c r="AT288" s="22"/>
      <c r="AU288" s="22"/>
      <c r="AV288" s="22"/>
      <c r="AW288" s="22"/>
      <c r="AX288" s="22"/>
      <c r="AY288" s="22"/>
      <c r="AZ288" s="22"/>
      <c r="BA288" s="5"/>
    </row>
    <row r="289" spans="1:53" ht="15" thickBot="1" x14ac:dyDescent="0.4">
      <c r="A289" s="16" t="s">
        <v>243</v>
      </c>
      <c r="B289" s="16" t="s">
        <v>535</v>
      </c>
      <c r="C289" s="16" t="s">
        <v>535</v>
      </c>
      <c r="D289" s="16" t="s">
        <v>535</v>
      </c>
      <c r="E289" s="16" t="s">
        <v>535</v>
      </c>
      <c r="F289" s="16" t="s">
        <v>535</v>
      </c>
      <c r="G289" s="16" t="s">
        <v>535</v>
      </c>
      <c r="H289" s="16" t="s">
        <v>535</v>
      </c>
      <c r="I289" s="140" t="s">
        <v>535</v>
      </c>
      <c r="J289" s="141" t="s">
        <v>204</v>
      </c>
      <c r="K289" s="5" t="s">
        <v>976</v>
      </c>
      <c r="L289" s="5"/>
      <c r="M289" s="5" t="s">
        <v>207</v>
      </c>
      <c r="N289" s="5"/>
      <c r="O289" s="5"/>
      <c r="P289" s="184">
        <v>1431</v>
      </c>
      <c r="Q289" s="45"/>
      <c r="R289" s="45"/>
      <c r="S289" s="45"/>
      <c r="T289" s="45"/>
      <c r="U289" s="45"/>
      <c r="V289" s="53">
        <f t="shared" si="5"/>
        <v>1431</v>
      </c>
      <c r="W289" s="22"/>
      <c r="X289" s="22" t="s">
        <v>243</v>
      </c>
      <c r="Y289" s="22"/>
      <c r="Z289" s="22"/>
      <c r="AA289" s="22"/>
      <c r="AB289" s="22"/>
      <c r="AC289" s="22"/>
      <c r="AD289" s="22"/>
      <c r="AE289" s="22"/>
      <c r="AF289" s="22"/>
      <c r="AG289" s="22"/>
      <c r="AH289" s="22"/>
      <c r="AI289" s="22"/>
      <c r="AJ289" s="22"/>
      <c r="AK289" s="22"/>
      <c r="AL289" s="22"/>
      <c r="AM289" s="22"/>
      <c r="AN289" s="22"/>
      <c r="AO289" s="22"/>
      <c r="AP289" s="22"/>
      <c r="AQ289" s="22"/>
      <c r="AR289" s="22"/>
      <c r="AS289" s="22"/>
      <c r="AT289" s="22"/>
      <c r="AU289" s="22"/>
      <c r="AV289" s="22"/>
      <c r="AW289" s="22"/>
      <c r="AX289" s="22"/>
      <c r="AY289" s="22"/>
      <c r="AZ289" s="22"/>
      <c r="BA289" s="5"/>
    </row>
    <row r="290" spans="1:53" ht="15" thickBot="1" x14ac:dyDescent="0.4">
      <c r="A290" s="16" t="s">
        <v>243</v>
      </c>
      <c r="B290" s="16" t="s">
        <v>535</v>
      </c>
      <c r="C290" s="16" t="s">
        <v>535</v>
      </c>
      <c r="D290" s="16" t="s">
        <v>535</v>
      </c>
      <c r="E290" s="16" t="s">
        <v>535</v>
      </c>
      <c r="F290" s="16" t="s">
        <v>535</v>
      </c>
      <c r="G290" s="16" t="s">
        <v>535</v>
      </c>
      <c r="H290" s="16" t="s">
        <v>535</v>
      </c>
      <c r="I290" s="140" t="s">
        <v>535</v>
      </c>
      <c r="J290" s="141" t="s">
        <v>204</v>
      </c>
      <c r="K290" s="5" t="s">
        <v>977</v>
      </c>
      <c r="L290" s="5"/>
      <c r="M290" s="5" t="s">
        <v>207</v>
      </c>
      <c r="N290" s="5"/>
      <c r="O290" s="5"/>
      <c r="P290" s="184">
        <v>1371</v>
      </c>
      <c r="Q290" s="45"/>
      <c r="R290" s="45"/>
      <c r="S290" s="45"/>
      <c r="T290" s="45"/>
      <c r="U290" s="45"/>
      <c r="V290" s="53">
        <f t="shared" si="5"/>
        <v>1371</v>
      </c>
      <c r="W290" s="22"/>
      <c r="X290" s="22" t="s">
        <v>243</v>
      </c>
      <c r="Y290" s="22"/>
      <c r="Z290" s="22"/>
      <c r="AA290" s="22"/>
      <c r="AB290" s="22"/>
      <c r="AC290" s="22"/>
      <c r="AD290" s="22"/>
      <c r="AE290" s="22"/>
      <c r="AF290" s="22"/>
      <c r="AG290" s="22"/>
      <c r="AH290" s="22"/>
      <c r="AI290" s="22"/>
      <c r="AJ290" s="22"/>
      <c r="AK290" s="22"/>
      <c r="AL290" s="22"/>
      <c r="AM290" s="22"/>
      <c r="AN290" s="22"/>
      <c r="AO290" s="22"/>
      <c r="AP290" s="22"/>
      <c r="AQ290" s="22"/>
      <c r="AR290" s="22"/>
      <c r="AS290" s="22"/>
      <c r="AT290" s="22"/>
      <c r="AU290" s="22"/>
      <c r="AV290" s="22"/>
      <c r="AW290" s="22"/>
      <c r="AX290" s="22"/>
      <c r="AY290" s="22"/>
      <c r="AZ290" s="22"/>
      <c r="BA290" s="5"/>
    </row>
    <row r="291" spans="1:53" ht="15" thickBot="1" x14ac:dyDescent="0.4">
      <c r="A291" s="16" t="s">
        <v>243</v>
      </c>
      <c r="B291" s="16" t="s">
        <v>535</v>
      </c>
      <c r="C291" s="16" t="s">
        <v>535</v>
      </c>
      <c r="D291" s="16" t="s">
        <v>535</v>
      </c>
      <c r="E291" s="16" t="s">
        <v>535</v>
      </c>
      <c r="F291" s="16" t="s">
        <v>535</v>
      </c>
      <c r="G291" s="16" t="s">
        <v>535</v>
      </c>
      <c r="H291" s="16" t="s">
        <v>535</v>
      </c>
      <c r="I291" s="140" t="s">
        <v>535</v>
      </c>
      <c r="J291" s="141" t="s">
        <v>204</v>
      </c>
      <c r="K291" s="5" t="s">
        <v>978</v>
      </c>
      <c r="L291" s="5"/>
      <c r="M291" s="5" t="s">
        <v>207</v>
      </c>
      <c r="N291" s="5"/>
      <c r="O291" s="5"/>
      <c r="P291" s="184">
        <v>2024</v>
      </c>
      <c r="Q291" s="45"/>
      <c r="R291" s="45"/>
      <c r="S291" s="45"/>
      <c r="T291" s="45"/>
      <c r="U291" s="45"/>
      <c r="V291" s="53">
        <f t="shared" si="5"/>
        <v>2024</v>
      </c>
      <c r="W291" s="22"/>
      <c r="X291" s="22" t="s">
        <v>243</v>
      </c>
      <c r="Y291" s="22"/>
      <c r="Z291" s="22"/>
      <c r="AA291" s="22"/>
      <c r="AB291" s="22"/>
      <c r="AC291" s="22"/>
      <c r="AD291" s="22"/>
      <c r="AE291" s="22"/>
      <c r="AF291" s="22"/>
      <c r="AG291" s="22"/>
      <c r="AH291" s="22"/>
      <c r="AI291" s="22"/>
      <c r="AJ291" s="22"/>
      <c r="AK291" s="22"/>
      <c r="AL291" s="22"/>
      <c r="AM291" s="22"/>
      <c r="AN291" s="22"/>
      <c r="AO291" s="22"/>
      <c r="AP291" s="22"/>
      <c r="AQ291" s="22"/>
      <c r="AR291" s="22"/>
      <c r="AS291" s="22"/>
      <c r="AT291" s="22"/>
      <c r="AU291" s="22"/>
      <c r="AV291" s="22"/>
      <c r="AW291" s="22"/>
      <c r="AX291" s="22"/>
      <c r="AY291" s="22"/>
      <c r="AZ291" s="22"/>
      <c r="BA291" s="5"/>
    </row>
    <row r="292" spans="1:53" ht="15" thickBot="1" x14ac:dyDescent="0.4">
      <c r="A292" s="16" t="s">
        <v>243</v>
      </c>
      <c r="B292" s="16" t="s">
        <v>535</v>
      </c>
      <c r="C292" s="16" t="s">
        <v>535</v>
      </c>
      <c r="D292" s="16" t="s">
        <v>535</v>
      </c>
      <c r="E292" s="16" t="s">
        <v>535</v>
      </c>
      <c r="F292" s="16" t="s">
        <v>535</v>
      </c>
      <c r="G292" s="16" t="s">
        <v>535</v>
      </c>
      <c r="H292" s="16" t="s">
        <v>535</v>
      </c>
      <c r="I292" s="140" t="s">
        <v>535</v>
      </c>
      <c r="J292" s="141" t="s">
        <v>204</v>
      </c>
      <c r="K292" s="5" t="s">
        <v>979</v>
      </c>
      <c r="L292" s="5"/>
      <c r="M292" s="5" t="s">
        <v>207</v>
      </c>
      <c r="N292" s="5"/>
      <c r="O292" s="5"/>
      <c r="P292" s="184">
        <v>3417</v>
      </c>
      <c r="Q292" s="45"/>
      <c r="R292" s="45"/>
      <c r="S292" s="45"/>
      <c r="T292" s="45"/>
      <c r="U292" s="45"/>
      <c r="V292" s="53">
        <f t="shared" si="5"/>
        <v>3417</v>
      </c>
      <c r="W292" s="22"/>
      <c r="X292" s="22" t="s">
        <v>243</v>
      </c>
      <c r="Y292" s="22"/>
      <c r="Z292" s="22"/>
      <c r="AA292" s="22"/>
      <c r="AB292" s="22"/>
      <c r="AC292" s="22"/>
      <c r="AD292" s="22"/>
      <c r="AE292" s="22"/>
      <c r="AF292" s="22"/>
      <c r="AG292" s="22"/>
      <c r="AH292" s="22"/>
      <c r="AI292" s="22"/>
      <c r="AJ292" s="22"/>
      <c r="AK292" s="22"/>
      <c r="AL292" s="22"/>
      <c r="AM292" s="22"/>
      <c r="AN292" s="22"/>
      <c r="AO292" s="22"/>
      <c r="AP292" s="22"/>
      <c r="AQ292" s="22"/>
      <c r="AR292" s="22"/>
      <c r="AS292" s="22"/>
      <c r="AT292" s="22"/>
      <c r="AU292" s="22"/>
      <c r="AV292" s="22"/>
      <c r="AW292" s="22"/>
      <c r="AX292" s="22"/>
      <c r="AY292" s="22"/>
      <c r="AZ292" s="22"/>
      <c r="BA292" s="5"/>
    </row>
    <row r="293" spans="1:53" ht="15" thickBot="1" x14ac:dyDescent="0.4">
      <c r="A293" s="16" t="s">
        <v>243</v>
      </c>
      <c r="B293" s="16" t="s">
        <v>535</v>
      </c>
      <c r="C293" s="16" t="s">
        <v>535</v>
      </c>
      <c r="D293" s="16" t="s">
        <v>535</v>
      </c>
      <c r="E293" s="16" t="s">
        <v>535</v>
      </c>
      <c r="F293" s="16" t="s">
        <v>535</v>
      </c>
      <c r="G293" s="16" t="s">
        <v>535</v>
      </c>
      <c r="H293" s="16" t="s">
        <v>535</v>
      </c>
      <c r="I293" s="140" t="s">
        <v>535</v>
      </c>
      <c r="J293" s="141" t="s">
        <v>204</v>
      </c>
      <c r="K293" s="5" t="s">
        <v>980</v>
      </c>
      <c r="L293" s="5"/>
      <c r="M293" s="5" t="s">
        <v>207</v>
      </c>
      <c r="N293" s="5"/>
      <c r="O293" s="5"/>
      <c r="P293" s="184">
        <v>15.3</v>
      </c>
      <c r="Q293" s="45"/>
      <c r="R293" s="45"/>
      <c r="S293" s="45"/>
      <c r="T293" s="45"/>
      <c r="U293" s="45"/>
      <c r="V293" s="53">
        <f t="shared" si="5"/>
        <v>15.3</v>
      </c>
      <c r="W293" s="22"/>
      <c r="X293" s="22" t="s">
        <v>243</v>
      </c>
      <c r="Y293" s="22"/>
      <c r="Z293" s="22"/>
      <c r="AA293" s="22"/>
      <c r="AB293" s="22"/>
      <c r="AC293" s="22"/>
      <c r="AD293" s="22"/>
      <c r="AE293" s="22"/>
      <c r="AF293" s="22"/>
      <c r="AG293" s="22"/>
      <c r="AH293" s="22"/>
      <c r="AI293" s="22"/>
      <c r="AJ293" s="22"/>
      <c r="AK293" s="22"/>
      <c r="AL293" s="22"/>
      <c r="AM293" s="22"/>
      <c r="AN293" s="22"/>
      <c r="AO293" s="22"/>
      <c r="AP293" s="22"/>
      <c r="AQ293" s="22"/>
      <c r="AR293" s="22"/>
      <c r="AS293" s="22"/>
      <c r="AT293" s="22"/>
      <c r="AU293" s="22"/>
      <c r="AV293" s="22"/>
      <c r="AW293" s="22"/>
      <c r="AX293" s="22"/>
      <c r="AY293" s="22"/>
      <c r="AZ293" s="22"/>
      <c r="BA293" s="5"/>
    </row>
    <row r="294" spans="1:53" ht="15" thickBot="1" x14ac:dyDescent="0.4">
      <c r="A294" s="16" t="s">
        <v>243</v>
      </c>
      <c r="B294" s="16" t="s">
        <v>535</v>
      </c>
      <c r="C294" s="16" t="s">
        <v>535</v>
      </c>
      <c r="D294" s="16" t="s">
        <v>535</v>
      </c>
      <c r="E294" s="16" t="s">
        <v>535</v>
      </c>
      <c r="F294" s="16" t="s">
        <v>535</v>
      </c>
      <c r="G294" s="16" t="s">
        <v>535</v>
      </c>
      <c r="H294" s="16" t="s">
        <v>535</v>
      </c>
      <c r="I294" s="140" t="s">
        <v>535</v>
      </c>
      <c r="J294" s="141" t="s">
        <v>204</v>
      </c>
      <c r="K294" s="5" t="s">
        <v>981</v>
      </c>
      <c r="L294" s="5"/>
      <c r="M294" s="5" t="s">
        <v>207</v>
      </c>
      <c r="N294" s="5"/>
      <c r="O294" s="5"/>
      <c r="P294" s="184">
        <v>106</v>
      </c>
      <c r="Q294" s="45"/>
      <c r="R294" s="45"/>
      <c r="S294" s="45"/>
      <c r="T294" s="45"/>
      <c r="U294" s="45"/>
      <c r="V294" s="53">
        <f t="shared" si="5"/>
        <v>106</v>
      </c>
      <c r="W294" s="22"/>
      <c r="X294" s="22" t="s">
        <v>243</v>
      </c>
      <c r="Y294" s="22"/>
      <c r="Z294" s="22"/>
      <c r="AA294" s="22"/>
      <c r="AB294" s="22"/>
      <c r="AC294" s="22"/>
      <c r="AD294" s="22"/>
      <c r="AE294" s="22"/>
      <c r="AF294" s="22"/>
      <c r="AG294" s="22"/>
      <c r="AH294" s="22"/>
      <c r="AI294" s="22"/>
      <c r="AJ294" s="22"/>
      <c r="AK294" s="22"/>
      <c r="AL294" s="22"/>
      <c r="AM294" s="22"/>
      <c r="AN294" s="22"/>
      <c r="AO294" s="22"/>
      <c r="AP294" s="22"/>
      <c r="AQ294" s="22"/>
      <c r="AR294" s="22"/>
      <c r="AS294" s="22"/>
      <c r="AT294" s="22"/>
      <c r="AU294" s="22"/>
      <c r="AV294" s="22"/>
      <c r="AW294" s="22"/>
      <c r="AX294" s="22"/>
      <c r="AY294" s="22"/>
      <c r="AZ294" s="22"/>
      <c r="BA294" s="5"/>
    </row>
    <row r="295" spans="1:53" ht="15" thickBot="1" x14ac:dyDescent="0.4">
      <c r="A295" s="16" t="s">
        <v>243</v>
      </c>
      <c r="B295" s="16" t="s">
        <v>535</v>
      </c>
      <c r="C295" s="16" t="s">
        <v>535</v>
      </c>
      <c r="D295" s="16" t="s">
        <v>535</v>
      </c>
      <c r="E295" s="16" t="s">
        <v>535</v>
      </c>
      <c r="F295" s="16" t="s">
        <v>535</v>
      </c>
      <c r="G295" s="16" t="s">
        <v>535</v>
      </c>
      <c r="H295" s="16" t="s">
        <v>535</v>
      </c>
      <c r="I295" s="140" t="s">
        <v>535</v>
      </c>
      <c r="J295" s="141" t="s">
        <v>204</v>
      </c>
      <c r="K295" s="5" t="s">
        <v>982</v>
      </c>
      <c r="L295" s="5"/>
      <c r="M295" s="5" t="s">
        <v>207</v>
      </c>
      <c r="N295" s="5"/>
      <c r="O295" s="5"/>
      <c r="P295" s="184">
        <v>40</v>
      </c>
      <c r="Q295" s="45"/>
      <c r="R295" s="45"/>
      <c r="S295" s="45"/>
      <c r="T295" s="45"/>
      <c r="U295" s="45"/>
      <c r="V295" s="53">
        <f t="shared" si="5"/>
        <v>40</v>
      </c>
      <c r="W295" s="22"/>
      <c r="X295" s="22" t="s">
        <v>243</v>
      </c>
      <c r="Y295" s="22"/>
      <c r="Z295" s="22"/>
      <c r="AA295" s="22"/>
      <c r="AB295" s="22"/>
      <c r="AC295" s="22"/>
      <c r="AD295" s="22"/>
      <c r="AE295" s="22"/>
      <c r="AF295" s="22"/>
      <c r="AG295" s="22"/>
      <c r="AH295" s="22"/>
      <c r="AI295" s="22"/>
      <c r="AJ295" s="22"/>
      <c r="AK295" s="22"/>
      <c r="AL295" s="22"/>
      <c r="AM295" s="22"/>
      <c r="AN295" s="22"/>
      <c r="AO295" s="22"/>
      <c r="AP295" s="22"/>
      <c r="AQ295" s="22"/>
      <c r="AR295" s="22"/>
      <c r="AS295" s="22"/>
      <c r="AT295" s="22"/>
      <c r="AU295" s="22"/>
      <c r="AV295" s="22"/>
      <c r="AW295" s="22"/>
      <c r="AX295" s="22"/>
      <c r="AY295" s="22"/>
      <c r="AZ295" s="22"/>
      <c r="BA295" s="5"/>
    </row>
    <row r="296" spans="1:53" ht="15" thickBot="1" x14ac:dyDescent="0.4">
      <c r="A296" s="16" t="s">
        <v>243</v>
      </c>
      <c r="B296" s="16" t="s">
        <v>535</v>
      </c>
      <c r="C296" s="16" t="s">
        <v>535</v>
      </c>
      <c r="D296" s="16" t="s">
        <v>535</v>
      </c>
      <c r="E296" s="16" t="s">
        <v>535</v>
      </c>
      <c r="F296" s="16" t="s">
        <v>535</v>
      </c>
      <c r="G296" s="16" t="s">
        <v>535</v>
      </c>
      <c r="H296" s="16" t="s">
        <v>535</v>
      </c>
      <c r="I296" s="140" t="s">
        <v>535</v>
      </c>
      <c r="J296" s="141" t="s">
        <v>204</v>
      </c>
      <c r="K296" s="5" t="s">
        <v>983</v>
      </c>
      <c r="L296" s="5"/>
      <c r="M296" s="5" t="s">
        <v>207</v>
      </c>
      <c r="N296" s="5"/>
      <c r="O296" s="5"/>
      <c r="P296" s="184">
        <v>1.8</v>
      </c>
      <c r="Q296" s="45"/>
      <c r="R296" s="45"/>
      <c r="S296" s="45"/>
      <c r="T296" s="45"/>
      <c r="U296" s="45"/>
      <c r="V296" s="53">
        <f t="shared" si="5"/>
        <v>1.8</v>
      </c>
      <c r="W296" s="22"/>
      <c r="X296" s="22" t="s">
        <v>243</v>
      </c>
      <c r="Y296" s="22"/>
      <c r="Z296" s="22"/>
      <c r="AA296" s="22"/>
      <c r="AB296" s="22"/>
      <c r="AC296" s="22"/>
      <c r="AD296" s="22"/>
      <c r="AE296" s="22"/>
      <c r="AF296" s="22"/>
      <c r="AG296" s="22"/>
      <c r="AH296" s="22"/>
      <c r="AI296" s="22"/>
      <c r="AJ296" s="22"/>
      <c r="AK296" s="22"/>
      <c r="AL296" s="22"/>
      <c r="AM296" s="22"/>
      <c r="AN296" s="22"/>
      <c r="AO296" s="22"/>
      <c r="AP296" s="22"/>
      <c r="AQ296" s="22"/>
      <c r="AR296" s="22"/>
      <c r="AS296" s="22"/>
      <c r="AT296" s="22"/>
      <c r="AU296" s="22"/>
      <c r="AV296" s="22"/>
      <c r="AW296" s="22"/>
      <c r="AX296" s="22"/>
      <c r="AY296" s="22"/>
      <c r="AZ296" s="22"/>
      <c r="BA296" s="5"/>
    </row>
    <row r="297" spans="1:53" ht="15" thickBot="1" x14ac:dyDescent="0.4">
      <c r="A297" s="16" t="s">
        <v>243</v>
      </c>
      <c r="B297" s="16" t="s">
        <v>535</v>
      </c>
      <c r="C297" s="16" t="s">
        <v>535</v>
      </c>
      <c r="D297" s="16" t="s">
        <v>535</v>
      </c>
      <c r="E297" s="16" t="s">
        <v>535</v>
      </c>
      <c r="F297" s="16" t="s">
        <v>535</v>
      </c>
      <c r="G297" s="16" t="s">
        <v>535</v>
      </c>
      <c r="H297" s="16" t="s">
        <v>535</v>
      </c>
      <c r="I297" s="140" t="s">
        <v>535</v>
      </c>
      <c r="J297" s="141" t="s">
        <v>204</v>
      </c>
      <c r="K297" s="5" t="s">
        <v>984</v>
      </c>
      <c r="L297" s="5"/>
      <c r="M297" s="5" t="s">
        <v>207</v>
      </c>
      <c r="N297" s="5"/>
      <c r="O297" s="5"/>
      <c r="P297" s="184">
        <v>0.64</v>
      </c>
      <c r="Q297" s="45"/>
      <c r="R297" s="45"/>
      <c r="S297" s="45"/>
      <c r="T297" s="45"/>
      <c r="U297" s="45"/>
      <c r="V297" s="53">
        <f t="shared" si="5"/>
        <v>0.64</v>
      </c>
      <c r="W297" s="22"/>
      <c r="X297" s="22" t="s">
        <v>243</v>
      </c>
      <c r="Y297" s="22"/>
      <c r="Z297" s="22"/>
      <c r="AA297" s="22"/>
      <c r="AB297" s="22"/>
      <c r="AC297" s="22"/>
      <c r="AD297" s="22"/>
      <c r="AE297" s="22"/>
      <c r="AF297" s="22"/>
      <c r="AG297" s="22"/>
      <c r="AH297" s="22"/>
      <c r="AI297" s="22"/>
      <c r="AJ297" s="22"/>
      <c r="AK297" s="22"/>
      <c r="AL297" s="22"/>
      <c r="AM297" s="22"/>
      <c r="AN297" s="22"/>
      <c r="AO297" s="22"/>
      <c r="AP297" s="22"/>
      <c r="AQ297" s="22"/>
      <c r="AR297" s="22"/>
      <c r="AS297" s="22"/>
      <c r="AT297" s="22"/>
      <c r="AU297" s="22"/>
      <c r="AV297" s="22"/>
      <c r="AW297" s="22"/>
      <c r="AX297" s="22"/>
      <c r="AY297" s="22"/>
      <c r="AZ297" s="22"/>
      <c r="BA297" s="5"/>
    </row>
    <row r="298" spans="1:53" ht="15" thickBot="1" x14ac:dyDescent="0.4">
      <c r="A298" s="16" t="s">
        <v>243</v>
      </c>
      <c r="B298" s="16" t="s">
        <v>535</v>
      </c>
      <c r="C298" s="16" t="s">
        <v>535</v>
      </c>
      <c r="D298" s="16" t="s">
        <v>535</v>
      </c>
      <c r="E298" s="16" t="s">
        <v>535</v>
      </c>
      <c r="F298" s="16" t="s">
        <v>535</v>
      </c>
      <c r="G298" s="16" t="s">
        <v>535</v>
      </c>
      <c r="H298" s="16" t="s">
        <v>535</v>
      </c>
      <c r="I298" s="140" t="s">
        <v>535</v>
      </c>
      <c r="J298" s="141" t="s">
        <v>204</v>
      </c>
      <c r="K298" s="5" t="s">
        <v>985</v>
      </c>
      <c r="L298" s="5"/>
      <c r="M298" s="5" t="s">
        <v>207</v>
      </c>
      <c r="N298" s="5"/>
      <c r="O298" s="5"/>
      <c r="P298" s="184">
        <v>0.16</v>
      </c>
      <c r="Q298" s="45"/>
      <c r="R298" s="45"/>
      <c r="S298" s="45"/>
      <c r="T298" s="45"/>
      <c r="U298" s="45"/>
      <c r="V298" s="53">
        <f t="shared" si="5"/>
        <v>0.16</v>
      </c>
      <c r="W298" s="22"/>
      <c r="X298" s="22" t="s">
        <v>243</v>
      </c>
      <c r="Y298" s="22"/>
      <c r="Z298" s="22"/>
      <c r="AA298" s="22"/>
      <c r="AB298" s="22"/>
      <c r="AC298" s="22"/>
      <c r="AD298" s="22"/>
      <c r="AE298" s="22"/>
      <c r="AF298" s="22"/>
      <c r="AG298" s="22"/>
      <c r="AH298" s="22"/>
      <c r="AI298" s="22"/>
      <c r="AJ298" s="22"/>
      <c r="AK298" s="22"/>
      <c r="AL298" s="22"/>
      <c r="AM298" s="22"/>
      <c r="AN298" s="22"/>
      <c r="AO298" s="22"/>
      <c r="AP298" s="22"/>
      <c r="AQ298" s="22"/>
      <c r="AR298" s="22"/>
      <c r="AS298" s="22"/>
      <c r="AT298" s="22"/>
      <c r="AU298" s="22"/>
      <c r="AV298" s="22"/>
      <c r="AW298" s="22"/>
      <c r="AX298" s="22"/>
      <c r="AY298" s="22"/>
      <c r="AZ298" s="22"/>
      <c r="BA298" s="5"/>
    </row>
    <row r="299" spans="1:53" ht="15" thickBot="1" x14ac:dyDescent="0.4">
      <c r="A299" s="16" t="s">
        <v>243</v>
      </c>
      <c r="B299" s="16" t="s">
        <v>535</v>
      </c>
      <c r="C299" s="16" t="s">
        <v>535</v>
      </c>
      <c r="D299" s="16" t="s">
        <v>535</v>
      </c>
      <c r="E299" s="16" t="s">
        <v>535</v>
      </c>
      <c r="F299" s="16" t="s">
        <v>535</v>
      </c>
      <c r="G299" s="16" t="s">
        <v>535</v>
      </c>
      <c r="H299" s="16" t="s">
        <v>535</v>
      </c>
      <c r="I299" s="140" t="s">
        <v>535</v>
      </c>
      <c r="J299" s="141" t="s">
        <v>204</v>
      </c>
      <c r="K299" s="5" t="s">
        <v>986</v>
      </c>
      <c r="L299" s="5"/>
      <c r="M299" s="5" t="s">
        <v>207</v>
      </c>
      <c r="N299" s="5"/>
      <c r="O299" s="5"/>
      <c r="P299" s="184">
        <v>0.55000000000000004</v>
      </c>
      <c r="Q299" s="45"/>
      <c r="R299" s="45"/>
      <c r="S299" s="45"/>
      <c r="T299" s="45"/>
      <c r="U299" s="45"/>
      <c r="V299" s="53">
        <f t="shared" si="5"/>
        <v>0.55000000000000004</v>
      </c>
      <c r="W299" s="22"/>
      <c r="X299" s="22" t="s">
        <v>243</v>
      </c>
      <c r="Y299" s="22"/>
      <c r="Z299" s="22"/>
      <c r="AA299" s="22"/>
      <c r="AB299" s="22"/>
      <c r="AC299" s="22"/>
      <c r="AD299" s="22"/>
      <c r="AE299" s="22"/>
      <c r="AF299" s="22"/>
      <c r="AG299" s="22"/>
      <c r="AH299" s="22"/>
      <c r="AI299" s="22"/>
      <c r="AJ299" s="22"/>
      <c r="AK299" s="22"/>
      <c r="AL299" s="22"/>
      <c r="AM299" s="22"/>
      <c r="AN299" s="22"/>
      <c r="AO299" s="22"/>
      <c r="AP299" s="22"/>
      <c r="AQ299" s="22"/>
      <c r="AR299" s="22"/>
      <c r="AS299" s="22"/>
      <c r="AT299" s="22"/>
      <c r="AU299" s="22"/>
      <c r="AV299" s="22"/>
      <c r="AW299" s="22"/>
      <c r="AX299" s="22"/>
      <c r="AY299" s="22"/>
      <c r="AZ299" s="22"/>
      <c r="BA299" s="5"/>
    </row>
    <row r="300" spans="1:53" ht="15" thickBot="1" x14ac:dyDescent="0.4">
      <c r="A300" s="16" t="s">
        <v>243</v>
      </c>
      <c r="B300" s="16" t="s">
        <v>535</v>
      </c>
      <c r="C300" s="16" t="s">
        <v>535</v>
      </c>
      <c r="D300" s="16" t="s">
        <v>535</v>
      </c>
      <c r="E300" s="16" t="s">
        <v>535</v>
      </c>
      <c r="F300" s="16" t="s">
        <v>535</v>
      </c>
      <c r="G300" s="16" t="s">
        <v>535</v>
      </c>
      <c r="H300" s="16" t="s">
        <v>535</v>
      </c>
      <c r="I300" s="140" t="s">
        <v>535</v>
      </c>
      <c r="J300" s="141" t="s">
        <v>204</v>
      </c>
      <c r="K300" s="5" t="s">
        <v>987</v>
      </c>
      <c r="L300" s="5"/>
      <c r="M300" s="5" t="s">
        <v>207</v>
      </c>
      <c r="N300" s="5"/>
      <c r="O300" s="5"/>
      <c r="P300" s="184">
        <v>3076</v>
      </c>
      <c r="Q300" s="45"/>
      <c r="R300" s="45"/>
      <c r="S300" s="45"/>
      <c r="T300" s="45"/>
      <c r="U300" s="45"/>
      <c r="V300" s="53">
        <f t="shared" si="5"/>
        <v>3076</v>
      </c>
      <c r="W300" s="22"/>
      <c r="X300" s="22" t="s">
        <v>243</v>
      </c>
      <c r="Y300" s="22"/>
      <c r="Z300" s="22"/>
      <c r="AA300" s="22"/>
      <c r="AB300" s="22"/>
      <c r="AC300" s="22"/>
      <c r="AD300" s="22"/>
      <c r="AE300" s="22"/>
      <c r="AF300" s="22"/>
      <c r="AG300" s="22"/>
      <c r="AH300" s="22"/>
      <c r="AI300" s="22"/>
      <c r="AJ300" s="22"/>
      <c r="AK300" s="22"/>
      <c r="AL300" s="22"/>
      <c r="AM300" s="22"/>
      <c r="AN300" s="22"/>
      <c r="AO300" s="22"/>
      <c r="AP300" s="22"/>
      <c r="AQ300" s="22"/>
      <c r="AR300" s="22"/>
      <c r="AS300" s="22"/>
      <c r="AT300" s="22"/>
      <c r="AU300" s="22"/>
      <c r="AV300" s="22"/>
      <c r="AW300" s="22"/>
      <c r="AX300" s="22"/>
      <c r="AY300" s="22"/>
      <c r="AZ300" s="22"/>
      <c r="BA300" s="5"/>
    </row>
    <row r="301" spans="1:53" ht="15" thickBot="1" x14ac:dyDescent="0.4">
      <c r="A301" s="16" t="s">
        <v>243</v>
      </c>
      <c r="B301" s="16" t="s">
        <v>535</v>
      </c>
      <c r="C301" s="16" t="s">
        <v>535</v>
      </c>
      <c r="D301" s="16" t="s">
        <v>535</v>
      </c>
      <c r="E301" s="16" t="s">
        <v>535</v>
      </c>
      <c r="F301" s="16" t="s">
        <v>535</v>
      </c>
      <c r="G301" s="16" t="s">
        <v>535</v>
      </c>
      <c r="H301" s="16" t="s">
        <v>535</v>
      </c>
      <c r="I301" s="140" t="s">
        <v>535</v>
      </c>
      <c r="J301" s="141" t="s">
        <v>204</v>
      </c>
      <c r="K301" s="5" t="s">
        <v>988</v>
      </c>
      <c r="L301" s="5"/>
      <c r="M301" s="5" t="s">
        <v>207</v>
      </c>
      <c r="N301" s="5"/>
      <c r="O301" s="5"/>
      <c r="P301" s="184">
        <v>28.4</v>
      </c>
      <c r="Q301" s="45"/>
      <c r="R301" s="45"/>
      <c r="S301" s="45"/>
      <c r="T301" s="45"/>
      <c r="U301" s="45"/>
      <c r="V301" s="53">
        <f t="shared" si="5"/>
        <v>28.4</v>
      </c>
      <c r="W301" s="22"/>
      <c r="X301" s="22" t="s">
        <v>243</v>
      </c>
      <c r="Y301" s="22"/>
      <c r="Z301" s="22"/>
      <c r="AA301" s="22"/>
      <c r="AB301" s="22"/>
      <c r="AC301" s="22"/>
      <c r="AD301" s="22"/>
      <c r="AE301" s="22"/>
      <c r="AF301" s="22"/>
      <c r="AG301" s="22"/>
      <c r="AH301" s="22"/>
      <c r="AI301" s="22"/>
      <c r="AJ301" s="22"/>
      <c r="AK301" s="22"/>
      <c r="AL301" s="22"/>
      <c r="AM301" s="22"/>
      <c r="AN301" s="22"/>
      <c r="AO301" s="22"/>
      <c r="AP301" s="22"/>
      <c r="AQ301" s="22"/>
      <c r="AR301" s="22"/>
      <c r="AS301" s="22"/>
      <c r="AT301" s="22"/>
      <c r="AU301" s="22"/>
      <c r="AV301" s="22"/>
      <c r="AW301" s="22"/>
      <c r="AX301" s="22"/>
      <c r="AY301" s="22"/>
      <c r="AZ301" s="22"/>
      <c r="BA301" s="5"/>
    </row>
    <row r="302" spans="1:53" ht="15" thickBot="1" x14ac:dyDescent="0.4">
      <c r="A302" s="16" t="s">
        <v>243</v>
      </c>
      <c r="B302" s="16" t="s">
        <v>535</v>
      </c>
      <c r="C302" s="16" t="s">
        <v>535</v>
      </c>
      <c r="D302" s="16" t="s">
        <v>535</v>
      </c>
      <c r="E302" s="16" t="s">
        <v>535</v>
      </c>
      <c r="F302" s="16" t="s">
        <v>535</v>
      </c>
      <c r="G302" s="16" t="s">
        <v>535</v>
      </c>
      <c r="H302" s="16" t="s">
        <v>535</v>
      </c>
      <c r="I302" s="140" t="s">
        <v>535</v>
      </c>
      <c r="J302" s="141" t="s">
        <v>204</v>
      </c>
      <c r="K302" s="5" t="s">
        <v>989</v>
      </c>
      <c r="L302" s="5"/>
      <c r="M302" s="5" t="s">
        <v>207</v>
      </c>
      <c r="N302" s="5"/>
      <c r="O302" s="5"/>
      <c r="P302" s="184">
        <v>1.35</v>
      </c>
      <c r="Q302" s="45"/>
      <c r="R302" s="45"/>
      <c r="S302" s="45"/>
      <c r="T302" s="45"/>
      <c r="U302" s="45"/>
      <c r="V302" s="53">
        <f t="shared" si="5"/>
        <v>1.35</v>
      </c>
      <c r="W302" s="22"/>
      <c r="X302" s="22" t="s">
        <v>243</v>
      </c>
      <c r="Y302" s="22"/>
      <c r="Z302" s="22"/>
      <c r="AA302" s="22"/>
      <c r="AB302" s="22"/>
      <c r="AC302" s="22"/>
      <c r="AD302" s="22"/>
      <c r="AE302" s="22"/>
      <c r="AF302" s="22"/>
      <c r="AG302" s="22"/>
      <c r="AH302" s="22"/>
      <c r="AI302" s="22"/>
      <c r="AJ302" s="22"/>
      <c r="AK302" s="22"/>
      <c r="AL302" s="22"/>
      <c r="AM302" s="22"/>
      <c r="AN302" s="22"/>
      <c r="AO302" s="22"/>
      <c r="AP302" s="22"/>
      <c r="AQ302" s="22"/>
      <c r="AR302" s="22"/>
      <c r="AS302" s="22"/>
      <c r="AT302" s="22"/>
      <c r="AU302" s="22"/>
      <c r="AV302" s="22"/>
      <c r="AW302" s="22"/>
      <c r="AX302" s="22"/>
      <c r="AY302" s="22"/>
      <c r="AZ302" s="22"/>
      <c r="BA302" s="5"/>
    </row>
    <row r="303" spans="1:53" ht="15" thickBot="1" x14ac:dyDescent="0.4">
      <c r="A303" s="16" t="s">
        <v>243</v>
      </c>
      <c r="B303" s="16" t="s">
        <v>535</v>
      </c>
      <c r="C303" s="16" t="s">
        <v>535</v>
      </c>
      <c r="D303" s="16" t="s">
        <v>535</v>
      </c>
      <c r="E303" s="16" t="s">
        <v>535</v>
      </c>
      <c r="F303" s="16" t="s">
        <v>535</v>
      </c>
      <c r="G303" s="16" t="s">
        <v>535</v>
      </c>
      <c r="H303" s="16" t="s">
        <v>535</v>
      </c>
      <c r="I303" s="140" t="s">
        <v>535</v>
      </c>
      <c r="J303" s="141" t="s">
        <v>204</v>
      </c>
      <c r="K303" s="5" t="s">
        <v>990</v>
      </c>
      <c r="L303" s="5"/>
      <c r="M303" s="5" t="s">
        <v>207</v>
      </c>
      <c r="N303" s="5"/>
      <c r="O303" s="5"/>
      <c r="P303" s="184">
        <v>1.47</v>
      </c>
      <c r="Q303" s="45"/>
      <c r="R303" s="45"/>
      <c r="S303" s="45"/>
      <c r="T303" s="45"/>
      <c r="U303" s="45"/>
      <c r="V303" s="53">
        <f t="shared" si="5"/>
        <v>1.47</v>
      </c>
      <c r="W303" s="22"/>
      <c r="X303" s="22" t="s">
        <v>243</v>
      </c>
      <c r="Y303" s="22"/>
      <c r="Z303" s="22"/>
      <c r="AA303" s="22"/>
      <c r="AB303" s="22"/>
      <c r="AC303" s="22"/>
      <c r="AD303" s="22"/>
      <c r="AE303" s="22"/>
      <c r="AF303" s="22"/>
      <c r="AG303" s="22"/>
      <c r="AH303" s="22"/>
      <c r="AI303" s="22"/>
      <c r="AJ303" s="22"/>
      <c r="AK303" s="22"/>
      <c r="AL303" s="22"/>
      <c r="AM303" s="22"/>
      <c r="AN303" s="22"/>
      <c r="AO303" s="22"/>
      <c r="AP303" s="22"/>
      <c r="AQ303" s="22"/>
      <c r="AR303" s="22"/>
      <c r="AS303" s="22"/>
      <c r="AT303" s="22"/>
      <c r="AU303" s="22"/>
      <c r="AV303" s="22"/>
      <c r="AW303" s="22"/>
      <c r="AX303" s="22"/>
      <c r="AY303" s="22"/>
      <c r="AZ303" s="22"/>
      <c r="BA303" s="5"/>
    </row>
    <row r="304" spans="1:53" ht="15" thickBot="1" x14ac:dyDescent="0.4">
      <c r="A304" s="16" t="s">
        <v>243</v>
      </c>
      <c r="B304" s="16" t="s">
        <v>535</v>
      </c>
      <c r="C304" s="16" t="s">
        <v>535</v>
      </c>
      <c r="D304" s="16" t="s">
        <v>535</v>
      </c>
      <c r="E304" s="16" t="s">
        <v>535</v>
      </c>
      <c r="F304" s="16" t="s">
        <v>535</v>
      </c>
      <c r="G304" s="16" t="s">
        <v>535</v>
      </c>
      <c r="H304" s="16" t="s">
        <v>535</v>
      </c>
      <c r="I304" s="140" t="s">
        <v>535</v>
      </c>
      <c r="J304" s="141" t="s">
        <v>204</v>
      </c>
      <c r="K304" s="5" t="s">
        <v>991</v>
      </c>
      <c r="L304" s="5"/>
      <c r="M304" s="5" t="s">
        <v>207</v>
      </c>
      <c r="N304" s="5"/>
      <c r="O304" s="5"/>
      <c r="P304" s="184">
        <v>1639</v>
      </c>
      <c r="Q304" s="45"/>
      <c r="R304" s="45"/>
      <c r="S304" s="45"/>
      <c r="T304" s="45"/>
      <c r="U304" s="45"/>
      <c r="V304" s="53">
        <f t="shared" si="5"/>
        <v>1639</v>
      </c>
      <c r="W304" s="22"/>
      <c r="X304" s="22" t="s">
        <v>243</v>
      </c>
      <c r="Y304" s="22"/>
      <c r="Z304" s="22"/>
      <c r="AA304" s="22"/>
      <c r="AB304" s="22"/>
      <c r="AC304" s="22"/>
      <c r="AD304" s="22"/>
      <c r="AE304" s="22"/>
      <c r="AF304" s="22"/>
      <c r="AG304" s="22"/>
      <c r="AH304" s="22"/>
      <c r="AI304" s="22"/>
      <c r="AJ304" s="22"/>
      <c r="AK304" s="22"/>
      <c r="AL304" s="22"/>
      <c r="AM304" s="22"/>
      <c r="AN304" s="22"/>
      <c r="AO304" s="22"/>
      <c r="AP304" s="22"/>
      <c r="AQ304" s="22"/>
      <c r="AR304" s="22"/>
      <c r="AS304" s="22"/>
      <c r="AT304" s="22"/>
      <c r="AU304" s="22"/>
      <c r="AV304" s="22"/>
      <c r="AW304" s="22"/>
      <c r="AX304" s="22"/>
      <c r="AY304" s="22"/>
      <c r="AZ304" s="22"/>
      <c r="BA304" s="5"/>
    </row>
    <row r="305" spans="1:53" ht="15" thickBot="1" x14ac:dyDescent="0.4">
      <c r="A305" s="16" t="s">
        <v>243</v>
      </c>
      <c r="B305" s="16" t="s">
        <v>535</v>
      </c>
      <c r="C305" s="16" t="s">
        <v>535</v>
      </c>
      <c r="D305" s="16" t="s">
        <v>535</v>
      </c>
      <c r="E305" s="16" t="s">
        <v>535</v>
      </c>
      <c r="F305" s="16" t="s">
        <v>535</v>
      </c>
      <c r="G305" s="16" t="s">
        <v>535</v>
      </c>
      <c r="H305" s="16" t="s">
        <v>535</v>
      </c>
      <c r="I305" s="140" t="s">
        <v>535</v>
      </c>
      <c r="J305" s="141" t="s">
        <v>204</v>
      </c>
      <c r="K305" s="5" t="s">
        <v>992</v>
      </c>
      <c r="L305" s="5"/>
      <c r="M305" s="5" t="s">
        <v>207</v>
      </c>
      <c r="N305" s="5"/>
      <c r="O305" s="5"/>
      <c r="P305" s="184">
        <v>2059</v>
      </c>
      <c r="Q305" s="45"/>
      <c r="R305" s="45"/>
      <c r="S305" s="45"/>
      <c r="T305" s="45"/>
      <c r="U305" s="45"/>
      <c r="V305" s="53">
        <f t="shared" si="5"/>
        <v>2059</v>
      </c>
      <c r="W305" s="22"/>
      <c r="X305" s="22" t="s">
        <v>243</v>
      </c>
      <c r="Y305" s="22"/>
      <c r="Z305" s="22"/>
      <c r="AA305" s="22"/>
      <c r="AB305" s="22"/>
      <c r="AC305" s="22"/>
      <c r="AD305" s="22"/>
      <c r="AE305" s="22"/>
      <c r="AF305" s="22"/>
      <c r="AG305" s="22"/>
      <c r="AH305" s="22"/>
      <c r="AI305" s="22"/>
      <c r="AJ305" s="22"/>
      <c r="AK305" s="22"/>
      <c r="AL305" s="22"/>
      <c r="AM305" s="22"/>
      <c r="AN305" s="22"/>
      <c r="AO305" s="22"/>
      <c r="AP305" s="22"/>
      <c r="AQ305" s="22"/>
      <c r="AR305" s="22"/>
      <c r="AS305" s="22"/>
      <c r="AT305" s="22"/>
      <c r="AU305" s="22"/>
      <c r="AV305" s="22"/>
      <c r="AW305" s="22"/>
      <c r="AX305" s="22"/>
      <c r="AY305" s="22"/>
      <c r="AZ305" s="22"/>
      <c r="BA305" s="5"/>
    </row>
    <row r="306" spans="1:53" ht="15" thickBot="1" x14ac:dyDescent="0.4">
      <c r="A306" s="16" t="s">
        <v>243</v>
      </c>
      <c r="B306" s="16" t="s">
        <v>535</v>
      </c>
      <c r="C306" s="16" t="s">
        <v>535</v>
      </c>
      <c r="D306" s="16" t="s">
        <v>535</v>
      </c>
      <c r="E306" s="16" t="s">
        <v>535</v>
      </c>
      <c r="F306" s="16" t="s">
        <v>535</v>
      </c>
      <c r="G306" s="16" t="s">
        <v>535</v>
      </c>
      <c r="H306" s="16" t="s">
        <v>535</v>
      </c>
      <c r="I306" s="140" t="s">
        <v>535</v>
      </c>
      <c r="J306" s="141" t="s">
        <v>204</v>
      </c>
      <c r="K306" s="5" t="s">
        <v>993</v>
      </c>
      <c r="L306" s="5"/>
      <c r="M306" s="5" t="s">
        <v>207</v>
      </c>
      <c r="N306" s="5"/>
      <c r="O306" s="5"/>
      <c r="P306" s="184">
        <v>1828</v>
      </c>
      <c r="Q306" s="45"/>
      <c r="R306" s="45"/>
      <c r="S306" s="45"/>
      <c r="T306" s="45"/>
      <c r="U306" s="45"/>
      <c r="V306" s="53">
        <f t="shared" si="5"/>
        <v>1828</v>
      </c>
      <c r="W306" s="22"/>
      <c r="X306" s="22" t="s">
        <v>243</v>
      </c>
      <c r="Y306" s="22"/>
      <c r="Z306" s="22"/>
      <c r="AA306" s="22"/>
      <c r="AB306" s="22"/>
      <c r="AC306" s="22"/>
      <c r="AD306" s="22"/>
      <c r="AE306" s="22"/>
      <c r="AF306" s="22"/>
      <c r="AG306" s="22"/>
      <c r="AH306" s="22"/>
      <c r="AI306" s="22"/>
      <c r="AJ306" s="22"/>
      <c r="AK306" s="22"/>
      <c r="AL306" s="22"/>
      <c r="AM306" s="22"/>
      <c r="AN306" s="22"/>
      <c r="AO306" s="22"/>
      <c r="AP306" s="22"/>
      <c r="AQ306" s="22"/>
      <c r="AR306" s="22"/>
      <c r="AS306" s="22"/>
      <c r="AT306" s="22"/>
      <c r="AU306" s="22"/>
      <c r="AV306" s="22"/>
      <c r="AW306" s="22"/>
      <c r="AX306" s="22"/>
      <c r="AY306" s="22"/>
      <c r="AZ306" s="22"/>
      <c r="BA306" s="5"/>
    </row>
    <row r="307" spans="1:53" ht="15" thickBot="1" x14ac:dyDescent="0.4">
      <c r="A307" s="16" t="s">
        <v>243</v>
      </c>
      <c r="B307" s="16" t="s">
        <v>535</v>
      </c>
      <c r="C307" s="16" t="s">
        <v>535</v>
      </c>
      <c r="D307" s="16" t="s">
        <v>535</v>
      </c>
      <c r="E307" s="16" t="s">
        <v>535</v>
      </c>
      <c r="F307" s="16" t="s">
        <v>535</v>
      </c>
      <c r="G307" s="16" t="s">
        <v>535</v>
      </c>
      <c r="H307" s="16" t="s">
        <v>535</v>
      </c>
      <c r="I307" s="140" t="s">
        <v>535</v>
      </c>
      <c r="J307" s="141" t="s">
        <v>204</v>
      </c>
      <c r="K307" s="5" t="s">
        <v>994</v>
      </c>
      <c r="L307" s="5"/>
      <c r="M307" s="5" t="s">
        <v>207</v>
      </c>
      <c r="N307" s="5"/>
      <c r="O307" s="5"/>
      <c r="P307" s="184">
        <v>156</v>
      </c>
      <c r="Q307" s="45"/>
      <c r="R307" s="45"/>
      <c r="S307" s="45"/>
      <c r="T307" s="45"/>
      <c r="U307" s="45"/>
      <c r="V307" s="53">
        <f t="shared" si="5"/>
        <v>156</v>
      </c>
      <c r="W307" s="22"/>
      <c r="X307" s="22" t="s">
        <v>243</v>
      </c>
      <c r="Y307" s="22"/>
      <c r="Z307" s="22"/>
      <c r="AA307" s="22"/>
      <c r="AB307" s="22"/>
      <c r="AC307" s="22"/>
      <c r="AD307" s="22"/>
      <c r="AE307" s="22"/>
      <c r="AF307" s="22"/>
      <c r="AG307" s="22"/>
      <c r="AH307" s="22"/>
      <c r="AI307" s="22"/>
      <c r="AJ307" s="22"/>
      <c r="AK307" s="22"/>
      <c r="AL307" s="22"/>
      <c r="AM307" s="22"/>
      <c r="AN307" s="22"/>
      <c r="AO307" s="22"/>
      <c r="AP307" s="22"/>
      <c r="AQ307" s="22"/>
      <c r="AR307" s="22"/>
      <c r="AS307" s="22"/>
      <c r="AT307" s="22"/>
      <c r="AU307" s="22"/>
      <c r="AV307" s="22"/>
      <c r="AW307" s="22"/>
      <c r="AX307" s="22"/>
      <c r="AY307" s="22"/>
      <c r="AZ307" s="22"/>
      <c r="BA307" s="5"/>
    </row>
    <row r="308" spans="1:53" ht="15" thickBot="1" x14ac:dyDescent="0.4">
      <c r="A308" s="16" t="s">
        <v>243</v>
      </c>
      <c r="B308" s="16" t="s">
        <v>535</v>
      </c>
      <c r="C308" s="16" t="s">
        <v>535</v>
      </c>
      <c r="D308" s="16" t="s">
        <v>535</v>
      </c>
      <c r="E308" s="16" t="s">
        <v>535</v>
      </c>
      <c r="F308" s="16" t="s">
        <v>535</v>
      </c>
      <c r="G308" s="16" t="s">
        <v>535</v>
      </c>
      <c r="H308" s="16" t="s">
        <v>535</v>
      </c>
      <c r="I308" s="140" t="s">
        <v>535</v>
      </c>
      <c r="J308" s="141" t="s">
        <v>204</v>
      </c>
      <c r="K308" s="5" t="s">
        <v>995</v>
      </c>
      <c r="L308" s="5"/>
      <c r="M308" s="5" t="s">
        <v>207</v>
      </c>
      <c r="N308" s="5"/>
      <c r="O308" s="5"/>
      <c r="P308" s="184">
        <v>0.23</v>
      </c>
      <c r="Q308" s="45"/>
      <c r="R308" s="45"/>
      <c r="S308" s="45"/>
      <c r="T308" s="45"/>
      <c r="U308" s="45"/>
      <c r="V308" s="53">
        <f t="shared" si="5"/>
        <v>0.23</v>
      </c>
      <c r="W308" s="22"/>
      <c r="X308" s="22" t="s">
        <v>243</v>
      </c>
      <c r="Y308" s="22"/>
      <c r="Z308" s="22"/>
      <c r="AA308" s="22"/>
      <c r="AB308" s="22"/>
      <c r="AC308" s="22"/>
      <c r="AD308" s="22"/>
      <c r="AE308" s="22"/>
      <c r="AF308" s="22"/>
      <c r="AG308" s="22"/>
      <c r="AH308" s="22"/>
      <c r="AI308" s="22"/>
      <c r="AJ308" s="22"/>
      <c r="AK308" s="22"/>
      <c r="AL308" s="22"/>
      <c r="AM308" s="22"/>
      <c r="AN308" s="22"/>
      <c r="AO308" s="22"/>
      <c r="AP308" s="22"/>
      <c r="AQ308" s="22"/>
      <c r="AR308" s="22"/>
      <c r="AS308" s="22"/>
      <c r="AT308" s="22"/>
      <c r="AU308" s="22"/>
      <c r="AV308" s="22"/>
      <c r="AW308" s="22"/>
      <c r="AX308" s="22"/>
      <c r="AY308" s="22"/>
      <c r="AZ308" s="22"/>
      <c r="BA308" s="5"/>
    </row>
    <row r="309" spans="1:53" ht="15" thickBot="1" x14ac:dyDescent="0.4">
      <c r="A309" s="16" t="s">
        <v>243</v>
      </c>
      <c r="B309" s="16" t="s">
        <v>535</v>
      </c>
      <c r="C309" s="16" t="s">
        <v>535</v>
      </c>
      <c r="D309" s="16" t="s">
        <v>535</v>
      </c>
      <c r="E309" s="16" t="s">
        <v>535</v>
      </c>
      <c r="F309" s="16" t="s">
        <v>535</v>
      </c>
      <c r="G309" s="16" t="s">
        <v>535</v>
      </c>
      <c r="H309" s="16" t="s">
        <v>535</v>
      </c>
      <c r="I309" s="140" t="s">
        <v>535</v>
      </c>
      <c r="J309" s="141" t="s">
        <v>204</v>
      </c>
      <c r="K309" s="5" t="s">
        <v>996</v>
      </c>
      <c r="L309" s="5"/>
      <c r="M309" s="5" t="s">
        <v>207</v>
      </c>
      <c r="N309" s="5"/>
      <c r="O309" s="5"/>
      <c r="P309" s="184">
        <v>1754</v>
      </c>
      <c r="Q309" s="45"/>
      <c r="R309" s="45"/>
      <c r="S309" s="45"/>
      <c r="T309" s="45"/>
      <c r="U309" s="45"/>
      <c r="V309" s="53">
        <f t="shared" si="5"/>
        <v>1754</v>
      </c>
      <c r="W309" s="22"/>
      <c r="X309" s="22" t="s">
        <v>243</v>
      </c>
      <c r="Y309" s="22"/>
      <c r="Z309" s="22"/>
      <c r="AA309" s="22"/>
      <c r="AB309" s="22"/>
      <c r="AC309" s="22"/>
      <c r="AD309" s="22"/>
      <c r="AE309" s="22"/>
      <c r="AF309" s="22"/>
      <c r="AG309" s="22"/>
      <c r="AH309" s="22"/>
      <c r="AI309" s="22"/>
      <c r="AJ309" s="22"/>
      <c r="AK309" s="22"/>
      <c r="AL309" s="22"/>
      <c r="AM309" s="22"/>
      <c r="AN309" s="22"/>
      <c r="AO309" s="22"/>
      <c r="AP309" s="22"/>
      <c r="AQ309" s="22"/>
      <c r="AR309" s="22"/>
      <c r="AS309" s="22"/>
      <c r="AT309" s="22"/>
      <c r="AU309" s="22"/>
      <c r="AV309" s="22"/>
      <c r="AW309" s="22"/>
      <c r="AX309" s="22"/>
      <c r="AY309" s="22"/>
      <c r="AZ309" s="22"/>
      <c r="BA309" s="5"/>
    </row>
    <row r="310" spans="1:53" ht="15" thickBot="1" x14ac:dyDescent="0.4">
      <c r="A310" s="16" t="s">
        <v>243</v>
      </c>
      <c r="B310" s="16" t="s">
        <v>535</v>
      </c>
      <c r="C310" s="16" t="s">
        <v>535</v>
      </c>
      <c r="D310" s="16" t="s">
        <v>535</v>
      </c>
      <c r="E310" s="16" t="s">
        <v>535</v>
      </c>
      <c r="F310" s="16" t="s">
        <v>535</v>
      </c>
      <c r="G310" s="16" t="s">
        <v>535</v>
      </c>
      <c r="H310" s="16" t="s">
        <v>535</v>
      </c>
      <c r="I310" s="140" t="s">
        <v>535</v>
      </c>
      <c r="J310" s="141" t="s">
        <v>204</v>
      </c>
      <c r="K310" s="5" t="s">
        <v>997</v>
      </c>
      <c r="L310" s="5"/>
      <c r="M310" s="5" t="s">
        <v>207</v>
      </c>
      <c r="N310" s="5"/>
      <c r="O310" s="5"/>
      <c r="P310" s="184">
        <v>1</v>
      </c>
      <c r="Q310" s="45"/>
      <c r="R310" s="45"/>
      <c r="S310" s="45"/>
      <c r="T310" s="45"/>
      <c r="U310" s="45"/>
      <c r="V310" s="53">
        <f t="shared" si="5"/>
        <v>1</v>
      </c>
      <c r="W310" s="22"/>
      <c r="X310" s="22" t="s">
        <v>243</v>
      </c>
      <c r="Y310" s="22"/>
      <c r="Z310" s="22"/>
      <c r="AA310" s="22"/>
      <c r="AB310" s="22"/>
      <c r="AC310" s="22"/>
      <c r="AD310" s="22"/>
      <c r="AE310" s="22"/>
      <c r="AF310" s="22"/>
      <c r="AG310" s="22"/>
      <c r="AH310" s="22"/>
      <c r="AI310" s="22"/>
      <c r="AJ310" s="22"/>
      <c r="AK310" s="22"/>
      <c r="AL310" s="22"/>
      <c r="AM310" s="22"/>
      <c r="AN310" s="22"/>
      <c r="AO310" s="22"/>
      <c r="AP310" s="22"/>
      <c r="AQ310" s="22"/>
      <c r="AR310" s="22"/>
      <c r="AS310" s="22"/>
      <c r="AT310" s="22"/>
      <c r="AU310" s="22"/>
      <c r="AV310" s="22"/>
      <c r="AW310" s="22"/>
      <c r="AX310" s="22"/>
      <c r="AY310" s="22"/>
      <c r="AZ310" s="22"/>
      <c r="BA310" s="5"/>
    </row>
    <row r="311" spans="1:53" ht="15" thickBot="1" x14ac:dyDescent="0.4">
      <c r="A311" s="16" t="s">
        <v>243</v>
      </c>
      <c r="B311" s="16" t="s">
        <v>535</v>
      </c>
      <c r="C311" s="16" t="s">
        <v>535</v>
      </c>
      <c r="D311" s="16" t="s">
        <v>535</v>
      </c>
      <c r="E311" s="16" t="s">
        <v>535</v>
      </c>
      <c r="F311" s="16" t="s">
        <v>535</v>
      </c>
      <c r="G311" s="16" t="s">
        <v>535</v>
      </c>
      <c r="H311" s="16" t="s">
        <v>535</v>
      </c>
      <c r="I311" s="140" t="s">
        <v>535</v>
      </c>
      <c r="J311" s="141" t="s">
        <v>204</v>
      </c>
      <c r="K311" s="5" t="s">
        <v>998</v>
      </c>
      <c r="L311" s="5"/>
      <c r="M311" s="5" t="s">
        <v>207</v>
      </c>
      <c r="N311" s="5"/>
      <c r="O311" s="5"/>
      <c r="P311" s="184">
        <v>89</v>
      </c>
      <c r="Q311" s="45"/>
      <c r="R311" s="45"/>
      <c r="S311" s="45"/>
      <c r="T311" s="45"/>
      <c r="U311" s="45"/>
      <c r="V311" s="53">
        <f t="shared" si="5"/>
        <v>89</v>
      </c>
      <c r="W311" s="22"/>
      <c r="X311" s="22" t="s">
        <v>243</v>
      </c>
      <c r="Y311" s="22"/>
      <c r="Z311" s="22"/>
      <c r="AA311" s="22"/>
      <c r="AB311" s="22"/>
      <c r="AC311" s="22"/>
      <c r="AD311" s="22"/>
      <c r="AE311" s="22"/>
      <c r="AF311" s="22"/>
      <c r="AG311" s="22"/>
      <c r="AH311" s="22"/>
      <c r="AI311" s="22"/>
      <c r="AJ311" s="22"/>
      <c r="AK311" s="22"/>
      <c r="AL311" s="22"/>
      <c r="AM311" s="22"/>
      <c r="AN311" s="22"/>
      <c r="AO311" s="22"/>
      <c r="AP311" s="22"/>
      <c r="AQ311" s="22"/>
      <c r="AR311" s="22"/>
      <c r="AS311" s="22"/>
      <c r="AT311" s="22"/>
      <c r="AU311" s="22"/>
      <c r="AV311" s="22"/>
      <c r="AW311" s="22"/>
      <c r="AX311" s="22"/>
      <c r="AY311" s="22"/>
      <c r="AZ311" s="22"/>
      <c r="BA311" s="5"/>
    </row>
    <row r="312" spans="1:53" ht="15" thickBot="1" x14ac:dyDescent="0.4">
      <c r="A312" s="16" t="s">
        <v>243</v>
      </c>
      <c r="B312" s="16" t="s">
        <v>535</v>
      </c>
      <c r="C312" s="16" t="s">
        <v>535</v>
      </c>
      <c r="D312" s="16" t="s">
        <v>535</v>
      </c>
      <c r="E312" s="16" t="s">
        <v>535</v>
      </c>
      <c r="F312" s="16" t="s">
        <v>535</v>
      </c>
      <c r="G312" s="16" t="s">
        <v>535</v>
      </c>
      <c r="H312" s="16" t="s">
        <v>535</v>
      </c>
      <c r="I312" s="140" t="s">
        <v>535</v>
      </c>
      <c r="J312" s="141" t="s">
        <v>204</v>
      </c>
      <c r="K312" s="5" t="s">
        <v>999</v>
      </c>
      <c r="L312" s="5"/>
      <c r="M312" s="5" t="s">
        <v>207</v>
      </c>
      <c r="N312" s="5"/>
      <c r="O312" s="5"/>
      <c r="P312" s="184">
        <v>118</v>
      </c>
      <c r="Q312" s="45"/>
      <c r="R312" s="45"/>
      <c r="S312" s="45"/>
      <c r="T312" s="45"/>
      <c r="U312" s="45"/>
      <c r="V312" s="53">
        <f t="shared" si="5"/>
        <v>118</v>
      </c>
      <c r="W312" s="22"/>
      <c r="X312" s="22" t="s">
        <v>243</v>
      </c>
      <c r="Y312" s="22"/>
      <c r="Z312" s="22"/>
      <c r="AA312" s="22"/>
      <c r="AB312" s="22"/>
      <c r="AC312" s="22"/>
      <c r="AD312" s="22"/>
      <c r="AE312" s="22"/>
      <c r="AF312" s="22"/>
      <c r="AG312" s="22"/>
      <c r="AH312" s="22"/>
      <c r="AI312" s="22"/>
      <c r="AJ312" s="22"/>
      <c r="AK312" s="22"/>
      <c r="AL312" s="22"/>
      <c r="AM312" s="22"/>
      <c r="AN312" s="22"/>
      <c r="AO312" s="22"/>
      <c r="AP312" s="22"/>
      <c r="AQ312" s="22"/>
      <c r="AR312" s="22"/>
      <c r="AS312" s="22"/>
      <c r="AT312" s="22"/>
      <c r="AU312" s="22"/>
      <c r="AV312" s="22"/>
      <c r="AW312" s="22"/>
      <c r="AX312" s="22"/>
      <c r="AY312" s="22"/>
      <c r="AZ312" s="22"/>
      <c r="BA312" s="5"/>
    </row>
    <row r="313" spans="1:53" ht="15" thickBot="1" x14ac:dyDescent="0.4">
      <c r="A313" s="16" t="s">
        <v>243</v>
      </c>
      <c r="B313" s="16" t="s">
        <v>535</v>
      </c>
      <c r="C313" s="16" t="s">
        <v>535</v>
      </c>
      <c r="D313" s="16" t="s">
        <v>535</v>
      </c>
      <c r="E313" s="16" t="s">
        <v>535</v>
      </c>
      <c r="F313" s="16" t="s">
        <v>535</v>
      </c>
      <c r="G313" s="16" t="s">
        <v>535</v>
      </c>
      <c r="H313" s="16" t="s">
        <v>535</v>
      </c>
      <c r="I313" s="140" t="s">
        <v>535</v>
      </c>
      <c r="J313" s="141" t="s">
        <v>204</v>
      </c>
      <c r="K313" s="5" t="s">
        <v>1000</v>
      </c>
      <c r="L313" s="5"/>
      <c r="M313" s="5" t="s">
        <v>207</v>
      </c>
      <c r="N313" s="5"/>
      <c r="O313" s="5"/>
      <c r="P313" s="184">
        <v>7564</v>
      </c>
      <c r="Q313" s="45"/>
      <c r="R313" s="45"/>
      <c r="S313" s="45"/>
      <c r="T313" s="45"/>
      <c r="U313" s="45"/>
      <c r="V313" s="53">
        <f t="shared" si="5"/>
        <v>7564</v>
      </c>
      <c r="W313" s="22"/>
      <c r="X313" s="22" t="s">
        <v>243</v>
      </c>
      <c r="Y313" s="22"/>
      <c r="Z313" s="22"/>
      <c r="AA313" s="22"/>
      <c r="AB313" s="22"/>
      <c r="AC313" s="22"/>
      <c r="AD313" s="22"/>
      <c r="AE313" s="22"/>
      <c r="AF313" s="22"/>
      <c r="AG313" s="22"/>
      <c r="AH313" s="22"/>
      <c r="AI313" s="22"/>
      <c r="AJ313" s="22"/>
      <c r="AK313" s="22"/>
      <c r="AL313" s="22"/>
      <c r="AM313" s="22"/>
      <c r="AN313" s="22"/>
      <c r="AO313" s="22"/>
      <c r="AP313" s="22"/>
      <c r="AQ313" s="22"/>
      <c r="AR313" s="22"/>
      <c r="AS313" s="22"/>
      <c r="AT313" s="22"/>
      <c r="AU313" s="22"/>
      <c r="AV313" s="22"/>
      <c r="AW313" s="22"/>
      <c r="AX313" s="22"/>
      <c r="AY313" s="22"/>
      <c r="AZ313" s="22"/>
      <c r="BA313" s="5"/>
    </row>
    <row r="314" spans="1:53" ht="15" thickBot="1" x14ac:dyDescent="0.4">
      <c r="A314" s="16" t="s">
        <v>243</v>
      </c>
      <c r="B314" s="16" t="s">
        <v>535</v>
      </c>
      <c r="C314" s="16" t="s">
        <v>535</v>
      </c>
      <c r="D314" s="16" t="s">
        <v>535</v>
      </c>
      <c r="E314" s="16" t="s">
        <v>535</v>
      </c>
      <c r="F314" s="16" t="s">
        <v>535</v>
      </c>
      <c r="G314" s="16" t="s">
        <v>535</v>
      </c>
      <c r="H314" s="16" t="s">
        <v>535</v>
      </c>
      <c r="I314" s="140" t="s">
        <v>535</v>
      </c>
      <c r="J314" s="141" t="s">
        <v>204</v>
      </c>
      <c r="K314" s="5" t="s">
        <v>1001</v>
      </c>
      <c r="L314" s="5"/>
      <c r="M314" s="5" t="s">
        <v>207</v>
      </c>
      <c r="N314" s="5"/>
      <c r="O314" s="5"/>
      <c r="P314" s="184">
        <v>3870</v>
      </c>
      <c r="Q314" s="45"/>
      <c r="R314" s="45"/>
      <c r="S314" s="45"/>
      <c r="T314" s="45"/>
      <c r="U314" s="45"/>
      <c r="V314" s="53">
        <f t="shared" si="5"/>
        <v>3870</v>
      </c>
      <c r="W314" s="22"/>
      <c r="X314" s="22" t="s">
        <v>243</v>
      </c>
      <c r="Y314" s="22"/>
      <c r="Z314" s="22"/>
      <c r="AA314" s="22"/>
      <c r="AB314" s="22"/>
      <c r="AC314" s="22"/>
      <c r="AD314" s="22"/>
      <c r="AE314" s="22"/>
      <c r="AF314" s="22"/>
      <c r="AG314" s="22"/>
      <c r="AH314" s="22"/>
      <c r="AI314" s="22"/>
      <c r="AJ314" s="22"/>
      <c r="AK314" s="22"/>
      <c r="AL314" s="22"/>
      <c r="AM314" s="22"/>
      <c r="AN314" s="22"/>
      <c r="AO314" s="22"/>
      <c r="AP314" s="22"/>
      <c r="AQ314" s="22"/>
      <c r="AR314" s="22"/>
      <c r="AS314" s="22"/>
      <c r="AT314" s="22"/>
      <c r="AU314" s="22"/>
      <c r="AV314" s="22"/>
      <c r="AW314" s="22"/>
      <c r="AX314" s="22"/>
      <c r="AY314" s="22"/>
      <c r="AZ314" s="22"/>
      <c r="BA314" s="5"/>
    </row>
    <row r="315" spans="1:53" ht="15" thickBot="1" x14ac:dyDescent="0.4">
      <c r="A315" s="16" t="s">
        <v>243</v>
      </c>
      <c r="B315" s="16" t="s">
        <v>535</v>
      </c>
      <c r="C315" s="16" t="s">
        <v>535</v>
      </c>
      <c r="D315" s="16" t="s">
        <v>535</v>
      </c>
      <c r="E315" s="16" t="s">
        <v>535</v>
      </c>
      <c r="F315" s="16" t="s">
        <v>535</v>
      </c>
      <c r="G315" s="16" t="s">
        <v>535</v>
      </c>
      <c r="H315" s="16" t="s">
        <v>535</v>
      </c>
      <c r="I315" s="140" t="s">
        <v>535</v>
      </c>
      <c r="J315" s="141" t="s">
        <v>204</v>
      </c>
      <c r="K315" s="5" t="s">
        <v>1002</v>
      </c>
      <c r="L315" s="5"/>
      <c r="M315" s="5" t="s">
        <v>207</v>
      </c>
      <c r="N315" s="5"/>
      <c r="O315" s="5"/>
      <c r="P315" s="184">
        <v>4786</v>
      </c>
      <c r="Q315" s="45"/>
      <c r="R315" s="45"/>
      <c r="S315" s="45"/>
      <c r="T315" s="45"/>
      <c r="U315" s="45"/>
      <c r="V315" s="53">
        <f t="shared" si="5"/>
        <v>4786</v>
      </c>
      <c r="W315" s="22"/>
      <c r="X315" s="22" t="s">
        <v>243</v>
      </c>
      <c r="Y315" s="22"/>
      <c r="Z315" s="22"/>
      <c r="AA315" s="22"/>
      <c r="AB315" s="22"/>
      <c r="AC315" s="22"/>
      <c r="AD315" s="22"/>
      <c r="AE315" s="22"/>
      <c r="AF315" s="22"/>
      <c r="AG315" s="22"/>
      <c r="AH315" s="22"/>
      <c r="AI315" s="22"/>
      <c r="AJ315" s="22"/>
      <c r="AK315" s="22"/>
      <c r="AL315" s="22"/>
      <c r="AM315" s="22"/>
      <c r="AN315" s="22"/>
      <c r="AO315" s="22"/>
      <c r="AP315" s="22"/>
      <c r="AQ315" s="22"/>
      <c r="AR315" s="22"/>
      <c r="AS315" s="22"/>
      <c r="AT315" s="22"/>
      <c r="AU315" s="22"/>
      <c r="AV315" s="22"/>
      <c r="AW315" s="22"/>
      <c r="AX315" s="22"/>
      <c r="AY315" s="22"/>
      <c r="AZ315" s="22"/>
      <c r="BA315" s="5"/>
    </row>
    <row r="316" spans="1:53" ht="15" thickBot="1" x14ac:dyDescent="0.4">
      <c r="A316" s="16" t="s">
        <v>243</v>
      </c>
      <c r="B316" s="16" t="s">
        <v>535</v>
      </c>
      <c r="C316" s="16" t="s">
        <v>535</v>
      </c>
      <c r="D316" s="16" t="s">
        <v>535</v>
      </c>
      <c r="E316" s="16" t="s">
        <v>535</v>
      </c>
      <c r="F316" s="16" t="s">
        <v>535</v>
      </c>
      <c r="G316" s="16" t="s">
        <v>535</v>
      </c>
      <c r="H316" s="16" t="s">
        <v>535</v>
      </c>
      <c r="I316" s="140" t="s">
        <v>535</v>
      </c>
      <c r="J316" s="141" t="s">
        <v>204</v>
      </c>
      <c r="K316" s="5" t="s">
        <v>1003</v>
      </c>
      <c r="L316" s="5"/>
      <c r="M316" s="5" t="s">
        <v>207</v>
      </c>
      <c r="N316" s="5"/>
      <c r="O316" s="5"/>
      <c r="P316" s="184">
        <v>13299</v>
      </c>
      <c r="Q316" s="45"/>
      <c r="R316" s="45"/>
      <c r="S316" s="45"/>
      <c r="T316" s="45"/>
      <c r="U316" s="45"/>
      <c r="V316" s="53">
        <f t="shared" si="5"/>
        <v>13299</v>
      </c>
      <c r="W316" s="22"/>
      <c r="X316" s="22" t="s">
        <v>243</v>
      </c>
      <c r="Y316" s="22"/>
      <c r="Z316" s="22"/>
      <c r="AA316" s="22"/>
      <c r="AB316" s="22"/>
      <c r="AC316" s="22"/>
      <c r="AD316" s="22"/>
      <c r="AE316" s="22"/>
      <c r="AF316" s="22"/>
      <c r="AG316" s="22"/>
      <c r="AH316" s="22"/>
      <c r="AI316" s="22"/>
      <c r="AJ316" s="22"/>
      <c r="AK316" s="22"/>
      <c r="AL316" s="22"/>
      <c r="AM316" s="22"/>
      <c r="AN316" s="22"/>
      <c r="AO316" s="22"/>
      <c r="AP316" s="22"/>
      <c r="AQ316" s="22"/>
      <c r="AR316" s="22"/>
      <c r="AS316" s="22"/>
      <c r="AT316" s="22"/>
      <c r="AU316" s="22"/>
      <c r="AV316" s="22"/>
      <c r="AW316" s="22"/>
      <c r="AX316" s="22"/>
      <c r="AY316" s="22"/>
      <c r="AZ316" s="22"/>
      <c r="BA316" s="5"/>
    </row>
    <row r="317" spans="1:53" ht="15" thickBot="1" x14ac:dyDescent="0.4">
      <c r="A317" s="16" t="s">
        <v>243</v>
      </c>
      <c r="B317" s="16" t="s">
        <v>535</v>
      </c>
      <c r="C317" s="16" t="s">
        <v>535</v>
      </c>
      <c r="D317" s="16" t="s">
        <v>535</v>
      </c>
      <c r="E317" s="16" t="s">
        <v>535</v>
      </c>
      <c r="F317" s="16" t="s">
        <v>535</v>
      </c>
      <c r="G317" s="16" t="s">
        <v>535</v>
      </c>
      <c r="H317" s="16" t="s">
        <v>535</v>
      </c>
      <c r="I317" s="140" t="s">
        <v>535</v>
      </c>
      <c r="J317" s="141" t="s">
        <v>204</v>
      </c>
      <c r="K317" s="5" t="s">
        <v>1004</v>
      </c>
      <c r="L317" s="5"/>
      <c r="M317" s="5" t="s">
        <v>207</v>
      </c>
      <c r="N317" s="5"/>
      <c r="O317" s="5"/>
      <c r="P317" s="184">
        <v>4299</v>
      </c>
      <c r="Q317" s="45"/>
      <c r="R317" s="45"/>
      <c r="S317" s="45"/>
      <c r="T317" s="45"/>
      <c r="U317" s="45"/>
      <c r="V317" s="53">
        <f t="shared" si="5"/>
        <v>4299</v>
      </c>
      <c r="W317" s="22"/>
      <c r="X317" s="22" t="s">
        <v>243</v>
      </c>
      <c r="Y317" s="22"/>
      <c r="Z317" s="22"/>
      <c r="AA317" s="22"/>
      <c r="AB317" s="22"/>
      <c r="AC317" s="22"/>
      <c r="AD317" s="22"/>
      <c r="AE317" s="22"/>
      <c r="AF317" s="22"/>
      <c r="AG317" s="22"/>
      <c r="AH317" s="22"/>
      <c r="AI317" s="22"/>
      <c r="AJ317" s="22"/>
      <c r="AK317" s="22"/>
      <c r="AL317" s="22"/>
      <c r="AM317" s="22"/>
      <c r="AN317" s="22"/>
      <c r="AO317" s="22"/>
      <c r="AP317" s="22"/>
      <c r="AQ317" s="22"/>
      <c r="AR317" s="22"/>
      <c r="AS317" s="22"/>
      <c r="AT317" s="22"/>
      <c r="AU317" s="22"/>
      <c r="AV317" s="22"/>
      <c r="AW317" s="22"/>
      <c r="AX317" s="22"/>
      <c r="AY317" s="22"/>
      <c r="AZ317" s="22"/>
      <c r="BA317" s="5"/>
    </row>
    <row r="318" spans="1:53" ht="15" thickBot="1" x14ac:dyDescent="0.4">
      <c r="A318" s="16" t="s">
        <v>243</v>
      </c>
      <c r="B318" s="16" t="s">
        <v>535</v>
      </c>
      <c r="C318" s="16" t="s">
        <v>535</v>
      </c>
      <c r="D318" s="16" t="s">
        <v>535</v>
      </c>
      <c r="E318" s="16" t="s">
        <v>535</v>
      </c>
      <c r="F318" s="16" t="s">
        <v>535</v>
      </c>
      <c r="G318" s="16" t="s">
        <v>535</v>
      </c>
      <c r="H318" s="16" t="s">
        <v>535</v>
      </c>
      <c r="I318" s="140" t="s">
        <v>535</v>
      </c>
      <c r="J318" s="141" t="s">
        <v>204</v>
      </c>
      <c r="K318" s="5" t="s">
        <v>1005</v>
      </c>
      <c r="L318" s="5"/>
      <c r="M318" s="5" t="s">
        <v>207</v>
      </c>
      <c r="N318" s="5"/>
      <c r="O318" s="5"/>
      <c r="P318" s="184">
        <v>7956</v>
      </c>
      <c r="Q318" s="45"/>
      <c r="R318" s="45"/>
      <c r="S318" s="45"/>
      <c r="T318" s="45"/>
      <c r="U318" s="45"/>
      <c r="V318" s="53">
        <f t="shared" si="5"/>
        <v>7956</v>
      </c>
      <c r="W318" s="22"/>
      <c r="X318" s="22" t="s">
        <v>243</v>
      </c>
      <c r="Y318" s="22"/>
      <c r="Z318" s="22"/>
      <c r="AA318" s="22"/>
      <c r="AB318" s="22"/>
      <c r="AC318" s="22"/>
      <c r="AD318" s="22"/>
      <c r="AE318" s="22"/>
      <c r="AF318" s="22"/>
      <c r="AG318" s="22"/>
      <c r="AH318" s="22"/>
      <c r="AI318" s="22"/>
      <c r="AJ318" s="22"/>
      <c r="AK318" s="22"/>
      <c r="AL318" s="22"/>
      <c r="AM318" s="22"/>
      <c r="AN318" s="22"/>
      <c r="AO318" s="22"/>
      <c r="AP318" s="22"/>
      <c r="AQ318" s="22"/>
      <c r="AR318" s="22"/>
      <c r="AS318" s="22"/>
      <c r="AT318" s="22"/>
      <c r="AU318" s="22"/>
      <c r="AV318" s="22"/>
      <c r="AW318" s="22"/>
      <c r="AX318" s="22"/>
      <c r="AY318" s="22"/>
      <c r="AZ318" s="22"/>
      <c r="BA318" s="5"/>
    </row>
    <row r="319" spans="1:53" ht="15" thickBot="1" x14ac:dyDescent="0.4">
      <c r="A319" s="16" t="s">
        <v>243</v>
      </c>
      <c r="B319" s="16" t="s">
        <v>535</v>
      </c>
      <c r="C319" s="16" t="s">
        <v>535</v>
      </c>
      <c r="D319" s="16" t="s">
        <v>535</v>
      </c>
      <c r="E319" s="16" t="s">
        <v>535</v>
      </c>
      <c r="F319" s="16" t="s">
        <v>535</v>
      </c>
      <c r="G319" s="16" t="s">
        <v>535</v>
      </c>
      <c r="H319" s="16" t="s">
        <v>535</v>
      </c>
      <c r="I319" s="140" t="s">
        <v>535</v>
      </c>
      <c r="J319" s="141" t="s">
        <v>204</v>
      </c>
      <c r="K319" s="5" t="s">
        <v>1006</v>
      </c>
      <c r="L319" s="5"/>
      <c r="M319" s="5" t="s">
        <v>207</v>
      </c>
      <c r="N319" s="5"/>
      <c r="O319" s="5"/>
      <c r="P319" s="184">
        <v>3857</v>
      </c>
      <c r="Q319" s="45"/>
      <c r="R319" s="45"/>
      <c r="S319" s="45"/>
      <c r="T319" s="45"/>
      <c r="U319" s="45"/>
      <c r="V319" s="53">
        <f t="shared" si="5"/>
        <v>3857</v>
      </c>
      <c r="W319" s="22"/>
      <c r="X319" s="22" t="s">
        <v>243</v>
      </c>
      <c r="Y319" s="22"/>
      <c r="Z319" s="22"/>
      <c r="AA319" s="22"/>
      <c r="AB319" s="22"/>
      <c r="AC319" s="22"/>
      <c r="AD319" s="22"/>
      <c r="AE319" s="22"/>
      <c r="AF319" s="22"/>
      <c r="AG319" s="22"/>
      <c r="AH319" s="22"/>
      <c r="AI319" s="22"/>
      <c r="AJ319" s="22"/>
      <c r="AK319" s="22"/>
      <c r="AL319" s="22"/>
      <c r="AM319" s="22"/>
      <c r="AN319" s="22"/>
      <c r="AO319" s="22"/>
      <c r="AP319" s="22"/>
      <c r="AQ319" s="22"/>
      <c r="AR319" s="22"/>
      <c r="AS319" s="22"/>
      <c r="AT319" s="22"/>
      <c r="AU319" s="22"/>
      <c r="AV319" s="22"/>
      <c r="AW319" s="22"/>
      <c r="AX319" s="22"/>
      <c r="AY319" s="22"/>
      <c r="AZ319" s="22"/>
      <c r="BA319" s="5"/>
    </row>
    <row r="320" spans="1:53" ht="15" thickBot="1" x14ac:dyDescent="0.4">
      <c r="A320" s="16" t="s">
        <v>243</v>
      </c>
      <c r="B320" s="16" t="s">
        <v>535</v>
      </c>
      <c r="C320" s="16" t="s">
        <v>535</v>
      </c>
      <c r="D320" s="16" t="s">
        <v>535</v>
      </c>
      <c r="E320" s="16" t="s">
        <v>535</v>
      </c>
      <c r="F320" s="16" t="s">
        <v>535</v>
      </c>
      <c r="G320" s="16" t="s">
        <v>535</v>
      </c>
      <c r="H320" s="16" t="s">
        <v>535</v>
      </c>
      <c r="I320" s="140" t="s">
        <v>535</v>
      </c>
      <c r="J320" s="141" t="s">
        <v>204</v>
      </c>
      <c r="K320" s="5" t="s">
        <v>1007</v>
      </c>
      <c r="L320" s="5"/>
      <c r="M320" s="5" t="s">
        <v>207</v>
      </c>
      <c r="N320" s="5"/>
      <c r="O320" s="5"/>
      <c r="P320" s="184">
        <v>3985</v>
      </c>
      <c r="Q320" s="45"/>
      <c r="R320" s="45"/>
      <c r="S320" s="45"/>
      <c r="T320" s="45"/>
      <c r="U320" s="45"/>
      <c r="V320" s="53">
        <f t="shared" si="5"/>
        <v>3985</v>
      </c>
      <c r="W320" s="22"/>
      <c r="X320" s="22" t="s">
        <v>243</v>
      </c>
      <c r="Y320" s="22"/>
      <c r="Z320" s="22"/>
      <c r="AA320" s="22"/>
      <c r="AB320" s="22"/>
      <c r="AC320" s="22"/>
      <c r="AD320" s="22"/>
      <c r="AE320" s="22"/>
      <c r="AF320" s="22"/>
      <c r="AG320" s="22"/>
      <c r="AH320" s="22"/>
      <c r="AI320" s="22"/>
      <c r="AJ320" s="22"/>
      <c r="AK320" s="22"/>
      <c r="AL320" s="22"/>
      <c r="AM320" s="22"/>
      <c r="AN320" s="22"/>
      <c r="AO320" s="22"/>
      <c r="AP320" s="22"/>
      <c r="AQ320" s="22"/>
      <c r="AR320" s="22"/>
      <c r="AS320" s="22"/>
      <c r="AT320" s="22"/>
      <c r="AU320" s="22"/>
      <c r="AV320" s="22"/>
      <c r="AW320" s="22"/>
      <c r="AX320" s="22"/>
      <c r="AY320" s="22"/>
      <c r="AZ320" s="22"/>
      <c r="BA320" s="5"/>
    </row>
    <row r="321" spans="1:53" ht="15" thickBot="1" x14ac:dyDescent="0.4">
      <c r="A321" s="16" t="s">
        <v>243</v>
      </c>
      <c r="B321" s="16" t="s">
        <v>535</v>
      </c>
      <c r="C321" s="16" t="s">
        <v>535</v>
      </c>
      <c r="D321" s="16" t="s">
        <v>535</v>
      </c>
      <c r="E321" s="16" t="s">
        <v>535</v>
      </c>
      <c r="F321" s="16" t="s">
        <v>535</v>
      </c>
      <c r="G321" s="16" t="s">
        <v>535</v>
      </c>
      <c r="H321" s="16" t="s">
        <v>535</v>
      </c>
      <c r="I321" s="140" t="s">
        <v>535</v>
      </c>
      <c r="J321" s="141" t="s">
        <v>204</v>
      </c>
      <c r="K321" s="5" t="s">
        <v>1008</v>
      </c>
      <c r="L321" s="5"/>
      <c r="M321" s="5" t="s">
        <v>207</v>
      </c>
      <c r="N321" s="5"/>
      <c r="O321" s="5"/>
      <c r="P321" s="184">
        <v>11607</v>
      </c>
      <c r="Q321" s="45"/>
      <c r="R321" s="45"/>
      <c r="S321" s="45"/>
      <c r="T321" s="45"/>
      <c r="U321" s="45"/>
      <c r="V321" s="53">
        <f t="shared" si="5"/>
        <v>11607</v>
      </c>
      <c r="W321" s="22"/>
      <c r="X321" s="22" t="s">
        <v>243</v>
      </c>
      <c r="Y321" s="22"/>
      <c r="Z321" s="22"/>
      <c r="AA321" s="22"/>
      <c r="AB321" s="22"/>
      <c r="AC321" s="22"/>
      <c r="AD321" s="22"/>
      <c r="AE321" s="22"/>
      <c r="AF321" s="22"/>
      <c r="AG321" s="22"/>
      <c r="AH321" s="22"/>
      <c r="AI321" s="22"/>
      <c r="AJ321" s="22"/>
      <c r="AK321" s="22"/>
      <c r="AL321" s="22"/>
      <c r="AM321" s="22"/>
      <c r="AN321" s="22"/>
      <c r="AO321" s="22"/>
      <c r="AP321" s="22"/>
      <c r="AQ321" s="22"/>
      <c r="AR321" s="22"/>
      <c r="AS321" s="22"/>
      <c r="AT321" s="22"/>
      <c r="AU321" s="22"/>
      <c r="AV321" s="22"/>
      <c r="AW321" s="22"/>
      <c r="AX321" s="22"/>
      <c r="AY321" s="22"/>
      <c r="AZ321" s="22"/>
      <c r="BA321" s="5"/>
    </row>
    <row r="322" spans="1:53" ht="15" thickBot="1" x14ac:dyDescent="0.4">
      <c r="A322" s="16" t="s">
        <v>243</v>
      </c>
      <c r="B322" s="16" t="s">
        <v>535</v>
      </c>
      <c r="C322" s="16" t="s">
        <v>535</v>
      </c>
      <c r="D322" s="16" t="s">
        <v>535</v>
      </c>
      <c r="E322" s="16" t="s">
        <v>535</v>
      </c>
      <c r="F322" s="16" t="s">
        <v>535</v>
      </c>
      <c r="G322" s="16" t="s">
        <v>535</v>
      </c>
      <c r="H322" s="16" t="s">
        <v>535</v>
      </c>
      <c r="I322" s="140" t="s">
        <v>535</v>
      </c>
      <c r="J322" s="141" t="s">
        <v>204</v>
      </c>
      <c r="K322" s="5" t="s">
        <v>1009</v>
      </c>
      <c r="L322" s="5"/>
      <c r="M322" s="5" t="s">
        <v>207</v>
      </c>
      <c r="N322" s="5"/>
      <c r="O322" s="5"/>
      <c r="P322" s="184">
        <v>11698</v>
      </c>
      <c r="Q322" s="45"/>
      <c r="R322" s="45"/>
      <c r="S322" s="45"/>
      <c r="T322" s="45"/>
      <c r="U322" s="45"/>
      <c r="V322" s="53">
        <f t="shared" si="5"/>
        <v>11698</v>
      </c>
      <c r="W322" s="22"/>
      <c r="X322" s="22" t="s">
        <v>243</v>
      </c>
      <c r="Y322" s="22"/>
      <c r="Z322" s="22"/>
      <c r="AA322" s="22"/>
      <c r="AB322" s="22"/>
      <c r="AC322" s="22"/>
      <c r="AD322" s="22"/>
      <c r="AE322" s="22"/>
      <c r="AF322" s="22"/>
      <c r="AG322" s="22"/>
      <c r="AH322" s="22"/>
      <c r="AI322" s="22"/>
      <c r="AJ322" s="22"/>
      <c r="AK322" s="22"/>
      <c r="AL322" s="22"/>
      <c r="AM322" s="22"/>
      <c r="AN322" s="22"/>
      <c r="AO322" s="22"/>
      <c r="AP322" s="22"/>
      <c r="AQ322" s="22"/>
      <c r="AR322" s="22"/>
      <c r="AS322" s="22"/>
      <c r="AT322" s="22"/>
      <c r="AU322" s="22"/>
      <c r="AV322" s="22"/>
      <c r="AW322" s="22"/>
      <c r="AX322" s="22"/>
      <c r="AY322" s="22"/>
      <c r="AZ322" s="22"/>
      <c r="BA322" s="5"/>
    </row>
    <row r="323" spans="1:53" ht="15" thickBot="1" x14ac:dyDescent="0.4">
      <c r="A323" s="16" t="s">
        <v>243</v>
      </c>
      <c r="B323" s="16" t="s">
        <v>535</v>
      </c>
      <c r="C323" s="16" t="s">
        <v>535</v>
      </c>
      <c r="D323" s="16" t="s">
        <v>535</v>
      </c>
      <c r="E323" s="16" t="s">
        <v>535</v>
      </c>
      <c r="F323" s="16" t="s">
        <v>535</v>
      </c>
      <c r="G323" s="16" t="s">
        <v>535</v>
      </c>
      <c r="H323" s="16" t="s">
        <v>535</v>
      </c>
      <c r="I323" s="140" t="s">
        <v>535</v>
      </c>
      <c r="J323" s="141" t="s">
        <v>204</v>
      </c>
      <c r="K323" s="5" t="s">
        <v>1010</v>
      </c>
      <c r="L323" s="5"/>
      <c r="M323" s="5" t="s">
        <v>207</v>
      </c>
      <c r="N323" s="5"/>
      <c r="O323" s="5"/>
      <c r="P323" s="184">
        <v>5758</v>
      </c>
      <c r="Q323" s="45"/>
      <c r="R323" s="45"/>
      <c r="S323" s="45"/>
      <c r="T323" s="45"/>
      <c r="U323" s="45"/>
      <c r="V323" s="53">
        <f t="shared" si="5"/>
        <v>5758</v>
      </c>
      <c r="W323" s="22"/>
      <c r="X323" s="22" t="s">
        <v>243</v>
      </c>
      <c r="Y323" s="22"/>
      <c r="Z323" s="22"/>
      <c r="AA323" s="22"/>
      <c r="AB323" s="22"/>
      <c r="AC323" s="22"/>
      <c r="AD323" s="22"/>
      <c r="AE323" s="22"/>
      <c r="AF323" s="22"/>
      <c r="AG323" s="22"/>
      <c r="AH323" s="22"/>
      <c r="AI323" s="22"/>
      <c r="AJ323" s="22"/>
      <c r="AK323" s="22"/>
      <c r="AL323" s="22"/>
      <c r="AM323" s="22"/>
      <c r="AN323" s="22"/>
      <c r="AO323" s="22"/>
      <c r="AP323" s="22"/>
      <c r="AQ323" s="22"/>
      <c r="AR323" s="22"/>
      <c r="AS323" s="22"/>
      <c r="AT323" s="22"/>
      <c r="AU323" s="22"/>
      <c r="AV323" s="22"/>
      <c r="AW323" s="22"/>
      <c r="AX323" s="22"/>
      <c r="AY323" s="22"/>
      <c r="AZ323" s="22"/>
      <c r="BA323" s="5"/>
    </row>
    <row r="324" spans="1:53" ht="15" thickBot="1" x14ac:dyDescent="0.4">
      <c r="A324" s="16" t="s">
        <v>243</v>
      </c>
      <c r="B324" s="16" t="s">
        <v>535</v>
      </c>
      <c r="C324" s="16" t="s">
        <v>535</v>
      </c>
      <c r="D324" s="16" t="s">
        <v>535</v>
      </c>
      <c r="E324" s="16" t="s">
        <v>535</v>
      </c>
      <c r="F324" s="16" t="s">
        <v>535</v>
      </c>
      <c r="G324" s="16" t="s">
        <v>535</v>
      </c>
      <c r="H324" s="16" t="s">
        <v>535</v>
      </c>
      <c r="I324" s="140" t="s">
        <v>535</v>
      </c>
      <c r="J324" s="141" t="s">
        <v>204</v>
      </c>
      <c r="K324" s="5" t="s">
        <v>1011</v>
      </c>
      <c r="L324" s="5"/>
      <c r="M324" s="5" t="s">
        <v>207</v>
      </c>
      <c r="N324" s="5"/>
      <c r="O324" s="5"/>
      <c r="P324" s="184">
        <v>1.24</v>
      </c>
      <c r="Q324" s="45"/>
      <c r="R324" s="45"/>
      <c r="S324" s="45"/>
      <c r="T324" s="45"/>
      <c r="U324" s="45"/>
      <c r="V324" s="53">
        <f t="shared" si="5"/>
        <v>1.24</v>
      </c>
      <c r="W324" s="22"/>
      <c r="X324" s="22" t="s">
        <v>243</v>
      </c>
      <c r="Y324" s="22"/>
      <c r="Z324" s="22"/>
      <c r="AA324" s="22"/>
      <c r="AB324" s="22"/>
      <c r="AC324" s="22"/>
      <c r="AD324" s="22"/>
      <c r="AE324" s="22"/>
      <c r="AF324" s="22"/>
      <c r="AG324" s="22"/>
      <c r="AH324" s="22"/>
      <c r="AI324" s="22"/>
      <c r="AJ324" s="22"/>
      <c r="AK324" s="22"/>
      <c r="AL324" s="22"/>
      <c r="AM324" s="22"/>
      <c r="AN324" s="22"/>
      <c r="AO324" s="22"/>
      <c r="AP324" s="22"/>
      <c r="AQ324" s="22"/>
      <c r="AR324" s="22"/>
      <c r="AS324" s="22"/>
      <c r="AT324" s="22"/>
      <c r="AU324" s="22"/>
      <c r="AV324" s="22"/>
      <c r="AW324" s="22"/>
      <c r="AX324" s="22"/>
      <c r="AY324" s="22"/>
      <c r="AZ324" s="22"/>
      <c r="BA324" s="5"/>
    </row>
    <row r="325" spans="1:53" ht="15" thickBot="1" x14ac:dyDescent="0.4">
      <c r="A325" s="16" t="s">
        <v>243</v>
      </c>
      <c r="B325" s="16" t="s">
        <v>535</v>
      </c>
      <c r="C325" s="16" t="s">
        <v>535</v>
      </c>
      <c r="D325" s="16" t="s">
        <v>535</v>
      </c>
      <c r="E325" s="16" t="s">
        <v>535</v>
      </c>
      <c r="F325" s="16" t="s">
        <v>535</v>
      </c>
      <c r="G325" s="16" t="s">
        <v>535</v>
      </c>
      <c r="H325" s="16" t="s">
        <v>535</v>
      </c>
      <c r="I325" s="140" t="s">
        <v>535</v>
      </c>
      <c r="J325" s="141" t="s">
        <v>204</v>
      </c>
      <c r="K325" s="5" t="s">
        <v>1012</v>
      </c>
      <c r="L325" s="5"/>
      <c r="M325" s="5" t="s">
        <v>207</v>
      </c>
      <c r="N325" s="5"/>
      <c r="O325" s="5"/>
      <c r="P325" s="184">
        <v>7</v>
      </c>
      <c r="Q325" s="45"/>
      <c r="R325" s="45"/>
      <c r="S325" s="45"/>
      <c r="T325" s="45"/>
      <c r="U325" s="45"/>
      <c r="V325" s="53">
        <f t="shared" si="5"/>
        <v>7</v>
      </c>
      <c r="W325" s="22"/>
      <c r="X325" s="22" t="s">
        <v>243</v>
      </c>
      <c r="Y325" s="22"/>
      <c r="Z325" s="22"/>
      <c r="AA325" s="22"/>
      <c r="AB325" s="22"/>
      <c r="AC325" s="22"/>
      <c r="AD325" s="22"/>
      <c r="AE325" s="22"/>
      <c r="AF325" s="22"/>
      <c r="AG325" s="22"/>
      <c r="AH325" s="22"/>
      <c r="AI325" s="22"/>
      <c r="AJ325" s="22"/>
      <c r="AK325" s="22"/>
      <c r="AL325" s="22"/>
      <c r="AM325" s="22"/>
      <c r="AN325" s="22"/>
      <c r="AO325" s="22"/>
      <c r="AP325" s="22"/>
      <c r="AQ325" s="22"/>
      <c r="AR325" s="22"/>
      <c r="AS325" s="22"/>
      <c r="AT325" s="22"/>
      <c r="AU325" s="22"/>
      <c r="AV325" s="22"/>
      <c r="AW325" s="22"/>
      <c r="AX325" s="22"/>
      <c r="AY325" s="22"/>
      <c r="AZ325" s="22"/>
      <c r="BA325" s="5"/>
    </row>
    <row r="326" spans="1:53" ht="15" thickBot="1" x14ac:dyDescent="0.4">
      <c r="A326" s="16" t="s">
        <v>243</v>
      </c>
      <c r="B326" s="16" t="s">
        <v>535</v>
      </c>
      <c r="C326" s="16" t="s">
        <v>535</v>
      </c>
      <c r="D326" s="16" t="s">
        <v>535</v>
      </c>
      <c r="E326" s="16" t="s">
        <v>535</v>
      </c>
      <c r="F326" s="16" t="s">
        <v>535</v>
      </c>
      <c r="G326" s="16" t="s">
        <v>535</v>
      </c>
      <c r="H326" s="16" t="s">
        <v>535</v>
      </c>
      <c r="I326" s="140" t="s">
        <v>535</v>
      </c>
      <c r="J326" s="141" t="s">
        <v>204</v>
      </c>
      <c r="K326" s="5" t="s">
        <v>1013</v>
      </c>
      <c r="L326" s="5"/>
      <c r="M326" s="5" t="s">
        <v>207</v>
      </c>
      <c r="N326" s="5"/>
      <c r="O326" s="5"/>
      <c r="P326" s="184">
        <v>196</v>
      </c>
      <c r="Q326" s="45"/>
      <c r="R326" s="45"/>
      <c r="S326" s="45"/>
      <c r="T326" s="45"/>
      <c r="U326" s="45"/>
      <c r="V326" s="53">
        <f t="shared" si="5"/>
        <v>196</v>
      </c>
      <c r="W326" s="22"/>
      <c r="X326" s="22" t="s">
        <v>243</v>
      </c>
      <c r="Y326" s="22"/>
      <c r="Z326" s="22"/>
      <c r="AA326" s="22"/>
      <c r="AB326" s="22"/>
      <c r="AC326" s="22"/>
      <c r="AD326" s="22"/>
      <c r="AE326" s="22"/>
      <c r="AF326" s="22"/>
      <c r="AG326" s="22"/>
      <c r="AH326" s="22"/>
      <c r="AI326" s="22"/>
      <c r="AJ326" s="22"/>
      <c r="AK326" s="22"/>
      <c r="AL326" s="22"/>
      <c r="AM326" s="22"/>
      <c r="AN326" s="22"/>
      <c r="AO326" s="22"/>
      <c r="AP326" s="22"/>
      <c r="AQ326" s="22"/>
      <c r="AR326" s="22"/>
      <c r="AS326" s="22"/>
      <c r="AT326" s="22"/>
      <c r="AU326" s="22"/>
      <c r="AV326" s="22"/>
      <c r="AW326" s="22"/>
      <c r="AX326" s="22"/>
      <c r="AY326" s="22"/>
      <c r="AZ326" s="22"/>
      <c r="BA326" s="5"/>
    </row>
    <row r="327" spans="1:53" ht="26.5" thickBot="1" x14ac:dyDescent="0.4">
      <c r="A327" s="16" t="s">
        <v>243</v>
      </c>
      <c r="B327" s="16" t="s">
        <v>535</v>
      </c>
      <c r="C327" s="16" t="s">
        <v>535</v>
      </c>
      <c r="D327" s="16" t="s">
        <v>535</v>
      </c>
      <c r="E327" s="16" t="s">
        <v>535</v>
      </c>
      <c r="F327" s="16" t="s">
        <v>535</v>
      </c>
      <c r="G327" s="16" t="s">
        <v>535</v>
      </c>
      <c r="H327" s="16" t="s">
        <v>535</v>
      </c>
      <c r="I327" s="140" t="s">
        <v>535</v>
      </c>
      <c r="J327" s="141" t="s">
        <v>204</v>
      </c>
      <c r="K327" s="5" t="s">
        <v>1014</v>
      </c>
      <c r="L327" s="5"/>
      <c r="M327" s="5" t="s">
        <v>207</v>
      </c>
      <c r="N327" s="5"/>
      <c r="O327" s="5"/>
      <c r="P327" s="184">
        <v>4660</v>
      </c>
      <c r="Q327" s="45"/>
      <c r="R327" s="45"/>
      <c r="S327" s="45"/>
      <c r="T327" s="45"/>
      <c r="U327" s="45"/>
      <c r="V327" s="53">
        <f t="shared" si="5"/>
        <v>4660</v>
      </c>
      <c r="W327" s="22"/>
      <c r="X327" s="22" t="s">
        <v>243</v>
      </c>
      <c r="Y327" s="22"/>
      <c r="Z327" s="22"/>
      <c r="AA327" s="22"/>
      <c r="AB327" s="22"/>
      <c r="AC327" s="22"/>
      <c r="AD327" s="22"/>
      <c r="AE327" s="22"/>
      <c r="AF327" s="22"/>
      <c r="AG327" s="22"/>
      <c r="AH327" s="22"/>
      <c r="AI327" s="22"/>
      <c r="AJ327" s="22"/>
      <c r="AK327" s="22"/>
      <c r="AL327" s="22"/>
      <c r="AM327" s="22"/>
      <c r="AN327" s="22"/>
      <c r="AO327" s="22"/>
      <c r="AP327" s="22"/>
      <c r="AQ327" s="22"/>
      <c r="AR327" s="22"/>
      <c r="AS327" s="22"/>
      <c r="AT327" s="22"/>
      <c r="AU327" s="22"/>
      <c r="AV327" s="22"/>
      <c r="AW327" s="22"/>
      <c r="AX327" s="22"/>
      <c r="AY327" s="22"/>
      <c r="AZ327" s="22"/>
      <c r="BA327" s="5"/>
    </row>
    <row r="328" spans="1:53" ht="26.5" thickBot="1" x14ac:dyDescent="0.4">
      <c r="A328" s="16" t="s">
        <v>243</v>
      </c>
      <c r="B328" s="16" t="s">
        <v>535</v>
      </c>
      <c r="C328" s="16" t="s">
        <v>535</v>
      </c>
      <c r="D328" s="16" t="s">
        <v>535</v>
      </c>
      <c r="E328" s="16" t="s">
        <v>535</v>
      </c>
      <c r="F328" s="16" t="s">
        <v>535</v>
      </c>
      <c r="G328" s="16" t="s">
        <v>535</v>
      </c>
      <c r="H328" s="16" t="s">
        <v>535</v>
      </c>
      <c r="I328" s="140" t="s">
        <v>535</v>
      </c>
      <c r="J328" s="141" t="s">
        <v>204</v>
      </c>
      <c r="K328" s="5" t="s">
        <v>1015</v>
      </c>
      <c r="L328" s="5"/>
      <c r="M328" s="5" t="s">
        <v>207</v>
      </c>
      <c r="N328" s="5"/>
      <c r="O328" s="5"/>
      <c r="P328" s="184">
        <v>10200</v>
      </c>
      <c r="Q328" s="45"/>
      <c r="R328" s="45"/>
      <c r="S328" s="45"/>
      <c r="T328" s="45"/>
      <c r="U328" s="45"/>
      <c r="V328" s="53">
        <f t="shared" si="5"/>
        <v>10200</v>
      </c>
      <c r="W328" s="22"/>
      <c r="X328" s="22" t="s">
        <v>243</v>
      </c>
      <c r="Y328" s="22"/>
      <c r="Z328" s="22"/>
      <c r="AA328" s="22"/>
      <c r="AB328" s="22"/>
      <c r="AC328" s="22"/>
      <c r="AD328" s="22"/>
      <c r="AE328" s="22"/>
      <c r="AF328" s="22"/>
      <c r="AG328" s="22"/>
      <c r="AH328" s="22"/>
      <c r="AI328" s="22"/>
      <c r="AJ328" s="22"/>
      <c r="AK328" s="22"/>
      <c r="AL328" s="22"/>
      <c r="AM328" s="22"/>
      <c r="AN328" s="22"/>
      <c r="AO328" s="22"/>
      <c r="AP328" s="22"/>
      <c r="AQ328" s="22"/>
      <c r="AR328" s="22"/>
      <c r="AS328" s="22"/>
      <c r="AT328" s="22"/>
      <c r="AU328" s="22"/>
      <c r="AV328" s="22"/>
      <c r="AW328" s="22"/>
      <c r="AX328" s="22"/>
      <c r="AY328" s="22"/>
      <c r="AZ328" s="22"/>
      <c r="BA328" s="5"/>
    </row>
    <row r="329" spans="1:53" ht="15" thickBot="1" x14ac:dyDescent="0.4">
      <c r="A329" s="16" t="s">
        <v>243</v>
      </c>
      <c r="B329" s="16" t="s">
        <v>535</v>
      </c>
      <c r="C329" s="16" t="s">
        <v>535</v>
      </c>
      <c r="D329" s="16" t="s">
        <v>535</v>
      </c>
      <c r="E329" s="16" t="s">
        <v>535</v>
      </c>
      <c r="F329" s="16" t="s">
        <v>535</v>
      </c>
      <c r="G329" s="16" t="s">
        <v>535</v>
      </c>
      <c r="H329" s="16" t="s">
        <v>535</v>
      </c>
      <c r="I329" s="140" t="s">
        <v>535</v>
      </c>
      <c r="J329" s="141" t="s">
        <v>204</v>
      </c>
      <c r="K329" s="5" t="s">
        <v>1016</v>
      </c>
      <c r="L329" s="5"/>
      <c r="M329" s="5" t="s">
        <v>207</v>
      </c>
      <c r="N329" s="5"/>
      <c r="O329" s="5"/>
      <c r="P329" s="184">
        <v>13900</v>
      </c>
      <c r="Q329" s="45"/>
      <c r="R329" s="45"/>
      <c r="S329" s="45"/>
      <c r="T329" s="45"/>
      <c r="U329" s="45"/>
      <c r="V329" s="53">
        <f t="shared" si="5"/>
        <v>13900</v>
      </c>
      <c r="W329" s="22"/>
      <c r="X329" s="22" t="s">
        <v>243</v>
      </c>
      <c r="Y329" s="22"/>
      <c r="Z329" s="22"/>
      <c r="AA329" s="22"/>
      <c r="AB329" s="22"/>
      <c r="AC329" s="22"/>
      <c r="AD329" s="22"/>
      <c r="AE329" s="22"/>
      <c r="AF329" s="22"/>
      <c r="AG329" s="22"/>
      <c r="AH329" s="22"/>
      <c r="AI329" s="22"/>
      <c r="AJ329" s="22"/>
      <c r="AK329" s="22"/>
      <c r="AL329" s="22"/>
      <c r="AM329" s="22"/>
      <c r="AN329" s="22"/>
      <c r="AO329" s="22"/>
      <c r="AP329" s="22"/>
      <c r="AQ329" s="22"/>
      <c r="AR329" s="22"/>
      <c r="AS329" s="22"/>
      <c r="AT329" s="22"/>
      <c r="AU329" s="22"/>
      <c r="AV329" s="22"/>
      <c r="AW329" s="22"/>
      <c r="AX329" s="22"/>
      <c r="AY329" s="22"/>
      <c r="AZ329" s="22"/>
      <c r="BA329" s="5"/>
    </row>
    <row r="330" spans="1:53" ht="15" thickBot="1" x14ac:dyDescent="0.4">
      <c r="A330" s="16" t="s">
        <v>243</v>
      </c>
      <c r="B330" s="16" t="s">
        <v>535</v>
      </c>
      <c r="C330" s="16" t="s">
        <v>535</v>
      </c>
      <c r="D330" s="16" t="s">
        <v>535</v>
      </c>
      <c r="E330" s="16" t="s">
        <v>535</v>
      </c>
      <c r="F330" s="16" t="s">
        <v>535</v>
      </c>
      <c r="G330" s="16" t="s">
        <v>535</v>
      </c>
      <c r="H330" s="16" t="s">
        <v>535</v>
      </c>
      <c r="I330" s="140" t="s">
        <v>535</v>
      </c>
      <c r="J330" s="141" t="s">
        <v>204</v>
      </c>
      <c r="K330" s="5" t="s">
        <v>1017</v>
      </c>
      <c r="L330" s="5"/>
      <c r="M330" s="5" t="s">
        <v>207</v>
      </c>
      <c r="N330" s="5"/>
      <c r="O330" s="5"/>
      <c r="P330" s="184">
        <v>5820</v>
      </c>
      <c r="Q330" s="45"/>
      <c r="R330" s="45"/>
      <c r="S330" s="45"/>
      <c r="T330" s="45"/>
      <c r="U330" s="45"/>
      <c r="V330" s="53">
        <f t="shared" si="5"/>
        <v>5820</v>
      </c>
      <c r="W330" s="22"/>
      <c r="X330" s="22" t="s">
        <v>243</v>
      </c>
      <c r="Y330" s="22"/>
      <c r="Z330" s="22"/>
      <c r="AA330" s="22"/>
      <c r="AB330" s="22"/>
      <c r="AC330" s="22"/>
      <c r="AD330" s="22"/>
      <c r="AE330" s="22"/>
      <c r="AF330" s="22"/>
      <c r="AG330" s="22"/>
      <c r="AH330" s="22"/>
      <c r="AI330" s="22"/>
      <c r="AJ330" s="22"/>
      <c r="AK330" s="22"/>
      <c r="AL330" s="22"/>
      <c r="AM330" s="22"/>
      <c r="AN330" s="22"/>
      <c r="AO330" s="22"/>
      <c r="AP330" s="22"/>
      <c r="AQ330" s="22"/>
      <c r="AR330" s="22"/>
      <c r="AS330" s="22"/>
      <c r="AT330" s="22"/>
      <c r="AU330" s="22"/>
      <c r="AV330" s="22"/>
      <c r="AW330" s="22"/>
      <c r="AX330" s="22"/>
      <c r="AY330" s="22"/>
      <c r="AZ330" s="22"/>
      <c r="BA330" s="5"/>
    </row>
    <row r="331" spans="1:53" ht="15" thickBot="1" x14ac:dyDescent="0.4">
      <c r="A331" s="16" t="s">
        <v>243</v>
      </c>
      <c r="B331" s="16" t="s">
        <v>535</v>
      </c>
      <c r="C331" s="16" t="s">
        <v>535</v>
      </c>
      <c r="D331" s="16" t="s">
        <v>535</v>
      </c>
      <c r="E331" s="16" t="s">
        <v>535</v>
      </c>
      <c r="F331" s="16" t="s">
        <v>535</v>
      </c>
      <c r="G331" s="16" t="s">
        <v>535</v>
      </c>
      <c r="H331" s="16" t="s">
        <v>535</v>
      </c>
      <c r="I331" s="140" t="s">
        <v>535</v>
      </c>
      <c r="J331" s="141" t="s">
        <v>204</v>
      </c>
      <c r="K331" s="5" t="s">
        <v>1018</v>
      </c>
      <c r="L331" s="5"/>
      <c r="M331" s="5" t="s">
        <v>207</v>
      </c>
      <c r="N331" s="5"/>
      <c r="O331" s="5"/>
      <c r="P331" s="184">
        <v>8590</v>
      </c>
      <c r="Q331" s="45"/>
      <c r="R331" s="45"/>
      <c r="S331" s="45"/>
      <c r="T331" s="45"/>
      <c r="U331" s="45"/>
      <c r="V331" s="53">
        <f t="shared" si="5"/>
        <v>8590</v>
      </c>
      <c r="W331" s="22"/>
      <c r="X331" s="22" t="s">
        <v>243</v>
      </c>
      <c r="Y331" s="22"/>
      <c r="Z331" s="22"/>
      <c r="AA331" s="22"/>
      <c r="AB331" s="22"/>
      <c r="AC331" s="22"/>
      <c r="AD331" s="22"/>
      <c r="AE331" s="22"/>
      <c r="AF331" s="22"/>
      <c r="AG331" s="22"/>
      <c r="AH331" s="22"/>
      <c r="AI331" s="22"/>
      <c r="AJ331" s="22"/>
      <c r="AK331" s="22"/>
      <c r="AL331" s="22"/>
      <c r="AM331" s="22"/>
      <c r="AN331" s="22"/>
      <c r="AO331" s="22"/>
      <c r="AP331" s="22"/>
      <c r="AQ331" s="22"/>
      <c r="AR331" s="22"/>
      <c r="AS331" s="22"/>
      <c r="AT331" s="22"/>
      <c r="AU331" s="22"/>
      <c r="AV331" s="22"/>
      <c r="AW331" s="22"/>
      <c r="AX331" s="22"/>
      <c r="AY331" s="22"/>
      <c r="AZ331" s="22"/>
      <c r="BA331" s="5"/>
    </row>
    <row r="332" spans="1:53" ht="15" thickBot="1" x14ac:dyDescent="0.4">
      <c r="A332" s="16" t="s">
        <v>243</v>
      </c>
      <c r="B332" s="16" t="s">
        <v>535</v>
      </c>
      <c r="C332" s="16" t="s">
        <v>535</v>
      </c>
      <c r="D332" s="16" t="s">
        <v>535</v>
      </c>
      <c r="E332" s="16" t="s">
        <v>535</v>
      </c>
      <c r="F332" s="16" t="s">
        <v>535</v>
      </c>
      <c r="G332" s="16" t="s">
        <v>535</v>
      </c>
      <c r="H332" s="16" t="s">
        <v>535</v>
      </c>
      <c r="I332" s="140" t="s">
        <v>535</v>
      </c>
      <c r="J332" s="141" t="s">
        <v>204</v>
      </c>
      <c r="K332" s="5" t="s">
        <v>1019</v>
      </c>
      <c r="L332" s="5"/>
      <c r="M332" s="5" t="s">
        <v>207</v>
      </c>
      <c r="N332" s="5"/>
      <c r="O332" s="5"/>
      <c r="P332" s="184">
        <v>7670</v>
      </c>
      <c r="Q332" s="45"/>
      <c r="R332" s="45"/>
      <c r="S332" s="45"/>
      <c r="T332" s="45"/>
      <c r="U332" s="45"/>
      <c r="V332" s="53">
        <f t="shared" si="5"/>
        <v>7670</v>
      </c>
      <c r="W332" s="22"/>
      <c r="X332" s="22" t="s">
        <v>243</v>
      </c>
      <c r="Y332" s="22"/>
      <c r="Z332" s="22"/>
      <c r="AA332" s="22"/>
      <c r="AB332" s="22"/>
      <c r="AC332" s="22"/>
      <c r="AD332" s="22"/>
      <c r="AE332" s="22"/>
      <c r="AF332" s="22"/>
      <c r="AG332" s="22"/>
      <c r="AH332" s="22"/>
      <c r="AI332" s="22"/>
      <c r="AJ332" s="22"/>
      <c r="AK332" s="22"/>
      <c r="AL332" s="22"/>
      <c r="AM332" s="22"/>
      <c r="AN332" s="22"/>
      <c r="AO332" s="22"/>
      <c r="AP332" s="22"/>
      <c r="AQ332" s="22"/>
      <c r="AR332" s="22"/>
      <c r="AS332" s="22"/>
      <c r="AT332" s="22"/>
      <c r="AU332" s="22"/>
      <c r="AV332" s="22"/>
      <c r="AW332" s="22"/>
      <c r="AX332" s="22"/>
      <c r="AY332" s="22"/>
      <c r="AZ332" s="22"/>
      <c r="BA332" s="5"/>
    </row>
    <row r="333" spans="1:53" ht="15" thickBot="1" x14ac:dyDescent="0.4">
      <c r="A333" s="16" t="s">
        <v>243</v>
      </c>
      <c r="B333" s="16" t="s">
        <v>535</v>
      </c>
      <c r="C333" s="16" t="s">
        <v>535</v>
      </c>
      <c r="D333" s="16" t="s">
        <v>535</v>
      </c>
      <c r="E333" s="16" t="s">
        <v>535</v>
      </c>
      <c r="F333" s="16" t="s">
        <v>535</v>
      </c>
      <c r="G333" s="16" t="s">
        <v>535</v>
      </c>
      <c r="H333" s="16" t="s">
        <v>535</v>
      </c>
      <c r="I333" s="140" t="s">
        <v>535</v>
      </c>
      <c r="J333" s="141" t="s">
        <v>204</v>
      </c>
      <c r="K333" s="5" t="s">
        <v>1020</v>
      </c>
      <c r="L333" s="5"/>
      <c r="M333" s="5" t="s">
        <v>207</v>
      </c>
      <c r="N333" s="5"/>
      <c r="O333" s="5"/>
      <c r="P333" s="184">
        <v>1750</v>
      </c>
      <c r="Q333" s="45"/>
      <c r="R333" s="45"/>
      <c r="S333" s="45"/>
      <c r="T333" s="45"/>
      <c r="U333" s="45"/>
      <c r="V333" s="53">
        <f t="shared" si="5"/>
        <v>1750</v>
      </c>
      <c r="W333" s="22"/>
      <c r="X333" s="22" t="s">
        <v>243</v>
      </c>
      <c r="Y333" s="22"/>
      <c r="Z333" s="22"/>
      <c r="AA333" s="22"/>
      <c r="AB333" s="22"/>
      <c r="AC333" s="22"/>
      <c r="AD333" s="22"/>
      <c r="AE333" s="22"/>
      <c r="AF333" s="22"/>
      <c r="AG333" s="22"/>
      <c r="AH333" s="22"/>
      <c r="AI333" s="22"/>
      <c r="AJ333" s="22"/>
      <c r="AK333" s="22"/>
      <c r="AL333" s="22"/>
      <c r="AM333" s="22"/>
      <c r="AN333" s="22"/>
      <c r="AO333" s="22"/>
      <c r="AP333" s="22"/>
      <c r="AQ333" s="22"/>
      <c r="AR333" s="22"/>
      <c r="AS333" s="22"/>
      <c r="AT333" s="22"/>
      <c r="AU333" s="22"/>
      <c r="AV333" s="22"/>
      <c r="AW333" s="22"/>
      <c r="AX333" s="22"/>
      <c r="AY333" s="22"/>
      <c r="AZ333" s="22"/>
      <c r="BA333" s="5"/>
    </row>
    <row r="334" spans="1:53" ht="15" thickBot="1" x14ac:dyDescent="0.4">
      <c r="A334" s="16" t="s">
        <v>243</v>
      </c>
      <c r="B334" s="16" t="s">
        <v>535</v>
      </c>
      <c r="C334" s="16" t="s">
        <v>535</v>
      </c>
      <c r="D334" s="16" t="s">
        <v>535</v>
      </c>
      <c r="E334" s="16" t="s">
        <v>535</v>
      </c>
      <c r="F334" s="16" t="s">
        <v>535</v>
      </c>
      <c r="G334" s="16" t="s">
        <v>535</v>
      </c>
      <c r="H334" s="16" t="s">
        <v>535</v>
      </c>
      <c r="I334" s="140" t="s">
        <v>535</v>
      </c>
      <c r="J334" s="141" t="s">
        <v>204</v>
      </c>
      <c r="K334" s="5" t="s">
        <v>1021</v>
      </c>
      <c r="L334" s="5"/>
      <c r="M334" s="5" t="s">
        <v>207</v>
      </c>
      <c r="N334" s="5"/>
      <c r="O334" s="5"/>
      <c r="P334" s="184">
        <v>6290</v>
      </c>
      <c r="Q334" s="45"/>
      <c r="R334" s="45"/>
      <c r="S334" s="45"/>
      <c r="T334" s="45"/>
      <c r="U334" s="45"/>
      <c r="V334" s="53">
        <f t="shared" si="5"/>
        <v>6290</v>
      </c>
      <c r="W334" s="22"/>
      <c r="X334" s="22" t="s">
        <v>243</v>
      </c>
      <c r="Y334" s="22"/>
      <c r="Z334" s="22"/>
      <c r="AA334" s="22"/>
      <c r="AB334" s="22"/>
      <c r="AC334" s="22"/>
      <c r="AD334" s="22"/>
      <c r="AE334" s="22"/>
      <c r="AF334" s="22"/>
      <c r="AG334" s="22"/>
      <c r="AH334" s="22"/>
      <c r="AI334" s="22"/>
      <c r="AJ334" s="22"/>
      <c r="AK334" s="22"/>
      <c r="AL334" s="22"/>
      <c r="AM334" s="22"/>
      <c r="AN334" s="22"/>
      <c r="AO334" s="22"/>
      <c r="AP334" s="22"/>
      <c r="AQ334" s="22"/>
      <c r="AR334" s="22"/>
      <c r="AS334" s="22"/>
      <c r="AT334" s="22"/>
      <c r="AU334" s="22"/>
      <c r="AV334" s="22"/>
      <c r="AW334" s="22"/>
      <c r="AX334" s="22"/>
      <c r="AY334" s="22"/>
      <c r="AZ334" s="22"/>
      <c r="BA334" s="5"/>
    </row>
    <row r="335" spans="1:53" ht="15" thickBot="1" x14ac:dyDescent="0.4">
      <c r="A335" s="16" t="s">
        <v>243</v>
      </c>
      <c r="B335" s="16" t="s">
        <v>535</v>
      </c>
      <c r="C335" s="16" t="s">
        <v>535</v>
      </c>
      <c r="D335" s="16" t="s">
        <v>535</v>
      </c>
      <c r="E335" s="16" t="s">
        <v>535</v>
      </c>
      <c r="F335" s="16" t="s">
        <v>535</v>
      </c>
      <c r="G335" s="16" t="s">
        <v>535</v>
      </c>
      <c r="H335" s="16" t="s">
        <v>535</v>
      </c>
      <c r="I335" s="140" t="s">
        <v>535</v>
      </c>
      <c r="J335" s="141" t="s">
        <v>204</v>
      </c>
      <c r="K335" s="5" t="s">
        <v>1022</v>
      </c>
      <c r="L335" s="5"/>
      <c r="M335" s="5" t="s">
        <v>207</v>
      </c>
      <c r="N335" s="5"/>
      <c r="O335" s="5"/>
      <c r="P335" s="184">
        <v>1470</v>
      </c>
      <c r="Q335" s="45"/>
      <c r="R335" s="45"/>
      <c r="S335" s="45"/>
      <c r="T335" s="45"/>
      <c r="U335" s="45"/>
      <c r="V335" s="53">
        <f t="shared" si="5"/>
        <v>1470</v>
      </c>
      <c r="W335" s="22"/>
      <c r="X335" s="22" t="s">
        <v>243</v>
      </c>
      <c r="Y335" s="22"/>
      <c r="Z335" s="22"/>
      <c r="AA335" s="22"/>
      <c r="AB335" s="22"/>
      <c r="AC335" s="22"/>
      <c r="AD335" s="22"/>
      <c r="AE335" s="22"/>
      <c r="AF335" s="22"/>
      <c r="AG335" s="22"/>
      <c r="AH335" s="22"/>
      <c r="AI335" s="22"/>
      <c r="AJ335" s="22"/>
      <c r="AK335" s="22"/>
      <c r="AL335" s="22"/>
      <c r="AM335" s="22"/>
      <c r="AN335" s="22"/>
      <c r="AO335" s="22"/>
      <c r="AP335" s="22"/>
      <c r="AQ335" s="22"/>
      <c r="AR335" s="22"/>
      <c r="AS335" s="22"/>
      <c r="AT335" s="22"/>
      <c r="AU335" s="22"/>
      <c r="AV335" s="22"/>
      <c r="AW335" s="22"/>
      <c r="AX335" s="22"/>
      <c r="AY335" s="22"/>
      <c r="AZ335" s="22"/>
      <c r="BA335" s="5"/>
    </row>
    <row r="336" spans="1:53" ht="15" thickBot="1" x14ac:dyDescent="0.4">
      <c r="A336" s="16" t="s">
        <v>243</v>
      </c>
      <c r="B336" s="16" t="s">
        <v>535</v>
      </c>
      <c r="C336" s="16" t="s">
        <v>535</v>
      </c>
      <c r="D336" s="16" t="s">
        <v>535</v>
      </c>
      <c r="E336" s="16" t="s">
        <v>535</v>
      </c>
      <c r="F336" s="16" t="s">
        <v>535</v>
      </c>
      <c r="G336" s="16" t="s">
        <v>535</v>
      </c>
      <c r="H336" s="16" t="s">
        <v>535</v>
      </c>
      <c r="I336" s="140" t="s">
        <v>535</v>
      </c>
      <c r="J336" s="141" t="s">
        <v>204</v>
      </c>
      <c r="K336" s="5" t="s">
        <v>1023</v>
      </c>
      <c r="L336" s="5"/>
      <c r="M336" s="5" t="s">
        <v>207</v>
      </c>
      <c r="N336" s="5"/>
      <c r="O336" s="5"/>
      <c r="P336" s="184">
        <v>1730</v>
      </c>
      <c r="Q336" s="45"/>
      <c r="R336" s="45"/>
      <c r="S336" s="45"/>
      <c r="T336" s="45"/>
      <c r="U336" s="45"/>
      <c r="V336" s="53">
        <f t="shared" si="5"/>
        <v>1730</v>
      </c>
      <c r="W336" s="22"/>
      <c r="X336" s="22" t="s">
        <v>243</v>
      </c>
      <c r="Y336" s="22"/>
      <c r="Z336" s="22"/>
      <c r="AA336" s="22"/>
      <c r="AB336" s="22"/>
      <c r="AC336" s="22"/>
      <c r="AD336" s="22"/>
      <c r="AE336" s="22"/>
      <c r="AF336" s="22"/>
      <c r="AG336" s="22"/>
      <c r="AH336" s="22"/>
      <c r="AI336" s="22"/>
      <c r="AJ336" s="22"/>
      <c r="AK336" s="22"/>
      <c r="AL336" s="22"/>
      <c r="AM336" s="22"/>
      <c r="AN336" s="22"/>
      <c r="AO336" s="22"/>
      <c r="AP336" s="22"/>
      <c r="AQ336" s="22"/>
      <c r="AR336" s="22"/>
      <c r="AS336" s="22"/>
      <c r="AT336" s="22"/>
      <c r="AU336" s="22"/>
      <c r="AV336" s="22"/>
      <c r="AW336" s="22"/>
      <c r="AX336" s="22"/>
      <c r="AY336" s="22"/>
      <c r="AZ336" s="22"/>
      <c r="BA336" s="5"/>
    </row>
    <row r="337" spans="1:53" ht="15" thickBot="1" x14ac:dyDescent="0.4">
      <c r="A337" s="16" t="s">
        <v>243</v>
      </c>
      <c r="B337" s="16" t="s">
        <v>535</v>
      </c>
      <c r="C337" s="16" t="s">
        <v>535</v>
      </c>
      <c r="D337" s="16" t="s">
        <v>535</v>
      </c>
      <c r="E337" s="16" t="s">
        <v>535</v>
      </c>
      <c r="F337" s="16" t="s">
        <v>535</v>
      </c>
      <c r="G337" s="16" t="s">
        <v>535</v>
      </c>
      <c r="H337" s="16" t="s">
        <v>535</v>
      </c>
      <c r="I337" s="140" t="s">
        <v>535</v>
      </c>
      <c r="J337" s="141" t="s">
        <v>204</v>
      </c>
      <c r="K337" s="5" t="s">
        <v>1024</v>
      </c>
      <c r="L337" s="5"/>
      <c r="M337" s="5" t="s">
        <v>207</v>
      </c>
      <c r="N337" s="5"/>
      <c r="O337" s="5"/>
      <c r="P337" s="184">
        <v>2</v>
      </c>
      <c r="Q337" s="45"/>
      <c r="R337" s="45"/>
      <c r="S337" s="45"/>
      <c r="T337" s="45"/>
      <c r="U337" s="45"/>
      <c r="V337" s="53">
        <f t="shared" si="5"/>
        <v>2</v>
      </c>
      <c r="W337" s="22"/>
      <c r="X337" s="22" t="s">
        <v>243</v>
      </c>
      <c r="Y337" s="22"/>
      <c r="Z337" s="22"/>
      <c r="AA337" s="22"/>
      <c r="AB337" s="22"/>
      <c r="AC337" s="22"/>
      <c r="AD337" s="22"/>
      <c r="AE337" s="22"/>
      <c r="AF337" s="22"/>
      <c r="AG337" s="22"/>
      <c r="AH337" s="22"/>
      <c r="AI337" s="22"/>
      <c r="AJ337" s="22"/>
      <c r="AK337" s="22"/>
      <c r="AL337" s="22"/>
      <c r="AM337" s="22"/>
      <c r="AN337" s="22"/>
      <c r="AO337" s="22"/>
      <c r="AP337" s="22"/>
      <c r="AQ337" s="22"/>
      <c r="AR337" s="22"/>
      <c r="AS337" s="22"/>
      <c r="AT337" s="22"/>
      <c r="AU337" s="22"/>
      <c r="AV337" s="22"/>
      <c r="AW337" s="22"/>
      <c r="AX337" s="22"/>
      <c r="AY337" s="22"/>
      <c r="AZ337" s="22"/>
      <c r="BA337" s="5"/>
    </row>
    <row r="338" spans="1:53" ht="15" thickBot="1" x14ac:dyDescent="0.4">
      <c r="A338" s="16" t="s">
        <v>243</v>
      </c>
      <c r="B338" s="16" t="s">
        <v>535</v>
      </c>
      <c r="C338" s="16" t="s">
        <v>535</v>
      </c>
      <c r="D338" s="16" t="s">
        <v>535</v>
      </c>
      <c r="E338" s="16" t="s">
        <v>535</v>
      </c>
      <c r="F338" s="16" t="s">
        <v>535</v>
      </c>
      <c r="G338" s="16" t="s">
        <v>535</v>
      </c>
      <c r="H338" s="16" t="s">
        <v>535</v>
      </c>
      <c r="I338" s="140" t="s">
        <v>535</v>
      </c>
      <c r="J338" s="141" t="s">
        <v>204</v>
      </c>
      <c r="K338" s="5" t="s">
        <v>1025</v>
      </c>
      <c r="L338" s="5"/>
      <c r="M338" s="5" t="s">
        <v>207</v>
      </c>
      <c r="N338" s="5"/>
      <c r="O338" s="5"/>
      <c r="P338" s="184">
        <v>160</v>
      </c>
      <c r="Q338" s="45"/>
      <c r="R338" s="45"/>
      <c r="S338" s="45"/>
      <c r="T338" s="45"/>
      <c r="U338" s="45"/>
      <c r="V338" s="53">
        <f t="shared" si="5"/>
        <v>160</v>
      </c>
      <c r="W338" s="22"/>
      <c r="X338" s="22" t="s">
        <v>243</v>
      </c>
      <c r="Y338" s="22"/>
      <c r="Z338" s="22"/>
      <c r="AA338" s="22"/>
      <c r="AB338" s="22"/>
      <c r="AC338" s="22"/>
      <c r="AD338" s="22"/>
      <c r="AE338" s="22"/>
      <c r="AF338" s="22"/>
      <c r="AG338" s="22"/>
      <c r="AH338" s="22"/>
      <c r="AI338" s="22"/>
      <c r="AJ338" s="22"/>
      <c r="AK338" s="22"/>
      <c r="AL338" s="22"/>
      <c r="AM338" s="22"/>
      <c r="AN338" s="22"/>
      <c r="AO338" s="22"/>
      <c r="AP338" s="22"/>
      <c r="AQ338" s="22"/>
      <c r="AR338" s="22"/>
      <c r="AS338" s="22"/>
      <c r="AT338" s="22"/>
      <c r="AU338" s="22"/>
      <c r="AV338" s="22"/>
      <c r="AW338" s="22"/>
      <c r="AX338" s="22"/>
      <c r="AY338" s="22"/>
      <c r="AZ338" s="22"/>
      <c r="BA338" s="5"/>
    </row>
    <row r="339" spans="1:53" ht="26.5" thickBot="1" x14ac:dyDescent="0.4">
      <c r="A339" s="16" t="s">
        <v>243</v>
      </c>
      <c r="B339" s="16" t="s">
        <v>535</v>
      </c>
      <c r="C339" s="16" t="s">
        <v>535</v>
      </c>
      <c r="D339" s="16" t="s">
        <v>535</v>
      </c>
      <c r="E339" s="16" t="s">
        <v>535</v>
      </c>
      <c r="F339" s="16" t="s">
        <v>535</v>
      </c>
      <c r="G339" s="16" t="s">
        <v>535</v>
      </c>
      <c r="H339" s="16" t="s">
        <v>535</v>
      </c>
      <c r="I339" s="140" t="s">
        <v>535</v>
      </c>
      <c r="J339" s="141" t="s">
        <v>204</v>
      </c>
      <c r="K339" s="5" t="s">
        <v>1026</v>
      </c>
      <c r="L339" s="5"/>
      <c r="M339" s="5" t="s">
        <v>207</v>
      </c>
      <c r="N339" s="5"/>
      <c r="O339" s="5"/>
      <c r="P339" s="184">
        <v>1760</v>
      </c>
      <c r="Q339" s="45"/>
      <c r="R339" s="45"/>
      <c r="S339" s="45"/>
      <c r="T339" s="45"/>
      <c r="U339" s="45"/>
      <c r="V339" s="53">
        <f t="shared" si="5"/>
        <v>1760</v>
      </c>
      <c r="W339" s="22"/>
      <c r="X339" s="22" t="s">
        <v>243</v>
      </c>
      <c r="Y339" s="22"/>
      <c r="Z339" s="22"/>
      <c r="AA339" s="22"/>
      <c r="AB339" s="22"/>
      <c r="AC339" s="22"/>
      <c r="AD339" s="22"/>
      <c r="AE339" s="22"/>
      <c r="AF339" s="22"/>
      <c r="AG339" s="22"/>
      <c r="AH339" s="22"/>
      <c r="AI339" s="22"/>
      <c r="AJ339" s="22"/>
      <c r="AK339" s="22"/>
      <c r="AL339" s="22"/>
      <c r="AM339" s="22"/>
      <c r="AN339" s="22"/>
      <c r="AO339" s="22"/>
      <c r="AP339" s="22"/>
      <c r="AQ339" s="22"/>
      <c r="AR339" s="22"/>
      <c r="AS339" s="22"/>
      <c r="AT339" s="22"/>
      <c r="AU339" s="22"/>
      <c r="AV339" s="22"/>
      <c r="AW339" s="22"/>
      <c r="AX339" s="22"/>
      <c r="AY339" s="22"/>
      <c r="AZ339" s="22"/>
      <c r="BA339" s="5"/>
    </row>
    <row r="340" spans="1:53" ht="15" thickBot="1" x14ac:dyDescent="0.4">
      <c r="A340" s="16" t="s">
        <v>243</v>
      </c>
      <c r="B340" s="16" t="s">
        <v>535</v>
      </c>
      <c r="C340" s="16" t="s">
        <v>535</v>
      </c>
      <c r="D340" s="16" t="s">
        <v>535</v>
      </c>
      <c r="E340" s="16" t="s">
        <v>535</v>
      </c>
      <c r="F340" s="16" t="s">
        <v>535</v>
      </c>
      <c r="G340" s="16" t="s">
        <v>535</v>
      </c>
      <c r="H340" s="16" t="s">
        <v>535</v>
      </c>
      <c r="I340" s="140" t="s">
        <v>535</v>
      </c>
      <c r="J340" s="141" t="s">
        <v>204</v>
      </c>
      <c r="K340" s="5" t="s">
        <v>1027</v>
      </c>
      <c r="L340" s="5"/>
      <c r="M340" s="5" t="s">
        <v>207</v>
      </c>
      <c r="N340" s="5"/>
      <c r="O340" s="5"/>
      <c r="P340" s="184">
        <v>79</v>
      </c>
      <c r="Q340" s="45"/>
      <c r="R340" s="45"/>
      <c r="S340" s="45"/>
      <c r="T340" s="45"/>
      <c r="U340" s="45"/>
      <c r="V340" s="53">
        <f t="shared" si="5"/>
        <v>79</v>
      </c>
      <c r="W340" s="22"/>
      <c r="X340" s="22" t="s">
        <v>243</v>
      </c>
      <c r="Y340" s="22"/>
      <c r="Z340" s="22"/>
      <c r="AA340" s="22"/>
      <c r="AB340" s="22"/>
      <c r="AC340" s="22"/>
      <c r="AD340" s="22"/>
      <c r="AE340" s="22"/>
      <c r="AF340" s="22"/>
      <c r="AG340" s="22"/>
      <c r="AH340" s="22"/>
      <c r="AI340" s="22"/>
      <c r="AJ340" s="22"/>
      <c r="AK340" s="22"/>
      <c r="AL340" s="22"/>
      <c r="AM340" s="22"/>
      <c r="AN340" s="22"/>
      <c r="AO340" s="22"/>
      <c r="AP340" s="22"/>
      <c r="AQ340" s="22"/>
      <c r="AR340" s="22"/>
      <c r="AS340" s="22"/>
      <c r="AT340" s="22"/>
      <c r="AU340" s="22"/>
      <c r="AV340" s="22"/>
      <c r="AW340" s="22"/>
      <c r="AX340" s="22"/>
      <c r="AY340" s="22"/>
      <c r="AZ340" s="22"/>
      <c r="BA340" s="5"/>
    </row>
    <row r="341" spans="1:53" ht="15" thickBot="1" x14ac:dyDescent="0.4">
      <c r="A341" s="16" t="s">
        <v>243</v>
      </c>
      <c r="B341" s="16" t="s">
        <v>535</v>
      </c>
      <c r="C341" s="16" t="s">
        <v>535</v>
      </c>
      <c r="D341" s="16" t="s">
        <v>535</v>
      </c>
      <c r="E341" s="16" t="s">
        <v>535</v>
      </c>
      <c r="F341" s="16" t="s">
        <v>535</v>
      </c>
      <c r="G341" s="16" t="s">
        <v>535</v>
      </c>
      <c r="H341" s="16" t="s">
        <v>535</v>
      </c>
      <c r="I341" s="140" t="s">
        <v>535</v>
      </c>
      <c r="J341" s="141" t="s">
        <v>204</v>
      </c>
      <c r="K341" s="5" t="s">
        <v>1028</v>
      </c>
      <c r="L341" s="5"/>
      <c r="M341" s="5" t="s">
        <v>207</v>
      </c>
      <c r="N341" s="5"/>
      <c r="O341" s="5"/>
      <c r="P341" s="184">
        <v>527</v>
      </c>
      <c r="Q341" s="45"/>
      <c r="R341" s="45"/>
      <c r="S341" s="45"/>
      <c r="T341" s="45"/>
      <c r="U341" s="45"/>
      <c r="V341" s="53">
        <f t="shared" ref="V341:V377" si="6">ROUND(SUM(P341:U341),3)</f>
        <v>527</v>
      </c>
      <c r="W341" s="22"/>
      <c r="X341" s="22" t="s">
        <v>243</v>
      </c>
      <c r="Y341" s="22"/>
      <c r="Z341" s="22"/>
      <c r="AA341" s="22"/>
      <c r="AB341" s="22"/>
      <c r="AC341" s="22"/>
      <c r="AD341" s="22"/>
      <c r="AE341" s="22"/>
      <c r="AF341" s="22"/>
      <c r="AG341" s="22"/>
      <c r="AH341" s="22"/>
      <c r="AI341" s="22"/>
      <c r="AJ341" s="22"/>
      <c r="AK341" s="22"/>
      <c r="AL341" s="22"/>
      <c r="AM341" s="22"/>
      <c r="AN341" s="22"/>
      <c r="AO341" s="22"/>
      <c r="AP341" s="22"/>
      <c r="AQ341" s="22"/>
      <c r="AR341" s="22"/>
      <c r="AS341" s="22"/>
      <c r="AT341" s="22"/>
      <c r="AU341" s="22"/>
      <c r="AV341" s="22"/>
      <c r="AW341" s="22"/>
      <c r="AX341" s="22"/>
      <c r="AY341" s="22"/>
      <c r="AZ341" s="22"/>
      <c r="BA341" s="5"/>
    </row>
    <row r="342" spans="1:53" ht="15" thickBot="1" x14ac:dyDescent="0.4">
      <c r="A342" s="16" t="s">
        <v>243</v>
      </c>
      <c r="B342" s="16" t="s">
        <v>535</v>
      </c>
      <c r="C342" s="16" t="s">
        <v>535</v>
      </c>
      <c r="D342" s="16" t="s">
        <v>535</v>
      </c>
      <c r="E342" s="16" t="s">
        <v>535</v>
      </c>
      <c r="F342" s="16" t="s">
        <v>535</v>
      </c>
      <c r="G342" s="16" t="s">
        <v>535</v>
      </c>
      <c r="H342" s="16" t="s">
        <v>535</v>
      </c>
      <c r="I342" s="140" t="s">
        <v>535</v>
      </c>
      <c r="J342" s="141" t="s">
        <v>204</v>
      </c>
      <c r="K342" s="5" t="s">
        <v>1029</v>
      </c>
      <c r="L342" s="5"/>
      <c r="M342" s="5" t="s">
        <v>207</v>
      </c>
      <c r="N342" s="5"/>
      <c r="O342" s="5"/>
      <c r="P342" s="184">
        <v>782</v>
      </c>
      <c r="Q342" s="45"/>
      <c r="R342" s="45"/>
      <c r="S342" s="45"/>
      <c r="T342" s="45"/>
      <c r="U342" s="45"/>
      <c r="V342" s="53">
        <f t="shared" si="6"/>
        <v>782</v>
      </c>
      <c r="W342" s="22"/>
      <c r="X342" s="22" t="s">
        <v>243</v>
      </c>
      <c r="Y342" s="22"/>
      <c r="Z342" s="22"/>
      <c r="AA342" s="22"/>
      <c r="AB342" s="22"/>
      <c r="AC342" s="22"/>
      <c r="AD342" s="22"/>
      <c r="AE342" s="22"/>
      <c r="AF342" s="22"/>
      <c r="AG342" s="22"/>
      <c r="AH342" s="22"/>
      <c r="AI342" s="22"/>
      <c r="AJ342" s="22"/>
      <c r="AK342" s="22"/>
      <c r="AL342" s="22"/>
      <c r="AM342" s="22"/>
      <c r="AN342" s="22"/>
      <c r="AO342" s="22"/>
      <c r="AP342" s="22"/>
      <c r="AQ342" s="22"/>
      <c r="AR342" s="22"/>
      <c r="AS342" s="22"/>
      <c r="AT342" s="22"/>
      <c r="AU342" s="22"/>
      <c r="AV342" s="22"/>
      <c r="AW342" s="22"/>
      <c r="AX342" s="22"/>
      <c r="AY342" s="22"/>
      <c r="AZ342" s="22"/>
      <c r="BA342" s="5"/>
    </row>
    <row r="343" spans="1:53" ht="15" thickBot="1" x14ac:dyDescent="0.4">
      <c r="A343" s="16" t="s">
        <v>243</v>
      </c>
      <c r="B343" s="16" t="s">
        <v>535</v>
      </c>
      <c r="C343" s="16" t="s">
        <v>535</v>
      </c>
      <c r="D343" s="16" t="s">
        <v>535</v>
      </c>
      <c r="E343" s="16" t="s">
        <v>535</v>
      </c>
      <c r="F343" s="16" t="s">
        <v>535</v>
      </c>
      <c r="G343" s="16" t="s">
        <v>535</v>
      </c>
      <c r="H343" s="16" t="s">
        <v>535</v>
      </c>
      <c r="I343" s="140" t="s">
        <v>535</v>
      </c>
      <c r="J343" s="141" t="s">
        <v>204</v>
      </c>
      <c r="K343" s="5" t="s">
        <v>1030</v>
      </c>
      <c r="L343" s="5"/>
      <c r="M343" s="5" t="s">
        <v>207</v>
      </c>
      <c r="N343" s="5"/>
      <c r="O343" s="5"/>
      <c r="P343" s="184">
        <v>1980</v>
      </c>
      <c r="Q343" s="45"/>
      <c r="R343" s="45"/>
      <c r="S343" s="45"/>
      <c r="T343" s="45"/>
      <c r="U343" s="45"/>
      <c r="V343" s="53">
        <f t="shared" si="6"/>
        <v>1980</v>
      </c>
      <c r="W343" s="22"/>
      <c r="X343" s="22" t="s">
        <v>243</v>
      </c>
      <c r="Y343" s="22"/>
      <c r="Z343" s="22"/>
      <c r="AA343" s="22"/>
      <c r="AB343" s="22"/>
      <c r="AC343" s="22"/>
      <c r="AD343" s="22"/>
      <c r="AE343" s="22"/>
      <c r="AF343" s="22"/>
      <c r="AG343" s="22"/>
      <c r="AH343" s="22"/>
      <c r="AI343" s="22"/>
      <c r="AJ343" s="22"/>
      <c r="AK343" s="22"/>
      <c r="AL343" s="22"/>
      <c r="AM343" s="22"/>
      <c r="AN343" s="22"/>
      <c r="AO343" s="22"/>
      <c r="AP343" s="22"/>
      <c r="AQ343" s="22"/>
      <c r="AR343" s="22"/>
      <c r="AS343" s="22"/>
      <c r="AT343" s="22"/>
      <c r="AU343" s="22"/>
      <c r="AV343" s="22"/>
      <c r="AW343" s="22"/>
      <c r="AX343" s="22"/>
      <c r="AY343" s="22"/>
      <c r="AZ343" s="22"/>
      <c r="BA343" s="5"/>
    </row>
    <row r="344" spans="1:53" ht="15" thickBot="1" x14ac:dyDescent="0.4">
      <c r="A344" s="16" t="s">
        <v>243</v>
      </c>
      <c r="B344" s="16" t="s">
        <v>535</v>
      </c>
      <c r="C344" s="16" t="s">
        <v>535</v>
      </c>
      <c r="D344" s="16" t="s">
        <v>535</v>
      </c>
      <c r="E344" s="16" t="s">
        <v>535</v>
      </c>
      <c r="F344" s="16" t="s">
        <v>535</v>
      </c>
      <c r="G344" s="16" t="s">
        <v>535</v>
      </c>
      <c r="H344" s="16" t="s">
        <v>535</v>
      </c>
      <c r="I344" s="140" t="s">
        <v>535</v>
      </c>
      <c r="J344" s="141" t="s">
        <v>204</v>
      </c>
      <c r="K344" s="5" t="s">
        <v>1031</v>
      </c>
      <c r="L344" s="5"/>
      <c r="M344" s="5" t="s">
        <v>207</v>
      </c>
      <c r="N344" s="5"/>
      <c r="O344" s="5"/>
      <c r="P344" s="184">
        <v>127</v>
      </c>
      <c r="Q344" s="45"/>
      <c r="R344" s="45"/>
      <c r="S344" s="45"/>
      <c r="T344" s="45"/>
      <c r="U344" s="45"/>
      <c r="V344" s="53">
        <f t="shared" si="6"/>
        <v>127</v>
      </c>
      <c r="W344" s="22"/>
      <c r="X344" s="22" t="s">
        <v>243</v>
      </c>
      <c r="Y344" s="22"/>
      <c r="Z344" s="22"/>
      <c r="AA344" s="22"/>
      <c r="AB344" s="22"/>
      <c r="AC344" s="22"/>
      <c r="AD344" s="22"/>
      <c r="AE344" s="22"/>
      <c r="AF344" s="22"/>
      <c r="AG344" s="22"/>
      <c r="AH344" s="22"/>
      <c r="AI344" s="22"/>
      <c r="AJ344" s="22"/>
      <c r="AK344" s="22"/>
      <c r="AL344" s="22"/>
      <c r="AM344" s="22"/>
      <c r="AN344" s="22"/>
      <c r="AO344" s="22"/>
      <c r="AP344" s="22"/>
      <c r="AQ344" s="22"/>
      <c r="AR344" s="22"/>
      <c r="AS344" s="22"/>
      <c r="AT344" s="22"/>
      <c r="AU344" s="22"/>
      <c r="AV344" s="22"/>
      <c r="AW344" s="22"/>
      <c r="AX344" s="22"/>
      <c r="AY344" s="22"/>
      <c r="AZ344" s="22"/>
      <c r="BA344" s="5"/>
    </row>
    <row r="345" spans="1:53" ht="15" thickBot="1" x14ac:dyDescent="0.4">
      <c r="A345" s="16" t="s">
        <v>243</v>
      </c>
      <c r="B345" s="16" t="s">
        <v>535</v>
      </c>
      <c r="C345" s="16" t="s">
        <v>535</v>
      </c>
      <c r="D345" s="16" t="s">
        <v>535</v>
      </c>
      <c r="E345" s="16" t="s">
        <v>535</v>
      </c>
      <c r="F345" s="16" t="s">
        <v>535</v>
      </c>
      <c r="G345" s="16" t="s">
        <v>535</v>
      </c>
      <c r="H345" s="16" t="s">
        <v>535</v>
      </c>
      <c r="I345" s="140" t="s">
        <v>535</v>
      </c>
      <c r="J345" s="141" t="s">
        <v>204</v>
      </c>
      <c r="K345" s="5" t="s">
        <v>1032</v>
      </c>
      <c r="L345" s="5"/>
      <c r="M345" s="5" t="s">
        <v>207</v>
      </c>
      <c r="N345" s="5"/>
      <c r="O345" s="5"/>
      <c r="P345" s="184">
        <v>525</v>
      </c>
      <c r="Q345" s="45"/>
      <c r="R345" s="45"/>
      <c r="S345" s="45"/>
      <c r="T345" s="45"/>
      <c r="U345" s="45"/>
      <c r="V345" s="53">
        <f t="shared" si="6"/>
        <v>525</v>
      </c>
      <c r="W345" s="22"/>
      <c r="X345" s="22" t="s">
        <v>243</v>
      </c>
      <c r="Y345" s="22"/>
      <c r="Z345" s="22"/>
      <c r="AA345" s="22"/>
      <c r="AB345" s="22"/>
      <c r="AC345" s="22"/>
      <c r="AD345" s="22"/>
      <c r="AE345" s="22"/>
      <c r="AF345" s="22"/>
      <c r="AG345" s="22"/>
      <c r="AH345" s="22"/>
      <c r="AI345" s="22"/>
      <c r="AJ345" s="22"/>
      <c r="AK345" s="22"/>
      <c r="AL345" s="22"/>
      <c r="AM345" s="22"/>
      <c r="AN345" s="22"/>
      <c r="AO345" s="22"/>
      <c r="AP345" s="22"/>
      <c r="AQ345" s="22"/>
      <c r="AR345" s="22"/>
      <c r="AS345" s="22"/>
      <c r="AT345" s="22"/>
      <c r="AU345" s="22"/>
      <c r="AV345" s="22"/>
      <c r="AW345" s="22"/>
      <c r="AX345" s="22"/>
      <c r="AY345" s="22"/>
      <c r="AZ345" s="22"/>
      <c r="BA345" s="5"/>
    </row>
    <row r="346" spans="1:53" ht="15" thickBot="1" x14ac:dyDescent="0.4">
      <c r="A346" s="16" t="s">
        <v>243</v>
      </c>
      <c r="B346" s="16" t="s">
        <v>535</v>
      </c>
      <c r="C346" s="16" t="s">
        <v>535</v>
      </c>
      <c r="D346" s="16" t="s">
        <v>535</v>
      </c>
      <c r="E346" s="16" t="s">
        <v>535</v>
      </c>
      <c r="F346" s="16" t="s">
        <v>535</v>
      </c>
      <c r="G346" s="16" t="s">
        <v>535</v>
      </c>
      <c r="H346" s="16" t="s">
        <v>535</v>
      </c>
      <c r="I346" s="140" t="s">
        <v>535</v>
      </c>
      <c r="J346" s="141" t="s">
        <v>204</v>
      </c>
      <c r="K346" s="5" t="s">
        <v>1033</v>
      </c>
      <c r="L346" s="5"/>
      <c r="M346" s="5" t="s">
        <v>207</v>
      </c>
      <c r="N346" s="5"/>
      <c r="O346" s="5"/>
      <c r="P346" s="184">
        <v>148</v>
      </c>
      <c r="Q346" s="45"/>
      <c r="R346" s="45"/>
      <c r="S346" s="45"/>
      <c r="T346" s="45"/>
      <c r="U346" s="45"/>
      <c r="V346" s="53">
        <f t="shared" si="6"/>
        <v>148</v>
      </c>
      <c r="W346" s="22"/>
      <c r="X346" s="22" t="s">
        <v>243</v>
      </c>
      <c r="Y346" s="22"/>
      <c r="Z346" s="22"/>
      <c r="AA346" s="22"/>
      <c r="AB346" s="22"/>
      <c r="AC346" s="22"/>
      <c r="AD346" s="22"/>
      <c r="AE346" s="22"/>
      <c r="AF346" s="22"/>
      <c r="AG346" s="22"/>
      <c r="AH346" s="22"/>
      <c r="AI346" s="22"/>
      <c r="AJ346" s="22"/>
      <c r="AK346" s="22"/>
      <c r="AL346" s="22"/>
      <c r="AM346" s="22"/>
      <c r="AN346" s="22"/>
      <c r="AO346" s="22"/>
      <c r="AP346" s="22"/>
      <c r="AQ346" s="22"/>
      <c r="AR346" s="22"/>
      <c r="AS346" s="22"/>
      <c r="AT346" s="22"/>
      <c r="AU346" s="22"/>
      <c r="AV346" s="22"/>
      <c r="AW346" s="22"/>
      <c r="AX346" s="22"/>
      <c r="AY346" s="22"/>
      <c r="AZ346" s="22"/>
      <c r="BA346" s="5"/>
    </row>
    <row r="347" spans="1:53" ht="15" thickBot="1" x14ac:dyDescent="0.4">
      <c r="A347" s="16" t="s">
        <v>243</v>
      </c>
      <c r="B347" s="16" t="s">
        <v>535</v>
      </c>
      <c r="C347" s="16" t="s">
        <v>535</v>
      </c>
      <c r="D347" s="16" t="s">
        <v>535</v>
      </c>
      <c r="E347" s="16" t="s">
        <v>535</v>
      </c>
      <c r="F347" s="16" t="s">
        <v>535</v>
      </c>
      <c r="G347" s="16" t="s">
        <v>535</v>
      </c>
      <c r="H347" s="16" t="s">
        <v>535</v>
      </c>
      <c r="I347" s="140" t="s">
        <v>535</v>
      </c>
      <c r="J347" s="141" t="s">
        <v>204</v>
      </c>
      <c r="K347" s="5" t="s">
        <v>1034</v>
      </c>
      <c r="L347" s="5"/>
      <c r="M347" s="5" t="s">
        <v>207</v>
      </c>
      <c r="N347" s="5"/>
      <c r="O347" s="5"/>
      <c r="P347" s="184">
        <v>12400</v>
      </c>
      <c r="Q347" s="45"/>
      <c r="R347" s="45"/>
      <c r="S347" s="45"/>
      <c r="T347" s="45"/>
      <c r="U347" s="45"/>
      <c r="V347" s="53">
        <f t="shared" si="6"/>
        <v>12400</v>
      </c>
      <c r="W347" s="22"/>
      <c r="X347" s="22" t="s">
        <v>243</v>
      </c>
      <c r="Y347" s="22"/>
      <c r="Z347" s="22"/>
      <c r="AA347" s="22"/>
      <c r="AB347" s="22"/>
      <c r="AC347" s="22"/>
      <c r="AD347" s="22"/>
      <c r="AE347" s="22"/>
      <c r="AF347" s="22"/>
      <c r="AG347" s="22"/>
      <c r="AH347" s="22"/>
      <c r="AI347" s="22"/>
      <c r="AJ347" s="22"/>
      <c r="AK347" s="22"/>
      <c r="AL347" s="22"/>
      <c r="AM347" s="22"/>
      <c r="AN347" s="22"/>
      <c r="AO347" s="22"/>
      <c r="AP347" s="22"/>
      <c r="AQ347" s="22"/>
      <c r="AR347" s="22"/>
      <c r="AS347" s="22"/>
      <c r="AT347" s="22"/>
      <c r="AU347" s="22"/>
      <c r="AV347" s="22"/>
      <c r="AW347" s="22"/>
      <c r="AX347" s="22"/>
      <c r="AY347" s="22"/>
      <c r="AZ347" s="22"/>
      <c r="BA347" s="5"/>
    </row>
    <row r="348" spans="1:53" ht="15" thickBot="1" x14ac:dyDescent="0.4">
      <c r="A348" s="16" t="s">
        <v>243</v>
      </c>
      <c r="B348" s="16" t="s">
        <v>535</v>
      </c>
      <c r="C348" s="16" t="s">
        <v>535</v>
      </c>
      <c r="D348" s="16" t="s">
        <v>535</v>
      </c>
      <c r="E348" s="16" t="s">
        <v>535</v>
      </c>
      <c r="F348" s="16" t="s">
        <v>535</v>
      </c>
      <c r="G348" s="16" t="s">
        <v>535</v>
      </c>
      <c r="H348" s="16" t="s">
        <v>535</v>
      </c>
      <c r="I348" s="140" t="s">
        <v>535</v>
      </c>
      <c r="J348" s="141" t="s">
        <v>204</v>
      </c>
      <c r="K348" s="5" t="s">
        <v>1035</v>
      </c>
      <c r="L348" s="5"/>
      <c r="M348" s="5" t="s">
        <v>207</v>
      </c>
      <c r="N348" s="5"/>
      <c r="O348" s="5"/>
      <c r="P348" s="184">
        <v>5560</v>
      </c>
      <c r="Q348" s="45"/>
      <c r="R348" s="45"/>
      <c r="S348" s="45"/>
      <c r="T348" s="45"/>
      <c r="U348" s="45"/>
      <c r="V348" s="53">
        <f t="shared" si="6"/>
        <v>5560</v>
      </c>
      <c r="W348" s="22"/>
      <c r="X348" s="22" t="s">
        <v>243</v>
      </c>
      <c r="Y348" s="22"/>
      <c r="Z348" s="22"/>
      <c r="AA348" s="22"/>
      <c r="AB348" s="22"/>
      <c r="AC348" s="22"/>
      <c r="AD348" s="22"/>
      <c r="AE348" s="22"/>
      <c r="AF348" s="22"/>
      <c r="AG348" s="22"/>
      <c r="AH348" s="22"/>
      <c r="AI348" s="22"/>
      <c r="AJ348" s="22"/>
      <c r="AK348" s="22"/>
      <c r="AL348" s="22"/>
      <c r="AM348" s="22"/>
      <c r="AN348" s="22"/>
      <c r="AO348" s="22"/>
      <c r="AP348" s="22"/>
      <c r="AQ348" s="22"/>
      <c r="AR348" s="22"/>
      <c r="AS348" s="22"/>
      <c r="AT348" s="22"/>
      <c r="AU348" s="22"/>
      <c r="AV348" s="22"/>
      <c r="AW348" s="22"/>
      <c r="AX348" s="22"/>
      <c r="AY348" s="22"/>
      <c r="AZ348" s="22"/>
      <c r="BA348" s="5"/>
    </row>
    <row r="349" spans="1:53" ht="15" thickBot="1" x14ac:dyDescent="0.4">
      <c r="A349" s="16" t="s">
        <v>243</v>
      </c>
      <c r="B349" s="16" t="s">
        <v>535</v>
      </c>
      <c r="C349" s="16" t="s">
        <v>535</v>
      </c>
      <c r="D349" s="16" t="s">
        <v>535</v>
      </c>
      <c r="E349" s="16" t="s">
        <v>535</v>
      </c>
      <c r="F349" s="16" t="s">
        <v>535</v>
      </c>
      <c r="G349" s="16" t="s">
        <v>535</v>
      </c>
      <c r="H349" s="16" t="s">
        <v>535</v>
      </c>
      <c r="I349" s="140" t="s">
        <v>535</v>
      </c>
      <c r="J349" s="141" t="s">
        <v>204</v>
      </c>
      <c r="K349" s="5" t="s">
        <v>1036</v>
      </c>
      <c r="L349" s="5"/>
      <c r="M349" s="5" t="s">
        <v>207</v>
      </c>
      <c r="N349" s="5"/>
      <c r="O349" s="5"/>
      <c r="P349" s="184">
        <v>523</v>
      </c>
      <c r="Q349" s="45"/>
      <c r="R349" s="45"/>
      <c r="S349" s="45"/>
      <c r="T349" s="45"/>
      <c r="U349" s="45"/>
      <c r="V349" s="53">
        <f t="shared" si="6"/>
        <v>523</v>
      </c>
      <c r="W349" s="22"/>
      <c r="X349" s="22" t="s">
        <v>243</v>
      </c>
      <c r="Y349" s="22"/>
      <c r="Z349" s="22"/>
      <c r="AA349" s="22"/>
      <c r="AB349" s="22"/>
      <c r="AC349" s="22"/>
      <c r="AD349" s="22"/>
      <c r="AE349" s="22"/>
      <c r="AF349" s="22"/>
      <c r="AG349" s="22"/>
      <c r="AH349" s="22"/>
      <c r="AI349" s="22"/>
      <c r="AJ349" s="22"/>
      <c r="AK349" s="22"/>
      <c r="AL349" s="22"/>
      <c r="AM349" s="22"/>
      <c r="AN349" s="22"/>
      <c r="AO349" s="22"/>
      <c r="AP349" s="22"/>
      <c r="AQ349" s="22"/>
      <c r="AR349" s="22"/>
      <c r="AS349" s="22"/>
      <c r="AT349" s="22"/>
      <c r="AU349" s="22"/>
      <c r="AV349" s="22"/>
      <c r="AW349" s="22"/>
      <c r="AX349" s="22"/>
      <c r="AY349" s="22"/>
      <c r="AZ349" s="22"/>
      <c r="BA349" s="5"/>
    </row>
    <row r="350" spans="1:53" ht="15" thickBot="1" x14ac:dyDescent="0.4">
      <c r="A350" s="16" t="s">
        <v>243</v>
      </c>
      <c r="B350" s="16" t="s">
        <v>535</v>
      </c>
      <c r="C350" s="16" t="s">
        <v>535</v>
      </c>
      <c r="D350" s="16" t="s">
        <v>535</v>
      </c>
      <c r="E350" s="16" t="s">
        <v>535</v>
      </c>
      <c r="F350" s="16" t="s">
        <v>535</v>
      </c>
      <c r="G350" s="16" t="s">
        <v>535</v>
      </c>
      <c r="H350" s="16" t="s">
        <v>535</v>
      </c>
      <c r="I350" s="140" t="s">
        <v>535</v>
      </c>
      <c r="J350" s="141" t="s">
        <v>204</v>
      </c>
      <c r="K350" s="5" t="s">
        <v>1037</v>
      </c>
      <c r="L350" s="5"/>
      <c r="M350" s="5" t="s">
        <v>207</v>
      </c>
      <c r="N350" s="5"/>
      <c r="O350" s="5"/>
      <c r="P350" s="184">
        <v>491</v>
      </c>
      <c r="Q350" s="45"/>
      <c r="R350" s="45"/>
      <c r="S350" s="45"/>
      <c r="T350" s="45"/>
      <c r="U350" s="45"/>
      <c r="V350" s="53">
        <f t="shared" si="6"/>
        <v>491</v>
      </c>
      <c r="W350" s="22"/>
      <c r="X350" s="22" t="s">
        <v>243</v>
      </c>
      <c r="Y350" s="22"/>
      <c r="Z350" s="22"/>
      <c r="AA350" s="22"/>
      <c r="AB350" s="22"/>
      <c r="AC350" s="22"/>
      <c r="AD350" s="22"/>
      <c r="AE350" s="22"/>
      <c r="AF350" s="22"/>
      <c r="AG350" s="22"/>
      <c r="AH350" s="22"/>
      <c r="AI350" s="22"/>
      <c r="AJ350" s="22"/>
      <c r="AK350" s="22"/>
      <c r="AL350" s="22"/>
      <c r="AM350" s="22"/>
      <c r="AN350" s="22"/>
      <c r="AO350" s="22"/>
      <c r="AP350" s="22"/>
      <c r="AQ350" s="22"/>
      <c r="AR350" s="22"/>
      <c r="AS350" s="22"/>
      <c r="AT350" s="22"/>
      <c r="AU350" s="22"/>
      <c r="AV350" s="22"/>
      <c r="AW350" s="22"/>
      <c r="AX350" s="22"/>
      <c r="AY350" s="22"/>
      <c r="AZ350" s="22"/>
      <c r="BA350" s="5"/>
    </row>
    <row r="351" spans="1:53" ht="15" thickBot="1" x14ac:dyDescent="0.4">
      <c r="A351" s="16" t="s">
        <v>243</v>
      </c>
      <c r="B351" s="16" t="s">
        <v>535</v>
      </c>
      <c r="C351" s="16" t="s">
        <v>535</v>
      </c>
      <c r="D351" s="16" t="s">
        <v>535</v>
      </c>
      <c r="E351" s="16" t="s">
        <v>535</v>
      </c>
      <c r="F351" s="16" t="s">
        <v>535</v>
      </c>
      <c r="G351" s="16" t="s">
        <v>535</v>
      </c>
      <c r="H351" s="16" t="s">
        <v>535</v>
      </c>
      <c r="I351" s="140" t="s">
        <v>535</v>
      </c>
      <c r="J351" s="141" t="s">
        <v>204</v>
      </c>
      <c r="K351" s="5" t="s">
        <v>1038</v>
      </c>
      <c r="L351" s="5"/>
      <c r="M351" s="5" t="s">
        <v>207</v>
      </c>
      <c r="N351" s="5"/>
      <c r="O351" s="5"/>
      <c r="P351" s="184">
        <v>654</v>
      </c>
      <c r="Q351" s="45"/>
      <c r="R351" s="45"/>
      <c r="S351" s="45"/>
      <c r="T351" s="45"/>
      <c r="U351" s="45"/>
      <c r="V351" s="53">
        <f t="shared" si="6"/>
        <v>654</v>
      </c>
      <c r="W351" s="22"/>
      <c r="X351" s="22" t="s">
        <v>243</v>
      </c>
      <c r="Y351" s="22"/>
      <c r="Z351" s="22"/>
      <c r="AA351" s="22"/>
      <c r="AB351" s="22"/>
      <c r="AC351" s="22"/>
      <c r="AD351" s="22"/>
      <c r="AE351" s="22"/>
      <c r="AF351" s="22"/>
      <c r="AG351" s="22"/>
      <c r="AH351" s="22"/>
      <c r="AI351" s="22"/>
      <c r="AJ351" s="22"/>
      <c r="AK351" s="22"/>
      <c r="AL351" s="22"/>
      <c r="AM351" s="22"/>
      <c r="AN351" s="22"/>
      <c r="AO351" s="22"/>
      <c r="AP351" s="22"/>
      <c r="AQ351" s="22"/>
      <c r="AR351" s="22"/>
      <c r="AS351" s="22"/>
      <c r="AT351" s="22"/>
      <c r="AU351" s="22"/>
      <c r="AV351" s="22"/>
      <c r="AW351" s="22"/>
      <c r="AX351" s="22"/>
      <c r="AY351" s="22"/>
      <c r="AZ351" s="22"/>
      <c r="BA351" s="5"/>
    </row>
    <row r="352" spans="1:53" ht="15" thickBot="1" x14ac:dyDescent="0.4">
      <c r="A352" s="16" t="s">
        <v>243</v>
      </c>
      <c r="B352" s="16" t="s">
        <v>535</v>
      </c>
      <c r="C352" s="16" t="s">
        <v>535</v>
      </c>
      <c r="D352" s="16" t="s">
        <v>535</v>
      </c>
      <c r="E352" s="16" t="s">
        <v>535</v>
      </c>
      <c r="F352" s="16" t="s">
        <v>535</v>
      </c>
      <c r="G352" s="16" t="s">
        <v>535</v>
      </c>
      <c r="H352" s="16" t="s">
        <v>535</v>
      </c>
      <c r="I352" s="140" t="s">
        <v>535</v>
      </c>
      <c r="J352" s="141" t="s">
        <v>204</v>
      </c>
      <c r="K352" s="5" t="s">
        <v>1039</v>
      </c>
      <c r="L352" s="5"/>
      <c r="M352" s="5" t="s">
        <v>207</v>
      </c>
      <c r="N352" s="5"/>
      <c r="O352" s="5"/>
      <c r="P352" s="184">
        <v>812</v>
      </c>
      <c r="Q352" s="45"/>
      <c r="R352" s="45"/>
      <c r="S352" s="45"/>
      <c r="T352" s="45"/>
      <c r="U352" s="45"/>
      <c r="V352" s="53">
        <f t="shared" si="6"/>
        <v>812</v>
      </c>
      <c r="W352" s="22"/>
      <c r="X352" s="22" t="s">
        <v>243</v>
      </c>
      <c r="Y352" s="22"/>
      <c r="Z352" s="22"/>
      <c r="AA352" s="22"/>
      <c r="AB352" s="22"/>
      <c r="AC352" s="22"/>
      <c r="AD352" s="22"/>
      <c r="AE352" s="22"/>
      <c r="AF352" s="22"/>
      <c r="AG352" s="22"/>
      <c r="AH352" s="22"/>
      <c r="AI352" s="22"/>
      <c r="AJ352" s="22"/>
      <c r="AK352" s="22"/>
      <c r="AL352" s="22"/>
      <c r="AM352" s="22"/>
      <c r="AN352" s="22"/>
      <c r="AO352" s="22"/>
      <c r="AP352" s="22"/>
      <c r="AQ352" s="22"/>
      <c r="AR352" s="22"/>
      <c r="AS352" s="22"/>
      <c r="AT352" s="22"/>
      <c r="AU352" s="22"/>
      <c r="AV352" s="22"/>
      <c r="AW352" s="22"/>
      <c r="AX352" s="22"/>
      <c r="AY352" s="22"/>
      <c r="AZ352" s="22"/>
      <c r="BA352" s="5"/>
    </row>
    <row r="353" spans="1:53" ht="15" thickBot="1" x14ac:dyDescent="0.4">
      <c r="A353" s="16" t="s">
        <v>243</v>
      </c>
      <c r="B353" s="16" t="s">
        <v>535</v>
      </c>
      <c r="C353" s="16" t="s">
        <v>535</v>
      </c>
      <c r="D353" s="16" t="s">
        <v>535</v>
      </c>
      <c r="E353" s="16" t="s">
        <v>535</v>
      </c>
      <c r="F353" s="16" t="s">
        <v>535</v>
      </c>
      <c r="G353" s="16" t="s">
        <v>535</v>
      </c>
      <c r="H353" s="16" t="s">
        <v>535</v>
      </c>
      <c r="I353" s="140" t="s">
        <v>535</v>
      </c>
      <c r="J353" s="141" t="s">
        <v>204</v>
      </c>
      <c r="K353" s="5" t="s">
        <v>1040</v>
      </c>
      <c r="L353" s="5"/>
      <c r="M353" s="5" t="s">
        <v>207</v>
      </c>
      <c r="N353" s="5"/>
      <c r="O353" s="5"/>
      <c r="P353" s="184">
        <v>301</v>
      </c>
      <c r="Q353" s="45"/>
      <c r="R353" s="45"/>
      <c r="S353" s="45"/>
      <c r="T353" s="45"/>
      <c r="U353" s="45"/>
      <c r="V353" s="53">
        <f t="shared" si="6"/>
        <v>301</v>
      </c>
      <c r="W353" s="22"/>
      <c r="X353" s="22" t="s">
        <v>243</v>
      </c>
      <c r="Y353" s="22"/>
      <c r="Z353" s="22"/>
      <c r="AA353" s="22"/>
      <c r="AB353" s="22"/>
      <c r="AC353" s="22"/>
      <c r="AD353" s="22"/>
      <c r="AE353" s="22"/>
      <c r="AF353" s="22"/>
      <c r="AG353" s="22"/>
      <c r="AH353" s="22"/>
      <c r="AI353" s="22"/>
      <c r="AJ353" s="22"/>
      <c r="AK353" s="22"/>
      <c r="AL353" s="22"/>
      <c r="AM353" s="22"/>
      <c r="AN353" s="22"/>
      <c r="AO353" s="22"/>
      <c r="AP353" s="22"/>
      <c r="AQ353" s="22"/>
      <c r="AR353" s="22"/>
      <c r="AS353" s="22"/>
      <c r="AT353" s="22"/>
      <c r="AU353" s="22"/>
      <c r="AV353" s="22"/>
      <c r="AW353" s="22"/>
      <c r="AX353" s="22"/>
      <c r="AY353" s="22"/>
      <c r="AZ353" s="22"/>
      <c r="BA353" s="5"/>
    </row>
    <row r="354" spans="1:53" ht="15" thickBot="1" x14ac:dyDescent="0.4">
      <c r="A354" s="16" t="s">
        <v>243</v>
      </c>
      <c r="B354" s="16" t="s">
        <v>535</v>
      </c>
      <c r="C354" s="16" t="s">
        <v>535</v>
      </c>
      <c r="D354" s="16" t="s">
        <v>535</v>
      </c>
      <c r="E354" s="16" t="s">
        <v>535</v>
      </c>
      <c r="F354" s="16" t="s">
        <v>535</v>
      </c>
      <c r="G354" s="16" t="s">
        <v>535</v>
      </c>
      <c r="H354" s="16" t="s">
        <v>535</v>
      </c>
      <c r="I354" s="140" t="s">
        <v>535</v>
      </c>
      <c r="J354" s="141" t="s">
        <v>204</v>
      </c>
      <c r="K354" s="5" t="s">
        <v>1041</v>
      </c>
      <c r="L354" s="5"/>
      <c r="M354" s="5" t="s">
        <v>207</v>
      </c>
      <c r="N354" s="5"/>
      <c r="O354" s="5"/>
      <c r="P354" s="184">
        <v>530</v>
      </c>
      <c r="Q354" s="45"/>
      <c r="R354" s="45"/>
      <c r="S354" s="45"/>
      <c r="T354" s="45"/>
      <c r="U354" s="45"/>
      <c r="V354" s="53">
        <f t="shared" si="6"/>
        <v>530</v>
      </c>
      <c r="W354" s="22"/>
      <c r="X354" s="22" t="s">
        <v>243</v>
      </c>
      <c r="Y354" s="22"/>
      <c r="Z354" s="22"/>
      <c r="AA354" s="22"/>
      <c r="AB354" s="22"/>
      <c r="AC354" s="22"/>
      <c r="AD354" s="22"/>
      <c r="AE354" s="22"/>
      <c r="AF354" s="22"/>
      <c r="AG354" s="22"/>
      <c r="AH354" s="22"/>
      <c r="AI354" s="22"/>
      <c r="AJ354" s="22"/>
      <c r="AK354" s="22"/>
      <c r="AL354" s="22"/>
      <c r="AM354" s="22"/>
      <c r="AN354" s="22"/>
      <c r="AO354" s="22"/>
      <c r="AP354" s="22"/>
      <c r="AQ354" s="22"/>
      <c r="AR354" s="22"/>
      <c r="AS354" s="22"/>
      <c r="AT354" s="22"/>
      <c r="AU354" s="22"/>
      <c r="AV354" s="22"/>
      <c r="AW354" s="22"/>
      <c r="AX354" s="22"/>
      <c r="AY354" s="22"/>
      <c r="AZ354" s="22"/>
      <c r="BA354" s="5"/>
    </row>
    <row r="355" spans="1:53" ht="15" thickBot="1" x14ac:dyDescent="0.4">
      <c r="A355" s="16" t="s">
        <v>243</v>
      </c>
      <c r="B355" s="16" t="s">
        <v>535</v>
      </c>
      <c r="C355" s="16" t="s">
        <v>535</v>
      </c>
      <c r="D355" s="16" t="s">
        <v>535</v>
      </c>
      <c r="E355" s="16" t="s">
        <v>535</v>
      </c>
      <c r="F355" s="16" t="s">
        <v>535</v>
      </c>
      <c r="G355" s="16" t="s">
        <v>535</v>
      </c>
      <c r="H355" s="16" t="s">
        <v>535</v>
      </c>
      <c r="I355" s="140" t="s">
        <v>535</v>
      </c>
      <c r="J355" s="141" t="s">
        <v>204</v>
      </c>
      <c r="K355" s="5" t="s">
        <v>1042</v>
      </c>
      <c r="L355" s="5"/>
      <c r="M355" s="5" t="s">
        <v>207</v>
      </c>
      <c r="N355" s="5"/>
      <c r="O355" s="5"/>
      <c r="P355" s="184">
        <v>889</v>
      </c>
      <c r="Q355" s="45"/>
      <c r="R355" s="45"/>
      <c r="S355" s="45"/>
      <c r="T355" s="45"/>
      <c r="U355" s="45"/>
      <c r="V355" s="53">
        <f t="shared" si="6"/>
        <v>889</v>
      </c>
      <c r="W355" s="22"/>
      <c r="X355" s="22" t="s">
        <v>243</v>
      </c>
      <c r="Y355" s="22"/>
      <c r="Z355" s="22"/>
      <c r="AA355" s="22"/>
      <c r="AB355" s="22"/>
      <c r="AC355" s="22"/>
      <c r="AD355" s="22"/>
      <c r="AE355" s="22"/>
      <c r="AF355" s="22"/>
      <c r="AG355" s="22"/>
      <c r="AH355" s="22"/>
      <c r="AI355" s="22"/>
      <c r="AJ355" s="22"/>
      <c r="AK355" s="22"/>
      <c r="AL355" s="22"/>
      <c r="AM355" s="22"/>
      <c r="AN355" s="22"/>
      <c r="AO355" s="22"/>
      <c r="AP355" s="22"/>
      <c r="AQ355" s="22"/>
      <c r="AR355" s="22"/>
      <c r="AS355" s="22"/>
      <c r="AT355" s="22"/>
      <c r="AU355" s="22"/>
      <c r="AV355" s="22"/>
      <c r="AW355" s="22"/>
      <c r="AX355" s="22"/>
      <c r="AY355" s="22"/>
      <c r="AZ355" s="22"/>
      <c r="BA355" s="5"/>
    </row>
    <row r="356" spans="1:53" ht="15" thickBot="1" x14ac:dyDescent="0.4">
      <c r="A356" s="16" t="s">
        <v>243</v>
      </c>
      <c r="B356" s="16" t="s">
        <v>535</v>
      </c>
      <c r="C356" s="16" t="s">
        <v>535</v>
      </c>
      <c r="D356" s="16" t="s">
        <v>535</v>
      </c>
      <c r="E356" s="16" t="s">
        <v>535</v>
      </c>
      <c r="F356" s="16" t="s">
        <v>535</v>
      </c>
      <c r="G356" s="16" t="s">
        <v>535</v>
      </c>
      <c r="H356" s="16" t="s">
        <v>535</v>
      </c>
      <c r="I356" s="140" t="s">
        <v>535</v>
      </c>
      <c r="J356" s="141" t="s">
        <v>204</v>
      </c>
      <c r="K356" s="5" t="s">
        <v>1043</v>
      </c>
      <c r="L356" s="5"/>
      <c r="M356" s="5" t="s">
        <v>207</v>
      </c>
      <c r="N356" s="5"/>
      <c r="O356" s="5"/>
      <c r="P356" s="184">
        <v>413</v>
      </c>
      <c r="Q356" s="45"/>
      <c r="R356" s="45"/>
      <c r="S356" s="45"/>
      <c r="T356" s="45"/>
      <c r="U356" s="45"/>
      <c r="V356" s="53">
        <f t="shared" si="6"/>
        <v>413</v>
      </c>
      <c r="W356" s="22"/>
      <c r="X356" s="22" t="s">
        <v>243</v>
      </c>
      <c r="Y356" s="22"/>
      <c r="Z356" s="22"/>
      <c r="AA356" s="22"/>
      <c r="AB356" s="22"/>
      <c r="AC356" s="22"/>
      <c r="AD356" s="22"/>
      <c r="AE356" s="22"/>
      <c r="AF356" s="22"/>
      <c r="AG356" s="22"/>
      <c r="AH356" s="22"/>
      <c r="AI356" s="22"/>
      <c r="AJ356" s="22"/>
      <c r="AK356" s="22"/>
      <c r="AL356" s="22"/>
      <c r="AM356" s="22"/>
      <c r="AN356" s="22"/>
      <c r="AO356" s="22"/>
      <c r="AP356" s="22"/>
      <c r="AQ356" s="22"/>
      <c r="AR356" s="22"/>
      <c r="AS356" s="22"/>
      <c r="AT356" s="22"/>
      <c r="AU356" s="22"/>
      <c r="AV356" s="22"/>
      <c r="AW356" s="22"/>
      <c r="AX356" s="22"/>
      <c r="AY356" s="22"/>
      <c r="AZ356" s="22"/>
      <c r="BA356" s="5"/>
    </row>
    <row r="357" spans="1:53" ht="15" thickBot="1" x14ac:dyDescent="0.4">
      <c r="A357" s="16" t="s">
        <v>243</v>
      </c>
      <c r="B357" s="16" t="s">
        <v>535</v>
      </c>
      <c r="C357" s="16" t="s">
        <v>535</v>
      </c>
      <c r="D357" s="16" t="s">
        <v>535</v>
      </c>
      <c r="E357" s="16" t="s">
        <v>535</v>
      </c>
      <c r="F357" s="16" t="s">
        <v>535</v>
      </c>
      <c r="G357" s="16" t="s">
        <v>535</v>
      </c>
      <c r="H357" s="16" t="s">
        <v>535</v>
      </c>
      <c r="I357" s="140" t="s">
        <v>535</v>
      </c>
      <c r="J357" s="141" t="s">
        <v>204</v>
      </c>
      <c r="K357" s="5" t="s">
        <v>1044</v>
      </c>
      <c r="L357" s="5"/>
      <c r="M357" s="5" t="s">
        <v>207</v>
      </c>
      <c r="N357" s="5"/>
      <c r="O357" s="5"/>
      <c r="P357" s="184">
        <v>421</v>
      </c>
      <c r="Q357" s="45"/>
      <c r="R357" s="45"/>
      <c r="S357" s="45"/>
      <c r="T357" s="45"/>
      <c r="U357" s="45"/>
      <c r="V357" s="53">
        <f t="shared" si="6"/>
        <v>421</v>
      </c>
      <c r="W357" s="22"/>
      <c r="X357" s="22" t="s">
        <v>243</v>
      </c>
      <c r="Y357" s="22"/>
      <c r="Z357" s="22"/>
      <c r="AA357" s="22"/>
      <c r="AB357" s="22"/>
      <c r="AC357" s="22"/>
      <c r="AD357" s="22"/>
      <c r="AE357" s="22"/>
      <c r="AF357" s="22"/>
      <c r="AG357" s="22"/>
      <c r="AH357" s="22"/>
      <c r="AI357" s="22"/>
      <c r="AJ357" s="22"/>
      <c r="AK357" s="22"/>
      <c r="AL357" s="22"/>
      <c r="AM357" s="22"/>
      <c r="AN357" s="22"/>
      <c r="AO357" s="22"/>
      <c r="AP357" s="22"/>
      <c r="AQ357" s="22"/>
      <c r="AR357" s="22"/>
      <c r="AS357" s="22"/>
      <c r="AT357" s="22"/>
      <c r="AU357" s="22"/>
      <c r="AV357" s="22"/>
      <c r="AW357" s="22"/>
      <c r="AX357" s="22"/>
      <c r="AY357" s="22"/>
      <c r="AZ357" s="22"/>
      <c r="BA357" s="5"/>
    </row>
    <row r="358" spans="1:53" ht="15" thickBot="1" x14ac:dyDescent="0.4">
      <c r="A358" s="16" t="s">
        <v>243</v>
      </c>
      <c r="B358" s="16" t="s">
        <v>535</v>
      </c>
      <c r="C358" s="16" t="s">
        <v>535</v>
      </c>
      <c r="D358" s="16" t="s">
        <v>535</v>
      </c>
      <c r="E358" s="16" t="s">
        <v>535</v>
      </c>
      <c r="F358" s="16" t="s">
        <v>535</v>
      </c>
      <c r="G358" s="16" t="s">
        <v>535</v>
      </c>
      <c r="H358" s="16" t="s">
        <v>535</v>
      </c>
      <c r="I358" s="140" t="s">
        <v>535</v>
      </c>
      <c r="J358" s="141" t="s">
        <v>204</v>
      </c>
      <c r="K358" s="5" t="s">
        <v>1045</v>
      </c>
      <c r="L358" s="5"/>
      <c r="M358" s="5" t="s">
        <v>207</v>
      </c>
      <c r="N358" s="5"/>
      <c r="O358" s="5"/>
      <c r="P358" s="184">
        <v>57</v>
      </c>
      <c r="Q358" s="45"/>
      <c r="R358" s="45"/>
      <c r="S358" s="45"/>
      <c r="T358" s="45"/>
      <c r="U358" s="45"/>
      <c r="V358" s="53">
        <f t="shared" si="6"/>
        <v>57</v>
      </c>
      <c r="W358" s="22"/>
      <c r="X358" s="22" t="s">
        <v>243</v>
      </c>
      <c r="Y358" s="22"/>
      <c r="Z358" s="22"/>
      <c r="AA358" s="22"/>
      <c r="AB358" s="22"/>
      <c r="AC358" s="22"/>
      <c r="AD358" s="22"/>
      <c r="AE358" s="22"/>
      <c r="AF358" s="22"/>
      <c r="AG358" s="22"/>
      <c r="AH358" s="22"/>
      <c r="AI358" s="22"/>
      <c r="AJ358" s="22"/>
      <c r="AK358" s="22"/>
      <c r="AL358" s="22"/>
      <c r="AM358" s="22"/>
      <c r="AN358" s="22"/>
      <c r="AO358" s="22"/>
      <c r="AP358" s="22"/>
      <c r="AQ358" s="22"/>
      <c r="AR358" s="22"/>
      <c r="AS358" s="22"/>
      <c r="AT358" s="22"/>
      <c r="AU358" s="22"/>
      <c r="AV358" s="22"/>
      <c r="AW358" s="22"/>
      <c r="AX358" s="22"/>
      <c r="AY358" s="22"/>
      <c r="AZ358" s="22"/>
      <c r="BA358" s="5"/>
    </row>
    <row r="359" spans="1:53" ht="26.5" thickBot="1" x14ac:dyDescent="0.4">
      <c r="A359" s="16" t="s">
        <v>243</v>
      </c>
      <c r="B359" s="16" t="s">
        <v>535</v>
      </c>
      <c r="C359" s="16" t="s">
        <v>535</v>
      </c>
      <c r="D359" s="16" t="s">
        <v>535</v>
      </c>
      <c r="E359" s="16" t="s">
        <v>535</v>
      </c>
      <c r="F359" s="16" t="s">
        <v>535</v>
      </c>
      <c r="G359" s="16" t="s">
        <v>535</v>
      </c>
      <c r="H359" s="16" t="s">
        <v>535</v>
      </c>
      <c r="I359" s="140" t="s">
        <v>535</v>
      </c>
      <c r="J359" s="141" t="s">
        <v>204</v>
      </c>
      <c r="K359" s="5" t="s">
        <v>1046</v>
      </c>
      <c r="L359" s="5"/>
      <c r="M359" s="5" t="s">
        <v>207</v>
      </c>
      <c r="N359" s="5"/>
      <c r="O359" s="5"/>
      <c r="P359" s="184">
        <v>2820</v>
      </c>
      <c r="Q359" s="45"/>
      <c r="R359" s="45"/>
      <c r="S359" s="45"/>
      <c r="T359" s="45"/>
      <c r="U359" s="45"/>
      <c r="V359" s="53">
        <f t="shared" si="6"/>
        <v>2820</v>
      </c>
      <c r="W359" s="22"/>
      <c r="X359" s="22" t="s">
        <v>243</v>
      </c>
      <c r="Y359" s="22"/>
      <c r="Z359" s="22"/>
      <c r="AA359" s="22"/>
      <c r="AB359" s="22"/>
      <c r="AC359" s="22"/>
      <c r="AD359" s="22"/>
      <c r="AE359" s="22"/>
      <c r="AF359" s="22"/>
      <c r="AG359" s="22"/>
      <c r="AH359" s="22"/>
      <c r="AI359" s="22"/>
      <c r="AJ359" s="22"/>
      <c r="AK359" s="22"/>
      <c r="AL359" s="22"/>
      <c r="AM359" s="22"/>
      <c r="AN359" s="22"/>
      <c r="AO359" s="22"/>
      <c r="AP359" s="22"/>
      <c r="AQ359" s="22"/>
      <c r="AR359" s="22"/>
      <c r="AS359" s="22"/>
      <c r="AT359" s="22"/>
      <c r="AU359" s="22"/>
      <c r="AV359" s="22"/>
      <c r="AW359" s="22"/>
      <c r="AX359" s="22"/>
      <c r="AY359" s="22"/>
      <c r="AZ359" s="22"/>
      <c r="BA359" s="5"/>
    </row>
    <row r="360" spans="1:53" ht="15" thickBot="1" x14ac:dyDescent="0.4">
      <c r="A360" s="16" t="s">
        <v>243</v>
      </c>
      <c r="B360" s="16" t="s">
        <v>535</v>
      </c>
      <c r="C360" s="16" t="s">
        <v>535</v>
      </c>
      <c r="D360" s="16" t="s">
        <v>535</v>
      </c>
      <c r="E360" s="16" t="s">
        <v>535</v>
      </c>
      <c r="F360" s="16" t="s">
        <v>535</v>
      </c>
      <c r="G360" s="16" t="s">
        <v>535</v>
      </c>
      <c r="H360" s="16" t="s">
        <v>535</v>
      </c>
      <c r="I360" s="140" t="s">
        <v>535</v>
      </c>
      <c r="J360" s="141" t="s">
        <v>204</v>
      </c>
      <c r="K360" s="5" t="s">
        <v>1047</v>
      </c>
      <c r="L360" s="5"/>
      <c r="M360" s="5" t="s">
        <v>207</v>
      </c>
      <c r="N360" s="5"/>
      <c r="O360" s="5"/>
      <c r="P360" s="180">
        <v>5350</v>
      </c>
      <c r="Q360" s="45"/>
      <c r="R360" s="45"/>
      <c r="S360" s="45"/>
      <c r="T360" s="45"/>
      <c r="U360" s="45"/>
      <c r="V360" s="53">
        <f t="shared" si="6"/>
        <v>5350</v>
      </c>
      <c r="W360" s="22"/>
      <c r="X360" s="22" t="s">
        <v>243</v>
      </c>
      <c r="Y360" s="22"/>
      <c r="Z360" s="22"/>
      <c r="AA360" s="22"/>
      <c r="AB360" s="22"/>
      <c r="AC360" s="22"/>
      <c r="AD360" s="22"/>
      <c r="AE360" s="22"/>
      <c r="AF360" s="22"/>
      <c r="AG360" s="22"/>
      <c r="AH360" s="22"/>
      <c r="AI360" s="22"/>
      <c r="AJ360" s="22"/>
      <c r="AK360" s="22"/>
      <c r="AL360" s="22"/>
      <c r="AM360" s="22"/>
      <c r="AN360" s="22"/>
      <c r="AO360" s="22"/>
      <c r="AP360" s="22"/>
      <c r="AQ360" s="22"/>
      <c r="AR360" s="22"/>
      <c r="AS360" s="22"/>
      <c r="AT360" s="22"/>
      <c r="AU360" s="22"/>
      <c r="AV360" s="22"/>
      <c r="AW360" s="22"/>
      <c r="AX360" s="22"/>
      <c r="AY360" s="22"/>
      <c r="AZ360" s="22"/>
      <c r="BA360" s="5"/>
    </row>
    <row r="361" spans="1:53" ht="15" thickBot="1" x14ac:dyDescent="0.4">
      <c r="A361" s="16" t="s">
        <v>243</v>
      </c>
      <c r="B361" s="16" t="s">
        <v>535</v>
      </c>
      <c r="C361" s="16" t="s">
        <v>535</v>
      </c>
      <c r="D361" s="16" t="s">
        <v>535</v>
      </c>
      <c r="E361" s="16" t="s">
        <v>535</v>
      </c>
      <c r="F361" s="16" t="s">
        <v>535</v>
      </c>
      <c r="G361" s="16" t="s">
        <v>535</v>
      </c>
      <c r="H361" s="16" t="s">
        <v>535</v>
      </c>
      <c r="I361" s="140" t="s">
        <v>535</v>
      </c>
      <c r="J361" s="141" t="s">
        <v>204</v>
      </c>
      <c r="K361" s="5" t="s">
        <v>1048</v>
      </c>
      <c r="L361" s="5"/>
      <c r="M361" s="5" t="s">
        <v>207</v>
      </c>
      <c r="N361" s="5"/>
      <c r="O361" s="5"/>
      <c r="P361" s="180">
        <v>2910</v>
      </c>
      <c r="Q361" s="45"/>
      <c r="R361" s="45"/>
      <c r="S361" s="45"/>
      <c r="T361" s="45"/>
      <c r="U361" s="45"/>
      <c r="V361" s="53">
        <f t="shared" si="6"/>
        <v>2910</v>
      </c>
      <c r="W361" s="22"/>
      <c r="X361" s="22" t="s">
        <v>243</v>
      </c>
      <c r="Y361" s="22"/>
      <c r="Z361" s="22"/>
      <c r="AA361" s="22"/>
      <c r="AB361" s="22"/>
      <c r="AC361" s="22"/>
      <c r="AD361" s="22"/>
      <c r="AE361" s="22"/>
      <c r="AF361" s="22"/>
      <c r="AG361" s="22"/>
      <c r="AH361" s="22"/>
      <c r="AI361" s="22"/>
      <c r="AJ361" s="22"/>
      <c r="AK361" s="22"/>
      <c r="AL361" s="22"/>
      <c r="AM361" s="22"/>
      <c r="AN361" s="22"/>
      <c r="AO361" s="22"/>
      <c r="AP361" s="22"/>
      <c r="AQ361" s="22"/>
      <c r="AR361" s="22"/>
      <c r="AS361" s="22"/>
      <c r="AT361" s="22"/>
      <c r="AU361" s="22"/>
      <c r="AV361" s="22"/>
      <c r="AW361" s="22"/>
      <c r="AX361" s="22"/>
      <c r="AY361" s="22"/>
      <c r="AZ361" s="22"/>
      <c r="BA361" s="5"/>
    </row>
    <row r="362" spans="1:53" ht="26.5" thickBot="1" x14ac:dyDescent="0.4">
      <c r="A362" s="16" t="s">
        <v>243</v>
      </c>
      <c r="B362" s="16" t="s">
        <v>535</v>
      </c>
      <c r="C362" s="16" t="s">
        <v>535</v>
      </c>
      <c r="D362" s="16" t="s">
        <v>535</v>
      </c>
      <c r="E362" s="16" t="s">
        <v>535</v>
      </c>
      <c r="F362" s="16" t="s">
        <v>535</v>
      </c>
      <c r="G362" s="16" t="s">
        <v>535</v>
      </c>
      <c r="H362" s="16" t="s">
        <v>535</v>
      </c>
      <c r="I362" s="140" t="s">
        <v>535</v>
      </c>
      <c r="J362" s="141" t="s">
        <v>204</v>
      </c>
      <c r="K362" s="5" t="s">
        <v>1049</v>
      </c>
      <c r="L362" s="5"/>
      <c r="M362" s="5" t="s">
        <v>207</v>
      </c>
      <c r="N362" s="5"/>
      <c r="O362" s="5"/>
      <c r="P362" s="180">
        <v>17400</v>
      </c>
      <c r="Q362" s="45"/>
      <c r="R362" s="45"/>
      <c r="S362" s="45"/>
      <c r="T362" s="45"/>
      <c r="U362" s="45"/>
      <c r="V362" s="53">
        <f t="shared" si="6"/>
        <v>17400</v>
      </c>
      <c r="W362" s="22"/>
      <c r="X362" s="22" t="s">
        <v>243</v>
      </c>
      <c r="Y362" s="22"/>
      <c r="Z362" s="22"/>
      <c r="AA362" s="22"/>
      <c r="AB362" s="22"/>
      <c r="AC362" s="22"/>
      <c r="AD362" s="22"/>
      <c r="AE362" s="22"/>
      <c r="AF362" s="22"/>
      <c r="AG362" s="22"/>
      <c r="AH362" s="22"/>
      <c r="AI362" s="22"/>
      <c r="AJ362" s="22"/>
      <c r="AK362" s="22"/>
      <c r="AL362" s="22"/>
      <c r="AM362" s="22"/>
      <c r="AN362" s="22"/>
      <c r="AO362" s="22"/>
      <c r="AP362" s="22"/>
      <c r="AQ362" s="22"/>
      <c r="AR362" s="22"/>
      <c r="AS362" s="22"/>
      <c r="AT362" s="22"/>
      <c r="AU362" s="22"/>
      <c r="AV362" s="22"/>
      <c r="AW362" s="22"/>
      <c r="AX362" s="22"/>
      <c r="AY362" s="22"/>
      <c r="AZ362" s="22"/>
      <c r="BA362" s="5"/>
    </row>
    <row r="363" spans="1:53" ht="15" thickBot="1" x14ac:dyDescent="0.4">
      <c r="A363" s="16" t="s">
        <v>243</v>
      </c>
      <c r="B363" s="16" t="s">
        <v>535</v>
      </c>
      <c r="C363" s="16" t="s">
        <v>535</v>
      </c>
      <c r="D363" s="16" t="s">
        <v>535</v>
      </c>
      <c r="E363" s="16" t="s">
        <v>535</v>
      </c>
      <c r="F363" s="16" t="s">
        <v>535</v>
      </c>
      <c r="G363" s="16" t="s">
        <v>535</v>
      </c>
      <c r="H363" s="16" t="s">
        <v>535</v>
      </c>
      <c r="I363" s="140" t="s">
        <v>535</v>
      </c>
      <c r="J363" s="141" t="s">
        <v>204</v>
      </c>
      <c r="K363" s="5" t="s">
        <v>1050</v>
      </c>
      <c r="L363" s="5"/>
      <c r="M363" s="5" t="s">
        <v>207</v>
      </c>
      <c r="N363" s="5"/>
      <c r="O363" s="5"/>
      <c r="P363" s="180">
        <v>9710</v>
      </c>
      <c r="Q363" s="45"/>
      <c r="R363" s="45"/>
      <c r="S363" s="45"/>
      <c r="T363" s="45"/>
      <c r="U363" s="45"/>
      <c r="V363" s="53">
        <f t="shared" si="6"/>
        <v>9710</v>
      </c>
      <c r="W363" s="22"/>
      <c r="X363" s="22" t="s">
        <v>243</v>
      </c>
      <c r="Y363" s="22"/>
      <c r="Z363" s="22"/>
      <c r="AA363" s="22"/>
      <c r="AB363" s="22"/>
      <c r="AC363" s="22"/>
      <c r="AD363" s="22"/>
      <c r="AE363" s="22"/>
      <c r="AF363" s="22"/>
      <c r="AG363" s="22"/>
      <c r="AH363" s="22"/>
      <c r="AI363" s="22"/>
      <c r="AJ363" s="22"/>
      <c r="AK363" s="22"/>
      <c r="AL363" s="22"/>
      <c r="AM363" s="22"/>
      <c r="AN363" s="22"/>
      <c r="AO363" s="22"/>
      <c r="AP363" s="22"/>
      <c r="AQ363" s="22"/>
      <c r="AR363" s="22"/>
      <c r="AS363" s="22"/>
      <c r="AT363" s="22"/>
      <c r="AU363" s="22"/>
      <c r="AV363" s="22"/>
      <c r="AW363" s="22"/>
      <c r="AX363" s="22"/>
      <c r="AY363" s="22"/>
      <c r="AZ363" s="22"/>
      <c r="BA363" s="5"/>
    </row>
    <row r="364" spans="1:53" ht="15" thickBot="1" x14ac:dyDescent="0.4">
      <c r="A364" s="16" t="s">
        <v>243</v>
      </c>
      <c r="B364" s="16" t="s">
        <v>535</v>
      </c>
      <c r="C364" s="16" t="s">
        <v>535</v>
      </c>
      <c r="D364" s="16" t="s">
        <v>535</v>
      </c>
      <c r="E364" s="16" t="s">
        <v>535</v>
      </c>
      <c r="F364" s="16" t="s">
        <v>535</v>
      </c>
      <c r="G364" s="16" t="s">
        <v>535</v>
      </c>
      <c r="H364" s="16" t="s">
        <v>535</v>
      </c>
      <c r="I364" s="140" t="s">
        <v>535</v>
      </c>
      <c r="J364" s="141" t="s">
        <v>204</v>
      </c>
      <c r="K364" s="5" t="s">
        <v>1051</v>
      </c>
      <c r="L364" s="5"/>
      <c r="M364" s="5" t="s">
        <v>207</v>
      </c>
      <c r="N364" s="5"/>
      <c r="O364" s="5"/>
      <c r="P364" s="180">
        <v>1</v>
      </c>
      <c r="Q364" s="45"/>
      <c r="R364" s="45"/>
      <c r="S364" s="45"/>
      <c r="T364" s="45"/>
      <c r="U364" s="45"/>
      <c r="V364" s="53">
        <f t="shared" si="6"/>
        <v>1</v>
      </c>
      <c r="W364" s="22"/>
      <c r="X364" s="22" t="s">
        <v>243</v>
      </c>
      <c r="Y364" s="22"/>
      <c r="Z364" s="22"/>
      <c r="AA364" s="22"/>
      <c r="AB364" s="22"/>
      <c r="AC364" s="22"/>
      <c r="AD364" s="22"/>
      <c r="AE364" s="22"/>
      <c r="AF364" s="22"/>
      <c r="AG364" s="22"/>
      <c r="AH364" s="22"/>
      <c r="AI364" s="22"/>
      <c r="AJ364" s="22"/>
      <c r="AK364" s="22"/>
      <c r="AL364" s="22"/>
      <c r="AM364" s="22"/>
      <c r="AN364" s="22"/>
      <c r="AO364" s="22"/>
      <c r="AP364" s="22"/>
      <c r="AQ364" s="22"/>
      <c r="AR364" s="22"/>
      <c r="AS364" s="22"/>
      <c r="AT364" s="22"/>
      <c r="AU364" s="22"/>
      <c r="AV364" s="22"/>
      <c r="AW364" s="22"/>
      <c r="AX364" s="22"/>
      <c r="AY364" s="22"/>
      <c r="AZ364" s="22"/>
      <c r="BA364" s="5"/>
    </row>
    <row r="365" spans="1:53" ht="15" thickBot="1" x14ac:dyDescent="0.4">
      <c r="A365" s="16" t="s">
        <v>243</v>
      </c>
      <c r="B365" s="16" t="s">
        <v>535</v>
      </c>
      <c r="C365" s="16" t="s">
        <v>535</v>
      </c>
      <c r="D365" s="16" t="s">
        <v>535</v>
      </c>
      <c r="E365" s="16" t="s">
        <v>535</v>
      </c>
      <c r="F365" s="16" t="s">
        <v>535</v>
      </c>
      <c r="G365" s="16" t="s">
        <v>535</v>
      </c>
      <c r="H365" s="16" t="s">
        <v>535</v>
      </c>
      <c r="I365" s="140" t="s">
        <v>535</v>
      </c>
      <c r="J365" s="141" t="s">
        <v>204</v>
      </c>
      <c r="K365" s="5" t="s">
        <v>1052</v>
      </c>
      <c r="L365" s="5"/>
      <c r="M365" s="5" t="s">
        <v>207</v>
      </c>
      <c r="N365" s="5"/>
      <c r="O365" s="5"/>
      <c r="P365" s="180">
        <v>9</v>
      </c>
      <c r="Q365" s="45"/>
      <c r="R365" s="45"/>
      <c r="S365" s="45"/>
      <c r="T365" s="45"/>
      <c r="U365" s="45"/>
      <c r="V365" s="53">
        <f t="shared" si="6"/>
        <v>9</v>
      </c>
      <c r="W365" s="22"/>
      <c r="X365" s="22" t="s">
        <v>243</v>
      </c>
      <c r="Y365" s="22"/>
      <c r="Z365" s="22"/>
      <c r="AA365" s="22"/>
      <c r="AB365" s="22"/>
      <c r="AC365" s="22"/>
      <c r="AD365" s="22"/>
      <c r="AE365" s="22"/>
      <c r="AF365" s="22"/>
      <c r="AG365" s="22"/>
      <c r="AH365" s="22"/>
      <c r="AI365" s="22"/>
      <c r="AJ365" s="22"/>
      <c r="AK365" s="22"/>
      <c r="AL365" s="22"/>
      <c r="AM365" s="22"/>
      <c r="AN365" s="22"/>
      <c r="AO365" s="22"/>
      <c r="AP365" s="22"/>
      <c r="AQ365" s="22"/>
      <c r="AR365" s="22"/>
      <c r="AS365" s="22"/>
      <c r="AT365" s="22"/>
      <c r="AU365" s="22"/>
      <c r="AV365" s="22"/>
      <c r="AW365" s="22"/>
      <c r="AX365" s="22"/>
      <c r="AY365" s="22"/>
      <c r="AZ365" s="22"/>
      <c r="BA365" s="5"/>
    </row>
    <row r="366" spans="1:53" ht="15" thickBot="1" x14ac:dyDescent="0.4">
      <c r="A366" s="16" t="s">
        <v>243</v>
      </c>
      <c r="B366" s="16" t="s">
        <v>535</v>
      </c>
      <c r="C366" s="16" t="s">
        <v>535</v>
      </c>
      <c r="D366" s="16" t="s">
        <v>535</v>
      </c>
      <c r="E366" s="16" t="s">
        <v>535</v>
      </c>
      <c r="F366" s="16" t="s">
        <v>535</v>
      </c>
      <c r="G366" s="16" t="s">
        <v>535</v>
      </c>
      <c r="H366" s="16" t="s">
        <v>535</v>
      </c>
      <c r="I366" s="140" t="s">
        <v>535</v>
      </c>
      <c r="J366" s="141" t="s">
        <v>204</v>
      </c>
      <c r="K366" s="5" t="s">
        <v>1053</v>
      </c>
      <c r="L366" s="5"/>
      <c r="M366" s="5" t="s">
        <v>207</v>
      </c>
      <c r="N366" s="5"/>
      <c r="O366" s="5"/>
      <c r="P366" s="180">
        <v>12</v>
      </c>
      <c r="Q366" s="45"/>
      <c r="R366" s="45"/>
      <c r="S366" s="45"/>
      <c r="T366" s="45"/>
      <c r="U366" s="45"/>
      <c r="V366" s="53">
        <f t="shared" si="6"/>
        <v>12</v>
      </c>
      <c r="W366" s="22"/>
      <c r="X366" s="22" t="s">
        <v>243</v>
      </c>
      <c r="Y366" s="22"/>
      <c r="Z366" s="22"/>
      <c r="AA366" s="22"/>
      <c r="AB366" s="22"/>
      <c r="AC366" s="22"/>
      <c r="AD366" s="22"/>
      <c r="AE366" s="22"/>
      <c r="AF366" s="22"/>
      <c r="AG366" s="22"/>
      <c r="AH366" s="22"/>
      <c r="AI366" s="22"/>
      <c r="AJ366" s="22"/>
      <c r="AK366" s="22"/>
      <c r="AL366" s="22"/>
      <c r="AM366" s="22"/>
      <c r="AN366" s="22"/>
      <c r="AO366" s="22"/>
      <c r="AP366" s="22"/>
      <c r="AQ366" s="22"/>
      <c r="AR366" s="22"/>
      <c r="AS366" s="22"/>
      <c r="AT366" s="22"/>
      <c r="AU366" s="22"/>
      <c r="AV366" s="22"/>
      <c r="AW366" s="22"/>
      <c r="AX366" s="22"/>
      <c r="AY366" s="22"/>
      <c r="AZ366" s="22"/>
      <c r="BA366" s="5"/>
    </row>
    <row r="367" spans="1:53" ht="15" thickBot="1" x14ac:dyDescent="0.4">
      <c r="A367" s="16" t="s">
        <v>243</v>
      </c>
      <c r="B367" s="16" t="s">
        <v>535</v>
      </c>
      <c r="C367" s="16" t="s">
        <v>535</v>
      </c>
      <c r="D367" s="16" t="s">
        <v>535</v>
      </c>
      <c r="E367" s="16" t="s">
        <v>535</v>
      </c>
      <c r="F367" s="16" t="s">
        <v>535</v>
      </c>
      <c r="G367" s="16" t="s">
        <v>535</v>
      </c>
      <c r="H367" s="16" t="s">
        <v>535</v>
      </c>
      <c r="I367" s="140" t="s">
        <v>535</v>
      </c>
      <c r="J367" s="141" t="s">
        <v>204</v>
      </c>
      <c r="K367" s="5" t="s">
        <v>1054</v>
      </c>
      <c r="L367" s="5"/>
      <c r="M367" s="5" t="s">
        <v>207</v>
      </c>
      <c r="N367" s="5"/>
      <c r="O367" s="5"/>
      <c r="P367" s="180">
        <v>0.06</v>
      </c>
      <c r="Q367" s="45"/>
      <c r="R367" s="45"/>
      <c r="S367" s="45"/>
      <c r="T367" s="45"/>
      <c r="U367" s="45"/>
      <c r="V367" s="53">
        <f t="shared" si="6"/>
        <v>0.06</v>
      </c>
      <c r="W367" s="22"/>
      <c r="X367" s="22" t="s">
        <v>243</v>
      </c>
      <c r="Y367" s="22"/>
      <c r="Z367" s="22"/>
      <c r="AA367" s="22"/>
      <c r="AB367" s="22"/>
      <c r="AC367" s="22"/>
      <c r="AD367" s="22"/>
      <c r="AE367" s="22"/>
      <c r="AF367" s="22"/>
      <c r="AG367" s="22"/>
      <c r="AH367" s="22"/>
      <c r="AI367" s="22"/>
      <c r="AJ367" s="22"/>
      <c r="AK367" s="22"/>
      <c r="AL367" s="22"/>
      <c r="AM367" s="22"/>
      <c r="AN367" s="22"/>
      <c r="AO367" s="22"/>
      <c r="AP367" s="22"/>
      <c r="AQ367" s="22"/>
      <c r="AR367" s="22"/>
      <c r="AS367" s="22"/>
      <c r="AT367" s="22"/>
      <c r="AU367" s="22"/>
      <c r="AV367" s="22"/>
      <c r="AW367" s="22"/>
      <c r="AX367" s="22"/>
      <c r="AY367" s="22"/>
      <c r="AZ367" s="22"/>
      <c r="BA367" s="5"/>
    </row>
    <row r="368" spans="1:53" ht="15" thickBot="1" x14ac:dyDescent="0.4">
      <c r="A368" s="16" t="s">
        <v>243</v>
      </c>
      <c r="B368" s="16" t="s">
        <v>535</v>
      </c>
      <c r="C368" s="16" t="s">
        <v>535</v>
      </c>
      <c r="D368" s="16" t="s">
        <v>535</v>
      </c>
      <c r="E368" s="16" t="s">
        <v>535</v>
      </c>
      <c r="F368" s="16" t="s">
        <v>535</v>
      </c>
      <c r="G368" s="16" t="s">
        <v>535</v>
      </c>
      <c r="H368" s="16" t="s">
        <v>535</v>
      </c>
      <c r="I368" s="140" t="s">
        <v>535</v>
      </c>
      <c r="J368" s="141" t="s">
        <v>204</v>
      </c>
      <c r="K368" s="5" t="s">
        <v>1055</v>
      </c>
      <c r="L368" s="5"/>
      <c r="M368" s="5" t="s">
        <v>207</v>
      </c>
      <c r="N368" s="5"/>
      <c r="O368" s="5"/>
      <c r="P368" s="180">
        <v>3</v>
      </c>
      <c r="Q368" s="45"/>
      <c r="R368" s="45"/>
      <c r="S368" s="45"/>
      <c r="T368" s="45"/>
      <c r="U368" s="45"/>
      <c r="V368" s="53">
        <f t="shared" si="6"/>
        <v>3</v>
      </c>
      <c r="W368" s="22"/>
      <c r="X368" s="22" t="s">
        <v>243</v>
      </c>
      <c r="Y368" s="22"/>
      <c r="Z368" s="22"/>
      <c r="AA368" s="22"/>
      <c r="AB368" s="22"/>
      <c r="AC368" s="22"/>
      <c r="AD368" s="22"/>
      <c r="AE368" s="22"/>
      <c r="AF368" s="22"/>
      <c r="AG368" s="22"/>
      <c r="AH368" s="22"/>
      <c r="AI368" s="22"/>
      <c r="AJ368" s="22"/>
      <c r="AK368" s="22"/>
      <c r="AL368" s="22"/>
      <c r="AM368" s="22"/>
      <c r="AN368" s="22"/>
      <c r="AO368" s="22"/>
      <c r="AP368" s="22"/>
      <c r="AQ368" s="22"/>
      <c r="AR368" s="22"/>
      <c r="AS368" s="22"/>
      <c r="AT368" s="22"/>
      <c r="AU368" s="22"/>
      <c r="AV368" s="22"/>
      <c r="AW368" s="22"/>
      <c r="AX368" s="22"/>
      <c r="AY368" s="22"/>
      <c r="AZ368" s="22"/>
      <c r="BA368" s="5"/>
    </row>
    <row r="369" spans="1:53" ht="15" thickBot="1" x14ac:dyDescent="0.4">
      <c r="A369" s="16" t="s">
        <v>243</v>
      </c>
      <c r="B369" s="16" t="s">
        <v>535</v>
      </c>
      <c r="C369" s="16" t="s">
        <v>535</v>
      </c>
      <c r="D369" s="16" t="s">
        <v>535</v>
      </c>
      <c r="E369" s="16" t="s">
        <v>535</v>
      </c>
      <c r="F369" s="16" t="s">
        <v>535</v>
      </c>
      <c r="G369" s="16" t="s">
        <v>535</v>
      </c>
      <c r="H369" s="16" t="s">
        <v>535</v>
      </c>
      <c r="I369" s="140" t="s">
        <v>535</v>
      </c>
      <c r="J369" s="141" t="s">
        <v>204</v>
      </c>
      <c r="K369" s="5" t="s">
        <v>1056</v>
      </c>
      <c r="L369" s="5"/>
      <c r="M369" s="5" t="s">
        <v>207</v>
      </c>
      <c r="N369" s="5"/>
      <c r="O369" s="5"/>
      <c r="P369" s="180">
        <v>6.0000000000000001E-3</v>
      </c>
      <c r="Q369" s="45"/>
      <c r="R369" s="45"/>
      <c r="S369" s="45"/>
      <c r="T369" s="45"/>
      <c r="U369" s="45"/>
      <c r="V369" s="53">
        <f t="shared" si="6"/>
        <v>6.0000000000000001E-3</v>
      </c>
      <c r="W369" s="22"/>
      <c r="X369" s="22" t="s">
        <v>243</v>
      </c>
      <c r="Y369" s="22"/>
      <c r="Z369" s="22"/>
      <c r="AA369" s="22"/>
      <c r="AB369" s="22"/>
      <c r="AC369" s="22"/>
      <c r="AD369" s="22"/>
      <c r="AE369" s="22"/>
      <c r="AF369" s="22"/>
      <c r="AG369" s="22"/>
      <c r="AH369" s="22"/>
      <c r="AI369" s="22"/>
      <c r="AJ369" s="22"/>
      <c r="AK369" s="22"/>
      <c r="AL369" s="22"/>
      <c r="AM369" s="22"/>
      <c r="AN369" s="22"/>
      <c r="AO369" s="22"/>
      <c r="AP369" s="22"/>
      <c r="AQ369" s="22"/>
      <c r="AR369" s="22"/>
      <c r="AS369" s="22"/>
      <c r="AT369" s="22"/>
      <c r="AU369" s="22"/>
      <c r="AV369" s="22"/>
      <c r="AW369" s="22"/>
      <c r="AX369" s="22"/>
      <c r="AY369" s="22"/>
      <c r="AZ369" s="22"/>
      <c r="BA369" s="5"/>
    </row>
    <row r="370" spans="1:53" ht="15" thickBot="1" x14ac:dyDescent="0.4">
      <c r="A370" s="16" t="s">
        <v>243</v>
      </c>
      <c r="B370" s="16" t="s">
        <v>535</v>
      </c>
      <c r="C370" s="16" t="s">
        <v>535</v>
      </c>
      <c r="D370" s="16" t="s">
        <v>535</v>
      </c>
      <c r="E370" s="16" t="s">
        <v>535</v>
      </c>
      <c r="F370" s="16" t="s">
        <v>535</v>
      </c>
      <c r="G370" s="16" t="s">
        <v>535</v>
      </c>
      <c r="H370" s="16" t="s">
        <v>535</v>
      </c>
      <c r="I370" s="140" t="s">
        <v>535</v>
      </c>
      <c r="J370" s="141" t="s">
        <v>204</v>
      </c>
      <c r="K370" s="5" t="s">
        <v>1057</v>
      </c>
      <c r="L370" s="5"/>
      <c r="M370" s="5" t="s">
        <v>207</v>
      </c>
      <c r="N370" s="5"/>
      <c r="O370" s="5"/>
      <c r="P370" s="180">
        <v>5</v>
      </c>
      <c r="Q370" s="45"/>
      <c r="R370" s="45"/>
      <c r="S370" s="45"/>
      <c r="T370" s="45"/>
      <c r="U370" s="45"/>
      <c r="V370" s="53">
        <f t="shared" si="6"/>
        <v>5</v>
      </c>
      <c r="W370" s="22"/>
      <c r="X370" s="22" t="s">
        <v>243</v>
      </c>
      <c r="Y370" s="22"/>
      <c r="Z370" s="22"/>
      <c r="AA370" s="22"/>
      <c r="AB370" s="22"/>
      <c r="AC370" s="22"/>
      <c r="AD370" s="22"/>
      <c r="AE370" s="22"/>
      <c r="AF370" s="22"/>
      <c r="AG370" s="22"/>
      <c r="AH370" s="22"/>
      <c r="AI370" s="22"/>
      <c r="AJ370" s="22"/>
      <c r="AK370" s="22"/>
      <c r="AL370" s="22"/>
      <c r="AM370" s="22"/>
      <c r="AN370" s="22"/>
      <c r="AO370" s="22"/>
      <c r="AP370" s="22"/>
      <c r="AQ370" s="22"/>
      <c r="AR370" s="22"/>
      <c r="AS370" s="22"/>
      <c r="AT370" s="22"/>
      <c r="AU370" s="22"/>
      <c r="AV370" s="22"/>
      <c r="AW370" s="22"/>
      <c r="AX370" s="22"/>
      <c r="AY370" s="22"/>
      <c r="AZ370" s="22"/>
      <c r="BA370" s="5"/>
    </row>
    <row r="371" spans="1:53" ht="15" thickBot="1" x14ac:dyDescent="0.4">
      <c r="A371" s="16" t="s">
        <v>243</v>
      </c>
      <c r="B371" s="16" t="s">
        <v>535</v>
      </c>
      <c r="C371" s="16" t="s">
        <v>535</v>
      </c>
      <c r="D371" s="16" t="s">
        <v>535</v>
      </c>
      <c r="E371" s="16" t="s">
        <v>535</v>
      </c>
      <c r="F371" s="16" t="s">
        <v>535</v>
      </c>
      <c r="G371" s="16" t="s">
        <v>535</v>
      </c>
      <c r="H371" s="16" t="s">
        <v>535</v>
      </c>
      <c r="I371" s="140" t="s">
        <v>535</v>
      </c>
      <c r="J371" s="141" t="s">
        <v>204</v>
      </c>
      <c r="K371" s="5" t="s">
        <v>1058</v>
      </c>
      <c r="L371" s="5"/>
      <c r="M371" s="5" t="s">
        <v>207</v>
      </c>
      <c r="N371" s="5"/>
      <c r="O371" s="5"/>
      <c r="P371" s="180">
        <v>5</v>
      </c>
      <c r="Q371" s="45"/>
      <c r="R371" s="45"/>
      <c r="S371" s="45"/>
      <c r="T371" s="45"/>
      <c r="U371" s="45"/>
      <c r="V371" s="53">
        <f t="shared" si="6"/>
        <v>5</v>
      </c>
      <c r="W371" s="22"/>
      <c r="X371" s="22" t="s">
        <v>243</v>
      </c>
      <c r="Y371" s="22"/>
      <c r="Z371" s="22"/>
      <c r="AA371" s="22"/>
      <c r="AB371" s="22"/>
      <c r="AC371" s="22"/>
      <c r="AD371" s="22"/>
      <c r="AE371" s="22"/>
      <c r="AF371" s="22"/>
      <c r="AG371" s="22"/>
      <c r="AH371" s="22"/>
      <c r="AI371" s="22"/>
      <c r="AJ371" s="22"/>
      <c r="AK371" s="22"/>
      <c r="AL371" s="22"/>
      <c r="AM371" s="22"/>
      <c r="AN371" s="22"/>
      <c r="AO371" s="22"/>
      <c r="AP371" s="22"/>
      <c r="AQ371" s="22"/>
      <c r="AR371" s="22"/>
      <c r="AS371" s="22"/>
      <c r="AT371" s="22"/>
      <c r="AU371" s="22"/>
      <c r="AV371" s="22"/>
      <c r="AW371" s="22"/>
      <c r="AX371" s="22"/>
      <c r="AY371" s="22"/>
      <c r="AZ371" s="22"/>
      <c r="BA371" s="5"/>
    </row>
    <row r="372" spans="1:53" ht="15" thickBot="1" x14ac:dyDescent="0.4">
      <c r="A372" s="16" t="s">
        <v>243</v>
      </c>
      <c r="B372" s="16" t="s">
        <v>535</v>
      </c>
      <c r="C372" s="16" t="s">
        <v>535</v>
      </c>
      <c r="D372" s="16" t="s">
        <v>535</v>
      </c>
      <c r="E372" s="16" t="s">
        <v>535</v>
      </c>
      <c r="F372" s="16" t="s">
        <v>535</v>
      </c>
      <c r="G372" s="16" t="s">
        <v>535</v>
      </c>
      <c r="H372" s="16" t="s">
        <v>535</v>
      </c>
      <c r="I372" s="140" t="s">
        <v>535</v>
      </c>
      <c r="J372" s="141" t="s">
        <v>204</v>
      </c>
      <c r="K372" s="5" t="s">
        <v>1059</v>
      </c>
      <c r="L372" s="5"/>
      <c r="M372" s="5" t="s">
        <v>207</v>
      </c>
      <c r="N372" s="5"/>
      <c r="O372" s="5"/>
      <c r="P372" s="180">
        <v>0.437</v>
      </c>
      <c r="Q372" s="45"/>
      <c r="R372" s="45"/>
      <c r="S372" s="45"/>
      <c r="T372" s="45"/>
      <c r="U372" s="45"/>
      <c r="V372" s="53">
        <f t="shared" si="6"/>
        <v>0.437</v>
      </c>
      <c r="W372" s="22"/>
      <c r="X372" s="22" t="s">
        <v>243</v>
      </c>
      <c r="Y372" s="22"/>
      <c r="Z372" s="22"/>
      <c r="AA372" s="22"/>
      <c r="AB372" s="22"/>
      <c r="AC372" s="22"/>
      <c r="AD372" s="22"/>
      <c r="AE372" s="22"/>
      <c r="AF372" s="22"/>
      <c r="AG372" s="22"/>
      <c r="AH372" s="22"/>
      <c r="AI372" s="22"/>
      <c r="AJ372" s="22"/>
      <c r="AK372" s="22"/>
      <c r="AL372" s="22"/>
      <c r="AM372" s="22"/>
      <c r="AN372" s="22"/>
      <c r="AO372" s="22"/>
      <c r="AP372" s="22"/>
      <c r="AQ372" s="22"/>
      <c r="AR372" s="22"/>
      <c r="AS372" s="22"/>
      <c r="AT372" s="22"/>
      <c r="AU372" s="22"/>
      <c r="AV372" s="22"/>
      <c r="AW372" s="22"/>
      <c r="AX372" s="22"/>
      <c r="AY372" s="22"/>
      <c r="AZ372" s="22"/>
      <c r="BA372" s="5"/>
    </row>
    <row r="373" spans="1:53" ht="15" thickBot="1" x14ac:dyDescent="0.4">
      <c r="A373" s="16" t="s">
        <v>243</v>
      </c>
      <c r="B373" s="16" t="s">
        <v>535</v>
      </c>
      <c r="C373" s="16" t="s">
        <v>535</v>
      </c>
      <c r="D373" s="16" t="s">
        <v>535</v>
      </c>
      <c r="E373" s="16" t="s">
        <v>535</v>
      </c>
      <c r="F373" s="16" t="s">
        <v>535</v>
      </c>
      <c r="G373" s="16" t="s">
        <v>535</v>
      </c>
      <c r="H373" s="16" t="s">
        <v>535</v>
      </c>
      <c r="I373" s="140" t="s">
        <v>535</v>
      </c>
      <c r="J373" s="141" t="s">
        <v>204</v>
      </c>
      <c r="K373" s="5" t="s">
        <v>1060</v>
      </c>
      <c r="L373" s="5"/>
      <c r="M373" s="5" t="s">
        <v>207</v>
      </c>
      <c r="N373" s="5"/>
      <c r="O373" s="5"/>
      <c r="P373" s="180">
        <v>2</v>
      </c>
      <c r="Q373" s="45"/>
      <c r="R373" s="45"/>
      <c r="S373" s="45"/>
      <c r="T373" s="45"/>
      <c r="U373" s="45"/>
      <c r="V373" s="53">
        <f t="shared" ref="V373" si="7">ROUND(SUM(P373:U373),3)</f>
        <v>2</v>
      </c>
      <c r="W373" s="22"/>
      <c r="X373" s="22" t="s">
        <v>243</v>
      </c>
      <c r="Y373" s="22"/>
      <c r="Z373" s="22"/>
      <c r="AA373" s="22"/>
      <c r="AB373" s="22"/>
      <c r="AC373" s="22"/>
      <c r="AD373" s="22"/>
      <c r="AE373" s="22"/>
      <c r="AF373" s="22"/>
      <c r="AG373" s="22"/>
      <c r="AH373" s="22"/>
      <c r="AI373" s="22"/>
      <c r="AJ373" s="22"/>
      <c r="AK373" s="22"/>
      <c r="AL373" s="22"/>
      <c r="AM373" s="22"/>
      <c r="AN373" s="22"/>
      <c r="AO373" s="22"/>
      <c r="AP373" s="22"/>
      <c r="AQ373" s="22"/>
      <c r="AR373" s="22"/>
      <c r="AS373" s="22"/>
      <c r="AT373" s="22"/>
      <c r="AU373" s="22"/>
      <c r="AV373" s="22"/>
      <c r="AW373" s="22"/>
      <c r="AX373" s="22"/>
      <c r="AY373" s="22"/>
      <c r="AZ373" s="22"/>
      <c r="BA373" s="5"/>
    </row>
    <row r="374" spans="1:53" ht="26.5" thickBot="1" x14ac:dyDescent="0.4">
      <c r="A374" s="16" t="s">
        <v>243</v>
      </c>
      <c r="B374" s="16" t="s">
        <v>535</v>
      </c>
      <c r="C374" s="16" t="s">
        <v>535</v>
      </c>
      <c r="D374" s="16" t="s">
        <v>535</v>
      </c>
      <c r="E374" s="16" t="s">
        <v>535</v>
      </c>
      <c r="F374" s="16" t="s">
        <v>535</v>
      </c>
      <c r="G374" s="16" t="s">
        <v>535</v>
      </c>
      <c r="H374" s="16" t="s">
        <v>535</v>
      </c>
      <c r="I374" s="140" t="s">
        <v>535</v>
      </c>
      <c r="J374" s="141" t="s">
        <v>204</v>
      </c>
      <c r="K374" s="5" t="s">
        <v>1256</v>
      </c>
      <c r="L374" s="5"/>
      <c r="M374" s="5" t="s">
        <v>207</v>
      </c>
      <c r="N374" s="5"/>
      <c r="O374" s="5"/>
      <c r="P374" s="180">
        <v>1</v>
      </c>
      <c r="Q374" s="45"/>
      <c r="R374" s="45"/>
      <c r="S374" s="45"/>
      <c r="T374" s="45"/>
      <c r="U374" s="45"/>
      <c r="V374" s="53">
        <f t="shared" ref="V374:V375" si="8">ROUND(SUM(P374:U374),3)</f>
        <v>1</v>
      </c>
      <c r="W374" s="22"/>
      <c r="X374" s="22" t="s">
        <v>243</v>
      </c>
      <c r="Y374" s="22"/>
      <c r="Z374" s="22"/>
      <c r="AA374" s="22"/>
      <c r="AB374" s="22"/>
      <c r="AC374" s="22"/>
      <c r="AD374" s="22"/>
      <c r="AE374" s="22"/>
      <c r="AF374" s="22"/>
      <c r="AG374" s="22"/>
      <c r="AH374" s="22"/>
      <c r="AI374" s="22"/>
      <c r="AJ374" s="22"/>
      <c r="AK374" s="22"/>
      <c r="AL374" s="22"/>
      <c r="AM374" s="22"/>
      <c r="AN374" s="22"/>
      <c r="AO374" s="22"/>
      <c r="AP374" s="22"/>
      <c r="AQ374" s="22"/>
      <c r="AR374" s="22"/>
      <c r="AS374" s="22"/>
      <c r="AT374" s="22"/>
      <c r="AU374" s="22"/>
      <c r="AV374" s="22"/>
      <c r="AW374" s="22"/>
      <c r="AX374" s="22"/>
      <c r="AY374" s="22"/>
      <c r="AZ374" s="22"/>
      <c r="BA374" s="5" t="s">
        <v>1257</v>
      </c>
    </row>
    <row r="375" spans="1:53" ht="26.5" thickBot="1" x14ac:dyDescent="0.4">
      <c r="A375" s="16" t="s">
        <v>243</v>
      </c>
      <c r="B375" s="16" t="s">
        <v>535</v>
      </c>
      <c r="C375" s="16" t="s">
        <v>535</v>
      </c>
      <c r="D375" s="16" t="s">
        <v>535</v>
      </c>
      <c r="E375" s="16" t="s">
        <v>535</v>
      </c>
      <c r="F375" s="16" t="s">
        <v>535</v>
      </c>
      <c r="G375" s="16" t="s">
        <v>535</v>
      </c>
      <c r="H375" s="16" t="s">
        <v>535</v>
      </c>
      <c r="I375" s="140" t="s">
        <v>535</v>
      </c>
      <c r="J375" s="141" t="s">
        <v>204</v>
      </c>
      <c r="K375" s="5" t="s">
        <v>1258</v>
      </c>
      <c r="L375" s="5"/>
      <c r="M375" s="5" t="s">
        <v>207</v>
      </c>
      <c r="N375" s="5"/>
      <c r="O375" s="5"/>
      <c r="P375" s="180">
        <v>1</v>
      </c>
      <c r="Q375" s="45"/>
      <c r="R375" s="45"/>
      <c r="S375" s="45"/>
      <c r="T375" s="45"/>
      <c r="U375" s="45"/>
      <c r="V375" s="53">
        <f t="shared" si="8"/>
        <v>1</v>
      </c>
      <c r="W375" s="22"/>
      <c r="X375" s="22" t="s">
        <v>243</v>
      </c>
      <c r="Y375" s="22"/>
      <c r="Z375" s="22"/>
      <c r="AA375" s="22"/>
      <c r="AB375" s="22"/>
      <c r="AC375" s="22"/>
      <c r="AD375" s="22"/>
      <c r="AE375" s="22"/>
      <c r="AF375" s="22"/>
      <c r="AG375" s="22"/>
      <c r="AH375" s="22"/>
      <c r="AI375" s="22"/>
      <c r="AJ375" s="22"/>
      <c r="AK375" s="22"/>
      <c r="AL375" s="22"/>
      <c r="AM375" s="22"/>
      <c r="AN375" s="22"/>
      <c r="AO375" s="22"/>
      <c r="AP375" s="22"/>
      <c r="AQ375" s="22"/>
      <c r="AR375" s="22"/>
      <c r="AS375" s="22"/>
      <c r="AT375" s="22"/>
      <c r="AU375" s="22"/>
      <c r="AV375" s="22"/>
      <c r="AW375" s="22"/>
      <c r="AX375" s="22"/>
      <c r="AY375" s="22"/>
      <c r="AZ375" s="22"/>
      <c r="BA375" s="5" t="s">
        <v>1257</v>
      </c>
    </row>
    <row r="376" spans="1:53" ht="15" thickBot="1" x14ac:dyDescent="0.4">
      <c r="A376" s="16" t="s">
        <v>243</v>
      </c>
      <c r="B376" s="16" t="s">
        <v>535</v>
      </c>
      <c r="C376" s="16" t="s">
        <v>535</v>
      </c>
      <c r="D376" s="16" t="s">
        <v>535</v>
      </c>
      <c r="E376" s="16" t="s">
        <v>535</v>
      </c>
      <c r="F376" s="16" t="s">
        <v>535</v>
      </c>
      <c r="G376" s="16" t="s">
        <v>535</v>
      </c>
      <c r="H376" s="16" t="s">
        <v>535</v>
      </c>
      <c r="I376" s="140" t="s">
        <v>535</v>
      </c>
      <c r="J376" s="141" t="s">
        <v>214</v>
      </c>
      <c r="K376" s="5" t="s">
        <v>883</v>
      </c>
      <c r="L376" s="5"/>
      <c r="M376" s="5" t="s">
        <v>906</v>
      </c>
      <c r="N376" s="5"/>
      <c r="O376" s="5"/>
      <c r="P376" s="259">
        <v>0.55900000000000005</v>
      </c>
      <c r="Q376" s="45"/>
      <c r="R376" s="45"/>
      <c r="S376" s="45"/>
      <c r="T376" s="45"/>
      <c r="U376" s="45"/>
      <c r="V376" s="53">
        <f t="shared" si="6"/>
        <v>0.55900000000000005</v>
      </c>
      <c r="W376" s="22"/>
      <c r="X376" s="22"/>
      <c r="Y376" s="22"/>
      <c r="Z376" s="22"/>
      <c r="AA376" s="22"/>
      <c r="AB376" s="22"/>
      <c r="AC376" s="22"/>
      <c r="AD376" s="22"/>
      <c r="AE376" s="22"/>
      <c r="AF376" s="22"/>
      <c r="AG376" s="22"/>
      <c r="AH376" s="22"/>
      <c r="AI376" s="22"/>
      <c r="AJ376" s="22"/>
      <c r="AK376" s="22"/>
      <c r="AL376" s="22"/>
      <c r="AM376" s="22"/>
      <c r="AN376" s="22"/>
      <c r="AO376" s="22"/>
      <c r="AP376" s="22"/>
      <c r="AQ376" s="22"/>
      <c r="AR376" s="22"/>
      <c r="AS376" s="22"/>
      <c r="AT376" s="22"/>
      <c r="AU376" s="22"/>
      <c r="AV376" s="22"/>
      <c r="AW376" s="22"/>
      <c r="AX376" s="22"/>
      <c r="AY376" s="22"/>
      <c r="AZ376" s="22" t="s">
        <v>243</v>
      </c>
      <c r="BA376" s="5"/>
    </row>
    <row r="377" spans="1:53" ht="15" thickBot="1" x14ac:dyDescent="0.4">
      <c r="A377" s="16" t="s">
        <v>243</v>
      </c>
      <c r="B377" s="16" t="s">
        <v>535</v>
      </c>
      <c r="C377" s="16" t="s">
        <v>535</v>
      </c>
      <c r="D377" s="16" t="s">
        <v>535</v>
      </c>
      <c r="E377" s="16" t="s">
        <v>535</v>
      </c>
      <c r="F377" s="16" t="s">
        <v>535</v>
      </c>
      <c r="G377" s="16" t="s">
        <v>535</v>
      </c>
      <c r="H377" s="16" t="s">
        <v>535</v>
      </c>
      <c r="I377" s="140" t="s">
        <v>535</v>
      </c>
      <c r="J377" s="141" t="s">
        <v>214</v>
      </c>
      <c r="K377" s="5" t="s">
        <v>886</v>
      </c>
      <c r="L377" s="5"/>
      <c r="M377" s="5" t="s">
        <v>906</v>
      </c>
      <c r="N377" s="5"/>
      <c r="O377" s="5"/>
      <c r="P377" s="259">
        <v>0.27800000000000002</v>
      </c>
      <c r="Q377" s="45"/>
      <c r="R377" s="45"/>
      <c r="S377" s="45"/>
      <c r="T377" s="45"/>
      <c r="U377" s="45"/>
      <c r="V377" s="53">
        <f t="shared" si="6"/>
        <v>0.27800000000000002</v>
      </c>
      <c r="W377" s="22"/>
      <c r="X377" s="22"/>
      <c r="Y377" s="22"/>
      <c r="Z377" s="22"/>
      <c r="AA377" s="22"/>
      <c r="AB377" s="22"/>
      <c r="AC377" s="22"/>
      <c r="AD377" s="22"/>
      <c r="AE377" s="22"/>
      <c r="AF377" s="22"/>
      <c r="AG377" s="22"/>
      <c r="AH377" s="22"/>
      <c r="AI377" s="22"/>
      <c r="AJ377" s="22"/>
      <c r="AK377" s="22"/>
      <c r="AL377" s="22"/>
      <c r="AM377" s="22"/>
      <c r="AN377" s="22"/>
      <c r="AO377" s="22"/>
      <c r="AP377" s="22"/>
      <c r="AQ377" s="22"/>
      <c r="AR377" s="22"/>
      <c r="AS377" s="22"/>
      <c r="AT377" s="22"/>
      <c r="AU377" s="22"/>
      <c r="AV377" s="22"/>
      <c r="AW377" s="22"/>
      <c r="AX377" s="22"/>
      <c r="AY377" s="22"/>
      <c r="AZ377" s="22" t="s">
        <v>243</v>
      </c>
      <c r="BA377" s="5"/>
    </row>
    <row r="378" spans="1:53" ht="39.5" thickBot="1" x14ac:dyDescent="0.4">
      <c r="A378" s="16" t="s">
        <v>243</v>
      </c>
      <c r="B378" s="16" t="s">
        <v>535</v>
      </c>
      <c r="C378" s="16" t="s">
        <v>535</v>
      </c>
      <c r="D378" s="16" t="s">
        <v>535</v>
      </c>
      <c r="E378" s="16" t="s">
        <v>535</v>
      </c>
      <c r="F378" s="16" t="s">
        <v>535</v>
      </c>
      <c r="G378" s="16" t="s">
        <v>535</v>
      </c>
      <c r="H378" s="16" t="s">
        <v>535</v>
      </c>
      <c r="I378" s="140" t="s">
        <v>535</v>
      </c>
      <c r="J378" s="141" t="s">
        <v>214</v>
      </c>
      <c r="K378" s="5" t="s">
        <v>889</v>
      </c>
      <c r="L378" s="5"/>
      <c r="M378" s="5" t="s">
        <v>906</v>
      </c>
      <c r="N378" s="5"/>
      <c r="O378" s="5"/>
      <c r="P378" s="260">
        <v>2.3619371282922685E-3</v>
      </c>
      <c r="Q378" s="45"/>
      <c r="R378" s="45"/>
      <c r="S378" s="45"/>
      <c r="T378" s="45"/>
      <c r="U378" s="45"/>
      <c r="V378" s="53">
        <f t="shared" ref="V378" si="9">ROUND(SUM(P378:U378),3)</f>
        <v>2E-3</v>
      </c>
      <c r="W378" s="22"/>
      <c r="X378" s="22"/>
      <c r="Y378" s="22"/>
      <c r="Z378" s="22"/>
      <c r="AA378" s="22"/>
      <c r="AB378" s="22"/>
      <c r="AC378" s="22"/>
      <c r="AD378" s="22"/>
      <c r="AE378" s="22"/>
      <c r="AF378" s="22"/>
      <c r="AG378" s="22"/>
      <c r="AH378" s="22"/>
      <c r="AI378" s="22"/>
      <c r="AJ378" s="22"/>
      <c r="AK378" s="22"/>
      <c r="AL378" s="22"/>
      <c r="AM378" s="22"/>
      <c r="AN378" s="22"/>
      <c r="AO378" s="22"/>
      <c r="AP378" s="22"/>
      <c r="AQ378" s="22"/>
      <c r="AR378" s="22"/>
      <c r="AS378" s="22"/>
      <c r="AT378" s="22"/>
      <c r="AU378" s="22"/>
      <c r="AV378" s="22"/>
      <c r="AW378" s="22"/>
      <c r="AX378" s="22"/>
      <c r="AY378" s="22"/>
      <c r="AZ378" s="22" t="s">
        <v>243</v>
      </c>
      <c r="BA378" s="5" t="s">
        <v>1259</v>
      </c>
    </row>
    <row r="379" spans="1:53" ht="15" thickBot="1" x14ac:dyDescent="0.4">
      <c r="A379" s="16" t="s">
        <v>243</v>
      </c>
      <c r="B379" s="16" t="s">
        <v>535</v>
      </c>
      <c r="C379" s="16" t="s">
        <v>535</v>
      </c>
      <c r="D379" s="16" t="s">
        <v>535</v>
      </c>
      <c r="E379" s="16" t="s">
        <v>535</v>
      </c>
      <c r="F379" s="16" t="s">
        <v>535</v>
      </c>
      <c r="G379" s="16" t="s">
        <v>535</v>
      </c>
      <c r="H379" s="16" t="s">
        <v>535</v>
      </c>
      <c r="I379" s="140" t="s">
        <v>535</v>
      </c>
      <c r="J379" s="141" t="s">
        <v>214</v>
      </c>
      <c r="K379" s="5" t="s">
        <v>892</v>
      </c>
      <c r="L379" s="5"/>
      <c r="M379" s="5" t="s">
        <v>906</v>
      </c>
      <c r="N379" s="5"/>
      <c r="O379" s="5"/>
      <c r="P379" s="259">
        <v>762.96</v>
      </c>
      <c r="Q379" s="45"/>
      <c r="R379" s="45"/>
      <c r="S379" s="45"/>
      <c r="T379" s="45"/>
      <c r="U379" s="45"/>
      <c r="V379" s="53">
        <f t="shared" ref="V379:V381" si="10">ROUND(SUM(P379:U379),3)</f>
        <v>762.96</v>
      </c>
      <c r="W379" s="22"/>
      <c r="X379" s="22"/>
      <c r="Y379" s="22"/>
      <c r="Z379" s="22"/>
      <c r="AA379" s="22"/>
      <c r="AB379" s="22"/>
      <c r="AC379" s="22"/>
      <c r="AD379" s="22"/>
      <c r="AE379" s="22"/>
      <c r="AF379" s="22"/>
      <c r="AG379" s="22"/>
      <c r="AH379" s="22"/>
      <c r="AI379" s="22"/>
      <c r="AJ379" s="22"/>
      <c r="AK379" s="22"/>
      <c r="AL379" s="22"/>
      <c r="AM379" s="22"/>
      <c r="AN379" s="22"/>
      <c r="AO379" s="22"/>
      <c r="AP379" s="22"/>
      <c r="AQ379" s="22"/>
      <c r="AR379" s="22"/>
      <c r="AS379" s="22"/>
      <c r="AT379" s="22"/>
      <c r="AU379" s="22"/>
      <c r="AV379" s="22"/>
      <c r="AW379" s="22"/>
      <c r="AX379" s="22"/>
      <c r="AY379" s="22"/>
      <c r="AZ379" s="22" t="s">
        <v>243</v>
      </c>
      <c r="BA379" s="5"/>
    </row>
    <row r="380" spans="1:53" ht="15" thickBot="1" x14ac:dyDescent="0.4">
      <c r="A380" s="16" t="s">
        <v>243</v>
      </c>
      <c r="B380" s="16" t="s">
        <v>535</v>
      </c>
      <c r="C380" s="16" t="s">
        <v>535</v>
      </c>
      <c r="D380" s="16" t="s">
        <v>535</v>
      </c>
      <c r="E380" s="16" t="s">
        <v>535</v>
      </c>
      <c r="F380" s="16" t="s">
        <v>535</v>
      </c>
      <c r="G380" s="16" t="s">
        <v>535</v>
      </c>
      <c r="H380" s="16" t="s">
        <v>535</v>
      </c>
      <c r="I380" s="140" t="s">
        <v>535</v>
      </c>
      <c r="J380" s="141" t="s">
        <v>214</v>
      </c>
      <c r="K380" s="5" t="s">
        <v>898</v>
      </c>
      <c r="L380" s="5"/>
      <c r="M380" s="5" t="s">
        <v>906</v>
      </c>
      <c r="N380" s="5"/>
      <c r="O380" s="5"/>
      <c r="P380" s="259">
        <v>3721.1</v>
      </c>
      <c r="Q380" s="45"/>
      <c r="R380" s="45"/>
      <c r="S380" s="45"/>
      <c r="T380" s="45"/>
      <c r="U380" s="45"/>
      <c r="V380" s="53">
        <f t="shared" si="10"/>
        <v>3721.1</v>
      </c>
      <c r="W380" s="22"/>
      <c r="X380" s="22"/>
      <c r="Y380" s="22"/>
      <c r="Z380" s="22"/>
      <c r="AA380" s="22"/>
      <c r="AB380" s="22"/>
      <c r="AC380" s="22"/>
      <c r="AD380" s="22"/>
      <c r="AE380" s="22"/>
      <c r="AF380" s="22"/>
      <c r="AG380" s="22"/>
      <c r="AH380" s="22"/>
      <c r="AI380" s="22"/>
      <c r="AJ380" s="22"/>
      <c r="AK380" s="22"/>
      <c r="AL380" s="22"/>
      <c r="AM380" s="22"/>
      <c r="AN380" s="22"/>
      <c r="AO380" s="22"/>
      <c r="AP380" s="22"/>
      <c r="AQ380" s="22"/>
      <c r="AR380" s="22"/>
      <c r="AS380" s="22"/>
      <c r="AT380" s="22"/>
      <c r="AU380" s="22"/>
      <c r="AV380" s="22"/>
      <c r="AW380" s="22"/>
      <c r="AX380" s="22"/>
      <c r="AY380" s="22"/>
      <c r="AZ380" s="22" t="s">
        <v>243</v>
      </c>
      <c r="BA380" s="5"/>
    </row>
    <row r="381" spans="1:53" ht="15" thickBot="1" x14ac:dyDescent="0.4">
      <c r="A381" s="16" t="s">
        <v>243</v>
      </c>
      <c r="B381" s="16" t="s">
        <v>535</v>
      </c>
      <c r="C381" s="16" t="s">
        <v>535</v>
      </c>
      <c r="D381" s="16" t="s">
        <v>535</v>
      </c>
      <c r="E381" s="16" t="s">
        <v>535</v>
      </c>
      <c r="F381" s="16" t="s">
        <v>535</v>
      </c>
      <c r="G381" s="16" t="s">
        <v>535</v>
      </c>
      <c r="H381" s="16" t="s">
        <v>535</v>
      </c>
      <c r="I381" s="140" t="s">
        <v>535</v>
      </c>
      <c r="J381" s="141" t="s">
        <v>214</v>
      </c>
      <c r="K381" s="5" t="s">
        <v>895</v>
      </c>
      <c r="L381" s="5"/>
      <c r="M381" s="5" t="s">
        <v>906</v>
      </c>
      <c r="N381" s="5"/>
      <c r="O381" s="5"/>
      <c r="P381" s="259">
        <v>197.86</v>
      </c>
      <c r="Q381" s="45"/>
      <c r="R381" s="45"/>
      <c r="S381" s="45"/>
      <c r="T381" s="45"/>
      <c r="U381" s="45"/>
      <c r="V381" s="53">
        <f t="shared" si="10"/>
        <v>197.86</v>
      </c>
      <c r="W381" s="22"/>
      <c r="X381" s="22"/>
      <c r="Y381" s="22"/>
      <c r="Z381" s="22"/>
      <c r="AA381" s="22"/>
      <c r="AB381" s="22"/>
      <c r="AC381" s="22"/>
      <c r="AD381" s="22"/>
      <c r="AE381" s="22"/>
      <c r="AF381" s="22"/>
      <c r="AG381" s="22"/>
      <c r="AH381" s="22"/>
      <c r="AI381" s="22"/>
      <c r="AJ381" s="22"/>
      <c r="AK381" s="22"/>
      <c r="AL381" s="22"/>
      <c r="AM381" s="22"/>
      <c r="AN381" s="22"/>
      <c r="AO381" s="22"/>
      <c r="AP381" s="22"/>
      <c r="AQ381" s="22"/>
      <c r="AR381" s="22"/>
      <c r="AS381" s="22"/>
      <c r="AT381" s="22"/>
      <c r="AU381" s="22"/>
      <c r="AV381" s="22"/>
      <c r="AW381" s="22"/>
      <c r="AX381" s="22"/>
      <c r="AY381" s="22"/>
      <c r="AZ381" s="22" t="s">
        <v>243</v>
      </c>
      <c r="BA381" s="5"/>
    </row>
  </sheetData>
  <sheetProtection algorithmName="SHA-512" hashValue="BkYiWjyA7CE/PVXJ/MaqMv4zFJLTp/A+eHQyMe6oqKaMp+EjZZl34W1jqIIDUx7/o3yTH1KEIxUQTMcKqerbJw==" saltValue="efe7FwWr3Qbom4ux+4jmIQ==" spinCount="100000" sheet="1" objects="1" scenarios="1"/>
  <mergeCells count="2">
    <mergeCell ref="W1:AU1"/>
    <mergeCell ref="AV1:AX1"/>
  </mergeCells>
  <phoneticPr fontId="22" type="noConversion"/>
  <conditionalFormatting sqref="A3:I381">
    <cfRule type="containsText" dxfId="8" priority="9" operator="containsText" text="N">
      <formula>NOT(ISERROR(SEARCH("N",A3)))</formula>
    </cfRule>
    <cfRule type="containsText" dxfId="7" priority="10" operator="containsText" text="Y">
      <formula>NOT(ISERROR(SEARCH("Y",A3)))</formula>
    </cfRule>
  </conditionalFormatting>
  <conditionalFormatting sqref="W110:AH213">
    <cfRule type="containsText" dxfId="6" priority="16" operator="containsText" text="Y">
      <formula>NOT(ISERROR(SEARCH("Y",W110)))</formula>
    </cfRule>
    <cfRule type="containsBlanks" dxfId="5" priority="17">
      <formula>LEN(TRIM(W110))=0</formula>
    </cfRule>
  </conditionalFormatting>
  <conditionalFormatting sqref="W3:AZ108 W109:AI109 AJ109:AZ261 AI110:AI318 Y214:AH318 W214:X372 AJ262:AT318 AU262:AZ372 Y319:AT372 W373:AZ381">
    <cfRule type="containsText" dxfId="4" priority="19" operator="containsText" text="Y">
      <formula>NOT(ISERROR(SEARCH("Y",W3)))</formula>
    </cfRule>
    <cfRule type="containsBlanks" dxfId="3" priority="22">
      <formula>LEN(TRIM(W3))=0</formula>
    </cfRule>
  </conditionalFormatting>
  <dataValidations count="1">
    <dataValidation type="list" allowBlank="1" showInputMessage="1" showErrorMessage="1" sqref="W3:AZ381 A3:I381" xr:uid="{00000000-0002-0000-0900-000000000000}">
      <formula1>Yesno</formula1>
    </dataValidation>
  </dataValidations>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85C51-8EF4-4259-8C17-945882D0DED8}">
  <sheetPr>
    <tabColor theme="7" tint="0.79998168889431442"/>
  </sheetPr>
  <dimension ref="B5:J20"/>
  <sheetViews>
    <sheetView workbookViewId="0">
      <selection activeCell="F29" sqref="F29"/>
    </sheetView>
  </sheetViews>
  <sheetFormatPr defaultColWidth="8.6328125" defaultRowHeight="14.5" x14ac:dyDescent="0.35"/>
  <cols>
    <col min="1" max="2" width="8.6328125" style="31"/>
    <col min="3" max="3" width="19.36328125" style="31" customWidth="1"/>
    <col min="4" max="4" width="14.6328125" style="31" customWidth="1"/>
    <col min="5" max="5" width="23.453125" style="31" customWidth="1"/>
    <col min="6" max="6" width="25.6328125" style="31" customWidth="1"/>
    <col min="7" max="7" width="24.54296875" style="31" customWidth="1"/>
    <col min="8" max="8" width="21.6328125" style="31" customWidth="1"/>
    <col min="9" max="10" width="23" style="31" customWidth="1"/>
    <col min="11" max="16384" width="8.6328125" style="31"/>
  </cols>
  <sheetData>
    <row r="5" spans="2:10" ht="15" thickBot="1" x14ac:dyDescent="0.4">
      <c r="B5" s="88"/>
      <c r="C5" s="97" t="s">
        <v>1260</v>
      </c>
      <c r="D5" s="90"/>
      <c r="E5" s="1"/>
      <c r="F5" s="1"/>
      <c r="G5" s="1"/>
      <c r="H5" s="1"/>
      <c r="I5" s="1"/>
      <c r="J5" s="1"/>
    </row>
    <row r="6" spans="2:10" ht="15" thickBot="1" x14ac:dyDescent="0.4">
      <c r="B6" s="88"/>
      <c r="C6" s="89"/>
      <c r="D6" s="90"/>
      <c r="E6" s="1"/>
      <c r="F6" s="1"/>
      <c r="G6" s="1"/>
      <c r="H6" s="1"/>
      <c r="I6" s="1"/>
      <c r="J6" s="1"/>
    </row>
    <row r="7" spans="2:10" ht="15" thickBot="1" x14ac:dyDescent="0.4">
      <c r="B7" s="88"/>
      <c r="C7" s="1"/>
      <c r="D7" s="1"/>
      <c r="E7" s="91" t="s">
        <v>1261</v>
      </c>
      <c r="F7" s="91" t="s">
        <v>1261</v>
      </c>
      <c r="G7" s="91" t="s">
        <v>1261</v>
      </c>
      <c r="H7" s="91" t="s">
        <v>1261</v>
      </c>
      <c r="I7" s="91" t="s">
        <v>1261</v>
      </c>
      <c r="J7" s="91" t="s">
        <v>1261</v>
      </c>
    </row>
    <row r="8" spans="2:10" ht="15" thickBot="1" x14ac:dyDescent="0.4">
      <c r="B8" s="16"/>
      <c r="C8" s="91" t="s">
        <v>1262</v>
      </c>
      <c r="D8" s="91" t="s">
        <v>424</v>
      </c>
      <c r="E8" s="91" t="s">
        <v>521</v>
      </c>
      <c r="F8" s="91" t="s">
        <v>538</v>
      </c>
      <c r="G8" s="91" t="s">
        <v>552</v>
      </c>
      <c r="H8" s="91" t="s">
        <v>563</v>
      </c>
      <c r="I8" s="91" t="s">
        <v>573</v>
      </c>
      <c r="J8" s="91" t="s">
        <v>584</v>
      </c>
    </row>
    <row r="9" spans="2:10" ht="15" thickBot="1" x14ac:dyDescent="0.4">
      <c r="B9" s="16" t="s">
        <v>243</v>
      </c>
      <c r="C9" s="171" t="s">
        <v>521</v>
      </c>
      <c r="D9" s="171" t="s">
        <v>522</v>
      </c>
      <c r="E9" s="172">
        <v>-5.4201946324939971</v>
      </c>
      <c r="F9" s="172">
        <v>-0.9513440929518896</v>
      </c>
      <c r="G9" s="172">
        <v>-0.61505712275549662</v>
      </c>
      <c r="H9" s="173" t="s">
        <v>1263</v>
      </c>
      <c r="I9" s="172">
        <v>-0.64924055447647011</v>
      </c>
      <c r="J9" s="173" t="s">
        <v>1263</v>
      </c>
    </row>
    <row r="10" spans="2:10" ht="15" thickBot="1" x14ac:dyDescent="0.4">
      <c r="B10" s="16" t="s">
        <v>243</v>
      </c>
      <c r="C10" s="171" t="s">
        <v>521</v>
      </c>
      <c r="D10" s="171" t="s">
        <v>539</v>
      </c>
      <c r="E10" s="172">
        <v>-7.2676167958633799</v>
      </c>
      <c r="F10" s="172">
        <v>0.31515735532347</v>
      </c>
      <c r="G10" s="172">
        <v>0.81778901155864037</v>
      </c>
      <c r="H10" s="173" t="s">
        <v>1263</v>
      </c>
      <c r="I10" s="172">
        <v>0.71094484851364315</v>
      </c>
      <c r="J10" s="173" t="s">
        <v>1263</v>
      </c>
    </row>
    <row r="11" spans="2:10" ht="15" thickBot="1" x14ac:dyDescent="0.4">
      <c r="B11" s="16" t="s">
        <v>243</v>
      </c>
      <c r="C11" s="171" t="s">
        <v>538</v>
      </c>
      <c r="D11" s="171" t="s">
        <v>522</v>
      </c>
      <c r="E11" s="172">
        <v>11.037152972613276</v>
      </c>
      <c r="F11" s="172">
        <v>1.0759157096950167</v>
      </c>
      <c r="G11" s="172">
        <v>4.522492155301963</v>
      </c>
      <c r="H11" s="173" t="s">
        <v>1263</v>
      </c>
      <c r="I11" s="172">
        <v>-3.8472916269113333</v>
      </c>
      <c r="J11" s="173" t="s">
        <v>1263</v>
      </c>
    </row>
    <row r="12" spans="2:10" ht="15" thickBot="1" x14ac:dyDescent="0.4">
      <c r="B12" s="16" t="s">
        <v>243</v>
      </c>
      <c r="C12" s="171" t="s">
        <v>538</v>
      </c>
      <c r="D12" s="171" t="s">
        <v>539</v>
      </c>
      <c r="E12" s="173" t="s">
        <v>1263</v>
      </c>
      <c r="F12" s="172">
        <v>18.340845631086658</v>
      </c>
      <c r="G12" s="172">
        <v>-0.25435112326414999</v>
      </c>
      <c r="H12" s="173" t="s">
        <v>1263</v>
      </c>
      <c r="I12" s="172">
        <v>-0.26954984311772001</v>
      </c>
      <c r="J12" s="173" t="s">
        <v>1263</v>
      </c>
    </row>
    <row r="13" spans="2:10" ht="15" thickBot="1" x14ac:dyDescent="0.4">
      <c r="B13" s="16" t="s">
        <v>243</v>
      </c>
      <c r="C13" s="171" t="s">
        <v>552</v>
      </c>
      <c r="D13" s="171" t="s">
        <v>522</v>
      </c>
      <c r="E13" s="172">
        <v>11.908039110349543</v>
      </c>
      <c r="F13" s="172">
        <v>-1.89302337208094</v>
      </c>
      <c r="G13" s="172">
        <v>-1.4406919896701931</v>
      </c>
      <c r="H13" s="173" t="s">
        <v>1263</v>
      </c>
      <c r="I13" s="172">
        <v>-6.7188489150450428</v>
      </c>
      <c r="J13" s="173" t="s">
        <v>1263</v>
      </c>
    </row>
    <row r="14" spans="2:10" ht="15" thickBot="1" x14ac:dyDescent="0.4">
      <c r="B14" s="16" t="s">
        <v>243</v>
      </c>
      <c r="C14" s="171" t="s">
        <v>552</v>
      </c>
      <c r="D14" s="171" t="s">
        <v>539</v>
      </c>
      <c r="E14" s="172">
        <v>6.9637246963319566</v>
      </c>
      <c r="F14" s="172">
        <v>0.27770669702750334</v>
      </c>
      <c r="G14" s="172">
        <v>1.555716669595E-2</v>
      </c>
      <c r="H14" s="173" t="s">
        <v>1263</v>
      </c>
      <c r="I14" s="172">
        <v>-0.14924774198902332</v>
      </c>
      <c r="J14" s="173" t="s">
        <v>1263</v>
      </c>
    </row>
    <row r="15" spans="2:10" ht="15" thickBot="1" x14ac:dyDescent="0.4">
      <c r="B15" s="16" t="s">
        <v>243</v>
      </c>
      <c r="C15" s="171" t="s">
        <v>563</v>
      </c>
      <c r="D15" s="171" t="s">
        <v>522</v>
      </c>
      <c r="E15" s="173" t="s">
        <v>1263</v>
      </c>
      <c r="F15" s="173" t="s">
        <v>1263</v>
      </c>
      <c r="G15" s="173" t="s">
        <v>1263</v>
      </c>
      <c r="H15" s="173" t="s">
        <v>1263</v>
      </c>
      <c r="I15" s="173" t="s">
        <v>1263</v>
      </c>
      <c r="J15" s="173" t="s">
        <v>1263</v>
      </c>
    </row>
    <row r="16" spans="2:10" ht="15" thickBot="1" x14ac:dyDescent="0.4">
      <c r="B16" s="16" t="s">
        <v>243</v>
      </c>
      <c r="C16" s="171" t="s">
        <v>563</v>
      </c>
      <c r="D16" s="171" t="s">
        <v>539</v>
      </c>
      <c r="E16" s="173" t="s">
        <v>1263</v>
      </c>
      <c r="F16" s="173" t="s">
        <v>1263</v>
      </c>
      <c r="G16" s="173" t="s">
        <v>1263</v>
      </c>
      <c r="H16" s="173" t="s">
        <v>1263</v>
      </c>
      <c r="I16" s="173" t="s">
        <v>1263</v>
      </c>
      <c r="J16" s="173" t="s">
        <v>1263</v>
      </c>
    </row>
    <row r="17" spans="2:10" ht="15" thickBot="1" x14ac:dyDescent="0.4">
      <c r="B17" s="16" t="s">
        <v>243</v>
      </c>
      <c r="C17" s="171" t="s">
        <v>573</v>
      </c>
      <c r="D17" s="171" t="s">
        <v>522</v>
      </c>
      <c r="E17" s="172">
        <v>39.397076682636673</v>
      </c>
      <c r="F17" s="172">
        <v>7.4848823862855536</v>
      </c>
      <c r="G17" s="172">
        <v>13.496644287326529</v>
      </c>
      <c r="H17" s="173" t="s">
        <v>1263</v>
      </c>
      <c r="I17" s="172">
        <v>2.1049486442023602</v>
      </c>
      <c r="J17" s="173" t="s">
        <v>1263</v>
      </c>
    </row>
    <row r="18" spans="2:10" ht="15" thickBot="1" x14ac:dyDescent="0.4">
      <c r="B18" s="16" t="s">
        <v>243</v>
      </c>
      <c r="C18" s="171" t="s">
        <v>573</v>
      </c>
      <c r="D18" s="171" t="s">
        <v>539</v>
      </c>
      <c r="E18" s="172">
        <v>15.936258760505932</v>
      </c>
      <c r="F18" s="172">
        <v>0.43039542581372331</v>
      </c>
      <c r="G18" s="172">
        <v>0.11860294168176699</v>
      </c>
      <c r="H18" s="173" t="s">
        <v>1263</v>
      </c>
      <c r="I18" s="173" t="s">
        <v>1263</v>
      </c>
      <c r="J18" s="173" t="s">
        <v>1263</v>
      </c>
    </row>
    <row r="19" spans="2:10" ht="15" thickBot="1" x14ac:dyDescent="0.4">
      <c r="B19" s="16" t="s">
        <v>243</v>
      </c>
      <c r="C19" s="171" t="s">
        <v>584</v>
      </c>
      <c r="D19" s="171" t="s">
        <v>522</v>
      </c>
      <c r="E19" s="173" t="s">
        <v>1263</v>
      </c>
      <c r="F19" s="173" t="s">
        <v>1263</v>
      </c>
      <c r="G19" s="173" t="s">
        <v>1263</v>
      </c>
      <c r="H19" s="173" t="s">
        <v>1263</v>
      </c>
      <c r="I19" s="173" t="s">
        <v>1263</v>
      </c>
      <c r="J19" s="173" t="s">
        <v>1263</v>
      </c>
    </row>
    <row r="20" spans="2:10" ht="15" thickBot="1" x14ac:dyDescent="0.4">
      <c r="B20" s="16" t="s">
        <v>243</v>
      </c>
      <c r="C20" s="171" t="s">
        <v>584</v>
      </c>
      <c r="D20" s="171" t="s">
        <v>539</v>
      </c>
      <c r="E20" s="173" t="s">
        <v>1263</v>
      </c>
      <c r="F20" s="173" t="s">
        <v>1263</v>
      </c>
      <c r="G20" s="173" t="s">
        <v>1263</v>
      </c>
      <c r="H20" s="173" t="s">
        <v>1263</v>
      </c>
      <c r="I20" s="173" t="s">
        <v>1263</v>
      </c>
      <c r="J20" s="173" t="s">
        <v>1263</v>
      </c>
    </row>
  </sheetData>
  <sheetProtection algorithmName="SHA-512" hashValue="ptspvCWC5DgfSJscla5C3TLf20W8Qnn/J2/gvD3K4VxGLR/+AE1SIeGfiutntcjZdCbSVAIuHVqeFl6aPnw2rQ==" saltValue="ilf6YLGVUWnWbBny3J+9dg==" spinCount="100000" sheet="1" objects="1" scenarios="1"/>
  <conditionalFormatting sqref="B5:B20">
    <cfRule type="containsText" dxfId="2" priority="1" operator="containsText" text="N">
      <formula>NOT(ISERROR(SEARCH("N",B5)))</formula>
    </cfRule>
    <cfRule type="containsText" dxfId="1" priority="2" operator="containsText" text="Y">
      <formula>NOT(ISERROR(SEARCH("Y",B5)))</formula>
    </cfRule>
  </conditionalFormatting>
  <dataValidations count="1">
    <dataValidation type="list" allowBlank="1" showInputMessage="1" showErrorMessage="1" sqref="B5:B20" xr:uid="{0DB1DDD8-41B3-427E-9346-E9C4BDFB3271}">
      <formula1>Yesno</formula1>
    </dataValidation>
  </dataValidations>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CD202-58E3-4DB8-8AA8-9EA4278A55F3}">
  <sheetPr>
    <tabColor theme="7" tint="0.79998168889431442"/>
  </sheetPr>
  <dimension ref="B1:T78"/>
  <sheetViews>
    <sheetView workbookViewId="0">
      <selection activeCell="J15" sqref="J15"/>
    </sheetView>
  </sheetViews>
  <sheetFormatPr defaultColWidth="8.6328125" defaultRowHeight="14.5" x14ac:dyDescent="0.35"/>
  <cols>
    <col min="1" max="1" width="8.6328125" style="31"/>
    <col min="2" max="2" width="30" style="31" customWidth="1"/>
    <col min="3" max="3" width="21.6328125" style="31" customWidth="1"/>
    <col min="4" max="4" width="30.36328125" style="31" customWidth="1"/>
    <col min="5" max="5" width="26.36328125" style="31" customWidth="1"/>
    <col min="6" max="11" width="8.6328125" style="31"/>
    <col min="12" max="12" width="17.36328125" style="31" customWidth="1"/>
    <col min="13" max="13" width="29.36328125" style="31" customWidth="1"/>
    <col min="14" max="14" width="27.6328125" style="31" customWidth="1"/>
    <col min="15" max="16" width="8.6328125" style="31"/>
    <col min="17" max="17" width="21.6328125" style="31" customWidth="1"/>
    <col min="18" max="18" width="19.54296875" style="31" customWidth="1"/>
    <col min="19" max="19" width="38.36328125" style="31" customWidth="1"/>
    <col min="20" max="16384" width="8.6328125" style="31"/>
  </cols>
  <sheetData>
    <row r="1" spans="2:20" x14ac:dyDescent="0.35">
      <c r="B1" s="38"/>
    </row>
    <row r="3" spans="2:20" ht="26.5" thickBot="1" x14ac:dyDescent="0.65">
      <c r="B3" s="129" t="s">
        <v>1264</v>
      </c>
      <c r="C3" s="56"/>
      <c r="D3" s="56"/>
      <c r="E3" s="56"/>
    </row>
    <row r="4" spans="2:20" ht="18.5" x14ac:dyDescent="0.45">
      <c r="B4" s="130" t="s">
        <v>1265</v>
      </c>
      <c r="C4" s="127"/>
      <c r="D4" s="127"/>
      <c r="E4" s="127"/>
    </row>
    <row r="5" spans="2:20" ht="18.5" x14ac:dyDescent="0.45">
      <c r="B5" s="131" t="s">
        <v>1266</v>
      </c>
      <c r="C5" s="127"/>
      <c r="D5" s="127"/>
      <c r="E5" s="127"/>
    </row>
    <row r="6" spans="2:20" ht="18.5" x14ac:dyDescent="0.45">
      <c r="B6" s="131" t="s">
        <v>1267</v>
      </c>
      <c r="C6" s="127"/>
      <c r="D6" s="127"/>
      <c r="E6" s="127"/>
    </row>
    <row r="7" spans="2:20" ht="18.5" x14ac:dyDescent="0.45">
      <c r="B7" s="132" t="s">
        <v>1268</v>
      </c>
      <c r="C7" s="127"/>
      <c r="D7" s="127"/>
      <c r="E7" s="127"/>
    </row>
    <row r="8" spans="2:20" ht="18.5" x14ac:dyDescent="0.45">
      <c r="B8" s="132" t="s">
        <v>1269</v>
      </c>
      <c r="C8" s="127"/>
      <c r="D8" s="127"/>
      <c r="E8" s="127"/>
    </row>
    <row r="9" spans="2:20" ht="18.5" x14ac:dyDescent="0.45">
      <c r="B9" s="132" t="s">
        <v>1270</v>
      </c>
      <c r="C9" s="127"/>
      <c r="D9" s="127"/>
      <c r="E9" s="127"/>
    </row>
    <row r="11" spans="2:20" ht="19.25" customHeight="1" x14ac:dyDescent="0.35">
      <c r="B11" s="57" t="s">
        <v>1266</v>
      </c>
      <c r="L11" s="57" t="s">
        <v>1267</v>
      </c>
      <c r="Q11" s="57" t="s">
        <v>1268</v>
      </c>
    </row>
    <row r="12" spans="2:20" ht="48" customHeight="1" x14ac:dyDescent="0.35">
      <c r="B12" s="646" t="s">
        <v>1271</v>
      </c>
      <c r="C12" s="646"/>
      <c r="D12" s="646"/>
      <c r="E12" s="646"/>
      <c r="F12" s="646"/>
      <c r="G12" s="646"/>
      <c r="H12" s="646"/>
      <c r="I12" s="646"/>
      <c r="L12" s="640" t="s">
        <v>1272</v>
      </c>
      <c r="M12" s="640"/>
      <c r="N12" s="640"/>
      <c r="O12" s="640"/>
      <c r="Q12" s="640" t="s">
        <v>1273</v>
      </c>
      <c r="R12" s="640"/>
      <c r="S12" s="640"/>
      <c r="T12" s="640"/>
    </row>
    <row r="13" spans="2:20" ht="32" customHeight="1" x14ac:dyDescent="0.35">
      <c r="B13" s="128" t="s">
        <v>1274</v>
      </c>
      <c r="L13" s="640"/>
      <c r="M13" s="640"/>
      <c r="N13" s="640"/>
      <c r="O13" s="640"/>
    </row>
    <row r="14" spans="2:20" ht="15" thickBot="1" x14ac:dyDescent="0.4">
      <c r="B14" s="126" t="s">
        <v>1275</v>
      </c>
    </row>
    <row r="15" spans="2:20" ht="50.15" customHeight="1" thickBot="1" x14ac:dyDescent="0.4">
      <c r="B15" s="2" t="s">
        <v>1276</v>
      </c>
      <c r="C15" s="3" t="s">
        <v>1277</v>
      </c>
      <c r="D15" s="3" t="s">
        <v>1278</v>
      </c>
      <c r="E15" s="3" t="s">
        <v>1279</v>
      </c>
      <c r="F15" s="644"/>
      <c r="G15" s="645"/>
      <c r="H15" s="645"/>
      <c r="L15" s="2" t="s">
        <v>1276</v>
      </c>
      <c r="M15" s="3" t="s">
        <v>1280</v>
      </c>
      <c r="N15" s="3" t="s">
        <v>1281</v>
      </c>
      <c r="Q15" s="2" t="s">
        <v>1282</v>
      </c>
      <c r="R15" s="3" t="s">
        <v>1283</v>
      </c>
      <c r="S15" s="3" t="s">
        <v>1284</v>
      </c>
    </row>
    <row r="16" spans="2:20" ht="25.5" customHeight="1" thickBot="1" x14ac:dyDescent="0.4">
      <c r="B16" s="4" t="s">
        <v>1080</v>
      </c>
      <c r="C16" s="5" t="s">
        <v>1285</v>
      </c>
      <c r="D16" s="5">
        <v>132</v>
      </c>
      <c r="E16" s="5">
        <v>85</v>
      </c>
      <c r="L16" s="4" t="s">
        <v>1084</v>
      </c>
      <c r="M16" s="5">
        <v>24</v>
      </c>
      <c r="N16" s="5">
        <v>36</v>
      </c>
      <c r="Q16" s="4" t="s">
        <v>1286</v>
      </c>
      <c r="R16" s="60">
        <v>0.64</v>
      </c>
      <c r="S16" s="641" t="s">
        <v>1287</v>
      </c>
    </row>
    <row r="17" spans="2:19" ht="42.65" customHeight="1" thickBot="1" x14ac:dyDescent="0.4">
      <c r="B17" s="4" t="s">
        <v>1080</v>
      </c>
      <c r="C17" s="5" t="s">
        <v>1288</v>
      </c>
      <c r="D17" s="5">
        <v>139</v>
      </c>
      <c r="E17" s="5">
        <v>47</v>
      </c>
      <c r="Q17" s="4" t="s">
        <v>1289</v>
      </c>
      <c r="R17" s="61">
        <v>6.6000000000000003E-2</v>
      </c>
      <c r="S17" s="642"/>
    </row>
    <row r="18" spans="2:19" ht="49.5" customHeight="1" thickBot="1" x14ac:dyDescent="0.4">
      <c r="B18" s="4" t="s">
        <v>1080</v>
      </c>
      <c r="C18" s="5" t="s">
        <v>1136</v>
      </c>
      <c r="D18" s="5">
        <v>319</v>
      </c>
      <c r="E18" s="5">
        <v>83</v>
      </c>
      <c r="L18" s="647" t="s">
        <v>1290</v>
      </c>
      <c r="M18" s="647"/>
      <c r="N18" s="647"/>
      <c r="O18" s="647"/>
      <c r="Q18" s="4" t="s">
        <v>1291</v>
      </c>
      <c r="R18" s="61">
        <v>4.0000000000000001E-3</v>
      </c>
      <c r="S18" s="642"/>
    </row>
    <row r="19" spans="2:19" ht="39.5" customHeight="1" thickBot="1" x14ac:dyDescent="0.4">
      <c r="B19" s="4" t="s">
        <v>1080</v>
      </c>
      <c r="C19" s="5" t="s">
        <v>1139</v>
      </c>
      <c r="D19" s="5">
        <v>311</v>
      </c>
      <c r="E19" s="5">
        <v>39</v>
      </c>
      <c r="L19" s="2" t="s">
        <v>1276</v>
      </c>
      <c r="M19" s="3" t="s">
        <v>1292</v>
      </c>
      <c r="Q19" s="4" t="s">
        <v>1293</v>
      </c>
      <c r="R19" s="61">
        <v>9.5000000000000001E-2</v>
      </c>
      <c r="S19" s="642"/>
    </row>
    <row r="20" spans="2:19" ht="42.65" customHeight="1" thickBot="1" x14ac:dyDescent="0.4">
      <c r="B20" s="4" t="s">
        <v>1080</v>
      </c>
      <c r="C20" s="5" t="s">
        <v>1140</v>
      </c>
      <c r="D20" s="5">
        <v>432</v>
      </c>
      <c r="E20" s="5">
        <v>68</v>
      </c>
      <c r="L20" s="4" t="s">
        <v>1084</v>
      </c>
      <c r="M20" s="5" t="s">
        <v>1294</v>
      </c>
      <c r="Q20" s="4" t="s">
        <v>1295</v>
      </c>
      <c r="R20" s="61">
        <v>6.0000000000000001E-3</v>
      </c>
      <c r="S20" s="642"/>
    </row>
    <row r="21" spans="2:19" ht="52.5" customHeight="1" thickBot="1" x14ac:dyDescent="0.4">
      <c r="B21" s="4" t="s">
        <v>1088</v>
      </c>
      <c r="C21" s="5" t="s">
        <v>1159</v>
      </c>
      <c r="D21" s="5">
        <v>117</v>
      </c>
      <c r="E21" s="5">
        <v>76</v>
      </c>
      <c r="Q21" s="4" t="s">
        <v>747</v>
      </c>
      <c r="R21" s="61">
        <v>4.4999999999999998E-2</v>
      </c>
      <c r="S21" s="642"/>
    </row>
    <row r="22" spans="2:19" ht="15" thickBot="1" x14ac:dyDescent="0.4">
      <c r="B22" s="4" t="s">
        <v>1088</v>
      </c>
      <c r="C22" s="5" t="s">
        <v>1160</v>
      </c>
      <c r="D22" s="5">
        <v>121</v>
      </c>
      <c r="E22" s="5">
        <v>55</v>
      </c>
      <c r="L22" s="57" t="s">
        <v>1269</v>
      </c>
      <c r="Q22" s="4" t="s">
        <v>756</v>
      </c>
      <c r="R22" s="61">
        <v>1.9E-2</v>
      </c>
      <c r="S22" s="642"/>
    </row>
    <row r="23" spans="2:19" ht="39.65" customHeight="1" thickBot="1" x14ac:dyDescent="0.4">
      <c r="B23" s="4" t="s">
        <v>1088</v>
      </c>
      <c r="C23" s="5" t="s">
        <v>1161</v>
      </c>
      <c r="D23" s="5">
        <v>223</v>
      </c>
      <c r="E23" s="5">
        <v>69</v>
      </c>
      <c r="L23" s="647" t="s">
        <v>1296</v>
      </c>
      <c r="M23" s="647"/>
      <c r="N23" s="647"/>
      <c r="O23" s="647"/>
      <c r="Q23" s="4" t="s">
        <v>1297</v>
      </c>
      <c r="R23" s="61">
        <v>1.4E-2</v>
      </c>
      <c r="S23" s="642"/>
    </row>
    <row r="24" spans="2:19" ht="15" thickBot="1" x14ac:dyDescent="0.4">
      <c r="B24" s="4" t="s">
        <v>1088</v>
      </c>
      <c r="C24" s="5" t="s">
        <v>1162</v>
      </c>
      <c r="D24" s="5">
        <v>190</v>
      </c>
      <c r="E24" s="5">
        <v>134</v>
      </c>
      <c r="Q24" s="4" t="s">
        <v>1298</v>
      </c>
      <c r="R24" s="61">
        <v>0.104</v>
      </c>
      <c r="S24" s="642"/>
    </row>
    <row r="25" spans="2:19" ht="65.75" customHeight="1" thickBot="1" x14ac:dyDescent="0.4">
      <c r="B25" s="4" t="s">
        <v>1084</v>
      </c>
      <c r="C25" s="5" t="s">
        <v>1299</v>
      </c>
      <c r="D25" s="5">
        <v>108</v>
      </c>
      <c r="E25" s="5">
        <v>89</v>
      </c>
      <c r="L25" s="2" t="s">
        <v>1282</v>
      </c>
      <c r="M25" s="3" t="s">
        <v>1300</v>
      </c>
      <c r="N25" s="3" t="s">
        <v>1284</v>
      </c>
      <c r="Q25" s="4" t="s">
        <v>1094</v>
      </c>
      <c r="R25" s="61">
        <v>5.0000000000000001E-3</v>
      </c>
      <c r="S25" s="643"/>
    </row>
    <row r="26" spans="2:19" ht="52.5" customHeight="1" thickBot="1" x14ac:dyDescent="0.4">
      <c r="B26" s="4" t="s">
        <v>1084</v>
      </c>
      <c r="C26" s="5" t="s">
        <v>1153</v>
      </c>
      <c r="D26" s="5">
        <v>178</v>
      </c>
      <c r="E26" s="5">
        <v>226</v>
      </c>
      <c r="L26" s="4" t="s">
        <v>756</v>
      </c>
      <c r="M26" s="5">
        <v>0.16320000000000001</v>
      </c>
      <c r="N26" s="5" t="s">
        <v>1301</v>
      </c>
    </row>
    <row r="27" spans="2:19" ht="90" customHeight="1" thickBot="1" x14ac:dyDescent="0.4">
      <c r="B27" s="4" t="s">
        <v>1302</v>
      </c>
      <c r="C27" s="5" t="s">
        <v>1303</v>
      </c>
      <c r="D27" s="5">
        <v>122</v>
      </c>
      <c r="E27" s="5">
        <v>43</v>
      </c>
      <c r="L27" s="4" t="s">
        <v>747</v>
      </c>
      <c r="M27" s="5">
        <v>0.31563917782861167</v>
      </c>
      <c r="N27" s="189" t="s">
        <v>1304</v>
      </c>
    </row>
    <row r="28" spans="2:19" ht="39.65" customHeight="1" thickBot="1" x14ac:dyDescent="0.4">
      <c r="B28" s="4" t="s">
        <v>1302</v>
      </c>
      <c r="C28" s="5" t="s">
        <v>1305</v>
      </c>
      <c r="D28" s="5">
        <v>113</v>
      </c>
      <c r="E28" s="5">
        <v>51</v>
      </c>
      <c r="L28" s="4" t="s">
        <v>736</v>
      </c>
      <c r="M28" s="58">
        <v>1.6935985083903047</v>
      </c>
      <c r="N28" s="189" t="s">
        <v>1306</v>
      </c>
    </row>
    <row r="29" spans="2:19" ht="35.15" customHeight="1" thickBot="1" x14ac:dyDescent="0.4">
      <c r="B29" s="4" t="s">
        <v>1302</v>
      </c>
      <c r="C29" s="5" t="s">
        <v>1307</v>
      </c>
      <c r="D29" s="5">
        <v>157</v>
      </c>
      <c r="E29" s="5">
        <v>51</v>
      </c>
      <c r="L29" s="634" t="s">
        <v>1308</v>
      </c>
      <c r="M29" s="634" t="s">
        <v>1309</v>
      </c>
      <c r="N29" s="59" t="s">
        <v>1310</v>
      </c>
    </row>
    <row r="30" spans="2:19" ht="52.5" customHeight="1" thickBot="1" x14ac:dyDescent="0.4">
      <c r="B30" s="4" t="s">
        <v>1302</v>
      </c>
      <c r="C30" s="5" t="s">
        <v>1311</v>
      </c>
      <c r="D30" s="5">
        <v>187</v>
      </c>
      <c r="E30" s="5">
        <v>36</v>
      </c>
      <c r="L30" s="635"/>
      <c r="M30" s="635"/>
      <c r="N30" s="637" t="s">
        <v>1312</v>
      </c>
    </row>
    <row r="31" spans="2:19" ht="52.25" customHeight="1" thickBot="1" x14ac:dyDescent="0.4">
      <c r="B31" s="4" t="s">
        <v>1313</v>
      </c>
      <c r="C31" s="5" t="s">
        <v>1314</v>
      </c>
      <c r="D31" s="5">
        <v>303</v>
      </c>
      <c r="E31" s="5">
        <v>118</v>
      </c>
      <c r="L31" s="636"/>
      <c r="M31" s="636"/>
      <c r="N31" s="638"/>
    </row>
    <row r="32" spans="2:19" ht="52.25" customHeight="1" thickBot="1" x14ac:dyDescent="0.4">
      <c r="B32" s="4" t="s">
        <v>1313</v>
      </c>
      <c r="C32" s="5" t="s">
        <v>1315</v>
      </c>
      <c r="D32" s="5">
        <v>267</v>
      </c>
      <c r="E32" s="5">
        <v>132</v>
      </c>
      <c r="L32" s="124"/>
      <c r="M32" s="124"/>
      <c r="N32" s="125"/>
    </row>
    <row r="33" spans="2:14" ht="52.25" customHeight="1" thickBot="1" x14ac:dyDescent="0.4">
      <c r="B33" s="4" t="s">
        <v>1313</v>
      </c>
      <c r="C33" s="5" t="s">
        <v>1316</v>
      </c>
      <c r="D33" s="5">
        <v>492</v>
      </c>
      <c r="E33" s="5">
        <v>78</v>
      </c>
      <c r="L33" s="124"/>
      <c r="M33" s="124"/>
      <c r="N33" s="125"/>
    </row>
    <row r="34" spans="2:14" ht="15" thickBot="1" x14ac:dyDescent="0.4">
      <c r="B34" s="4" t="s">
        <v>1069</v>
      </c>
      <c r="C34" s="5" t="s">
        <v>1110</v>
      </c>
      <c r="D34" s="5">
        <v>118</v>
      </c>
      <c r="E34" s="5">
        <v>108</v>
      </c>
    </row>
    <row r="35" spans="2:14" ht="26.5" thickBot="1" x14ac:dyDescent="0.4">
      <c r="B35" s="4" t="s">
        <v>1069</v>
      </c>
      <c r="C35" s="5" t="s">
        <v>1317</v>
      </c>
      <c r="D35" s="5">
        <v>150</v>
      </c>
      <c r="E35" s="5">
        <v>93</v>
      </c>
    </row>
    <row r="36" spans="2:14" ht="15" thickBot="1" x14ac:dyDescent="0.4">
      <c r="B36" s="4" t="s">
        <v>1069</v>
      </c>
      <c r="C36" s="5" t="s">
        <v>1113</v>
      </c>
      <c r="D36" s="5">
        <v>112</v>
      </c>
      <c r="E36" s="5">
        <v>103</v>
      </c>
    </row>
    <row r="37" spans="2:14" ht="15" thickBot="1" x14ac:dyDescent="0.4">
      <c r="B37" s="4" t="s">
        <v>1092</v>
      </c>
      <c r="C37" s="5" t="s">
        <v>1196</v>
      </c>
      <c r="D37" s="5">
        <v>644</v>
      </c>
      <c r="E37" s="5">
        <v>192</v>
      </c>
    </row>
    <row r="38" spans="2:14" ht="15" thickBot="1" x14ac:dyDescent="0.4">
      <c r="B38" s="4" t="s">
        <v>1092</v>
      </c>
      <c r="C38" s="5" t="s">
        <v>1197</v>
      </c>
      <c r="D38" s="5">
        <v>598</v>
      </c>
      <c r="E38" s="5">
        <v>152</v>
      </c>
    </row>
    <row r="39" spans="2:14" ht="22.25" customHeight="1" thickBot="1" x14ac:dyDescent="0.4">
      <c r="B39" s="4" t="s">
        <v>1092</v>
      </c>
      <c r="C39" s="5" t="s">
        <v>1198</v>
      </c>
      <c r="D39" s="5">
        <v>343</v>
      </c>
      <c r="E39" s="5">
        <v>105</v>
      </c>
    </row>
    <row r="43" spans="2:14" ht="15.5" x14ac:dyDescent="0.35">
      <c r="B43" s="86" t="s">
        <v>1318</v>
      </c>
      <c r="C43" s="68"/>
    </row>
    <row r="44" spans="2:14" ht="133.25" customHeight="1" x14ac:dyDescent="0.35">
      <c r="B44" s="639" t="s">
        <v>1319</v>
      </c>
      <c r="C44" s="639"/>
      <c r="D44" s="639"/>
      <c r="E44" s="639"/>
      <c r="F44" s="639"/>
    </row>
    <row r="45" spans="2:14" ht="15" thickBot="1" x14ac:dyDescent="0.4">
      <c r="B45" s="69" t="s">
        <v>1320</v>
      </c>
    </row>
    <row r="46" spans="2:14" ht="26.5" thickBot="1" x14ac:dyDescent="0.4">
      <c r="B46" s="2" t="s">
        <v>237</v>
      </c>
      <c r="C46" s="3" t="s">
        <v>1321</v>
      </c>
      <c r="D46" s="3" t="s">
        <v>1322</v>
      </c>
      <c r="E46" s="3" t="s">
        <v>1323</v>
      </c>
    </row>
    <row r="47" spans="2:14" ht="63.5" customHeight="1" thickBot="1" x14ac:dyDescent="0.4">
      <c r="B47" s="4" t="s">
        <v>528</v>
      </c>
      <c r="C47" s="5" t="s">
        <v>1324</v>
      </c>
      <c r="D47" s="5" t="s">
        <v>1325</v>
      </c>
      <c r="E47" s="5">
        <v>0.66</v>
      </c>
    </row>
    <row r="48" spans="2:14" ht="51.5" customHeight="1" thickBot="1" x14ac:dyDescent="0.4">
      <c r="B48" s="4" t="s">
        <v>673</v>
      </c>
      <c r="C48" s="5" t="s">
        <v>1326</v>
      </c>
      <c r="D48" s="5" t="s">
        <v>1327</v>
      </c>
      <c r="E48" s="5">
        <v>0.28770000000000001</v>
      </c>
    </row>
    <row r="49" spans="2:5" ht="26.5" thickBot="1" x14ac:dyDescent="0.4">
      <c r="B49" s="4" t="s">
        <v>557</v>
      </c>
      <c r="C49" s="5" t="s">
        <v>1328</v>
      </c>
      <c r="D49" s="5" t="s">
        <v>1329</v>
      </c>
      <c r="E49" s="5">
        <v>0.28000000000000003</v>
      </c>
    </row>
    <row r="50" spans="2:5" ht="26.5" thickBot="1" x14ac:dyDescent="0.4">
      <c r="B50" s="4" t="s">
        <v>567</v>
      </c>
      <c r="C50" s="5" t="s">
        <v>1330</v>
      </c>
      <c r="D50" s="5" t="s">
        <v>1331</v>
      </c>
      <c r="E50" s="5">
        <v>0.9</v>
      </c>
    </row>
    <row r="51" spans="2:5" ht="39.5" thickBot="1" x14ac:dyDescent="0.4">
      <c r="B51" s="4" t="s">
        <v>544</v>
      </c>
      <c r="C51" s="5" t="s">
        <v>1332</v>
      </c>
      <c r="D51" s="5" t="s">
        <v>1333</v>
      </c>
      <c r="E51" s="5">
        <v>0.32</v>
      </c>
    </row>
    <row r="52" spans="2:5" ht="52.5" thickBot="1" x14ac:dyDescent="0.4">
      <c r="B52" s="4" t="s">
        <v>627</v>
      </c>
      <c r="C52" s="5" t="s">
        <v>1334</v>
      </c>
      <c r="D52" s="5" t="s">
        <v>1335</v>
      </c>
      <c r="E52" s="5">
        <v>1.35</v>
      </c>
    </row>
    <row r="53" spans="2:5" ht="15" thickBot="1" x14ac:dyDescent="0.4">
      <c r="B53" s="4" t="s">
        <v>577</v>
      </c>
      <c r="C53" s="5" t="s">
        <v>1336</v>
      </c>
      <c r="D53" s="5" t="s">
        <v>1337</v>
      </c>
      <c r="E53" s="5">
        <v>0.66</v>
      </c>
    </row>
    <row r="54" spans="2:5" ht="39.5" thickBot="1" x14ac:dyDescent="0.4">
      <c r="B54" s="4" t="s">
        <v>661</v>
      </c>
      <c r="C54" s="5" t="s">
        <v>1338</v>
      </c>
      <c r="D54" s="5" t="s">
        <v>1339</v>
      </c>
      <c r="E54" s="5">
        <v>0.22500000000000001</v>
      </c>
    </row>
    <row r="55" spans="2:5" ht="15" thickBot="1" x14ac:dyDescent="0.4">
      <c r="B55" s="4" t="s">
        <v>637</v>
      </c>
      <c r="C55" s="5" t="s">
        <v>1340</v>
      </c>
      <c r="D55" s="5" t="s">
        <v>1341</v>
      </c>
      <c r="E55" s="5">
        <v>0.2</v>
      </c>
    </row>
    <row r="56" spans="2:5" ht="15" thickBot="1" x14ac:dyDescent="0.4">
      <c r="B56" s="4" t="s">
        <v>526</v>
      </c>
      <c r="C56" s="5" t="s">
        <v>1342</v>
      </c>
      <c r="D56" s="5" t="s">
        <v>1343</v>
      </c>
      <c r="E56" s="5">
        <v>0.26</v>
      </c>
    </row>
    <row r="57" spans="2:5" ht="15" thickBot="1" x14ac:dyDescent="0.4">
      <c r="B57" s="4" t="s">
        <v>587</v>
      </c>
      <c r="C57" s="5" t="s">
        <v>1344</v>
      </c>
      <c r="D57" s="5" t="s">
        <v>1345</v>
      </c>
      <c r="E57" s="5">
        <v>0.93</v>
      </c>
    </row>
    <row r="58" spans="2:5" ht="15" thickBot="1" x14ac:dyDescent="0.4">
      <c r="B58" s="4" t="s">
        <v>527</v>
      </c>
      <c r="C58" s="5" t="s">
        <v>1342</v>
      </c>
      <c r="D58" s="5" t="s">
        <v>1343</v>
      </c>
      <c r="E58" s="5">
        <v>0.26</v>
      </c>
    </row>
    <row r="59" spans="2:5" ht="62.75" customHeight="1" thickBot="1" x14ac:dyDescent="0.4">
      <c r="B59" s="4" t="s">
        <v>657</v>
      </c>
      <c r="C59" s="5" t="s">
        <v>1338</v>
      </c>
      <c r="D59" s="5" t="s">
        <v>1339</v>
      </c>
      <c r="E59" s="5">
        <v>0.22500000000000001</v>
      </c>
    </row>
    <row r="60" spans="2:5" ht="26.5" thickBot="1" x14ac:dyDescent="0.4">
      <c r="B60" s="4" t="s">
        <v>594</v>
      </c>
      <c r="C60" s="5" t="s">
        <v>1346</v>
      </c>
      <c r="D60" s="5" t="s">
        <v>1347</v>
      </c>
      <c r="E60" s="5">
        <v>0.25</v>
      </c>
    </row>
    <row r="61" spans="2:5" ht="15" thickBot="1" x14ac:dyDescent="0.4">
      <c r="B61" s="4" t="s">
        <v>664</v>
      </c>
      <c r="C61" s="5" t="s">
        <v>1348</v>
      </c>
      <c r="D61" s="5" t="s">
        <v>1349</v>
      </c>
      <c r="E61" s="5">
        <v>0.19</v>
      </c>
    </row>
    <row r="62" spans="2:5" ht="26.5" thickBot="1" x14ac:dyDescent="0.4">
      <c r="B62" s="4" t="s">
        <v>678</v>
      </c>
      <c r="C62" s="5" t="s">
        <v>1350</v>
      </c>
      <c r="D62" s="5" t="s">
        <v>1351</v>
      </c>
      <c r="E62" s="5">
        <v>0.9</v>
      </c>
    </row>
    <row r="63" spans="2:5" ht="15" thickBot="1" x14ac:dyDescent="0.4">
      <c r="B63" s="4" t="s">
        <v>601</v>
      </c>
      <c r="C63" s="5" t="s">
        <v>1352</v>
      </c>
      <c r="D63" s="5" t="s">
        <v>1353</v>
      </c>
      <c r="E63" s="5">
        <v>0.27</v>
      </c>
    </row>
    <row r="64" spans="2:5" ht="26.5" thickBot="1" x14ac:dyDescent="0.4">
      <c r="B64" s="4" t="s">
        <v>617</v>
      </c>
      <c r="C64" s="5" t="s">
        <v>1354</v>
      </c>
      <c r="D64" s="5" t="s">
        <v>1355</v>
      </c>
      <c r="E64" s="5">
        <v>0.9</v>
      </c>
    </row>
    <row r="65" spans="2:5" ht="15" thickBot="1" x14ac:dyDescent="0.4">
      <c r="B65" s="4" t="s">
        <v>593</v>
      </c>
      <c r="C65" s="5" t="s">
        <v>1356</v>
      </c>
      <c r="D65" s="5" t="s">
        <v>1357</v>
      </c>
      <c r="E65" s="5">
        <v>0.3332</v>
      </c>
    </row>
    <row r="66" spans="2:5" ht="15" thickBot="1" x14ac:dyDescent="0.4">
      <c r="B66" s="4" t="s">
        <v>606</v>
      </c>
      <c r="C66" s="5" t="s">
        <v>1358</v>
      </c>
      <c r="D66" s="5" t="s">
        <v>1359</v>
      </c>
      <c r="E66" s="5">
        <v>0.23</v>
      </c>
    </row>
    <row r="67" spans="2:5" ht="15" thickBot="1" x14ac:dyDescent="0.4">
      <c r="B67" s="4" t="s">
        <v>600</v>
      </c>
      <c r="C67" s="5" t="s">
        <v>1360</v>
      </c>
      <c r="D67" s="5" t="s">
        <v>1361</v>
      </c>
      <c r="E67" s="5">
        <v>0.21049999999999999</v>
      </c>
    </row>
    <row r="68" spans="2:5" ht="15" thickBot="1" x14ac:dyDescent="0.4">
      <c r="B68" s="4" t="s">
        <v>586</v>
      </c>
      <c r="C68" s="5" t="s">
        <v>1362</v>
      </c>
      <c r="D68" s="5" t="s">
        <v>1363</v>
      </c>
      <c r="E68" s="5">
        <v>0.14000000000000001</v>
      </c>
    </row>
    <row r="69" spans="2:5" ht="15" thickBot="1" x14ac:dyDescent="0.4">
      <c r="B69" s="4" t="s">
        <v>616</v>
      </c>
      <c r="C69" s="5" t="s">
        <v>1342</v>
      </c>
      <c r="D69" s="5" t="s">
        <v>1343</v>
      </c>
      <c r="E69" s="5">
        <v>0.26</v>
      </c>
    </row>
    <row r="70" spans="2:5" ht="52.5" thickBot="1" x14ac:dyDescent="0.4">
      <c r="B70" s="4" t="s">
        <v>576</v>
      </c>
      <c r="C70" s="5" t="s">
        <v>1364</v>
      </c>
      <c r="D70" s="5" t="s">
        <v>1365</v>
      </c>
      <c r="E70" s="5">
        <v>0.21310000000000001</v>
      </c>
    </row>
    <row r="71" spans="2:5" ht="65.5" thickBot="1" x14ac:dyDescent="0.4">
      <c r="B71" s="4" t="s">
        <v>652</v>
      </c>
      <c r="C71" s="5" t="s">
        <v>1366</v>
      </c>
      <c r="D71" s="5" t="s">
        <v>1367</v>
      </c>
      <c r="E71" s="5">
        <v>0.21</v>
      </c>
    </row>
    <row r="72" spans="2:5" ht="26.5" thickBot="1" x14ac:dyDescent="0.4">
      <c r="B72" s="4" t="s">
        <v>556</v>
      </c>
      <c r="C72" s="5" t="s">
        <v>1368</v>
      </c>
      <c r="D72" s="5" t="s">
        <v>1369</v>
      </c>
      <c r="E72" s="5">
        <v>0.2</v>
      </c>
    </row>
    <row r="73" spans="2:5" ht="15" thickBot="1" x14ac:dyDescent="0.4">
      <c r="B73" s="4" t="s">
        <v>566</v>
      </c>
      <c r="C73" s="5" t="s">
        <v>1370</v>
      </c>
      <c r="D73" s="5" t="s">
        <v>1371</v>
      </c>
      <c r="E73" s="5">
        <v>0.38</v>
      </c>
    </row>
    <row r="74" spans="2:5" ht="15" thickBot="1" x14ac:dyDescent="0.4">
      <c r="B74" s="4" t="s">
        <v>239</v>
      </c>
      <c r="C74" s="5" t="s">
        <v>1370</v>
      </c>
      <c r="D74" s="5" t="s">
        <v>1371</v>
      </c>
      <c r="E74" s="5">
        <v>0.38</v>
      </c>
    </row>
    <row r="75" spans="2:5" ht="26.5" thickBot="1" x14ac:dyDescent="0.4">
      <c r="B75" s="4" t="s">
        <v>628</v>
      </c>
      <c r="C75" s="5" t="s">
        <v>1372</v>
      </c>
      <c r="D75" s="5" t="s">
        <v>1373</v>
      </c>
      <c r="E75" s="5">
        <v>0.24</v>
      </c>
    </row>
    <row r="76" spans="2:5" ht="15" thickBot="1" x14ac:dyDescent="0.4">
      <c r="B76" s="4" t="s">
        <v>806</v>
      </c>
      <c r="C76" s="5" t="s">
        <v>1374</v>
      </c>
      <c r="D76" s="5" t="s">
        <v>1375</v>
      </c>
      <c r="E76" s="5">
        <v>0.86</v>
      </c>
    </row>
    <row r="77" spans="2:5" ht="15" thickBot="1" x14ac:dyDescent="0.4">
      <c r="B77" s="4" t="s">
        <v>638</v>
      </c>
      <c r="C77" s="5" t="s">
        <v>1376</v>
      </c>
      <c r="D77" s="5" t="s">
        <v>1377</v>
      </c>
      <c r="E77" s="5">
        <v>0.4657</v>
      </c>
    </row>
    <row r="78" spans="2:5" ht="26.5" thickBot="1" x14ac:dyDescent="0.4">
      <c r="B78" s="4" t="s">
        <v>645</v>
      </c>
      <c r="C78" s="5" t="s">
        <v>1378</v>
      </c>
      <c r="D78" s="5" t="s">
        <v>1379</v>
      </c>
      <c r="E78" s="5">
        <v>0.1855</v>
      </c>
    </row>
  </sheetData>
  <mergeCells count="11">
    <mergeCell ref="L29:L31"/>
    <mergeCell ref="M29:M31"/>
    <mergeCell ref="N30:N31"/>
    <mergeCell ref="B44:F44"/>
    <mergeCell ref="Q12:T12"/>
    <mergeCell ref="L12:O13"/>
    <mergeCell ref="S16:S25"/>
    <mergeCell ref="F15:H15"/>
    <mergeCell ref="B12:I12"/>
    <mergeCell ref="L18:O18"/>
    <mergeCell ref="L23:O23"/>
  </mergeCells>
  <phoneticPr fontId="22" type="noConversion"/>
  <hyperlinks>
    <hyperlink ref="N29" r:id="rId1" xr:uid="{8AD7C04D-31DE-45D9-96F9-3C598DA6AE69}"/>
    <hyperlink ref="S16" r:id="rId2" tooltip="https://www.racfoundation.org/assets/rac_foundation/content/downloadables/car-and-the-commute-web-version.pdf" xr:uid="{DF6309F5-E672-445E-87A2-B9681DFD242E}"/>
    <hyperlink ref="B5" location="'Benchmarking data'!B12" display="Energy use in building benchmarks" xr:uid="{D94A95FB-3796-429F-96A9-8F5D977B8642}"/>
    <hyperlink ref="B6" location="'Benchmarking data'!M9" display="Water use and waste benchmarks" xr:uid="{74B1615E-21AD-4033-8D7A-4990F1A5C9ED}"/>
    <hyperlink ref="B7" location="'Benchmarking data'!R10" display="Commuting benchmarks" xr:uid="{33D00ED8-4222-4814-8CD3-D62D57641738}"/>
    <hyperlink ref="B8" location="'Benchmarking data'!M23" display="Public transport £/passenger km benchmarks" xr:uid="{9F5BB970-3726-4722-950C-E1D6715F3CCE}"/>
    <hyperlink ref="B9" location="'Benchmarking data'!B45" display="Waste density factors" xr:uid="{3ED7302D-E16E-4D8E-82E7-B548BE1DA441}"/>
    <hyperlink ref="B13" r:id="rId3" xr:uid="{CF60AF85-E6A6-4F80-903B-83AEFDFBF7C2}"/>
    <hyperlink ref="N27" r:id="rId4" xr:uid="{F0912822-F02E-471D-8A80-1FEC78402DB9}"/>
    <hyperlink ref="N28" r:id="rId5" xr:uid="{29562139-5F7C-4C60-9864-3D0AD8201926}"/>
  </hyperlinks>
  <pageMargins left="0.7" right="0.7" top="0.75" bottom="0.75" header="0.3" footer="0.3"/>
  <pageSetup paperSize="9" orientation="portrait" r:id="rId6"/>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EDF92-A0C6-41CE-B001-8BD1F485D931}">
  <sheetPr>
    <tabColor theme="2" tint="-9.9978637043366805E-2"/>
  </sheetPr>
  <dimension ref="B3:E33"/>
  <sheetViews>
    <sheetView workbookViewId="0">
      <selection activeCell="D13" sqref="D13"/>
    </sheetView>
  </sheetViews>
  <sheetFormatPr defaultRowHeight="14.5" x14ac:dyDescent="0.35"/>
  <cols>
    <col min="2" max="2" width="23.36328125" customWidth="1"/>
    <col min="3" max="3" width="30.453125" bestFit="1" customWidth="1"/>
    <col min="4" max="4" width="18.36328125" bestFit="1" customWidth="1"/>
  </cols>
  <sheetData>
    <row r="3" spans="2:5" x14ac:dyDescent="0.35">
      <c r="B3" s="211" t="s">
        <v>477</v>
      </c>
      <c r="C3" s="211" t="s">
        <v>1380</v>
      </c>
      <c r="D3" s="211" t="s">
        <v>1381</v>
      </c>
      <c r="E3" s="211" t="s">
        <v>1382</v>
      </c>
    </row>
    <row r="4" spans="2:5" x14ac:dyDescent="0.35">
      <c r="B4" s="201">
        <f>Introduction!$D$8</f>
        <v>0</v>
      </c>
      <c r="C4" s="201" t="s">
        <v>171</v>
      </c>
      <c r="D4" s="201" t="str">
        <f>'Buildings - Grid Electricity'!$J$5</f>
        <v>No data entered</v>
      </c>
      <c r="E4" s="206" t="str">
        <f>IF(LEFT(D4,2)="No","No Error","Error")</f>
        <v>No Error</v>
      </c>
    </row>
    <row r="5" spans="2:5" x14ac:dyDescent="0.35">
      <c r="B5" s="200">
        <f>Introduction!$D$8</f>
        <v>0</v>
      </c>
      <c r="C5" s="200" t="s">
        <v>195</v>
      </c>
      <c r="D5" s="200" t="str">
        <f>'Buildings - Grid Electricity'!$I$503</f>
        <v>No data entered</v>
      </c>
      <c r="E5" s="207" t="str">
        <f t="shared" ref="E5:E23" si="0">IF(LEFT(D5,2)="No","No Error","Error")</f>
        <v>No Error</v>
      </c>
    </row>
    <row r="6" spans="2:5" x14ac:dyDescent="0.35">
      <c r="B6" s="200">
        <f>Introduction!$D$8</f>
        <v>0</v>
      </c>
      <c r="C6" s="200" t="s">
        <v>198</v>
      </c>
      <c r="D6" s="200" t="str">
        <f>'Buildings - Heat &amp; Fuels'!J5</f>
        <v>No data entered</v>
      </c>
      <c r="E6" s="207" t="str">
        <f t="shared" si="0"/>
        <v>No Error</v>
      </c>
    </row>
    <row r="7" spans="2:5" x14ac:dyDescent="0.35">
      <c r="B7" s="200">
        <f>Introduction!$D$8</f>
        <v>0</v>
      </c>
      <c r="C7" s="200" t="s">
        <v>1383</v>
      </c>
      <c r="D7" s="200" t="str">
        <f>'Buildings - Heat &amp; Fuels'!I303</f>
        <v>No data entered</v>
      </c>
      <c r="E7" s="207" t="str">
        <f t="shared" si="0"/>
        <v>No Error</v>
      </c>
    </row>
    <row r="8" spans="2:5" x14ac:dyDescent="0.35">
      <c r="B8" s="200">
        <f>Introduction!$D$8</f>
        <v>0</v>
      </c>
      <c r="C8" s="200" t="s">
        <v>208</v>
      </c>
      <c r="D8" s="200" t="str">
        <f>'Buildings - Water'!J5</f>
        <v>No data entered</v>
      </c>
      <c r="E8" s="207" t="str">
        <f t="shared" si="0"/>
        <v>No Error</v>
      </c>
    </row>
    <row r="9" spans="2:5" x14ac:dyDescent="0.35">
      <c r="B9" s="200">
        <f>Introduction!$D$8</f>
        <v>0</v>
      </c>
      <c r="C9" s="200" t="s">
        <v>218</v>
      </c>
      <c r="D9" s="200" t="str">
        <f>'Fleet &amp; stationary assets'!$I$6</f>
        <v>No data entered</v>
      </c>
      <c r="E9" s="207" t="str">
        <f t="shared" si="0"/>
        <v>No Error</v>
      </c>
    </row>
    <row r="10" spans="2:5" x14ac:dyDescent="0.35">
      <c r="B10" s="200">
        <f>Introduction!$D$8</f>
        <v>0</v>
      </c>
      <c r="C10" s="200" t="s">
        <v>221</v>
      </c>
      <c r="D10" s="200" t="str">
        <f>'Fleet &amp; stationary assets'!$I$29</f>
        <v>No data entered</v>
      </c>
      <c r="E10" s="207" t="str">
        <f t="shared" si="0"/>
        <v>No Error</v>
      </c>
    </row>
    <row r="11" spans="2:5" x14ac:dyDescent="0.35">
      <c r="B11" s="200">
        <f>Introduction!$D$8</f>
        <v>0</v>
      </c>
      <c r="C11" s="200" t="s">
        <v>109</v>
      </c>
      <c r="D11" s="200" t="str">
        <f>'Business travel, commute, home'!$H$6</f>
        <v>No data entered</v>
      </c>
      <c r="E11" s="207" t="str">
        <f t="shared" si="0"/>
        <v>No Error</v>
      </c>
    </row>
    <row r="12" spans="2:5" x14ac:dyDescent="0.35">
      <c r="B12" s="200">
        <f>Introduction!$D$8</f>
        <v>0</v>
      </c>
      <c r="C12" s="200" t="s">
        <v>110</v>
      </c>
      <c r="D12" s="200" t="str">
        <f>'Business travel, commute, home'!$H$36</f>
        <v>No data entered</v>
      </c>
      <c r="E12" s="207" t="str">
        <f t="shared" si="0"/>
        <v>No Error</v>
      </c>
    </row>
    <row r="13" spans="2:5" x14ac:dyDescent="0.35">
      <c r="B13" s="200">
        <f>Introduction!$D$8</f>
        <v>0</v>
      </c>
      <c r="C13" s="200" t="s">
        <v>111</v>
      </c>
      <c r="D13" s="200" t="str">
        <f>'Business travel, commute, home'!$C$63</f>
        <v>No error</v>
      </c>
      <c r="E13" s="207" t="str">
        <f t="shared" si="0"/>
        <v>No Error</v>
      </c>
    </row>
    <row r="14" spans="2:5" x14ac:dyDescent="0.35">
      <c r="B14" s="200">
        <f>Introduction!$D$8</f>
        <v>0</v>
      </c>
      <c r="C14" s="200" t="s">
        <v>111</v>
      </c>
      <c r="D14" s="200" t="str">
        <f>'Business travel, commute, home'!$H$63</f>
        <v>No data entered</v>
      </c>
      <c r="E14" s="207" t="str">
        <f t="shared" si="0"/>
        <v>No Error</v>
      </c>
    </row>
    <row r="15" spans="2:5" x14ac:dyDescent="0.35">
      <c r="B15" s="200">
        <f>Introduction!$D$8</f>
        <v>0</v>
      </c>
      <c r="C15" s="200" t="s">
        <v>105</v>
      </c>
      <c r="D15" s="200" t="str">
        <f>'Medical gases (NHS only)'!$H$5</f>
        <v>No data entered</v>
      </c>
      <c r="E15" s="207" t="str">
        <f t="shared" si="0"/>
        <v>No Error</v>
      </c>
    </row>
    <row r="16" spans="2:5" x14ac:dyDescent="0.35">
      <c r="B16" s="200">
        <f>Introduction!$D$8</f>
        <v>0</v>
      </c>
      <c r="C16" s="200" t="s">
        <v>249</v>
      </c>
      <c r="D16" s="200" t="str">
        <f>'Supply chain'!$L$6</f>
        <v>No data entered</v>
      </c>
      <c r="E16" s="207" t="str">
        <f t="shared" si="0"/>
        <v>No Error</v>
      </c>
    </row>
    <row r="17" spans="2:5" x14ac:dyDescent="0.35">
      <c r="B17" s="200">
        <f>Introduction!$D$8</f>
        <v>0</v>
      </c>
      <c r="C17" s="200" t="s">
        <v>404</v>
      </c>
      <c r="D17" s="200" t="str">
        <f>'Supply chain'!$L$122</f>
        <v>No data entered</v>
      </c>
      <c r="E17" s="207" t="str">
        <f t="shared" si="0"/>
        <v>No Error</v>
      </c>
    </row>
    <row r="18" spans="2:5" x14ac:dyDescent="0.35">
      <c r="B18" s="200">
        <f>Introduction!$D$8</f>
        <v>0</v>
      </c>
      <c r="C18" s="200" t="s">
        <v>114</v>
      </c>
      <c r="D18" s="200" t="str">
        <f>Waste!$H$6</f>
        <v>No data entered</v>
      </c>
      <c r="E18" s="207" t="str">
        <f t="shared" si="0"/>
        <v>No Error</v>
      </c>
    </row>
    <row r="19" spans="2:5" x14ac:dyDescent="0.35">
      <c r="B19" s="200">
        <f>Introduction!$D$8</f>
        <v>0</v>
      </c>
      <c r="C19" s="200" t="s">
        <v>115</v>
      </c>
      <c r="D19" s="200" t="str">
        <f>Waste!$H$51</f>
        <v>No data entered</v>
      </c>
      <c r="E19" s="207" t="str">
        <f t="shared" si="0"/>
        <v>No Error</v>
      </c>
    </row>
    <row r="20" spans="2:5" x14ac:dyDescent="0.35">
      <c r="B20" s="200">
        <f>Introduction!$D$8</f>
        <v>0</v>
      </c>
      <c r="C20" s="200" t="s">
        <v>116</v>
      </c>
      <c r="D20" s="200" t="str">
        <f>Waste!$H$82</f>
        <v>No data entered</v>
      </c>
      <c r="E20" s="207" t="str">
        <f t="shared" si="0"/>
        <v>No Error</v>
      </c>
    </row>
    <row r="21" spans="2:5" x14ac:dyDescent="0.35">
      <c r="B21" s="200">
        <f>Introduction!$D$8</f>
        <v>0</v>
      </c>
      <c r="C21" s="200" t="s">
        <v>1384</v>
      </c>
      <c r="D21" s="200" t="str">
        <f>'Land use &amp; agriculture'!$G$14</f>
        <v>No data entered</v>
      </c>
      <c r="E21" s="207" t="str">
        <f t="shared" si="0"/>
        <v>No Error</v>
      </c>
    </row>
    <row r="22" spans="2:5" x14ac:dyDescent="0.35">
      <c r="B22" s="200">
        <f>Introduction!$D$8</f>
        <v>0</v>
      </c>
      <c r="C22" s="200" t="s">
        <v>1385</v>
      </c>
      <c r="D22" s="200" t="str">
        <f>'Land use &amp; agriculture'!$G$102</f>
        <v>No data entered</v>
      </c>
      <c r="E22" s="207" t="str">
        <f t="shared" si="0"/>
        <v>No Error</v>
      </c>
    </row>
    <row r="23" spans="2:5" x14ac:dyDescent="0.35">
      <c r="B23" s="200">
        <f>Introduction!$D$8</f>
        <v>0</v>
      </c>
      <c r="C23" s="200" t="s">
        <v>141</v>
      </c>
      <c r="D23" s="200" t="str">
        <f>'Land use &amp; agriculture'!$G$128</f>
        <v>No data entered</v>
      </c>
      <c r="E23" s="207" t="str">
        <f t="shared" si="0"/>
        <v>No Error</v>
      </c>
    </row>
    <row r="24" spans="2:5" x14ac:dyDescent="0.35">
      <c r="B24" s="200">
        <f>Introduction!$D$8</f>
        <v>0</v>
      </c>
      <c r="C24" s="200" t="s">
        <v>1386</v>
      </c>
      <c r="D24" s="200" t="s">
        <v>182</v>
      </c>
      <c r="E24" s="235" t="str">
        <f>IF(ISERROR(SUM(Totals!$R$3:$R$1729)),"Error","No Error")</f>
        <v>No Error</v>
      </c>
    </row>
    <row r="25" spans="2:5" x14ac:dyDescent="0.35">
      <c r="B25" s="200">
        <f>Introduction!$D$8</f>
        <v>0</v>
      </c>
      <c r="C25" s="200" t="s">
        <v>1386</v>
      </c>
      <c r="D25" s="200" t="s">
        <v>184</v>
      </c>
      <c r="E25" s="235" t="str">
        <f>IF(ISERROR(SUM(Totals!$T$3:$T$1729)),"Error","No Error")</f>
        <v>No Error</v>
      </c>
    </row>
    <row r="26" spans="2:5" x14ac:dyDescent="0.35">
      <c r="B26" s="200">
        <f>Introduction!$D$8</f>
        <v>0</v>
      </c>
      <c r="C26" s="200" t="s">
        <v>1386</v>
      </c>
      <c r="D26" s="200" t="s">
        <v>1387</v>
      </c>
      <c r="E26" s="235" t="str">
        <f>IF(ISERROR(SUM(Totals!$V$3:$V$1729)),"Error","No Error")</f>
        <v>No Error</v>
      </c>
    </row>
    <row r="27" spans="2:5" x14ac:dyDescent="0.35">
      <c r="B27" s="200">
        <f>Introduction!$D$8</f>
        <v>0</v>
      </c>
      <c r="C27" s="200" t="s">
        <v>1386</v>
      </c>
      <c r="D27" s="200" t="s">
        <v>1388</v>
      </c>
      <c r="E27" s="235" t="str">
        <f>IF(ISERROR(SUM(Totals!$W$3:$W$1729)),"Error","No Error")</f>
        <v>No Error</v>
      </c>
    </row>
    <row r="28" spans="2:5" x14ac:dyDescent="0.35">
      <c r="B28" s="200">
        <f>Introduction!$D$8</f>
        <v>0</v>
      </c>
      <c r="C28" s="200" t="s">
        <v>1386</v>
      </c>
      <c r="D28" s="200" t="s">
        <v>1389</v>
      </c>
      <c r="E28" s="207" t="str">
        <f>IF(SUM(Totals!$AI$3:$AI$1729)&gt;0,"Error","No Error")</f>
        <v>No Error</v>
      </c>
    </row>
    <row r="29" spans="2:5" x14ac:dyDescent="0.35">
      <c r="B29" s="200">
        <f>Introduction!$D$8</f>
        <v>0</v>
      </c>
      <c r="C29" s="200" t="s">
        <v>1386</v>
      </c>
      <c r="D29" s="200" t="s">
        <v>1390</v>
      </c>
      <c r="E29" s="207" t="str">
        <f>IF(SUM(Totals!$AJ$3:$AJ$1729)&gt;0,"Error","No Error")</f>
        <v>No Error</v>
      </c>
    </row>
    <row r="30" spans="2:5" x14ac:dyDescent="0.35">
      <c r="B30" s="200">
        <f>Introduction!$D$8</f>
        <v>0</v>
      </c>
      <c r="C30" s="200" t="s">
        <v>1386</v>
      </c>
      <c r="D30" s="200" t="s">
        <v>97</v>
      </c>
      <c r="E30" s="235" t="str">
        <f>IFERROR(IF(('Summary results'!$C$9-SUM(Totals!$Z$3:$Z$1729))&lt;&gt;0,"Error","No Error"),"Error")</f>
        <v>No Error</v>
      </c>
    </row>
    <row r="31" spans="2:5" x14ac:dyDescent="0.35">
      <c r="B31" s="200">
        <f>Introduction!$D$8</f>
        <v>0</v>
      </c>
      <c r="C31" s="200" t="s">
        <v>1386</v>
      </c>
      <c r="D31" s="200" t="s">
        <v>98</v>
      </c>
      <c r="E31" s="235" t="str">
        <f>IFERROR(IF(('Summary results'!$D$9-SUM(Totals!$AA$3:$AA$1729))&lt;&gt;0,"Error","No Error"),"Error")</f>
        <v>No Error</v>
      </c>
    </row>
    <row r="32" spans="2:5" x14ac:dyDescent="0.35">
      <c r="B32" s="200">
        <f>Introduction!$D$8</f>
        <v>0</v>
      </c>
      <c r="C32" s="200" t="s">
        <v>1386</v>
      </c>
      <c r="D32" s="200" t="s">
        <v>99</v>
      </c>
      <c r="E32" s="235" t="str">
        <f>IFERROR(IF(('Summary results'!$E$9-SUM(Totals!$AB$3:$AD$1729))&lt;&gt;0,"Error","No Error"),"Error")</f>
        <v>No Error</v>
      </c>
    </row>
    <row r="33" spans="2:5" x14ac:dyDescent="0.35">
      <c r="B33" s="212">
        <f>Introduction!$D$8</f>
        <v>0</v>
      </c>
      <c r="C33" s="212" t="s">
        <v>1386</v>
      </c>
      <c r="D33" s="212" t="s">
        <v>94</v>
      </c>
      <c r="E33" s="236" t="str">
        <f>IFERROR(IF(('Summary results'!$F$9-SUM(Totals!$W$3:$W$1729))&gt;0.1,"Error","No Error"),"Error")</f>
        <v>No Error</v>
      </c>
    </row>
  </sheetData>
  <conditionalFormatting sqref="E4:E33">
    <cfRule type="cellIs" dxfId="0" priority="1" operator="equal">
      <formula>"""Error"""</formula>
    </cfRule>
  </conditionalFormatting>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EE2A7AB7074E94D88D13888CE79A95A" ma:contentTypeVersion="13" ma:contentTypeDescription="Create a new document." ma:contentTypeScope="" ma:versionID="025078b28648e883d65877861f381668">
  <xsd:schema xmlns:xsd="http://www.w3.org/2001/XMLSchema" xmlns:xs="http://www.w3.org/2001/XMLSchema" xmlns:p="http://schemas.microsoft.com/office/2006/metadata/properties" xmlns:ns2="9a832fa7-5093-4b90-9816-68927a2fb2cf" xmlns:ns3="4c2e01c0-dcef-4458-9241-c66c635167f9" targetNamespace="http://schemas.microsoft.com/office/2006/metadata/properties" ma:root="true" ma:fieldsID="23f08c3ffab1e8e7088889299f688740" ns2:_="" ns3:_="">
    <xsd:import namespace="9a832fa7-5093-4b90-9816-68927a2fb2cf"/>
    <xsd:import namespace="4c2e01c0-dcef-4458-9241-c66c635167f9"/>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a832fa7-5093-4b90-9816-68927a2fb2c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914c6e9a-4c33-454e-8dc9-9e27271d2f41"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c2e01c0-dcef-4458-9241-c66c635167f9"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17cb61ba-cc82-4f7a-8d7a-af99a26aaf66}" ma:internalName="TaxCatchAll" ma:showField="CatchAllData" ma:web="4c2e01c0-dcef-4458-9241-c66c635167f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etadata xmlns="http://www.objective.com/ecm/document/metadata/FF3C5B18883D4E21973B57C2EEED7FD1" version="1.0.0">
  <systemFields>
    <field name="Objective-Id">
      <value order="0">A34708334</value>
    </field>
    <field name="Objective-Title">
      <value order="0">9 - Design and Translation - Net Zero Carbon reporting spreadsheet final (E)</value>
    </field>
    <field name="Objective-Description">
      <value order="0"/>
    </field>
    <field name="Objective-CreationStamp">
      <value order="0">2021-05-13T18:05:49Z</value>
    </field>
    <field name="Objective-IsApproved">
      <value order="0">false</value>
    </field>
    <field name="Objective-IsPublished">
      <value order="0">true</value>
    </field>
    <field name="Objective-DatePublished">
      <value order="0">2021-05-13T18:06:24Z</value>
    </field>
    <field name="Objective-ModificationStamp">
      <value order="0">2021-05-13T18:06:25Z</value>
    </field>
    <field name="Objective-Owner">
      <value order="0">Phillips, Rhiannon (ESNR-Strategy-Decarbonisation&amp;Energy)</value>
    </field>
    <field name="Objective-Path">
      <value order="0">Objective Global Folder:Business File Plan:Economy, Skills &amp; Natural Resources (ESNR):Economy, Skills &amp; Natural Resources (ESNR) - ERA - Decarbonisation &amp; Energy:1 - Save:Public Sector Decarbonisation:Delivery - Decarbonisation &amp; Energy - 2018 - 2020  :Workstream - Monitoring and Reporting - Development of Welsh Government standards</value>
    </field>
    <field name="Objective-Parent">
      <value order="0">Workstream - Monitoring and Reporting - Development of Welsh Government standards</value>
    </field>
    <field name="Objective-State">
      <value order="0">Published</value>
    </field>
    <field name="Objective-VersionId">
      <value order="0">vA68424561</value>
    </field>
    <field name="Objective-Version">
      <value order="0">1.0</value>
    </field>
    <field name="Objective-VersionNumber">
      <value order="0">1</value>
    </field>
    <field name="Objective-VersionComment">
      <value order="0">First version</value>
    </field>
    <field name="Objective-FileNumber">
      <value order="0">qA1367473</value>
    </field>
    <field name="Objective-Classification">
      <value order="0">Official</value>
    </field>
    <field name="Objective-Caveats">
      <value order="0"/>
    </field>
  </systemFields>
  <catalogues>
    <catalogue name="Document Type Catalogue" type="type" ori="id:cA14">
      <field name="Objective-Date Acquired">
        <value order="0">2021-05-12T23:00:00Z</value>
      </field>
      <field name="Objective-Official Translation">
        <value order="0"/>
      </field>
      <field name="Objective-Connect Creator">
        <value order="0"/>
      </field>
    </catalogue>
  </catalogues>
</metadata>
</file>

<file path=customXml/item4.xml>��
</file>

<file path=customXml/item5.xml><?xml version="1.0" encoding="utf-8"?>
<p:properties xmlns:p="http://schemas.microsoft.com/office/2006/metadata/properties" xmlns:xsi="http://www.w3.org/2001/XMLSchema-instance" xmlns:pc="http://schemas.microsoft.com/office/infopath/2007/PartnerControls">
  <documentManagement>
    <SharedWithUsers xmlns="4c2e01c0-dcef-4458-9241-c66c635167f9">
      <UserInfo>
        <DisplayName>Carol Oliveira</DisplayName>
        <AccountId>22</AccountId>
        <AccountType/>
      </UserInfo>
      <UserInfo>
        <DisplayName>Suchira Peiris</DisplayName>
        <AccountId>38</AccountId>
        <AccountType/>
      </UserInfo>
      <UserInfo>
        <DisplayName>Ryan Cox</DisplayName>
        <AccountId>34</AccountId>
        <AccountType/>
      </UserInfo>
    </SharedWithUsers>
    <lcf76f155ced4ddcb4097134ff3c332f xmlns="9a832fa7-5093-4b90-9816-68927a2fb2cf">
      <Terms xmlns="http://schemas.microsoft.com/office/infopath/2007/PartnerControls"/>
    </lcf76f155ced4ddcb4097134ff3c332f>
    <TaxCatchAll xmlns="4c2e01c0-dcef-4458-9241-c66c635167f9" xsi:nil="true"/>
  </documentManagement>
</p:properties>
</file>

<file path=customXml/itemProps1.xml><?xml version="1.0" encoding="utf-8"?>
<ds:datastoreItem xmlns:ds="http://schemas.openxmlformats.org/officeDocument/2006/customXml" ds:itemID="{4E81A8E7-4825-40EF-9C6C-A9CD9CF203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a832fa7-5093-4b90-9816-68927a2fb2cf"/>
    <ds:schemaRef ds:uri="4c2e01c0-dcef-4458-9241-c66c635167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B29AECD-ED03-4139-9D95-9DA9641B40EB}">
  <ds:schemaRefs>
    <ds:schemaRef ds:uri="http://schemas.microsoft.com/sharepoint/v3/contenttype/forms"/>
  </ds:schemaRefs>
</ds:datastoreItem>
</file>

<file path=customXml/itemProps3.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4.xml><?xml version="1.0" encoding="utf-8"?>
<ds:datastoreItem xmlns:ds="http://schemas.openxmlformats.org/officeDocument/2006/customXml" ds:itemID="{93111851-DF20-420D-8629-E97446AD453B}">
  <ds:schemaRefs>
    <ds:schemaRef ds:uri="http://schemas.microsoft.com/DataMashup"/>
  </ds:schemaRefs>
</ds:datastoreItem>
</file>

<file path=customXml/itemProps5.xml><?xml version="1.0" encoding="utf-8"?>
<ds:datastoreItem xmlns:ds="http://schemas.openxmlformats.org/officeDocument/2006/customXml" ds:itemID="{289732A7-1D95-4311-A98C-B3DB5215722B}">
  <ds:schemaRefs>
    <ds:schemaRef ds:uri="http://schemas.microsoft.com/office/2006/metadata/properties"/>
    <ds:schemaRef ds:uri="http://schemas.microsoft.com/office/infopath/2007/PartnerControls"/>
    <ds:schemaRef ds:uri="4c2e01c0-dcef-4458-9241-c66c635167f9"/>
    <ds:schemaRef ds:uri="9a832fa7-5093-4b90-9816-68927a2fb2cf"/>
  </ds:schemaRefs>
</ds:datastoreItem>
</file>

<file path=docMetadata/LabelInfo.xml><?xml version="1.0" encoding="utf-8"?>
<clbl:labelList xmlns:clbl="http://schemas.microsoft.com/office/2020/mipLabelMetadata">
  <clbl:label id="{96e14e5a-57ac-48d7-851d-12f54eff5a60}" enabled="0" method="" siteId="{96e14e5a-57ac-48d7-851d-12f54eff5a60}"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194</vt:i4>
      </vt:variant>
    </vt:vector>
  </HeadingPairs>
  <TitlesOfParts>
    <vt:vector size="215" baseType="lpstr">
      <vt:lpstr>Introduction</vt:lpstr>
      <vt:lpstr>Version Log</vt:lpstr>
      <vt:lpstr>Summary results</vt:lpstr>
      <vt:lpstr>Site Information</vt:lpstr>
      <vt:lpstr>Buildings - Grid Electricity</vt:lpstr>
      <vt:lpstr>Buildings - Heat &amp; Fuels</vt:lpstr>
      <vt:lpstr>Buildings - Water</vt:lpstr>
      <vt:lpstr>Medical gases (NHS only)</vt:lpstr>
      <vt:lpstr>Fleet &amp; stationary assets</vt:lpstr>
      <vt:lpstr>Business travel, commute, home</vt:lpstr>
      <vt:lpstr>Waste</vt:lpstr>
      <vt:lpstr>Supply chain</vt:lpstr>
      <vt:lpstr>Land use &amp; agriculture</vt:lpstr>
      <vt:lpstr>Renewables</vt:lpstr>
      <vt:lpstr>Totals</vt:lpstr>
      <vt:lpstr>TotalsRenewables</vt:lpstr>
      <vt:lpstr>Lists</vt:lpstr>
      <vt:lpstr>Emission factors</vt:lpstr>
      <vt:lpstr>Land Emission Factors</vt:lpstr>
      <vt:lpstr>Benchmarking data</vt:lpstr>
      <vt:lpstr>Errors</vt:lpstr>
      <vt:lpstr>'Benchmarking data'!_ftnref1</vt:lpstr>
      <vt:lpstr>'Benchmarking data'!_Toc103010521</vt:lpstr>
      <vt:lpstr>Aethercomments</vt:lpstr>
      <vt:lpstr>Aggregates</vt:lpstr>
      <vt:lpstr>AGRIC</vt:lpstr>
      <vt:lpstr>Agriculture</vt:lpstr>
      <vt:lpstr>Allfleetfuel</vt:lpstr>
      <vt:lpstr>Anatomicalwaste</vt:lpstr>
      <vt:lpstr>Asbestos</vt:lpstr>
      <vt:lpstr>Asphalt</vt:lpstr>
      <vt:lpstr>Averageconstruction</vt:lpstr>
      <vt:lpstr>Batteries</vt:lpstr>
      <vt:lpstr>Biodieselcategory1</vt:lpstr>
      <vt:lpstr>Biodieselunits</vt:lpstr>
      <vt:lpstr>Bioenergycategory1</vt:lpstr>
      <vt:lpstr>Bioenergyunits</vt:lpstr>
      <vt:lpstr>Biopetrolcategory1</vt:lpstr>
      <vt:lpstr>Biopetrolunits</vt:lpstr>
      <vt:lpstr>BoundaryInfo</vt:lpstr>
      <vt:lpstr>Bricks</vt:lpstr>
      <vt:lpstr>Buildingcategory</vt:lpstr>
      <vt:lpstr>Buildingcategory_long</vt:lpstr>
      <vt:lpstr>Buildings</vt:lpstr>
      <vt:lpstr>Buildingsownership</vt:lpstr>
      <vt:lpstr>Buildingtype</vt:lpstr>
      <vt:lpstr>Businesstravel</vt:lpstr>
      <vt:lpstr>Cattle</vt:lpstr>
      <vt:lpstr>CHPplant</vt:lpstr>
      <vt:lpstr>Clinicalwaste</vt:lpstr>
      <vt:lpstr>Clothing</vt:lpstr>
      <vt:lpstr>Coalcategory1</vt:lpstr>
      <vt:lpstr>Coalunits</vt:lpstr>
      <vt:lpstr>Commercialandindustrialwaste</vt:lpstr>
      <vt:lpstr>Commuting</vt:lpstr>
      <vt:lpstr>Concrete</vt:lpstr>
      <vt:lpstr>Dieselcategory1</vt:lpstr>
      <vt:lpstr>Dieselunits</vt:lpstr>
      <vt:lpstr>Ease</vt:lpstr>
      <vt:lpstr>Equipmentfuel</vt:lpstr>
      <vt:lpstr>F_gases</vt:lpstr>
      <vt:lpstr>F_GasUnits</vt:lpstr>
      <vt:lpstr>FarmlandSoils</vt:lpstr>
      <vt:lpstr>Farmlandsoilsunits</vt:lpstr>
      <vt:lpstr>Fgas</vt:lpstr>
      <vt:lpstr>fgasunits</vt:lpstr>
      <vt:lpstr>FireandRescueService</vt:lpstr>
      <vt:lpstr>Fleetandequipmentfuel</vt:lpstr>
      <vt:lpstr>Fleetdistance</vt:lpstr>
      <vt:lpstr>Flightcategory1</vt:lpstr>
      <vt:lpstr>Flightdomestic</vt:lpstr>
      <vt:lpstr>Flightlonghaul</vt:lpstr>
      <vt:lpstr>Flightshorthaul</vt:lpstr>
      <vt:lpstr>Flightunits</vt:lpstr>
      <vt:lpstr>Gasoilcategory1</vt:lpstr>
      <vt:lpstr>Gasoilunits</vt:lpstr>
      <vt:lpstr>Generatorfuel</vt:lpstr>
      <vt:lpstr>Gridelectricitycategory1</vt:lpstr>
      <vt:lpstr>Gridelectricityunits</vt:lpstr>
      <vt:lpstr>HealthBoardorTrust</vt:lpstr>
      <vt:lpstr>Heatandsteamcategory1</vt:lpstr>
      <vt:lpstr>Heatandsteamunits</vt:lpstr>
      <vt:lpstr>HGVfuel</vt:lpstr>
      <vt:lpstr>HGVsize</vt:lpstr>
      <vt:lpstr>HGVsizefuel</vt:lpstr>
      <vt:lpstr>HGVunits</vt:lpstr>
      <vt:lpstr>Hirecaraverage</vt:lpstr>
      <vt:lpstr>Hirecarcategory1</vt:lpstr>
      <vt:lpstr>Hirecarlarge</vt:lpstr>
      <vt:lpstr>Hirecarmedium</vt:lpstr>
      <vt:lpstr>Hirecarsmall</vt:lpstr>
      <vt:lpstr>Hirecarunits</vt:lpstr>
      <vt:lpstr>Homeworking</vt:lpstr>
      <vt:lpstr>Householdresidualwaste</vt:lpstr>
      <vt:lpstr>Infectiouswaste</vt:lpstr>
      <vt:lpstr>Insulation</vt:lpstr>
      <vt:lpstr>Kerosenecategory1</vt:lpstr>
      <vt:lpstr>Keroseneunits</vt:lpstr>
      <vt:lpstr>landuse</vt:lpstr>
      <vt:lpstr>landusetypes</vt:lpstr>
      <vt:lpstr>Livestock</vt:lpstr>
      <vt:lpstr>Livestockunits</vt:lpstr>
      <vt:lpstr>LocalAuthority</vt:lpstr>
      <vt:lpstr>LPGcategory1</vt:lpstr>
      <vt:lpstr>LPGunits</vt:lpstr>
      <vt:lpstr>Medicalcontaminatedsharpswaste</vt:lpstr>
      <vt:lpstr>Medicalgas</vt:lpstr>
      <vt:lpstr>Medicalgasunits</vt:lpstr>
      <vt:lpstr>Medicinalwaste</vt:lpstr>
      <vt:lpstr>Metals</vt:lpstr>
      <vt:lpstr>Methdologytier2</vt:lpstr>
      <vt:lpstr>Methodologyall</vt:lpstr>
      <vt:lpstr>Methodologytier</vt:lpstr>
      <vt:lpstr>Methodologytier1</vt:lpstr>
      <vt:lpstr>Methodologytier23</vt:lpstr>
      <vt:lpstr>Methodologytier3</vt:lpstr>
      <vt:lpstr>Mineraloil</vt:lpstr>
      <vt:lpstr>Mixedglass</vt:lpstr>
      <vt:lpstr>Mixedmetalcans</vt:lpstr>
      <vt:lpstr>Mixedpaper</vt:lpstr>
      <vt:lpstr>Mixedplastics</vt:lpstr>
      <vt:lpstr>Mixedrecycling</vt:lpstr>
      <vt:lpstr>MixedWEEE</vt:lpstr>
      <vt:lpstr>Motorbikeaverage</vt:lpstr>
      <vt:lpstr>Motorbikecategory1</vt:lpstr>
      <vt:lpstr>motorbikelarge</vt:lpstr>
      <vt:lpstr>Motorbikemedium</vt:lpstr>
      <vt:lpstr>Motorbikesmall</vt:lpstr>
      <vt:lpstr>Motorbikeunits</vt:lpstr>
      <vt:lpstr>Municipalwaste</vt:lpstr>
      <vt:lpstr>NationalParkAuthority</vt:lpstr>
      <vt:lpstr>Naturalgascategory1</vt:lpstr>
      <vt:lpstr>Naturalgasunits</vt:lpstr>
      <vt:lpstr>Noninfectiousoffensivewaste</vt:lpstr>
      <vt:lpstr>Offsiteheat</vt:lpstr>
      <vt:lpstr>Onsiteandoffsiteelectricity</vt:lpstr>
      <vt:lpstr>Onsiteheat</vt:lpstr>
      <vt:lpstr>Onsiterenewables</vt:lpstr>
      <vt:lpstr>Organicfoodanddrink</vt:lpstr>
      <vt:lpstr>Organicgarden</vt:lpstr>
      <vt:lpstr>Organicmixed</vt:lpstr>
      <vt:lpstr>OrganisationalInfo</vt:lpstr>
      <vt:lpstr>Organisationalwaste</vt:lpstr>
      <vt:lpstr>Organisations</vt:lpstr>
      <vt:lpstr>Organisationwastetype</vt:lpstr>
      <vt:lpstr>OrgType</vt:lpstr>
      <vt:lpstr>Other</vt:lpstr>
      <vt:lpstr>Othergases</vt:lpstr>
      <vt:lpstr>Peerreview</vt:lpstr>
      <vt:lpstr>Petrolcategory1</vt:lpstr>
      <vt:lpstr>Petrolunits</vt:lpstr>
      <vt:lpstr>Plasterboard</vt:lpstr>
      <vt:lpstr>Poolcarfuel</vt:lpstr>
      <vt:lpstr>PoolcarSize</vt:lpstr>
      <vt:lpstr>Poolcarsizefuel</vt:lpstr>
      <vt:lpstr>Poolcarunits</vt:lpstr>
      <vt:lpstr>Privatecaraverage</vt:lpstr>
      <vt:lpstr>Privatecarcategory1</vt:lpstr>
      <vt:lpstr>Privatecarlarge</vt:lpstr>
      <vt:lpstr>Privatecarmedium</vt:lpstr>
      <vt:lpstr>Privatecarsmall</vt:lpstr>
      <vt:lpstr>Privatecarunits</vt:lpstr>
      <vt:lpstr>Projectwaste</vt:lpstr>
      <vt:lpstr>Publictransportbus</vt:lpstr>
      <vt:lpstr>Publictransportcategory1</vt:lpstr>
      <vt:lpstr>Publictransportferry</vt:lpstr>
      <vt:lpstr>Publictransportrail</vt:lpstr>
      <vt:lpstr>Publictransporttaxi</vt:lpstr>
      <vt:lpstr>Publictransportunits</vt:lpstr>
      <vt:lpstr>Purchasedrenewableelectricityagreement</vt:lpstr>
      <vt:lpstr>Purchasedrenewableheatagreement</vt:lpstr>
      <vt:lpstr>Purchasedrenewables</vt:lpstr>
      <vt:lpstr>Regions</vt:lpstr>
      <vt:lpstr>RenewableCHPelectricitytechnology</vt:lpstr>
      <vt:lpstr>RenewableCHPheattechnology</vt:lpstr>
      <vt:lpstr>Renewableelectricity</vt:lpstr>
      <vt:lpstr>Renewableelectricityownership</vt:lpstr>
      <vt:lpstr>Renewableelectricitytechnology</vt:lpstr>
      <vt:lpstr>Renewableheat</vt:lpstr>
      <vt:lpstr>Renewableheattechnology</vt:lpstr>
      <vt:lpstr>Renewables</vt:lpstr>
      <vt:lpstr>ReportingComments</vt:lpstr>
      <vt:lpstr>Reportingyear</vt:lpstr>
      <vt:lpstr>RSD</vt:lpstr>
      <vt:lpstr>Sheep</vt:lpstr>
      <vt:lpstr>SICProductCategories</vt:lpstr>
      <vt:lpstr>SICProductCodeLookup</vt:lpstr>
      <vt:lpstr>soil</vt:lpstr>
      <vt:lpstr>Streetlighting</vt:lpstr>
      <vt:lpstr>SupplyChain_Tier2RSD</vt:lpstr>
      <vt:lpstr>Supplychaingroup</vt:lpstr>
      <vt:lpstr>Typeoflighting</vt:lpstr>
      <vt:lpstr>TypeOrganisation</vt:lpstr>
      <vt:lpstr>Tyres</vt:lpstr>
      <vt:lpstr>UniveristyorCollege</vt:lpstr>
      <vt:lpstr>vanaverage</vt:lpstr>
      <vt:lpstr>vanbiodiesel</vt:lpstr>
      <vt:lpstr>vanbiopetrol</vt:lpstr>
      <vt:lpstr>vancategory1</vt:lpstr>
      <vt:lpstr>Vancategory2</vt:lpstr>
      <vt:lpstr>vanfuel</vt:lpstr>
      <vt:lpstr>Vansize</vt:lpstr>
      <vt:lpstr>Vansizefuel</vt:lpstr>
      <vt:lpstr>Vanunits</vt:lpstr>
      <vt:lpstr>Vehicles</vt:lpstr>
      <vt:lpstr>Version</vt:lpstr>
      <vt:lpstr>Version_Number</vt:lpstr>
      <vt:lpstr>WasteSoils</vt:lpstr>
      <vt:lpstr>Wastesource</vt:lpstr>
      <vt:lpstr>Wasteunits</vt:lpstr>
      <vt:lpstr>Watercategory1</vt:lpstr>
      <vt:lpstr>Waterunits</vt:lpstr>
      <vt:lpstr>WelshGovernment</vt:lpstr>
      <vt:lpstr>Wood</vt:lpstr>
      <vt:lpstr>Yesno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Hector.Wilson@carbontrust.com</dc:creator>
  <cp:keywords/>
  <dc:description/>
  <cp:lastModifiedBy>Mahoney, Phil (EET - EET Operations)</cp:lastModifiedBy>
  <cp:revision/>
  <dcterms:created xsi:type="dcterms:W3CDTF">2019-12-05T11:58:06Z</dcterms:created>
  <dcterms:modified xsi:type="dcterms:W3CDTF">2025-05-09T10:37:05Z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0x010100EEE2A7AB7074E94D88D13888CE79A95A</vt:lpwstr>
  </property>
  <property fmtid="{D5CDD505-2E9C-101B-9397-08002B2CF9AE}" pid="3" name="Objective-Id">
    <vt:lpwstr>A34708334</vt:lpwstr>
  </property>
  <property fmtid="{D5CDD505-2E9C-101B-9397-08002B2CF9AE}" pid="4" name="Objective-Title">
    <vt:lpwstr>9 - Design and Translation - Net Zero Carbon reporting spreadsheet final (E)</vt:lpwstr>
  </property>
  <property fmtid="{D5CDD505-2E9C-101B-9397-08002B2CF9AE}" pid="5" name="Objective-Description">
    <vt:lpwstr/>
  </property>
  <property fmtid="{D5CDD505-2E9C-101B-9397-08002B2CF9AE}" pid="6" name="Objective-CreationStamp">
    <vt:filetime>2021-05-13T18:05:49Z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2021-05-13T18:06:24Z</vt:filetime>
  </property>
  <property fmtid="{D5CDD505-2E9C-101B-9397-08002B2CF9AE}" pid="10" name="Objective-ModificationStamp">
    <vt:filetime>2021-05-13T18:06:25Z</vt:filetime>
  </property>
  <property fmtid="{D5CDD505-2E9C-101B-9397-08002B2CF9AE}" pid="11" name="Objective-Owner">
    <vt:lpwstr>Phillips, Rhiannon (ESNR-Strategy-Decarbonisation&amp;Energy)</vt:lpwstr>
  </property>
  <property fmtid="{D5CDD505-2E9C-101B-9397-08002B2CF9AE}" pid="12" name="Objective-Path">
    <vt:lpwstr>Objective Global Folder:Business File Plan:Economy, Skills &amp; Natural Resources (ESNR):Economy, Skills &amp; Natural Resources (ESNR) - ERA - Decarbonisation &amp; Energy:1 - Save:Public Sector Decarbonisation:Delivery - Decarbonisation &amp; Energy - 2018 - 2020  :Wo</vt:lpwstr>
  </property>
  <property fmtid="{D5CDD505-2E9C-101B-9397-08002B2CF9AE}" pid="13" name="Objective-Parent">
    <vt:lpwstr>Workstream - Monitoring and Reporting - Development of Welsh Government standards</vt:lpwstr>
  </property>
  <property fmtid="{D5CDD505-2E9C-101B-9397-08002B2CF9AE}" pid="14" name="Objective-State">
    <vt:lpwstr>Published</vt:lpwstr>
  </property>
  <property fmtid="{D5CDD505-2E9C-101B-9397-08002B2CF9AE}" pid="15" name="Objective-VersionId">
    <vt:lpwstr>vA68424561</vt:lpwstr>
  </property>
  <property fmtid="{D5CDD505-2E9C-101B-9397-08002B2CF9AE}" pid="16" name="Objective-Version">
    <vt:lpwstr>1.0</vt:lpwstr>
  </property>
  <property fmtid="{D5CDD505-2E9C-101B-9397-08002B2CF9AE}" pid="17" name="Objective-VersionNumber">
    <vt:r8>1</vt:r8>
  </property>
  <property fmtid="{D5CDD505-2E9C-101B-9397-08002B2CF9AE}" pid="18" name="Objective-VersionComment">
    <vt:lpwstr>First version</vt:lpwstr>
  </property>
  <property fmtid="{D5CDD505-2E9C-101B-9397-08002B2CF9AE}" pid="19" name="Objective-FileNumber">
    <vt:lpwstr>qA1367473</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Date Acquired">
    <vt:filetime>2021-05-12T23:00:00Z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MediaServiceImageTags">
    <vt:lpwstr/>
  </property>
</Properties>
</file>